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3.xml" ContentType="application/vnd.openxmlformats-officedocument.spreadsheetml.comments+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4.xml" ContentType="application/vnd.openxmlformats-officedocument.spreadsheetml.comments+xml"/>
  <Override PartName="/xl/drawings/drawing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andy\ProtoGen Dropbox\Team\4 Ops_Tools\Tech\Tools\FAST Proforma Tool\_Working\"/>
    </mc:Choice>
  </mc:AlternateContent>
  <xr:revisionPtr revIDLastSave="0" documentId="13_ncr:1_{71C56C11-07F8-49D4-B944-FF2B4703B532}" xr6:coauthVersionLast="47" xr6:coauthVersionMax="47" xr10:uidLastSave="{00000000-0000-0000-0000-000000000000}"/>
  <bookViews>
    <workbookView xWindow="-105" yWindow="0" windowWidth="29010" windowHeight="32505" tabRatio="751" activeTab="2" xr2:uid="{378CE532-C81F-43A8-9E5F-ACE4D78D4336}"/>
  </bookViews>
  <sheets>
    <sheet name="Intro" sheetId="18" r:id="rId1"/>
    <sheet name="Instructions" sheetId="16" r:id="rId2"/>
    <sheet name="PV IN" sheetId="1" r:id="rId3"/>
    <sheet name="Batt IN" sheetId="6" r:id="rId4"/>
    <sheet name="Ledger" sheetId="20" r:id="rId5"/>
    <sheet name="Adv." sheetId="15" r:id="rId6"/>
    <sheet name="PVCalcs" sheetId="2" r:id="rId7"/>
    <sheet name="BattCalcs" sheetId="7" r:id="rId8"/>
    <sheet name="HybridCalcs" sheetId="11" r:id="rId9"/>
    <sheet name="Depr." sheetId="17" r:id="rId10"/>
    <sheet name="PVLoan" sheetId="3" r:id="rId11"/>
    <sheet name="BattLoan" sheetId="9" r:id="rId12"/>
    <sheet name="LkUP" sheetId="5" r:id="rId13"/>
    <sheet name="Chrt" sheetId="19" r:id="rId14"/>
  </sheets>
  <definedNames>
    <definedName name="_xlnm._FilterDatabase" localSheetId="13" hidden="1">Chrt!$A$1:$A$302</definedName>
    <definedName name="Batt_AfterTax_CF">OFFSET(BattCalcs!$CK$4,0,0,COUNT(HybridCalcs!$A$4:$A$484,1)-1)</definedName>
    <definedName name="Batt_DCF">OFFSET(HybridCalcs!$I$4,0,0,COUNT(HybridCalcs!$A$4:$A$484,1)-1)</definedName>
    <definedName name="Batt_kWh">OFFSET(BattCalcs!$DA$4,0,0,COUNT(BattCalcs!$A$4:$A$484,1)-1)</definedName>
    <definedName name="Batt_L_B">OFFSET(HybridCalcs!$R$4,0,0,COUNT(HybridCalcs!$A$4:$A$484,1)-1)</definedName>
    <definedName name="Batt_L_I">OFFSET(HybridCalcs!$Q$4,0,0,COUNT(HybridCalcs!$A$4:$A$484,1)-1)</definedName>
    <definedName name="Batt_LCOE_DCF">OFFSET(BattCalcs!$CZ$4,0,0,COUNT(BattCalcs!$A$4:$A$484,1)-1)</definedName>
    <definedName name="BattcDCF">OFFSET(HybridCalcs!$J$4,0,0,COUNT(HybridCalcs!$A$4:$A$484,1)-1)</definedName>
    <definedName name="ElecPrice">OFFSET(LkUP!$W$21,0,0,COUNT(HybridCalcs!$A$4:$A$484,1)/12+1)</definedName>
    <definedName name="HybcDCF">OFFSET(HybridCalcs!$M$4,0,0,COUNT(HybridCalcs!$A$4:$A$484,1)-1)</definedName>
    <definedName name="Hybrid_AfterTax_CF">OFFSET(HybridCalcs!$D$4,0,0,COUNT(HybridCalcs!$A$4:$A$484,1)-1)</definedName>
    <definedName name="Hybrid_DCF">OFFSET(HybridCalcs!$L$4,0,0,COUNT(HybridCalcs!$A$4:$A$484,1)-1)</definedName>
    <definedName name="Period">OFFSET(HybridCalcs!$C$4,0,0,COUNT(HybridCalcs!$A$4:$A$484,1)-1)</definedName>
    <definedName name="_xlnm.Print_Area" localSheetId="3">'Batt IN'!$A$1:$AE$69</definedName>
    <definedName name="_xlnm.Print_Area" localSheetId="4">Ledger!$A$1:$AU$83</definedName>
    <definedName name="_xlnm.Print_Area" localSheetId="2">'PV IN'!$A$1:$AG$72</definedName>
    <definedName name="_xlnm.Print_Titles" localSheetId="4">Ledger!$A:$E,Ledger!$1:$2</definedName>
    <definedName name="PV_AfterTax_CF">OFFSET(PVCalcs!$AT$4,0,0,COUNT(HybridCalcs!$A$4:$A$484,1)-1)</definedName>
    <definedName name="PV_DCF">OFFSET(HybridCalcs!$F$4,0,0,COUNT(HybridCalcs!$A$4:$A$484,1)-1)</definedName>
    <definedName name="PV_kWh">OFFSET(PVCalcs!$G$4,0,0,COUNT(HybridCalcs!$A$4:$A$484,1)-1)</definedName>
    <definedName name="PV_LCOE_DCF">OFFSET(PVCalcs!$BI$4,0,0,COUNT(HybridCalcs!$A$4:$A$484,1)-1)</definedName>
    <definedName name="PVcDCF">OFFSET(HybridCalcs!$G$4,0,0,COUNT(HybridCalcs!$A$4:$A$484,1)-1)</definedName>
    <definedName name="PVLB">OFFSET(HybridCalcs!$P$4,0,0,COUNT(HybridCalcs!$A$4:$A$484,1)-1)</definedName>
    <definedName name="PVLI">OFFSET(HybridCalcs!$O$4,0,0,COUNT(HybridCalcs!$A$4:$A$484,1)-1)</definedName>
    <definedName name="Year">OFFSET(HybridCalcs!$B$4,0,0,COUNT(HybridCalcs!$A$4:$A$484,1)-1)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7" i="2" l="1"/>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 i="2"/>
  <c r="AA5" i="2"/>
  <c r="AA6" i="2"/>
  <c r="AA7" i="2"/>
  <c r="AA8" i="2"/>
  <c r="AA9" i="2"/>
  <c r="AA10" i="2"/>
  <c r="AA11" i="2"/>
  <c r="AA12" i="2"/>
  <c r="AA13" i="2"/>
  <c r="AA14" i="2"/>
  <c r="AA15"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17" i="2"/>
  <c r="W18" i="2"/>
  <c r="W19" i="2"/>
  <c r="W20" i="2"/>
  <c r="W21" i="2"/>
  <c r="W22" i="2"/>
  <c r="W23" i="2"/>
  <c r="W24" i="2"/>
  <c r="W25" i="2"/>
  <c r="W26" i="2"/>
  <c r="W27" i="2"/>
  <c r="W28" i="2"/>
  <c r="W29" i="2"/>
  <c r="W30" i="2"/>
  <c r="W31" i="2"/>
  <c r="W32" i="2"/>
  <c r="W33" i="2"/>
  <c r="W34" i="2"/>
  <c r="W35" i="2"/>
  <c r="W36" i="2"/>
  <c r="W37" i="2"/>
  <c r="W38" i="2"/>
  <c r="W39" i="2"/>
  <c r="W40" i="2"/>
  <c r="W5" i="2"/>
  <c r="W6" i="2"/>
  <c r="W7" i="2"/>
  <c r="W8" i="2"/>
  <c r="W9" i="2"/>
  <c r="W10" i="2"/>
  <c r="W11" i="2"/>
  <c r="W12" i="2"/>
  <c r="W13" i="2"/>
  <c r="W14" i="2"/>
  <c r="W15" i="2"/>
  <c r="M25" i="1"/>
  <c r="M24" i="1"/>
  <c r="BA4" i="11"/>
  <c r="AZ4" i="11"/>
  <c r="AY4" i="11"/>
  <c r="AX4" i="11"/>
  <c r="C20" i="17" l="1"/>
  <c r="C7" i="17"/>
  <c r="D7" i="17" a="1"/>
  <c r="D7" i="17" s="1"/>
  <c r="O6" i="6"/>
  <c r="P13" i="1"/>
  <c r="AW4" i="11" l="1"/>
  <c r="AV4" i="11"/>
  <c r="AS5" i="11"/>
  <c r="AS6" i="11"/>
  <c r="AS7" i="11"/>
  <c r="AS8" i="11"/>
  <c r="AS9" i="11"/>
  <c r="AS10" i="11"/>
  <c r="AS11" i="11"/>
  <c r="AS12" i="11"/>
  <c r="AS13" i="11"/>
  <c r="AS14" i="11"/>
  <c r="AS15" i="11"/>
  <c r="AS17" i="11"/>
  <c r="AS18" i="11"/>
  <c r="AS19" i="11"/>
  <c r="AS20" i="11"/>
  <c r="AS21" i="11"/>
  <c r="AS22" i="11"/>
  <c r="AS23" i="11"/>
  <c r="AS24" i="11"/>
  <c r="AS25" i="11"/>
  <c r="AS26" i="11"/>
  <c r="AS27" i="11"/>
  <c r="AS28" i="11"/>
  <c r="AS29" i="11"/>
  <c r="AS30" i="11"/>
  <c r="AS31" i="11"/>
  <c r="AS32" i="11"/>
  <c r="AS33" i="11"/>
  <c r="AS34" i="11"/>
  <c r="AS35" i="11"/>
  <c r="AS36" i="11"/>
  <c r="AS37" i="11"/>
  <c r="AS38" i="11"/>
  <c r="AS39" i="11"/>
  <c r="AS40" i="11"/>
  <c r="AS41" i="11"/>
  <c r="AS42" i="11"/>
  <c r="AS43" i="11"/>
  <c r="AS44"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111" i="11"/>
  <c r="AS112" i="11"/>
  <c r="AS113" i="11"/>
  <c r="AS114" i="11"/>
  <c r="AS115" i="11"/>
  <c r="AS116" i="11"/>
  <c r="AS117" i="11"/>
  <c r="AS118" i="11"/>
  <c r="AS119" i="11"/>
  <c r="AS120" i="11"/>
  <c r="AS121" i="11"/>
  <c r="AS122" i="11"/>
  <c r="AS123" i="11"/>
  <c r="AS124" i="11"/>
  <c r="AS125" i="11"/>
  <c r="AS126" i="11"/>
  <c r="AS127" i="11"/>
  <c r="AS128" i="11"/>
  <c r="AS129" i="11"/>
  <c r="AS130" i="11"/>
  <c r="AS131" i="11"/>
  <c r="AS132" i="11"/>
  <c r="AS133" i="11"/>
  <c r="AS134" i="11"/>
  <c r="AS135" i="11"/>
  <c r="AS136" i="11"/>
  <c r="AS137" i="11"/>
  <c r="AS138" i="11"/>
  <c r="AS139" i="11"/>
  <c r="AS140" i="11"/>
  <c r="AS141" i="11"/>
  <c r="AS142" i="11"/>
  <c r="AS143" i="11"/>
  <c r="AS144" i="11"/>
  <c r="AS145" i="11"/>
  <c r="AS146" i="11"/>
  <c r="AS147" i="11"/>
  <c r="AS148" i="11"/>
  <c r="AS149" i="11"/>
  <c r="AS150" i="11"/>
  <c r="AS151" i="11"/>
  <c r="AS152" i="11"/>
  <c r="AS153" i="11"/>
  <c r="AS154" i="11"/>
  <c r="AS155" i="11"/>
  <c r="AS156" i="11"/>
  <c r="AS157" i="11"/>
  <c r="AS158" i="11"/>
  <c r="AS159" i="11"/>
  <c r="AS160" i="11"/>
  <c r="AS161" i="11"/>
  <c r="AS162" i="11"/>
  <c r="AS163" i="11"/>
  <c r="AS164" i="11"/>
  <c r="AS165" i="11"/>
  <c r="AS166" i="11"/>
  <c r="AS167" i="11"/>
  <c r="AS168" i="11"/>
  <c r="AS169" i="11"/>
  <c r="AS170" i="11"/>
  <c r="AS171" i="11"/>
  <c r="AS172" i="11"/>
  <c r="AS173" i="11"/>
  <c r="AS174" i="11"/>
  <c r="AS175" i="11"/>
  <c r="AS176" i="11"/>
  <c r="AS177" i="11"/>
  <c r="AS178" i="11"/>
  <c r="AS179" i="11"/>
  <c r="AS180" i="11"/>
  <c r="AS181" i="11"/>
  <c r="AS182" i="11"/>
  <c r="AS183" i="11"/>
  <c r="AS184" i="11"/>
  <c r="AS185" i="11"/>
  <c r="AS186" i="11"/>
  <c r="AS187" i="11"/>
  <c r="AS188" i="11"/>
  <c r="AS189" i="11"/>
  <c r="AS190" i="11"/>
  <c r="AS191" i="11"/>
  <c r="AS192" i="11"/>
  <c r="AS193" i="11"/>
  <c r="AS194" i="11"/>
  <c r="AS195" i="11"/>
  <c r="AS196" i="11"/>
  <c r="AS197" i="11"/>
  <c r="AS198" i="11"/>
  <c r="AS199" i="11"/>
  <c r="AS200" i="11"/>
  <c r="AS201" i="11"/>
  <c r="AS202" i="11"/>
  <c r="AS203" i="11"/>
  <c r="AS204" i="11"/>
  <c r="AS205" i="11"/>
  <c r="AS206" i="11"/>
  <c r="AS207" i="11"/>
  <c r="AS208" i="11"/>
  <c r="AS209" i="11"/>
  <c r="AS210" i="11"/>
  <c r="AS211" i="11"/>
  <c r="AS212" i="11"/>
  <c r="AS213" i="11"/>
  <c r="AS214" i="11"/>
  <c r="AS215" i="11"/>
  <c r="AS216" i="11"/>
  <c r="AS217" i="11"/>
  <c r="AS218" i="11"/>
  <c r="AS219" i="11"/>
  <c r="AS220" i="11"/>
  <c r="AS221" i="11"/>
  <c r="AS222" i="11"/>
  <c r="AS223" i="11"/>
  <c r="AS224" i="11"/>
  <c r="AS225" i="11"/>
  <c r="AS226" i="11"/>
  <c r="AS227" i="11"/>
  <c r="AS228" i="11"/>
  <c r="AS229" i="11"/>
  <c r="AS230" i="11"/>
  <c r="AS231" i="11"/>
  <c r="AS232" i="11"/>
  <c r="AS233" i="11"/>
  <c r="AS234" i="11"/>
  <c r="AS235" i="11"/>
  <c r="AS236" i="11"/>
  <c r="AS237" i="11"/>
  <c r="AS238" i="11"/>
  <c r="AS239" i="11"/>
  <c r="AS240" i="11"/>
  <c r="AS241" i="11"/>
  <c r="AS242" i="11"/>
  <c r="AS243" i="11"/>
  <c r="AS244" i="11"/>
  <c r="AS245" i="11"/>
  <c r="AS246" i="11"/>
  <c r="AS247" i="11"/>
  <c r="AS248" i="11"/>
  <c r="AS249" i="11"/>
  <c r="AS250" i="11"/>
  <c r="AS251" i="11"/>
  <c r="AS252" i="11"/>
  <c r="AS253" i="11"/>
  <c r="AS254" i="11"/>
  <c r="AS255" i="11"/>
  <c r="AS256" i="11"/>
  <c r="AS257" i="11"/>
  <c r="AS258" i="11"/>
  <c r="AS259" i="11"/>
  <c r="AS260" i="11"/>
  <c r="AS261" i="11"/>
  <c r="AS262" i="11"/>
  <c r="AS263" i="11"/>
  <c r="AS264" i="11"/>
  <c r="AS265" i="11"/>
  <c r="AS266" i="11"/>
  <c r="AS267" i="11"/>
  <c r="AS268" i="11"/>
  <c r="AS269" i="11"/>
  <c r="AS270" i="11"/>
  <c r="AS271" i="11"/>
  <c r="AS272" i="11"/>
  <c r="AS273" i="11"/>
  <c r="AS274" i="11"/>
  <c r="AS275" i="11"/>
  <c r="AS276" i="11"/>
  <c r="AS277" i="11"/>
  <c r="AS278" i="11"/>
  <c r="AS279" i="11"/>
  <c r="AS280" i="11"/>
  <c r="AS281" i="11"/>
  <c r="AS282" i="11"/>
  <c r="AS283" i="11"/>
  <c r="AS284" i="11"/>
  <c r="AS285" i="11"/>
  <c r="AS286" i="11"/>
  <c r="AS287" i="11"/>
  <c r="AS288" i="11"/>
  <c r="AS289" i="11"/>
  <c r="AS290" i="11"/>
  <c r="AS291" i="11"/>
  <c r="AS292" i="11"/>
  <c r="AS293" i="11"/>
  <c r="AS294" i="11"/>
  <c r="AS295" i="11"/>
  <c r="AS296" i="11"/>
  <c r="AS297" i="11"/>
  <c r="AS298" i="11"/>
  <c r="AS299" i="11"/>
  <c r="AS300" i="11"/>
  <c r="AS301" i="11"/>
  <c r="AS302" i="11"/>
  <c r="AS303" i="11"/>
  <c r="AS304" i="11"/>
  <c r="AS305" i="11"/>
  <c r="AS306" i="11"/>
  <c r="AS307" i="11"/>
  <c r="AS308" i="11"/>
  <c r="AS309" i="11"/>
  <c r="AS310" i="11"/>
  <c r="AS311" i="11"/>
  <c r="AS312" i="11"/>
  <c r="AS313" i="11"/>
  <c r="AS314" i="11"/>
  <c r="AS315" i="11"/>
  <c r="AS316" i="11"/>
  <c r="AS317" i="11"/>
  <c r="AS318" i="11"/>
  <c r="AS319" i="11"/>
  <c r="AS320" i="11"/>
  <c r="AS321" i="11"/>
  <c r="AS322" i="11"/>
  <c r="AS323" i="11"/>
  <c r="AS324" i="11"/>
  <c r="AS325" i="11"/>
  <c r="AS326" i="11"/>
  <c r="AS327" i="11"/>
  <c r="AS328" i="11"/>
  <c r="AS329" i="11"/>
  <c r="AS330" i="11"/>
  <c r="AS331" i="11"/>
  <c r="AS332" i="11"/>
  <c r="AS333" i="11"/>
  <c r="AS334" i="11"/>
  <c r="AS335" i="11"/>
  <c r="AS336" i="11"/>
  <c r="AS337" i="11"/>
  <c r="AS338" i="11"/>
  <c r="AS339" i="11"/>
  <c r="AS340" i="11"/>
  <c r="AS341" i="11"/>
  <c r="AS342" i="11"/>
  <c r="AS343" i="11"/>
  <c r="AS344" i="11"/>
  <c r="AS345" i="11"/>
  <c r="AS346" i="11"/>
  <c r="AS347" i="11"/>
  <c r="AS348" i="11"/>
  <c r="AS349" i="11"/>
  <c r="AS350" i="11"/>
  <c r="AS351" i="11"/>
  <c r="AS352" i="11"/>
  <c r="AS353" i="11"/>
  <c r="AS354" i="11"/>
  <c r="AS355" i="11"/>
  <c r="AS356" i="11"/>
  <c r="AS357" i="11"/>
  <c r="AS358" i="11"/>
  <c r="AS359" i="11"/>
  <c r="AS360" i="11"/>
  <c r="AS361" i="11"/>
  <c r="AS362" i="11"/>
  <c r="AS363" i="11"/>
  <c r="AS364" i="11"/>
  <c r="AS365" i="11"/>
  <c r="AS366" i="11"/>
  <c r="AS367" i="11"/>
  <c r="AS368" i="11"/>
  <c r="AS369" i="11"/>
  <c r="AS370" i="11"/>
  <c r="AS371" i="11"/>
  <c r="AS372" i="11"/>
  <c r="AS373" i="11"/>
  <c r="AS374" i="11"/>
  <c r="AS375" i="11"/>
  <c r="AS376" i="11"/>
  <c r="AS377" i="11"/>
  <c r="AS378" i="11"/>
  <c r="AS379" i="11"/>
  <c r="AS380" i="11"/>
  <c r="AS381" i="11"/>
  <c r="AS382" i="11"/>
  <c r="AS383" i="11"/>
  <c r="AS384" i="11"/>
  <c r="AS385" i="11"/>
  <c r="AS386" i="11"/>
  <c r="AS387" i="11"/>
  <c r="AS388" i="11"/>
  <c r="AS389" i="11"/>
  <c r="AS390" i="11"/>
  <c r="AS391" i="11"/>
  <c r="AS392" i="11"/>
  <c r="AS393" i="11"/>
  <c r="AS394" i="11"/>
  <c r="AS395" i="11"/>
  <c r="AS396" i="11"/>
  <c r="AS397" i="11"/>
  <c r="AS398" i="11"/>
  <c r="AS399" i="11"/>
  <c r="AS400" i="11"/>
  <c r="AS401" i="11"/>
  <c r="AS402" i="11"/>
  <c r="AS403" i="11"/>
  <c r="AS404" i="11"/>
  <c r="AS405" i="11"/>
  <c r="AS406" i="11"/>
  <c r="AS407" i="11"/>
  <c r="AS408" i="11"/>
  <c r="AS409" i="11"/>
  <c r="AS410" i="11"/>
  <c r="AS411" i="11"/>
  <c r="AS412" i="11"/>
  <c r="AS413" i="11"/>
  <c r="AS414" i="11"/>
  <c r="AS415" i="11"/>
  <c r="AS416" i="11"/>
  <c r="AS417" i="11"/>
  <c r="AS418" i="11"/>
  <c r="AS419" i="11"/>
  <c r="AS420" i="11"/>
  <c r="AS421" i="11"/>
  <c r="AS422" i="11"/>
  <c r="AS423" i="11"/>
  <c r="AS424" i="11"/>
  <c r="AS425" i="11"/>
  <c r="AS426" i="11"/>
  <c r="AS427" i="11"/>
  <c r="AS428" i="11"/>
  <c r="AS429" i="11"/>
  <c r="AS430" i="11"/>
  <c r="AS431" i="11"/>
  <c r="AS432" i="11"/>
  <c r="AS433" i="11"/>
  <c r="AS434" i="11"/>
  <c r="AS435" i="11"/>
  <c r="AS436" i="11"/>
  <c r="AS437" i="11"/>
  <c r="AS438" i="11"/>
  <c r="AS439" i="11"/>
  <c r="AS440" i="11"/>
  <c r="AS441" i="11"/>
  <c r="AS442" i="11"/>
  <c r="AS443" i="11"/>
  <c r="AS444" i="11"/>
  <c r="AS445" i="11"/>
  <c r="AS446" i="11"/>
  <c r="AS447" i="11"/>
  <c r="AS448" i="11"/>
  <c r="AS449" i="11"/>
  <c r="AS450" i="11"/>
  <c r="AS451" i="11"/>
  <c r="AS452" i="11"/>
  <c r="AS453" i="11"/>
  <c r="AS454" i="11"/>
  <c r="AS455" i="11"/>
  <c r="AS456" i="11"/>
  <c r="AS457" i="11"/>
  <c r="AS458" i="11"/>
  <c r="AS459" i="11"/>
  <c r="AS460" i="11"/>
  <c r="AS461" i="11"/>
  <c r="AS462" i="11"/>
  <c r="AS463" i="11"/>
  <c r="AS464" i="11"/>
  <c r="AS465" i="11"/>
  <c r="AS466" i="11"/>
  <c r="AS467" i="11"/>
  <c r="AS468" i="11"/>
  <c r="AS469" i="11"/>
  <c r="AS470" i="11"/>
  <c r="AS471" i="11"/>
  <c r="AS472" i="11"/>
  <c r="AS473" i="11"/>
  <c r="AS474" i="11"/>
  <c r="AS475" i="11"/>
  <c r="AS476" i="11"/>
  <c r="AS477" i="11"/>
  <c r="AS478" i="11"/>
  <c r="AS479" i="11"/>
  <c r="AS480" i="11"/>
  <c r="AS481" i="11"/>
  <c r="AS482" i="11"/>
  <c r="AS483" i="11"/>
  <c r="AS484" i="11"/>
  <c r="AS4" i="11"/>
  <c r="AK4" i="11"/>
  <c r="AE5" i="11"/>
  <c r="AE6" i="11"/>
  <c r="AE7" i="11"/>
  <c r="AE8" i="11"/>
  <c r="AE9" i="11"/>
  <c r="AE10" i="11"/>
  <c r="AE11" i="11"/>
  <c r="AE12" i="11"/>
  <c r="AE13" i="11"/>
  <c r="AE14" i="11"/>
  <c r="AE15"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U5" i="11"/>
  <c r="AU6" i="11"/>
  <c r="AU7" i="11"/>
  <c r="AU8" i="11"/>
  <c r="AU9" i="11"/>
  <c r="AU10" i="11"/>
  <c r="AU11" i="11"/>
  <c r="AU12" i="11"/>
  <c r="AU13" i="11"/>
  <c r="AU14" i="11"/>
  <c r="AU15" i="11"/>
  <c r="AU17" i="11"/>
  <c r="AU18" i="11"/>
  <c r="AU19" i="11"/>
  <c r="AU20" i="11"/>
  <c r="AU21" i="11"/>
  <c r="AU22" i="11"/>
  <c r="AU23" i="11"/>
  <c r="AU24" i="11"/>
  <c r="AU25" i="11"/>
  <c r="AU26" i="11"/>
  <c r="AU27" i="11"/>
  <c r="AU29" i="11"/>
  <c r="AU30" i="11"/>
  <c r="AU31" i="11"/>
  <c r="AU32" i="11"/>
  <c r="AU33" i="11"/>
  <c r="AU34" i="11"/>
  <c r="AU35" i="11"/>
  <c r="AU36" i="11"/>
  <c r="AU37" i="11"/>
  <c r="AU38" i="11"/>
  <c r="AU39" i="11"/>
  <c r="AU41" i="11"/>
  <c r="AU42" i="11"/>
  <c r="AU43" i="11"/>
  <c r="AU44" i="11"/>
  <c r="AU45" i="11"/>
  <c r="AU46" i="11"/>
  <c r="AU47" i="11"/>
  <c r="AU48" i="11"/>
  <c r="AU49" i="11"/>
  <c r="AU50" i="11"/>
  <c r="AU51" i="11"/>
  <c r="AU53" i="11"/>
  <c r="AU54" i="11"/>
  <c r="AU55" i="11"/>
  <c r="AU56" i="11"/>
  <c r="AU57" i="11"/>
  <c r="AU58" i="11"/>
  <c r="AU59" i="11"/>
  <c r="AU60" i="11"/>
  <c r="AU61" i="11"/>
  <c r="AU62" i="11"/>
  <c r="AU63" i="11"/>
  <c r="AU65" i="11"/>
  <c r="AU66" i="11"/>
  <c r="AU67" i="11"/>
  <c r="AU68" i="11"/>
  <c r="AU69" i="11"/>
  <c r="AU70" i="11"/>
  <c r="AU71" i="11"/>
  <c r="AU72" i="11"/>
  <c r="AU73" i="11"/>
  <c r="AU74" i="11"/>
  <c r="AU75"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69" i="11"/>
  <c r="AU170" i="11"/>
  <c r="AU171" i="11"/>
  <c r="AU172" i="11"/>
  <c r="AU173" i="11"/>
  <c r="AU174" i="11"/>
  <c r="AU175" i="11"/>
  <c r="AU176" i="11"/>
  <c r="AU177" i="11"/>
  <c r="AU178" i="11"/>
  <c r="AU179" i="11"/>
  <c r="AU180" i="11"/>
  <c r="AU181" i="11"/>
  <c r="AU182" i="11"/>
  <c r="AU183" i="11"/>
  <c r="AU184" i="11"/>
  <c r="AU185" i="11"/>
  <c r="AU186" i="11"/>
  <c r="AU187" i="11"/>
  <c r="AU188" i="11"/>
  <c r="AU189" i="11"/>
  <c r="AU190" i="11"/>
  <c r="AU191" i="11"/>
  <c r="AU192" i="11"/>
  <c r="AU193" i="11"/>
  <c r="AU194" i="11"/>
  <c r="AU195" i="11"/>
  <c r="AU196" i="11"/>
  <c r="AU197" i="11"/>
  <c r="AU198" i="11"/>
  <c r="AU199" i="11"/>
  <c r="AU200" i="11"/>
  <c r="AU201" i="11"/>
  <c r="AU202" i="11"/>
  <c r="AU203" i="11"/>
  <c r="AU204" i="11"/>
  <c r="AU205" i="11"/>
  <c r="AU206" i="11"/>
  <c r="AU207" i="11"/>
  <c r="AU208" i="11"/>
  <c r="AU209" i="11"/>
  <c r="AU210" i="11"/>
  <c r="AU211" i="11"/>
  <c r="AU212" i="11"/>
  <c r="AU213" i="11"/>
  <c r="AU214" i="11"/>
  <c r="AU215" i="11"/>
  <c r="AU216" i="11"/>
  <c r="AU217" i="11"/>
  <c r="AU218" i="11"/>
  <c r="AU219" i="11"/>
  <c r="AU220" i="11"/>
  <c r="AU221" i="11"/>
  <c r="AU222" i="11"/>
  <c r="AU223" i="11"/>
  <c r="AU224" i="11"/>
  <c r="AU225" i="11"/>
  <c r="AU226" i="11"/>
  <c r="AU227" i="11"/>
  <c r="AU228" i="11"/>
  <c r="AU229" i="11"/>
  <c r="AU230" i="11"/>
  <c r="AU231" i="11"/>
  <c r="AU232" i="11"/>
  <c r="AU233" i="11"/>
  <c r="AU234" i="11"/>
  <c r="AU235" i="11"/>
  <c r="AU236" i="11"/>
  <c r="AU237" i="11"/>
  <c r="AU238" i="11"/>
  <c r="AU239" i="11"/>
  <c r="AU240" i="11"/>
  <c r="AU241" i="11"/>
  <c r="AU242" i="11"/>
  <c r="AU243" i="11"/>
  <c r="AU244" i="11"/>
  <c r="AU245" i="11"/>
  <c r="AU246" i="11"/>
  <c r="AU247" i="11"/>
  <c r="AU248" i="11"/>
  <c r="AU249" i="11"/>
  <c r="AU250" i="11"/>
  <c r="AU251" i="11"/>
  <c r="AU252" i="11"/>
  <c r="AU253" i="11"/>
  <c r="AU254" i="11"/>
  <c r="AU255" i="11"/>
  <c r="AU256" i="11"/>
  <c r="AU257" i="11"/>
  <c r="AU258" i="11"/>
  <c r="AU259" i="11"/>
  <c r="AU260" i="11"/>
  <c r="AU261" i="11"/>
  <c r="AU262" i="11"/>
  <c r="AU263" i="11"/>
  <c r="AU264" i="11"/>
  <c r="AU265" i="11"/>
  <c r="AU266" i="11"/>
  <c r="AU267" i="11"/>
  <c r="AU268" i="11"/>
  <c r="AU269" i="11"/>
  <c r="AU270" i="11"/>
  <c r="AU271" i="11"/>
  <c r="AU272" i="11"/>
  <c r="AU273" i="11"/>
  <c r="AU274" i="11"/>
  <c r="AU275" i="11"/>
  <c r="AU276" i="11"/>
  <c r="AU277" i="11"/>
  <c r="AU278" i="11"/>
  <c r="AU279" i="11"/>
  <c r="AU280" i="11"/>
  <c r="AU281" i="11"/>
  <c r="AU282" i="11"/>
  <c r="AU283" i="11"/>
  <c r="AU284" i="11"/>
  <c r="AU285" i="11"/>
  <c r="AU286" i="11"/>
  <c r="AU287" i="11"/>
  <c r="AU288" i="11"/>
  <c r="AU289" i="11"/>
  <c r="AU290" i="11"/>
  <c r="AU291" i="11"/>
  <c r="AU292" i="11"/>
  <c r="AU293" i="11"/>
  <c r="AU294" i="11"/>
  <c r="AU295" i="11"/>
  <c r="AU296" i="11"/>
  <c r="AU297" i="11"/>
  <c r="AU298" i="11"/>
  <c r="AU299" i="11"/>
  <c r="AU300" i="11"/>
  <c r="AU301" i="11"/>
  <c r="AU302" i="11"/>
  <c r="AU303" i="11"/>
  <c r="AU304" i="11"/>
  <c r="AU305" i="11"/>
  <c r="AU306" i="11"/>
  <c r="AU307" i="11"/>
  <c r="AU308" i="11"/>
  <c r="AU309" i="11"/>
  <c r="AU310" i="11"/>
  <c r="AU311" i="11"/>
  <c r="AU312" i="11"/>
  <c r="AU313" i="11"/>
  <c r="AU314" i="11"/>
  <c r="AU315" i="11"/>
  <c r="AU316" i="11"/>
  <c r="AU317" i="11"/>
  <c r="AU318" i="11"/>
  <c r="AU319" i="11"/>
  <c r="AU320" i="11"/>
  <c r="AU321" i="11"/>
  <c r="AU322" i="11"/>
  <c r="AU323" i="11"/>
  <c r="AU324" i="11"/>
  <c r="AU325" i="11"/>
  <c r="AU326" i="11"/>
  <c r="AU327" i="11"/>
  <c r="AU328" i="11"/>
  <c r="AU329" i="11"/>
  <c r="AU330" i="11"/>
  <c r="AU331" i="11"/>
  <c r="AU332" i="11"/>
  <c r="AU333" i="11"/>
  <c r="AU334" i="11"/>
  <c r="AU335" i="11"/>
  <c r="AU336" i="11"/>
  <c r="AU337" i="11"/>
  <c r="AU338" i="11"/>
  <c r="AU339" i="11"/>
  <c r="AU340" i="11"/>
  <c r="AU341" i="11"/>
  <c r="AU342" i="11"/>
  <c r="AU343" i="11"/>
  <c r="AU344" i="11"/>
  <c r="AU345" i="11"/>
  <c r="AU346" i="11"/>
  <c r="AU347" i="11"/>
  <c r="AU348" i="11"/>
  <c r="AU349" i="11"/>
  <c r="AU350" i="11"/>
  <c r="AU351" i="11"/>
  <c r="AU352" i="11"/>
  <c r="AU353" i="11"/>
  <c r="AU354" i="11"/>
  <c r="AU355" i="11"/>
  <c r="AU356" i="11"/>
  <c r="AU357" i="11"/>
  <c r="AU358" i="11"/>
  <c r="AU359" i="11"/>
  <c r="AU360" i="11"/>
  <c r="AU361" i="11"/>
  <c r="AU362" i="11"/>
  <c r="AU363" i="11"/>
  <c r="AU364" i="11"/>
  <c r="AU365" i="11"/>
  <c r="AU366" i="11"/>
  <c r="AU367" i="11"/>
  <c r="AU368" i="11"/>
  <c r="AU369" i="11"/>
  <c r="AU370" i="11"/>
  <c r="AU371" i="11"/>
  <c r="AU372" i="11"/>
  <c r="AU373" i="11"/>
  <c r="AU374" i="11"/>
  <c r="AU375" i="11"/>
  <c r="AU376" i="11"/>
  <c r="AU377" i="11"/>
  <c r="AU378" i="11"/>
  <c r="AU379" i="11"/>
  <c r="AU380" i="11"/>
  <c r="AU381" i="11"/>
  <c r="AU382" i="11"/>
  <c r="AU383" i="11"/>
  <c r="AU384" i="11"/>
  <c r="AU385" i="11"/>
  <c r="AU386" i="11"/>
  <c r="AU387" i="11"/>
  <c r="AU388" i="11"/>
  <c r="AU389" i="11"/>
  <c r="AU390" i="11"/>
  <c r="AU391" i="11"/>
  <c r="AU392" i="11"/>
  <c r="AU393" i="11"/>
  <c r="AU394" i="11"/>
  <c r="AU395" i="11"/>
  <c r="AU396" i="11"/>
  <c r="AU397" i="11"/>
  <c r="AU398" i="11"/>
  <c r="AU399" i="11"/>
  <c r="AU400" i="11"/>
  <c r="AU401" i="11"/>
  <c r="AU402" i="11"/>
  <c r="AU403" i="11"/>
  <c r="AU404" i="11"/>
  <c r="AU405" i="11"/>
  <c r="AU406" i="11"/>
  <c r="AU407" i="11"/>
  <c r="AU408" i="11"/>
  <c r="AU409" i="11"/>
  <c r="AU410" i="11"/>
  <c r="AU411" i="11"/>
  <c r="AU412" i="11"/>
  <c r="AU413" i="11"/>
  <c r="AU414" i="11"/>
  <c r="AU415" i="11"/>
  <c r="AU416" i="11"/>
  <c r="AU417" i="11"/>
  <c r="AU418" i="11"/>
  <c r="AU419" i="11"/>
  <c r="AU420" i="11"/>
  <c r="AU421" i="11"/>
  <c r="AU422" i="11"/>
  <c r="AU423" i="11"/>
  <c r="AU424" i="11"/>
  <c r="AU425" i="11"/>
  <c r="AU426" i="11"/>
  <c r="AU427" i="11"/>
  <c r="AU428" i="11"/>
  <c r="AU429" i="11"/>
  <c r="AU430" i="11"/>
  <c r="AU431" i="11"/>
  <c r="AU432" i="11"/>
  <c r="AU433" i="11"/>
  <c r="AU434" i="11"/>
  <c r="AU435" i="11"/>
  <c r="AU436" i="11"/>
  <c r="AU437" i="11"/>
  <c r="AU438" i="11"/>
  <c r="AU439" i="11"/>
  <c r="AU440" i="11"/>
  <c r="AU441" i="11"/>
  <c r="AU442" i="11"/>
  <c r="AU443" i="11"/>
  <c r="AU444" i="11"/>
  <c r="AU445" i="11"/>
  <c r="AU446" i="11"/>
  <c r="AU447" i="11"/>
  <c r="AU448" i="11"/>
  <c r="AU449" i="11"/>
  <c r="AU450" i="11"/>
  <c r="AU451" i="11"/>
  <c r="AU452" i="11"/>
  <c r="AU453" i="11"/>
  <c r="AU454" i="11"/>
  <c r="AU455" i="11"/>
  <c r="AU456" i="11"/>
  <c r="AU457" i="11"/>
  <c r="AU458" i="11"/>
  <c r="AU459" i="11"/>
  <c r="AU460" i="11"/>
  <c r="AU461" i="11"/>
  <c r="AU462" i="11"/>
  <c r="AU463" i="11"/>
  <c r="AU464" i="11"/>
  <c r="AU465" i="11"/>
  <c r="AU466" i="11"/>
  <c r="AU467" i="11"/>
  <c r="AU468" i="11"/>
  <c r="AU469" i="11"/>
  <c r="AU470" i="11"/>
  <c r="AU471" i="11"/>
  <c r="AU472" i="11"/>
  <c r="AU473" i="11"/>
  <c r="AU474" i="11"/>
  <c r="AU475" i="11"/>
  <c r="AU476" i="11"/>
  <c r="AU477" i="11"/>
  <c r="AU478" i="11"/>
  <c r="AU479" i="11"/>
  <c r="AU480" i="11"/>
  <c r="AU481" i="11"/>
  <c r="AU482" i="11"/>
  <c r="AU483" i="11"/>
  <c r="AU484" i="11"/>
  <c r="AU4" i="11"/>
  <c r="AR4" i="11"/>
  <c r="AQ4" i="11"/>
  <c r="AP4" i="11"/>
  <c r="AN4" i="11"/>
  <c r="AM4" i="11"/>
  <c r="AL4" i="11"/>
  <c r="AJ4" i="11"/>
  <c r="AI4" i="11"/>
  <c r="AD4" i="11"/>
  <c r="AC4" i="11"/>
  <c r="AB4" i="11"/>
  <c r="AA4" i="11"/>
  <c r="Z4" i="11"/>
  <c r="Y4" i="11"/>
  <c r="AT5" i="11"/>
  <c r="AT6" i="11"/>
  <c r="AT7" i="11"/>
  <c r="AT8" i="11"/>
  <c r="AT9" i="11"/>
  <c r="AT10" i="11"/>
  <c r="AT11" i="11"/>
  <c r="AT12" i="11"/>
  <c r="AT13" i="11"/>
  <c r="AT14" i="11"/>
  <c r="AT15" i="11"/>
  <c r="AT17" i="11"/>
  <c r="AT18" i="11"/>
  <c r="AT19" i="11"/>
  <c r="AT20" i="11"/>
  <c r="AT21" i="11"/>
  <c r="AT22" i="11"/>
  <c r="AT23" i="11"/>
  <c r="AT24" i="11"/>
  <c r="AT25" i="11"/>
  <c r="AT26" i="11"/>
  <c r="AT27" i="11"/>
  <c r="AT29" i="11"/>
  <c r="AT30" i="11"/>
  <c r="AT31" i="11"/>
  <c r="AT32" i="11"/>
  <c r="AT33" i="11"/>
  <c r="AT34" i="11"/>
  <c r="AT35" i="11"/>
  <c r="AT36" i="11"/>
  <c r="AT37" i="11"/>
  <c r="AT38" i="11"/>
  <c r="AT39" i="11"/>
  <c r="AT41" i="11"/>
  <c r="AT42" i="11"/>
  <c r="AT43" i="11"/>
  <c r="AT44" i="11"/>
  <c r="AT45" i="11"/>
  <c r="AT46" i="11"/>
  <c r="AT47" i="11"/>
  <c r="AT48" i="11"/>
  <c r="AT49" i="11"/>
  <c r="AT50" i="11"/>
  <c r="AT51" i="11"/>
  <c r="AT53" i="11"/>
  <c r="AT54" i="11"/>
  <c r="AT55" i="11"/>
  <c r="AT56" i="11"/>
  <c r="AT57" i="11"/>
  <c r="AT58" i="11"/>
  <c r="AT59" i="11"/>
  <c r="AT60" i="11"/>
  <c r="AT61" i="11"/>
  <c r="AT62" i="11"/>
  <c r="AT63" i="11"/>
  <c r="AT65" i="11"/>
  <c r="AT66" i="11"/>
  <c r="AT67" i="11"/>
  <c r="AT68" i="11"/>
  <c r="AT69" i="11"/>
  <c r="AT70" i="11"/>
  <c r="AT71" i="11"/>
  <c r="AT72" i="11"/>
  <c r="AT73" i="11"/>
  <c r="AT74" i="11"/>
  <c r="AT75"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 i="11"/>
  <c r="AO4" i="11"/>
  <c r="AH4" i="11"/>
  <c r="AG4" i="11"/>
  <c r="X4" i="11"/>
  <c r="U4" i="11"/>
  <c r="T4" i="11"/>
  <c r="D81" i="20" l="1"/>
  <c r="D62" i="20"/>
  <c r="H71" i="20"/>
  <c r="H72" i="20" s="1"/>
  <c r="I71" i="20"/>
  <c r="I72" i="20" s="1"/>
  <c r="J71" i="20"/>
  <c r="J72" i="20" s="1"/>
  <c r="K71" i="20"/>
  <c r="K72" i="20" s="1"/>
  <c r="L71" i="20"/>
  <c r="L72" i="20" s="1"/>
  <c r="M71" i="20"/>
  <c r="M72" i="20" s="1"/>
  <c r="N71" i="20"/>
  <c r="N72" i="20" s="1"/>
  <c r="O71" i="20"/>
  <c r="O72" i="20" s="1"/>
  <c r="P71" i="20"/>
  <c r="P72" i="20" s="1"/>
  <c r="Q71" i="20"/>
  <c r="Q72" i="20" s="1"/>
  <c r="R71" i="20"/>
  <c r="R72" i="20" s="1"/>
  <c r="S71" i="20"/>
  <c r="S72" i="20" s="1"/>
  <c r="T71" i="20"/>
  <c r="T72" i="20" s="1"/>
  <c r="U71" i="20"/>
  <c r="U72" i="20" s="1"/>
  <c r="V71" i="20"/>
  <c r="V72" i="20" s="1"/>
  <c r="W71" i="20"/>
  <c r="W72" i="20" s="1"/>
  <c r="X71" i="20"/>
  <c r="X72" i="20" s="1"/>
  <c r="Y71" i="20"/>
  <c r="Y72" i="20" s="1"/>
  <c r="Z71" i="20"/>
  <c r="Z72" i="20" s="1"/>
  <c r="AA71" i="20"/>
  <c r="AA72" i="20" s="1"/>
  <c r="AB71" i="20"/>
  <c r="AB72" i="20" s="1"/>
  <c r="AC71" i="20"/>
  <c r="AC72" i="20" s="1"/>
  <c r="AD71" i="20"/>
  <c r="AD72" i="20" s="1"/>
  <c r="AE71" i="20"/>
  <c r="AE72" i="20" s="1"/>
  <c r="AF71" i="20"/>
  <c r="AF72" i="20" s="1"/>
  <c r="AG71" i="20"/>
  <c r="AG72" i="20" s="1"/>
  <c r="AH71" i="20"/>
  <c r="AH72" i="20" s="1"/>
  <c r="AI71" i="20"/>
  <c r="AI72" i="20" s="1"/>
  <c r="AJ71" i="20"/>
  <c r="AJ72" i="20" s="1"/>
  <c r="AK71" i="20"/>
  <c r="AK72" i="20" s="1"/>
  <c r="AL71" i="20"/>
  <c r="AL72" i="20" s="1"/>
  <c r="AM71" i="20"/>
  <c r="AM72" i="20" s="1"/>
  <c r="AN71" i="20"/>
  <c r="AN72" i="20" s="1"/>
  <c r="AO71" i="20"/>
  <c r="AO72" i="20" s="1"/>
  <c r="AP71" i="20"/>
  <c r="AP72" i="20" s="1"/>
  <c r="AQ71" i="20"/>
  <c r="AQ72" i="20" s="1"/>
  <c r="AR71" i="20"/>
  <c r="AR72" i="20" s="1"/>
  <c r="AS71" i="20"/>
  <c r="AS72" i="20" s="1"/>
  <c r="AT71" i="20"/>
  <c r="AT72" i="20" s="1"/>
  <c r="AU71" i="20"/>
  <c r="AU72" i="20" s="1"/>
  <c r="D52" i="20"/>
  <c r="CG4" i="11"/>
  <c r="CH4" i="11"/>
  <c r="E11" i="20"/>
  <c r="E10" i="20"/>
  <c r="E9" i="20"/>
  <c r="E8" i="20"/>
  <c r="E7" i="20"/>
  <c r="BM3" i="11"/>
  <c r="AD3" i="11"/>
  <c r="CA3" i="11"/>
  <c r="BZ3" i="11"/>
  <c r="BY3" i="11"/>
  <c r="CJ4" i="11"/>
  <c r="CI4" i="11"/>
  <c r="CF4" i="11"/>
  <c r="CE4" i="11"/>
  <c r="CD124" i="11"/>
  <c r="Q47" i="20" s="1"/>
  <c r="CD148" i="11"/>
  <c r="S47" i="20" s="1"/>
  <c r="CD268" i="11"/>
  <c r="AC47" i="20" s="1"/>
  <c r="CD292" i="11"/>
  <c r="AE47" i="20" s="1"/>
  <c r="CD388" i="11"/>
  <c r="AM47" i="20" s="1"/>
  <c r="CD412" i="11"/>
  <c r="AO47" i="20" s="1"/>
  <c r="CD436" i="11"/>
  <c r="AQ47" i="20" s="1"/>
  <c r="CD460" i="11"/>
  <c r="AS47" i="20" s="1"/>
  <c r="CD484" i="11"/>
  <c r="AU47" i="20" s="1"/>
  <c r="CD4" i="11"/>
  <c r="CC4" i="11"/>
  <c r="CB4" i="11"/>
  <c r="CD316" i="11" l="1"/>
  <c r="AG47" i="20" s="1"/>
  <c r="CC484" i="11"/>
  <c r="AU46" i="20" s="1"/>
  <c r="CC88" i="11"/>
  <c r="N46" i="20" s="1"/>
  <c r="CC112" i="11"/>
  <c r="P46" i="20" s="1"/>
  <c r="CC136" i="11"/>
  <c r="R46" i="20" s="1"/>
  <c r="CC160" i="11"/>
  <c r="T46" i="20" s="1"/>
  <c r="CC184" i="11"/>
  <c r="V46" i="20" s="1"/>
  <c r="CC208" i="11"/>
  <c r="X46" i="20" s="1"/>
  <c r="CC232" i="11"/>
  <c r="Z46" i="20" s="1"/>
  <c r="CC256" i="11"/>
  <c r="AB46" i="20" s="1"/>
  <c r="CC280" i="11"/>
  <c r="AD46" i="20" s="1"/>
  <c r="CC304" i="11"/>
  <c r="AF46" i="20" s="1"/>
  <c r="CC328" i="11"/>
  <c r="AH46" i="20" s="1"/>
  <c r="CC352" i="11"/>
  <c r="AJ46" i="20" s="1"/>
  <c r="CC376" i="11"/>
  <c r="AL46" i="20" s="1"/>
  <c r="CC400" i="11"/>
  <c r="AN46" i="20" s="1"/>
  <c r="CC424" i="11"/>
  <c r="AP46" i="20" s="1"/>
  <c r="CC448" i="11"/>
  <c r="AR46" i="20" s="1"/>
  <c r="CC472" i="11"/>
  <c r="AT46" i="20" s="1"/>
  <c r="CD472" i="11"/>
  <c r="AT47" i="20" s="1"/>
  <c r="CD448" i="11"/>
  <c r="AR47" i="20" s="1"/>
  <c r="CD424" i="11"/>
  <c r="AP47" i="20" s="1"/>
  <c r="CD400" i="11"/>
  <c r="AN47" i="20" s="1"/>
  <c r="CD376" i="11"/>
  <c r="AL47" i="20" s="1"/>
  <c r="CD364" i="11"/>
  <c r="AK47" i="20" s="1"/>
  <c r="CD352" i="11"/>
  <c r="AJ47" i="20" s="1"/>
  <c r="CD340" i="11"/>
  <c r="AI47" i="20" s="1"/>
  <c r="CD328" i="11"/>
  <c r="AH47" i="20" s="1"/>
  <c r="CD304" i="11"/>
  <c r="AF47" i="20" s="1"/>
  <c r="CD280" i="11"/>
  <c r="AD47" i="20" s="1"/>
  <c r="CD256" i="11"/>
  <c r="AB47" i="20" s="1"/>
  <c r="CD232" i="11"/>
  <c r="Z47" i="20" s="1"/>
  <c r="CD208" i="11"/>
  <c r="X47" i="20" s="1"/>
  <c r="CD184" i="11"/>
  <c r="V47" i="20" s="1"/>
  <c r="CD160" i="11"/>
  <c r="T47" i="20" s="1"/>
  <c r="CD136" i="11"/>
  <c r="R47" i="20" s="1"/>
  <c r="CD112" i="11"/>
  <c r="P47" i="20" s="1"/>
  <c r="CD88" i="11"/>
  <c r="N47" i="20" s="1"/>
  <c r="CB460" i="11"/>
  <c r="AS45" i="20" s="1"/>
  <c r="CB412" i="11"/>
  <c r="AO45" i="20" s="1"/>
  <c r="CB340" i="11"/>
  <c r="AI45" i="20" s="1"/>
  <c r="CB292" i="11"/>
  <c r="AE45" i="20" s="1"/>
  <c r="CB244" i="11"/>
  <c r="AA45" i="20" s="1"/>
  <c r="CB124" i="11"/>
  <c r="Q45" i="20" s="1"/>
  <c r="CB76" i="11"/>
  <c r="M45" i="20" s="1"/>
  <c r="CB28" i="11"/>
  <c r="I45" i="20" s="1"/>
  <c r="CB484" i="11"/>
  <c r="AU45" i="20" s="1"/>
  <c r="CB436" i="11"/>
  <c r="AQ45" i="20" s="1"/>
  <c r="CB388" i="11"/>
  <c r="AM45" i="20" s="1"/>
  <c r="CB196" i="11"/>
  <c r="W45" i="20" s="1"/>
  <c r="CB148" i="11"/>
  <c r="S45" i="20" s="1"/>
  <c r="CD220" i="11"/>
  <c r="Y47" i="20" s="1"/>
  <c r="CD196" i="11"/>
  <c r="W47" i="20" s="1"/>
  <c r="CD172" i="11"/>
  <c r="U47" i="20" s="1"/>
  <c r="CD100" i="11"/>
  <c r="O47" i="20" s="1"/>
  <c r="CB268" i="11"/>
  <c r="AC45" i="20" s="1"/>
  <c r="CB100" i="11"/>
  <c r="O45" i="20" s="1"/>
  <c r="CD244" i="11"/>
  <c r="AA47" i="20" s="1"/>
  <c r="CB364" i="11"/>
  <c r="AK45" i="20" s="1"/>
  <c r="CB316" i="11"/>
  <c r="AG45" i="20" s="1"/>
  <c r="CB220" i="11"/>
  <c r="Y45" i="20" s="1"/>
  <c r="CB172" i="11"/>
  <c r="U45" i="20" s="1"/>
  <c r="CB52" i="11"/>
  <c r="K45" i="20" s="1"/>
  <c r="CB472" i="11"/>
  <c r="AT45" i="20" s="1"/>
  <c r="CB448" i="11"/>
  <c r="AR45" i="20" s="1"/>
  <c r="CB424" i="11"/>
  <c r="AP45" i="20" s="1"/>
  <c r="CB400" i="11"/>
  <c r="AN45" i="20" s="1"/>
  <c r="CB376" i="11"/>
  <c r="AL45" i="20" s="1"/>
  <c r="CB352" i="11"/>
  <c r="AJ45" i="20" s="1"/>
  <c r="CB328" i="11"/>
  <c r="AH45" i="20" s="1"/>
  <c r="CB304" i="11"/>
  <c r="AF45" i="20" s="1"/>
  <c r="CB280" i="11"/>
  <c r="AD45" i="20" s="1"/>
  <c r="CB256" i="11"/>
  <c r="AB45" i="20" s="1"/>
  <c r="CB232" i="11"/>
  <c r="Z45" i="20" s="1"/>
  <c r="CB208" i="11"/>
  <c r="X45" i="20" s="1"/>
  <c r="CB184" i="11"/>
  <c r="V45" i="20" s="1"/>
  <c r="CB160" i="11"/>
  <c r="T45" i="20" s="1"/>
  <c r="CB136" i="11"/>
  <c r="R45" i="20" s="1"/>
  <c r="CB112" i="11"/>
  <c r="P45" i="20" s="1"/>
  <c r="CB88" i="11"/>
  <c r="N45" i="20" s="1"/>
  <c r="CB64" i="11"/>
  <c r="L45" i="20" s="1"/>
  <c r="CB40" i="11"/>
  <c r="J45" i="20" s="1"/>
  <c r="CC268" i="11"/>
  <c r="AC46" i="20" s="1"/>
  <c r="CC292" i="11"/>
  <c r="AE46" i="20" s="1"/>
  <c r="CC316" i="11"/>
  <c r="AG46" i="20" s="1"/>
  <c r="CC340" i="11"/>
  <c r="AI46" i="20" s="1"/>
  <c r="CC364" i="11"/>
  <c r="AK46" i="20" s="1"/>
  <c r="CC388" i="11"/>
  <c r="AM46" i="20" s="1"/>
  <c r="CC412" i="11"/>
  <c r="AO46" i="20" s="1"/>
  <c r="CC436" i="11"/>
  <c r="AQ46" i="20" s="1"/>
  <c r="CC460" i="11"/>
  <c r="AS46" i="20" s="1"/>
  <c r="CC100" i="11"/>
  <c r="O46" i="20" s="1"/>
  <c r="CC124" i="11"/>
  <c r="Q46" i="20" s="1"/>
  <c r="Q48" i="20" s="1"/>
  <c r="CC148" i="11"/>
  <c r="S46" i="20" s="1"/>
  <c r="CC172" i="11"/>
  <c r="U46" i="20" s="1"/>
  <c r="CC196" i="11"/>
  <c r="W46" i="20" s="1"/>
  <c r="CC220" i="11"/>
  <c r="Y46" i="20" s="1"/>
  <c r="CC244" i="11"/>
  <c r="AA46" i="20" s="1"/>
  <c r="S48" i="20" l="1"/>
  <c r="AA48" i="20"/>
  <c r="U48" i="20"/>
  <c r="AE48" i="20"/>
  <c r="AC48" i="20"/>
  <c r="AQ48" i="20"/>
  <c r="AO48" i="20"/>
  <c r="AI48" i="20"/>
  <c r="AM48" i="20"/>
  <c r="AS48" i="20"/>
  <c r="AU48" i="20"/>
  <c r="AK48" i="20"/>
  <c r="AG48" i="20"/>
  <c r="AJ48" i="20"/>
  <c r="V48" i="20"/>
  <c r="AL48" i="20"/>
  <c r="W48" i="20"/>
  <c r="AN48" i="20"/>
  <c r="X48" i="20"/>
  <c r="T48" i="20"/>
  <c r="AH48" i="20"/>
  <c r="R48" i="20"/>
  <c r="AF48" i="20"/>
  <c r="P48" i="20"/>
  <c r="O48" i="20"/>
  <c r="AT48" i="20"/>
  <c r="AD48" i="20"/>
  <c r="N48" i="20"/>
  <c r="AR48" i="20"/>
  <c r="AB48" i="20"/>
  <c r="Y48" i="20"/>
  <c r="AP48" i="20"/>
  <c r="Z48" i="20"/>
  <c r="CA4" i="11"/>
  <c r="BZ4" i="11"/>
  <c r="BY4" i="11"/>
  <c r="AP3" i="11"/>
  <c r="AQ3" i="11"/>
  <c r="AR3" i="11"/>
  <c r="E39" i="20"/>
  <c r="E38" i="20"/>
  <c r="E37" i="20"/>
  <c r="BX4" i="11"/>
  <c r="BI4" i="11"/>
  <c r="BJ4" i="11"/>
  <c r="BK4" i="11"/>
  <c r="BL4" i="11"/>
  <c r="CT5" i="7"/>
  <c r="BD6" i="7"/>
  <c r="BF6" i="7"/>
  <c r="BG6" i="7"/>
  <c r="BD7" i="7"/>
  <c r="BF7" i="7"/>
  <c r="BG7" i="7"/>
  <c r="BD8" i="7"/>
  <c r="BF8" i="7"/>
  <c r="BG8" i="7"/>
  <c r="BD9" i="7"/>
  <c r="BF9" i="7"/>
  <c r="BG9" i="7"/>
  <c r="BD10" i="7"/>
  <c r="BF10" i="7"/>
  <c r="BG10" i="7"/>
  <c r="BD11" i="7"/>
  <c r="BF11" i="7"/>
  <c r="BG11" i="7"/>
  <c r="BD12" i="7"/>
  <c r="BF12" i="7"/>
  <c r="BG12" i="7"/>
  <c r="BD13" i="7"/>
  <c r="BF13" i="7"/>
  <c r="BG13" i="7"/>
  <c r="BD14" i="7"/>
  <c r="BF14" i="7"/>
  <c r="BG14" i="7"/>
  <c r="BD15" i="7"/>
  <c r="BF15" i="7"/>
  <c r="BG15" i="7"/>
  <c r="BD16" i="7"/>
  <c r="BF16" i="7"/>
  <c r="BG16" i="7"/>
  <c r="BD17" i="7"/>
  <c r="BF17" i="7"/>
  <c r="BG17" i="7"/>
  <c r="BD18" i="7"/>
  <c r="BF18" i="7"/>
  <c r="BG18" i="7"/>
  <c r="BD19" i="7"/>
  <c r="BF19" i="7"/>
  <c r="BG19" i="7"/>
  <c r="BD20" i="7"/>
  <c r="BF20" i="7"/>
  <c r="BG20" i="7"/>
  <c r="BD21" i="7"/>
  <c r="BF21" i="7"/>
  <c r="BG21" i="7"/>
  <c r="BD22" i="7"/>
  <c r="BF22" i="7"/>
  <c r="BG22" i="7"/>
  <c r="BD23" i="7"/>
  <c r="BF23" i="7"/>
  <c r="BG23" i="7"/>
  <c r="BD24" i="7"/>
  <c r="BF24" i="7"/>
  <c r="BG24" i="7"/>
  <c r="BD25" i="7"/>
  <c r="BF25" i="7"/>
  <c r="BG25" i="7"/>
  <c r="BD26" i="7"/>
  <c r="BF26" i="7"/>
  <c r="BG26" i="7"/>
  <c r="BD27" i="7"/>
  <c r="BF27" i="7"/>
  <c r="BG27" i="7"/>
  <c r="BD28" i="7"/>
  <c r="BF28" i="7"/>
  <c r="BG28" i="7"/>
  <c r="BD29" i="7"/>
  <c r="BF29" i="7"/>
  <c r="BG29" i="7"/>
  <c r="BD30" i="7"/>
  <c r="BF30" i="7"/>
  <c r="BG30" i="7"/>
  <c r="BD31" i="7"/>
  <c r="BF31" i="7"/>
  <c r="BG31" i="7"/>
  <c r="BD32" i="7"/>
  <c r="BF32" i="7"/>
  <c r="BG32" i="7"/>
  <c r="BD33" i="7"/>
  <c r="BF33" i="7"/>
  <c r="BG33" i="7"/>
  <c r="BD34" i="7"/>
  <c r="BF34" i="7"/>
  <c r="BG34" i="7"/>
  <c r="BD35" i="7"/>
  <c r="BF35" i="7"/>
  <c r="BG35" i="7"/>
  <c r="BD36" i="7"/>
  <c r="BF36" i="7"/>
  <c r="BG36" i="7"/>
  <c r="BD37" i="7"/>
  <c r="BF37" i="7"/>
  <c r="BG37" i="7"/>
  <c r="BD38" i="7"/>
  <c r="BF38" i="7"/>
  <c r="BG38" i="7"/>
  <c r="BD39" i="7"/>
  <c r="BF39" i="7"/>
  <c r="BG39" i="7"/>
  <c r="BD40" i="7"/>
  <c r="BF40" i="7"/>
  <c r="BG40" i="7"/>
  <c r="BD41" i="7"/>
  <c r="BF41" i="7"/>
  <c r="BG41" i="7"/>
  <c r="BD42" i="7"/>
  <c r="BF42" i="7"/>
  <c r="BG42" i="7"/>
  <c r="BD43" i="7"/>
  <c r="BF43" i="7"/>
  <c r="BG43" i="7"/>
  <c r="BD44" i="7"/>
  <c r="BF44" i="7"/>
  <c r="BG44" i="7"/>
  <c r="BD45" i="7"/>
  <c r="BF45" i="7"/>
  <c r="BG45" i="7"/>
  <c r="BD46" i="7"/>
  <c r="BF46" i="7"/>
  <c r="BG46" i="7"/>
  <c r="BD47" i="7"/>
  <c r="BF47" i="7"/>
  <c r="BG47" i="7"/>
  <c r="BD48" i="7"/>
  <c r="BF48" i="7"/>
  <c r="BG48" i="7"/>
  <c r="BD49" i="7"/>
  <c r="BF49" i="7"/>
  <c r="BG49" i="7"/>
  <c r="BD50" i="7"/>
  <c r="BF50" i="7"/>
  <c r="BG50" i="7"/>
  <c r="BD51" i="7"/>
  <c r="BF51" i="7"/>
  <c r="BG51" i="7"/>
  <c r="BD52" i="7"/>
  <c r="BF52" i="7"/>
  <c r="BG52" i="7"/>
  <c r="BD53" i="7"/>
  <c r="BF53" i="7"/>
  <c r="BG53" i="7"/>
  <c r="BD54" i="7"/>
  <c r="BF54" i="7"/>
  <c r="BG54" i="7"/>
  <c r="BD55" i="7"/>
  <c r="BF55" i="7"/>
  <c r="BG55" i="7"/>
  <c r="BD56" i="7"/>
  <c r="BF56" i="7"/>
  <c r="BG56" i="7"/>
  <c r="BD57" i="7"/>
  <c r="BF57" i="7"/>
  <c r="BG57" i="7"/>
  <c r="BD58" i="7"/>
  <c r="BF58" i="7"/>
  <c r="BG58" i="7"/>
  <c r="BD59" i="7"/>
  <c r="BF59" i="7"/>
  <c r="BG59" i="7"/>
  <c r="BD60" i="7"/>
  <c r="BF60" i="7"/>
  <c r="BG60" i="7"/>
  <c r="BD61" i="7"/>
  <c r="BF61" i="7"/>
  <c r="BG61" i="7"/>
  <c r="BD62" i="7"/>
  <c r="BF62" i="7"/>
  <c r="BG62" i="7"/>
  <c r="BD63" i="7"/>
  <c r="BF63" i="7"/>
  <c r="BG63" i="7"/>
  <c r="BD64" i="7"/>
  <c r="BF64" i="7"/>
  <c r="BG64" i="7"/>
  <c r="BD65" i="7"/>
  <c r="BF65" i="7"/>
  <c r="BG65" i="7"/>
  <c r="BD66" i="7"/>
  <c r="BF66" i="7"/>
  <c r="BG66" i="7"/>
  <c r="BD67" i="7"/>
  <c r="BF67" i="7"/>
  <c r="BG67" i="7"/>
  <c r="BD68" i="7"/>
  <c r="BF68" i="7"/>
  <c r="BG68" i="7"/>
  <c r="BD69" i="7"/>
  <c r="BF69" i="7"/>
  <c r="BG69" i="7"/>
  <c r="BD70" i="7"/>
  <c r="BF70" i="7"/>
  <c r="BG70" i="7"/>
  <c r="BD71" i="7"/>
  <c r="BF71" i="7"/>
  <c r="BG71" i="7"/>
  <c r="BD72" i="7"/>
  <c r="BF72" i="7"/>
  <c r="BG72" i="7"/>
  <c r="BD73" i="7"/>
  <c r="BF73" i="7"/>
  <c r="BG73" i="7"/>
  <c r="BD74" i="7"/>
  <c r="BF74" i="7"/>
  <c r="BG74" i="7"/>
  <c r="BD75" i="7"/>
  <c r="BF75" i="7"/>
  <c r="BG75" i="7"/>
  <c r="BD76" i="7"/>
  <c r="BF76" i="7"/>
  <c r="BG76" i="7"/>
  <c r="BD77" i="7"/>
  <c r="BF77" i="7"/>
  <c r="BG77" i="7"/>
  <c r="BD78" i="7"/>
  <c r="BF78" i="7"/>
  <c r="BG78" i="7"/>
  <c r="BD79" i="7"/>
  <c r="BF79" i="7"/>
  <c r="BG79" i="7"/>
  <c r="BD80" i="7"/>
  <c r="BF80" i="7"/>
  <c r="BG80" i="7"/>
  <c r="BD81" i="7"/>
  <c r="BF81" i="7"/>
  <c r="BG81" i="7"/>
  <c r="BD82" i="7"/>
  <c r="BF82" i="7"/>
  <c r="BG82" i="7"/>
  <c r="BD83" i="7"/>
  <c r="BF83" i="7"/>
  <c r="BG83" i="7"/>
  <c r="BD84" i="7"/>
  <c r="BF84" i="7"/>
  <c r="BG84" i="7"/>
  <c r="BD85" i="7"/>
  <c r="BF85" i="7"/>
  <c r="BG85" i="7"/>
  <c r="BD86" i="7"/>
  <c r="BF86" i="7"/>
  <c r="BG86" i="7"/>
  <c r="BD87" i="7"/>
  <c r="BF87" i="7"/>
  <c r="BG87" i="7"/>
  <c r="BD88" i="7"/>
  <c r="BF88" i="7"/>
  <c r="BG88" i="7"/>
  <c r="BD89" i="7"/>
  <c r="BF89" i="7"/>
  <c r="BG89" i="7"/>
  <c r="BD90" i="7"/>
  <c r="BF90" i="7"/>
  <c r="BG90" i="7"/>
  <c r="BD91" i="7"/>
  <c r="BF91" i="7"/>
  <c r="BG91" i="7"/>
  <c r="BD92" i="7"/>
  <c r="BF92" i="7"/>
  <c r="BG92" i="7"/>
  <c r="BD93" i="7"/>
  <c r="BF93" i="7"/>
  <c r="BG93" i="7"/>
  <c r="BD94" i="7"/>
  <c r="BF94" i="7"/>
  <c r="BG94" i="7"/>
  <c r="BD95" i="7"/>
  <c r="BF95" i="7"/>
  <c r="BG95" i="7"/>
  <c r="BD96" i="7"/>
  <c r="BF96" i="7"/>
  <c r="BG96" i="7"/>
  <c r="BD97" i="7"/>
  <c r="BF97" i="7"/>
  <c r="BG97" i="7"/>
  <c r="BD98" i="7"/>
  <c r="BF98" i="7"/>
  <c r="BG98" i="7"/>
  <c r="BD99" i="7"/>
  <c r="BF99" i="7"/>
  <c r="BG99" i="7"/>
  <c r="BD100" i="7"/>
  <c r="BF100" i="7"/>
  <c r="BG100" i="7"/>
  <c r="BD101" i="7"/>
  <c r="BF101" i="7"/>
  <c r="BG101" i="7"/>
  <c r="BD102" i="7"/>
  <c r="BF102" i="7"/>
  <c r="BG102" i="7"/>
  <c r="BD103" i="7"/>
  <c r="BF103" i="7"/>
  <c r="BG103" i="7"/>
  <c r="BD104" i="7"/>
  <c r="BF104" i="7"/>
  <c r="BG104" i="7"/>
  <c r="BD105" i="7"/>
  <c r="BF105" i="7"/>
  <c r="BG105" i="7"/>
  <c r="BD106" i="7"/>
  <c r="BF106" i="7"/>
  <c r="BG106" i="7"/>
  <c r="BD107" i="7"/>
  <c r="BF107" i="7"/>
  <c r="BG107" i="7"/>
  <c r="BD108" i="7"/>
  <c r="BF108" i="7"/>
  <c r="BG108" i="7"/>
  <c r="BD109" i="7"/>
  <c r="BF109" i="7"/>
  <c r="BG109" i="7"/>
  <c r="BD110" i="7"/>
  <c r="BF110" i="7"/>
  <c r="BG110" i="7"/>
  <c r="BD111" i="7"/>
  <c r="BF111" i="7"/>
  <c r="BG111" i="7"/>
  <c r="BD112" i="7"/>
  <c r="BF112" i="7"/>
  <c r="BG112" i="7"/>
  <c r="BD113" i="7"/>
  <c r="BF113" i="7"/>
  <c r="BG113" i="7"/>
  <c r="BD114" i="7"/>
  <c r="BF114" i="7"/>
  <c r="BG114" i="7"/>
  <c r="BD115" i="7"/>
  <c r="BF115" i="7"/>
  <c r="BG115" i="7"/>
  <c r="BD116" i="7"/>
  <c r="BF116" i="7"/>
  <c r="BG116" i="7"/>
  <c r="BD117" i="7"/>
  <c r="BF117" i="7"/>
  <c r="BG117" i="7"/>
  <c r="BD118" i="7"/>
  <c r="BF118" i="7"/>
  <c r="BG118" i="7"/>
  <c r="BD119" i="7"/>
  <c r="BF119" i="7"/>
  <c r="BG119" i="7"/>
  <c r="BD120" i="7"/>
  <c r="BF120" i="7"/>
  <c r="BG120" i="7"/>
  <c r="BD121" i="7"/>
  <c r="BF121" i="7"/>
  <c r="BG121" i="7"/>
  <c r="BD122" i="7"/>
  <c r="BF122" i="7"/>
  <c r="BG122" i="7"/>
  <c r="BD123" i="7"/>
  <c r="BF123" i="7"/>
  <c r="BG123" i="7"/>
  <c r="BD124" i="7"/>
  <c r="BF124" i="7"/>
  <c r="BG124" i="7"/>
  <c r="BD125" i="7"/>
  <c r="BF125" i="7"/>
  <c r="BG125" i="7"/>
  <c r="BD126" i="7"/>
  <c r="BF126" i="7"/>
  <c r="BG126" i="7"/>
  <c r="BD127" i="7"/>
  <c r="BF127" i="7"/>
  <c r="BG127" i="7"/>
  <c r="BD128" i="7"/>
  <c r="BF128" i="7"/>
  <c r="BG128" i="7"/>
  <c r="BD129" i="7"/>
  <c r="BF129" i="7"/>
  <c r="BG129" i="7"/>
  <c r="BD130" i="7"/>
  <c r="BF130" i="7"/>
  <c r="BG130" i="7"/>
  <c r="BD131" i="7"/>
  <c r="BF131" i="7"/>
  <c r="BG131" i="7"/>
  <c r="BD132" i="7"/>
  <c r="BF132" i="7"/>
  <c r="BG132" i="7"/>
  <c r="BD133" i="7"/>
  <c r="BF133" i="7"/>
  <c r="BG133" i="7"/>
  <c r="BD134" i="7"/>
  <c r="BF134" i="7"/>
  <c r="BG134" i="7"/>
  <c r="BD135" i="7"/>
  <c r="BF135" i="7"/>
  <c r="BG135" i="7"/>
  <c r="BD136" i="7"/>
  <c r="BF136" i="7"/>
  <c r="BG136" i="7"/>
  <c r="BD137" i="7"/>
  <c r="BF137" i="7"/>
  <c r="BG137" i="7"/>
  <c r="BD138" i="7"/>
  <c r="BF138" i="7"/>
  <c r="BG138" i="7"/>
  <c r="BD139" i="7"/>
  <c r="BF139" i="7"/>
  <c r="BG139" i="7"/>
  <c r="BD140" i="7"/>
  <c r="BF140" i="7"/>
  <c r="BG140" i="7"/>
  <c r="BD141" i="7"/>
  <c r="BF141" i="7"/>
  <c r="BG141" i="7"/>
  <c r="BD142" i="7"/>
  <c r="BF142" i="7"/>
  <c r="BG142" i="7"/>
  <c r="BD143" i="7"/>
  <c r="BF143" i="7"/>
  <c r="BG143" i="7"/>
  <c r="BD144" i="7"/>
  <c r="BF144" i="7"/>
  <c r="BG144" i="7"/>
  <c r="BD145" i="7"/>
  <c r="BF145" i="7"/>
  <c r="BG145" i="7"/>
  <c r="BD146" i="7"/>
  <c r="BF146" i="7"/>
  <c r="BG146" i="7"/>
  <c r="BD147" i="7"/>
  <c r="BF147" i="7"/>
  <c r="BG147" i="7"/>
  <c r="BD148" i="7"/>
  <c r="BF148" i="7"/>
  <c r="BG148" i="7"/>
  <c r="BD149" i="7"/>
  <c r="BF149" i="7"/>
  <c r="BG149" i="7"/>
  <c r="BD150" i="7"/>
  <c r="BF150" i="7"/>
  <c r="BG150" i="7"/>
  <c r="BD151" i="7"/>
  <c r="BF151" i="7"/>
  <c r="BG151" i="7"/>
  <c r="BD152" i="7"/>
  <c r="BF152" i="7"/>
  <c r="BG152" i="7"/>
  <c r="BD153" i="7"/>
  <c r="BF153" i="7"/>
  <c r="BG153" i="7"/>
  <c r="BD154" i="7"/>
  <c r="BF154" i="7"/>
  <c r="BG154" i="7"/>
  <c r="BD155" i="7"/>
  <c r="BF155" i="7"/>
  <c r="BG155" i="7"/>
  <c r="BD156" i="7"/>
  <c r="BF156" i="7"/>
  <c r="BG156" i="7"/>
  <c r="BD157" i="7"/>
  <c r="BF157" i="7"/>
  <c r="BG157" i="7"/>
  <c r="BD158" i="7"/>
  <c r="BF158" i="7"/>
  <c r="BG158" i="7"/>
  <c r="BD159" i="7"/>
  <c r="BF159" i="7"/>
  <c r="BG159" i="7"/>
  <c r="BD160" i="7"/>
  <c r="BF160" i="7"/>
  <c r="BG160" i="7"/>
  <c r="BD161" i="7"/>
  <c r="BF161" i="7"/>
  <c r="BG161" i="7"/>
  <c r="BD162" i="7"/>
  <c r="BF162" i="7"/>
  <c r="BG162" i="7"/>
  <c r="BD163" i="7"/>
  <c r="BF163" i="7"/>
  <c r="BG163" i="7"/>
  <c r="BD164" i="7"/>
  <c r="BF164" i="7"/>
  <c r="BG164" i="7"/>
  <c r="BD165" i="7"/>
  <c r="BF165" i="7"/>
  <c r="BG165" i="7"/>
  <c r="BD166" i="7"/>
  <c r="BF166" i="7"/>
  <c r="BG166" i="7"/>
  <c r="BD167" i="7"/>
  <c r="BF167" i="7"/>
  <c r="BG167" i="7"/>
  <c r="BD168" i="7"/>
  <c r="BF168" i="7"/>
  <c r="BG168" i="7"/>
  <c r="BD169" i="7"/>
  <c r="BF169" i="7"/>
  <c r="BG169" i="7"/>
  <c r="BD170" i="7"/>
  <c r="BF170" i="7"/>
  <c r="BG170" i="7"/>
  <c r="BD171" i="7"/>
  <c r="BF171" i="7"/>
  <c r="BG171" i="7"/>
  <c r="BD172" i="7"/>
  <c r="BF172" i="7"/>
  <c r="BG172" i="7"/>
  <c r="BD173" i="7"/>
  <c r="BF173" i="7"/>
  <c r="BG173" i="7"/>
  <c r="BD174" i="7"/>
  <c r="BF174" i="7"/>
  <c r="BG174" i="7"/>
  <c r="BD175" i="7"/>
  <c r="BF175" i="7"/>
  <c r="BG175" i="7"/>
  <c r="BD176" i="7"/>
  <c r="BF176" i="7"/>
  <c r="BG176" i="7"/>
  <c r="BD177" i="7"/>
  <c r="BF177" i="7"/>
  <c r="BG177" i="7"/>
  <c r="BD178" i="7"/>
  <c r="BF178" i="7"/>
  <c r="BG178" i="7"/>
  <c r="BD179" i="7"/>
  <c r="BF179" i="7"/>
  <c r="BG179" i="7"/>
  <c r="BD180" i="7"/>
  <c r="BF180" i="7"/>
  <c r="BG180" i="7"/>
  <c r="BD181" i="7"/>
  <c r="BF181" i="7"/>
  <c r="BG181" i="7"/>
  <c r="BD182" i="7"/>
  <c r="BF182" i="7"/>
  <c r="BG182" i="7"/>
  <c r="BD183" i="7"/>
  <c r="BF183" i="7"/>
  <c r="BG183" i="7"/>
  <c r="BD184" i="7"/>
  <c r="BF184" i="7"/>
  <c r="BG184" i="7"/>
  <c r="BD185" i="7"/>
  <c r="BF185" i="7"/>
  <c r="BG185" i="7"/>
  <c r="BD186" i="7"/>
  <c r="BF186" i="7"/>
  <c r="BG186" i="7"/>
  <c r="BD187" i="7"/>
  <c r="BF187" i="7"/>
  <c r="BG187" i="7"/>
  <c r="BD188" i="7"/>
  <c r="BF188" i="7"/>
  <c r="BG188" i="7"/>
  <c r="BD189" i="7"/>
  <c r="BF189" i="7"/>
  <c r="BG189" i="7"/>
  <c r="BD190" i="7"/>
  <c r="BF190" i="7"/>
  <c r="BG190" i="7"/>
  <c r="BD191" i="7"/>
  <c r="BF191" i="7"/>
  <c r="BG191" i="7"/>
  <c r="BD192" i="7"/>
  <c r="BF192" i="7"/>
  <c r="BG192" i="7"/>
  <c r="BD193" i="7"/>
  <c r="BF193" i="7"/>
  <c r="BG193" i="7"/>
  <c r="BD194" i="7"/>
  <c r="BF194" i="7"/>
  <c r="BG194" i="7"/>
  <c r="BD195" i="7"/>
  <c r="BF195" i="7"/>
  <c r="BG195" i="7"/>
  <c r="BD196" i="7"/>
  <c r="BF196" i="7"/>
  <c r="BG196" i="7"/>
  <c r="BD197" i="7"/>
  <c r="BF197" i="7"/>
  <c r="BG197" i="7"/>
  <c r="BD198" i="7"/>
  <c r="BF198" i="7"/>
  <c r="BG198" i="7"/>
  <c r="BD199" i="7"/>
  <c r="BF199" i="7"/>
  <c r="BG199" i="7"/>
  <c r="BD200" i="7"/>
  <c r="BF200" i="7"/>
  <c r="BG200" i="7"/>
  <c r="BD201" i="7"/>
  <c r="BF201" i="7"/>
  <c r="BG201" i="7"/>
  <c r="BD202" i="7"/>
  <c r="BF202" i="7"/>
  <c r="BG202" i="7"/>
  <c r="BD203" i="7"/>
  <c r="BF203" i="7"/>
  <c r="BG203" i="7"/>
  <c r="BD204" i="7"/>
  <c r="BF204" i="7"/>
  <c r="BG204" i="7"/>
  <c r="BD205" i="7"/>
  <c r="BF205" i="7"/>
  <c r="BG205" i="7"/>
  <c r="BD206" i="7"/>
  <c r="BF206" i="7"/>
  <c r="BG206" i="7"/>
  <c r="BD207" i="7"/>
  <c r="BF207" i="7"/>
  <c r="BG207" i="7"/>
  <c r="BD208" i="7"/>
  <c r="BF208" i="7"/>
  <c r="BG208" i="7"/>
  <c r="BD209" i="7"/>
  <c r="BF209" i="7"/>
  <c r="BG209" i="7"/>
  <c r="BD210" i="7"/>
  <c r="BF210" i="7"/>
  <c r="BG210" i="7"/>
  <c r="BD211" i="7"/>
  <c r="BF211" i="7"/>
  <c r="BG211" i="7"/>
  <c r="BD212" i="7"/>
  <c r="BF212" i="7"/>
  <c r="BG212" i="7"/>
  <c r="BD213" i="7"/>
  <c r="BF213" i="7"/>
  <c r="BG213" i="7"/>
  <c r="BD214" i="7"/>
  <c r="BF214" i="7"/>
  <c r="BG214" i="7"/>
  <c r="BD215" i="7"/>
  <c r="BF215" i="7"/>
  <c r="BG215" i="7"/>
  <c r="BD216" i="7"/>
  <c r="BF216" i="7"/>
  <c r="BG216" i="7"/>
  <c r="BD217" i="7"/>
  <c r="BF217" i="7"/>
  <c r="BG217" i="7"/>
  <c r="BD218" i="7"/>
  <c r="BF218" i="7"/>
  <c r="BG218" i="7"/>
  <c r="BD219" i="7"/>
  <c r="BF219" i="7"/>
  <c r="BG219" i="7"/>
  <c r="BD220" i="7"/>
  <c r="BF220" i="7"/>
  <c r="BG220" i="7"/>
  <c r="BD221" i="7"/>
  <c r="BF221" i="7"/>
  <c r="BG221" i="7"/>
  <c r="BD222" i="7"/>
  <c r="BF222" i="7"/>
  <c r="BG222" i="7"/>
  <c r="BD223" i="7"/>
  <c r="BF223" i="7"/>
  <c r="BG223" i="7"/>
  <c r="BD224" i="7"/>
  <c r="BF224" i="7"/>
  <c r="BG224" i="7"/>
  <c r="BD225" i="7"/>
  <c r="BF225" i="7"/>
  <c r="BG225" i="7"/>
  <c r="BD226" i="7"/>
  <c r="BF226" i="7"/>
  <c r="BG226" i="7"/>
  <c r="BD227" i="7"/>
  <c r="BF227" i="7"/>
  <c r="BG227" i="7"/>
  <c r="BD228" i="7"/>
  <c r="BF228" i="7"/>
  <c r="BG228" i="7"/>
  <c r="BD229" i="7"/>
  <c r="BF229" i="7"/>
  <c r="BG229" i="7"/>
  <c r="BD230" i="7"/>
  <c r="BF230" i="7"/>
  <c r="BG230" i="7"/>
  <c r="BD231" i="7"/>
  <c r="BF231" i="7"/>
  <c r="BG231" i="7"/>
  <c r="BD232" i="7"/>
  <c r="BF232" i="7"/>
  <c r="BG232" i="7"/>
  <c r="BD233" i="7"/>
  <c r="BF233" i="7"/>
  <c r="BG233" i="7"/>
  <c r="BD234" i="7"/>
  <c r="BF234" i="7"/>
  <c r="BG234" i="7"/>
  <c r="BD235" i="7"/>
  <c r="BF235" i="7"/>
  <c r="BG235" i="7"/>
  <c r="BD236" i="7"/>
  <c r="BF236" i="7"/>
  <c r="BG236" i="7"/>
  <c r="BD237" i="7"/>
  <c r="BF237" i="7"/>
  <c r="BG237" i="7"/>
  <c r="BD238" i="7"/>
  <c r="BF238" i="7"/>
  <c r="BG238" i="7"/>
  <c r="BD239" i="7"/>
  <c r="BF239" i="7"/>
  <c r="BG239" i="7"/>
  <c r="BD240" i="7"/>
  <c r="BF240" i="7"/>
  <c r="BG240" i="7"/>
  <c r="BD241" i="7"/>
  <c r="BF241" i="7"/>
  <c r="BG241" i="7"/>
  <c r="BD242" i="7"/>
  <c r="BF242" i="7"/>
  <c r="BG242" i="7"/>
  <c r="BD243" i="7"/>
  <c r="BF243" i="7"/>
  <c r="BG243" i="7"/>
  <c r="BD244" i="7"/>
  <c r="BF244" i="7"/>
  <c r="BG244" i="7"/>
  <c r="BD245" i="7"/>
  <c r="BF245" i="7"/>
  <c r="BG245" i="7"/>
  <c r="BD246" i="7"/>
  <c r="BF246" i="7"/>
  <c r="BG246" i="7"/>
  <c r="BD247" i="7"/>
  <c r="BF247" i="7"/>
  <c r="BG247" i="7"/>
  <c r="BD248" i="7"/>
  <c r="BF248" i="7"/>
  <c r="BG248" i="7"/>
  <c r="BD249" i="7"/>
  <c r="BF249" i="7"/>
  <c r="BG249" i="7"/>
  <c r="BD250" i="7"/>
  <c r="BF250" i="7"/>
  <c r="BG250" i="7"/>
  <c r="BD251" i="7"/>
  <c r="BF251" i="7"/>
  <c r="BG251" i="7"/>
  <c r="BD252" i="7"/>
  <c r="BF252" i="7"/>
  <c r="BG252" i="7"/>
  <c r="BD253" i="7"/>
  <c r="BF253" i="7"/>
  <c r="BG253" i="7"/>
  <c r="BD254" i="7"/>
  <c r="BF254" i="7"/>
  <c r="BG254" i="7"/>
  <c r="BD255" i="7"/>
  <c r="BF255" i="7"/>
  <c r="BG255" i="7"/>
  <c r="BD256" i="7"/>
  <c r="BF256" i="7"/>
  <c r="BG256" i="7"/>
  <c r="BD257" i="7"/>
  <c r="BF257" i="7"/>
  <c r="BG257" i="7"/>
  <c r="BD258" i="7"/>
  <c r="BF258" i="7"/>
  <c r="BG258" i="7"/>
  <c r="BD259" i="7"/>
  <c r="BF259" i="7"/>
  <c r="BG259" i="7"/>
  <c r="BD260" i="7"/>
  <c r="BF260" i="7"/>
  <c r="BG260" i="7"/>
  <c r="BD261" i="7"/>
  <c r="BF261" i="7"/>
  <c r="BG261" i="7"/>
  <c r="BD262" i="7"/>
  <c r="BF262" i="7"/>
  <c r="BG262" i="7"/>
  <c r="BD263" i="7"/>
  <c r="BF263" i="7"/>
  <c r="BG263" i="7"/>
  <c r="BD264" i="7"/>
  <c r="BF264" i="7"/>
  <c r="BG264" i="7"/>
  <c r="BD265" i="7"/>
  <c r="BF265" i="7"/>
  <c r="BG265" i="7"/>
  <c r="BD266" i="7"/>
  <c r="BF266" i="7"/>
  <c r="BG266" i="7"/>
  <c r="BD267" i="7"/>
  <c r="BF267" i="7"/>
  <c r="BG267" i="7"/>
  <c r="BD268" i="7"/>
  <c r="BF268" i="7"/>
  <c r="BG268" i="7"/>
  <c r="BD269" i="7"/>
  <c r="BF269" i="7"/>
  <c r="BG269" i="7"/>
  <c r="BD270" i="7"/>
  <c r="BF270" i="7"/>
  <c r="BG270" i="7"/>
  <c r="BD271" i="7"/>
  <c r="BF271" i="7"/>
  <c r="BG271" i="7"/>
  <c r="BD272" i="7"/>
  <c r="BF272" i="7"/>
  <c r="BG272" i="7"/>
  <c r="BD273" i="7"/>
  <c r="BF273" i="7"/>
  <c r="BG273" i="7"/>
  <c r="BD274" i="7"/>
  <c r="BF274" i="7"/>
  <c r="BG274" i="7"/>
  <c r="BD275" i="7"/>
  <c r="BF275" i="7"/>
  <c r="BG275" i="7"/>
  <c r="BD276" i="7"/>
  <c r="BF276" i="7"/>
  <c r="BG276" i="7"/>
  <c r="BD277" i="7"/>
  <c r="BF277" i="7"/>
  <c r="BG277" i="7"/>
  <c r="BD278" i="7"/>
  <c r="BF278" i="7"/>
  <c r="BG278" i="7"/>
  <c r="BD279" i="7"/>
  <c r="BF279" i="7"/>
  <c r="BG279" i="7"/>
  <c r="BD280" i="7"/>
  <c r="BF280" i="7"/>
  <c r="BG280" i="7"/>
  <c r="BD281" i="7"/>
  <c r="BF281" i="7"/>
  <c r="BG281" i="7"/>
  <c r="BD282" i="7"/>
  <c r="BF282" i="7"/>
  <c r="BG282" i="7"/>
  <c r="BD283" i="7"/>
  <c r="BF283" i="7"/>
  <c r="BG283" i="7"/>
  <c r="BD284" i="7"/>
  <c r="BF284" i="7"/>
  <c r="BG284" i="7"/>
  <c r="BD285" i="7"/>
  <c r="BF285" i="7"/>
  <c r="BG285" i="7"/>
  <c r="BD286" i="7"/>
  <c r="BF286" i="7"/>
  <c r="BG286" i="7"/>
  <c r="BD287" i="7"/>
  <c r="BF287" i="7"/>
  <c r="BG287" i="7"/>
  <c r="BD288" i="7"/>
  <c r="BF288" i="7"/>
  <c r="BG288" i="7"/>
  <c r="BD289" i="7"/>
  <c r="BF289" i="7"/>
  <c r="BG289" i="7"/>
  <c r="BD290" i="7"/>
  <c r="BF290" i="7"/>
  <c r="BG290" i="7"/>
  <c r="BD291" i="7"/>
  <c r="BF291" i="7"/>
  <c r="BG291" i="7"/>
  <c r="BD292" i="7"/>
  <c r="BF292" i="7"/>
  <c r="BG292" i="7"/>
  <c r="BD293" i="7"/>
  <c r="BF293" i="7"/>
  <c r="BG293" i="7"/>
  <c r="BD294" i="7"/>
  <c r="BF294" i="7"/>
  <c r="BG294" i="7"/>
  <c r="BD295" i="7"/>
  <c r="BF295" i="7"/>
  <c r="BG295" i="7"/>
  <c r="BD296" i="7"/>
  <c r="BF296" i="7"/>
  <c r="BG296" i="7"/>
  <c r="BD297" i="7"/>
  <c r="BF297" i="7"/>
  <c r="BG297" i="7"/>
  <c r="BD298" i="7"/>
  <c r="BF298" i="7"/>
  <c r="BG298" i="7"/>
  <c r="BD299" i="7"/>
  <c r="BF299" i="7"/>
  <c r="BG299" i="7"/>
  <c r="BD300" i="7"/>
  <c r="BF300" i="7"/>
  <c r="BG300" i="7"/>
  <c r="BD301" i="7"/>
  <c r="BF301" i="7"/>
  <c r="BG301" i="7"/>
  <c r="BD302" i="7"/>
  <c r="BF302" i="7"/>
  <c r="BG302" i="7"/>
  <c r="BD303" i="7"/>
  <c r="BF303" i="7"/>
  <c r="BG303" i="7"/>
  <c r="BD304" i="7"/>
  <c r="BF304" i="7"/>
  <c r="BG304" i="7"/>
  <c r="BD305" i="7"/>
  <c r="BF305" i="7"/>
  <c r="BG305" i="7"/>
  <c r="BD306" i="7"/>
  <c r="BF306" i="7"/>
  <c r="BG306" i="7"/>
  <c r="BD307" i="7"/>
  <c r="BF307" i="7"/>
  <c r="BG307" i="7"/>
  <c r="BD308" i="7"/>
  <c r="BF308" i="7"/>
  <c r="BG308" i="7"/>
  <c r="BD309" i="7"/>
  <c r="BF309" i="7"/>
  <c r="BG309" i="7"/>
  <c r="BD310" i="7"/>
  <c r="BF310" i="7"/>
  <c r="BG310" i="7"/>
  <c r="BD311" i="7"/>
  <c r="BF311" i="7"/>
  <c r="BG311" i="7"/>
  <c r="BD312" i="7"/>
  <c r="BF312" i="7"/>
  <c r="BG312" i="7"/>
  <c r="BD313" i="7"/>
  <c r="BF313" i="7"/>
  <c r="BG313" i="7"/>
  <c r="BD314" i="7"/>
  <c r="BF314" i="7"/>
  <c r="BG314" i="7"/>
  <c r="BD315" i="7"/>
  <c r="BF315" i="7"/>
  <c r="BG315" i="7"/>
  <c r="BD316" i="7"/>
  <c r="BF316" i="7"/>
  <c r="BG316" i="7"/>
  <c r="BD317" i="7"/>
  <c r="BF317" i="7"/>
  <c r="BG317" i="7"/>
  <c r="BD318" i="7"/>
  <c r="BF318" i="7"/>
  <c r="BG318" i="7"/>
  <c r="BD319" i="7"/>
  <c r="BF319" i="7"/>
  <c r="BG319" i="7"/>
  <c r="BD320" i="7"/>
  <c r="BF320" i="7"/>
  <c r="BG320" i="7"/>
  <c r="BD321" i="7"/>
  <c r="BF321" i="7"/>
  <c r="BG321" i="7"/>
  <c r="BD322" i="7"/>
  <c r="BF322" i="7"/>
  <c r="BG322" i="7"/>
  <c r="BD323" i="7"/>
  <c r="BF323" i="7"/>
  <c r="BG323" i="7"/>
  <c r="BD324" i="7"/>
  <c r="BF324" i="7"/>
  <c r="BG324" i="7"/>
  <c r="BD325" i="7"/>
  <c r="BF325" i="7"/>
  <c r="BG325" i="7"/>
  <c r="BD326" i="7"/>
  <c r="BF326" i="7"/>
  <c r="BG326" i="7"/>
  <c r="BD327" i="7"/>
  <c r="BF327" i="7"/>
  <c r="BG327" i="7"/>
  <c r="BD328" i="7"/>
  <c r="BF328" i="7"/>
  <c r="BG328" i="7"/>
  <c r="BD329" i="7"/>
  <c r="BF329" i="7"/>
  <c r="BG329" i="7"/>
  <c r="BD330" i="7"/>
  <c r="BF330" i="7"/>
  <c r="BG330" i="7"/>
  <c r="BD331" i="7"/>
  <c r="BF331" i="7"/>
  <c r="BG331" i="7"/>
  <c r="BD332" i="7"/>
  <c r="BF332" i="7"/>
  <c r="BG332" i="7"/>
  <c r="BD333" i="7"/>
  <c r="BF333" i="7"/>
  <c r="BG333" i="7"/>
  <c r="BD334" i="7"/>
  <c r="BF334" i="7"/>
  <c r="BG334" i="7"/>
  <c r="BD335" i="7"/>
  <c r="BF335" i="7"/>
  <c r="BG335" i="7"/>
  <c r="BD336" i="7"/>
  <c r="BF336" i="7"/>
  <c r="BG336" i="7"/>
  <c r="BD337" i="7"/>
  <c r="BF337" i="7"/>
  <c r="BG337" i="7"/>
  <c r="BD338" i="7"/>
  <c r="BF338" i="7"/>
  <c r="BG338" i="7"/>
  <c r="BD339" i="7"/>
  <c r="BF339" i="7"/>
  <c r="BG339" i="7"/>
  <c r="BD340" i="7"/>
  <c r="BF340" i="7"/>
  <c r="BG340" i="7"/>
  <c r="BD341" i="7"/>
  <c r="BF341" i="7"/>
  <c r="BG341" i="7"/>
  <c r="BD342" i="7"/>
  <c r="BF342" i="7"/>
  <c r="BG342" i="7"/>
  <c r="BD343" i="7"/>
  <c r="BF343" i="7"/>
  <c r="BG343" i="7"/>
  <c r="BD344" i="7"/>
  <c r="BF344" i="7"/>
  <c r="BG344" i="7"/>
  <c r="BD345" i="7"/>
  <c r="BF345" i="7"/>
  <c r="BG345" i="7"/>
  <c r="BD346" i="7"/>
  <c r="BF346" i="7"/>
  <c r="BG346" i="7"/>
  <c r="BD347" i="7"/>
  <c r="BF347" i="7"/>
  <c r="BG347" i="7"/>
  <c r="BD348" i="7"/>
  <c r="BF348" i="7"/>
  <c r="BG348" i="7"/>
  <c r="BD349" i="7"/>
  <c r="BF349" i="7"/>
  <c r="BG349" i="7"/>
  <c r="BD350" i="7"/>
  <c r="BF350" i="7"/>
  <c r="BG350" i="7"/>
  <c r="BD351" i="7"/>
  <c r="BF351" i="7"/>
  <c r="BG351" i="7"/>
  <c r="BD352" i="7"/>
  <c r="BF352" i="7"/>
  <c r="BG352" i="7"/>
  <c r="BD353" i="7"/>
  <c r="BF353" i="7"/>
  <c r="BG353" i="7"/>
  <c r="BD354" i="7"/>
  <c r="BF354" i="7"/>
  <c r="BG354" i="7"/>
  <c r="BD355" i="7"/>
  <c r="BF355" i="7"/>
  <c r="BG355" i="7"/>
  <c r="BD356" i="7"/>
  <c r="BF356" i="7"/>
  <c r="BG356" i="7"/>
  <c r="BD357" i="7"/>
  <c r="BF357" i="7"/>
  <c r="BG357" i="7"/>
  <c r="BD358" i="7"/>
  <c r="BF358" i="7"/>
  <c r="BG358" i="7"/>
  <c r="BD359" i="7"/>
  <c r="BF359" i="7"/>
  <c r="BG359" i="7"/>
  <c r="BD360" i="7"/>
  <c r="BF360" i="7"/>
  <c r="BG360" i="7"/>
  <c r="BD361" i="7"/>
  <c r="BF361" i="7"/>
  <c r="BG361" i="7"/>
  <c r="BD362" i="7"/>
  <c r="BF362" i="7"/>
  <c r="BG362" i="7"/>
  <c r="BD363" i="7"/>
  <c r="BF363" i="7"/>
  <c r="BG363" i="7"/>
  <c r="BD364" i="7"/>
  <c r="BF364" i="7"/>
  <c r="BG364" i="7"/>
  <c r="BD365" i="7"/>
  <c r="BF365" i="7"/>
  <c r="BG365" i="7"/>
  <c r="BD366" i="7"/>
  <c r="BF366" i="7"/>
  <c r="BG366" i="7"/>
  <c r="BD367" i="7"/>
  <c r="BF367" i="7"/>
  <c r="BG367" i="7"/>
  <c r="BD368" i="7"/>
  <c r="BF368" i="7"/>
  <c r="BG368" i="7"/>
  <c r="BD369" i="7"/>
  <c r="BF369" i="7"/>
  <c r="BG369" i="7"/>
  <c r="BD370" i="7"/>
  <c r="BF370" i="7"/>
  <c r="BG370" i="7"/>
  <c r="BD371" i="7"/>
  <c r="BF371" i="7"/>
  <c r="BG371" i="7"/>
  <c r="BD372" i="7"/>
  <c r="BF372" i="7"/>
  <c r="BG372" i="7"/>
  <c r="BD373" i="7"/>
  <c r="BF373" i="7"/>
  <c r="BG373" i="7"/>
  <c r="BD374" i="7"/>
  <c r="BF374" i="7"/>
  <c r="BG374" i="7"/>
  <c r="BD375" i="7"/>
  <c r="BF375" i="7"/>
  <c r="BG375" i="7"/>
  <c r="BD376" i="7"/>
  <c r="BF376" i="7"/>
  <c r="BG376" i="7"/>
  <c r="BD377" i="7"/>
  <c r="BF377" i="7"/>
  <c r="BG377" i="7"/>
  <c r="BD378" i="7"/>
  <c r="BF378" i="7"/>
  <c r="BG378" i="7"/>
  <c r="BD379" i="7"/>
  <c r="BF379" i="7"/>
  <c r="BG379" i="7"/>
  <c r="BD380" i="7"/>
  <c r="BF380" i="7"/>
  <c r="BG380" i="7"/>
  <c r="BD381" i="7"/>
  <c r="BF381" i="7"/>
  <c r="BG381" i="7"/>
  <c r="BD382" i="7"/>
  <c r="BF382" i="7"/>
  <c r="BG382" i="7"/>
  <c r="BD383" i="7"/>
  <c r="BF383" i="7"/>
  <c r="BG383" i="7"/>
  <c r="BD384" i="7"/>
  <c r="BF384" i="7"/>
  <c r="BG384" i="7"/>
  <c r="BD385" i="7"/>
  <c r="BF385" i="7"/>
  <c r="BG385" i="7"/>
  <c r="BD386" i="7"/>
  <c r="BF386" i="7"/>
  <c r="BG386" i="7"/>
  <c r="BD387" i="7"/>
  <c r="BF387" i="7"/>
  <c r="BG387" i="7"/>
  <c r="BD388" i="7"/>
  <c r="BF388" i="7"/>
  <c r="BG388" i="7"/>
  <c r="BD389" i="7"/>
  <c r="BF389" i="7"/>
  <c r="BG389" i="7"/>
  <c r="BD390" i="7"/>
  <c r="BF390" i="7"/>
  <c r="BG390" i="7"/>
  <c r="BD391" i="7"/>
  <c r="BF391" i="7"/>
  <c r="BG391" i="7"/>
  <c r="BD392" i="7"/>
  <c r="BF392" i="7"/>
  <c r="BG392" i="7"/>
  <c r="BD393" i="7"/>
  <c r="BF393" i="7"/>
  <c r="BG393" i="7"/>
  <c r="BD394" i="7"/>
  <c r="BF394" i="7"/>
  <c r="BG394" i="7"/>
  <c r="BD395" i="7"/>
  <c r="BF395" i="7"/>
  <c r="BG395" i="7"/>
  <c r="BD396" i="7"/>
  <c r="BF396" i="7"/>
  <c r="BG396" i="7"/>
  <c r="BD397" i="7"/>
  <c r="BF397" i="7"/>
  <c r="BG397" i="7"/>
  <c r="BD398" i="7"/>
  <c r="BF398" i="7"/>
  <c r="BG398" i="7"/>
  <c r="BD399" i="7"/>
  <c r="BF399" i="7"/>
  <c r="BG399" i="7"/>
  <c r="BD400" i="7"/>
  <c r="BF400" i="7"/>
  <c r="BG400" i="7"/>
  <c r="BD401" i="7"/>
  <c r="BF401" i="7"/>
  <c r="BG401" i="7"/>
  <c r="BD402" i="7"/>
  <c r="BF402" i="7"/>
  <c r="BG402" i="7"/>
  <c r="BD403" i="7"/>
  <c r="BF403" i="7"/>
  <c r="BG403" i="7"/>
  <c r="BD404" i="7"/>
  <c r="BF404" i="7"/>
  <c r="BG404" i="7"/>
  <c r="BD405" i="7"/>
  <c r="BF405" i="7"/>
  <c r="BG405" i="7"/>
  <c r="BD406" i="7"/>
  <c r="BF406" i="7"/>
  <c r="BG406" i="7"/>
  <c r="BD407" i="7"/>
  <c r="BF407" i="7"/>
  <c r="BG407" i="7"/>
  <c r="BD408" i="7"/>
  <c r="BF408" i="7"/>
  <c r="BG408" i="7"/>
  <c r="BD409" i="7"/>
  <c r="BF409" i="7"/>
  <c r="BG409" i="7"/>
  <c r="BD410" i="7"/>
  <c r="BF410" i="7"/>
  <c r="BG410" i="7"/>
  <c r="BD411" i="7"/>
  <c r="BF411" i="7"/>
  <c r="BG411" i="7"/>
  <c r="BD412" i="7"/>
  <c r="BF412" i="7"/>
  <c r="BG412" i="7"/>
  <c r="BD413" i="7"/>
  <c r="BF413" i="7"/>
  <c r="BG413" i="7"/>
  <c r="BD414" i="7"/>
  <c r="BF414" i="7"/>
  <c r="BG414" i="7"/>
  <c r="BD415" i="7"/>
  <c r="BF415" i="7"/>
  <c r="BG415" i="7"/>
  <c r="BD416" i="7"/>
  <c r="BF416" i="7"/>
  <c r="BG416" i="7"/>
  <c r="BD417" i="7"/>
  <c r="BF417" i="7"/>
  <c r="BG417" i="7"/>
  <c r="BD418" i="7"/>
  <c r="BF418" i="7"/>
  <c r="BG418" i="7"/>
  <c r="BD419" i="7"/>
  <c r="BF419" i="7"/>
  <c r="BG419" i="7"/>
  <c r="BD420" i="7"/>
  <c r="BF420" i="7"/>
  <c r="BG420" i="7"/>
  <c r="BD421" i="7"/>
  <c r="BF421" i="7"/>
  <c r="BG421" i="7"/>
  <c r="BD422" i="7"/>
  <c r="BF422" i="7"/>
  <c r="BG422" i="7"/>
  <c r="BD423" i="7"/>
  <c r="BF423" i="7"/>
  <c r="BG423" i="7"/>
  <c r="BD424" i="7"/>
  <c r="BF424" i="7"/>
  <c r="BG424" i="7"/>
  <c r="BD425" i="7"/>
  <c r="BF425" i="7"/>
  <c r="BG425" i="7"/>
  <c r="BD426" i="7"/>
  <c r="BF426" i="7"/>
  <c r="BG426" i="7"/>
  <c r="BD427" i="7"/>
  <c r="BF427" i="7"/>
  <c r="BG427" i="7"/>
  <c r="BD428" i="7"/>
  <c r="BF428" i="7"/>
  <c r="BG428" i="7"/>
  <c r="BD429" i="7"/>
  <c r="BF429" i="7"/>
  <c r="BG429" i="7"/>
  <c r="BD430" i="7"/>
  <c r="BF430" i="7"/>
  <c r="BG430" i="7"/>
  <c r="BD431" i="7"/>
  <c r="BF431" i="7"/>
  <c r="BG431" i="7"/>
  <c r="BD432" i="7"/>
  <c r="BF432" i="7"/>
  <c r="BG432" i="7"/>
  <c r="BD433" i="7"/>
  <c r="BF433" i="7"/>
  <c r="BG433" i="7"/>
  <c r="BD434" i="7"/>
  <c r="BF434" i="7"/>
  <c r="BG434" i="7"/>
  <c r="BD435" i="7"/>
  <c r="BF435" i="7"/>
  <c r="BG435" i="7"/>
  <c r="BD436" i="7"/>
  <c r="BF436" i="7"/>
  <c r="BG436" i="7"/>
  <c r="BD437" i="7"/>
  <c r="BF437" i="7"/>
  <c r="BG437" i="7"/>
  <c r="BD438" i="7"/>
  <c r="BF438" i="7"/>
  <c r="BG438" i="7"/>
  <c r="BD439" i="7"/>
  <c r="BF439" i="7"/>
  <c r="BG439" i="7"/>
  <c r="BD440" i="7"/>
  <c r="BF440" i="7"/>
  <c r="BG440" i="7"/>
  <c r="BD441" i="7"/>
  <c r="BF441" i="7"/>
  <c r="BG441" i="7"/>
  <c r="BD442" i="7"/>
  <c r="BF442" i="7"/>
  <c r="BG442" i="7"/>
  <c r="BD443" i="7"/>
  <c r="BF443" i="7"/>
  <c r="BG443" i="7"/>
  <c r="BD444" i="7"/>
  <c r="BF444" i="7"/>
  <c r="BG444" i="7"/>
  <c r="BD445" i="7"/>
  <c r="BF445" i="7"/>
  <c r="BG445" i="7"/>
  <c r="BD446" i="7"/>
  <c r="BF446" i="7"/>
  <c r="BG446" i="7"/>
  <c r="BD447" i="7"/>
  <c r="BF447" i="7"/>
  <c r="BG447" i="7"/>
  <c r="BD448" i="7"/>
  <c r="BF448" i="7"/>
  <c r="BG448" i="7"/>
  <c r="BD449" i="7"/>
  <c r="BF449" i="7"/>
  <c r="BG449" i="7"/>
  <c r="BD450" i="7"/>
  <c r="BF450" i="7"/>
  <c r="BG450" i="7"/>
  <c r="BD451" i="7"/>
  <c r="BF451" i="7"/>
  <c r="BG451" i="7"/>
  <c r="BD452" i="7"/>
  <c r="BF452" i="7"/>
  <c r="BG452" i="7"/>
  <c r="BD453" i="7"/>
  <c r="BF453" i="7"/>
  <c r="BG453" i="7"/>
  <c r="BD454" i="7"/>
  <c r="BF454" i="7"/>
  <c r="BG454" i="7"/>
  <c r="BD455" i="7"/>
  <c r="BF455" i="7"/>
  <c r="BG455" i="7"/>
  <c r="BD456" i="7"/>
  <c r="BF456" i="7"/>
  <c r="BG456" i="7"/>
  <c r="BD457" i="7"/>
  <c r="BF457" i="7"/>
  <c r="BG457" i="7"/>
  <c r="BD458" i="7"/>
  <c r="BF458" i="7"/>
  <c r="BG458" i="7"/>
  <c r="BD459" i="7"/>
  <c r="BF459" i="7"/>
  <c r="BG459" i="7"/>
  <c r="BD460" i="7"/>
  <c r="BF460" i="7"/>
  <c r="BG460" i="7"/>
  <c r="BD461" i="7"/>
  <c r="BF461" i="7"/>
  <c r="BG461" i="7"/>
  <c r="BD462" i="7"/>
  <c r="BF462" i="7"/>
  <c r="BG462" i="7"/>
  <c r="BD463" i="7"/>
  <c r="BF463" i="7"/>
  <c r="BG463" i="7"/>
  <c r="BD464" i="7"/>
  <c r="BF464" i="7"/>
  <c r="BG464" i="7"/>
  <c r="BD465" i="7"/>
  <c r="BF465" i="7"/>
  <c r="BG465" i="7"/>
  <c r="BD466" i="7"/>
  <c r="BF466" i="7"/>
  <c r="BG466" i="7"/>
  <c r="BD467" i="7"/>
  <c r="BF467" i="7"/>
  <c r="BG467" i="7"/>
  <c r="BD468" i="7"/>
  <c r="BF468" i="7"/>
  <c r="BG468" i="7"/>
  <c r="BD469" i="7"/>
  <c r="BF469" i="7"/>
  <c r="BG469" i="7"/>
  <c r="BD470" i="7"/>
  <c r="BF470" i="7"/>
  <c r="BG470" i="7"/>
  <c r="BD471" i="7"/>
  <c r="BF471" i="7"/>
  <c r="BG471" i="7"/>
  <c r="BD472" i="7"/>
  <c r="BF472" i="7"/>
  <c r="BG472" i="7"/>
  <c r="BD473" i="7"/>
  <c r="BF473" i="7"/>
  <c r="BG473" i="7"/>
  <c r="BD474" i="7"/>
  <c r="BF474" i="7"/>
  <c r="BG474" i="7"/>
  <c r="BD475" i="7"/>
  <c r="BF475" i="7"/>
  <c r="BG475" i="7"/>
  <c r="BD476" i="7"/>
  <c r="BF476" i="7"/>
  <c r="BG476" i="7"/>
  <c r="BD477" i="7"/>
  <c r="BF477" i="7"/>
  <c r="BG477" i="7"/>
  <c r="BD478" i="7"/>
  <c r="BF478" i="7"/>
  <c r="BG478" i="7"/>
  <c r="BD479" i="7"/>
  <c r="BF479" i="7"/>
  <c r="BG479" i="7"/>
  <c r="BD480" i="7"/>
  <c r="BF480" i="7"/>
  <c r="BG480" i="7"/>
  <c r="BD481" i="7"/>
  <c r="BF481" i="7"/>
  <c r="BG481" i="7"/>
  <c r="BD482" i="7"/>
  <c r="BF482" i="7"/>
  <c r="BG482" i="7"/>
  <c r="BD483" i="7"/>
  <c r="BF483" i="7"/>
  <c r="BG483" i="7"/>
  <c r="BD484" i="7"/>
  <c r="BF484" i="7"/>
  <c r="BG484" i="7"/>
  <c r="BG5" i="7"/>
  <c r="BF5" i="7"/>
  <c r="BD5" i="7"/>
  <c r="AY6" i="7"/>
  <c r="Z6" i="11" s="1"/>
  <c r="BA6" i="7"/>
  <c r="BB6" i="7"/>
  <c r="AY7" i="7"/>
  <c r="BA7" i="7"/>
  <c r="AB7" i="11" s="1"/>
  <c r="BB7" i="7"/>
  <c r="AC7" i="11" s="1"/>
  <c r="AY8" i="7"/>
  <c r="BA8" i="7"/>
  <c r="BB8" i="7"/>
  <c r="AC8" i="11" s="1"/>
  <c r="AY9" i="7"/>
  <c r="BA9" i="7"/>
  <c r="BB9" i="7"/>
  <c r="AY10" i="7"/>
  <c r="BA10" i="7"/>
  <c r="AB10" i="11" s="1"/>
  <c r="BB10" i="7"/>
  <c r="AY11" i="7"/>
  <c r="BA11" i="7"/>
  <c r="BB11" i="7"/>
  <c r="AY12" i="7"/>
  <c r="BA12" i="7"/>
  <c r="BB12" i="7"/>
  <c r="AY13" i="7"/>
  <c r="Z13" i="11" s="1"/>
  <c r="BA13" i="7"/>
  <c r="BB13" i="7"/>
  <c r="AC13" i="11" s="1"/>
  <c r="AY14" i="7"/>
  <c r="Z14" i="11" s="1"/>
  <c r="BA14" i="7"/>
  <c r="BB14" i="7"/>
  <c r="AY15" i="7"/>
  <c r="BA15" i="7"/>
  <c r="AB15" i="11" s="1"/>
  <c r="BB15" i="7"/>
  <c r="AC15" i="11" s="1"/>
  <c r="AY16" i="7"/>
  <c r="BA16" i="7"/>
  <c r="BB16" i="7"/>
  <c r="AC16" i="11" s="1"/>
  <c r="AY17" i="7"/>
  <c r="BA17" i="7"/>
  <c r="BB17" i="7"/>
  <c r="AY18" i="7"/>
  <c r="BA18" i="7"/>
  <c r="AB18" i="11" s="1"/>
  <c r="BB18" i="7"/>
  <c r="AY19" i="7"/>
  <c r="BA19" i="7"/>
  <c r="BB19" i="7"/>
  <c r="AY20" i="7"/>
  <c r="BA20" i="7"/>
  <c r="BB20" i="7"/>
  <c r="AY21" i="7"/>
  <c r="Z21" i="11" s="1"/>
  <c r="BA21" i="7"/>
  <c r="BB21" i="7"/>
  <c r="AC21" i="11" s="1"/>
  <c r="AY22" i="7"/>
  <c r="Z22" i="11" s="1"/>
  <c r="BA22" i="7"/>
  <c r="BB22" i="7"/>
  <c r="AY23" i="7"/>
  <c r="BA23" i="7"/>
  <c r="AB23" i="11" s="1"/>
  <c r="BB23" i="7"/>
  <c r="AC23" i="11" s="1"/>
  <c r="AY24" i="7"/>
  <c r="BA24" i="7"/>
  <c r="BB24" i="7"/>
  <c r="AC24" i="11" s="1"/>
  <c r="AY25" i="7"/>
  <c r="BA25" i="7"/>
  <c r="BB25" i="7"/>
  <c r="AY26" i="7"/>
  <c r="BA26" i="7"/>
  <c r="AB26" i="11" s="1"/>
  <c r="BB26" i="7"/>
  <c r="AY27" i="7"/>
  <c r="BA27" i="7"/>
  <c r="BB27" i="7"/>
  <c r="AY28" i="7"/>
  <c r="BA28" i="7"/>
  <c r="BB28" i="7"/>
  <c r="AY29" i="7"/>
  <c r="Z29" i="11" s="1"/>
  <c r="BA29" i="7"/>
  <c r="BB29" i="7"/>
  <c r="AC29" i="11" s="1"/>
  <c r="AY30" i="7"/>
  <c r="Z30" i="11" s="1"/>
  <c r="BA30" i="7"/>
  <c r="BB30" i="7"/>
  <c r="AY31" i="7"/>
  <c r="BA31" i="7"/>
  <c r="AB31" i="11" s="1"/>
  <c r="BB31" i="7"/>
  <c r="AC31" i="11" s="1"/>
  <c r="AY32" i="7"/>
  <c r="BA32" i="7"/>
  <c r="BB32" i="7"/>
  <c r="AC32" i="11" s="1"/>
  <c r="AY33" i="7"/>
  <c r="BA33" i="7"/>
  <c r="BB33" i="7"/>
  <c r="AY34" i="7"/>
  <c r="BA34" i="7"/>
  <c r="AB34" i="11" s="1"/>
  <c r="BB34" i="7"/>
  <c r="AY35" i="7"/>
  <c r="BA35" i="7"/>
  <c r="BB35" i="7"/>
  <c r="AY36" i="7"/>
  <c r="BA36" i="7"/>
  <c r="BB36" i="7"/>
  <c r="AY37" i="7"/>
  <c r="Z37" i="11" s="1"/>
  <c r="BA37" i="7"/>
  <c r="BB37" i="7"/>
  <c r="AC37" i="11" s="1"/>
  <c r="AY38" i="7"/>
  <c r="Z38" i="11" s="1"/>
  <c r="BA38" i="7"/>
  <c r="BB38" i="7"/>
  <c r="AY39" i="7"/>
  <c r="BA39" i="7"/>
  <c r="AB39" i="11" s="1"/>
  <c r="BB39" i="7"/>
  <c r="AC39" i="11" s="1"/>
  <c r="AY40" i="7"/>
  <c r="BA40" i="7"/>
  <c r="BB40" i="7"/>
  <c r="AC40" i="11" s="1"/>
  <c r="AY41" i="7"/>
  <c r="BA41" i="7"/>
  <c r="BB41" i="7"/>
  <c r="AY42" i="7"/>
  <c r="BA42" i="7"/>
  <c r="AB42" i="11" s="1"/>
  <c r="BB42" i="7"/>
  <c r="AY43" i="7"/>
  <c r="BA43" i="7"/>
  <c r="BB43" i="7"/>
  <c r="AY44" i="7"/>
  <c r="BA44" i="7"/>
  <c r="BB44" i="7"/>
  <c r="AY45" i="7"/>
  <c r="Z45" i="11" s="1"/>
  <c r="BA45" i="7"/>
  <c r="BB45" i="7"/>
  <c r="AC45" i="11" s="1"/>
  <c r="AY46" i="7"/>
  <c r="Z46" i="11" s="1"/>
  <c r="BA46" i="7"/>
  <c r="BB46" i="7"/>
  <c r="AY47" i="7"/>
  <c r="BA47" i="7"/>
  <c r="AB47" i="11" s="1"/>
  <c r="BB47" i="7"/>
  <c r="AY48" i="7"/>
  <c r="BA48" i="7"/>
  <c r="BB48" i="7"/>
  <c r="AC48" i="11" s="1"/>
  <c r="AY49" i="7"/>
  <c r="BA49" i="7"/>
  <c r="BB49" i="7"/>
  <c r="AY50" i="7"/>
  <c r="Z50" i="11" s="1"/>
  <c r="BA50" i="7"/>
  <c r="AB50" i="11" s="1"/>
  <c r="BB50" i="7"/>
  <c r="AY51" i="7"/>
  <c r="BA51" i="7"/>
  <c r="BB51" i="7"/>
  <c r="AY52" i="7"/>
  <c r="BA52" i="7"/>
  <c r="BB52" i="7"/>
  <c r="AY53" i="7"/>
  <c r="Z53" i="11" s="1"/>
  <c r="BA53" i="7"/>
  <c r="BB53" i="7"/>
  <c r="AC53" i="11" s="1"/>
  <c r="AY54" i="7"/>
  <c r="Z54" i="11" s="1"/>
  <c r="BA54" i="7"/>
  <c r="BB54" i="7"/>
  <c r="AY55" i="7"/>
  <c r="BA55" i="7"/>
  <c r="AB55" i="11" s="1"/>
  <c r="BB55" i="7"/>
  <c r="AC55" i="11" s="1"/>
  <c r="AY56" i="7"/>
  <c r="BA56" i="7"/>
  <c r="BB56" i="7"/>
  <c r="AC56" i="11" s="1"/>
  <c r="AY57" i="7"/>
  <c r="BA57" i="7"/>
  <c r="BB57" i="7"/>
  <c r="AY58" i="7"/>
  <c r="Z58" i="11" s="1"/>
  <c r="BA58" i="7"/>
  <c r="AB58" i="11" s="1"/>
  <c r="BB58" i="7"/>
  <c r="AY59" i="7"/>
  <c r="BA59" i="7"/>
  <c r="BB59" i="7"/>
  <c r="AY60" i="7"/>
  <c r="BA60" i="7"/>
  <c r="BB60" i="7"/>
  <c r="AC60" i="11" s="1"/>
  <c r="AY61" i="7"/>
  <c r="Z61" i="11" s="1"/>
  <c r="BA61" i="7"/>
  <c r="BB61" i="7"/>
  <c r="AC61" i="11" s="1"/>
  <c r="AY62" i="7"/>
  <c r="Z62" i="11" s="1"/>
  <c r="BA62" i="7"/>
  <c r="BB62" i="7"/>
  <c r="AY63" i="7"/>
  <c r="BA63" i="7"/>
  <c r="AB63" i="11" s="1"/>
  <c r="BB63" i="7"/>
  <c r="AC63" i="11" s="1"/>
  <c r="AY64" i="7"/>
  <c r="BA64" i="7"/>
  <c r="BB64" i="7"/>
  <c r="AC64" i="11" s="1"/>
  <c r="AY65" i="7"/>
  <c r="BA65" i="7"/>
  <c r="BB65" i="7"/>
  <c r="AY66" i="7"/>
  <c r="Z66" i="11" s="1"/>
  <c r="BA66" i="7"/>
  <c r="AB66" i="11" s="1"/>
  <c r="BB66" i="7"/>
  <c r="AY67" i="7"/>
  <c r="BA67" i="7"/>
  <c r="BB67" i="7"/>
  <c r="AY68" i="7"/>
  <c r="BA68" i="7"/>
  <c r="BB68" i="7"/>
  <c r="AC68" i="11" s="1"/>
  <c r="AY69" i="7"/>
  <c r="Z69" i="11" s="1"/>
  <c r="BA69" i="7"/>
  <c r="AB69" i="11" s="1"/>
  <c r="BB69" i="7"/>
  <c r="AC69" i="11" s="1"/>
  <c r="AY70" i="7"/>
  <c r="Z70" i="11" s="1"/>
  <c r="BA70" i="7"/>
  <c r="BB70" i="7"/>
  <c r="AY71" i="7"/>
  <c r="BA71" i="7"/>
  <c r="AB71" i="11" s="1"/>
  <c r="BB71" i="7"/>
  <c r="AC71" i="11" s="1"/>
  <c r="AY72" i="7"/>
  <c r="BA72" i="7"/>
  <c r="BB72" i="7"/>
  <c r="AC72" i="11" s="1"/>
  <c r="AY73" i="7"/>
  <c r="BA73" i="7"/>
  <c r="BB73" i="7"/>
  <c r="AY74" i="7"/>
  <c r="Z74" i="11" s="1"/>
  <c r="BA74" i="7"/>
  <c r="AB74" i="11" s="1"/>
  <c r="BB74" i="7"/>
  <c r="AY75" i="7"/>
  <c r="BA75" i="7"/>
  <c r="BB75" i="7"/>
  <c r="AY76" i="7"/>
  <c r="BA76" i="7"/>
  <c r="BB76" i="7"/>
  <c r="AC76" i="11" s="1"/>
  <c r="AY77" i="7"/>
  <c r="Z77" i="11" s="1"/>
  <c r="BA77" i="7"/>
  <c r="BB77" i="7"/>
  <c r="AC77" i="11" s="1"/>
  <c r="AY78" i="7"/>
  <c r="Z78" i="11" s="1"/>
  <c r="BA78" i="7"/>
  <c r="BB78" i="7"/>
  <c r="AY79" i="7"/>
  <c r="BA79" i="7"/>
  <c r="AB79" i="11" s="1"/>
  <c r="BB79" i="7"/>
  <c r="AC79" i="11" s="1"/>
  <c r="AY80" i="7"/>
  <c r="BA80" i="7"/>
  <c r="BB80" i="7"/>
  <c r="AC80" i="11" s="1"/>
  <c r="AY81" i="7"/>
  <c r="BA81" i="7"/>
  <c r="BB81" i="7"/>
  <c r="AY82" i="7"/>
  <c r="Z82" i="11" s="1"/>
  <c r="BA82" i="7"/>
  <c r="AB82" i="11" s="1"/>
  <c r="BB82" i="7"/>
  <c r="AY83" i="7"/>
  <c r="BA83" i="7"/>
  <c r="BB83" i="7"/>
  <c r="AY84" i="7"/>
  <c r="BA84" i="7"/>
  <c r="BB84" i="7"/>
  <c r="AC84" i="11" s="1"/>
  <c r="AY85" i="7"/>
  <c r="Z85" i="11" s="1"/>
  <c r="BA85" i="7"/>
  <c r="BB85" i="7"/>
  <c r="AC85" i="11" s="1"/>
  <c r="AY86" i="7"/>
  <c r="Z86" i="11" s="1"/>
  <c r="BA86" i="7"/>
  <c r="BB86" i="7"/>
  <c r="AY87" i="7"/>
  <c r="BA87" i="7"/>
  <c r="AB87" i="11" s="1"/>
  <c r="BB87" i="7"/>
  <c r="AC87" i="11" s="1"/>
  <c r="AY88" i="7"/>
  <c r="BA88" i="7"/>
  <c r="BB88" i="7"/>
  <c r="AC88" i="11" s="1"/>
  <c r="AY89" i="7"/>
  <c r="BA89" i="7"/>
  <c r="BB89" i="7"/>
  <c r="AY90" i="7"/>
  <c r="Z90" i="11" s="1"/>
  <c r="BA90" i="7"/>
  <c r="AB90" i="11" s="1"/>
  <c r="BB90" i="7"/>
  <c r="AY91" i="7"/>
  <c r="BA91" i="7"/>
  <c r="BB91" i="7"/>
  <c r="AY92" i="7"/>
  <c r="BA92" i="7"/>
  <c r="BB92" i="7"/>
  <c r="AC92" i="11" s="1"/>
  <c r="AY93" i="7"/>
  <c r="Z93" i="11" s="1"/>
  <c r="BA93" i="7"/>
  <c r="BB93" i="7"/>
  <c r="AC93" i="11" s="1"/>
  <c r="AY94" i="7"/>
  <c r="Z94" i="11" s="1"/>
  <c r="BA94" i="7"/>
  <c r="BB94" i="7"/>
  <c r="AY95" i="7"/>
  <c r="BA95" i="7"/>
  <c r="AB95" i="11" s="1"/>
  <c r="BB95" i="7"/>
  <c r="AC95" i="11" s="1"/>
  <c r="AY96" i="7"/>
  <c r="BA96" i="7"/>
  <c r="BB96" i="7"/>
  <c r="AC96" i="11" s="1"/>
  <c r="AY97" i="7"/>
  <c r="BA97" i="7"/>
  <c r="BB97" i="7"/>
  <c r="AY98" i="7"/>
  <c r="Z98" i="11" s="1"/>
  <c r="BA98" i="7"/>
  <c r="AB98" i="11" s="1"/>
  <c r="BB98" i="7"/>
  <c r="AY99" i="7"/>
  <c r="BA99" i="7"/>
  <c r="BB99" i="7"/>
  <c r="AY100" i="7"/>
  <c r="BA100" i="7"/>
  <c r="BB100" i="7"/>
  <c r="AC100" i="11" s="1"/>
  <c r="AY101" i="7"/>
  <c r="Z101" i="11" s="1"/>
  <c r="BA101" i="7"/>
  <c r="BB101" i="7"/>
  <c r="AC101" i="11" s="1"/>
  <c r="AY102" i="7"/>
  <c r="Z102" i="11" s="1"/>
  <c r="BA102" i="7"/>
  <c r="BB102" i="7"/>
  <c r="AY103" i="7"/>
  <c r="BA103" i="7"/>
  <c r="AB103" i="11" s="1"/>
  <c r="BB103" i="7"/>
  <c r="AC103" i="11" s="1"/>
  <c r="AY104" i="7"/>
  <c r="BA104" i="7"/>
  <c r="BB104" i="7"/>
  <c r="AC104" i="11" s="1"/>
  <c r="AY105" i="7"/>
  <c r="BA105" i="7"/>
  <c r="BB105" i="7"/>
  <c r="AY106" i="7"/>
  <c r="Z106" i="11" s="1"/>
  <c r="BA106" i="7"/>
  <c r="AB106" i="11" s="1"/>
  <c r="BB106" i="7"/>
  <c r="AY107" i="7"/>
  <c r="BA107" i="7"/>
  <c r="BB107" i="7"/>
  <c r="AY108" i="7"/>
  <c r="BA108" i="7"/>
  <c r="BB108" i="7"/>
  <c r="AC108" i="11" s="1"/>
  <c r="AY109" i="7"/>
  <c r="Z109" i="11" s="1"/>
  <c r="BA109" i="7"/>
  <c r="BB109" i="7"/>
  <c r="AC109" i="11" s="1"/>
  <c r="AY110" i="7"/>
  <c r="Z110" i="11" s="1"/>
  <c r="BA110" i="7"/>
  <c r="BB110" i="7"/>
  <c r="AY111" i="7"/>
  <c r="BA111" i="7"/>
  <c r="AB111" i="11" s="1"/>
  <c r="BB111" i="7"/>
  <c r="AC111" i="11" s="1"/>
  <c r="AY112" i="7"/>
  <c r="BA112" i="7"/>
  <c r="BB112" i="7"/>
  <c r="AC112" i="11" s="1"/>
  <c r="AY113" i="7"/>
  <c r="BA113" i="7"/>
  <c r="BB113" i="7"/>
  <c r="AY114" i="7"/>
  <c r="Z114" i="11" s="1"/>
  <c r="BA114" i="7"/>
  <c r="AB114" i="11" s="1"/>
  <c r="BB114" i="7"/>
  <c r="AY115" i="7"/>
  <c r="BA115" i="7"/>
  <c r="BB115" i="7"/>
  <c r="AY116" i="7"/>
  <c r="BA116" i="7"/>
  <c r="BB116" i="7"/>
  <c r="AC116" i="11" s="1"/>
  <c r="AY117" i="7"/>
  <c r="Z117" i="11" s="1"/>
  <c r="BA117" i="7"/>
  <c r="BB117" i="7"/>
  <c r="AC117" i="11" s="1"/>
  <c r="AY118" i="7"/>
  <c r="Z118" i="11" s="1"/>
  <c r="BA118" i="7"/>
  <c r="BB118" i="7"/>
  <c r="AY119" i="7"/>
  <c r="BA119" i="7"/>
  <c r="AB119" i="11" s="1"/>
  <c r="BB119" i="7"/>
  <c r="AC119" i="11" s="1"/>
  <c r="AY120" i="7"/>
  <c r="BA120" i="7"/>
  <c r="BB120" i="7"/>
  <c r="AC120" i="11" s="1"/>
  <c r="AY121" i="7"/>
  <c r="BA121" i="7"/>
  <c r="BB121" i="7"/>
  <c r="AY122" i="7"/>
  <c r="Z122" i="11" s="1"/>
  <c r="BA122" i="7"/>
  <c r="AB122" i="11" s="1"/>
  <c r="BB122" i="7"/>
  <c r="AY123" i="7"/>
  <c r="BA123" i="7"/>
  <c r="BB123" i="7"/>
  <c r="AY124" i="7"/>
  <c r="BA124" i="7"/>
  <c r="BB124" i="7"/>
  <c r="AC124" i="11" s="1"/>
  <c r="AY125" i="7"/>
  <c r="Z125" i="11" s="1"/>
  <c r="BA125" i="7"/>
  <c r="BB125" i="7"/>
  <c r="AC125" i="11" s="1"/>
  <c r="AY126" i="7"/>
  <c r="Z126" i="11" s="1"/>
  <c r="BA126" i="7"/>
  <c r="BB126" i="7"/>
  <c r="AY127" i="7"/>
  <c r="BA127" i="7"/>
  <c r="AB127" i="11" s="1"/>
  <c r="BB127" i="7"/>
  <c r="AC127" i="11" s="1"/>
  <c r="AY128" i="7"/>
  <c r="BA128" i="7"/>
  <c r="BB128" i="7"/>
  <c r="AC128" i="11" s="1"/>
  <c r="AY129" i="7"/>
  <c r="BA129" i="7"/>
  <c r="BB129" i="7"/>
  <c r="AY130" i="7"/>
  <c r="Z130" i="11" s="1"/>
  <c r="BA130" i="7"/>
  <c r="AB130" i="11" s="1"/>
  <c r="BB130" i="7"/>
  <c r="AY131" i="7"/>
  <c r="BA131" i="7"/>
  <c r="BB131" i="7"/>
  <c r="AY132" i="7"/>
  <c r="BA132" i="7"/>
  <c r="BB132" i="7"/>
  <c r="AC132" i="11" s="1"/>
  <c r="AY133" i="7"/>
  <c r="Z133" i="11" s="1"/>
  <c r="BA133" i="7"/>
  <c r="AB133" i="11" s="1"/>
  <c r="BB133" i="7"/>
  <c r="AC133" i="11" s="1"/>
  <c r="AY134" i="7"/>
  <c r="Z134" i="11" s="1"/>
  <c r="BA134" i="7"/>
  <c r="BB134" i="7"/>
  <c r="AY135" i="7"/>
  <c r="BA135" i="7"/>
  <c r="AB135" i="11" s="1"/>
  <c r="BB135" i="7"/>
  <c r="AC135" i="11" s="1"/>
  <c r="AY136" i="7"/>
  <c r="BA136" i="7"/>
  <c r="BB136" i="7"/>
  <c r="AC136" i="11" s="1"/>
  <c r="AY137" i="7"/>
  <c r="BA137" i="7"/>
  <c r="BB137" i="7"/>
  <c r="AY138" i="7"/>
  <c r="Z138" i="11" s="1"/>
  <c r="BA138" i="7"/>
  <c r="AB138" i="11" s="1"/>
  <c r="BB138" i="7"/>
  <c r="AY139" i="7"/>
  <c r="BA139" i="7"/>
  <c r="BB139" i="7"/>
  <c r="AY140" i="7"/>
  <c r="BA140" i="7"/>
  <c r="BB140" i="7"/>
  <c r="AC140" i="11" s="1"/>
  <c r="AY141" i="7"/>
  <c r="Z141" i="11" s="1"/>
  <c r="BA141" i="7"/>
  <c r="BB141" i="7"/>
  <c r="AC141" i="11" s="1"/>
  <c r="AY142" i="7"/>
  <c r="Z142" i="11" s="1"/>
  <c r="BA142" i="7"/>
  <c r="BB142" i="7"/>
  <c r="AY143" i="7"/>
  <c r="BA143" i="7"/>
  <c r="AB143" i="11" s="1"/>
  <c r="BB143" i="7"/>
  <c r="AC143" i="11" s="1"/>
  <c r="AY144" i="7"/>
  <c r="BA144" i="7"/>
  <c r="BB144" i="7"/>
  <c r="AC144" i="11" s="1"/>
  <c r="AY145" i="7"/>
  <c r="BA145" i="7"/>
  <c r="BB145" i="7"/>
  <c r="AY146" i="7"/>
  <c r="Z146" i="11" s="1"/>
  <c r="BA146" i="7"/>
  <c r="AB146" i="11" s="1"/>
  <c r="BB146" i="7"/>
  <c r="AY147" i="7"/>
  <c r="BA147" i="7"/>
  <c r="BB147" i="7"/>
  <c r="AY148" i="7"/>
  <c r="BA148" i="7"/>
  <c r="BB148" i="7"/>
  <c r="AC148" i="11" s="1"/>
  <c r="AY149" i="7"/>
  <c r="Z149" i="11" s="1"/>
  <c r="BA149" i="7"/>
  <c r="BB149" i="7"/>
  <c r="AC149" i="11" s="1"/>
  <c r="AY150" i="7"/>
  <c r="Z150" i="11" s="1"/>
  <c r="BA150" i="7"/>
  <c r="BB150" i="7"/>
  <c r="AY151" i="7"/>
  <c r="BA151" i="7"/>
  <c r="AB151" i="11" s="1"/>
  <c r="BB151" i="7"/>
  <c r="AC151" i="11" s="1"/>
  <c r="AY152" i="7"/>
  <c r="BA152" i="7"/>
  <c r="BB152" i="7"/>
  <c r="AC152" i="11" s="1"/>
  <c r="AY153" i="7"/>
  <c r="BA153" i="7"/>
  <c r="BB153" i="7"/>
  <c r="AY154" i="7"/>
  <c r="Z154" i="11" s="1"/>
  <c r="BA154" i="7"/>
  <c r="AB154" i="11" s="1"/>
  <c r="BB154" i="7"/>
  <c r="AC154" i="11" s="1"/>
  <c r="AY155" i="7"/>
  <c r="BA155" i="7"/>
  <c r="BB155" i="7"/>
  <c r="AY156" i="7"/>
  <c r="BA156" i="7"/>
  <c r="BB156" i="7"/>
  <c r="AC156" i="11" s="1"/>
  <c r="AY157" i="7"/>
  <c r="Z157" i="11" s="1"/>
  <c r="BA157" i="7"/>
  <c r="BB157" i="7"/>
  <c r="AC157" i="11" s="1"/>
  <c r="AY158" i="7"/>
  <c r="Z158" i="11" s="1"/>
  <c r="BA158" i="7"/>
  <c r="BB158" i="7"/>
  <c r="AY159" i="7"/>
  <c r="BA159" i="7"/>
  <c r="AB159" i="11" s="1"/>
  <c r="BB159" i="7"/>
  <c r="AC159" i="11" s="1"/>
  <c r="AY160" i="7"/>
  <c r="BA160" i="7"/>
  <c r="BB160" i="7"/>
  <c r="AC160" i="11" s="1"/>
  <c r="AY161" i="7"/>
  <c r="BA161" i="7"/>
  <c r="BB161" i="7"/>
  <c r="AY162" i="7"/>
  <c r="Z162" i="11" s="1"/>
  <c r="BA162" i="7"/>
  <c r="AB162" i="11" s="1"/>
  <c r="BB162" i="7"/>
  <c r="AY163" i="7"/>
  <c r="BA163" i="7"/>
  <c r="BB163" i="7"/>
  <c r="AY164" i="7"/>
  <c r="BA164" i="7"/>
  <c r="BB164" i="7"/>
  <c r="AC164" i="11" s="1"/>
  <c r="AY165" i="7"/>
  <c r="Z165" i="11" s="1"/>
  <c r="BA165" i="7"/>
  <c r="BB165" i="7"/>
  <c r="AC165" i="11" s="1"/>
  <c r="AY166" i="7"/>
  <c r="Z166" i="11" s="1"/>
  <c r="BA166" i="7"/>
  <c r="BB166" i="7"/>
  <c r="AY167" i="7"/>
  <c r="BA167" i="7"/>
  <c r="AB167" i="11" s="1"/>
  <c r="BB167" i="7"/>
  <c r="AC167" i="11" s="1"/>
  <c r="AY168" i="7"/>
  <c r="BA168" i="7"/>
  <c r="BB168" i="7"/>
  <c r="AC168" i="11" s="1"/>
  <c r="AY169" i="7"/>
  <c r="BA169" i="7"/>
  <c r="BB169" i="7"/>
  <c r="AY170" i="7"/>
  <c r="Z170" i="11" s="1"/>
  <c r="BA170" i="7"/>
  <c r="AB170" i="11" s="1"/>
  <c r="BB170" i="7"/>
  <c r="AY171" i="7"/>
  <c r="BA171" i="7"/>
  <c r="BB171" i="7"/>
  <c r="AY172" i="7"/>
  <c r="BA172" i="7"/>
  <c r="BB172" i="7"/>
  <c r="AC172" i="11" s="1"/>
  <c r="AY173" i="7"/>
  <c r="Z173" i="11" s="1"/>
  <c r="BA173" i="7"/>
  <c r="BB173" i="7"/>
  <c r="AC173" i="11" s="1"/>
  <c r="AY174" i="7"/>
  <c r="Z174" i="11" s="1"/>
  <c r="BA174" i="7"/>
  <c r="BB174" i="7"/>
  <c r="AY175" i="7"/>
  <c r="BA175" i="7"/>
  <c r="AB175" i="11" s="1"/>
  <c r="BB175" i="7"/>
  <c r="AC175" i="11" s="1"/>
  <c r="AY176" i="7"/>
  <c r="BA176" i="7"/>
  <c r="BB176" i="7"/>
  <c r="AC176" i="11" s="1"/>
  <c r="AY177" i="7"/>
  <c r="BA177" i="7"/>
  <c r="BB177" i="7"/>
  <c r="AY178" i="7"/>
  <c r="Z178" i="11" s="1"/>
  <c r="BA178" i="7"/>
  <c r="AB178" i="11" s="1"/>
  <c r="BB178" i="7"/>
  <c r="AY179" i="7"/>
  <c r="BA179" i="7"/>
  <c r="BB179" i="7"/>
  <c r="AY180" i="7"/>
  <c r="BA180" i="7"/>
  <c r="BB180" i="7"/>
  <c r="AC180" i="11" s="1"/>
  <c r="AY181" i="7"/>
  <c r="Z181" i="11" s="1"/>
  <c r="BA181" i="7"/>
  <c r="BB181" i="7"/>
  <c r="AC181" i="11" s="1"/>
  <c r="AY182" i="7"/>
  <c r="Z182" i="11" s="1"/>
  <c r="BA182" i="7"/>
  <c r="BB182" i="7"/>
  <c r="AY183" i="7"/>
  <c r="BA183" i="7"/>
  <c r="AB183" i="11" s="1"/>
  <c r="BB183" i="7"/>
  <c r="AC183" i="11" s="1"/>
  <c r="AY184" i="7"/>
  <c r="BA184" i="7"/>
  <c r="BB184" i="7"/>
  <c r="AC184" i="11" s="1"/>
  <c r="AY185" i="7"/>
  <c r="BA185" i="7"/>
  <c r="BB185" i="7"/>
  <c r="AY186" i="7"/>
  <c r="Z186" i="11" s="1"/>
  <c r="BA186" i="7"/>
  <c r="AB186" i="11" s="1"/>
  <c r="BB186" i="7"/>
  <c r="AY187" i="7"/>
  <c r="BA187" i="7"/>
  <c r="BB187" i="7"/>
  <c r="AY188" i="7"/>
  <c r="BA188" i="7"/>
  <c r="BB188" i="7"/>
  <c r="AC188" i="11" s="1"/>
  <c r="AY189" i="7"/>
  <c r="Z189" i="11" s="1"/>
  <c r="BA189" i="7"/>
  <c r="BB189" i="7"/>
  <c r="AC189" i="11" s="1"/>
  <c r="AY190" i="7"/>
  <c r="Z190" i="11" s="1"/>
  <c r="BA190" i="7"/>
  <c r="BB190" i="7"/>
  <c r="AY191" i="7"/>
  <c r="BA191" i="7"/>
  <c r="AB191" i="11" s="1"/>
  <c r="BB191" i="7"/>
  <c r="AC191" i="11" s="1"/>
  <c r="AY192" i="7"/>
  <c r="BA192" i="7"/>
  <c r="BB192" i="7"/>
  <c r="AC192" i="11" s="1"/>
  <c r="AY193" i="7"/>
  <c r="BA193" i="7"/>
  <c r="BB193" i="7"/>
  <c r="AY194" i="7"/>
  <c r="Z194" i="11" s="1"/>
  <c r="BA194" i="7"/>
  <c r="AB194" i="11" s="1"/>
  <c r="BB194" i="7"/>
  <c r="AY195" i="7"/>
  <c r="BA195" i="7"/>
  <c r="BB195" i="7"/>
  <c r="AY196" i="7"/>
  <c r="BA196" i="7"/>
  <c r="BB196" i="7"/>
  <c r="AC196" i="11" s="1"/>
  <c r="AY197" i="7"/>
  <c r="Z197" i="11" s="1"/>
  <c r="BA197" i="7"/>
  <c r="BB197" i="7"/>
  <c r="AC197" i="11" s="1"/>
  <c r="AY198" i="7"/>
  <c r="Z198" i="11" s="1"/>
  <c r="BA198" i="7"/>
  <c r="BB198" i="7"/>
  <c r="AY199" i="7"/>
  <c r="BA199" i="7"/>
  <c r="AB199" i="11" s="1"/>
  <c r="BB199" i="7"/>
  <c r="AC199" i="11" s="1"/>
  <c r="AY200" i="7"/>
  <c r="BA200" i="7"/>
  <c r="BB200" i="7"/>
  <c r="AC200" i="11" s="1"/>
  <c r="AY201" i="7"/>
  <c r="BA201" i="7"/>
  <c r="BB201" i="7"/>
  <c r="AY202" i="7"/>
  <c r="Z202" i="11" s="1"/>
  <c r="BA202" i="7"/>
  <c r="AB202" i="11" s="1"/>
  <c r="BB202" i="7"/>
  <c r="AY203" i="7"/>
  <c r="BA203" i="7"/>
  <c r="BB203" i="7"/>
  <c r="AY204" i="7"/>
  <c r="BA204" i="7"/>
  <c r="BB204" i="7"/>
  <c r="AC204" i="11" s="1"/>
  <c r="AY205" i="7"/>
  <c r="Z205" i="11" s="1"/>
  <c r="BA205" i="7"/>
  <c r="BB205" i="7"/>
  <c r="AC205" i="11" s="1"/>
  <c r="AY206" i="7"/>
  <c r="Z206" i="11" s="1"/>
  <c r="BA206" i="7"/>
  <c r="BB206" i="7"/>
  <c r="AY207" i="7"/>
  <c r="BA207" i="7"/>
  <c r="AB207" i="11" s="1"/>
  <c r="BB207" i="7"/>
  <c r="AC207" i="11" s="1"/>
  <c r="AY208" i="7"/>
  <c r="BA208" i="7"/>
  <c r="BB208" i="7"/>
  <c r="AC208" i="11" s="1"/>
  <c r="AY209" i="7"/>
  <c r="BA209" i="7"/>
  <c r="BB209" i="7"/>
  <c r="AY210" i="7"/>
  <c r="Z210" i="11" s="1"/>
  <c r="BA210" i="7"/>
  <c r="AB210" i="11" s="1"/>
  <c r="BB210" i="7"/>
  <c r="AY211" i="7"/>
  <c r="BA211" i="7"/>
  <c r="BB211" i="7"/>
  <c r="AY212" i="7"/>
  <c r="BA212" i="7"/>
  <c r="BB212" i="7"/>
  <c r="AC212" i="11" s="1"/>
  <c r="AY213" i="7"/>
  <c r="Z213" i="11" s="1"/>
  <c r="BA213" i="7"/>
  <c r="BB213" i="7"/>
  <c r="AC213" i="11" s="1"/>
  <c r="AY214" i="7"/>
  <c r="Z214" i="11" s="1"/>
  <c r="BA214" i="7"/>
  <c r="BB214" i="7"/>
  <c r="AY215" i="7"/>
  <c r="BA215" i="7"/>
  <c r="AB215" i="11" s="1"/>
  <c r="BB215" i="7"/>
  <c r="AC215" i="11" s="1"/>
  <c r="AY216" i="7"/>
  <c r="BA216" i="7"/>
  <c r="BB216" i="7"/>
  <c r="AC216" i="11" s="1"/>
  <c r="AY217" i="7"/>
  <c r="BA217" i="7"/>
  <c r="BB217" i="7"/>
  <c r="AY218" i="7"/>
  <c r="Z218" i="11" s="1"/>
  <c r="BA218" i="7"/>
  <c r="AB218" i="11" s="1"/>
  <c r="BB218" i="7"/>
  <c r="AY219" i="7"/>
  <c r="BA219" i="7"/>
  <c r="BB219" i="7"/>
  <c r="AY220" i="7"/>
  <c r="BA220" i="7"/>
  <c r="BB220" i="7"/>
  <c r="AC220" i="11" s="1"/>
  <c r="AY221" i="7"/>
  <c r="Z221" i="11" s="1"/>
  <c r="BA221" i="7"/>
  <c r="BB221" i="7"/>
  <c r="AC221" i="11" s="1"/>
  <c r="AY222" i="7"/>
  <c r="Z222" i="11" s="1"/>
  <c r="BA222" i="7"/>
  <c r="BB222" i="7"/>
  <c r="AY223" i="7"/>
  <c r="BA223" i="7"/>
  <c r="AB223" i="11" s="1"/>
  <c r="BB223" i="7"/>
  <c r="AC223" i="11" s="1"/>
  <c r="AY224" i="7"/>
  <c r="BA224" i="7"/>
  <c r="BB224" i="7"/>
  <c r="AC224" i="11" s="1"/>
  <c r="AY225" i="7"/>
  <c r="BA225" i="7"/>
  <c r="BB225" i="7"/>
  <c r="AY226" i="7"/>
  <c r="Z226" i="11" s="1"/>
  <c r="BA226" i="7"/>
  <c r="AB226" i="11" s="1"/>
  <c r="BB226" i="7"/>
  <c r="AY227" i="7"/>
  <c r="BA227" i="7"/>
  <c r="BB227" i="7"/>
  <c r="AY228" i="7"/>
  <c r="BA228" i="7"/>
  <c r="BB228" i="7"/>
  <c r="AC228" i="11" s="1"/>
  <c r="AY229" i="7"/>
  <c r="Z229" i="11" s="1"/>
  <c r="BA229" i="7"/>
  <c r="BB229" i="7"/>
  <c r="AC229" i="11" s="1"/>
  <c r="AY230" i="7"/>
  <c r="Z230" i="11" s="1"/>
  <c r="BA230" i="7"/>
  <c r="BB230" i="7"/>
  <c r="AY231" i="7"/>
  <c r="BA231" i="7"/>
  <c r="AB231" i="11" s="1"/>
  <c r="BB231" i="7"/>
  <c r="AC231" i="11" s="1"/>
  <c r="AY232" i="7"/>
  <c r="BA232" i="7"/>
  <c r="BB232" i="7"/>
  <c r="AC232" i="11" s="1"/>
  <c r="AY233" i="7"/>
  <c r="BA233" i="7"/>
  <c r="BB233" i="7"/>
  <c r="AY234" i="7"/>
  <c r="Z234" i="11" s="1"/>
  <c r="BA234" i="7"/>
  <c r="AB234" i="11" s="1"/>
  <c r="BB234" i="7"/>
  <c r="AY235" i="7"/>
  <c r="BA235" i="7"/>
  <c r="BB235" i="7"/>
  <c r="AY236" i="7"/>
  <c r="BA236" i="7"/>
  <c r="BB236" i="7"/>
  <c r="AC236" i="11" s="1"/>
  <c r="AY237" i="7"/>
  <c r="Z237" i="11" s="1"/>
  <c r="BA237" i="7"/>
  <c r="BB237" i="7"/>
  <c r="AC237" i="11" s="1"/>
  <c r="AY238" i="7"/>
  <c r="Z238" i="11" s="1"/>
  <c r="BA238" i="7"/>
  <c r="BB238" i="7"/>
  <c r="AY239" i="7"/>
  <c r="BA239" i="7"/>
  <c r="AB239" i="11" s="1"/>
  <c r="BB239" i="7"/>
  <c r="AC239" i="11" s="1"/>
  <c r="AY240" i="7"/>
  <c r="BA240" i="7"/>
  <c r="BB240" i="7"/>
  <c r="AC240" i="11" s="1"/>
  <c r="AY241" i="7"/>
  <c r="BA241" i="7"/>
  <c r="BB241" i="7"/>
  <c r="AY242" i="7"/>
  <c r="Z242" i="11" s="1"/>
  <c r="BA242" i="7"/>
  <c r="AB242" i="11" s="1"/>
  <c r="BB242" i="7"/>
  <c r="AY243" i="7"/>
  <c r="BA243" i="7"/>
  <c r="BB243" i="7"/>
  <c r="AY244" i="7"/>
  <c r="BA244" i="7"/>
  <c r="BB244" i="7"/>
  <c r="AC244" i="11" s="1"/>
  <c r="AY245" i="7"/>
  <c r="Z245" i="11" s="1"/>
  <c r="BA245" i="7"/>
  <c r="BB245" i="7"/>
  <c r="AC245" i="11" s="1"/>
  <c r="AY246" i="7"/>
  <c r="Z246" i="11" s="1"/>
  <c r="BA246" i="7"/>
  <c r="BB246" i="7"/>
  <c r="AY247" i="7"/>
  <c r="BA247" i="7"/>
  <c r="AB247" i="11" s="1"/>
  <c r="BB247" i="7"/>
  <c r="AC247" i="11" s="1"/>
  <c r="AY248" i="7"/>
  <c r="BA248" i="7"/>
  <c r="BB248" i="7"/>
  <c r="AC248" i="11" s="1"/>
  <c r="AY249" i="7"/>
  <c r="BA249" i="7"/>
  <c r="BB249" i="7"/>
  <c r="AY250" i="7"/>
  <c r="Z250" i="11" s="1"/>
  <c r="BA250" i="7"/>
  <c r="AB250" i="11" s="1"/>
  <c r="BB250" i="7"/>
  <c r="AY251" i="7"/>
  <c r="BA251" i="7"/>
  <c r="BB251" i="7"/>
  <c r="AY252" i="7"/>
  <c r="BA252" i="7"/>
  <c r="BB252" i="7"/>
  <c r="AC252" i="11" s="1"/>
  <c r="AY253" i="7"/>
  <c r="Z253" i="11" s="1"/>
  <c r="BA253" i="7"/>
  <c r="BB253" i="7"/>
  <c r="AC253" i="11" s="1"/>
  <c r="AY254" i="7"/>
  <c r="Z254" i="11" s="1"/>
  <c r="BA254" i="7"/>
  <c r="BB254" i="7"/>
  <c r="AY255" i="7"/>
  <c r="BA255" i="7"/>
  <c r="AB255" i="11" s="1"/>
  <c r="BB255" i="7"/>
  <c r="AC255" i="11" s="1"/>
  <c r="AY256" i="7"/>
  <c r="BA256" i="7"/>
  <c r="BB256" i="7"/>
  <c r="AC256" i="11" s="1"/>
  <c r="AY257" i="7"/>
  <c r="BA257" i="7"/>
  <c r="BB257" i="7"/>
  <c r="AY258" i="7"/>
  <c r="Z258" i="11" s="1"/>
  <c r="BA258" i="7"/>
  <c r="AB258" i="11" s="1"/>
  <c r="BB258" i="7"/>
  <c r="AY259" i="7"/>
  <c r="BA259" i="7"/>
  <c r="BB259" i="7"/>
  <c r="AY260" i="7"/>
  <c r="BA260" i="7"/>
  <c r="BB260" i="7"/>
  <c r="AC260" i="11" s="1"/>
  <c r="AY261" i="7"/>
  <c r="Z261" i="11" s="1"/>
  <c r="BA261" i="7"/>
  <c r="BB261" i="7"/>
  <c r="AC261" i="11" s="1"/>
  <c r="AY262" i="7"/>
  <c r="Z262" i="11" s="1"/>
  <c r="BA262" i="7"/>
  <c r="BB262" i="7"/>
  <c r="AY263" i="7"/>
  <c r="BA263" i="7"/>
  <c r="AB263" i="11" s="1"/>
  <c r="BB263" i="7"/>
  <c r="AC263" i="11" s="1"/>
  <c r="AY264" i="7"/>
  <c r="BA264" i="7"/>
  <c r="BB264" i="7"/>
  <c r="AC264" i="11" s="1"/>
  <c r="AY265" i="7"/>
  <c r="BA265" i="7"/>
  <c r="BB265" i="7"/>
  <c r="AY266" i="7"/>
  <c r="Z266" i="11" s="1"/>
  <c r="BA266" i="7"/>
  <c r="AB266" i="11" s="1"/>
  <c r="BB266" i="7"/>
  <c r="AY267" i="7"/>
  <c r="BA267" i="7"/>
  <c r="BB267" i="7"/>
  <c r="AY268" i="7"/>
  <c r="BA268" i="7"/>
  <c r="BB268" i="7"/>
  <c r="AC268" i="11" s="1"/>
  <c r="AY269" i="7"/>
  <c r="Z269" i="11" s="1"/>
  <c r="BA269" i="7"/>
  <c r="BB269" i="7"/>
  <c r="AC269" i="11" s="1"/>
  <c r="AY270" i="7"/>
  <c r="Z270" i="11" s="1"/>
  <c r="BA270" i="7"/>
  <c r="BB270" i="7"/>
  <c r="AY271" i="7"/>
  <c r="BA271" i="7"/>
  <c r="BB271" i="7"/>
  <c r="AC271" i="11" s="1"/>
  <c r="AY272" i="7"/>
  <c r="BA272" i="7"/>
  <c r="BB272" i="7"/>
  <c r="AC272" i="11" s="1"/>
  <c r="AY273" i="7"/>
  <c r="BA273" i="7"/>
  <c r="BB273" i="7"/>
  <c r="AY274" i="7"/>
  <c r="BA274" i="7"/>
  <c r="AB274" i="11" s="1"/>
  <c r="BB274" i="7"/>
  <c r="AY275" i="7"/>
  <c r="BA275" i="7"/>
  <c r="BB275" i="7"/>
  <c r="AY276" i="7"/>
  <c r="BA276" i="7"/>
  <c r="BB276" i="7"/>
  <c r="AY277" i="7"/>
  <c r="Z277" i="11" s="1"/>
  <c r="BA277" i="7"/>
  <c r="BB277" i="7"/>
  <c r="AC277" i="11" s="1"/>
  <c r="AY278" i="7"/>
  <c r="Z278" i="11" s="1"/>
  <c r="BA278" i="7"/>
  <c r="BB278" i="7"/>
  <c r="AY279" i="7"/>
  <c r="BA279" i="7"/>
  <c r="BB279" i="7"/>
  <c r="AC279" i="11" s="1"/>
  <c r="AY280" i="7"/>
  <c r="BA280" i="7"/>
  <c r="BB280" i="7"/>
  <c r="AC280" i="11" s="1"/>
  <c r="AY281" i="7"/>
  <c r="BA281" i="7"/>
  <c r="BB281" i="7"/>
  <c r="AY282" i="7"/>
  <c r="BA282" i="7"/>
  <c r="AB282" i="11" s="1"/>
  <c r="BB282" i="7"/>
  <c r="AY283" i="7"/>
  <c r="BA283" i="7"/>
  <c r="BB283" i="7"/>
  <c r="AY284" i="7"/>
  <c r="BA284" i="7"/>
  <c r="BB284" i="7"/>
  <c r="AY285" i="7"/>
  <c r="Z285" i="11" s="1"/>
  <c r="BA285" i="7"/>
  <c r="BB285" i="7"/>
  <c r="AC285" i="11" s="1"/>
  <c r="AY286" i="7"/>
  <c r="Z286" i="11" s="1"/>
  <c r="BA286" i="7"/>
  <c r="BB286" i="7"/>
  <c r="AY287" i="7"/>
  <c r="BA287" i="7"/>
  <c r="BB287" i="7"/>
  <c r="AC287" i="11" s="1"/>
  <c r="AY288" i="7"/>
  <c r="BA288" i="7"/>
  <c r="BB288" i="7"/>
  <c r="AC288" i="11" s="1"/>
  <c r="AY289" i="7"/>
  <c r="BA289" i="7"/>
  <c r="BB289" i="7"/>
  <c r="AY290" i="7"/>
  <c r="BA290" i="7"/>
  <c r="AB290" i="11" s="1"/>
  <c r="BB290" i="7"/>
  <c r="AY291" i="7"/>
  <c r="BA291" i="7"/>
  <c r="BB291" i="7"/>
  <c r="AY292" i="7"/>
  <c r="BA292" i="7"/>
  <c r="BB292" i="7"/>
  <c r="AY293" i="7"/>
  <c r="Z293" i="11" s="1"/>
  <c r="BA293" i="7"/>
  <c r="BB293" i="7"/>
  <c r="AC293" i="11" s="1"/>
  <c r="AY294" i="7"/>
  <c r="Z294" i="11" s="1"/>
  <c r="BA294" i="7"/>
  <c r="BB294" i="7"/>
  <c r="AY295" i="7"/>
  <c r="BA295" i="7"/>
  <c r="BB295" i="7"/>
  <c r="AC295" i="11" s="1"/>
  <c r="AY296" i="7"/>
  <c r="BA296" i="7"/>
  <c r="BB296" i="7"/>
  <c r="AC296" i="11" s="1"/>
  <c r="AY297" i="7"/>
  <c r="BA297" i="7"/>
  <c r="BB297" i="7"/>
  <c r="AY298" i="7"/>
  <c r="BA298" i="7"/>
  <c r="AB298" i="11" s="1"/>
  <c r="BB298" i="7"/>
  <c r="AY299" i="7"/>
  <c r="BA299" i="7"/>
  <c r="BB299" i="7"/>
  <c r="AY300" i="7"/>
  <c r="BA300" i="7"/>
  <c r="BB300" i="7"/>
  <c r="AY301" i="7"/>
  <c r="Z301" i="11" s="1"/>
  <c r="BA301" i="7"/>
  <c r="BB301" i="7"/>
  <c r="AC301" i="11" s="1"/>
  <c r="AY302" i="7"/>
  <c r="Z302" i="11" s="1"/>
  <c r="BA302" i="7"/>
  <c r="BB302" i="7"/>
  <c r="AY303" i="7"/>
  <c r="BA303" i="7"/>
  <c r="BB303" i="7"/>
  <c r="AC303" i="11" s="1"/>
  <c r="AY304" i="7"/>
  <c r="BA304" i="7"/>
  <c r="BB304" i="7"/>
  <c r="AC304" i="11" s="1"/>
  <c r="AY305" i="7"/>
  <c r="BA305" i="7"/>
  <c r="BB305" i="7"/>
  <c r="AY306" i="7"/>
  <c r="BA306" i="7"/>
  <c r="AB306" i="11" s="1"/>
  <c r="BB306" i="7"/>
  <c r="AY307" i="7"/>
  <c r="BA307" i="7"/>
  <c r="BB307" i="7"/>
  <c r="AY308" i="7"/>
  <c r="BA308" i="7"/>
  <c r="BB308" i="7"/>
  <c r="AY309" i="7"/>
  <c r="Z309" i="11" s="1"/>
  <c r="BA309" i="7"/>
  <c r="BB309" i="7"/>
  <c r="AC309" i="11" s="1"/>
  <c r="AY310" i="7"/>
  <c r="Z310" i="11" s="1"/>
  <c r="BA310" i="7"/>
  <c r="BB310" i="7"/>
  <c r="AY311" i="7"/>
  <c r="BA311" i="7"/>
  <c r="BB311" i="7"/>
  <c r="AC311" i="11" s="1"/>
  <c r="AY312" i="7"/>
  <c r="BA312" i="7"/>
  <c r="BB312" i="7"/>
  <c r="AC312" i="11" s="1"/>
  <c r="AY313" i="7"/>
  <c r="BA313" i="7"/>
  <c r="BB313" i="7"/>
  <c r="AY314" i="7"/>
  <c r="BA314" i="7"/>
  <c r="AB314" i="11" s="1"/>
  <c r="BB314" i="7"/>
  <c r="AY315" i="7"/>
  <c r="BA315" i="7"/>
  <c r="BB315" i="7"/>
  <c r="AY316" i="7"/>
  <c r="BA316" i="7"/>
  <c r="BB316" i="7"/>
  <c r="AY317" i="7"/>
  <c r="Z317" i="11" s="1"/>
  <c r="BA317" i="7"/>
  <c r="BB317" i="7"/>
  <c r="AC317" i="11" s="1"/>
  <c r="AY318" i="7"/>
  <c r="Z318" i="11" s="1"/>
  <c r="BA318" i="7"/>
  <c r="BB318" i="7"/>
  <c r="AY319" i="7"/>
  <c r="BA319" i="7"/>
  <c r="BB319" i="7"/>
  <c r="AC319" i="11" s="1"/>
  <c r="AY320" i="7"/>
  <c r="BA320" i="7"/>
  <c r="BB320" i="7"/>
  <c r="AC320" i="11" s="1"/>
  <c r="AY321" i="7"/>
  <c r="BA321" i="7"/>
  <c r="BB321" i="7"/>
  <c r="AY322" i="7"/>
  <c r="BA322" i="7"/>
  <c r="AB322" i="11" s="1"/>
  <c r="BB322" i="7"/>
  <c r="AY323" i="7"/>
  <c r="BA323" i="7"/>
  <c r="BB323" i="7"/>
  <c r="AY324" i="7"/>
  <c r="BA324" i="7"/>
  <c r="BB324" i="7"/>
  <c r="AY325" i="7"/>
  <c r="Z325" i="11" s="1"/>
  <c r="BA325" i="7"/>
  <c r="BB325" i="7"/>
  <c r="AC325" i="11" s="1"/>
  <c r="AY326" i="7"/>
  <c r="Z326" i="11" s="1"/>
  <c r="BA326" i="7"/>
  <c r="AB326" i="11" s="1"/>
  <c r="BB326" i="7"/>
  <c r="AY327" i="7"/>
  <c r="BA327" i="7"/>
  <c r="BB327" i="7"/>
  <c r="AC327" i="11" s="1"/>
  <c r="AY328" i="7"/>
  <c r="BA328" i="7"/>
  <c r="BB328" i="7"/>
  <c r="AC328" i="11" s="1"/>
  <c r="AY329" i="7"/>
  <c r="BA329" i="7"/>
  <c r="BB329" i="7"/>
  <c r="AY330" i="7"/>
  <c r="BA330" i="7"/>
  <c r="AB330" i="11" s="1"/>
  <c r="BB330" i="7"/>
  <c r="AY331" i="7"/>
  <c r="BA331" i="7"/>
  <c r="BB331" i="7"/>
  <c r="AY332" i="7"/>
  <c r="BA332" i="7"/>
  <c r="BB332" i="7"/>
  <c r="AY333" i="7"/>
  <c r="Z333" i="11" s="1"/>
  <c r="BA333" i="7"/>
  <c r="BB333" i="7"/>
  <c r="AC333" i="11" s="1"/>
  <c r="AY334" i="7"/>
  <c r="Z334" i="11" s="1"/>
  <c r="BA334" i="7"/>
  <c r="AB334" i="11" s="1"/>
  <c r="BB334" i="7"/>
  <c r="AY335" i="7"/>
  <c r="BA335" i="7"/>
  <c r="BB335" i="7"/>
  <c r="AC335" i="11" s="1"/>
  <c r="AY336" i="7"/>
  <c r="BA336" i="7"/>
  <c r="BB336" i="7"/>
  <c r="AC336" i="11" s="1"/>
  <c r="AY337" i="7"/>
  <c r="BA337" i="7"/>
  <c r="BB337" i="7"/>
  <c r="AY338" i="7"/>
  <c r="BA338" i="7"/>
  <c r="AB338" i="11" s="1"/>
  <c r="BB338" i="7"/>
  <c r="AY339" i="7"/>
  <c r="BA339" i="7"/>
  <c r="BB339" i="7"/>
  <c r="AY340" i="7"/>
  <c r="BA340" i="7"/>
  <c r="BB340" i="7"/>
  <c r="AY341" i="7"/>
  <c r="Z341" i="11" s="1"/>
  <c r="BA341" i="7"/>
  <c r="BB341" i="7"/>
  <c r="AC341" i="11" s="1"/>
  <c r="AY342" i="7"/>
  <c r="Z342" i="11" s="1"/>
  <c r="BA342" i="7"/>
  <c r="AB342" i="11" s="1"/>
  <c r="BB342" i="7"/>
  <c r="AY343" i="7"/>
  <c r="BA343" i="7"/>
  <c r="BB343" i="7"/>
  <c r="AC343" i="11" s="1"/>
  <c r="AY344" i="7"/>
  <c r="BA344" i="7"/>
  <c r="BB344" i="7"/>
  <c r="AC344" i="11" s="1"/>
  <c r="AY345" i="7"/>
  <c r="BA345" i="7"/>
  <c r="BB345" i="7"/>
  <c r="AY346" i="7"/>
  <c r="BA346" i="7"/>
  <c r="AB346" i="11" s="1"/>
  <c r="BB346" i="7"/>
  <c r="AY347" i="7"/>
  <c r="BA347" i="7"/>
  <c r="BB347" i="7"/>
  <c r="AY348" i="7"/>
  <c r="BA348" i="7"/>
  <c r="BB348" i="7"/>
  <c r="AY349" i="7"/>
  <c r="Z349" i="11" s="1"/>
  <c r="BA349" i="7"/>
  <c r="BB349" i="7"/>
  <c r="AC349" i="11" s="1"/>
  <c r="AY350" i="7"/>
  <c r="Z350" i="11" s="1"/>
  <c r="BA350" i="7"/>
  <c r="AB350" i="11" s="1"/>
  <c r="BB350" i="7"/>
  <c r="AY351" i="7"/>
  <c r="BA351" i="7"/>
  <c r="BB351" i="7"/>
  <c r="AC351" i="11" s="1"/>
  <c r="AY352" i="7"/>
  <c r="BA352" i="7"/>
  <c r="BB352" i="7"/>
  <c r="AC352" i="11" s="1"/>
  <c r="AY353" i="7"/>
  <c r="BA353" i="7"/>
  <c r="BB353" i="7"/>
  <c r="AY354" i="7"/>
  <c r="BA354" i="7"/>
  <c r="AB354" i="11" s="1"/>
  <c r="BB354" i="7"/>
  <c r="AY355" i="7"/>
  <c r="BA355" i="7"/>
  <c r="BB355" i="7"/>
  <c r="AY356" i="7"/>
  <c r="BA356" i="7"/>
  <c r="BB356" i="7"/>
  <c r="AY357" i="7"/>
  <c r="Z357" i="11" s="1"/>
  <c r="BA357" i="7"/>
  <c r="BB357" i="7"/>
  <c r="AC357" i="11" s="1"/>
  <c r="AY358" i="7"/>
  <c r="Z358" i="11" s="1"/>
  <c r="BA358" i="7"/>
  <c r="AB358" i="11" s="1"/>
  <c r="BB358" i="7"/>
  <c r="AY359" i="7"/>
  <c r="BA359" i="7"/>
  <c r="BB359" i="7"/>
  <c r="AC359" i="11" s="1"/>
  <c r="AY360" i="7"/>
  <c r="BA360" i="7"/>
  <c r="BB360" i="7"/>
  <c r="AC360" i="11" s="1"/>
  <c r="AY361" i="7"/>
  <c r="BA361" i="7"/>
  <c r="BB361" i="7"/>
  <c r="AY362" i="7"/>
  <c r="BA362" i="7"/>
  <c r="AB362" i="11" s="1"/>
  <c r="BB362" i="7"/>
  <c r="AY363" i="7"/>
  <c r="BA363" i="7"/>
  <c r="BB363" i="7"/>
  <c r="AY364" i="7"/>
  <c r="BA364" i="7"/>
  <c r="BB364" i="7"/>
  <c r="AY365" i="7"/>
  <c r="Z365" i="11" s="1"/>
  <c r="BA365" i="7"/>
  <c r="BB365" i="7"/>
  <c r="AC365" i="11" s="1"/>
  <c r="AY366" i="7"/>
  <c r="Z366" i="11" s="1"/>
  <c r="BA366" i="7"/>
  <c r="AB366" i="11" s="1"/>
  <c r="BB366" i="7"/>
  <c r="AY367" i="7"/>
  <c r="BA367" i="7"/>
  <c r="BB367" i="7"/>
  <c r="AC367" i="11" s="1"/>
  <c r="AY368" i="7"/>
  <c r="BA368" i="7"/>
  <c r="BB368" i="7"/>
  <c r="AC368" i="11" s="1"/>
  <c r="AY369" i="7"/>
  <c r="BA369" i="7"/>
  <c r="BB369" i="7"/>
  <c r="AY370" i="7"/>
  <c r="BA370" i="7"/>
  <c r="AB370" i="11" s="1"/>
  <c r="BB370" i="7"/>
  <c r="AY371" i="7"/>
  <c r="BA371" i="7"/>
  <c r="BB371" i="7"/>
  <c r="AY372" i="7"/>
  <c r="BA372" i="7"/>
  <c r="BB372" i="7"/>
  <c r="AY373" i="7"/>
  <c r="Z373" i="11" s="1"/>
  <c r="BA373" i="7"/>
  <c r="BB373" i="7"/>
  <c r="AC373" i="11" s="1"/>
  <c r="AY374" i="7"/>
  <c r="Z374" i="11" s="1"/>
  <c r="BA374" i="7"/>
  <c r="AB374" i="11" s="1"/>
  <c r="BB374" i="7"/>
  <c r="AY375" i="7"/>
  <c r="BA375" i="7"/>
  <c r="BB375" i="7"/>
  <c r="AC375" i="11" s="1"/>
  <c r="AY376" i="7"/>
  <c r="BA376" i="7"/>
  <c r="BB376" i="7"/>
  <c r="AC376" i="11" s="1"/>
  <c r="AY377" i="7"/>
  <c r="BA377" i="7"/>
  <c r="BB377" i="7"/>
  <c r="AY378" i="7"/>
  <c r="BA378" i="7"/>
  <c r="AB378" i="11" s="1"/>
  <c r="BB378" i="7"/>
  <c r="AY379" i="7"/>
  <c r="BA379" i="7"/>
  <c r="BB379" i="7"/>
  <c r="AY380" i="7"/>
  <c r="BA380" i="7"/>
  <c r="BB380" i="7"/>
  <c r="AY381" i="7"/>
  <c r="Z381" i="11" s="1"/>
  <c r="BA381" i="7"/>
  <c r="BB381" i="7"/>
  <c r="AC381" i="11" s="1"/>
  <c r="AY382" i="7"/>
  <c r="Z382" i="11" s="1"/>
  <c r="BA382" i="7"/>
  <c r="AB382" i="11" s="1"/>
  <c r="BB382" i="7"/>
  <c r="AY383" i="7"/>
  <c r="BA383" i="7"/>
  <c r="BB383" i="7"/>
  <c r="AC383" i="11" s="1"/>
  <c r="AY384" i="7"/>
  <c r="BA384" i="7"/>
  <c r="BB384" i="7"/>
  <c r="AC384" i="11" s="1"/>
  <c r="AY385" i="7"/>
  <c r="BA385" i="7"/>
  <c r="BB385" i="7"/>
  <c r="AY386" i="7"/>
  <c r="BA386" i="7"/>
  <c r="AB386" i="11" s="1"/>
  <c r="BB386" i="7"/>
  <c r="AY387" i="7"/>
  <c r="BA387" i="7"/>
  <c r="BB387" i="7"/>
  <c r="AY388" i="7"/>
  <c r="BA388" i="7"/>
  <c r="BB388" i="7"/>
  <c r="AY389" i="7"/>
  <c r="Z389" i="11" s="1"/>
  <c r="BA389" i="7"/>
  <c r="BB389" i="7"/>
  <c r="AC389" i="11" s="1"/>
  <c r="AY390" i="7"/>
  <c r="Z390" i="11" s="1"/>
  <c r="BA390" i="7"/>
  <c r="AB390" i="11" s="1"/>
  <c r="BB390" i="7"/>
  <c r="AY391" i="7"/>
  <c r="BA391" i="7"/>
  <c r="BB391" i="7"/>
  <c r="AC391" i="11" s="1"/>
  <c r="AY392" i="7"/>
  <c r="BA392" i="7"/>
  <c r="BB392" i="7"/>
  <c r="AC392" i="11" s="1"/>
  <c r="AY393" i="7"/>
  <c r="BA393" i="7"/>
  <c r="BB393" i="7"/>
  <c r="AY394" i="7"/>
  <c r="BA394" i="7"/>
  <c r="AB394" i="11" s="1"/>
  <c r="BB394" i="7"/>
  <c r="AY395" i="7"/>
  <c r="BA395" i="7"/>
  <c r="BB395" i="7"/>
  <c r="AY396" i="7"/>
  <c r="BA396" i="7"/>
  <c r="BB396" i="7"/>
  <c r="AY397" i="7"/>
  <c r="Z397" i="11" s="1"/>
  <c r="BA397" i="7"/>
  <c r="BB397" i="7"/>
  <c r="AC397" i="11" s="1"/>
  <c r="AY398" i="7"/>
  <c r="Z398" i="11" s="1"/>
  <c r="BA398" i="7"/>
  <c r="AB398" i="11" s="1"/>
  <c r="BB398" i="7"/>
  <c r="AY399" i="7"/>
  <c r="BA399" i="7"/>
  <c r="BB399" i="7"/>
  <c r="AC399" i="11" s="1"/>
  <c r="AY400" i="7"/>
  <c r="BA400" i="7"/>
  <c r="BB400" i="7"/>
  <c r="AC400" i="11" s="1"/>
  <c r="AY401" i="7"/>
  <c r="BA401" i="7"/>
  <c r="BB401" i="7"/>
  <c r="AY402" i="7"/>
  <c r="BA402" i="7"/>
  <c r="AB402" i="11" s="1"/>
  <c r="BB402" i="7"/>
  <c r="AY403" i="7"/>
  <c r="BA403" i="7"/>
  <c r="BB403" i="7"/>
  <c r="AY404" i="7"/>
  <c r="BA404" i="7"/>
  <c r="BB404" i="7"/>
  <c r="AY405" i="7"/>
  <c r="Z405" i="11" s="1"/>
  <c r="BA405" i="7"/>
  <c r="BB405" i="7"/>
  <c r="AC405" i="11" s="1"/>
  <c r="AY406" i="7"/>
  <c r="Z406" i="11" s="1"/>
  <c r="BA406" i="7"/>
  <c r="AB406" i="11" s="1"/>
  <c r="BB406" i="7"/>
  <c r="AY407" i="7"/>
  <c r="BA407" i="7"/>
  <c r="BB407" i="7"/>
  <c r="AC407" i="11" s="1"/>
  <c r="AY408" i="7"/>
  <c r="BA408" i="7"/>
  <c r="BB408" i="7"/>
  <c r="AC408" i="11" s="1"/>
  <c r="AY409" i="7"/>
  <c r="BA409" i="7"/>
  <c r="BB409" i="7"/>
  <c r="AY410" i="7"/>
  <c r="BA410" i="7"/>
  <c r="AB410" i="11" s="1"/>
  <c r="BB410" i="7"/>
  <c r="AY411" i="7"/>
  <c r="BA411" i="7"/>
  <c r="BB411" i="7"/>
  <c r="AY412" i="7"/>
  <c r="BA412" i="7"/>
  <c r="BB412" i="7"/>
  <c r="AY413" i="7"/>
  <c r="Z413" i="11" s="1"/>
  <c r="BA413" i="7"/>
  <c r="BB413" i="7"/>
  <c r="AC413" i="11" s="1"/>
  <c r="AY414" i="7"/>
  <c r="Z414" i="11" s="1"/>
  <c r="BA414" i="7"/>
  <c r="AB414" i="11" s="1"/>
  <c r="BB414" i="7"/>
  <c r="AY415" i="7"/>
  <c r="BA415" i="7"/>
  <c r="BB415" i="7"/>
  <c r="AC415" i="11" s="1"/>
  <c r="AY416" i="7"/>
  <c r="BA416" i="7"/>
  <c r="BB416" i="7"/>
  <c r="AC416" i="11" s="1"/>
  <c r="AY417" i="7"/>
  <c r="BA417" i="7"/>
  <c r="BB417" i="7"/>
  <c r="AY418" i="7"/>
  <c r="BA418" i="7"/>
  <c r="AB418" i="11" s="1"/>
  <c r="BB418" i="7"/>
  <c r="AY419" i="7"/>
  <c r="BA419" i="7"/>
  <c r="BB419" i="7"/>
  <c r="AY420" i="7"/>
  <c r="BA420" i="7"/>
  <c r="BB420" i="7"/>
  <c r="AY421" i="7"/>
  <c r="Z421" i="11" s="1"/>
  <c r="BA421" i="7"/>
  <c r="BB421" i="7"/>
  <c r="AC421" i="11" s="1"/>
  <c r="AY422" i="7"/>
  <c r="Z422" i="11" s="1"/>
  <c r="BA422" i="7"/>
  <c r="AB422" i="11" s="1"/>
  <c r="BB422" i="7"/>
  <c r="AY423" i="7"/>
  <c r="BA423" i="7"/>
  <c r="BB423" i="7"/>
  <c r="AC423" i="11" s="1"/>
  <c r="AY424" i="7"/>
  <c r="BA424" i="7"/>
  <c r="BB424" i="7"/>
  <c r="AC424" i="11" s="1"/>
  <c r="AY425" i="7"/>
  <c r="BA425" i="7"/>
  <c r="BB425" i="7"/>
  <c r="AY426" i="7"/>
  <c r="BA426" i="7"/>
  <c r="AB426" i="11" s="1"/>
  <c r="BB426" i="7"/>
  <c r="AY427" i="7"/>
  <c r="BA427" i="7"/>
  <c r="BB427" i="7"/>
  <c r="AY428" i="7"/>
  <c r="BA428" i="7"/>
  <c r="BB428" i="7"/>
  <c r="AY429" i="7"/>
  <c r="Z429" i="11" s="1"/>
  <c r="BA429" i="7"/>
  <c r="BB429" i="7"/>
  <c r="AC429" i="11" s="1"/>
  <c r="AY430" i="7"/>
  <c r="Z430" i="11" s="1"/>
  <c r="BA430" i="7"/>
  <c r="AB430" i="11" s="1"/>
  <c r="BB430" i="7"/>
  <c r="AY431" i="7"/>
  <c r="BA431" i="7"/>
  <c r="BB431" i="7"/>
  <c r="AC431" i="11" s="1"/>
  <c r="AY432" i="7"/>
  <c r="BA432" i="7"/>
  <c r="BB432" i="7"/>
  <c r="AC432" i="11" s="1"/>
  <c r="AY433" i="7"/>
  <c r="BA433" i="7"/>
  <c r="BB433" i="7"/>
  <c r="AY434" i="7"/>
  <c r="BA434" i="7"/>
  <c r="AB434" i="11" s="1"/>
  <c r="BB434" i="7"/>
  <c r="AY435" i="7"/>
  <c r="BA435" i="7"/>
  <c r="BB435" i="7"/>
  <c r="AY436" i="7"/>
  <c r="BA436" i="7"/>
  <c r="BB436" i="7"/>
  <c r="AY437" i="7"/>
  <c r="Z437" i="11" s="1"/>
  <c r="BA437" i="7"/>
  <c r="BB437" i="7"/>
  <c r="AC437" i="11" s="1"/>
  <c r="AY438" i="7"/>
  <c r="Z438" i="11" s="1"/>
  <c r="BA438" i="7"/>
  <c r="AB438" i="11" s="1"/>
  <c r="BB438" i="7"/>
  <c r="AY439" i="7"/>
  <c r="BA439" i="7"/>
  <c r="BB439" i="7"/>
  <c r="AC439" i="11" s="1"/>
  <c r="AY440" i="7"/>
  <c r="BA440" i="7"/>
  <c r="BB440" i="7"/>
  <c r="AC440" i="11" s="1"/>
  <c r="AY441" i="7"/>
  <c r="BA441" i="7"/>
  <c r="BB441" i="7"/>
  <c r="AY442" i="7"/>
  <c r="BA442" i="7"/>
  <c r="AB442" i="11" s="1"/>
  <c r="BB442" i="7"/>
  <c r="AY443" i="7"/>
  <c r="BA443" i="7"/>
  <c r="BB443" i="7"/>
  <c r="AY444" i="7"/>
  <c r="BA444" i="7"/>
  <c r="BB444" i="7"/>
  <c r="AY445" i="7"/>
  <c r="Z445" i="11" s="1"/>
  <c r="BA445" i="7"/>
  <c r="BB445" i="7"/>
  <c r="AC445" i="11" s="1"/>
  <c r="AY446" i="7"/>
  <c r="Z446" i="11" s="1"/>
  <c r="BA446" i="7"/>
  <c r="AB446" i="11" s="1"/>
  <c r="BB446" i="7"/>
  <c r="AY447" i="7"/>
  <c r="BA447" i="7"/>
  <c r="BB447" i="7"/>
  <c r="AC447" i="11" s="1"/>
  <c r="AY448" i="7"/>
  <c r="BA448" i="7"/>
  <c r="BB448" i="7"/>
  <c r="AC448" i="11" s="1"/>
  <c r="AY449" i="7"/>
  <c r="BA449" i="7"/>
  <c r="BB449" i="7"/>
  <c r="AY450" i="7"/>
  <c r="BA450" i="7"/>
  <c r="AB450" i="11" s="1"/>
  <c r="BB450" i="7"/>
  <c r="AY451" i="7"/>
  <c r="BA451" i="7"/>
  <c r="BB451" i="7"/>
  <c r="AY452" i="7"/>
  <c r="BA452" i="7"/>
  <c r="BB452" i="7"/>
  <c r="AY453" i="7"/>
  <c r="Z453" i="11" s="1"/>
  <c r="BA453" i="7"/>
  <c r="BB453" i="7"/>
  <c r="AC453" i="11" s="1"/>
  <c r="AY454" i="7"/>
  <c r="Z454" i="11" s="1"/>
  <c r="BA454" i="7"/>
  <c r="AB454" i="11" s="1"/>
  <c r="BB454" i="7"/>
  <c r="AY455" i="7"/>
  <c r="BA455" i="7"/>
  <c r="BB455" i="7"/>
  <c r="AC455" i="11" s="1"/>
  <c r="AY456" i="7"/>
  <c r="BA456" i="7"/>
  <c r="BB456" i="7"/>
  <c r="AC456" i="11" s="1"/>
  <c r="AY457" i="7"/>
  <c r="BA457" i="7"/>
  <c r="BB457" i="7"/>
  <c r="AY458" i="7"/>
  <c r="BA458" i="7"/>
  <c r="AB458" i="11" s="1"/>
  <c r="BB458" i="7"/>
  <c r="AY459" i="7"/>
  <c r="BA459" i="7"/>
  <c r="BB459" i="7"/>
  <c r="AY460" i="7"/>
  <c r="BA460" i="7"/>
  <c r="BB460" i="7"/>
  <c r="AY461" i="7"/>
  <c r="Z461" i="11" s="1"/>
  <c r="BA461" i="7"/>
  <c r="BB461" i="7"/>
  <c r="AC461" i="11" s="1"/>
  <c r="AY462" i="7"/>
  <c r="Z462" i="11" s="1"/>
  <c r="BA462" i="7"/>
  <c r="AB462" i="11" s="1"/>
  <c r="BB462" i="7"/>
  <c r="AY463" i="7"/>
  <c r="BA463" i="7"/>
  <c r="BB463" i="7"/>
  <c r="AC463" i="11" s="1"/>
  <c r="AY464" i="7"/>
  <c r="BA464" i="7"/>
  <c r="BB464" i="7"/>
  <c r="AC464" i="11" s="1"/>
  <c r="AY465" i="7"/>
  <c r="BA465" i="7"/>
  <c r="BB465" i="7"/>
  <c r="AY466" i="7"/>
  <c r="BA466" i="7"/>
  <c r="AB466" i="11" s="1"/>
  <c r="BB466" i="7"/>
  <c r="AY467" i="7"/>
  <c r="BA467" i="7"/>
  <c r="BB467" i="7"/>
  <c r="AY468" i="7"/>
  <c r="BA468" i="7"/>
  <c r="BB468" i="7"/>
  <c r="AY469" i="7"/>
  <c r="Z469" i="11" s="1"/>
  <c r="BA469" i="7"/>
  <c r="BB469" i="7"/>
  <c r="AC469" i="11" s="1"/>
  <c r="AY470" i="7"/>
  <c r="Z470" i="11" s="1"/>
  <c r="BA470" i="7"/>
  <c r="AB470" i="11" s="1"/>
  <c r="BB470" i="7"/>
  <c r="AY471" i="7"/>
  <c r="BA471" i="7"/>
  <c r="BB471" i="7"/>
  <c r="AC471" i="11" s="1"/>
  <c r="AY472" i="7"/>
  <c r="BA472" i="7"/>
  <c r="BB472" i="7"/>
  <c r="AC472" i="11" s="1"/>
  <c r="AY473" i="7"/>
  <c r="BA473" i="7"/>
  <c r="BB473" i="7"/>
  <c r="AY474" i="7"/>
  <c r="BA474" i="7"/>
  <c r="AB474" i="11" s="1"/>
  <c r="BB474" i="7"/>
  <c r="AY475" i="7"/>
  <c r="BA475" i="7"/>
  <c r="BB475" i="7"/>
  <c r="AY476" i="7"/>
  <c r="BA476" i="7"/>
  <c r="BB476" i="7"/>
  <c r="AY477" i="7"/>
  <c r="Z477" i="11" s="1"/>
  <c r="BA477" i="7"/>
  <c r="BB477" i="7"/>
  <c r="AC477" i="11" s="1"/>
  <c r="AY478" i="7"/>
  <c r="Z478" i="11" s="1"/>
  <c r="BA478" i="7"/>
  <c r="AB478" i="11" s="1"/>
  <c r="BB478" i="7"/>
  <c r="AY479" i="7"/>
  <c r="BA479" i="7"/>
  <c r="BB479" i="7"/>
  <c r="AC479" i="11" s="1"/>
  <c r="AY480" i="7"/>
  <c r="BA480" i="7"/>
  <c r="BB480" i="7"/>
  <c r="AC480" i="11" s="1"/>
  <c r="AY481" i="7"/>
  <c r="BA481" i="7"/>
  <c r="BB481" i="7"/>
  <c r="AY482" i="7"/>
  <c r="BA482" i="7"/>
  <c r="AB482" i="11" s="1"/>
  <c r="BB482" i="7"/>
  <c r="AY483" i="7"/>
  <c r="BA483" i="7"/>
  <c r="BB483" i="7"/>
  <c r="AY484" i="7"/>
  <c r="BA484" i="7"/>
  <c r="BB484" i="7"/>
  <c r="AY5" i="7"/>
  <c r="BB5" i="7"/>
  <c r="BA5" i="7"/>
  <c r="AC47" i="11" l="1"/>
  <c r="AB149" i="11"/>
  <c r="AB85" i="11"/>
  <c r="AB21" i="11"/>
  <c r="Z480" i="11"/>
  <c r="Z472" i="11"/>
  <c r="Z464" i="11"/>
  <c r="Z456" i="11"/>
  <c r="Z448" i="11"/>
  <c r="Z440" i="11"/>
  <c r="Z432" i="11"/>
  <c r="Z424" i="11"/>
  <c r="Z416" i="11"/>
  <c r="Z408" i="11"/>
  <c r="Z400" i="11"/>
  <c r="Z392" i="11"/>
  <c r="Z384" i="11"/>
  <c r="Z376" i="11"/>
  <c r="Z368" i="11"/>
  <c r="Z360" i="11"/>
  <c r="Z352" i="11"/>
  <c r="Z344" i="11"/>
  <c r="Z336" i="11"/>
  <c r="Z328" i="11"/>
  <c r="AB318" i="11"/>
  <c r="AB174" i="11"/>
  <c r="AC138" i="11"/>
  <c r="AB477" i="11"/>
  <c r="AB469" i="11"/>
  <c r="AB461" i="11"/>
  <c r="AB453" i="11"/>
  <c r="AB445" i="11"/>
  <c r="AB437" i="11"/>
  <c r="AB429" i="11"/>
  <c r="AB421" i="11"/>
  <c r="AB413" i="11"/>
  <c r="AB405" i="11"/>
  <c r="AB397" i="11"/>
  <c r="AB389" i="11"/>
  <c r="AB381" i="11"/>
  <c r="AB373" i="11"/>
  <c r="AB365" i="11"/>
  <c r="AB357" i="11"/>
  <c r="AB349" i="11"/>
  <c r="AB341" i="11"/>
  <c r="AB333" i="11"/>
  <c r="AB325" i="11"/>
  <c r="AB158" i="11"/>
  <c r="AC322" i="11"/>
  <c r="Z320" i="11"/>
  <c r="AB317" i="11"/>
  <c r="AC314" i="11"/>
  <c r="Z312" i="11"/>
  <c r="AB309" i="11"/>
  <c r="AC306" i="11"/>
  <c r="Z304" i="11"/>
  <c r="AB301" i="11"/>
  <c r="AC298" i="11"/>
  <c r="Z296" i="11"/>
  <c r="AB293" i="11"/>
  <c r="AC290" i="11"/>
  <c r="AB285" i="11"/>
  <c r="AC282" i="11"/>
  <c r="AB277" i="11"/>
  <c r="AC274" i="11"/>
  <c r="AB269" i="11"/>
  <c r="AC266" i="11"/>
  <c r="AB261" i="11"/>
  <c r="AC258" i="11"/>
  <c r="AB253" i="11"/>
  <c r="AC250" i="11"/>
  <c r="AB245" i="11"/>
  <c r="AC242" i="11"/>
  <c r="AB237" i="11"/>
  <c r="AC234" i="11"/>
  <c r="AB229" i="11"/>
  <c r="AC226" i="11"/>
  <c r="AB221" i="11"/>
  <c r="AC218" i="11"/>
  <c r="AB213" i="11"/>
  <c r="AC210" i="11"/>
  <c r="AB205" i="11"/>
  <c r="AC202" i="11"/>
  <c r="AB197" i="11"/>
  <c r="AC194" i="11"/>
  <c r="AB189" i="11"/>
  <c r="AC186" i="11"/>
  <c r="AB181" i="11"/>
  <c r="AC178" i="11"/>
  <c r="AB117" i="11"/>
  <c r="AB53" i="11"/>
  <c r="AC170" i="11"/>
  <c r="AB142" i="11"/>
  <c r="AC482" i="11"/>
  <c r="AC474" i="11"/>
  <c r="AC466" i="11"/>
  <c r="AC458" i="11"/>
  <c r="AC450" i="11"/>
  <c r="AC442" i="11"/>
  <c r="AC434" i="11"/>
  <c r="AC426" i="11"/>
  <c r="AC418" i="11"/>
  <c r="AC410" i="11"/>
  <c r="AC402" i="11"/>
  <c r="AC394" i="11"/>
  <c r="AC386" i="11"/>
  <c r="AC378" i="11"/>
  <c r="AC370" i="11"/>
  <c r="AC362" i="11"/>
  <c r="AC354" i="11"/>
  <c r="AC346" i="11"/>
  <c r="AC338" i="11"/>
  <c r="AC330" i="11"/>
  <c r="AB165" i="11"/>
  <c r="AB101" i="11"/>
  <c r="AB37" i="11"/>
  <c r="Z168" i="11"/>
  <c r="Z152" i="11"/>
  <c r="Z136" i="11"/>
  <c r="Z120" i="11"/>
  <c r="AB310" i="11"/>
  <c r="AB302" i="11"/>
  <c r="AB294" i="11"/>
  <c r="AB286" i="11"/>
  <c r="AB278" i="11"/>
  <c r="AB270" i="11"/>
  <c r="AB262" i="11"/>
  <c r="AB254" i="11"/>
  <c r="AB246" i="11"/>
  <c r="AB238" i="11"/>
  <c r="AB230" i="11"/>
  <c r="AB222" i="11"/>
  <c r="AB214" i="11"/>
  <c r="AB206" i="11"/>
  <c r="AB198" i="11"/>
  <c r="AB190" i="11"/>
  <c r="AB182" i="11"/>
  <c r="AC162" i="11"/>
  <c r="AC146" i="11"/>
  <c r="Z288" i="11"/>
  <c r="Z280" i="11"/>
  <c r="Z272" i="11"/>
  <c r="Z264" i="11"/>
  <c r="Z256" i="11"/>
  <c r="Z248" i="11"/>
  <c r="Z240" i="11"/>
  <c r="Z232" i="11"/>
  <c r="Z224" i="11"/>
  <c r="Z216" i="11"/>
  <c r="Z208" i="11"/>
  <c r="Z200" i="11"/>
  <c r="Z192" i="11"/>
  <c r="Z184" i="11"/>
  <c r="Z176" i="11"/>
  <c r="Z160" i="11"/>
  <c r="Z144" i="11"/>
  <c r="Z128" i="11"/>
  <c r="Z112" i="11"/>
  <c r="AB173" i="11"/>
  <c r="AB166" i="11"/>
  <c r="AB157" i="11"/>
  <c r="AB150" i="11"/>
  <c r="AB141" i="11"/>
  <c r="AB125" i="11"/>
  <c r="AB109" i="11"/>
  <c r="AB93" i="11"/>
  <c r="AB77" i="11"/>
  <c r="AB61" i="11"/>
  <c r="AB45" i="11"/>
  <c r="AB29" i="11"/>
  <c r="AB13" i="11"/>
  <c r="Z104" i="11"/>
  <c r="Z96" i="11"/>
  <c r="Z88" i="11"/>
  <c r="Z80" i="11"/>
  <c r="Z72" i="11"/>
  <c r="Z64" i="11"/>
  <c r="Z56" i="11"/>
  <c r="Z48" i="11"/>
  <c r="Z42" i="11"/>
  <c r="Z40" i="11"/>
  <c r="Z34" i="11"/>
  <c r="Z32" i="11"/>
  <c r="Z26" i="11"/>
  <c r="Z24" i="11"/>
  <c r="Z18" i="11"/>
  <c r="Z16" i="11"/>
  <c r="Z10" i="11"/>
  <c r="Z8" i="11"/>
  <c r="AC130" i="11"/>
  <c r="AC122" i="11"/>
  <c r="AC114" i="11"/>
  <c r="AC106" i="11"/>
  <c r="AC98" i="11"/>
  <c r="AC90" i="11"/>
  <c r="AC82" i="11"/>
  <c r="AC74" i="11"/>
  <c r="AC66" i="11"/>
  <c r="AC58" i="11"/>
  <c r="AC52" i="11"/>
  <c r="AC50" i="11"/>
  <c r="AC44" i="11"/>
  <c r="AC42" i="11"/>
  <c r="AC36" i="11"/>
  <c r="AC34" i="11"/>
  <c r="AC28" i="11"/>
  <c r="AC26" i="11"/>
  <c r="AC20" i="11"/>
  <c r="AC18" i="11"/>
  <c r="AC12" i="11"/>
  <c r="AC10" i="11"/>
  <c r="AB134" i="11"/>
  <c r="AB126" i="11"/>
  <c r="AB118" i="11"/>
  <c r="AB110" i="11"/>
  <c r="AB102" i="11"/>
  <c r="AB94" i="11"/>
  <c r="AB86" i="11"/>
  <c r="AB78" i="11"/>
  <c r="AB70" i="11"/>
  <c r="AB62" i="11"/>
  <c r="AB54" i="11"/>
  <c r="AB46" i="11"/>
  <c r="AB38" i="11"/>
  <c r="AB30" i="11"/>
  <c r="AB22" i="11"/>
  <c r="AB14" i="11"/>
  <c r="AB6" i="11"/>
  <c r="AB472" i="11"/>
  <c r="AB456" i="11"/>
  <c r="AB448" i="11"/>
  <c r="AB424" i="11"/>
  <c r="AB408" i="11"/>
  <c r="AB400" i="11"/>
  <c r="AB392" i="11"/>
  <c r="AB384" i="11"/>
  <c r="AB376" i="11"/>
  <c r="AB368" i="11"/>
  <c r="AB360" i="11"/>
  <c r="AB352" i="11"/>
  <c r="AB344" i="11"/>
  <c r="AB336" i="11"/>
  <c r="AB328" i="11"/>
  <c r="AB320" i="11"/>
  <c r="AB312" i="11"/>
  <c r="AB304" i="11"/>
  <c r="AB296" i="11"/>
  <c r="AB288" i="11"/>
  <c r="AB280" i="11"/>
  <c r="AB272" i="11"/>
  <c r="AB264" i="11"/>
  <c r="AB256" i="11"/>
  <c r="AB248" i="11"/>
  <c r="AB240" i="11"/>
  <c r="AB232" i="11"/>
  <c r="AB224" i="11"/>
  <c r="AB216" i="11"/>
  <c r="AB208" i="11"/>
  <c r="AB200" i="11"/>
  <c r="AB192" i="11"/>
  <c r="AB184" i="11"/>
  <c r="AB176" i="11"/>
  <c r="AB168" i="11"/>
  <c r="AB160" i="11"/>
  <c r="AB152" i="11"/>
  <c r="AB144" i="11"/>
  <c r="AB136" i="11"/>
  <c r="AB128" i="11"/>
  <c r="AB120" i="11"/>
  <c r="AB112" i="11"/>
  <c r="AB104" i="11"/>
  <c r="AB96" i="11"/>
  <c r="AB88" i="11"/>
  <c r="AB80" i="11"/>
  <c r="AB72" i="11"/>
  <c r="AB64" i="11"/>
  <c r="AB56" i="11"/>
  <c r="AB48" i="11"/>
  <c r="AB40" i="11"/>
  <c r="AB32" i="11"/>
  <c r="AB24" i="11"/>
  <c r="AB16" i="11"/>
  <c r="AB8" i="11"/>
  <c r="AB480" i="11"/>
  <c r="AB464" i="11"/>
  <c r="AB440" i="11"/>
  <c r="AB432" i="11"/>
  <c r="AB416" i="11"/>
  <c r="Z483" i="11"/>
  <c r="Z475" i="11"/>
  <c r="Z467" i="11"/>
  <c r="Z459" i="11"/>
  <c r="Z291" i="11"/>
  <c r="Z283" i="11"/>
  <c r="Z275" i="11"/>
  <c r="Z267" i="11"/>
  <c r="Z259" i="11"/>
  <c r="Z251" i="11"/>
  <c r="Z243" i="11"/>
  <c r="Z235" i="11"/>
  <c r="Z227" i="11"/>
  <c r="Z219" i="11"/>
  <c r="Z211" i="11"/>
  <c r="Z203" i="11"/>
  <c r="Z195" i="11"/>
  <c r="Z187" i="11"/>
  <c r="Z179" i="11"/>
  <c r="Z171" i="11"/>
  <c r="Z163" i="11"/>
  <c r="Z155" i="11"/>
  <c r="Z147" i="11"/>
  <c r="Z139" i="11"/>
  <c r="Z131" i="11"/>
  <c r="Z123" i="11"/>
  <c r="Z115" i="11"/>
  <c r="Z107" i="11"/>
  <c r="Z99" i="11"/>
  <c r="Z91" i="11"/>
  <c r="Z83" i="11"/>
  <c r="Z75" i="11"/>
  <c r="Z67" i="11"/>
  <c r="Z59" i="11"/>
  <c r="Z51" i="11"/>
  <c r="Z43" i="11"/>
  <c r="Z35" i="11"/>
  <c r="Z27" i="11"/>
  <c r="Z19" i="11"/>
  <c r="Z11" i="11"/>
  <c r="AC476" i="11"/>
  <c r="AC460" i="11"/>
  <c r="AC444" i="11"/>
  <c r="AC404" i="11"/>
  <c r="AC380" i="11"/>
  <c r="AC348" i="11"/>
  <c r="AC332" i="11"/>
  <c r="AC316" i="11"/>
  <c r="AC436" i="11"/>
  <c r="AC388" i="11"/>
  <c r="AC292" i="11"/>
  <c r="AC284" i="11"/>
  <c r="Z482" i="11"/>
  <c r="Z426" i="11"/>
  <c r="Z402" i="11"/>
  <c r="Z386" i="11"/>
  <c r="Z378" i="11"/>
  <c r="Z370" i="11"/>
  <c r="Z362" i="11"/>
  <c r="Z354" i="11"/>
  <c r="Z346" i="11"/>
  <c r="Z338" i="11"/>
  <c r="Z330" i="11"/>
  <c r="Z322" i="11"/>
  <c r="Z314" i="11"/>
  <c r="Z306" i="11"/>
  <c r="Z298" i="11"/>
  <c r="Z290" i="11"/>
  <c r="Z282" i="11"/>
  <c r="Z274" i="11"/>
  <c r="AC468" i="11"/>
  <c r="AC452" i="11"/>
  <c r="AC420" i="11"/>
  <c r="AC412" i="11"/>
  <c r="AC356" i="11"/>
  <c r="Z474" i="11"/>
  <c r="Z466" i="11"/>
  <c r="Z442" i="11"/>
  <c r="AC484" i="11"/>
  <c r="AC428" i="11"/>
  <c r="AC396" i="11"/>
  <c r="AC372" i="11"/>
  <c r="AC340" i="11"/>
  <c r="AC300" i="11"/>
  <c r="AC276" i="11"/>
  <c r="Z450" i="11"/>
  <c r="Z418" i="11"/>
  <c r="AB479" i="11"/>
  <c r="AB463" i="11"/>
  <c r="AB447" i="11"/>
  <c r="AB431" i="11"/>
  <c r="AB423" i="11"/>
  <c r="AB407" i="11"/>
  <c r="AB399" i="11"/>
  <c r="AB383" i="11"/>
  <c r="AB367" i="11"/>
  <c r="AB343" i="11"/>
  <c r="AB319" i="11"/>
  <c r="AB311" i="11"/>
  <c r="AB303" i="11"/>
  <c r="AB295" i="11"/>
  <c r="AB287" i="11"/>
  <c r="AB279" i="11"/>
  <c r="AB271" i="11"/>
  <c r="AC364" i="11"/>
  <c r="AC324" i="11"/>
  <c r="AC308" i="11"/>
  <c r="Z458" i="11"/>
  <c r="Z434" i="11"/>
  <c r="Z410" i="11"/>
  <c r="Z394" i="11"/>
  <c r="AB471" i="11"/>
  <c r="AB455" i="11"/>
  <c r="AB439" i="11"/>
  <c r="AB415" i="11"/>
  <c r="AB391" i="11"/>
  <c r="AB375" i="11"/>
  <c r="AB359" i="11"/>
  <c r="AB351" i="11"/>
  <c r="AB335" i="11"/>
  <c r="AB327" i="11"/>
  <c r="Z451" i="11"/>
  <c r="Z443" i="11"/>
  <c r="Z435" i="11"/>
  <c r="Z427" i="11"/>
  <c r="Z419" i="11"/>
  <c r="Z411" i="11"/>
  <c r="Z403" i="11"/>
  <c r="Z395" i="11"/>
  <c r="Z387" i="11"/>
  <c r="Z379" i="11"/>
  <c r="Z371" i="11"/>
  <c r="Z363" i="11"/>
  <c r="Z355" i="11"/>
  <c r="Z347" i="11"/>
  <c r="Z339" i="11"/>
  <c r="Z331" i="11"/>
  <c r="Z323" i="11"/>
  <c r="Z315" i="11"/>
  <c r="Z307" i="11"/>
  <c r="Z299" i="11"/>
  <c r="Z481" i="11"/>
  <c r="Z449" i="11"/>
  <c r="Z441" i="11"/>
  <c r="Z401" i="11"/>
  <c r="AC443" i="11"/>
  <c r="AC427" i="11"/>
  <c r="AC419" i="11"/>
  <c r="AC411" i="11"/>
  <c r="AC403" i="11"/>
  <c r="AC395" i="11"/>
  <c r="AC387" i="11"/>
  <c r="AC379" i="11"/>
  <c r="AC371" i="11"/>
  <c r="AC363" i="11"/>
  <c r="AC355" i="11"/>
  <c r="AC347" i="11"/>
  <c r="AC339" i="11"/>
  <c r="AC331" i="11"/>
  <c r="AC323" i="11"/>
  <c r="AC315" i="11"/>
  <c r="AC307" i="11"/>
  <c r="AC299" i="11"/>
  <c r="AC291" i="11"/>
  <c r="AC283" i="11"/>
  <c r="AC275" i="11"/>
  <c r="AC267" i="11"/>
  <c r="AC259" i="11"/>
  <c r="AC251" i="11"/>
  <c r="AC243" i="11"/>
  <c r="AC235" i="11"/>
  <c r="AC227" i="11"/>
  <c r="AC219" i="11"/>
  <c r="AC211" i="11"/>
  <c r="AC203" i="11"/>
  <c r="AC195" i="11"/>
  <c r="AC187" i="11"/>
  <c r="AC179" i="11"/>
  <c r="AC171" i="11"/>
  <c r="AC163" i="11"/>
  <c r="AC155" i="11"/>
  <c r="AC147" i="11"/>
  <c r="AC139" i="11"/>
  <c r="AC131" i="11"/>
  <c r="AC123" i="11"/>
  <c r="AC115" i="11"/>
  <c r="AC107" i="11"/>
  <c r="AC99" i="11"/>
  <c r="AC91" i="11"/>
  <c r="AC83" i="11"/>
  <c r="AC75" i="11"/>
  <c r="AC67" i="11"/>
  <c r="AC59" i="11"/>
  <c r="AC51" i="11"/>
  <c r="AC43" i="11"/>
  <c r="AC35" i="11"/>
  <c r="AC27" i="11"/>
  <c r="AC19" i="11"/>
  <c r="AC11" i="11"/>
  <c r="AC435" i="11"/>
  <c r="AC483" i="11"/>
  <c r="AC475" i="11"/>
  <c r="AC467" i="11"/>
  <c r="AC459" i="11"/>
  <c r="AC451" i="11"/>
  <c r="Z473" i="11"/>
  <c r="Z465" i="11"/>
  <c r="Z457" i="11"/>
  <c r="Z433" i="11"/>
  <c r="Z425" i="11"/>
  <c r="Z417" i="11"/>
  <c r="Z409" i="11"/>
  <c r="Z393" i="11"/>
  <c r="Z385" i="11"/>
  <c r="Z377" i="11"/>
  <c r="Z369" i="11"/>
  <c r="Z361" i="11"/>
  <c r="Z353" i="11"/>
  <c r="Z345" i="11"/>
  <c r="Z337" i="11"/>
  <c r="Z329" i="11"/>
  <c r="Z321" i="11"/>
  <c r="Z313" i="11"/>
  <c r="Z305" i="11"/>
  <c r="Z297" i="11"/>
  <c r="Z289" i="11"/>
  <c r="Z281" i="11"/>
  <c r="Z273" i="11"/>
  <c r="Z265" i="11"/>
  <c r="Z257" i="11"/>
  <c r="Z249" i="11"/>
  <c r="Z241" i="11"/>
  <c r="Z233" i="11"/>
  <c r="Z225" i="11"/>
  <c r="Z217" i="11"/>
  <c r="Z209" i="11"/>
  <c r="Z201" i="11"/>
  <c r="Z193" i="11"/>
  <c r="Z185" i="11"/>
  <c r="Z177" i="11"/>
  <c r="Z169" i="11"/>
  <c r="Z161" i="11"/>
  <c r="Z153" i="11"/>
  <c r="Z145" i="11"/>
  <c r="Z137" i="11"/>
  <c r="Z129" i="11"/>
  <c r="Z121" i="11"/>
  <c r="Z113" i="11"/>
  <c r="Z105" i="11"/>
  <c r="Z97" i="11"/>
  <c r="Z89" i="11"/>
  <c r="Z81" i="11"/>
  <c r="Z73" i="11"/>
  <c r="Z65" i="11"/>
  <c r="Z57" i="11"/>
  <c r="Z49" i="11"/>
  <c r="Z41" i="11"/>
  <c r="Z33" i="11"/>
  <c r="Z25" i="11"/>
  <c r="Z17" i="11"/>
  <c r="Z9" i="11"/>
  <c r="AC478" i="11"/>
  <c r="AC470" i="11"/>
  <c r="AC462" i="11"/>
  <c r="AC454" i="11"/>
  <c r="AB427" i="11"/>
  <c r="AB403" i="11"/>
  <c r="AB387" i="11"/>
  <c r="AB379" i="11"/>
  <c r="AB371" i="11"/>
  <c r="AB355" i="11"/>
  <c r="AB331" i="11"/>
  <c r="AB291" i="11"/>
  <c r="AB195" i="11"/>
  <c r="AB171" i="11"/>
  <c r="AB163" i="11"/>
  <c r="AB139" i="11"/>
  <c r="AB131" i="11"/>
  <c r="AB123" i="11"/>
  <c r="AB115" i="11"/>
  <c r="AB107" i="11"/>
  <c r="AB99" i="11"/>
  <c r="AB91" i="11"/>
  <c r="AB83" i="11"/>
  <c r="AB75" i="11"/>
  <c r="AB67" i="11"/>
  <c r="AB59" i="11"/>
  <c r="AB51" i="11"/>
  <c r="AB43" i="11"/>
  <c r="AB35" i="11"/>
  <c r="AB27" i="11"/>
  <c r="AB19" i="11"/>
  <c r="AB11" i="11"/>
  <c r="AB483" i="11"/>
  <c r="AB475" i="11"/>
  <c r="AB467" i="11"/>
  <c r="AB459" i="11"/>
  <c r="AB451" i="11"/>
  <c r="AB443" i="11"/>
  <c r="AB435" i="11"/>
  <c r="AB419" i="11"/>
  <c r="AB411" i="11"/>
  <c r="AB395" i="11"/>
  <c r="AB363" i="11"/>
  <c r="AB347" i="11"/>
  <c r="AB339" i="11"/>
  <c r="AB323" i="11"/>
  <c r="AB315" i="11"/>
  <c r="AB307" i="11"/>
  <c r="AB299" i="11"/>
  <c r="AB283" i="11"/>
  <c r="AB275" i="11"/>
  <c r="AB267" i="11"/>
  <c r="AB259" i="11"/>
  <c r="AB251" i="11"/>
  <c r="AB243" i="11"/>
  <c r="AB235" i="11"/>
  <c r="AB227" i="11"/>
  <c r="AB219" i="11"/>
  <c r="AB211" i="11"/>
  <c r="AB203" i="11"/>
  <c r="AB187" i="11"/>
  <c r="AB179" i="11"/>
  <c r="AB155" i="11"/>
  <c r="AB147" i="11"/>
  <c r="AC446" i="11"/>
  <c r="AC438" i="11"/>
  <c r="AC430" i="11"/>
  <c r="AC422" i="11"/>
  <c r="AC414" i="11"/>
  <c r="AC406" i="11"/>
  <c r="AC398" i="11"/>
  <c r="AC390" i="11"/>
  <c r="Z420" i="11"/>
  <c r="Z404" i="11"/>
  <c r="Z396" i="11"/>
  <c r="Z388" i="11"/>
  <c r="Z380" i="11"/>
  <c r="Z372" i="11"/>
  <c r="Z476" i="11"/>
  <c r="Z484" i="11"/>
  <c r="Z468" i="11"/>
  <c r="Z460" i="11"/>
  <c r="Z452" i="11"/>
  <c r="Z444" i="11"/>
  <c r="Z436" i="11"/>
  <c r="Z428" i="11"/>
  <c r="Z412" i="11"/>
  <c r="AB476" i="11"/>
  <c r="AB468" i="11"/>
  <c r="AB460" i="11"/>
  <c r="AB452" i="11"/>
  <c r="AB444" i="11"/>
  <c r="AB436" i="11"/>
  <c r="AB428" i="11"/>
  <c r="AB420" i="11"/>
  <c r="AB412" i="11"/>
  <c r="AB396" i="11"/>
  <c r="AB388" i="11"/>
  <c r="AB380" i="11"/>
  <c r="AB372" i="11"/>
  <c r="AB300" i="11"/>
  <c r="AB292" i="11"/>
  <c r="AB284" i="11"/>
  <c r="AB276" i="11"/>
  <c r="AB268" i="11"/>
  <c r="AB260" i="11"/>
  <c r="AB252" i="11"/>
  <c r="AB244" i="11"/>
  <c r="AB236" i="11"/>
  <c r="AB228" i="11"/>
  <c r="AB212" i="11"/>
  <c r="AB204" i="11"/>
  <c r="AB196" i="11"/>
  <c r="AB188" i="11"/>
  <c r="AB180" i="11"/>
  <c r="AB172" i="11"/>
  <c r="AB164" i="11"/>
  <c r="AB156" i="11"/>
  <c r="AB148" i="11"/>
  <c r="AB140" i="11"/>
  <c r="AB132" i="11"/>
  <c r="AB124" i="11"/>
  <c r="AB116" i="11"/>
  <c r="AB108" i="11"/>
  <c r="AB100" i="11"/>
  <c r="AB92" i="11"/>
  <c r="AB84" i="11"/>
  <c r="AB76" i="11"/>
  <c r="AB68" i="11"/>
  <c r="AB60" i="11"/>
  <c r="AB52" i="11"/>
  <c r="AB44" i="11"/>
  <c r="AB36" i="11"/>
  <c r="AB28" i="11"/>
  <c r="AB20" i="11"/>
  <c r="AB12" i="11"/>
  <c r="AB484" i="11"/>
  <c r="AB404" i="11"/>
  <c r="AB364" i="11"/>
  <c r="AB356" i="11"/>
  <c r="AB348" i="11"/>
  <c r="AB340" i="11"/>
  <c r="AB332" i="11"/>
  <c r="AB324" i="11"/>
  <c r="AB316" i="11"/>
  <c r="AB308" i="11"/>
  <c r="AB220" i="11"/>
  <c r="AC481" i="11"/>
  <c r="AC473" i="11"/>
  <c r="AC457" i="11"/>
  <c r="AC433" i="11"/>
  <c r="AC425" i="11"/>
  <c r="AC393" i="11"/>
  <c r="AC345" i="11"/>
  <c r="AC337" i="11"/>
  <c r="AC329" i="11"/>
  <c r="AC321" i="11"/>
  <c r="AC313" i="11"/>
  <c r="AC305" i="11"/>
  <c r="AC297" i="11"/>
  <c r="AC289" i="11"/>
  <c r="AC281" i="11"/>
  <c r="AC273" i="11"/>
  <c r="AC265" i="11"/>
  <c r="AC257" i="11"/>
  <c r="AC249" i="11"/>
  <c r="AC241" i="11"/>
  <c r="AC233" i="11"/>
  <c r="AC225" i="11"/>
  <c r="AC217" i="11"/>
  <c r="AC209" i="11"/>
  <c r="AC201" i="11"/>
  <c r="AC193" i="11"/>
  <c r="AC185" i="11"/>
  <c r="AC177" i="11"/>
  <c r="AC169" i="11"/>
  <c r="AC161" i="11"/>
  <c r="AC153" i="11"/>
  <c r="AC145" i="11"/>
  <c r="AC137" i="11"/>
  <c r="AC129" i="11"/>
  <c r="AC121" i="11"/>
  <c r="AC113" i="11"/>
  <c r="AC105" i="11"/>
  <c r="AC97" i="11"/>
  <c r="AC89" i="11"/>
  <c r="AC81" i="11"/>
  <c r="AC73" i="11"/>
  <c r="AC65" i="11"/>
  <c r="AC57" i="11"/>
  <c r="AC49" i="11"/>
  <c r="AC41" i="11"/>
  <c r="AC33" i="11"/>
  <c r="AC25" i="11"/>
  <c r="AC17" i="11"/>
  <c r="AC9" i="11"/>
  <c r="AC465" i="11"/>
  <c r="AC441" i="11"/>
  <c r="AC409" i="11"/>
  <c r="AC385" i="11"/>
  <c r="AC353" i="11"/>
  <c r="AC449" i="11"/>
  <c r="AC417" i="11"/>
  <c r="AC401" i="11"/>
  <c r="AC377" i="11"/>
  <c r="AC369" i="11"/>
  <c r="AC361" i="11"/>
  <c r="Z479" i="11"/>
  <c r="Z471" i="11"/>
  <c r="Z463" i="11"/>
  <c r="Z455" i="11"/>
  <c r="Z447" i="11"/>
  <c r="Z439" i="11"/>
  <c r="Z431" i="11"/>
  <c r="Z423" i="11"/>
  <c r="Z415" i="11"/>
  <c r="Z407" i="11"/>
  <c r="Z399" i="11"/>
  <c r="Z391" i="11"/>
  <c r="Z383" i="11"/>
  <c r="Z375" i="11"/>
  <c r="Z367" i="11"/>
  <c r="Z359" i="11"/>
  <c r="Z351" i="11"/>
  <c r="Z343" i="11"/>
  <c r="Z335" i="11"/>
  <c r="Z327" i="11"/>
  <c r="Z319" i="11"/>
  <c r="Z311" i="11"/>
  <c r="Z303" i="11"/>
  <c r="Z295" i="11"/>
  <c r="Z287" i="11"/>
  <c r="Z279" i="11"/>
  <c r="Z271" i="11"/>
  <c r="Z263" i="11"/>
  <c r="Z255" i="11"/>
  <c r="Z247" i="11"/>
  <c r="Z239" i="11"/>
  <c r="Z231" i="11"/>
  <c r="Z223" i="11"/>
  <c r="Z215" i="11"/>
  <c r="Z207" i="11"/>
  <c r="Z199" i="11"/>
  <c r="Z191" i="11"/>
  <c r="Z183" i="11"/>
  <c r="Z175" i="11"/>
  <c r="Z167" i="11"/>
  <c r="Z159" i="11"/>
  <c r="Z151" i="11"/>
  <c r="Z143" i="11"/>
  <c r="Z135" i="11"/>
  <c r="Z127" i="11"/>
  <c r="Z119" i="11"/>
  <c r="Z111" i="11"/>
  <c r="Z103" i="11"/>
  <c r="Z95" i="11"/>
  <c r="Z87" i="11"/>
  <c r="Z79" i="11"/>
  <c r="Z71" i="11"/>
  <c r="Z63" i="11"/>
  <c r="Z55" i="11"/>
  <c r="Z47" i="11"/>
  <c r="Z39" i="11"/>
  <c r="Z31" i="11"/>
  <c r="Z23" i="11"/>
  <c r="Z15" i="11"/>
  <c r="Z7" i="11"/>
  <c r="AC382" i="11"/>
  <c r="AC374" i="11"/>
  <c r="AC366" i="11"/>
  <c r="AC358" i="11"/>
  <c r="AC350" i="11"/>
  <c r="AC342" i="11"/>
  <c r="AC334" i="11"/>
  <c r="AC326" i="11"/>
  <c r="AC318" i="11"/>
  <c r="Z364" i="11"/>
  <c r="Z356" i="11"/>
  <c r="Z348" i="11"/>
  <c r="Z340" i="11"/>
  <c r="Z332" i="11"/>
  <c r="Z324" i="11"/>
  <c r="Z316" i="11"/>
  <c r="Z308" i="11"/>
  <c r="AC310" i="11"/>
  <c r="AC302" i="11"/>
  <c r="AC294" i="11"/>
  <c r="AC286" i="11"/>
  <c r="AC278" i="11"/>
  <c r="AC270" i="11"/>
  <c r="AC262" i="11"/>
  <c r="AC254" i="11"/>
  <c r="AC246" i="11"/>
  <c r="AC238" i="11"/>
  <c r="AC230" i="11"/>
  <c r="AC222" i="11"/>
  <c r="AC214" i="11"/>
  <c r="AC206" i="11"/>
  <c r="AC198" i="11"/>
  <c r="AC190" i="11"/>
  <c r="AC182" i="11"/>
  <c r="AC174" i="11"/>
  <c r="AC166" i="11"/>
  <c r="AC158" i="11"/>
  <c r="AC150" i="11"/>
  <c r="AC142" i="11"/>
  <c r="AC134" i="11"/>
  <c r="AC126" i="11"/>
  <c r="AC118" i="11"/>
  <c r="AC110" i="11"/>
  <c r="AC102" i="11"/>
  <c r="AC94" i="11"/>
  <c r="AC86" i="11"/>
  <c r="AC78" i="11"/>
  <c r="AC70" i="11"/>
  <c r="AC62" i="11"/>
  <c r="AC54" i="11"/>
  <c r="AC46" i="11"/>
  <c r="AC38" i="11"/>
  <c r="AC30" i="11"/>
  <c r="AC22" i="11"/>
  <c r="AC14" i="11"/>
  <c r="AC6" i="11"/>
  <c r="Z300" i="11"/>
  <c r="Z292" i="11"/>
  <c r="Z284" i="11"/>
  <c r="Z276" i="11"/>
  <c r="Z268" i="11"/>
  <c r="Z260" i="11"/>
  <c r="Z252" i="11"/>
  <c r="Z244" i="11"/>
  <c r="Z236" i="11"/>
  <c r="Z228" i="11"/>
  <c r="Z220" i="11"/>
  <c r="Z212" i="11"/>
  <c r="Z204" i="11"/>
  <c r="Z196" i="11"/>
  <c r="Z188" i="11"/>
  <c r="Z180" i="11"/>
  <c r="Z172" i="11"/>
  <c r="Z164" i="11"/>
  <c r="Z156" i="11"/>
  <c r="Z148" i="11"/>
  <c r="Z140" i="11"/>
  <c r="Z132" i="11"/>
  <c r="Z124" i="11"/>
  <c r="Z116" i="11"/>
  <c r="Z108" i="11"/>
  <c r="Z100" i="11"/>
  <c r="Z92" i="11"/>
  <c r="Z84" i="11"/>
  <c r="Z76" i="11"/>
  <c r="Z68" i="11"/>
  <c r="Z60" i="11"/>
  <c r="Z52" i="11"/>
  <c r="Z44" i="11"/>
  <c r="Z36" i="11"/>
  <c r="Z28" i="11"/>
  <c r="Z20" i="11"/>
  <c r="Z12" i="11"/>
  <c r="AB481" i="11"/>
  <c r="AB473" i="11"/>
  <c r="AB465" i="11"/>
  <c r="AB457" i="11"/>
  <c r="AB449" i="11"/>
  <c r="AB441" i="11"/>
  <c r="AB433" i="11"/>
  <c r="AB425" i="11"/>
  <c r="AB417" i="11"/>
  <c r="AB409" i="11"/>
  <c r="AB401" i="11"/>
  <c r="AB393" i="11"/>
  <c r="AB377" i="11"/>
  <c r="AB369" i="11"/>
  <c r="AB361" i="11"/>
  <c r="AB353" i="11"/>
  <c r="AB329" i="11"/>
  <c r="AB321" i="11"/>
  <c r="AB313" i="11"/>
  <c r="AB305" i="11"/>
  <c r="AB297" i="11"/>
  <c r="AB273" i="11"/>
  <c r="AB265" i="11"/>
  <c r="AB257" i="11"/>
  <c r="AB249" i="11"/>
  <c r="AB241" i="11"/>
  <c r="AB233" i="11"/>
  <c r="AB225" i="11"/>
  <c r="AB217" i="11"/>
  <c r="AB209" i="11"/>
  <c r="AB201" i="11"/>
  <c r="AB185" i="11"/>
  <c r="AB177" i="11"/>
  <c r="AB169" i="11"/>
  <c r="AB161" i="11"/>
  <c r="AB153" i="11"/>
  <c r="AB145" i="11"/>
  <c r="AB137" i="11"/>
  <c r="AB129" i="11"/>
  <c r="AB121" i="11"/>
  <c r="AB113" i="11"/>
  <c r="AB105" i="11"/>
  <c r="AB97" i="11"/>
  <c r="AB89" i="11"/>
  <c r="AB81" i="11"/>
  <c r="AB73" i="11"/>
  <c r="AB65" i="11"/>
  <c r="AB57" i="11"/>
  <c r="AB49" i="11"/>
  <c r="AB41" i="11"/>
  <c r="AB33" i="11"/>
  <c r="AB25" i="11"/>
  <c r="AB17" i="11"/>
  <c r="AB9" i="11"/>
  <c r="AB385" i="11"/>
  <c r="AB345" i="11"/>
  <c r="AB337" i="11"/>
  <c r="AB289" i="11"/>
  <c r="AB281" i="11"/>
  <c r="AB193" i="11"/>
  <c r="Z5" i="11"/>
  <c r="AB5" i="11"/>
  <c r="AC5" i="11"/>
  <c r="BW4" i="11"/>
  <c r="BV4" i="11"/>
  <c r="BU4" i="11"/>
  <c r="BT4" i="11"/>
  <c r="BS4" i="11"/>
  <c r="BR4" i="11"/>
  <c r="BQ4" i="11"/>
  <c r="BP4" i="11"/>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V16" i="7"/>
  <c r="V4" i="11"/>
  <c r="BE4" i="11" s="1"/>
  <c r="BD4" i="11"/>
  <c r="BM4" i="11"/>
  <c r="E14" i="20"/>
  <c r="BH4" i="11"/>
  <c r="BG4" i="11"/>
  <c r="W4" i="11"/>
  <c r="BF4" i="11" s="1"/>
  <c r="BC4" i="11"/>
  <c r="BI460" i="11" l="1"/>
  <c r="AS8" i="20" s="1"/>
  <c r="BK64" i="11"/>
  <c r="L10" i="20" s="1"/>
  <c r="BL376" i="11"/>
  <c r="AL11" i="20" s="1"/>
  <c r="BI376" i="11"/>
  <c r="AL8" i="20" s="1"/>
  <c r="BI436" i="11"/>
  <c r="AQ8" i="20" s="1"/>
  <c r="BK40" i="11"/>
  <c r="J10" i="20" s="1"/>
  <c r="BI400" i="11"/>
  <c r="AN8" i="20" s="1"/>
  <c r="BK304" i="11"/>
  <c r="AF10" i="20" s="1"/>
  <c r="BK400" i="11"/>
  <c r="AN10" i="20" s="1"/>
  <c r="BI388" i="11"/>
  <c r="AM8" i="20" s="1"/>
  <c r="BL484" i="11"/>
  <c r="AU11" i="20" s="1"/>
  <c r="BK472" i="11"/>
  <c r="AT10" i="20" s="1"/>
  <c r="BL124" i="11"/>
  <c r="Q11" i="20" s="1"/>
  <c r="BL472" i="11"/>
  <c r="AT11" i="20" s="1"/>
  <c r="BK232" i="11"/>
  <c r="Z10" i="20" s="1"/>
  <c r="BL256" i="11"/>
  <c r="AB11" i="20" s="1"/>
  <c r="BL424" i="11"/>
  <c r="AP11" i="20" s="1"/>
  <c r="BK184" i="11"/>
  <c r="V10" i="20" s="1"/>
  <c r="BK256" i="11"/>
  <c r="AB10" i="20" s="1"/>
  <c r="BL316" i="11"/>
  <c r="AG11" i="20" s="1"/>
  <c r="BI448" i="11"/>
  <c r="AR8" i="20" s="1"/>
  <c r="BK460" i="11"/>
  <c r="AS10" i="20" s="1"/>
  <c r="BI472" i="11"/>
  <c r="AT8" i="20" s="1"/>
  <c r="BK316" i="11"/>
  <c r="AG10" i="20" s="1"/>
  <c r="BL76" i="11"/>
  <c r="M11" i="20" s="1"/>
  <c r="BL268" i="11"/>
  <c r="AC11" i="20" s="1"/>
  <c r="BK52" i="11"/>
  <c r="K10" i="20" s="1"/>
  <c r="BK112" i="11"/>
  <c r="P10" i="20" s="1"/>
  <c r="BI64" i="11"/>
  <c r="L8" i="20" s="1"/>
  <c r="BI196" i="11"/>
  <c r="W8" i="20" s="1"/>
  <c r="BI256" i="11"/>
  <c r="AB8" i="20" s="1"/>
  <c r="BL88" i="11"/>
  <c r="N11" i="20" s="1"/>
  <c r="BL148" i="11"/>
  <c r="S11" i="20" s="1"/>
  <c r="BL280" i="11"/>
  <c r="AD11" i="20" s="1"/>
  <c r="BI328" i="11"/>
  <c r="AH8" i="20" s="1"/>
  <c r="BL340" i="11"/>
  <c r="AI11" i="20" s="1"/>
  <c r="BL136" i="11"/>
  <c r="R11" i="20" s="1"/>
  <c r="BL28" i="11"/>
  <c r="I11" i="20" s="1"/>
  <c r="BK352" i="11"/>
  <c r="AJ10" i="20" s="1"/>
  <c r="BK196" i="11"/>
  <c r="W10" i="20" s="1"/>
  <c r="BI76" i="11"/>
  <c r="M8" i="20" s="1"/>
  <c r="BI208" i="11"/>
  <c r="X8" i="20" s="1"/>
  <c r="BL100" i="11"/>
  <c r="O11" i="20" s="1"/>
  <c r="BL292" i="11"/>
  <c r="AE11" i="20" s="1"/>
  <c r="BL388" i="11"/>
  <c r="AM11" i="20" s="1"/>
  <c r="BL328" i="11"/>
  <c r="AH11" i="20" s="1"/>
  <c r="BI136" i="11"/>
  <c r="R8" i="20" s="1"/>
  <c r="BK388" i="11"/>
  <c r="AM10" i="20" s="1"/>
  <c r="BK136" i="11"/>
  <c r="R10" i="20" s="1"/>
  <c r="BI28" i="11"/>
  <c r="I8" i="20" s="1"/>
  <c r="BI88" i="11"/>
  <c r="N8" i="20" s="1"/>
  <c r="BI220" i="11"/>
  <c r="Y8" i="20" s="1"/>
  <c r="BI280" i="11"/>
  <c r="AD8" i="20" s="1"/>
  <c r="BL364" i="11"/>
  <c r="AK11" i="20" s="1"/>
  <c r="BI112" i="11"/>
  <c r="P8" i="20" s="1"/>
  <c r="BI172" i="11"/>
  <c r="U8" i="20" s="1"/>
  <c r="BI304" i="11"/>
  <c r="AF8" i="20" s="1"/>
  <c r="BL412" i="11"/>
  <c r="AO11" i="20" s="1"/>
  <c r="BK28" i="11"/>
  <c r="I10" i="20" s="1"/>
  <c r="BK88" i="11"/>
  <c r="N10" i="20" s="1"/>
  <c r="BK220" i="11"/>
  <c r="Y10" i="20" s="1"/>
  <c r="BI412" i="11"/>
  <c r="AO8" i="20" s="1"/>
  <c r="BI484" i="11"/>
  <c r="AU8" i="20" s="1"/>
  <c r="BL400" i="11"/>
  <c r="AN11" i="20" s="1"/>
  <c r="BI316" i="11"/>
  <c r="AG8" i="20" s="1"/>
  <c r="BK376" i="11"/>
  <c r="AL10" i="20" s="1"/>
  <c r="BK448" i="11"/>
  <c r="AR10" i="20" s="1"/>
  <c r="BL448" i="11"/>
  <c r="AR11" i="20" s="1"/>
  <c r="BL460" i="11"/>
  <c r="AS11" i="20" s="1"/>
  <c r="BL220" i="11"/>
  <c r="Y11" i="20" s="1"/>
  <c r="BI100" i="11"/>
  <c r="O8" i="20" s="1"/>
  <c r="BL244" i="11"/>
  <c r="AA11" i="20" s="1"/>
  <c r="BK208" i="11"/>
  <c r="X10" i="20" s="1"/>
  <c r="BL172" i="11"/>
  <c r="U11" i="20" s="1"/>
  <c r="BI424" i="11"/>
  <c r="AP8" i="20" s="1"/>
  <c r="BK16" i="11"/>
  <c r="H10" i="20" s="1"/>
  <c r="BK148" i="11"/>
  <c r="S10" i="20" s="1"/>
  <c r="BK280" i="11"/>
  <c r="AD10" i="20" s="1"/>
  <c r="BI160" i="11"/>
  <c r="T8" i="20" s="1"/>
  <c r="BI292" i="11"/>
  <c r="AE8" i="20" s="1"/>
  <c r="BL184" i="11"/>
  <c r="V11" i="20" s="1"/>
  <c r="BI364" i="11"/>
  <c r="AK8" i="20" s="1"/>
  <c r="BL64" i="11"/>
  <c r="L11" i="20" s="1"/>
  <c r="BL196" i="11"/>
  <c r="W11" i="20" s="1"/>
  <c r="BK160" i="11"/>
  <c r="T10" i="20" s="1"/>
  <c r="BL304" i="11"/>
  <c r="AF11" i="20" s="1"/>
  <c r="BI232" i="11"/>
  <c r="Z8" i="20" s="1"/>
  <c r="BI40" i="11"/>
  <c r="J8" i="20" s="1"/>
  <c r="BL436" i="11"/>
  <c r="AQ11" i="20" s="1"/>
  <c r="BL52" i="11"/>
  <c r="K11" i="20" s="1"/>
  <c r="BK364" i="11"/>
  <c r="AK10" i="20" s="1"/>
  <c r="BL112" i="11"/>
  <c r="P11" i="20" s="1"/>
  <c r="BK328" i="11"/>
  <c r="AH10" i="20" s="1"/>
  <c r="BK484" i="11"/>
  <c r="AU10" i="20" s="1"/>
  <c r="BK76" i="11"/>
  <c r="M10" i="20" s="1"/>
  <c r="BI352" i="11"/>
  <c r="AJ8" i="20" s="1"/>
  <c r="BK100" i="11"/>
  <c r="O10" i="20" s="1"/>
  <c r="BI52" i="11"/>
  <c r="K8" i="20" s="1"/>
  <c r="BI184" i="11"/>
  <c r="V8" i="20" s="1"/>
  <c r="BI244" i="11"/>
  <c r="AA8" i="20" s="1"/>
  <c r="BK424" i="11"/>
  <c r="AP10" i="20" s="1"/>
  <c r="BK268" i="11"/>
  <c r="AC10" i="20" s="1"/>
  <c r="BK436" i="11"/>
  <c r="AQ10" i="20" s="1"/>
  <c r="BI148" i="11"/>
  <c r="S8" i="20" s="1"/>
  <c r="BL40" i="11"/>
  <c r="J11" i="20" s="1"/>
  <c r="BL232" i="11"/>
  <c r="Z11" i="20" s="1"/>
  <c r="BI340" i="11"/>
  <c r="AI8" i="20" s="1"/>
  <c r="BK124" i="11"/>
  <c r="Q10" i="20" s="1"/>
  <c r="BI268" i="11"/>
  <c r="AC8" i="20" s="1"/>
  <c r="BL160" i="11"/>
  <c r="T11" i="20" s="1"/>
  <c r="BL352" i="11"/>
  <c r="AJ11" i="20" s="1"/>
  <c r="BI16" i="11"/>
  <c r="H8" i="20" s="1"/>
  <c r="BK340" i="11"/>
  <c r="AI10" i="20" s="1"/>
  <c r="BK292" i="11"/>
  <c r="AE10" i="20" s="1"/>
  <c r="BK172" i="11"/>
  <c r="U10" i="20" s="1"/>
  <c r="BK244" i="11"/>
  <c r="AA10" i="20" s="1"/>
  <c r="BK412" i="11"/>
  <c r="AO10" i="20" s="1"/>
  <c r="BI124" i="11"/>
  <c r="Q8" i="20" s="1"/>
  <c r="BL208" i="11"/>
  <c r="X11" i="20" s="1"/>
  <c r="BL16" i="11"/>
  <c r="H11" i="20" s="1"/>
  <c r="BN472" i="11"/>
  <c r="AT17" i="20" s="1"/>
  <c r="AT18" i="20" s="1"/>
  <c r="BO472" i="11"/>
  <c r="BO448" i="11"/>
  <c r="BO424" i="11"/>
  <c r="BO400" i="11"/>
  <c r="BO376" i="11"/>
  <c r="BO352" i="11"/>
  <c r="BO328" i="11"/>
  <c r="BO304" i="11"/>
  <c r="BO280" i="11"/>
  <c r="BO256" i="11"/>
  <c r="BO232" i="11"/>
  <c r="BO208" i="11"/>
  <c r="BO184" i="11"/>
  <c r="BO160" i="11"/>
  <c r="BO136" i="11"/>
  <c r="BO112" i="11"/>
  <c r="BO88" i="11"/>
  <c r="BO64" i="11"/>
  <c r="BO40" i="11"/>
  <c r="BO16" i="11"/>
  <c r="BN448" i="11"/>
  <c r="AR17" i="20" s="1"/>
  <c r="AR18" i="20" s="1"/>
  <c r="BN424" i="11"/>
  <c r="AP17" i="20" s="1"/>
  <c r="AP18" i="20" s="1"/>
  <c r="BN400" i="11"/>
  <c r="AN17" i="20" s="1"/>
  <c r="AN18" i="20" s="1"/>
  <c r="BN376" i="11"/>
  <c r="AL17" i="20" s="1"/>
  <c r="AL18" i="20" s="1"/>
  <c r="BN352" i="11"/>
  <c r="AJ17" i="20" s="1"/>
  <c r="AJ18" i="20" s="1"/>
  <c r="BN328" i="11"/>
  <c r="AH17" i="20" s="1"/>
  <c r="AH18" i="20" s="1"/>
  <c r="BN304" i="11"/>
  <c r="AF17" i="20" s="1"/>
  <c r="AF18" i="20" s="1"/>
  <c r="BN280" i="11"/>
  <c r="AD17" i="20" s="1"/>
  <c r="AD18" i="20" s="1"/>
  <c r="BN256" i="11"/>
  <c r="AB17" i="20" s="1"/>
  <c r="AB18" i="20" s="1"/>
  <c r="BN232" i="11"/>
  <c r="Z17" i="20" s="1"/>
  <c r="Z18" i="20" s="1"/>
  <c r="BN208" i="11"/>
  <c r="X17" i="20" s="1"/>
  <c r="X18" i="20" s="1"/>
  <c r="BN184" i="11"/>
  <c r="V17" i="20" s="1"/>
  <c r="V18" i="20" s="1"/>
  <c r="BN160" i="11"/>
  <c r="T17" i="20" s="1"/>
  <c r="T18" i="20" s="1"/>
  <c r="BN136" i="11"/>
  <c r="R17" i="20" s="1"/>
  <c r="R18" i="20" s="1"/>
  <c r="BN112" i="11"/>
  <c r="P17" i="20" s="1"/>
  <c r="P18" i="20" s="1"/>
  <c r="BN88" i="11"/>
  <c r="N17" i="20" s="1"/>
  <c r="N18" i="20" s="1"/>
  <c r="BN64" i="11"/>
  <c r="L17" i="20" s="1"/>
  <c r="L18" i="20" s="1"/>
  <c r="BN40" i="11"/>
  <c r="J17" i="20" s="1"/>
  <c r="J18" i="20" s="1"/>
  <c r="BO484" i="11"/>
  <c r="BO460" i="11"/>
  <c r="BO436" i="11"/>
  <c r="BO412" i="11"/>
  <c r="BO388" i="11"/>
  <c r="BO364" i="11"/>
  <c r="BO340" i="11"/>
  <c r="BO316" i="11"/>
  <c r="BO292" i="11"/>
  <c r="BO268" i="11"/>
  <c r="BO244" i="11"/>
  <c r="BO220" i="11"/>
  <c r="BO196" i="11"/>
  <c r="BO172" i="11"/>
  <c r="BO148" i="11"/>
  <c r="BO124" i="11"/>
  <c r="BO100" i="11"/>
  <c r="BO76" i="11"/>
  <c r="BO52" i="11"/>
  <c r="BO28" i="11"/>
  <c r="BN460" i="11"/>
  <c r="AS17" i="20" s="1"/>
  <c r="AS18" i="20" s="1"/>
  <c r="BN436" i="11"/>
  <c r="AQ17" i="20" s="1"/>
  <c r="AQ18" i="20" s="1"/>
  <c r="BN412" i="11"/>
  <c r="AO17" i="20" s="1"/>
  <c r="AO18" i="20" s="1"/>
  <c r="BN388" i="11"/>
  <c r="AM17" i="20" s="1"/>
  <c r="AM18" i="20" s="1"/>
  <c r="BN364" i="11"/>
  <c r="AK17" i="20" s="1"/>
  <c r="AK18" i="20" s="1"/>
  <c r="BN340" i="11"/>
  <c r="AI17" i="20" s="1"/>
  <c r="AI18" i="20" s="1"/>
  <c r="BN316" i="11"/>
  <c r="AG17" i="20" s="1"/>
  <c r="AG18" i="20" s="1"/>
  <c r="BN292" i="11"/>
  <c r="AE17" i="20" s="1"/>
  <c r="AE18" i="20" s="1"/>
  <c r="BN268" i="11"/>
  <c r="AC17" i="20" s="1"/>
  <c r="AC18" i="20" s="1"/>
  <c r="BN244" i="11"/>
  <c r="AA17" i="20" s="1"/>
  <c r="AA18" i="20" s="1"/>
  <c r="BN220" i="11"/>
  <c r="Y17" i="20" s="1"/>
  <c r="Y18" i="20" s="1"/>
  <c r="BN196" i="11"/>
  <c r="W17" i="20" s="1"/>
  <c r="W18" i="20" s="1"/>
  <c r="BN172" i="11"/>
  <c r="U17" i="20" s="1"/>
  <c r="U18" i="20" s="1"/>
  <c r="BN148" i="11"/>
  <c r="S17" i="20" s="1"/>
  <c r="S18" i="20" s="1"/>
  <c r="BN124" i="11"/>
  <c r="Q17" i="20" s="1"/>
  <c r="Q18" i="20" s="1"/>
  <c r="BN100" i="11"/>
  <c r="O17" i="20" s="1"/>
  <c r="O18" i="20" s="1"/>
  <c r="BN76" i="11"/>
  <c r="M17" i="20" s="1"/>
  <c r="M18" i="20" s="1"/>
  <c r="BN52" i="11"/>
  <c r="K17" i="20" s="1"/>
  <c r="K18" i="20" s="1"/>
  <c r="BN28" i="11"/>
  <c r="I17" i="20" s="1"/>
  <c r="I18" i="20" s="1"/>
  <c r="BN484" i="11"/>
  <c r="AU17" i="20" s="1"/>
  <c r="AU18" i="20" s="1"/>
  <c r="DA305" i="7"/>
  <c r="DA306" i="7"/>
  <c r="DA307" i="7"/>
  <c r="DA308" i="7"/>
  <c r="DA309" i="7"/>
  <c r="DA310" i="7"/>
  <c r="DA311" i="7"/>
  <c r="DA312" i="7"/>
  <c r="DA313" i="7"/>
  <c r="DA314" i="7"/>
  <c r="DA315" i="7"/>
  <c r="DA316" i="7"/>
  <c r="DA317" i="7"/>
  <c r="DA318" i="7"/>
  <c r="DA319" i="7"/>
  <c r="DA320" i="7"/>
  <c r="DA321" i="7"/>
  <c r="DA322" i="7"/>
  <c r="DA323" i="7"/>
  <c r="DA324" i="7"/>
  <c r="DA325" i="7"/>
  <c r="DA326" i="7"/>
  <c r="DA327" i="7"/>
  <c r="DA328" i="7"/>
  <c r="DA329" i="7"/>
  <c r="DA330" i="7"/>
  <c r="DA331" i="7"/>
  <c r="DA332" i="7"/>
  <c r="DA333" i="7"/>
  <c r="DA334" i="7"/>
  <c r="DA335" i="7"/>
  <c r="DA336" i="7"/>
  <c r="DA337" i="7"/>
  <c r="DA338" i="7"/>
  <c r="DA339" i="7"/>
  <c r="DA340" i="7"/>
  <c r="DA341" i="7"/>
  <c r="DA342" i="7"/>
  <c r="DA343" i="7"/>
  <c r="DA344" i="7"/>
  <c r="DA345" i="7"/>
  <c r="DA346" i="7"/>
  <c r="DA347" i="7"/>
  <c r="DA348" i="7"/>
  <c r="DA349" i="7"/>
  <c r="DA350" i="7"/>
  <c r="DA351" i="7"/>
  <c r="DA352" i="7"/>
  <c r="DA353" i="7"/>
  <c r="DA354" i="7"/>
  <c r="DA355" i="7"/>
  <c r="DA356" i="7"/>
  <c r="DA357" i="7"/>
  <c r="DA358" i="7"/>
  <c r="DA359" i="7"/>
  <c r="DA360" i="7"/>
  <c r="DA361" i="7"/>
  <c r="DA362" i="7"/>
  <c r="DA363" i="7"/>
  <c r="DA364" i="7"/>
  <c r="DA365" i="7"/>
  <c r="DA366" i="7"/>
  <c r="DA367" i="7"/>
  <c r="DA368" i="7"/>
  <c r="DA369" i="7"/>
  <c r="DA370" i="7"/>
  <c r="DA371" i="7"/>
  <c r="DA372" i="7"/>
  <c r="DA373" i="7"/>
  <c r="DA374" i="7"/>
  <c r="DA375" i="7"/>
  <c r="DA376" i="7"/>
  <c r="DA377" i="7"/>
  <c r="DA378" i="7"/>
  <c r="DA379" i="7"/>
  <c r="DA380" i="7"/>
  <c r="DA381" i="7"/>
  <c r="DA382" i="7"/>
  <c r="DA383" i="7"/>
  <c r="DA384" i="7"/>
  <c r="DA385" i="7"/>
  <c r="DA386" i="7"/>
  <c r="DA387" i="7"/>
  <c r="DA388" i="7"/>
  <c r="DA389" i="7"/>
  <c r="DA390" i="7"/>
  <c r="DA391" i="7"/>
  <c r="DA392" i="7"/>
  <c r="DA393" i="7"/>
  <c r="DA394" i="7"/>
  <c r="DA395" i="7"/>
  <c r="DA396" i="7"/>
  <c r="DA397" i="7"/>
  <c r="DA398" i="7"/>
  <c r="DA399" i="7"/>
  <c r="DA400" i="7"/>
  <c r="DA401" i="7"/>
  <c r="DA402" i="7"/>
  <c r="DA403" i="7"/>
  <c r="DA404" i="7"/>
  <c r="DA405" i="7"/>
  <c r="DA406" i="7"/>
  <c r="DA407" i="7"/>
  <c r="DA408" i="7"/>
  <c r="DA409" i="7"/>
  <c r="DA410" i="7"/>
  <c r="DA411" i="7"/>
  <c r="DA412" i="7"/>
  <c r="DA413" i="7"/>
  <c r="DA414" i="7"/>
  <c r="DA415" i="7"/>
  <c r="DA416" i="7"/>
  <c r="DA417" i="7"/>
  <c r="DA418" i="7"/>
  <c r="DA419" i="7"/>
  <c r="DA420" i="7"/>
  <c r="DA421" i="7"/>
  <c r="DA422" i="7"/>
  <c r="DA423" i="7"/>
  <c r="DA424" i="7"/>
  <c r="DA425" i="7"/>
  <c r="DA426" i="7"/>
  <c r="DA427" i="7"/>
  <c r="DA428" i="7"/>
  <c r="DA429" i="7"/>
  <c r="DA430" i="7"/>
  <c r="DA431" i="7"/>
  <c r="DA432" i="7"/>
  <c r="DA433" i="7"/>
  <c r="DA434" i="7"/>
  <c r="DA435" i="7"/>
  <c r="DA436" i="7"/>
  <c r="DA437" i="7"/>
  <c r="DA438" i="7"/>
  <c r="DA439" i="7"/>
  <c r="DA440" i="7"/>
  <c r="DA441" i="7"/>
  <c r="DA442" i="7"/>
  <c r="DA443" i="7"/>
  <c r="DA444" i="7"/>
  <c r="DA445" i="7"/>
  <c r="DA446" i="7"/>
  <c r="DA447" i="7"/>
  <c r="DA448" i="7"/>
  <c r="DA449" i="7"/>
  <c r="DA450" i="7"/>
  <c r="DA451" i="7"/>
  <c r="DA452" i="7"/>
  <c r="DA453" i="7"/>
  <c r="DA454" i="7"/>
  <c r="DA455" i="7"/>
  <c r="DA456" i="7"/>
  <c r="DA457" i="7"/>
  <c r="DA458" i="7"/>
  <c r="DA459" i="7"/>
  <c r="DA460" i="7"/>
  <c r="DA461" i="7"/>
  <c r="DA462" i="7"/>
  <c r="DA463" i="7"/>
  <c r="DA464" i="7"/>
  <c r="DA465" i="7"/>
  <c r="DA466" i="7"/>
  <c r="DA467" i="7"/>
  <c r="DA468" i="7"/>
  <c r="DA469" i="7"/>
  <c r="DA470" i="7"/>
  <c r="DA471" i="7"/>
  <c r="DA472" i="7"/>
  <c r="DA473" i="7"/>
  <c r="DA474" i="7"/>
  <c r="DA475" i="7"/>
  <c r="DA476" i="7"/>
  <c r="DA477" i="7"/>
  <c r="DA478" i="7"/>
  <c r="DA479" i="7"/>
  <c r="DA480" i="7"/>
  <c r="DA481" i="7"/>
  <c r="DA482" i="7"/>
  <c r="DA483" i="7"/>
  <c r="DA484" i="7"/>
  <c r="DA4" i="7"/>
  <c r="CZ484" i="7"/>
  <c r="CZ483" i="7"/>
  <c r="CZ482" i="7"/>
  <c r="CZ481" i="7"/>
  <c r="CZ480" i="7"/>
  <c r="CZ479" i="7"/>
  <c r="CZ478" i="7"/>
  <c r="CZ477" i="7"/>
  <c r="CZ476" i="7"/>
  <c r="CZ475" i="7"/>
  <c r="CZ474" i="7"/>
  <c r="CZ473" i="7"/>
  <c r="CZ472" i="7"/>
  <c r="CZ471" i="7"/>
  <c r="CZ470" i="7"/>
  <c r="CZ469" i="7"/>
  <c r="CZ468" i="7"/>
  <c r="CZ467" i="7"/>
  <c r="CZ466" i="7"/>
  <c r="CZ465" i="7"/>
  <c r="CZ464" i="7"/>
  <c r="CZ463" i="7"/>
  <c r="CZ462" i="7"/>
  <c r="CZ461" i="7"/>
  <c r="CZ460" i="7"/>
  <c r="CZ459" i="7"/>
  <c r="CZ458" i="7"/>
  <c r="CZ457" i="7"/>
  <c r="CZ456" i="7"/>
  <c r="CZ455" i="7"/>
  <c r="CZ454" i="7"/>
  <c r="CZ453" i="7"/>
  <c r="CZ452" i="7"/>
  <c r="CZ451" i="7"/>
  <c r="CZ450" i="7"/>
  <c r="CZ449" i="7"/>
  <c r="CZ448" i="7"/>
  <c r="CZ447" i="7"/>
  <c r="CZ446" i="7"/>
  <c r="CZ445" i="7"/>
  <c r="CZ444" i="7"/>
  <c r="CZ443" i="7"/>
  <c r="CZ442" i="7"/>
  <c r="CZ441" i="7"/>
  <c r="CZ440" i="7"/>
  <c r="CZ439" i="7"/>
  <c r="CZ438" i="7"/>
  <c r="CZ437" i="7"/>
  <c r="CZ436" i="7"/>
  <c r="CZ435" i="7"/>
  <c r="CZ434" i="7"/>
  <c r="CZ433" i="7"/>
  <c r="CZ432" i="7"/>
  <c r="CZ431" i="7"/>
  <c r="CZ430" i="7"/>
  <c r="CZ429" i="7"/>
  <c r="CZ428" i="7"/>
  <c r="CZ427" i="7"/>
  <c r="CZ426" i="7"/>
  <c r="CZ425" i="7"/>
  <c r="CZ424" i="7"/>
  <c r="CZ423" i="7"/>
  <c r="CZ422" i="7"/>
  <c r="CZ421" i="7"/>
  <c r="CZ420" i="7"/>
  <c r="CZ419" i="7"/>
  <c r="CZ418" i="7"/>
  <c r="CZ417" i="7"/>
  <c r="CZ416" i="7"/>
  <c r="CZ415" i="7"/>
  <c r="CZ414" i="7"/>
  <c r="CZ413" i="7"/>
  <c r="CZ412" i="7"/>
  <c r="CZ411" i="7"/>
  <c r="CZ410" i="7"/>
  <c r="CZ409" i="7"/>
  <c r="CZ408" i="7"/>
  <c r="CZ407" i="7"/>
  <c r="CZ406" i="7"/>
  <c r="CZ405" i="7"/>
  <c r="CZ404" i="7"/>
  <c r="CZ403" i="7"/>
  <c r="CZ402" i="7"/>
  <c r="CZ401" i="7"/>
  <c r="CZ400" i="7"/>
  <c r="CZ399" i="7"/>
  <c r="CZ398" i="7"/>
  <c r="CZ397" i="7"/>
  <c r="CZ396" i="7"/>
  <c r="CZ395" i="7"/>
  <c r="CZ394" i="7"/>
  <c r="CZ393" i="7"/>
  <c r="CZ392" i="7"/>
  <c r="CZ391" i="7"/>
  <c r="CZ390" i="7"/>
  <c r="CZ389" i="7"/>
  <c r="CZ388" i="7"/>
  <c r="CZ387" i="7"/>
  <c r="CZ386" i="7"/>
  <c r="CZ385" i="7"/>
  <c r="CZ384" i="7"/>
  <c r="CZ383" i="7"/>
  <c r="CZ382" i="7"/>
  <c r="CZ381" i="7"/>
  <c r="CZ380" i="7"/>
  <c r="CZ379" i="7"/>
  <c r="CZ378" i="7"/>
  <c r="CZ377" i="7"/>
  <c r="CZ376" i="7"/>
  <c r="CZ375" i="7"/>
  <c r="CZ374" i="7"/>
  <c r="CZ373" i="7"/>
  <c r="CZ372" i="7"/>
  <c r="CZ371" i="7"/>
  <c r="CZ370" i="7"/>
  <c r="CZ369" i="7"/>
  <c r="CZ368" i="7"/>
  <c r="CZ367" i="7"/>
  <c r="CZ366" i="7"/>
  <c r="CZ365" i="7"/>
  <c r="CZ364" i="7"/>
  <c r="CZ363" i="7"/>
  <c r="CZ362" i="7"/>
  <c r="CZ361" i="7"/>
  <c r="CZ360" i="7"/>
  <c r="CZ359" i="7"/>
  <c r="CZ358" i="7"/>
  <c r="CZ357" i="7"/>
  <c r="CZ356" i="7"/>
  <c r="CZ355" i="7"/>
  <c r="CZ354" i="7"/>
  <c r="CZ353" i="7"/>
  <c r="CZ352" i="7"/>
  <c r="CZ351" i="7"/>
  <c r="CZ350" i="7"/>
  <c r="CZ349" i="7"/>
  <c r="CZ348" i="7"/>
  <c r="CZ347" i="7"/>
  <c r="CZ346" i="7"/>
  <c r="CZ345" i="7"/>
  <c r="CZ344" i="7"/>
  <c r="CZ343" i="7"/>
  <c r="CZ342" i="7"/>
  <c r="CZ341" i="7"/>
  <c r="CZ340" i="7"/>
  <c r="CZ339" i="7"/>
  <c r="CZ338" i="7"/>
  <c r="CZ337" i="7"/>
  <c r="CZ336" i="7"/>
  <c r="CZ335" i="7"/>
  <c r="CZ334" i="7"/>
  <c r="CZ333" i="7"/>
  <c r="CZ332" i="7"/>
  <c r="CZ331" i="7"/>
  <c r="CZ330" i="7"/>
  <c r="CZ329" i="7"/>
  <c r="CZ328" i="7"/>
  <c r="CZ327" i="7"/>
  <c r="CZ326" i="7"/>
  <c r="CZ325" i="7"/>
  <c r="CZ324" i="7"/>
  <c r="CZ323" i="7"/>
  <c r="CZ322" i="7"/>
  <c r="CZ321" i="7"/>
  <c r="CZ320" i="7"/>
  <c r="CZ319" i="7"/>
  <c r="CZ318" i="7"/>
  <c r="CZ317" i="7"/>
  <c r="CZ316" i="7"/>
  <c r="CZ315" i="7"/>
  <c r="CZ314" i="7"/>
  <c r="CZ313" i="7"/>
  <c r="CZ312" i="7"/>
  <c r="CZ311" i="7"/>
  <c r="CZ310" i="7"/>
  <c r="CZ309" i="7"/>
  <c r="CZ308" i="7"/>
  <c r="CZ307" i="7"/>
  <c r="CZ306" i="7"/>
  <c r="CZ305"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 i="7"/>
  <c r="J305" i="11" l="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CF4" i="7" l="1"/>
  <c r="CE4" i="7"/>
  <c r="BY6" i="7"/>
  <c r="AN6" i="11" s="1"/>
  <c r="BY7" i="7"/>
  <c r="AN7" i="11" s="1"/>
  <c r="BY8" i="7"/>
  <c r="AN8" i="11" s="1"/>
  <c r="BY9" i="7"/>
  <c r="AN9" i="11" s="1"/>
  <c r="BY10" i="7"/>
  <c r="AN10" i="11" s="1"/>
  <c r="BY11" i="7"/>
  <c r="AN11" i="11" s="1"/>
  <c r="BY12" i="7"/>
  <c r="AN12" i="11" s="1"/>
  <c r="BY13" i="7"/>
  <c r="AN13" i="11" s="1"/>
  <c r="BY14" i="7"/>
  <c r="AN14" i="11" s="1"/>
  <c r="BY15" i="7"/>
  <c r="AN15" i="11" s="1"/>
  <c r="BY16" i="7"/>
  <c r="AN16" i="11" s="1"/>
  <c r="BY17" i="7"/>
  <c r="AN17" i="11" s="1"/>
  <c r="BY18" i="7"/>
  <c r="AN18" i="11" s="1"/>
  <c r="BY19" i="7"/>
  <c r="AN19" i="11" s="1"/>
  <c r="BY20" i="7"/>
  <c r="AN20" i="11" s="1"/>
  <c r="BY21" i="7"/>
  <c r="AN21" i="11" s="1"/>
  <c r="BY22" i="7"/>
  <c r="AN22" i="11" s="1"/>
  <c r="BY23" i="7"/>
  <c r="AN23" i="11" s="1"/>
  <c r="BY24" i="7"/>
  <c r="AN24" i="11" s="1"/>
  <c r="BY25" i="7"/>
  <c r="AN25" i="11" s="1"/>
  <c r="BY26" i="7"/>
  <c r="AN26" i="11" s="1"/>
  <c r="BY27" i="7"/>
  <c r="AN27" i="11" s="1"/>
  <c r="BY28" i="7"/>
  <c r="AN28" i="11" s="1"/>
  <c r="BY29" i="7"/>
  <c r="AN29" i="11" s="1"/>
  <c r="BY30" i="7"/>
  <c r="AN30" i="11" s="1"/>
  <c r="BY31" i="7"/>
  <c r="AN31" i="11" s="1"/>
  <c r="BY32" i="7"/>
  <c r="AN32" i="11" s="1"/>
  <c r="BY33" i="7"/>
  <c r="AN33" i="11" s="1"/>
  <c r="BY34" i="7"/>
  <c r="AN34" i="11" s="1"/>
  <c r="BY35" i="7"/>
  <c r="AN35" i="11" s="1"/>
  <c r="BY36" i="7"/>
  <c r="AN36" i="11" s="1"/>
  <c r="BY37" i="7"/>
  <c r="AN37" i="11" s="1"/>
  <c r="BY38" i="7"/>
  <c r="AN38" i="11" s="1"/>
  <c r="BY39" i="7"/>
  <c r="AN39" i="11" s="1"/>
  <c r="BY40" i="7"/>
  <c r="AN40" i="11" s="1"/>
  <c r="BY41" i="7"/>
  <c r="AN41" i="11" s="1"/>
  <c r="BY42" i="7"/>
  <c r="AN42" i="11" s="1"/>
  <c r="BY43" i="7"/>
  <c r="AN43" i="11" s="1"/>
  <c r="BY44" i="7"/>
  <c r="AN44" i="11" s="1"/>
  <c r="BY45" i="7"/>
  <c r="AN45" i="11" s="1"/>
  <c r="BY46" i="7"/>
  <c r="AN46" i="11" s="1"/>
  <c r="BY47" i="7"/>
  <c r="AN47" i="11" s="1"/>
  <c r="BY48" i="7"/>
  <c r="AN48" i="11" s="1"/>
  <c r="BY49" i="7"/>
  <c r="AN49" i="11" s="1"/>
  <c r="BY50" i="7"/>
  <c r="AN50" i="11" s="1"/>
  <c r="BY51" i="7"/>
  <c r="AN51" i="11" s="1"/>
  <c r="BY52" i="7"/>
  <c r="AN52" i="11" s="1"/>
  <c r="BY53" i="7"/>
  <c r="AN53" i="11" s="1"/>
  <c r="BY54" i="7"/>
  <c r="AN54" i="11" s="1"/>
  <c r="BY55" i="7"/>
  <c r="AN55" i="11" s="1"/>
  <c r="BY56" i="7"/>
  <c r="AN56" i="11" s="1"/>
  <c r="BY57" i="7"/>
  <c r="AN57" i="11" s="1"/>
  <c r="BY58" i="7"/>
  <c r="AN58" i="11" s="1"/>
  <c r="BY59" i="7"/>
  <c r="AN59" i="11" s="1"/>
  <c r="BY60" i="7"/>
  <c r="AN60" i="11" s="1"/>
  <c r="BY61" i="7"/>
  <c r="AN61" i="11" s="1"/>
  <c r="BY62" i="7"/>
  <c r="AN62" i="11" s="1"/>
  <c r="BY63" i="7"/>
  <c r="AN63" i="11" s="1"/>
  <c r="BY65" i="7"/>
  <c r="AN65" i="11" s="1"/>
  <c r="BY66" i="7"/>
  <c r="AN66" i="11" s="1"/>
  <c r="BY67" i="7"/>
  <c r="AN67" i="11" s="1"/>
  <c r="BY68" i="7"/>
  <c r="AN68" i="11" s="1"/>
  <c r="BY69" i="7"/>
  <c r="AN69" i="11" s="1"/>
  <c r="BY70" i="7"/>
  <c r="AN70" i="11" s="1"/>
  <c r="BY71" i="7"/>
  <c r="AN71" i="11" s="1"/>
  <c r="BY72" i="7"/>
  <c r="AN72" i="11" s="1"/>
  <c r="BY73" i="7"/>
  <c r="AN73" i="11" s="1"/>
  <c r="BY74" i="7"/>
  <c r="AN74" i="11" s="1"/>
  <c r="BY75" i="7"/>
  <c r="AN75" i="11" s="1"/>
  <c r="BY76" i="7"/>
  <c r="AN76" i="11" s="1"/>
  <c r="BY77" i="7"/>
  <c r="AN77" i="11" s="1"/>
  <c r="BY78" i="7"/>
  <c r="AN78" i="11" s="1"/>
  <c r="BY79" i="7"/>
  <c r="AN79" i="11" s="1"/>
  <c r="BY80" i="7"/>
  <c r="AN80" i="11" s="1"/>
  <c r="BY81" i="7"/>
  <c r="AN81" i="11" s="1"/>
  <c r="BY82" i="7"/>
  <c r="AN82" i="11" s="1"/>
  <c r="BY83" i="7"/>
  <c r="AN83" i="11" s="1"/>
  <c r="BY84" i="7"/>
  <c r="AN84" i="11" s="1"/>
  <c r="BY85" i="7"/>
  <c r="AN85" i="11" s="1"/>
  <c r="BY86" i="7"/>
  <c r="AN86" i="11" s="1"/>
  <c r="BY87" i="7"/>
  <c r="AN87" i="11" s="1"/>
  <c r="BY88" i="7"/>
  <c r="AN88" i="11" s="1"/>
  <c r="BY89" i="7"/>
  <c r="AN89" i="11" s="1"/>
  <c r="BY90" i="7"/>
  <c r="AN90" i="11" s="1"/>
  <c r="BY91" i="7"/>
  <c r="AN91" i="11" s="1"/>
  <c r="BY92" i="7"/>
  <c r="AN92" i="11" s="1"/>
  <c r="BY93" i="7"/>
  <c r="AN93" i="11" s="1"/>
  <c r="BY94" i="7"/>
  <c r="AN94" i="11" s="1"/>
  <c r="BY95" i="7"/>
  <c r="AN95" i="11" s="1"/>
  <c r="BY96" i="7"/>
  <c r="AN96" i="11" s="1"/>
  <c r="BY97" i="7"/>
  <c r="AN97" i="11" s="1"/>
  <c r="BY98" i="7"/>
  <c r="AN98" i="11" s="1"/>
  <c r="BY99" i="7"/>
  <c r="AN99" i="11" s="1"/>
  <c r="BY100" i="7"/>
  <c r="AN100" i="11" s="1"/>
  <c r="BY101" i="7"/>
  <c r="AN101" i="11" s="1"/>
  <c r="BY102" i="7"/>
  <c r="AN102" i="11" s="1"/>
  <c r="BY103" i="7"/>
  <c r="AN103" i="11" s="1"/>
  <c r="BY104" i="7"/>
  <c r="AN104" i="11" s="1"/>
  <c r="BY105" i="7"/>
  <c r="AN105" i="11" s="1"/>
  <c r="BY106" i="7"/>
  <c r="AN106" i="11" s="1"/>
  <c r="BY107" i="7"/>
  <c r="AN107" i="11" s="1"/>
  <c r="BY108" i="7"/>
  <c r="AN108" i="11" s="1"/>
  <c r="BY109" i="7"/>
  <c r="AN109" i="11" s="1"/>
  <c r="BY110" i="7"/>
  <c r="AN110" i="11" s="1"/>
  <c r="BY111" i="7"/>
  <c r="AN111" i="11" s="1"/>
  <c r="BY112" i="7"/>
  <c r="AN112" i="11" s="1"/>
  <c r="BY113" i="7"/>
  <c r="AN113" i="11" s="1"/>
  <c r="BY114" i="7"/>
  <c r="AN114" i="11" s="1"/>
  <c r="BY115" i="7"/>
  <c r="AN115" i="11" s="1"/>
  <c r="BY116" i="7"/>
  <c r="AN116" i="11" s="1"/>
  <c r="BY117" i="7"/>
  <c r="AN117" i="11" s="1"/>
  <c r="BY118" i="7"/>
  <c r="AN118" i="11" s="1"/>
  <c r="BY119" i="7"/>
  <c r="AN119" i="11" s="1"/>
  <c r="BY120" i="7"/>
  <c r="AN120" i="11" s="1"/>
  <c r="BY121" i="7"/>
  <c r="AN121" i="11" s="1"/>
  <c r="BY122" i="7"/>
  <c r="AN122" i="11" s="1"/>
  <c r="BY123" i="7"/>
  <c r="AN123" i="11" s="1"/>
  <c r="BY124" i="7"/>
  <c r="AN124" i="11" s="1"/>
  <c r="BY125" i="7"/>
  <c r="AN125" i="11" s="1"/>
  <c r="BY126" i="7"/>
  <c r="AN126" i="11" s="1"/>
  <c r="BY127" i="7"/>
  <c r="AN127" i="11" s="1"/>
  <c r="BY128" i="7"/>
  <c r="AN128" i="11" s="1"/>
  <c r="BY129" i="7"/>
  <c r="AN129" i="11" s="1"/>
  <c r="BY130" i="7"/>
  <c r="AN130" i="11" s="1"/>
  <c r="BY131" i="7"/>
  <c r="AN131" i="11" s="1"/>
  <c r="BY132" i="7"/>
  <c r="AN132" i="11" s="1"/>
  <c r="BY133" i="7"/>
  <c r="AN133" i="11" s="1"/>
  <c r="BY134" i="7"/>
  <c r="AN134" i="11" s="1"/>
  <c r="BY135" i="7"/>
  <c r="AN135" i="11" s="1"/>
  <c r="BY136" i="7"/>
  <c r="AN136" i="11" s="1"/>
  <c r="BY137" i="7"/>
  <c r="AN137" i="11" s="1"/>
  <c r="BY138" i="7"/>
  <c r="AN138" i="11" s="1"/>
  <c r="BY139" i="7"/>
  <c r="AN139" i="11" s="1"/>
  <c r="BY140" i="7"/>
  <c r="AN140" i="11" s="1"/>
  <c r="BY141" i="7"/>
  <c r="AN141" i="11" s="1"/>
  <c r="BY142" i="7"/>
  <c r="AN142" i="11" s="1"/>
  <c r="BY143" i="7"/>
  <c r="AN143" i="11" s="1"/>
  <c r="BY144" i="7"/>
  <c r="AN144" i="11" s="1"/>
  <c r="BY145" i="7"/>
  <c r="AN145" i="11" s="1"/>
  <c r="BY146" i="7"/>
  <c r="AN146" i="11" s="1"/>
  <c r="BY147" i="7"/>
  <c r="AN147" i="11" s="1"/>
  <c r="BY148" i="7"/>
  <c r="AN148" i="11" s="1"/>
  <c r="BY149" i="7"/>
  <c r="AN149" i="11" s="1"/>
  <c r="BY150" i="7"/>
  <c r="AN150" i="11" s="1"/>
  <c r="BY151" i="7"/>
  <c r="AN151" i="11" s="1"/>
  <c r="BY152" i="7"/>
  <c r="AN152" i="11" s="1"/>
  <c r="BY153" i="7"/>
  <c r="AN153" i="11" s="1"/>
  <c r="BY154" i="7"/>
  <c r="AN154" i="11" s="1"/>
  <c r="BY155" i="7"/>
  <c r="AN155" i="11" s="1"/>
  <c r="BY156" i="7"/>
  <c r="AN156" i="11" s="1"/>
  <c r="BY157" i="7"/>
  <c r="AN157" i="11" s="1"/>
  <c r="BY158" i="7"/>
  <c r="AN158" i="11" s="1"/>
  <c r="BY159" i="7"/>
  <c r="AN159" i="11" s="1"/>
  <c r="BY160" i="7"/>
  <c r="AN160" i="11" s="1"/>
  <c r="BY161" i="7"/>
  <c r="AN161" i="11" s="1"/>
  <c r="BY162" i="7"/>
  <c r="AN162" i="11" s="1"/>
  <c r="BY163" i="7"/>
  <c r="AN163" i="11" s="1"/>
  <c r="BY164" i="7"/>
  <c r="AN164" i="11" s="1"/>
  <c r="BY165" i="7"/>
  <c r="AN165" i="11" s="1"/>
  <c r="BY166" i="7"/>
  <c r="AN166" i="11" s="1"/>
  <c r="BY167" i="7"/>
  <c r="AN167" i="11" s="1"/>
  <c r="BY168" i="7"/>
  <c r="AN168" i="11" s="1"/>
  <c r="BY169" i="7"/>
  <c r="AN169" i="11" s="1"/>
  <c r="BY170" i="7"/>
  <c r="AN170" i="11" s="1"/>
  <c r="BY171" i="7"/>
  <c r="AN171" i="11" s="1"/>
  <c r="BY172" i="7"/>
  <c r="AN172" i="11" s="1"/>
  <c r="BY173" i="7"/>
  <c r="AN173" i="11" s="1"/>
  <c r="BY174" i="7"/>
  <c r="AN174" i="11" s="1"/>
  <c r="BY175" i="7"/>
  <c r="AN175" i="11" s="1"/>
  <c r="BY176" i="7"/>
  <c r="AN176" i="11" s="1"/>
  <c r="BY177" i="7"/>
  <c r="AN177" i="11" s="1"/>
  <c r="BY178" i="7"/>
  <c r="AN178" i="11" s="1"/>
  <c r="BY179" i="7"/>
  <c r="AN179" i="11" s="1"/>
  <c r="BY180" i="7"/>
  <c r="AN180" i="11" s="1"/>
  <c r="BY181" i="7"/>
  <c r="AN181" i="11" s="1"/>
  <c r="BY182" i="7"/>
  <c r="AN182" i="11" s="1"/>
  <c r="BY183" i="7"/>
  <c r="AN183" i="11" s="1"/>
  <c r="BY184" i="7"/>
  <c r="AN184" i="11" s="1"/>
  <c r="BY185" i="7"/>
  <c r="AN185" i="11" s="1"/>
  <c r="BY186" i="7"/>
  <c r="AN186" i="11" s="1"/>
  <c r="BY187" i="7"/>
  <c r="AN187" i="11" s="1"/>
  <c r="BY188" i="7"/>
  <c r="AN188" i="11" s="1"/>
  <c r="BY189" i="7"/>
  <c r="AN189" i="11" s="1"/>
  <c r="BY190" i="7"/>
  <c r="AN190" i="11" s="1"/>
  <c r="BY191" i="7"/>
  <c r="AN191" i="11" s="1"/>
  <c r="BY192" i="7"/>
  <c r="AN192" i="11" s="1"/>
  <c r="BY193" i="7"/>
  <c r="AN193" i="11" s="1"/>
  <c r="BY194" i="7"/>
  <c r="AN194" i="11" s="1"/>
  <c r="BY195" i="7"/>
  <c r="AN195" i="11" s="1"/>
  <c r="BY196" i="7"/>
  <c r="AN196" i="11" s="1"/>
  <c r="BY197" i="7"/>
  <c r="AN197" i="11" s="1"/>
  <c r="BY198" i="7"/>
  <c r="AN198" i="11" s="1"/>
  <c r="BY199" i="7"/>
  <c r="AN199" i="11" s="1"/>
  <c r="BY200" i="7"/>
  <c r="AN200" i="11" s="1"/>
  <c r="BY201" i="7"/>
  <c r="AN201" i="11" s="1"/>
  <c r="BY202" i="7"/>
  <c r="AN202" i="11" s="1"/>
  <c r="BY203" i="7"/>
  <c r="AN203" i="11" s="1"/>
  <c r="BY204" i="7"/>
  <c r="AN204" i="11" s="1"/>
  <c r="BY205" i="7"/>
  <c r="AN205" i="11" s="1"/>
  <c r="BY206" i="7"/>
  <c r="AN206" i="11" s="1"/>
  <c r="BY207" i="7"/>
  <c r="AN207" i="11" s="1"/>
  <c r="BY208" i="7"/>
  <c r="AN208" i="11" s="1"/>
  <c r="BY209" i="7"/>
  <c r="AN209" i="11" s="1"/>
  <c r="BY210" i="7"/>
  <c r="AN210" i="11" s="1"/>
  <c r="BY211" i="7"/>
  <c r="AN211" i="11" s="1"/>
  <c r="BY212" i="7"/>
  <c r="AN212" i="11" s="1"/>
  <c r="BY213" i="7"/>
  <c r="AN213" i="11" s="1"/>
  <c r="BY214" i="7"/>
  <c r="AN214" i="11" s="1"/>
  <c r="BY215" i="7"/>
  <c r="AN215" i="11" s="1"/>
  <c r="BY216" i="7"/>
  <c r="AN216" i="11" s="1"/>
  <c r="BY217" i="7"/>
  <c r="AN217" i="11" s="1"/>
  <c r="BY218" i="7"/>
  <c r="AN218" i="11" s="1"/>
  <c r="BY219" i="7"/>
  <c r="AN219" i="11" s="1"/>
  <c r="BY220" i="7"/>
  <c r="AN220" i="11" s="1"/>
  <c r="BY221" i="7"/>
  <c r="AN221" i="11" s="1"/>
  <c r="BY222" i="7"/>
  <c r="AN222" i="11" s="1"/>
  <c r="BY223" i="7"/>
  <c r="AN223" i="11" s="1"/>
  <c r="BY224" i="7"/>
  <c r="AN224" i="11" s="1"/>
  <c r="BY225" i="7"/>
  <c r="AN225" i="11" s="1"/>
  <c r="BY226" i="7"/>
  <c r="AN226" i="11" s="1"/>
  <c r="BY227" i="7"/>
  <c r="AN227" i="11" s="1"/>
  <c r="BY228" i="7"/>
  <c r="AN228" i="11" s="1"/>
  <c r="BY229" i="7"/>
  <c r="AN229" i="11" s="1"/>
  <c r="BY230" i="7"/>
  <c r="AN230" i="11" s="1"/>
  <c r="BY231" i="7"/>
  <c r="AN231" i="11" s="1"/>
  <c r="BY232" i="7"/>
  <c r="AN232" i="11" s="1"/>
  <c r="BY233" i="7"/>
  <c r="AN233" i="11" s="1"/>
  <c r="BY234" i="7"/>
  <c r="AN234" i="11" s="1"/>
  <c r="BY235" i="7"/>
  <c r="AN235" i="11" s="1"/>
  <c r="BY236" i="7"/>
  <c r="AN236" i="11" s="1"/>
  <c r="BY237" i="7"/>
  <c r="AN237" i="11" s="1"/>
  <c r="BY238" i="7"/>
  <c r="AN238" i="11" s="1"/>
  <c r="BY239" i="7"/>
  <c r="AN239" i="11" s="1"/>
  <c r="BY240" i="7"/>
  <c r="AN240" i="11" s="1"/>
  <c r="BY241" i="7"/>
  <c r="AN241" i="11" s="1"/>
  <c r="BY242" i="7"/>
  <c r="AN242" i="11" s="1"/>
  <c r="BY243" i="7"/>
  <c r="AN243" i="11" s="1"/>
  <c r="BY245" i="7"/>
  <c r="AN245" i="11" s="1"/>
  <c r="BY246" i="7"/>
  <c r="AN246" i="11" s="1"/>
  <c r="BY247" i="7"/>
  <c r="AN247" i="11" s="1"/>
  <c r="BY248" i="7"/>
  <c r="AN248" i="11" s="1"/>
  <c r="BY249" i="7"/>
  <c r="AN249" i="11" s="1"/>
  <c r="BY250" i="7"/>
  <c r="AN250" i="11" s="1"/>
  <c r="BY251" i="7"/>
  <c r="AN251" i="11" s="1"/>
  <c r="BY252" i="7"/>
  <c r="AN252" i="11" s="1"/>
  <c r="BY253" i="7"/>
  <c r="AN253" i="11" s="1"/>
  <c r="BY254" i="7"/>
  <c r="AN254" i="11" s="1"/>
  <c r="BY255" i="7"/>
  <c r="AN255" i="11" s="1"/>
  <c r="BY256" i="7"/>
  <c r="AN256" i="11" s="1"/>
  <c r="BY257" i="7"/>
  <c r="AN257" i="11" s="1"/>
  <c r="BY258" i="7"/>
  <c r="AN258" i="11" s="1"/>
  <c r="BY259" i="7"/>
  <c r="AN259" i="11" s="1"/>
  <c r="BY260" i="7"/>
  <c r="AN260" i="11" s="1"/>
  <c r="BY261" i="7"/>
  <c r="AN261" i="11" s="1"/>
  <c r="BY262" i="7"/>
  <c r="AN262" i="11" s="1"/>
  <c r="BY263" i="7"/>
  <c r="AN263" i="11" s="1"/>
  <c r="BY264" i="7"/>
  <c r="AN264" i="11" s="1"/>
  <c r="BY265" i="7"/>
  <c r="AN265" i="11" s="1"/>
  <c r="BY266" i="7"/>
  <c r="AN266" i="11" s="1"/>
  <c r="BY267" i="7"/>
  <c r="AN267" i="11" s="1"/>
  <c r="BY268" i="7"/>
  <c r="AN268" i="11" s="1"/>
  <c r="BY269" i="7"/>
  <c r="AN269" i="11" s="1"/>
  <c r="BY270" i="7"/>
  <c r="AN270" i="11" s="1"/>
  <c r="BY271" i="7"/>
  <c r="AN271" i="11" s="1"/>
  <c r="BY272" i="7"/>
  <c r="AN272" i="11" s="1"/>
  <c r="BY273" i="7"/>
  <c r="AN273" i="11" s="1"/>
  <c r="BY274" i="7"/>
  <c r="AN274" i="11" s="1"/>
  <c r="BY275" i="7"/>
  <c r="AN275" i="11" s="1"/>
  <c r="BY276" i="7"/>
  <c r="AN276" i="11" s="1"/>
  <c r="BY277" i="7"/>
  <c r="AN277" i="11" s="1"/>
  <c r="BY278" i="7"/>
  <c r="AN278" i="11" s="1"/>
  <c r="BY279" i="7"/>
  <c r="AN279" i="11" s="1"/>
  <c r="BY280" i="7"/>
  <c r="AN280" i="11" s="1"/>
  <c r="BY281" i="7"/>
  <c r="AN281" i="11" s="1"/>
  <c r="BY282" i="7"/>
  <c r="AN282" i="11" s="1"/>
  <c r="BY283" i="7"/>
  <c r="AN283" i="11" s="1"/>
  <c r="BY284" i="7"/>
  <c r="AN284" i="11" s="1"/>
  <c r="BY285" i="7"/>
  <c r="AN285" i="11" s="1"/>
  <c r="BY286" i="7"/>
  <c r="AN286" i="11" s="1"/>
  <c r="BY287" i="7"/>
  <c r="AN287" i="11" s="1"/>
  <c r="BY288" i="7"/>
  <c r="AN288" i="11" s="1"/>
  <c r="BY289" i="7"/>
  <c r="AN289" i="11" s="1"/>
  <c r="BY290" i="7"/>
  <c r="AN290" i="11" s="1"/>
  <c r="BY291" i="7"/>
  <c r="AN291" i="11" s="1"/>
  <c r="BY292" i="7"/>
  <c r="AN292" i="11" s="1"/>
  <c r="BY293" i="7"/>
  <c r="AN293" i="11" s="1"/>
  <c r="BY294" i="7"/>
  <c r="AN294" i="11" s="1"/>
  <c r="BY295" i="7"/>
  <c r="AN295" i="11" s="1"/>
  <c r="BY296" i="7"/>
  <c r="AN296" i="11" s="1"/>
  <c r="BY297" i="7"/>
  <c r="AN297" i="11" s="1"/>
  <c r="BY298" i="7"/>
  <c r="AN298" i="11" s="1"/>
  <c r="BY299" i="7"/>
  <c r="AN299" i="11" s="1"/>
  <c r="BY300" i="7"/>
  <c r="AN300" i="11" s="1"/>
  <c r="BY301" i="7"/>
  <c r="AN301" i="11" s="1"/>
  <c r="BY302" i="7"/>
  <c r="AN302" i="11" s="1"/>
  <c r="BY303" i="7"/>
  <c r="AN303" i="11" s="1"/>
  <c r="BY305" i="7"/>
  <c r="AN305" i="11" s="1"/>
  <c r="BY306" i="7"/>
  <c r="AN306" i="11" s="1"/>
  <c r="BY307" i="7"/>
  <c r="AN307" i="11" s="1"/>
  <c r="BY308" i="7"/>
  <c r="AN308" i="11" s="1"/>
  <c r="BY309" i="7"/>
  <c r="AN309" i="11" s="1"/>
  <c r="BY310" i="7"/>
  <c r="AN310" i="11" s="1"/>
  <c r="BY311" i="7"/>
  <c r="AN311" i="11" s="1"/>
  <c r="BY312" i="7"/>
  <c r="AN312" i="11" s="1"/>
  <c r="BY313" i="7"/>
  <c r="AN313" i="11" s="1"/>
  <c r="BY314" i="7"/>
  <c r="AN314" i="11" s="1"/>
  <c r="BY315" i="7"/>
  <c r="AN315" i="11" s="1"/>
  <c r="BY316" i="7"/>
  <c r="AN316" i="11" s="1"/>
  <c r="BY317" i="7"/>
  <c r="BY318" i="7"/>
  <c r="AN318" i="11" s="1"/>
  <c r="BY319" i="7"/>
  <c r="AN319" i="11" s="1"/>
  <c r="BY320" i="7"/>
  <c r="AN320" i="11" s="1"/>
  <c r="BY321" i="7"/>
  <c r="AN321" i="11" s="1"/>
  <c r="BY322" i="7"/>
  <c r="AN322" i="11" s="1"/>
  <c r="BY323" i="7"/>
  <c r="AN323" i="11" s="1"/>
  <c r="BY324" i="7"/>
  <c r="AN324" i="11" s="1"/>
  <c r="BY325" i="7"/>
  <c r="AN325" i="11" s="1"/>
  <c r="BY326" i="7"/>
  <c r="AN326" i="11" s="1"/>
  <c r="BY327" i="7"/>
  <c r="AN327" i="11" s="1"/>
  <c r="BY328" i="7"/>
  <c r="AN328" i="11" s="1"/>
  <c r="BY329" i="7"/>
  <c r="AN329" i="11" s="1"/>
  <c r="BY330" i="7"/>
  <c r="AN330" i="11" s="1"/>
  <c r="BY331" i="7"/>
  <c r="AN331" i="11" s="1"/>
  <c r="BY332" i="7"/>
  <c r="AN332" i="11" s="1"/>
  <c r="BY333" i="7"/>
  <c r="AN333" i="11" s="1"/>
  <c r="BY334" i="7"/>
  <c r="AN334" i="11" s="1"/>
  <c r="BY335" i="7"/>
  <c r="AN335" i="11" s="1"/>
  <c r="BY336" i="7"/>
  <c r="AN336" i="11" s="1"/>
  <c r="BY337" i="7"/>
  <c r="AN337" i="11" s="1"/>
  <c r="BY338" i="7"/>
  <c r="AN338" i="11" s="1"/>
  <c r="BY339" i="7"/>
  <c r="AN339" i="11" s="1"/>
  <c r="BY340" i="7"/>
  <c r="AN340" i="11" s="1"/>
  <c r="BY341" i="7"/>
  <c r="BY342" i="7"/>
  <c r="AN342" i="11" s="1"/>
  <c r="BY343" i="7"/>
  <c r="AN343" i="11" s="1"/>
  <c r="BY344" i="7"/>
  <c r="AN344" i="11" s="1"/>
  <c r="BY345" i="7"/>
  <c r="AN345" i="11" s="1"/>
  <c r="BY346" i="7"/>
  <c r="AN346" i="11" s="1"/>
  <c r="BY347" i="7"/>
  <c r="AN347" i="11" s="1"/>
  <c r="BY348" i="7"/>
  <c r="AN348" i="11" s="1"/>
  <c r="BY349" i="7"/>
  <c r="AN349" i="11" s="1"/>
  <c r="BY350" i="7"/>
  <c r="AN350" i="11" s="1"/>
  <c r="BY351" i="7"/>
  <c r="AN351" i="11" s="1"/>
  <c r="BY352" i="7"/>
  <c r="AN352" i="11" s="1"/>
  <c r="BY353" i="7"/>
  <c r="AN353" i="11" s="1"/>
  <c r="BY354" i="7"/>
  <c r="AN354" i="11" s="1"/>
  <c r="BY355" i="7"/>
  <c r="AN355" i="11" s="1"/>
  <c r="BY356" i="7"/>
  <c r="AN356" i="11" s="1"/>
  <c r="BY357" i="7"/>
  <c r="AN357" i="11" s="1"/>
  <c r="BY358" i="7"/>
  <c r="AN358" i="11" s="1"/>
  <c r="BY359" i="7"/>
  <c r="AN359" i="11" s="1"/>
  <c r="BY360" i="7"/>
  <c r="AN360" i="11" s="1"/>
  <c r="BY361" i="7"/>
  <c r="AN361" i="11" s="1"/>
  <c r="BY362" i="7"/>
  <c r="AN362" i="11" s="1"/>
  <c r="BY363" i="7"/>
  <c r="AN363" i="11" s="1"/>
  <c r="BY364" i="7"/>
  <c r="AN364" i="11" s="1"/>
  <c r="BY365" i="7"/>
  <c r="BY366" i="7"/>
  <c r="AN366" i="11" s="1"/>
  <c r="BY367" i="7"/>
  <c r="AN367" i="11" s="1"/>
  <c r="BY368" i="7"/>
  <c r="AN368" i="11" s="1"/>
  <c r="BY369" i="7"/>
  <c r="AN369" i="11" s="1"/>
  <c r="BY370" i="7"/>
  <c r="AN370" i="11" s="1"/>
  <c r="BY371" i="7"/>
  <c r="AN371" i="11" s="1"/>
  <c r="BY372" i="7"/>
  <c r="AN372" i="11" s="1"/>
  <c r="BY373" i="7"/>
  <c r="AN373" i="11" s="1"/>
  <c r="BY374" i="7"/>
  <c r="AN374" i="11" s="1"/>
  <c r="BY375" i="7"/>
  <c r="AN375" i="11" s="1"/>
  <c r="BY376" i="7"/>
  <c r="AN376" i="11" s="1"/>
  <c r="BY377" i="7"/>
  <c r="AN377" i="11" s="1"/>
  <c r="BY378" i="7"/>
  <c r="AN378" i="11" s="1"/>
  <c r="BY379" i="7"/>
  <c r="AN379" i="11" s="1"/>
  <c r="BY380" i="7"/>
  <c r="AN380" i="11" s="1"/>
  <c r="BY381" i="7"/>
  <c r="AN381" i="11" s="1"/>
  <c r="BY382" i="7"/>
  <c r="AN382" i="11" s="1"/>
  <c r="BY383" i="7"/>
  <c r="AN383" i="11" s="1"/>
  <c r="BY384" i="7"/>
  <c r="AN384" i="11" s="1"/>
  <c r="BY385" i="7"/>
  <c r="AN385" i="11" s="1"/>
  <c r="BY386" i="7"/>
  <c r="AN386" i="11" s="1"/>
  <c r="BY387" i="7"/>
  <c r="AN387" i="11" s="1"/>
  <c r="BY388" i="7"/>
  <c r="AN388" i="11" s="1"/>
  <c r="BY389" i="7"/>
  <c r="AN389" i="11" s="1"/>
  <c r="BY390" i="7"/>
  <c r="AN390" i="11" s="1"/>
  <c r="BY391" i="7"/>
  <c r="AN391" i="11" s="1"/>
  <c r="BY392" i="7"/>
  <c r="AN392" i="11" s="1"/>
  <c r="BY393" i="7"/>
  <c r="AN393" i="11" s="1"/>
  <c r="BY394" i="7"/>
  <c r="AN394" i="11" s="1"/>
  <c r="BY395" i="7"/>
  <c r="AN395" i="11" s="1"/>
  <c r="BY396" i="7"/>
  <c r="AN396" i="11" s="1"/>
  <c r="BY397" i="7"/>
  <c r="AN397" i="11" s="1"/>
  <c r="BY398" i="7"/>
  <c r="AN398" i="11" s="1"/>
  <c r="BY399" i="7"/>
  <c r="AN399" i="11" s="1"/>
  <c r="BY400" i="7"/>
  <c r="AN400" i="11" s="1"/>
  <c r="BY401" i="7"/>
  <c r="AN401" i="11" s="1"/>
  <c r="BY402" i="7"/>
  <c r="AN402" i="11" s="1"/>
  <c r="BY403" i="7"/>
  <c r="AN403" i="11" s="1"/>
  <c r="BY404" i="7"/>
  <c r="AN404" i="11" s="1"/>
  <c r="BY405" i="7"/>
  <c r="AN405" i="11" s="1"/>
  <c r="BY406" i="7"/>
  <c r="AN406" i="11" s="1"/>
  <c r="BY407" i="7"/>
  <c r="AN407" i="11" s="1"/>
  <c r="BY408" i="7"/>
  <c r="AN408" i="11" s="1"/>
  <c r="BY409" i="7"/>
  <c r="AN409" i="11" s="1"/>
  <c r="BY410" i="7"/>
  <c r="AN410" i="11" s="1"/>
  <c r="BY411" i="7"/>
  <c r="AN411" i="11" s="1"/>
  <c r="BY412" i="7"/>
  <c r="AN412" i="11" s="1"/>
  <c r="BY413" i="7"/>
  <c r="BY414" i="7"/>
  <c r="AN414" i="11" s="1"/>
  <c r="BY415" i="7"/>
  <c r="AN415" i="11" s="1"/>
  <c r="BY416" i="7"/>
  <c r="AN416" i="11" s="1"/>
  <c r="BY417" i="7"/>
  <c r="AN417" i="11" s="1"/>
  <c r="BY418" i="7"/>
  <c r="AN418" i="11" s="1"/>
  <c r="BY419" i="7"/>
  <c r="AN419" i="11" s="1"/>
  <c r="BY420" i="7"/>
  <c r="AN420" i="11" s="1"/>
  <c r="BY421" i="7"/>
  <c r="AN421" i="11" s="1"/>
  <c r="BY422" i="7"/>
  <c r="AN422" i="11" s="1"/>
  <c r="BY423" i="7"/>
  <c r="AN423" i="11" s="1"/>
  <c r="BY424" i="7"/>
  <c r="AN424" i="11" s="1"/>
  <c r="BY425" i="7"/>
  <c r="AN425" i="11" s="1"/>
  <c r="BY426" i="7"/>
  <c r="AN426" i="11" s="1"/>
  <c r="BY427" i="7"/>
  <c r="AN427" i="11" s="1"/>
  <c r="BY428" i="7"/>
  <c r="AN428" i="11" s="1"/>
  <c r="BY429" i="7"/>
  <c r="AN429" i="11" s="1"/>
  <c r="BY430" i="7"/>
  <c r="AN430" i="11" s="1"/>
  <c r="BY431" i="7"/>
  <c r="AN431" i="11" s="1"/>
  <c r="BY432" i="7"/>
  <c r="AN432" i="11" s="1"/>
  <c r="BY433" i="7"/>
  <c r="AN433" i="11" s="1"/>
  <c r="BY434" i="7"/>
  <c r="AN434" i="11" s="1"/>
  <c r="BY435" i="7"/>
  <c r="AN435" i="11" s="1"/>
  <c r="BY436" i="7"/>
  <c r="AN436" i="11" s="1"/>
  <c r="BY437" i="7"/>
  <c r="AN437" i="11" s="1"/>
  <c r="BY438" i="7"/>
  <c r="AN438" i="11" s="1"/>
  <c r="BY439" i="7"/>
  <c r="AN439" i="11" s="1"/>
  <c r="BY440" i="7"/>
  <c r="AN440" i="11" s="1"/>
  <c r="BY441" i="7"/>
  <c r="AN441" i="11" s="1"/>
  <c r="BY442" i="7"/>
  <c r="AN442" i="11" s="1"/>
  <c r="BY443" i="7"/>
  <c r="AN443" i="11" s="1"/>
  <c r="BY444" i="7"/>
  <c r="AN444" i="11" s="1"/>
  <c r="BY445" i="7"/>
  <c r="AN445" i="11" s="1"/>
  <c r="BY446" i="7"/>
  <c r="AN446" i="11" s="1"/>
  <c r="BY447" i="7"/>
  <c r="AN447" i="11" s="1"/>
  <c r="BY448" i="7"/>
  <c r="AN448" i="11" s="1"/>
  <c r="BY449" i="7"/>
  <c r="AN449" i="11" s="1"/>
  <c r="BY450" i="7"/>
  <c r="AN450" i="11" s="1"/>
  <c r="BY451" i="7"/>
  <c r="AN451" i="11" s="1"/>
  <c r="BY452" i="7"/>
  <c r="AN452" i="11" s="1"/>
  <c r="BY453" i="7"/>
  <c r="AN453" i="11" s="1"/>
  <c r="BY454" i="7"/>
  <c r="AN454" i="11" s="1"/>
  <c r="BY455" i="7"/>
  <c r="AN455" i="11" s="1"/>
  <c r="BY456" i="7"/>
  <c r="AN456" i="11" s="1"/>
  <c r="BY457" i="7"/>
  <c r="AN457" i="11" s="1"/>
  <c r="BY458" i="7"/>
  <c r="AN458" i="11" s="1"/>
  <c r="BY459" i="7"/>
  <c r="AN459" i="11" s="1"/>
  <c r="BY460" i="7"/>
  <c r="AN460" i="11" s="1"/>
  <c r="BY461" i="7"/>
  <c r="BY462" i="7"/>
  <c r="AN462" i="11" s="1"/>
  <c r="BY463" i="7"/>
  <c r="AN463" i="11" s="1"/>
  <c r="BY464" i="7"/>
  <c r="AN464" i="11" s="1"/>
  <c r="BY465" i="7"/>
  <c r="AN465" i="11" s="1"/>
  <c r="BY466" i="7"/>
  <c r="AN466" i="11" s="1"/>
  <c r="BY467" i="7"/>
  <c r="AN467" i="11" s="1"/>
  <c r="BY468" i="7"/>
  <c r="AN468" i="11" s="1"/>
  <c r="BY469" i="7"/>
  <c r="AN469" i="11" s="1"/>
  <c r="BY470" i="7"/>
  <c r="AN470" i="11" s="1"/>
  <c r="BY471" i="7"/>
  <c r="AN471" i="11" s="1"/>
  <c r="BY472" i="7"/>
  <c r="AN472" i="11" s="1"/>
  <c r="BY473" i="7"/>
  <c r="AN473" i="11" s="1"/>
  <c r="BY474" i="7"/>
  <c r="AN474" i="11" s="1"/>
  <c r="BY475" i="7"/>
  <c r="AN475" i="11" s="1"/>
  <c r="BY476" i="7"/>
  <c r="AN476" i="11" s="1"/>
  <c r="BY477" i="7"/>
  <c r="AN477" i="11" s="1"/>
  <c r="BY478" i="7"/>
  <c r="AN478" i="11" s="1"/>
  <c r="BY479" i="7"/>
  <c r="AN479" i="11" s="1"/>
  <c r="BY480" i="7"/>
  <c r="AN480" i="11" s="1"/>
  <c r="BY481" i="7"/>
  <c r="AN481" i="11" s="1"/>
  <c r="BY482" i="7"/>
  <c r="AN482" i="11" s="1"/>
  <c r="BY483" i="7"/>
  <c r="AN483" i="11" s="1"/>
  <c r="BY484" i="7"/>
  <c r="AN484" i="11" s="1"/>
  <c r="BY5" i="7"/>
  <c r="E43" i="6"/>
  <c r="BY64" i="7" s="1"/>
  <c r="AN64" i="11" s="1"/>
  <c r="AN365" i="11" l="1"/>
  <c r="BW376" i="11" s="1"/>
  <c r="AL30" i="20" s="1"/>
  <c r="AN341" i="11"/>
  <c r="BW352" i="11" s="1"/>
  <c r="AJ30" i="20" s="1"/>
  <c r="AN461" i="11"/>
  <c r="BW472" i="11" s="1"/>
  <c r="AT30" i="20" s="1"/>
  <c r="AN5" i="11"/>
  <c r="BW16" i="11" s="1"/>
  <c r="H30" i="20" s="1"/>
  <c r="AN413" i="11"/>
  <c r="BW424" i="11" s="1"/>
  <c r="AP30" i="20" s="1"/>
  <c r="AN317" i="11"/>
  <c r="BW328" i="11" s="1"/>
  <c r="AH30" i="20" s="1"/>
  <c r="BW400" i="11"/>
  <c r="AN30" i="20" s="1"/>
  <c r="BW280" i="11"/>
  <c r="AD30" i="20" s="1"/>
  <c r="BW256" i="11"/>
  <c r="AB30" i="20" s="1"/>
  <c r="BW52" i="11"/>
  <c r="K30" i="20" s="1"/>
  <c r="BW28" i="11"/>
  <c r="I30" i="20" s="1"/>
  <c r="BW220" i="11"/>
  <c r="Y30" i="20" s="1"/>
  <c r="BW196" i="11"/>
  <c r="W30" i="20" s="1"/>
  <c r="BW172" i="11"/>
  <c r="U30" i="20" s="1"/>
  <c r="BW148" i="11"/>
  <c r="S30" i="20" s="1"/>
  <c r="BW124" i="11"/>
  <c r="Q30" i="20" s="1"/>
  <c r="BW100" i="11"/>
  <c r="O30" i="20" s="1"/>
  <c r="BW76" i="11"/>
  <c r="M30" i="20" s="1"/>
  <c r="BW292" i="11"/>
  <c r="AE30" i="20" s="1"/>
  <c r="BW268" i="11"/>
  <c r="AC30" i="20" s="1"/>
  <c r="BW448" i="11"/>
  <c r="AR30" i="20" s="1"/>
  <c r="BW484" i="11"/>
  <c r="AU30" i="20" s="1"/>
  <c r="BW460" i="11"/>
  <c r="AS30" i="20" s="1"/>
  <c r="BW436" i="11"/>
  <c r="AQ30" i="20" s="1"/>
  <c r="BW412" i="11"/>
  <c r="AO30" i="20" s="1"/>
  <c r="BW388" i="11"/>
  <c r="AM30" i="20" s="1"/>
  <c r="BW364" i="11"/>
  <c r="AK30" i="20" s="1"/>
  <c r="BW340" i="11"/>
  <c r="AI30" i="20" s="1"/>
  <c r="BW316" i="11"/>
  <c r="AG30" i="20" s="1"/>
  <c r="BW64" i="11"/>
  <c r="L30" i="20" s="1"/>
  <c r="BW40" i="11"/>
  <c r="J30" i="20" s="1"/>
  <c r="BW232" i="11"/>
  <c r="Z30" i="20" s="1"/>
  <c r="BW208" i="11"/>
  <c r="X30" i="20" s="1"/>
  <c r="BW184" i="11"/>
  <c r="V30" i="20" s="1"/>
  <c r="BW160" i="11"/>
  <c r="T30" i="20" s="1"/>
  <c r="BW136" i="11"/>
  <c r="R30" i="20" s="1"/>
  <c r="BW112" i="11"/>
  <c r="P30" i="20" s="1"/>
  <c r="BW88" i="11"/>
  <c r="N30" i="20" s="1"/>
  <c r="BY244" i="7"/>
  <c r="BY304" i="7"/>
  <c r="F54" i="6"/>
  <c r="AN244" i="11" l="1"/>
  <c r="BW244" i="11" s="1"/>
  <c r="AA30" i="20" s="1"/>
  <c r="AN304" i="11"/>
  <c r="BW304" i="11" s="1"/>
  <c r="AF30" i="20" s="1"/>
  <c r="CX4" i="7"/>
  <c r="CW5" i="7"/>
  <c r="CW6" i="7"/>
  <c r="CW7" i="7"/>
  <c r="CW8" i="7"/>
  <c r="CW9" i="7"/>
  <c r="CW10" i="7"/>
  <c r="CW11" i="7"/>
  <c r="CW12" i="7"/>
  <c r="CW13" i="7"/>
  <c r="CW14" i="7"/>
  <c r="CW15" i="7"/>
  <c r="CW17" i="7"/>
  <c r="CW18" i="7"/>
  <c r="CW19" i="7"/>
  <c r="CW20" i="7"/>
  <c r="CW21" i="7"/>
  <c r="CW22" i="7"/>
  <c r="CW23" i="7"/>
  <c r="CW24" i="7"/>
  <c r="CW25" i="7"/>
  <c r="CW26" i="7"/>
  <c r="CW27" i="7"/>
  <c r="CW29" i="7"/>
  <c r="CW30" i="7"/>
  <c r="CW31" i="7"/>
  <c r="CW32" i="7"/>
  <c r="CW33" i="7"/>
  <c r="CW34" i="7"/>
  <c r="CW35" i="7"/>
  <c r="CW36" i="7"/>
  <c r="CW37" i="7"/>
  <c r="CW38" i="7"/>
  <c r="CW39" i="7"/>
  <c r="CW41" i="7"/>
  <c r="CW42" i="7"/>
  <c r="CW43" i="7"/>
  <c r="CW44" i="7"/>
  <c r="CW45" i="7"/>
  <c r="CW46" i="7"/>
  <c r="CW47" i="7"/>
  <c r="CW48" i="7"/>
  <c r="CW49" i="7"/>
  <c r="CW50" i="7"/>
  <c r="CW51" i="7"/>
  <c r="CW53" i="7"/>
  <c r="CW54" i="7"/>
  <c r="CW55" i="7"/>
  <c r="CW56" i="7"/>
  <c r="CW57" i="7"/>
  <c r="CW58" i="7"/>
  <c r="CW59" i="7"/>
  <c r="CW60" i="7"/>
  <c r="CW61" i="7"/>
  <c r="CW62" i="7"/>
  <c r="CW63" i="7"/>
  <c r="CW65" i="7"/>
  <c r="CW66" i="7"/>
  <c r="CW67" i="7"/>
  <c r="CW68" i="7"/>
  <c r="CW69" i="7"/>
  <c r="CW70" i="7"/>
  <c r="CW71" i="7"/>
  <c r="CW72" i="7"/>
  <c r="CW73" i="7"/>
  <c r="CW74" i="7"/>
  <c r="CW75" i="7"/>
  <c r="CW77" i="7"/>
  <c r="CW78" i="7"/>
  <c r="CW79" i="7"/>
  <c r="CW80" i="7"/>
  <c r="CW81" i="7"/>
  <c r="CW82" i="7"/>
  <c r="CW83" i="7"/>
  <c r="CW84" i="7"/>
  <c r="CW85" i="7"/>
  <c r="CW86" i="7"/>
  <c r="CW87" i="7"/>
  <c r="CW88" i="7"/>
  <c r="CW89" i="7"/>
  <c r="CW90" i="7"/>
  <c r="CW91" i="7"/>
  <c r="CW92" i="7"/>
  <c r="CW93" i="7"/>
  <c r="CW94" i="7"/>
  <c r="CW95" i="7"/>
  <c r="CW96" i="7"/>
  <c r="CW97" i="7"/>
  <c r="CW98" i="7"/>
  <c r="CW99" i="7"/>
  <c r="CW100" i="7"/>
  <c r="CW101" i="7"/>
  <c r="CW102" i="7"/>
  <c r="CW103" i="7"/>
  <c r="CW104" i="7"/>
  <c r="CW105" i="7"/>
  <c r="CW106" i="7"/>
  <c r="CW107" i="7"/>
  <c r="CW108" i="7"/>
  <c r="CW109" i="7"/>
  <c r="CW110" i="7"/>
  <c r="CW111" i="7"/>
  <c r="CW112" i="7"/>
  <c r="CW113" i="7"/>
  <c r="CW114" i="7"/>
  <c r="CW115" i="7"/>
  <c r="CW116" i="7"/>
  <c r="CW117" i="7"/>
  <c r="CW118" i="7"/>
  <c r="CW119" i="7"/>
  <c r="CW120" i="7"/>
  <c r="CW121" i="7"/>
  <c r="CW122" i="7"/>
  <c r="CW123" i="7"/>
  <c r="CW124" i="7"/>
  <c r="CW125" i="7"/>
  <c r="CW126" i="7"/>
  <c r="CW127" i="7"/>
  <c r="CW128" i="7"/>
  <c r="CW129" i="7"/>
  <c r="CW130" i="7"/>
  <c r="CW131" i="7"/>
  <c r="CW132" i="7"/>
  <c r="CW133" i="7"/>
  <c r="CW134" i="7"/>
  <c r="CW135" i="7"/>
  <c r="CW136" i="7"/>
  <c r="CW137" i="7"/>
  <c r="CW138" i="7"/>
  <c r="CW139" i="7"/>
  <c r="CW140" i="7"/>
  <c r="CW141" i="7"/>
  <c r="CW142" i="7"/>
  <c r="CW143" i="7"/>
  <c r="CW144" i="7"/>
  <c r="CW145" i="7"/>
  <c r="CW146" i="7"/>
  <c r="CW147" i="7"/>
  <c r="CW148" i="7"/>
  <c r="CW149" i="7"/>
  <c r="CW150" i="7"/>
  <c r="CW151" i="7"/>
  <c r="CW152" i="7"/>
  <c r="CW153" i="7"/>
  <c r="CW154" i="7"/>
  <c r="CW155" i="7"/>
  <c r="CW156" i="7"/>
  <c r="CW157" i="7"/>
  <c r="CW158" i="7"/>
  <c r="CW159" i="7"/>
  <c r="CW160" i="7"/>
  <c r="CW161" i="7"/>
  <c r="CW162" i="7"/>
  <c r="CW163" i="7"/>
  <c r="CW164" i="7"/>
  <c r="CW165" i="7"/>
  <c r="CW166" i="7"/>
  <c r="CW167" i="7"/>
  <c r="CW168" i="7"/>
  <c r="CW169" i="7"/>
  <c r="CW170" i="7"/>
  <c r="CW171" i="7"/>
  <c r="CW172" i="7"/>
  <c r="CW173" i="7"/>
  <c r="CW174" i="7"/>
  <c r="CW175" i="7"/>
  <c r="CW176" i="7"/>
  <c r="CW177" i="7"/>
  <c r="CW178" i="7"/>
  <c r="CW179" i="7"/>
  <c r="CW180" i="7"/>
  <c r="CW181" i="7"/>
  <c r="CW182" i="7"/>
  <c r="CW183" i="7"/>
  <c r="CW184" i="7"/>
  <c r="CW185" i="7"/>
  <c r="CW186" i="7"/>
  <c r="CW187" i="7"/>
  <c r="CW188" i="7"/>
  <c r="CW189" i="7"/>
  <c r="CW190" i="7"/>
  <c r="CW191" i="7"/>
  <c r="CW192" i="7"/>
  <c r="CW193" i="7"/>
  <c r="CW194" i="7"/>
  <c r="CW195" i="7"/>
  <c r="CW196" i="7"/>
  <c r="CW197" i="7"/>
  <c r="CW198" i="7"/>
  <c r="CW199" i="7"/>
  <c r="CW200" i="7"/>
  <c r="CW201" i="7"/>
  <c r="CW202" i="7"/>
  <c r="CW203" i="7"/>
  <c r="CW204" i="7"/>
  <c r="CW205" i="7"/>
  <c r="CW206" i="7"/>
  <c r="CW207" i="7"/>
  <c r="CW208" i="7"/>
  <c r="CW209" i="7"/>
  <c r="CW210" i="7"/>
  <c r="CW211" i="7"/>
  <c r="CW212" i="7"/>
  <c r="CW213" i="7"/>
  <c r="CW214" i="7"/>
  <c r="CW215" i="7"/>
  <c r="CW216" i="7"/>
  <c r="CW217" i="7"/>
  <c r="CW218" i="7"/>
  <c r="CW219" i="7"/>
  <c r="CW220" i="7"/>
  <c r="CW221" i="7"/>
  <c r="CW222" i="7"/>
  <c r="CW223" i="7"/>
  <c r="CW224" i="7"/>
  <c r="CW225" i="7"/>
  <c r="CW226" i="7"/>
  <c r="CW227" i="7"/>
  <c r="CW228" i="7"/>
  <c r="CW229" i="7"/>
  <c r="CW230" i="7"/>
  <c r="CW231" i="7"/>
  <c r="CW232" i="7"/>
  <c r="CW233" i="7"/>
  <c r="CW234" i="7"/>
  <c r="CW235" i="7"/>
  <c r="CW236" i="7"/>
  <c r="CW237" i="7"/>
  <c r="CW238" i="7"/>
  <c r="CW239" i="7"/>
  <c r="CW240" i="7"/>
  <c r="CW241" i="7"/>
  <c r="CW242" i="7"/>
  <c r="CW243" i="7"/>
  <c r="CW244" i="7"/>
  <c r="CW245" i="7"/>
  <c r="CW246" i="7"/>
  <c r="CW247" i="7"/>
  <c r="CW248" i="7"/>
  <c r="CW249" i="7"/>
  <c r="CW250" i="7"/>
  <c r="CW251" i="7"/>
  <c r="CW252" i="7"/>
  <c r="CW253" i="7"/>
  <c r="CW254" i="7"/>
  <c r="CW255" i="7"/>
  <c r="CW256" i="7"/>
  <c r="CW257" i="7"/>
  <c r="CW258" i="7"/>
  <c r="CW259" i="7"/>
  <c r="CW260" i="7"/>
  <c r="CW261" i="7"/>
  <c r="CW262" i="7"/>
  <c r="CW263" i="7"/>
  <c r="CW264" i="7"/>
  <c r="CW265" i="7"/>
  <c r="CW266" i="7"/>
  <c r="CW267" i="7"/>
  <c r="CW268" i="7"/>
  <c r="CW269" i="7"/>
  <c r="CW270" i="7"/>
  <c r="CW271" i="7"/>
  <c r="CW272" i="7"/>
  <c r="CW273" i="7"/>
  <c r="CW274" i="7"/>
  <c r="CW275" i="7"/>
  <c r="CW276" i="7"/>
  <c r="CW277" i="7"/>
  <c r="CW278" i="7"/>
  <c r="CW279" i="7"/>
  <c r="CW280" i="7"/>
  <c r="CW281" i="7"/>
  <c r="CW282" i="7"/>
  <c r="CW283" i="7"/>
  <c r="CW284" i="7"/>
  <c r="CW285" i="7"/>
  <c r="CW286" i="7"/>
  <c r="CW287" i="7"/>
  <c r="CW288" i="7"/>
  <c r="CW289" i="7"/>
  <c r="CW290" i="7"/>
  <c r="CW291" i="7"/>
  <c r="CW292" i="7"/>
  <c r="CW293" i="7"/>
  <c r="CW294" i="7"/>
  <c r="CW295" i="7"/>
  <c r="CW296" i="7"/>
  <c r="CW297" i="7"/>
  <c r="CW298" i="7"/>
  <c r="CW299" i="7"/>
  <c r="CW300" i="7"/>
  <c r="CW301" i="7"/>
  <c r="CW302" i="7"/>
  <c r="CW303" i="7"/>
  <c r="CW304" i="7"/>
  <c r="CW305" i="7"/>
  <c r="CW306" i="7"/>
  <c r="CW307" i="7"/>
  <c r="CW308" i="7"/>
  <c r="CW309" i="7"/>
  <c r="CW310" i="7"/>
  <c r="CW311" i="7"/>
  <c r="CW312" i="7"/>
  <c r="CW313" i="7"/>
  <c r="CW314" i="7"/>
  <c r="CW315" i="7"/>
  <c r="CW316" i="7"/>
  <c r="CW317" i="7"/>
  <c r="CW318" i="7"/>
  <c r="CW319" i="7"/>
  <c r="CW320" i="7"/>
  <c r="CW321" i="7"/>
  <c r="CW322" i="7"/>
  <c r="CW323" i="7"/>
  <c r="CW324" i="7"/>
  <c r="CW325" i="7"/>
  <c r="CW326" i="7"/>
  <c r="CW327" i="7"/>
  <c r="CW328" i="7"/>
  <c r="CW329" i="7"/>
  <c r="CW330" i="7"/>
  <c r="CW331" i="7"/>
  <c r="CW332" i="7"/>
  <c r="CW333" i="7"/>
  <c r="CW334" i="7"/>
  <c r="CW335" i="7"/>
  <c r="CW336" i="7"/>
  <c r="CW337" i="7"/>
  <c r="CW338" i="7"/>
  <c r="CW339" i="7"/>
  <c r="CW340" i="7"/>
  <c r="CW341" i="7"/>
  <c r="CW342" i="7"/>
  <c r="CW343" i="7"/>
  <c r="CW344" i="7"/>
  <c r="CW345" i="7"/>
  <c r="CW346" i="7"/>
  <c r="CW347" i="7"/>
  <c r="CW348" i="7"/>
  <c r="CW349" i="7"/>
  <c r="CW350" i="7"/>
  <c r="CW351" i="7"/>
  <c r="CW352" i="7"/>
  <c r="CW353" i="7"/>
  <c r="CW354" i="7"/>
  <c r="CW355" i="7"/>
  <c r="CW356" i="7"/>
  <c r="CW357" i="7"/>
  <c r="CW358" i="7"/>
  <c r="CW359" i="7"/>
  <c r="CW360" i="7"/>
  <c r="CW361" i="7"/>
  <c r="CW362" i="7"/>
  <c r="CW363" i="7"/>
  <c r="CW364" i="7"/>
  <c r="CW365" i="7"/>
  <c r="CW366" i="7"/>
  <c r="CW367" i="7"/>
  <c r="CW368" i="7"/>
  <c r="CW369" i="7"/>
  <c r="CW370" i="7"/>
  <c r="CW371" i="7"/>
  <c r="CW372" i="7"/>
  <c r="CW373" i="7"/>
  <c r="CW374" i="7"/>
  <c r="CW375" i="7"/>
  <c r="CW376" i="7"/>
  <c r="CW377" i="7"/>
  <c r="CW378" i="7"/>
  <c r="CW379" i="7"/>
  <c r="CW380" i="7"/>
  <c r="CW381" i="7"/>
  <c r="CW382" i="7"/>
  <c r="CW383" i="7"/>
  <c r="CW384" i="7"/>
  <c r="CW385" i="7"/>
  <c r="CW386" i="7"/>
  <c r="CW387" i="7"/>
  <c r="CW388" i="7"/>
  <c r="CW389" i="7"/>
  <c r="CW390" i="7"/>
  <c r="CW391" i="7"/>
  <c r="CW392" i="7"/>
  <c r="CW393" i="7"/>
  <c r="CW394" i="7"/>
  <c r="CW395" i="7"/>
  <c r="CW396" i="7"/>
  <c r="CW397" i="7"/>
  <c r="CW398" i="7"/>
  <c r="CW399" i="7"/>
  <c r="CW400" i="7"/>
  <c r="CW401" i="7"/>
  <c r="CW402" i="7"/>
  <c r="CW403" i="7"/>
  <c r="CW404" i="7"/>
  <c r="CW405" i="7"/>
  <c r="CW406" i="7"/>
  <c r="CW407" i="7"/>
  <c r="CW408" i="7"/>
  <c r="CW409" i="7"/>
  <c r="CW410" i="7"/>
  <c r="CW411" i="7"/>
  <c r="CW412" i="7"/>
  <c r="CW413" i="7"/>
  <c r="CW414" i="7"/>
  <c r="CW415" i="7"/>
  <c r="CW416" i="7"/>
  <c r="CW417" i="7"/>
  <c r="CW418" i="7"/>
  <c r="CW419" i="7"/>
  <c r="CW420" i="7"/>
  <c r="CW421" i="7"/>
  <c r="CW422" i="7"/>
  <c r="CW423" i="7"/>
  <c r="CW424" i="7"/>
  <c r="CW425" i="7"/>
  <c r="CW426" i="7"/>
  <c r="CW427" i="7"/>
  <c r="CW428" i="7"/>
  <c r="CW429" i="7"/>
  <c r="CW430" i="7"/>
  <c r="CW431" i="7"/>
  <c r="CW432" i="7"/>
  <c r="CW433" i="7"/>
  <c r="CW434" i="7"/>
  <c r="CW435" i="7"/>
  <c r="CW436" i="7"/>
  <c r="CW437" i="7"/>
  <c r="CW438" i="7"/>
  <c r="CW439" i="7"/>
  <c r="CW440" i="7"/>
  <c r="CW441" i="7"/>
  <c r="CW442" i="7"/>
  <c r="CW443" i="7"/>
  <c r="CW444" i="7"/>
  <c r="CW445" i="7"/>
  <c r="CW446" i="7"/>
  <c r="CW447" i="7"/>
  <c r="CW448" i="7"/>
  <c r="CW449" i="7"/>
  <c r="CW450" i="7"/>
  <c r="CW451" i="7"/>
  <c r="CW452" i="7"/>
  <c r="CW453" i="7"/>
  <c r="CW454" i="7"/>
  <c r="CW455" i="7"/>
  <c r="CW456" i="7"/>
  <c r="CW457" i="7"/>
  <c r="CW458" i="7"/>
  <c r="CW459" i="7"/>
  <c r="CW460" i="7"/>
  <c r="CW461" i="7"/>
  <c r="CW462" i="7"/>
  <c r="CW463" i="7"/>
  <c r="CW464" i="7"/>
  <c r="CW465" i="7"/>
  <c r="CW466" i="7"/>
  <c r="CW467" i="7"/>
  <c r="CW468" i="7"/>
  <c r="CW469" i="7"/>
  <c r="CW470" i="7"/>
  <c r="CW471" i="7"/>
  <c r="CW472" i="7"/>
  <c r="CW473" i="7"/>
  <c r="CW474" i="7"/>
  <c r="CW475" i="7"/>
  <c r="CW476" i="7"/>
  <c r="CW477" i="7"/>
  <c r="CW478" i="7"/>
  <c r="CW479" i="7"/>
  <c r="CW480" i="7"/>
  <c r="CW481" i="7"/>
  <c r="CW482" i="7"/>
  <c r="CW483" i="7"/>
  <c r="CW484" i="7"/>
  <c r="CW4" i="7"/>
  <c r="CV4" i="7"/>
  <c r="CT6" i="7"/>
  <c r="CT7" i="7"/>
  <c r="CT8" i="7"/>
  <c r="CT9" i="7"/>
  <c r="CT10" i="7"/>
  <c r="CT11" i="7"/>
  <c r="CT12" i="7"/>
  <c r="CT13" i="7"/>
  <c r="CT14" i="7"/>
  <c r="CT15" i="7"/>
  <c r="CT17" i="7"/>
  <c r="CT18" i="7"/>
  <c r="CT19" i="7"/>
  <c r="CT20" i="7"/>
  <c r="CT21" i="7"/>
  <c r="CT22" i="7"/>
  <c r="CT23" i="7"/>
  <c r="CT24" i="7"/>
  <c r="CT25" i="7"/>
  <c r="CT26" i="7"/>
  <c r="CT27" i="7"/>
  <c r="CT28" i="7"/>
  <c r="CT29" i="7"/>
  <c r="CT30" i="7"/>
  <c r="CT31" i="7"/>
  <c r="CT32" i="7"/>
  <c r="CT33" i="7"/>
  <c r="CT34" i="7"/>
  <c r="CT35" i="7"/>
  <c r="CT36" i="7"/>
  <c r="CT37" i="7"/>
  <c r="CT38" i="7"/>
  <c r="CT39" i="7"/>
  <c r="CT40" i="7"/>
  <c r="CT41" i="7"/>
  <c r="CT42" i="7"/>
  <c r="CT43" i="7"/>
  <c r="CT44" i="7"/>
  <c r="CT45" i="7"/>
  <c r="CT46" i="7"/>
  <c r="CT47" i="7"/>
  <c r="CT48" i="7"/>
  <c r="CT49" i="7"/>
  <c r="CT50" i="7"/>
  <c r="CT51" i="7"/>
  <c r="CT52" i="7"/>
  <c r="CT53" i="7"/>
  <c r="CT54" i="7"/>
  <c r="CT55" i="7"/>
  <c r="CT56" i="7"/>
  <c r="CT57" i="7"/>
  <c r="CT58" i="7"/>
  <c r="CT59" i="7"/>
  <c r="CT60" i="7"/>
  <c r="CT61" i="7"/>
  <c r="CT62" i="7"/>
  <c r="CT63" i="7"/>
  <c r="CT64" i="7"/>
  <c r="CT65" i="7"/>
  <c r="CT66" i="7"/>
  <c r="CT67" i="7"/>
  <c r="CT68" i="7"/>
  <c r="CT69" i="7"/>
  <c r="CT70" i="7"/>
  <c r="CT71" i="7"/>
  <c r="CT72" i="7"/>
  <c r="CT73" i="7"/>
  <c r="CT74" i="7"/>
  <c r="CT75" i="7"/>
  <c r="CT76" i="7"/>
  <c r="CT77" i="7"/>
  <c r="CT78" i="7"/>
  <c r="CT79" i="7"/>
  <c r="CT80" i="7"/>
  <c r="CT81" i="7"/>
  <c r="CT82" i="7"/>
  <c r="CT83" i="7"/>
  <c r="CT84" i="7"/>
  <c r="CT85" i="7"/>
  <c r="CT86" i="7"/>
  <c r="CT87" i="7"/>
  <c r="CT88" i="7"/>
  <c r="CT89" i="7"/>
  <c r="CT90" i="7"/>
  <c r="CT91" i="7"/>
  <c r="CT92" i="7"/>
  <c r="CT93" i="7"/>
  <c r="CT94" i="7"/>
  <c r="CT95" i="7"/>
  <c r="CT96" i="7"/>
  <c r="CT97" i="7"/>
  <c r="CT98" i="7"/>
  <c r="CT99" i="7"/>
  <c r="CT100" i="7"/>
  <c r="CT101" i="7"/>
  <c r="CT102" i="7"/>
  <c r="CT103" i="7"/>
  <c r="CT104" i="7"/>
  <c r="CT105" i="7"/>
  <c r="CT106" i="7"/>
  <c r="CT107" i="7"/>
  <c r="CT108" i="7"/>
  <c r="CT109" i="7"/>
  <c r="CT110" i="7"/>
  <c r="CT111" i="7"/>
  <c r="CT112" i="7"/>
  <c r="CT113" i="7"/>
  <c r="CT114" i="7"/>
  <c r="CT115" i="7"/>
  <c r="CT116" i="7"/>
  <c r="CT117" i="7"/>
  <c r="CT118" i="7"/>
  <c r="CT119" i="7"/>
  <c r="CT120" i="7"/>
  <c r="CT121" i="7"/>
  <c r="CT122" i="7"/>
  <c r="CT123" i="7"/>
  <c r="CT124" i="7"/>
  <c r="CT125" i="7"/>
  <c r="CT126" i="7"/>
  <c r="CT127" i="7"/>
  <c r="CT128" i="7"/>
  <c r="CT129" i="7"/>
  <c r="CT130" i="7"/>
  <c r="CT131" i="7"/>
  <c r="CT132" i="7"/>
  <c r="CT133" i="7"/>
  <c r="CT134" i="7"/>
  <c r="CT135" i="7"/>
  <c r="CT136" i="7"/>
  <c r="CT137" i="7"/>
  <c r="CT138" i="7"/>
  <c r="CT139" i="7"/>
  <c r="CT140" i="7"/>
  <c r="CT141" i="7"/>
  <c r="CT142" i="7"/>
  <c r="CT143" i="7"/>
  <c r="CT144" i="7"/>
  <c r="CT145" i="7"/>
  <c r="CT146" i="7"/>
  <c r="CT147" i="7"/>
  <c r="CT148" i="7"/>
  <c r="CT149" i="7"/>
  <c r="CT150" i="7"/>
  <c r="CT151" i="7"/>
  <c r="CT152" i="7"/>
  <c r="CT153" i="7"/>
  <c r="CT154" i="7"/>
  <c r="CT155" i="7"/>
  <c r="CT156" i="7"/>
  <c r="CT157" i="7"/>
  <c r="CT158" i="7"/>
  <c r="CT159" i="7"/>
  <c r="CT160" i="7"/>
  <c r="CT161" i="7"/>
  <c r="CT162" i="7"/>
  <c r="CT163" i="7"/>
  <c r="CT164" i="7"/>
  <c r="CT165" i="7"/>
  <c r="CT166" i="7"/>
  <c r="CT167" i="7"/>
  <c r="CT168" i="7"/>
  <c r="CT169" i="7"/>
  <c r="CT170" i="7"/>
  <c r="CT171" i="7"/>
  <c r="CT172" i="7"/>
  <c r="CT173" i="7"/>
  <c r="CT174" i="7"/>
  <c r="CT175" i="7"/>
  <c r="CT176" i="7"/>
  <c r="CT177" i="7"/>
  <c r="CT178" i="7"/>
  <c r="CT179" i="7"/>
  <c r="CT180" i="7"/>
  <c r="CT181" i="7"/>
  <c r="CT182" i="7"/>
  <c r="CT183" i="7"/>
  <c r="CT184" i="7"/>
  <c r="CT185" i="7"/>
  <c r="CT186" i="7"/>
  <c r="CT187" i="7"/>
  <c r="CT188" i="7"/>
  <c r="CT189" i="7"/>
  <c r="CT190" i="7"/>
  <c r="CT191" i="7"/>
  <c r="CT192" i="7"/>
  <c r="CT193" i="7"/>
  <c r="CT194" i="7"/>
  <c r="CT195" i="7"/>
  <c r="CT196" i="7"/>
  <c r="CT197" i="7"/>
  <c r="CT198" i="7"/>
  <c r="CT199" i="7"/>
  <c r="CT200" i="7"/>
  <c r="CT201" i="7"/>
  <c r="CT202" i="7"/>
  <c r="CT203" i="7"/>
  <c r="CT204" i="7"/>
  <c r="CT205" i="7"/>
  <c r="CT206" i="7"/>
  <c r="CT207" i="7"/>
  <c r="CT208" i="7"/>
  <c r="CT209" i="7"/>
  <c r="CT210" i="7"/>
  <c r="CT211" i="7"/>
  <c r="CT212" i="7"/>
  <c r="CT213" i="7"/>
  <c r="CT214" i="7"/>
  <c r="CT215" i="7"/>
  <c r="CT216" i="7"/>
  <c r="CT217" i="7"/>
  <c r="CT218" i="7"/>
  <c r="CT219" i="7"/>
  <c r="CT220" i="7"/>
  <c r="CT221" i="7"/>
  <c r="CT222" i="7"/>
  <c r="CT223" i="7"/>
  <c r="CT224" i="7"/>
  <c r="CT225" i="7"/>
  <c r="CT226" i="7"/>
  <c r="CT227" i="7"/>
  <c r="CT228" i="7"/>
  <c r="CT229" i="7"/>
  <c r="CT230" i="7"/>
  <c r="CT231" i="7"/>
  <c r="CT232" i="7"/>
  <c r="CT233" i="7"/>
  <c r="CT234" i="7"/>
  <c r="CT235" i="7"/>
  <c r="CT236" i="7"/>
  <c r="CT237" i="7"/>
  <c r="CT238" i="7"/>
  <c r="CT239" i="7"/>
  <c r="CT240" i="7"/>
  <c r="CT241" i="7"/>
  <c r="CT242" i="7"/>
  <c r="CT243" i="7"/>
  <c r="CT244" i="7"/>
  <c r="CT245" i="7"/>
  <c r="CT246" i="7"/>
  <c r="CT247" i="7"/>
  <c r="CT248" i="7"/>
  <c r="CT249" i="7"/>
  <c r="CT250" i="7"/>
  <c r="CT251" i="7"/>
  <c r="CT252" i="7"/>
  <c r="CT253" i="7"/>
  <c r="CT254" i="7"/>
  <c r="CT255" i="7"/>
  <c r="CT256" i="7"/>
  <c r="CT257" i="7"/>
  <c r="CT258" i="7"/>
  <c r="CT259" i="7"/>
  <c r="CT260" i="7"/>
  <c r="CT261" i="7"/>
  <c r="CT262" i="7"/>
  <c r="CT263" i="7"/>
  <c r="CT264" i="7"/>
  <c r="CT265" i="7"/>
  <c r="CT266" i="7"/>
  <c r="CT267" i="7"/>
  <c r="CT268" i="7"/>
  <c r="CT269" i="7"/>
  <c r="CT270" i="7"/>
  <c r="CT271" i="7"/>
  <c r="CT272" i="7"/>
  <c r="CT273" i="7"/>
  <c r="CT274" i="7"/>
  <c r="CT275" i="7"/>
  <c r="CT276" i="7"/>
  <c r="CT277" i="7"/>
  <c r="CT278" i="7"/>
  <c r="CT279" i="7"/>
  <c r="CT280" i="7"/>
  <c r="CT281" i="7"/>
  <c r="CT282" i="7"/>
  <c r="CT283" i="7"/>
  <c r="CT284" i="7"/>
  <c r="CT285" i="7"/>
  <c r="CT286" i="7"/>
  <c r="CT287" i="7"/>
  <c r="CT288" i="7"/>
  <c r="CT289" i="7"/>
  <c r="CT290" i="7"/>
  <c r="CT291" i="7"/>
  <c r="CT292" i="7"/>
  <c r="CT293" i="7"/>
  <c r="CT294" i="7"/>
  <c r="CT295" i="7"/>
  <c r="CT296" i="7"/>
  <c r="CT297" i="7"/>
  <c r="CT298" i="7"/>
  <c r="CT299" i="7"/>
  <c r="CT300" i="7"/>
  <c r="CT301" i="7"/>
  <c r="CT302" i="7"/>
  <c r="CT303" i="7"/>
  <c r="CT304" i="7"/>
  <c r="CT305" i="7"/>
  <c r="CT306" i="7"/>
  <c r="CT307" i="7"/>
  <c r="CT308" i="7"/>
  <c r="CT309" i="7"/>
  <c r="CT310" i="7"/>
  <c r="CT311" i="7"/>
  <c r="CT312" i="7"/>
  <c r="CT313" i="7"/>
  <c r="CT314" i="7"/>
  <c r="CT315" i="7"/>
  <c r="CT316" i="7"/>
  <c r="CT317" i="7"/>
  <c r="CT318" i="7"/>
  <c r="CT319" i="7"/>
  <c r="CT320" i="7"/>
  <c r="CT321" i="7"/>
  <c r="CT322" i="7"/>
  <c r="CT323" i="7"/>
  <c r="CT324" i="7"/>
  <c r="CT325" i="7"/>
  <c r="CT326" i="7"/>
  <c r="CT327" i="7"/>
  <c r="CT328" i="7"/>
  <c r="CT329" i="7"/>
  <c r="CT330" i="7"/>
  <c r="CT331" i="7"/>
  <c r="CT332" i="7"/>
  <c r="CT333" i="7"/>
  <c r="CT334" i="7"/>
  <c r="CT335" i="7"/>
  <c r="CT336" i="7"/>
  <c r="CT337" i="7"/>
  <c r="CT338" i="7"/>
  <c r="CT339" i="7"/>
  <c r="CT340" i="7"/>
  <c r="CT341" i="7"/>
  <c r="CT342" i="7"/>
  <c r="CT343" i="7"/>
  <c r="CT344" i="7"/>
  <c r="CT345" i="7"/>
  <c r="CT346" i="7"/>
  <c r="CT347" i="7"/>
  <c r="CT348" i="7"/>
  <c r="CT349" i="7"/>
  <c r="CT350" i="7"/>
  <c r="CT351" i="7"/>
  <c r="CT352" i="7"/>
  <c r="CT353" i="7"/>
  <c r="CT354" i="7"/>
  <c r="CT355" i="7"/>
  <c r="CT356" i="7"/>
  <c r="CT357" i="7"/>
  <c r="CT358" i="7"/>
  <c r="CT359" i="7"/>
  <c r="CT360" i="7"/>
  <c r="CT361" i="7"/>
  <c r="CT362" i="7"/>
  <c r="CT363" i="7"/>
  <c r="CT364" i="7"/>
  <c r="CT365" i="7"/>
  <c r="CT366" i="7"/>
  <c r="CT367" i="7"/>
  <c r="CT368" i="7"/>
  <c r="CT369" i="7"/>
  <c r="CT370" i="7"/>
  <c r="CT371" i="7"/>
  <c r="CT372" i="7"/>
  <c r="CT373" i="7"/>
  <c r="CT374" i="7"/>
  <c r="CT375" i="7"/>
  <c r="CT376" i="7"/>
  <c r="CT377" i="7"/>
  <c r="CT378" i="7"/>
  <c r="CT379" i="7"/>
  <c r="CT380" i="7"/>
  <c r="CT381" i="7"/>
  <c r="CT382" i="7"/>
  <c r="CT383" i="7"/>
  <c r="CT384" i="7"/>
  <c r="CT385" i="7"/>
  <c r="CT386" i="7"/>
  <c r="CT387" i="7"/>
  <c r="CT388" i="7"/>
  <c r="CT389" i="7"/>
  <c r="CT390" i="7"/>
  <c r="CT391" i="7"/>
  <c r="CT392" i="7"/>
  <c r="CT393" i="7"/>
  <c r="CT394" i="7"/>
  <c r="CT395" i="7"/>
  <c r="CT396" i="7"/>
  <c r="CT397" i="7"/>
  <c r="CT398" i="7"/>
  <c r="CT399" i="7"/>
  <c r="CT400" i="7"/>
  <c r="CT401" i="7"/>
  <c r="CT402" i="7"/>
  <c r="CT403" i="7"/>
  <c r="CT404" i="7"/>
  <c r="CT405" i="7"/>
  <c r="CT406" i="7"/>
  <c r="CT407" i="7"/>
  <c r="CT408" i="7"/>
  <c r="CT409" i="7"/>
  <c r="CT410" i="7"/>
  <c r="CT411" i="7"/>
  <c r="CT412" i="7"/>
  <c r="CT413" i="7"/>
  <c r="CT414" i="7"/>
  <c r="CT415" i="7"/>
  <c r="CT416" i="7"/>
  <c r="CT417" i="7"/>
  <c r="CT418" i="7"/>
  <c r="CT419" i="7"/>
  <c r="CT420" i="7"/>
  <c r="CT421" i="7"/>
  <c r="CT422" i="7"/>
  <c r="CT423" i="7"/>
  <c r="CT424" i="7"/>
  <c r="CT425" i="7"/>
  <c r="CT426" i="7"/>
  <c r="CT427" i="7"/>
  <c r="CT428" i="7"/>
  <c r="CT429" i="7"/>
  <c r="CT430" i="7"/>
  <c r="CT431" i="7"/>
  <c r="CT432" i="7"/>
  <c r="CT433" i="7"/>
  <c r="CT434" i="7"/>
  <c r="CT435" i="7"/>
  <c r="CT436" i="7"/>
  <c r="CT437" i="7"/>
  <c r="CT438" i="7"/>
  <c r="CT439" i="7"/>
  <c r="CT440" i="7"/>
  <c r="CT441" i="7"/>
  <c r="CT442" i="7"/>
  <c r="CT443" i="7"/>
  <c r="CT444" i="7"/>
  <c r="CT445" i="7"/>
  <c r="CT446" i="7"/>
  <c r="CT447" i="7"/>
  <c r="CT448" i="7"/>
  <c r="CT449" i="7"/>
  <c r="CT450" i="7"/>
  <c r="CT451" i="7"/>
  <c r="CT452" i="7"/>
  <c r="CT453" i="7"/>
  <c r="CT454" i="7"/>
  <c r="CT455" i="7"/>
  <c r="CT456" i="7"/>
  <c r="CT457" i="7"/>
  <c r="CT458" i="7"/>
  <c r="CT459" i="7"/>
  <c r="CT460" i="7"/>
  <c r="CT461" i="7"/>
  <c r="CT462" i="7"/>
  <c r="CT463" i="7"/>
  <c r="CT464" i="7"/>
  <c r="CT465" i="7"/>
  <c r="CT466" i="7"/>
  <c r="CT467" i="7"/>
  <c r="CT468" i="7"/>
  <c r="CT469" i="7"/>
  <c r="CT470" i="7"/>
  <c r="CT471" i="7"/>
  <c r="CT472" i="7"/>
  <c r="CT473" i="7"/>
  <c r="CT474" i="7"/>
  <c r="CT475" i="7"/>
  <c r="CT476" i="7"/>
  <c r="CT477" i="7"/>
  <c r="CT478" i="7"/>
  <c r="CT479" i="7"/>
  <c r="CT480" i="7"/>
  <c r="CT481" i="7"/>
  <c r="CT482" i="7"/>
  <c r="CT483" i="7"/>
  <c r="CT484" i="7"/>
  <c r="CT4" i="7"/>
  <c r="A305" i="11" l="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E365" i="7"/>
  <c r="F365" i="7"/>
  <c r="G365" i="7"/>
  <c r="H365" i="7"/>
  <c r="I365" i="7"/>
  <c r="S365" i="7"/>
  <c r="AO365" i="7"/>
  <c r="AP365" i="7"/>
  <c r="AS365" i="7"/>
  <c r="AP365" i="11" s="1"/>
  <c r="AT365" i="7"/>
  <c r="AQ365" i="11" s="1"/>
  <c r="AU365" i="7"/>
  <c r="AR365" i="11" s="1"/>
  <c r="BN365" i="7"/>
  <c r="BO365" i="7"/>
  <c r="BV365" i="7"/>
  <c r="AL365" i="11" s="1"/>
  <c r="BW365" i="7"/>
  <c r="E366" i="7"/>
  <c r="F366" i="7"/>
  <c r="G366" i="7"/>
  <c r="H366" i="7"/>
  <c r="I366" i="7"/>
  <c r="S366" i="7"/>
  <c r="AO366" i="7"/>
  <c r="AP366" i="7"/>
  <c r="AS366" i="7"/>
  <c r="AP366" i="11" s="1"/>
  <c r="AT366" i="7"/>
  <c r="AQ366" i="11" s="1"/>
  <c r="AU366" i="7"/>
  <c r="AR366" i="11" s="1"/>
  <c r="BN366" i="7"/>
  <c r="BO366" i="7"/>
  <c r="BV366" i="7"/>
  <c r="AL366" i="11" s="1"/>
  <c r="BW366" i="7"/>
  <c r="E367" i="7"/>
  <c r="F367" i="7"/>
  <c r="G367" i="7"/>
  <c r="H367" i="7"/>
  <c r="I367" i="7"/>
  <c r="S367" i="7"/>
  <c r="AO367" i="7"/>
  <c r="AP367" i="7"/>
  <c r="AS367" i="7"/>
  <c r="AP367" i="11" s="1"/>
  <c r="AT367" i="7"/>
  <c r="AQ367" i="11" s="1"/>
  <c r="AU367" i="7"/>
  <c r="AR367" i="11" s="1"/>
  <c r="BN367" i="7"/>
  <c r="BO367" i="7"/>
  <c r="BV367" i="7"/>
  <c r="AL367" i="11" s="1"/>
  <c r="BW367" i="7"/>
  <c r="E368" i="7"/>
  <c r="F368" i="7"/>
  <c r="G368" i="7"/>
  <c r="H368" i="7"/>
  <c r="I368" i="7"/>
  <c r="S368" i="7"/>
  <c r="AO368" i="7"/>
  <c r="AP368" i="7"/>
  <c r="AS368" i="7"/>
  <c r="AP368" i="11" s="1"/>
  <c r="AT368" i="7"/>
  <c r="AQ368" i="11" s="1"/>
  <c r="AU368" i="7"/>
  <c r="AR368" i="11" s="1"/>
  <c r="BN368" i="7"/>
  <c r="BO368" i="7"/>
  <c r="BV368" i="7"/>
  <c r="AL368" i="11" s="1"/>
  <c r="BW368" i="7"/>
  <c r="E369" i="7"/>
  <c r="F369" i="7"/>
  <c r="G369" i="7"/>
  <c r="H369" i="7"/>
  <c r="I369" i="7"/>
  <c r="S369" i="7"/>
  <c r="AO369" i="7"/>
  <c r="AP369" i="7"/>
  <c r="AS369" i="7"/>
  <c r="AP369" i="11" s="1"/>
  <c r="AT369" i="7"/>
  <c r="AQ369" i="11" s="1"/>
  <c r="AU369" i="7"/>
  <c r="AR369" i="11" s="1"/>
  <c r="BN369" i="7"/>
  <c r="BO369" i="7"/>
  <c r="BV369" i="7"/>
  <c r="AL369" i="11" s="1"/>
  <c r="BW369" i="7"/>
  <c r="E370" i="7"/>
  <c r="F370" i="7"/>
  <c r="G370" i="7"/>
  <c r="H370" i="7"/>
  <c r="I370" i="7"/>
  <c r="S370" i="7"/>
  <c r="AO370" i="7"/>
  <c r="AP370" i="7"/>
  <c r="AS370" i="7"/>
  <c r="AP370" i="11" s="1"/>
  <c r="AT370" i="7"/>
  <c r="AQ370" i="11" s="1"/>
  <c r="AU370" i="7"/>
  <c r="AR370" i="11" s="1"/>
  <c r="BN370" i="7"/>
  <c r="BO370" i="7"/>
  <c r="BV370" i="7"/>
  <c r="AL370" i="11" s="1"/>
  <c r="BW370" i="7"/>
  <c r="E371" i="7"/>
  <c r="F371" i="7"/>
  <c r="G371" i="7"/>
  <c r="H371" i="7"/>
  <c r="I371" i="7"/>
  <c r="S371" i="7"/>
  <c r="AO371" i="7"/>
  <c r="AP371" i="7"/>
  <c r="AS371" i="7"/>
  <c r="AP371" i="11" s="1"/>
  <c r="AT371" i="7"/>
  <c r="AQ371" i="11" s="1"/>
  <c r="AU371" i="7"/>
  <c r="AR371" i="11" s="1"/>
  <c r="BN371" i="7"/>
  <c r="BO371" i="7"/>
  <c r="BV371" i="7"/>
  <c r="AL371" i="11" s="1"/>
  <c r="BW371" i="7"/>
  <c r="E372" i="7"/>
  <c r="F372" i="7"/>
  <c r="G372" i="7"/>
  <c r="H372" i="7"/>
  <c r="I372" i="7"/>
  <c r="S372" i="7"/>
  <c r="AO372" i="7"/>
  <c r="AP372" i="7"/>
  <c r="AS372" i="7"/>
  <c r="AP372" i="11" s="1"/>
  <c r="AT372" i="7"/>
  <c r="AQ372" i="11" s="1"/>
  <c r="AU372" i="7"/>
  <c r="AR372" i="11" s="1"/>
  <c r="BN372" i="7"/>
  <c r="BO372" i="7"/>
  <c r="BV372" i="7"/>
  <c r="AL372" i="11" s="1"/>
  <c r="BW372" i="7"/>
  <c r="E373" i="7"/>
  <c r="F373" i="7"/>
  <c r="G373" i="7"/>
  <c r="H373" i="7"/>
  <c r="I373" i="7"/>
  <c r="S373" i="7"/>
  <c r="AO373" i="7"/>
  <c r="AP373" i="7"/>
  <c r="AS373" i="7"/>
  <c r="AP373" i="11" s="1"/>
  <c r="AT373" i="7"/>
  <c r="AQ373" i="11" s="1"/>
  <c r="AU373" i="7"/>
  <c r="AR373" i="11" s="1"/>
  <c r="BN373" i="7"/>
  <c r="BO373" i="7"/>
  <c r="BV373" i="7"/>
  <c r="AL373" i="11" s="1"/>
  <c r="BW373" i="7"/>
  <c r="E374" i="7"/>
  <c r="F374" i="7"/>
  <c r="G374" i="7"/>
  <c r="H374" i="7"/>
  <c r="I374" i="7"/>
  <c r="S374" i="7"/>
  <c r="AO374" i="7"/>
  <c r="AP374" i="7"/>
  <c r="AS374" i="7"/>
  <c r="AP374" i="11" s="1"/>
  <c r="AT374" i="7"/>
  <c r="AQ374" i="11" s="1"/>
  <c r="AU374" i="7"/>
  <c r="AR374" i="11" s="1"/>
  <c r="BN374" i="7"/>
  <c r="BO374" i="7"/>
  <c r="BV374" i="7"/>
  <c r="AL374" i="11" s="1"/>
  <c r="BW374" i="7"/>
  <c r="E375" i="7"/>
  <c r="F375" i="7"/>
  <c r="G375" i="7"/>
  <c r="H375" i="7"/>
  <c r="I375" i="7"/>
  <c r="S375" i="7"/>
  <c r="AO375" i="7"/>
  <c r="AP375" i="7"/>
  <c r="AS375" i="7"/>
  <c r="AP375" i="11" s="1"/>
  <c r="AT375" i="7"/>
  <c r="AQ375" i="11" s="1"/>
  <c r="AU375" i="7"/>
  <c r="AR375" i="11" s="1"/>
  <c r="BN375" i="7"/>
  <c r="BO375" i="7"/>
  <c r="BV375" i="7"/>
  <c r="AL375" i="11" s="1"/>
  <c r="BW375" i="7"/>
  <c r="E376" i="7"/>
  <c r="F376" i="7"/>
  <c r="G376" i="7"/>
  <c r="H376" i="7"/>
  <c r="I376" i="7"/>
  <c r="S376" i="7"/>
  <c r="AO376" i="7"/>
  <c r="AP376" i="7"/>
  <c r="AS376" i="7"/>
  <c r="AP376" i="11" s="1"/>
  <c r="AT376" i="7"/>
  <c r="AQ376" i="11" s="1"/>
  <c r="AU376" i="7"/>
  <c r="AR376" i="11" s="1"/>
  <c r="BN376" i="7"/>
  <c r="BO376" i="7"/>
  <c r="BV376" i="7"/>
  <c r="AL376" i="11" s="1"/>
  <c r="BW376" i="7"/>
  <c r="E377" i="7"/>
  <c r="F377" i="7"/>
  <c r="G377" i="7"/>
  <c r="H377" i="7"/>
  <c r="I377" i="7"/>
  <c r="S377" i="7"/>
  <c r="AO377" i="7"/>
  <c r="AP377" i="7"/>
  <c r="AS377" i="7"/>
  <c r="AP377" i="11" s="1"/>
  <c r="AT377" i="7"/>
  <c r="AQ377" i="11" s="1"/>
  <c r="AU377" i="7"/>
  <c r="AR377" i="11" s="1"/>
  <c r="BN377" i="7"/>
  <c r="BO377" i="7"/>
  <c r="BV377" i="7"/>
  <c r="AL377" i="11" s="1"/>
  <c r="BW377" i="7"/>
  <c r="E378" i="7"/>
  <c r="F378" i="7"/>
  <c r="G378" i="7"/>
  <c r="H378" i="7"/>
  <c r="I378" i="7"/>
  <c r="S378" i="7"/>
  <c r="AO378" i="7"/>
  <c r="AP378" i="7"/>
  <c r="AS378" i="7"/>
  <c r="AP378" i="11" s="1"/>
  <c r="AT378" i="7"/>
  <c r="AQ378" i="11" s="1"/>
  <c r="AU378" i="7"/>
  <c r="AR378" i="11" s="1"/>
  <c r="BN378" i="7"/>
  <c r="BO378" i="7"/>
  <c r="BV378" i="7"/>
  <c r="AL378" i="11" s="1"/>
  <c r="BW378" i="7"/>
  <c r="E379" i="7"/>
  <c r="F379" i="7"/>
  <c r="G379" i="7"/>
  <c r="H379" i="7"/>
  <c r="I379" i="7"/>
  <c r="S379" i="7"/>
  <c r="AO379" i="7"/>
  <c r="AP379" i="7"/>
  <c r="AS379" i="7"/>
  <c r="AP379" i="11" s="1"/>
  <c r="AT379" i="7"/>
  <c r="AQ379" i="11" s="1"/>
  <c r="AU379" i="7"/>
  <c r="AR379" i="11" s="1"/>
  <c r="BN379" i="7"/>
  <c r="BO379" i="7"/>
  <c r="BV379" i="7"/>
  <c r="AL379" i="11" s="1"/>
  <c r="BW379" i="7"/>
  <c r="E380" i="7"/>
  <c r="F380" i="7"/>
  <c r="G380" i="7"/>
  <c r="H380" i="7"/>
  <c r="I380" i="7"/>
  <c r="S380" i="7"/>
  <c r="AO380" i="7"/>
  <c r="AP380" i="7"/>
  <c r="AS380" i="7"/>
  <c r="AP380" i="11" s="1"/>
  <c r="AT380" i="7"/>
  <c r="AQ380" i="11" s="1"/>
  <c r="AU380" i="7"/>
  <c r="AR380" i="11" s="1"/>
  <c r="BN380" i="7"/>
  <c r="BO380" i="7"/>
  <c r="BV380" i="7"/>
  <c r="AL380" i="11" s="1"/>
  <c r="BW380" i="7"/>
  <c r="E381" i="7"/>
  <c r="F381" i="7"/>
  <c r="G381" i="7"/>
  <c r="H381" i="7"/>
  <c r="I381" i="7"/>
  <c r="S381" i="7"/>
  <c r="AO381" i="7"/>
  <c r="AP381" i="7"/>
  <c r="AS381" i="7"/>
  <c r="AP381" i="11" s="1"/>
  <c r="AT381" i="7"/>
  <c r="AQ381" i="11" s="1"/>
  <c r="AU381" i="7"/>
  <c r="AR381" i="11" s="1"/>
  <c r="BN381" i="7"/>
  <c r="BO381" i="7"/>
  <c r="BV381" i="7"/>
  <c r="AL381" i="11" s="1"/>
  <c r="BW381" i="7"/>
  <c r="E382" i="7"/>
  <c r="F382" i="7"/>
  <c r="G382" i="7"/>
  <c r="H382" i="7"/>
  <c r="I382" i="7"/>
  <c r="S382" i="7"/>
  <c r="AO382" i="7"/>
  <c r="AP382" i="7"/>
  <c r="AS382" i="7"/>
  <c r="AP382" i="11" s="1"/>
  <c r="AT382" i="7"/>
  <c r="AQ382" i="11" s="1"/>
  <c r="AU382" i="7"/>
  <c r="AR382" i="11" s="1"/>
  <c r="BN382" i="7"/>
  <c r="BO382" i="7"/>
  <c r="BV382" i="7"/>
  <c r="AL382" i="11" s="1"/>
  <c r="BW382" i="7"/>
  <c r="E383" i="7"/>
  <c r="F383" i="7"/>
  <c r="G383" i="7"/>
  <c r="H383" i="7"/>
  <c r="I383" i="7"/>
  <c r="S383" i="7"/>
  <c r="AO383" i="7"/>
  <c r="AP383" i="7"/>
  <c r="AS383" i="7"/>
  <c r="AP383" i="11" s="1"/>
  <c r="AT383" i="7"/>
  <c r="AQ383" i="11" s="1"/>
  <c r="AU383" i="7"/>
  <c r="AR383" i="11" s="1"/>
  <c r="BN383" i="7"/>
  <c r="BO383" i="7"/>
  <c r="BV383" i="7"/>
  <c r="AL383" i="11" s="1"/>
  <c r="BW383" i="7"/>
  <c r="E384" i="7"/>
  <c r="F384" i="7"/>
  <c r="G384" i="7"/>
  <c r="H384" i="7"/>
  <c r="I384" i="7"/>
  <c r="S384" i="7"/>
  <c r="AO384" i="7"/>
  <c r="AP384" i="7"/>
  <c r="AS384" i="7"/>
  <c r="AP384" i="11" s="1"/>
  <c r="AT384" i="7"/>
  <c r="AQ384" i="11" s="1"/>
  <c r="AU384" i="7"/>
  <c r="AR384" i="11" s="1"/>
  <c r="BN384" i="7"/>
  <c r="BO384" i="7"/>
  <c r="BV384" i="7"/>
  <c r="AL384" i="11" s="1"/>
  <c r="BW384" i="7"/>
  <c r="E385" i="7"/>
  <c r="F385" i="7"/>
  <c r="G385" i="7"/>
  <c r="H385" i="7"/>
  <c r="I385" i="7"/>
  <c r="S385" i="7"/>
  <c r="AO385" i="7"/>
  <c r="AP385" i="7"/>
  <c r="AS385" i="7"/>
  <c r="AP385" i="11" s="1"/>
  <c r="AT385" i="7"/>
  <c r="AQ385" i="11" s="1"/>
  <c r="AU385" i="7"/>
  <c r="AR385" i="11" s="1"/>
  <c r="BN385" i="7"/>
  <c r="BO385" i="7"/>
  <c r="BV385" i="7"/>
  <c r="AL385" i="11" s="1"/>
  <c r="BW385" i="7"/>
  <c r="E386" i="7"/>
  <c r="F386" i="7"/>
  <c r="G386" i="7"/>
  <c r="H386" i="7"/>
  <c r="I386" i="7"/>
  <c r="S386" i="7"/>
  <c r="AO386" i="7"/>
  <c r="AP386" i="7"/>
  <c r="AS386" i="7"/>
  <c r="AP386" i="11" s="1"/>
  <c r="AT386" i="7"/>
  <c r="AQ386" i="11" s="1"/>
  <c r="AU386" i="7"/>
  <c r="AR386" i="11" s="1"/>
  <c r="BN386" i="7"/>
  <c r="BO386" i="7"/>
  <c r="BV386" i="7"/>
  <c r="AL386" i="11" s="1"/>
  <c r="BW386" i="7"/>
  <c r="E387" i="7"/>
  <c r="F387" i="7"/>
  <c r="G387" i="7"/>
  <c r="H387" i="7"/>
  <c r="I387" i="7"/>
  <c r="S387" i="7"/>
  <c r="AO387" i="7"/>
  <c r="AP387" i="7"/>
  <c r="AS387" i="7"/>
  <c r="AP387" i="11" s="1"/>
  <c r="AT387" i="7"/>
  <c r="AQ387" i="11" s="1"/>
  <c r="AU387" i="7"/>
  <c r="AR387" i="11" s="1"/>
  <c r="BN387" i="7"/>
  <c r="BO387" i="7"/>
  <c r="BV387" i="7"/>
  <c r="AL387" i="11" s="1"/>
  <c r="BW387" i="7"/>
  <c r="E388" i="7"/>
  <c r="F388" i="7"/>
  <c r="G388" i="7"/>
  <c r="H388" i="7"/>
  <c r="I388" i="7"/>
  <c r="S388" i="7"/>
  <c r="AO388" i="7"/>
  <c r="AP388" i="7"/>
  <c r="AS388" i="7"/>
  <c r="AP388" i="11" s="1"/>
  <c r="AT388" i="7"/>
  <c r="AQ388" i="11" s="1"/>
  <c r="AU388" i="7"/>
  <c r="AR388" i="11" s="1"/>
  <c r="BN388" i="7"/>
  <c r="BO388" i="7"/>
  <c r="BV388" i="7"/>
  <c r="AL388" i="11" s="1"/>
  <c r="BW388" i="7"/>
  <c r="E389" i="7"/>
  <c r="F389" i="7"/>
  <c r="G389" i="7"/>
  <c r="H389" i="7"/>
  <c r="I389" i="7"/>
  <c r="S389" i="7"/>
  <c r="AO389" i="7"/>
  <c r="AP389" i="7"/>
  <c r="AS389" i="7"/>
  <c r="AP389" i="11" s="1"/>
  <c r="AT389" i="7"/>
  <c r="AQ389" i="11" s="1"/>
  <c r="AU389" i="7"/>
  <c r="AR389" i="11" s="1"/>
  <c r="BN389" i="7"/>
  <c r="BO389" i="7"/>
  <c r="BV389" i="7"/>
  <c r="AL389" i="11" s="1"/>
  <c r="BW389" i="7"/>
  <c r="E390" i="7"/>
  <c r="F390" i="7"/>
  <c r="G390" i="7"/>
  <c r="H390" i="7"/>
  <c r="I390" i="7"/>
  <c r="S390" i="7"/>
  <c r="AO390" i="7"/>
  <c r="AP390" i="7"/>
  <c r="AS390" i="7"/>
  <c r="AP390" i="11" s="1"/>
  <c r="AT390" i="7"/>
  <c r="AQ390" i="11" s="1"/>
  <c r="AU390" i="7"/>
  <c r="AR390" i="11" s="1"/>
  <c r="BN390" i="7"/>
  <c r="BO390" i="7"/>
  <c r="BV390" i="7"/>
  <c r="AL390" i="11" s="1"/>
  <c r="BW390" i="7"/>
  <c r="E391" i="7"/>
  <c r="F391" i="7"/>
  <c r="G391" i="7"/>
  <c r="H391" i="7"/>
  <c r="I391" i="7"/>
  <c r="S391" i="7"/>
  <c r="AO391" i="7"/>
  <c r="AP391" i="7"/>
  <c r="AS391" i="7"/>
  <c r="AP391" i="11" s="1"/>
  <c r="AT391" i="7"/>
  <c r="AQ391" i="11" s="1"/>
  <c r="AU391" i="7"/>
  <c r="AR391" i="11" s="1"/>
  <c r="BN391" i="7"/>
  <c r="BO391" i="7"/>
  <c r="BV391" i="7"/>
  <c r="AL391" i="11" s="1"/>
  <c r="BW391" i="7"/>
  <c r="E392" i="7"/>
  <c r="F392" i="7"/>
  <c r="G392" i="7"/>
  <c r="H392" i="7"/>
  <c r="I392" i="7"/>
  <c r="S392" i="7"/>
  <c r="AO392" i="7"/>
  <c r="AP392" i="7"/>
  <c r="AS392" i="7"/>
  <c r="AP392" i="11" s="1"/>
  <c r="AT392" i="7"/>
  <c r="AQ392" i="11" s="1"/>
  <c r="AU392" i="7"/>
  <c r="AR392" i="11" s="1"/>
  <c r="BN392" i="7"/>
  <c r="BO392" i="7"/>
  <c r="BV392" i="7"/>
  <c r="AL392" i="11" s="1"/>
  <c r="BW392" i="7"/>
  <c r="E393" i="7"/>
  <c r="F393" i="7"/>
  <c r="G393" i="7"/>
  <c r="H393" i="7"/>
  <c r="I393" i="7"/>
  <c r="S393" i="7"/>
  <c r="AO393" i="7"/>
  <c r="AP393" i="7"/>
  <c r="AS393" i="7"/>
  <c r="AP393" i="11" s="1"/>
  <c r="AT393" i="7"/>
  <c r="AQ393" i="11" s="1"/>
  <c r="AU393" i="7"/>
  <c r="AR393" i="11" s="1"/>
  <c r="BN393" i="7"/>
  <c r="BO393" i="7"/>
  <c r="BV393" i="7"/>
  <c r="AL393" i="11" s="1"/>
  <c r="BW393" i="7"/>
  <c r="E394" i="7"/>
  <c r="F394" i="7"/>
  <c r="G394" i="7"/>
  <c r="H394" i="7"/>
  <c r="I394" i="7"/>
  <c r="S394" i="7"/>
  <c r="AO394" i="7"/>
  <c r="AP394" i="7"/>
  <c r="AS394" i="7"/>
  <c r="AP394" i="11" s="1"/>
  <c r="AT394" i="7"/>
  <c r="AQ394" i="11" s="1"/>
  <c r="AU394" i="7"/>
  <c r="AR394" i="11" s="1"/>
  <c r="BN394" i="7"/>
  <c r="BO394" i="7"/>
  <c r="BV394" i="7"/>
  <c r="AL394" i="11" s="1"/>
  <c r="BW394" i="7"/>
  <c r="E395" i="7"/>
  <c r="F395" i="7"/>
  <c r="G395" i="7"/>
  <c r="H395" i="7"/>
  <c r="I395" i="7"/>
  <c r="S395" i="7"/>
  <c r="AO395" i="7"/>
  <c r="AP395" i="7"/>
  <c r="AS395" i="7"/>
  <c r="AP395" i="11" s="1"/>
  <c r="AT395" i="7"/>
  <c r="AQ395" i="11" s="1"/>
  <c r="AU395" i="7"/>
  <c r="AR395" i="11" s="1"/>
  <c r="BN395" i="7"/>
  <c r="BO395" i="7"/>
  <c r="BV395" i="7"/>
  <c r="AL395" i="11" s="1"/>
  <c r="BW395" i="7"/>
  <c r="E396" i="7"/>
  <c r="F396" i="7"/>
  <c r="G396" i="7"/>
  <c r="H396" i="7"/>
  <c r="I396" i="7"/>
  <c r="S396" i="7"/>
  <c r="AO396" i="7"/>
  <c r="AP396" i="7"/>
  <c r="AS396" i="7"/>
  <c r="AP396" i="11" s="1"/>
  <c r="AT396" i="7"/>
  <c r="AQ396" i="11" s="1"/>
  <c r="AU396" i="7"/>
  <c r="AR396" i="11" s="1"/>
  <c r="BN396" i="7"/>
  <c r="BO396" i="7"/>
  <c r="BV396" i="7"/>
  <c r="AL396" i="11" s="1"/>
  <c r="BW396" i="7"/>
  <c r="E397" i="7"/>
  <c r="F397" i="7"/>
  <c r="G397" i="7"/>
  <c r="H397" i="7"/>
  <c r="I397" i="7"/>
  <c r="S397" i="7"/>
  <c r="AO397" i="7"/>
  <c r="AP397" i="7"/>
  <c r="AS397" i="7"/>
  <c r="AP397" i="11" s="1"/>
  <c r="AT397" i="7"/>
  <c r="AQ397" i="11" s="1"/>
  <c r="AU397" i="7"/>
  <c r="AR397" i="11" s="1"/>
  <c r="BN397" i="7"/>
  <c r="BO397" i="7"/>
  <c r="BV397" i="7"/>
  <c r="AL397" i="11" s="1"/>
  <c r="BW397" i="7"/>
  <c r="E398" i="7"/>
  <c r="F398" i="7"/>
  <c r="G398" i="7"/>
  <c r="H398" i="7"/>
  <c r="I398" i="7"/>
  <c r="S398" i="7"/>
  <c r="AO398" i="7"/>
  <c r="AP398" i="7"/>
  <c r="AS398" i="7"/>
  <c r="AP398" i="11" s="1"/>
  <c r="AT398" i="7"/>
  <c r="AQ398" i="11" s="1"/>
  <c r="AU398" i="7"/>
  <c r="AR398" i="11" s="1"/>
  <c r="BN398" i="7"/>
  <c r="BO398" i="7"/>
  <c r="BV398" i="7"/>
  <c r="AL398" i="11" s="1"/>
  <c r="BW398" i="7"/>
  <c r="E399" i="7"/>
  <c r="F399" i="7"/>
  <c r="G399" i="7"/>
  <c r="H399" i="7"/>
  <c r="I399" i="7"/>
  <c r="S399" i="7"/>
  <c r="AO399" i="7"/>
  <c r="AP399" i="7"/>
  <c r="AS399" i="7"/>
  <c r="AP399" i="11" s="1"/>
  <c r="AT399" i="7"/>
  <c r="AQ399" i="11" s="1"/>
  <c r="AU399" i="7"/>
  <c r="AR399" i="11" s="1"/>
  <c r="BN399" i="7"/>
  <c r="BO399" i="7"/>
  <c r="BV399" i="7"/>
  <c r="AL399" i="11" s="1"/>
  <c r="BW399" i="7"/>
  <c r="E400" i="7"/>
  <c r="F400" i="7"/>
  <c r="G400" i="7"/>
  <c r="H400" i="7"/>
  <c r="I400" i="7"/>
  <c r="S400" i="7"/>
  <c r="AO400" i="7"/>
  <c r="AP400" i="7"/>
  <c r="AS400" i="7"/>
  <c r="AP400" i="11" s="1"/>
  <c r="AT400" i="7"/>
  <c r="AQ400" i="11" s="1"/>
  <c r="AU400" i="7"/>
  <c r="AR400" i="11" s="1"/>
  <c r="BN400" i="7"/>
  <c r="BO400" i="7"/>
  <c r="BV400" i="7"/>
  <c r="AL400" i="11" s="1"/>
  <c r="BW400" i="7"/>
  <c r="E401" i="7"/>
  <c r="F401" i="7"/>
  <c r="G401" i="7"/>
  <c r="H401" i="7"/>
  <c r="I401" i="7"/>
  <c r="S401" i="7"/>
  <c r="AO401" i="7"/>
  <c r="AP401" i="7"/>
  <c r="AS401" i="7"/>
  <c r="AP401" i="11" s="1"/>
  <c r="AT401" i="7"/>
  <c r="AQ401" i="11" s="1"/>
  <c r="AU401" i="7"/>
  <c r="AR401" i="11" s="1"/>
  <c r="BN401" i="7"/>
  <c r="BO401" i="7"/>
  <c r="BV401" i="7"/>
  <c r="AL401" i="11" s="1"/>
  <c r="BW401" i="7"/>
  <c r="E402" i="7"/>
  <c r="F402" i="7"/>
  <c r="G402" i="7"/>
  <c r="H402" i="7"/>
  <c r="I402" i="7"/>
  <c r="S402" i="7"/>
  <c r="AO402" i="7"/>
  <c r="AP402" i="7"/>
  <c r="AS402" i="7"/>
  <c r="AP402" i="11" s="1"/>
  <c r="AT402" i="7"/>
  <c r="AQ402" i="11" s="1"/>
  <c r="AU402" i="7"/>
  <c r="AR402" i="11" s="1"/>
  <c r="BN402" i="7"/>
  <c r="BO402" i="7"/>
  <c r="BV402" i="7"/>
  <c r="AL402" i="11" s="1"/>
  <c r="BW402" i="7"/>
  <c r="E403" i="7"/>
  <c r="F403" i="7"/>
  <c r="G403" i="7"/>
  <c r="H403" i="7"/>
  <c r="I403" i="7"/>
  <c r="S403" i="7"/>
  <c r="AO403" i="7"/>
  <c r="AP403" i="7"/>
  <c r="AS403" i="7"/>
  <c r="AP403" i="11" s="1"/>
  <c r="AT403" i="7"/>
  <c r="AQ403" i="11" s="1"/>
  <c r="AU403" i="7"/>
  <c r="AR403" i="11" s="1"/>
  <c r="BN403" i="7"/>
  <c r="BO403" i="7"/>
  <c r="BV403" i="7"/>
  <c r="AL403" i="11" s="1"/>
  <c r="BW403" i="7"/>
  <c r="E404" i="7"/>
  <c r="F404" i="7"/>
  <c r="G404" i="7"/>
  <c r="H404" i="7"/>
  <c r="I404" i="7"/>
  <c r="S404" i="7"/>
  <c r="AO404" i="7"/>
  <c r="AP404" i="7"/>
  <c r="AS404" i="7"/>
  <c r="AP404" i="11" s="1"/>
  <c r="AT404" i="7"/>
  <c r="AQ404" i="11" s="1"/>
  <c r="AU404" i="7"/>
  <c r="AR404" i="11" s="1"/>
  <c r="BN404" i="7"/>
  <c r="BO404" i="7"/>
  <c r="BV404" i="7"/>
  <c r="AL404" i="11" s="1"/>
  <c r="BW404" i="7"/>
  <c r="E405" i="7"/>
  <c r="F405" i="7"/>
  <c r="G405" i="7"/>
  <c r="H405" i="7"/>
  <c r="I405" i="7"/>
  <c r="S405" i="7"/>
  <c r="AO405" i="7"/>
  <c r="AP405" i="7"/>
  <c r="AS405" i="7"/>
  <c r="AP405" i="11" s="1"/>
  <c r="AT405" i="7"/>
  <c r="AQ405" i="11" s="1"/>
  <c r="AU405" i="7"/>
  <c r="AR405" i="11" s="1"/>
  <c r="BN405" i="7"/>
  <c r="BO405" i="7"/>
  <c r="BV405" i="7"/>
  <c r="AL405" i="11" s="1"/>
  <c r="BW405" i="7"/>
  <c r="E406" i="7"/>
  <c r="F406" i="7"/>
  <c r="G406" i="7"/>
  <c r="H406" i="7"/>
  <c r="I406" i="7"/>
  <c r="S406" i="7"/>
  <c r="AO406" i="7"/>
  <c r="AP406" i="7"/>
  <c r="AS406" i="7"/>
  <c r="AP406" i="11" s="1"/>
  <c r="AT406" i="7"/>
  <c r="AQ406" i="11" s="1"/>
  <c r="AU406" i="7"/>
  <c r="AR406" i="11" s="1"/>
  <c r="BN406" i="7"/>
  <c r="BO406" i="7"/>
  <c r="BV406" i="7"/>
  <c r="AL406" i="11" s="1"/>
  <c r="BW406" i="7"/>
  <c r="E407" i="7"/>
  <c r="F407" i="7"/>
  <c r="G407" i="7"/>
  <c r="H407" i="7"/>
  <c r="I407" i="7"/>
  <c r="S407" i="7"/>
  <c r="AO407" i="7"/>
  <c r="AP407" i="7"/>
  <c r="AS407" i="7"/>
  <c r="AP407" i="11" s="1"/>
  <c r="AT407" i="7"/>
  <c r="AQ407" i="11" s="1"/>
  <c r="AU407" i="7"/>
  <c r="AR407" i="11" s="1"/>
  <c r="BN407" i="7"/>
  <c r="BO407" i="7"/>
  <c r="BV407" i="7"/>
  <c r="AL407" i="11" s="1"/>
  <c r="BW407" i="7"/>
  <c r="E408" i="7"/>
  <c r="F408" i="7"/>
  <c r="G408" i="7"/>
  <c r="H408" i="7"/>
  <c r="I408" i="7"/>
  <c r="S408" i="7"/>
  <c r="AO408" i="7"/>
  <c r="AP408" i="7"/>
  <c r="AS408" i="7"/>
  <c r="AP408" i="11" s="1"/>
  <c r="AT408" i="7"/>
  <c r="AQ408" i="11" s="1"/>
  <c r="AU408" i="7"/>
  <c r="AR408" i="11" s="1"/>
  <c r="BN408" i="7"/>
  <c r="BO408" i="7"/>
  <c r="BV408" i="7"/>
  <c r="AL408" i="11" s="1"/>
  <c r="BW408" i="7"/>
  <c r="E409" i="7"/>
  <c r="F409" i="7"/>
  <c r="G409" i="7"/>
  <c r="H409" i="7"/>
  <c r="I409" i="7"/>
  <c r="S409" i="7"/>
  <c r="AO409" i="7"/>
  <c r="AP409" i="7"/>
  <c r="AS409" i="7"/>
  <c r="AP409" i="11" s="1"/>
  <c r="AT409" i="7"/>
  <c r="AQ409" i="11" s="1"/>
  <c r="AU409" i="7"/>
  <c r="AR409" i="11" s="1"/>
  <c r="BN409" i="7"/>
  <c r="BO409" i="7"/>
  <c r="BV409" i="7"/>
  <c r="AL409" i="11" s="1"/>
  <c r="BW409" i="7"/>
  <c r="E410" i="7"/>
  <c r="F410" i="7"/>
  <c r="G410" i="7"/>
  <c r="H410" i="7"/>
  <c r="I410" i="7"/>
  <c r="S410" i="7"/>
  <c r="AO410" i="7"/>
  <c r="AP410" i="7"/>
  <c r="AS410" i="7"/>
  <c r="AP410" i="11" s="1"/>
  <c r="AT410" i="7"/>
  <c r="AQ410" i="11" s="1"/>
  <c r="AU410" i="7"/>
  <c r="AR410" i="11" s="1"/>
  <c r="BN410" i="7"/>
  <c r="BO410" i="7"/>
  <c r="BV410" i="7"/>
  <c r="AL410" i="11" s="1"/>
  <c r="BW410" i="7"/>
  <c r="E411" i="7"/>
  <c r="F411" i="7"/>
  <c r="G411" i="7"/>
  <c r="H411" i="7"/>
  <c r="I411" i="7"/>
  <c r="S411" i="7"/>
  <c r="AO411" i="7"/>
  <c r="AP411" i="7"/>
  <c r="AS411" i="7"/>
  <c r="AP411" i="11" s="1"/>
  <c r="AT411" i="7"/>
  <c r="AQ411" i="11" s="1"/>
  <c r="AU411" i="7"/>
  <c r="AR411" i="11" s="1"/>
  <c r="BN411" i="7"/>
  <c r="BO411" i="7"/>
  <c r="BV411" i="7"/>
  <c r="AL411" i="11" s="1"/>
  <c r="BW411" i="7"/>
  <c r="E412" i="7"/>
  <c r="F412" i="7"/>
  <c r="G412" i="7"/>
  <c r="H412" i="7"/>
  <c r="I412" i="7"/>
  <c r="S412" i="7"/>
  <c r="AO412" i="7"/>
  <c r="AP412" i="7"/>
  <c r="AS412" i="7"/>
  <c r="AP412" i="11" s="1"/>
  <c r="AT412" i="7"/>
  <c r="AQ412" i="11" s="1"/>
  <c r="AU412" i="7"/>
  <c r="AR412" i="11" s="1"/>
  <c r="BN412" i="7"/>
  <c r="BO412" i="7"/>
  <c r="BV412" i="7"/>
  <c r="AL412" i="11" s="1"/>
  <c r="BW412" i="7"/>
  <c r="E413" i="7"/>
  <c r="F413" i="7"/>
  <c r="G413" i="7"/>
  <c r="H413" i="7"/>
  <c r="I413" i="7"/>
  <c r="S413" i="7"/>
  <c r="AO413" i="7"/>
  <c r="AP413" i="7"/>
  <c r="AS413" i="7"/>
  <c r="AP413" i="11" s="1"/>
  <c r="AT413" i="7"/>
  <c r="AQ413" i="11" s="1"/>
  <c r="AU413" i="7"/>
  <c r="AR413" i="11" s="1"/>
  <c r="BN413" i="7"/>
  <c r="BO413" i="7"/>
  <c r="BV413" i="7"/>
  <c r="AL413" i="11" s="1"/>
  <c r="BW413" i="7"/>
  <c r="E414" i="7"/>
  <c r="F414" i="7"/>
  <c r="G414" i="7"/>
  <c r="H414" i="7"/>
  <c r="I414" i="7"/>
  <c r="S414" i="7"/>
  <c r="AO414" i="7"/>
  <c r="AP414" i="7"/>
  <c r="AS414" i="7"/>
  <c r="AP414" i="11" s="1"/>
  <c r="AT414" i="7"/>
  <c r="AQ414" i="11" s="1"/>
  <c r="AU414" i="7"/>
  <c r="AR414" i="11" s="1"/>
  <c r="BN414" i="7"/>
  <c r="BO414" i="7"/>
  <c r="BV414" i="7"/>
  <c r="AL414" i="11" s="1"/>
  <c r="BW414" i="7"/>
  <c r="E415" i="7"/>
  <c r="F415" i="7"/>
  <c r="G415" i="7"/>
  <c r="H415" i="7"/>
  <c r="I415" i="7"/>
  <c r="S415" i="7"/>
  <c r="AO415" i="7"/>
  <c r="AP415" i="7"/>
  <c r="AS415" i="7"/>
  <c r="AP415" i="11" s="1"/>
  <c r="AT415" i="7"/>
  <c r="AQ415" i="11" s="1"/>
  <c r="AU415" i="7"/>
  <c r="AR415" i="11" s="1"/>
  <c r="BN415" i="7"/>
  <c r="BO415" i="7"/>
  <c r="BV415" i="7"/>
  <c r="AL415" i="11" s="1"/>
  <c r="BW415" i="7"/>
  <c r="E416" i="7"/>
  <c r="F416" i="7"/>
  <c r="G416" i="7"/>
  <c r="H416" i="7"/>
  <c r="I416" i="7"/>
  <c r="S416" i="7"/>
  <c r="AO416" i="7"/>
  <c r="AP416" i="7"/>
  <c r="AS416" i="7"/>
  <c r="AP416" i="11" s="1"/>
  <c r="AT416" i="7"/>
  <c r="AQ416" i="11" s="1"/>
  <c r="AU416" i="7"/>
  <c r="AR416" i="11" s="1"/>
  <c r="BN416" i="7"/>
  <c r="BO416" i="7"/>
  <c r="BV416" i="7"/>
  <c r="AL416" i="11" s="1"/>
  <c r="BW416" i="7"/>
  <c r="E417" i="7"/>
  <c r="F417" i="7"/>
  <c r="G417" i="7"/>
  <c r="H417" i="7"/>
  <c r="I417" i="7"/>
  <c r="S417" i="7"/>
  <c r="AO417" i="7"/>
  <c r="AP417" i="7"/>
  <c r="AS417" i="7"/>
  <c r="AP417" i="11" s="1"/>
  <c r="AT417" i="7"/>
  <c r="AQ417" i="11" s="1"/>
  <c r="AU417" i="7"/>
  <c r="AR417" i="11" s="1"/>
  <c r="BN417" i="7"/>
  <c r="BO417" i="7"/>
  <c r="BV417" i="7"/>
  <c r="AL417" i="11" s="1"/>
  <c r="BW417" i="7"/>
  <c r="E418" i="7"/>
  <c r="F418" i="7"/>
  <c r="G418" i="7"/>
  <c r="H418" i="7"/>
  <c r="I418" i="7"/>
  <c r="S418" i="7"/>
  <c r="AO418" i="7"/>
  <c r="AP418" i="7"/>
  <c r="AS418" i="7"/>
  <c r="AP418" i="11" s="1"/>
  <c r="AT418" i="7"/>
  <c r="AQ418" i="11" s="1"/>
  <c r="AU418" i="7"/>
  <c r="AR418" i="11" s="1"/>
  <c r="BN418" i="7"/>
  <c r="BO418" i="7"/>
  <c r="BV418" i="7"/>
  <c r="AL418" i="11" s="1"/>
  <c r="BW418" i="7"/>
  <c r="E419" i="7"/>
  <c r="F419" i="7"/>
  <c r="G419" i="7"/>
  <c r="H419" i="7"/>
  <c r="I419" i="7"/>
  <c r="S419" i="7"/>
  <c r="AO419" i="7"/>
  <c r="AP419" i="7"/>
  <c r="AS419" i="7"/>
  <c r="AP419" i="11" s="1"/>
  <c r="AT419" i="7"/>
  <c r="AQ419" i="11" s="1"/>
  <c r="AU419" i="7"/>
  <c r="AR419" i="11" s="1"/>
  <c r="BN419" i="7"/>
  <c r="BO419" i="7"/>
  <c r="BV419" i="7"/>
  <c r="AL419" i="11" s="1"/>
  <c r="BW419" i="7"/>
  <c r="E420" i="7"/>
  <c r="F420" i="7"/>
  <c r="G420" i="7"/>
  <c r="H420" i="7"/>
  <c r="I420" i="7"/>
  <c r="S420" i="7"/>
  <c r="AO420" i="7"/>
  <c r="AP420" i="7"/>
  <c r="AS420" i="7"/>
  <c r="AP420" i="11" s="1"/>
  <c r="AT420" i="7"/>
  <c r="AQ420" i="11" s="1"/>
  <c r="AU420" i="7"/>
  <c r="AR420" i="11" s="1"/>
  <c r="BN420" i="7"/>
  <c r="BO420" i="7"/>
  <c r="BV420" i="7"/>
  <c r="AL420" i="11" s="1"/>
  <c r="BW420" i="7"/>
  <c r="E421" i="7"/>
  <c r="F421" i="7"/>
  <c r="G421" i="7"/>
  <c r="H421" i="7"/>
  <c r="I421" i="7"/>
  <c r="S421" i="7"/>
  <c r="AO421" i="7"/>
  <c r="AP421" i="7"/>
  <c r="AS421" i="7"/>
  <c r="AP421" i="11" s="1"/>
  <c r="AT421" i="7"/>
  <c r="AQ421" i="11" s="1"/>
  <c r="AU421" i="7"/>
  <c r="AR421" i="11" s="1"/>
  <c r="BN421" i="7"/>
  <c r="BO421" i="7"/>
  <c r="BV421" i="7"/>
  <c r="AL421" i="11" s="1"/>
  <c r="BW421" i="7"/>
  <c r="E422" i="7"/>
  <c r="F422" i="7"/>
  <c r="G422" i="7"/>
  <c r="H422" i="7"/>
  <c r="I422" i="7"/>
  <c r="S422" i="7"/>
  <c r="AO422" i="7"/>
  <c r="AP422" i="7"/>
  <c r="AS422" i="7"/>
  <c r="AP422" i="11" s="1"/>
  <c r="AT422" i="7"/>
  <c r="AQ422" i="11" s="1"/>
  <c r="AU422" i="7"/>
  <c r="AR422" i="11" s="1"/>
  <c r="BN422" i="7"/>
  <c r="BO422" i="7"/>
  <c r="BV422" i="7"/>
  <c r="AL422" i="11" s="1"/>
  <c r="BW422" i="7"/>
  <c r="E423" i="7"/>
  <c r="F423" i="7"/>
  <c r="G423" i="7"/>
  <c r="H423" i="7"/>
  <c r="I423" i="7"/>
  <c r="S423" i="7"/>
  <c r="AO423" i="7"/>
  <c r="AP423" i="7"/>
  <c r="AS423" i="7"/>
  <c r="AP423" i="11" s="1"/>
  <c r="AT423" i="7"/>
  <c r="AQ423" i="11" s="1"/>
  <c r="AU423" i="7"/>
  <c r="AR423" i="11" s="1"/>
  <c r="BN423" i="7"/>
  <c r="BO423" i="7"/>
  <c r="BV423" i="7"/>
  <c r="AL423" i="11" s="1"/>
  <c r="BW423" i="7"/>
  <c r="E424" i="7"/>
  <c r="F424" i="7"/>
  <c r="G424" i="7"/>
  <c r="H424" i="7"/>
  <c r="I424" i="7"/>
  <c r="S424" i="7"/>
  <c r="AO424" i="7"/>
  <c r="AP424" i="7"/>
  <c r="AS424" i="7"/>
  <c r="AP424" i="11" s="1"/>
  <c r="AT424" i="7"/>
  <c r="AQ424" i="11" s="1"/>
  <c r="AU424" i="7"/>
  <c r="AR424" i="11" s="1"/>
  <c r="BN424" i="7"/>
  <c r="BO424" i="7"/>
  <c r="BV424" i="7"/>
  <c r="AL424" i="11" s="1"/>
  <c r="BW424" i="7"/>
  <c r="E425" i="7"/>
  <c r="F425" i="7"/>
  <c r="G425" i="7"/>
  <c r="H425" i="7"/>
  <c r="I425" i="7"/>
  <c r="S425" i="7"/>
  <c r="AO425" i="7"/>
  <c r="AP425" i="7"/>
  <c r="AS425" i="7"/>
  <c r="AP425" i="11" s="1"/>
  <c r="AT425" i="7"/>
  <c r="AQ425" i="11" s="1"/>
  <c r="AU425" i="7"/>
  <c r="AR425" i="11" s="1"/>
  <c r="BN425" i="7"/>
  <c r="BO425" i="7"/>
  <c r="BV425" i="7"/>
  <c r="AL425" i="11" s="1"/>
  <c r="BW425" i="7"/>
  <c r="E426" i="7"/>
  <c r="F426" i="7"/>
  <c r="G426" i="7"/>
  <c r="H426" i="7"/>
  <c r="I426" i="7"/>
  <c r="S426" i="7"/>
  <c r="AO426" i="7"/>
  <c r="AP426" i="7"/>
  <c r="AS426" i="7"/>
  <c r="AP426" i="11" s="1"/>
  <c r="AT426" i="7"/>
  <c r="AQ426" i="11" s="1"/>
  <c r="AU426" i="7"/>
  <c r="AR426" i="11" s="1"/>
  <c r="BN426" i="7"/>
  <c r="BO426" i="7"/>
  <c r="BV426" i="7"/>
  <c r="AL426" i="11" s="1"/>
  <c r="BW426" i="7"/>
  <c r="E427" i="7"/>
  <c r="F427" i="7"/>
  <c r="G427" i="7"/>
  <c r="H427" i="7"/>
  <c r="I427" i="7"/>
  <c r="S427" i="7"/>
  <c r="AO427" i="7"/>
  <c r="AP427" i="7"/>
  <c r="AS427" i="7"/>
  <c r="AP427" i="11" s="1"/>
  <c r="AT427" i="7"/>
  <c r="AQ427" i="11" s="1"/>
  <c r="AU427" i="7"/>
  <c r="AR427" i="11" s="1"/>
  <c r="BN427" i="7"/>
  <c r="BO427" i="7"/>
  <c r="BV427" i="7"/>
  <c r="AL427" i="11" s="1"/>
  <c r="BW427" i="7"/>
  <c r="E428" i="7"/>
  <c r="F428" i="7"/>
  <c r="G428" i="7"/>
  <c r="H428" i="7"/>
  <c r="I428" i="7"/>
  <c r="S428" i="7"/>
  <c r="AO428" i="7"/>
  <c r="AP428" i="7"/>
  <c r="AS428" i="7"/>
  <c r="AP428" i="11" s="1"/>
  <c r="AT428" i="7"/>
  <c r="AQ428" i="11" s="1"/>
  <c r="AU428" i="7"/>
  <c r="AR428" i="11" s="1"/>
  <c r="BN428" i="7"/>
  <c r="BO428" i="7"/>
  <c r="BV428" i="7"/>
  <c r="AL428" i="11" s="1"/>
  <c r="BW428" i="7"/>
  <c r="E429" i="7"/>
  <c r="F429" i="7"/>
  <c r="G429" i="7"/>
  <c r="H429" i="7"/>
  <c r="I429" i="7"/>
  <c r="S429" i="7"/>
  <c r="AO429" i="7"/>
  <c r="AP429" i="7"/>
  <c r="AS429" i="7"/>
  <c r="AP429" i="11" s="1"/>
  <c r="AT429" i="7"/>
  <c r="AQ429" i="11" s="1"/>
  <c r="AU429" i="7"/>
  <c r="AR429" i="11" s="1"/>
  <c r="BN429" i="7"/>
  <c r="BO429" i="7"/>
  <c r="BV429" i="7"/>
  <c r="AL429" i="11" s="1"/>
  <c r="BW429" i="7"/>
  <c r="E430" i="7"/>
  <c r="F430" i="7"/>
  <c r="G430" i="7"/>
  <c r="H430" i="7"/>
  <c r="I430" i="7"/>
  <c r="S430" i="7"/>
  <c r="AO430" i="7"/>
  <c r="AP430" i="7"/>
  <c r="AS430" i="7"/>
  <c r="AP430" i="11" s="1"/>
  <c r="AT430" i="7"/>
  <c r="AQ430" i="11" s="1"/>
  <c r="AU430" i="7"/>
  <c r="AR430" i="11" s="1"/>
  <c r="BN430" i="7"/>
  <c r="BO430" i="7"/>
  <c r="BV430" i="7"/>
  <c r="AL430" i="11" s="1"/>
  <c r="BW430" i="7"/>
  <c r="E431" i="7"/>
  <c r="F431" i="7"/>
  <c r="G431" i="7"/>
  <c r="H431" i="7"/>
  <c r="I431" i="7"/>
  <c r="S431" i="7"/>
  <c r="AO431" i="7"/>
  <c r="AP431" i="7"/>
  <c r="AS431" i="7"/>
  <c r="AP431" i="11" s="1"/>
  <c r="AT431" i="7"/>
  <c r="AQ431" i="11" s="1"/>
  <c r="AU431" i="7"/>
  <c r="AR431" i="11" s="1"/>
  <c r="BN431" i="7"/>
  <c r="BO431" i="7"/>
  <c r="BV431" i="7"/>
  <c r="AL431" i="11" s="1"/>
  <c r="BW431" i="7"/>
  <c r="E432" i="7"/>
  <c r="F432" i="7"/>
  <c r="G432" i="7"/>
  <c r="H432" i="7"/>
  <c r="I432" i="7"/>
  <c r="S432" i="7"/>
  <c r="AO432" i="7"/>
  <c r="AP432" i="7"/>
  <c r="AS432" i="7"/>
  <c r="AP432" i="11" s="1"/>
  <c r="AT432" i="7"/>
  <c r="AQ432" i="11" s="1"/>
  <c r="AU432" i="7"/>
  <c r="AR432" i="11" s="1"/>
  <c r="BN432" i="7"/>
  <c r="BO432" i="7"/>
  <c r="BV432" i="7"/>
  <c r="AL432" i="11" s="1"/>
  <c r="BW432" i="7"/>
  <c r="E433" i="7"/>
  <c r="F433" i="7"/>
  <c r="G433" i="7"/>
  <c r="H433" i="7"/>
  <c r="I433" i="7"/>
  <c r="S433" i="7"/>
  <c r="AO433" i="7"/>
  <c r="AP433" i="7"/>
  <c r="AS433" i="7"/>
  <c r="AP433" i="11" s="1"/>
  <c r="AT433" i="7"/>
  <c r="AQ433" i="11" s="1"/>
  <c r="AU433" i="7"/>
  <c r="AR433" i="11" s="1"/>
  <c r="BN433" i="7"/>
  <c r="BO433" i="7"/>
  <c r="BV433" i="7"/>
  <c r="AL433" i="11" s="1"/>
  <c r="BW433" i="7"/>
  <c r="E434" i="7"/>
  <c r="F434" i="7"/>
  <c r="G434" i="7"/>
  <c r="H434" i="7"/>
  <c r="I434" i="7"/>
  <c r="S434" i="7"/>
  <c r="AO434" i="7"/>
  <c r="AP434" i="7"/>
  <c r="AS434" i="7"/>
  <c r="AP434" i="11" s="1"/>
  <c r="AT434" i="7"/>
  <c r="AQ434" i="11" s="1"/>
  <c r="AU434" i="7"/>
  <c r="AR434" i="11" s="1"/>
  <c r="BN434" i="7"/>
  <c r="BO434" i="7"/>
  <c r="BV434" i="7"/>
  <c r="AL434" i="11" s="1"/>
  <c r="BW434" i="7"/>
  <c r="E435" i="7"/>
  <c r="F435" i="7"/>
  <c r="G435" i="7"/>
  <c r="H435" i="7"/>
  <c r="I435" i="7"/>
  <c r="S435" i="7"/>
  <c r="AO435" i="7"/>
  <c r="AP435" i="7"/>
  <c r="AS435" i="7"/>
  <c r="AP435" i="11" s="1"/>
  <c r="AT435" i="7"/>
  <c r="AQ435" i="11" s="1"/>
  <c r="AU435" i="7"/>
  <c r="AR435" i="11" s="1"/>
  <c r="BN435" i="7"/>
  <c r="BO435" i="7"/>
  <c r="BV435" i="7"/>
  <c r="AL435" i="11" s="1"/>
  <c r="BW435" i="7"/>
  <c r="E436" i="7"/>
  <c r="F436" i="7"/>
  <c r="G436" i="7"/>
  <c r="H436" i="7"/>
  <c r="I436" i="7"/>
  <c r="S436" i="7"/>
  <c r="AO436" i="7"/>
  <c r="AP436" i="7"/>
  <c r="AS436" i="7"/>
  <c r="AP436" i="11" s="1"/>
  <c r="AT436" i="7"/>
  <c r="AQ436" i="11" s="1"/>
  <c r="AU436" i="7"/>
  <c r="AR436" i="11" s="1"/>
  <c r="BN436" i="7"/>
  <c r="BO436" i="7"/>
  <c r="BV436" i="7"/>
  <c r="AL436" i="11" s="1"/>
  <c r="BW436" i="7"/>
  <c r="E437" i="7"/>
  <c r="F437" i="7"/>
  <c r="G437" i="7"/>
  <c r="H437" i="7"/>
  <c r="I437" i="7"/>
  <c r="S437" i="7"/>
  <c r="AO437" i="7"/>
  <c r="AP437" i="7"/>
  <c r="AS437" i="7"/>
  <c r="AP437" i="11" s="1"/>
  <c r="AT437" i="7"/>
  <c r="AQ437" i="11" s="1"/>
  <c r="AU437" i="7"/>
  <c r="AR437" i="11" s="1"/>
  <c r="BN437" i="7"/>
  <c r="BO437" i="7"/>
  <c r="BV437" i="7"/>
  <c r="AL437" i="11" s="1"/>
  <c r="BW437" i="7"/>
  <c r="E438" i="7"/>
  <c r="F438" i="7"/>
  <c r="G438" i="7"/>
  <c r="H438" i="7"/>
  <c r="I438" i="7"/>
  <c r="S438" i="7"/>
  <c r="AO438" i="7"/>
  <c r="AP438" i="7"/>
  <c r="AS438" i="7"/>
  <c r="AP438" i="11" s="1"/>
  <c r="AT438" i="7"/>
  <c r="AQ438" i="11" s="1"/>
  <c r="AU438" i="7"/>
  <c r="AR438" i="11" s="1"/>
  <c r="BN438" i="7"/>
  <c r="BO438" i="7"/>
  <c r="BV438" i="7"/>
  <c r="AL438" i="11" s="1"/>
  <c r="BW438" i="7"/>
  <c r="E439" i="7"/>
  <c r="F439" i="7"/>
  <c r="G439" i="7"/>
  <c r="H439" i="7"/>
  <c r="I439" i="7"/>
  <c r="S439" i="7"/>
  <c r="AO439" i="7"/>
  <c r="AP439" i="7"/>
  <c r="AS439" i="7"/>
  <c r="AP439" i="11" s="1"/>
  <c r="AT439" i="7"/>
  <c r="AQ439" i="11" s="1"/>
  <c r="AU439" i="7"/>
  <c r="AR439" i="11" s="1"/>
  <c r="BN439" i="7"/>
  <c r="BO439" i="7"/>
  <c r="BV439" i="7"/>
  <c r="AL439" i="11" s="1"/>
  <c r="BW439" i="7"/>
  <c r="E440" i="7"/>
  <c r="F440" i="7"/>
  <c r="G440" i="7"/>
  <c r="H440" i="7"/>
  <c r="I440" i="7"/>
  <c r="S440" i="7"/>
  <c r="AO440" i="7"/>
  <c r="AP440" i="7"/>
  <c r="AS440" i="7"/>
  <c r="AP440" i="11" s="1"/>
  <c r="AT440" i="7"/>
  <c r="AQ440" i="11" s="1"/>
  <c r="AU440" i="7"/>
  <c r="AR440" i="11" s="1"/>
  <c r="BN440" i="7"/>
  <c r="BO440" i="7"/>
  <c r="BV440" i="7"/>
  <c r="AL440" i="11" s="1"/>
  <c r="BW440" i="7"/>
  <c r="E441" i="7"/>
  <c r="F441" i="7"/>
  <c r="G441" i="7"/>
  <c r="H441" i="7"/>
  <c r="I441" i="7"/>
  <c r="S441" i="7"/>
  <c r="AO441" i="7"/>
  <c r="AP441" i="7"/>
  <c r="AS441" i="7"/>
  <c r="AP441" i="11" s="1"/>
  <c r="AT441" i="7"/>
  <c r="AQ441" i="11" s="1"/>
  <c r="AU441" i="7"/>
  <c r="AR441" i="11" s="1"/>
  <c r="BN441" i="7"/>
  <c r="BO441" i="7"/>
  <c r="BV441" i="7"/>
  <c r="AL441" i="11" s="1"/>
  <c r="BW441" i="7"/>
  <c r="E442" i="7"/>
  <c r="F442" i="7"/>
  <c r="G442" i="7"/>
  <c r="H442" i="7"/>
  <c r="I442" i="7"/>
  <c r="S442" i="7"/>
  <c r="AO442" i="7"/>
  <c r="AP442" i="7"/>
  <c r="AS442" i="7"/>
  <c r="AP442" i="11" s="1"/>
  <c r="AT442" i="7"/>
  <c r="AQ442" i="11" s="1"/>
  <c r="AU442" i="7"/>
  <c r="AR442" i="11" s="1"/>
  <c r="BN442" i="7"/>
  <c r="BO442" i="7"/>
  <c r="BV442" i="7"/>
  <c r="AL442" i="11" s="1"/>
  <c r="BW442" i="7"/>
  <c r="E443" i="7"/>
  <c r="F443" i="7"/>
  <c r="G443" i="7"/>
  <c r="H443" i="7"/>
  <c r="I443" i="7"/>
  <c r="S443" i="7"/>
  <c r="AO443" i="7"/>
  <c r="AP443" i="7"/>
  <c r="AS443" i="7"/>
  <c r="AP443" i="11" s="1"/>
  <c r="AT443" i="7"/>
  <c r="AQ443" i="11" s="1"/>
  <c r="AU443" i="7"/>
  <c r="AR443" i="11" s="1"/>
  <c r="BN443" i="7"/>
  <c r="BO443" i="7"/>
  <c r="BV443" i="7"/>
  <c r="AL443" i="11" s="1"/>
  <c r="BW443" i="7"/>
  <c r="E444" i="7"/>
  <c r="F444" i="7"/>
  <c r="G444" i="7"/>
  <c r="H444" i="7"/>
  <c r="I444" i="7"/>
  <c r="S444" i="7"/>
  <c r="AO444" i="7"/>
  <c r="AP444" i="7"/>
  <c r="AS444" i="7"/>
  <c r="AP444" i="11" s="1"/>
  <c r="AT444" i="7"/>
  <c r="AQ444" i="11" s="1"/>
  <c r="AU444" i="7"/>
  <c r="AR444" i="11" s="1"/>
  <c r="BN444" i="7"/>
  <c r="BO444" i="7"/>
  <c r="BV444" i="7"/>
  <c r="AL444" i="11" s="1"/>
  <c r="BW444" i="7"/>
  <c r="E445" i="7"/>
  <c r="F445" i="7"/>
  <c r="G445" i="7"/>
  <c r="H445" i="7"/>
  <c r="I445" i="7"/>
  <c r="S445" i="7"/>
  <c r="AO445" i="7"/>
  <c r="AP445" i="7"/>
  <c r="AS445" i="7"/>
  <c r="AP445" i="11" s="1"/>
  <c r="AT445" i="7"/>
  <c r="AQ445" i="11" s="1"/>
  <c r="AU445" i="7"/>
  <c r="AR445" i="11" s="1"/>
  <c r="BN445" i="7"/>
  <c r="BO445" i="7"/>
  <c r="BV445" i="7"/>
  <c r="AL445" i="11" s="1"/>
  <c r="BW445" i="7"/>
  <c r="E446" i="7"/>
  <c r="F446" i="7"/>
  <c r="G446" i="7"/>
  <c r="H446" i="7"/>
  <c r="I446" i="7"/>
  <c r="S446" i="7"/>
  <c r="AO446" i="7"/>
  <c r="AP446" i="7"/>
  <c r="AS446" i="7"/>
  <c r="AP446" i="11" s="1"/>
  <c r="AT446" i="7"/>
  <c r="AQ446" i="11" s="1"/>
  <c r="AU446" i="7"/>
  <c r="AR446" i="11" s="1"/>
  <c r="BN446" i="7"/>
  <c r="BO446" i="7"/>
  <c r="BV446" i="7"/>
  <c r="AL446" i="11" s="1"/>
  <c r="BW446" i="7"/>
  <c r="E447" i="7"/>
  <c r="F447" i="7"/>
  <c r="G447" i="7"/>
  <c r="H447" i="7"/>
  <c r="I447" i="7"/>
  <c r="S447" i="7"/>
  <c r="AO447" i="7"/>
  <c r="AP447" i="7"/>
  <c r="AS447" i="7"/>
  <c r="AP447" i="11" s="1"/>
  <c r="AT447" i="7"/>
  <c r="AQ447" i="11" s="1"/>
  <c r="AU447" i="7"/>
  <c r="AR447" i="11" s="1"/>
  <c r="BN447" i="7"/>
  <c r="BO447" i="7"/>
  <c r="BV447" i="7"/>
  <c r="AL447" i="11" s="1"/>
  <c r="BW447" i="7"/>
  <c r="E448" i="7"/>
  <c r="F448" i="7"/>
  <c r="G448" i="7"/>
  <c r="H448" i="7"/>
  <c r="I448" i="7"/>
  <c r="S448" i="7"/>
  <c r="AO448" i="7"/>
  <c r="AP448" i="7"/>
  <c r="AS448" i="7"/>
  <c r="AP448" i="11" s="1"/>
  <c r="AT448" i="7"/>
  <c r="AQ448" i="11" s="1"/>
  <c r="AU448" i="7"/>
  <c r="AR448" i="11" s="1"/>
  <c r="BN448" i="7"/>
  <c r="BO448" i="7"/>
  <c r="BV448" i="7"/>
  <c r="AL448" i="11" s="1"/>
  <c r="BW448" i="7"/>
  <c r="E449" i="7"/>
  <c r="F449" i="7"/>
  <c r="G449" i="7"/>
  <c r="H449" i="7"/>
  <c r="I449" i="7"/>
  <c r="S449" i="7"/>
  <c r="AO449" i="7"/>
  <c r="AP449" i="7"/>
  <c r="AS449" i="7"/>
  <c r="AP449" i="11" s="1"/>
  <c r="AT449" i="7"/>
  <c r="AQ449" i="11" s="1"/>
  <c r="AU449" i="7"/>
  <c r="AR449" i="11" s="1"/>
  <c r="BN449" i="7"/>
  <c r="BO449" i="7"/>
  <c r="BV449" i="7"/>
  <c r="AL449" i="11" s="1"/>
  <c r="BW449" i="7"/>
  <c r="E450" i="7"/>
  <c r="F450" i="7"/>
  <c r="G450" i="7"/>
  <c r="H450" i="7"/>
  <c r="I450" i="7"/>
  <c r="S450" i="7"/>
  <c r="AO450" i="7"/>
  <c r="AP450" i="7"/>
  <c r="AS450" i="7"/>
  <c r="AP450" i="11" s="1"/>
  <c r="AT450" i="7"/>
  <c r="AQ450" i="11" s="1"/>
  <c r="AU450" i="7"/>
  <c r="AR450" i="11" s="1"/>
  <c r="BN450" i="7"/>
  <c r="BO450" i="7"/>
  <c r="BV450" i="7"/>
  <c r="AL450" i="11" s="1"/>
  <c r="BW450" i="7"/>
  <c r="E451" i="7"/>
  <c r="F451" i="7"/>
  <c r="G451" i="7"/>
  <c r="H451" i="7"/>
  <c r="I451" i="7"/>
  <c r="S451" i="7"/>
  <c r="AO451" i="7"/>
  <c r="AP451" i="7"/>
  <c r="AS451" i="7"/>
  <c r="AP451" i="11" s="1"/>
  <c r="AT451" i="7"/>
  <c r="AQ451" i="11" s="1"/>
  <c r="AU451" i="7"/>
  <c r="AR451" i="11" s="1"/>
  <c r="BN451" i="7"/>
  <c r="BO451" i="7"/>
  <c r="BV451" i="7"/>
  <c r="AL451" i="11" s="1"/>
  <c r="BW451" i="7"/>
  <c r="E452" i="7"/>
  <c r="F452" i="7"/>
  <c r="G452" i="7"/>
  <c r="H452" i="7"/>
  <c r="I452" i="7"/>
  <c r="S452" i="7"/>
  <c r="AO452" i="7"/>
  <c r="AP452" i="7"/>
  <c r="AS452" i="7"/>
  <c r="AP452" i="11" s="1"/>
  <c r="AT452" i="7"/>
  <c r="AQ452" i="11" s="1"/>
  <c r="AU452" i="7"/>
  <c r="AR452" i="11" s="1"/>
  <c r="BN452" i="7"/>
  <c r="BO452" i="7"/>
  <c r="BV452" i="7"/>
  <c r="AL452" i="11" s="1"/>
  <c r="BW452" i="7"/>
  <c r="E453" i="7"/>
  <c r="F453" i="7"/>
  <c r="G453" i="7"/>
  <c r="H453" i="7"/>
  <c r="I453" i="7"/>
  <c r="S453" i="7"/>
  <c r="AO453" i="7"/>
  <c r="AP453" i="7"/>
  <c r="AS453" i="7"/>
  <c r="AP453" i="11" s="1"/>
  <c r="AT453" i="7"/>
  <c r="AQ453" i="11" s="1"/>
  <c r="AU453" i="7"/>
  <c r="AR453" i="11" s="1"/>
  <c r="BN453" i="7"/>
  <c r="BO453" i="7"/>
  <c r="BV453" i="7"/>
  <c r="AL453" i="11" s="1"/>
  <c r="BW453" i="7"/>
  <c r="E454" i="7"/>
  <c r="F454" i="7"/>
  <c r="G454" i="7"/>
  <c r="H454" i="7"/>
  <c r="I454" i="7"/>
  <c r="S454" i="7"/>
  <c r="AO454" i="7"/>
  <c r="AP454" i="7"/>
  <c r="AS454" i="7"/>
  <c r="AP454" i="11" s="1"/>
  <c r="AT454" i="7"/>
  <c r="AQ454" i="11" s="1"/>
  <c r="AU454" i="7"/>
  <c r="AR454" i="11" s="1"/>
  <c r="BN454" i="7"/>
  <c r="BO454" i="7"/>
  <c r="BV454" i="7"/>
  <c r="AL454" i="11" s="1"/>
  <c r="BW454" i="7"/>
  <c r="E455" i="7"/>
  <c r="F455" i="7"/>
  <c r="G455" i="7"/>
  <c r="H455" i="7"/>
  <c r="I455" i="7"/>
  <c r="S455" i="7"/>
  <c r="AO455" i="7"/>
  <c r="AP455" i="7"/>
  <c r="AS455" i="7"/>
  <c r="AP455" i="11" s="1"/>
  <c r="AT455" i="7"/>
  <c r="AQ455" i="11" s="1"/>
  <c r="AU455" i="7"/>
  <c r="AR455" i="11" s="1"/>
  <c r="BN455" i="7"/>
  <c r="BO455" i="7"/>
  <c r="BV455" i="7"/>
  <c r="AL455" i="11" s="1"/>
  <c r="BW455" i="7"/>
  <c r="E456" i="7"/>
  <c r="F456" i="7"/>
  <c r="G456" i="7"/>
  <c r="H456" i="7"/>
  <c r="I456" i="7"/>
  <c r="S456" i="7"/>
  <c r="AO456" i="7"/>
  <c r="AP456" i="7"/>
  <c r="AS456" i="7"/>
  <c r="AP456" i="11" s="1"/>
  <c r="AT456" i="7"/>
  <c r="AQ456" i="11" s="1"/>
  <c r="AU456" i="7"/>
  <c r="AR456" i="11" s="1"/>
  <c r="BN456" i="7"/>
  <c r="BO456" i="7"/>
  <c r="BV456" i="7"/>
  <c r="AL456" i="11" s="1"/>
  <c r="BW456" i="7"/>
  <c r="E457" i="7"/>
  <c r="F457" i="7"/>
  <c r="G457" i="7"/>
  <c r="H457" i="7"/>
  <c r="I457" i="7"/>
  <c r="S457" i="7"/>
  <c r="AO457" i="7"/>
  <c r="AP457" i="7"/>
  <c r="AS457" i="7"/>
  <c r="AP457" i="11" s="1"/>
  <c r="AT457" i="7"/>
  <c r="AQ457" i="11" s="1"/>
  <c r="AU457" i="7"/>
  <c r="AR457" i="11" s="1"/>
  <c r="BN457" i="7"/>
  <c r="BO457" i="7"/>
  <c r="BV457" i="7"/>
  <c r="AL457" i="11" s="1"/>
  <c r="BW457" i="7"/>
  <c r="E458" i="7"/>
  <c r="F458" i="7"/>
  <c r="G458" i="7"/>
  <c r="H458" i="7"/>
  <c r="I458" i="7"/>
  <c r="S458" i="7"/>
  <c r="AO458" i="7"/>
  <c r="AP458" i="7"/>
  <c r="AS458" i="7"/>
  <c r="AP458" i="11" s="1"/>
  <c r="AT458" i="7"/>
  <c r="AQ458" i="11" s="1"/>
  <c r="AU458" i="7"/>
  <c r="AR458" i="11" s="1"/>
  <c r="BN458" i="7"/>
  <c r="BO458" i="7"/>
  <c r="BV458" i="7"/>
  <c r="AL458" i="11" s="1"/>
  <c r="BW458" i="7"/>
  <c r="E459" i="7"/>
  <c r="F459" i="7"/>
  <c r="G459" i="7"/>
  <c r="H459" i="7"/>
  <c r="I459" i="7"/>
  <c r="S459" i="7"/>
  <c r="AO459" i="7"/>
  <c r="AP459" i="7"/>
  <c r="AS459" i="7"/>
  <c r="AP459" i="11" s="1"/>
  <c r="AT459" i="7"/>
  <c r="AQ459" i="11" s="1"/>
  <c r="AU459" i="7"/>
  <c r="AR459" i="11" s="1"/>
  <c r="BN459" i="7"/>
  <c r="BO459" i="7"/>
  <c r="BV459" i="7"/>
  <c r="AL459" i="11" s="1"/>
  <c r="BW459" i="7"/>
  <c r="E460" i="7"/>
  <c r="F460" i="7"/>
  <c r="G460" i="7"/>
  <c r="H460" i="7"/>
  <c r="I460" i="7"/>
  <c r="S460" i="7"/>
  <c r="AO460" i="7"/>
  <c r="AP460" i="7"/>
  <c r="AS460" i="7"/>
  <c r="AP460" i="11" s="1"/>
  <c r="AT460" i="7"/>
  <c r="AQ460" i="11" s="1"/>
  <c r="AU460" i="7"/>
  <c r="AR460" i="11" s="1"/>
  <c r="BN460" i="7"/>
  <c r="BO460" i="7"/>
  <c r="BV460" i="7"/>
  <c r="AL460" i="11" s="1"/>
  <c r="BW460" i="7"/>
  <c r="E461" i="7"/>
  <c r="F461" i="7"/>
  <c r="G461" i="7"/>
  <c r="H461" i="7"/>
  <c r="I461" i="7"/>
  <c r="S461" i="7"/>
  <c r="AO461" i="7"/>
  <c r="AP461" i="7"/>
  <c r="AS461" i="7"/>
  <c r="AP461" i="11" s="1"/>
  <c r="AT461" i="7"/>
  <c r="AQ461" i="11" s="1"/>
  <c r="AU461" i="7"/>
  <c r="AR461" i="11" s="1"/>
  <c r="BN461" i="7"/>
  <c r="BO461" i="7"/>
  <c r="BV461" i="7"/>
  <c r="AL461" i="11" s="1"/>
  <c r="BW461" i="7"/>
  <c r="E462" i="7"/>
  <c r="F462" i="7"/>
  <c r="G462" i="7"/>
  <c r="H462" i="7"/>
  <c r="I462" i="7"/>
  <c r="S462" i="7"/>
  <c r="AO462" i="7"/>
  <c r="AP462" i="7"/>
  <c r="AS462" i="7"/>
  <c r="AP462" i="11" s="1"/>
  <c r="AT462" i="7"/>
  <c r="AQ462" i="11" s="1"/>
  <c r="AU462" i="7"/>
  <c r="AR462" i="11" s="1"/>
  <c r="BN462" i="7"/>
  <c r="BO462" i="7"/>
  <c r="BV462" i="7"/>
  <c r="AL462" i="11" s="1"/>
  <c r="BW462" i="7"/>
  <c r="E463" i="7"/>
  <c r="F463" i="7"/>
  <c r="G463" i="7"/>
  <c r="H463" i="7"/>
  <c r="I463" i="7"/>
  <c r="S463" i="7"/>
  <c r="AO463" i="7"/>
  <c r="AP463" i="7"/>
  <c r="AS463" i="7"/>
  <c r="AP463" i="11" s="1"/>
  <c r="AT463" i="7"/>
  <c r="AQ463" i="11" s="1"/>
  <c r="AU463" i="7"/>
  <c r="AR463" i="11" s="1"/>
  <c r="BN463" i="7"/>
  <c r="BO463" i="7"/>
  <c r="BV463" i="7"/>
  <c r="AL463" i="11" s="1"/>
  <c r="BW463" i="7"/>
  <c r="E464" i="7"/>
  <c r="F464" i="7"/>
  <c r="G464" i="7"/>
  <c r="H464" i="7"/>
  <c r="I464" i="7"/>
  <c r="S464" i="7"/>
  <c r="AO464" i="7"/>
  <c r="AP464" i="7"/>
  <c r="AS464" i="7"/>
  <c r="AP464" i="11" s="1"/>
  <c r="AT464" i="7"/>
  <c r="AQ464" i="11" s="1"/>
  <c r="AU464" i="7"/>
  <c r="AR464" i="11" s="1"/>
  <c r="BN464" i="7"/>
  <c r="BO464" i="7"/>
  <c r="BV464" i="7"/>
  <c r="AL464" i="11" s="1"/>
  <c r="BW464" i="7"/>
  <c r="E465" i="7"/>
  <c r="F465" i="7"/>
  <c r="G465" i="7"/>
  <c r="H465" i="7"/>
  <c r="I465" i="7"/>
  <c r="S465" i="7"/>
  <c r="AO465" i="7"/>
  <c r="AP465" i="7"/>
  <c r="AS465" i="7"/>
  <c r="AP465" i="11" s="1"/>
  <c r="AT465" i="7"/>
  <c r="AQ465" i="11" s="1"/>
  <c r="AU465" i="7"/>
  <c r="AR465" i="11" s="1"/>
  <c r="BN465" i="7"/>
  <c r="BO465" i="7"/>
  <c r="BV465" i="7"/>
  <c r="AL465" i="11" s="1"/>
  <c r="BW465" i="7"/>
  <c r="E466" i="7"/>
  <c r="F466" i="7"/>
  <c r="G466" i="7"/>
  <c r="H466" i="7"/>
  <c r="I466" i="7"/>
  <c r="S466" i="7"/>
  <c r="AO466" i="7"/>
  <c r="AP466" i="7"/>
  <c r="AS466" i="7"/>
  <c r="AP466" i="11" s="1"/>
  <c r="AT466" i="7"/>
  <c r="AQ466" i="11" s="1"/>
  <c r="AU466" i="7"/>
  <c r="AR466" i="11" s="1"/>
  <c r="BN466" i="7"/>
  <c r="BO466" i="7"/>
  <c r="BV466" i="7"/>
  <c r="AL466" i="11" s="1"/>
  <c r="BW466" i="7"/>
  <c r="E467" i="7"/>
  <c r="F467" i="7"/>
  <c r="G467" i="7"/>
  <c r="H467" i="7"/>
  <c r="I467" i="7"/>
  <c r="S467" i="7"/>
  <c r="AO467" i="7"/>
  <c r="AP467" i="7"/>
  <c r="AS467" i="7"/>
  <c r="AP467" i="11" s="1"/>
  <c r="AT467" i="7"/>
  <c r="AQ467" i="11" s="1"/>
  <c r="AU467" i="7"/>
  <c r="AR467" i="11" s="1"/>
  <c r="BN467" i="7"/>
  <c r="BO467" i="7"/>
  <c r="BV467" i="7"/>
  <c r="AL467" i="11" s="1"/>
  <c r="BW467" i="7"/>
  <c r="E468" i="7"/>
  <c r="F468" i="7"/>
  <c r="G468" i="7"/>
  <c r="H468" i="7"/>
  <c r="I468" i="7"/>
  <c r="S468" i="7"/>
  <c r="AO468" i="7"/>
  <c r="AP468" i="7"/>
  <c r="AS468" i="7"/>
  <c r="AP468" i="11" s="1"/>
  <c r="AT468" i="7"/>
  <c r="AQ468" i="11" s="1"/>
  <c r="AU468" i="7"/>
  <c r="AR468" i="11" s="1"/>
  <c r="BN468" i="7"/>
  <c r="BO468" i="7"/>
  <c r="BV468" i="7"/>
  <c r="AL468" i="11" s="1"/>
  <c r="BW468" i="7"/>
  <c r="E469" i="7"/>
  <c r="F469" i="7"/>
  <c r="G469" i="7"/>
  <c r="H469" i="7"/>
  <c r="I469" i="7"/>
  <c r="S469" i="7"/>
  <c r="AO469" i="7"/>
  <c r="AP469" i="7"/>
  <c r="AS469" i="7"/>
  <c r="AP469" i="11" s="1"/>
  <c r="AT469" i="7"/>
  <c r="AQ469" i="11" s="1"/>
  <c r="AU469" i="7"/>
  <c r="AR469" i="11" s="1"/>
  <c r="BN469" i="7"/>
  <c r="BO469" i="7"/>
  <c r="BV469" i="7"/>
  <c r="AL469" i="11" s="1"/>
  <c r="BW469" i="7"/>
  <c r="E470" i="7"/>
  <c r="F470" i="7"/>
  <c r="G470" i="7"/>
  <c r="H470" i="7"/>
  <c r="I470" i="7"/>
  <c r="S470" i="7"/>
  <c r="AO470" i="7"/>
  <c r="AP470" i="7"/>
  <c r="AS470" i="7"/>
  <c r="AP470" i="11" s="1"/>
  <c r="AT470" i="7"/>
  <c r="AQ470" i="11" s="1"/>
  <c r="AU470" i="7"/>
  <c r="AR470" i="11" s="1"/>
  <c r="BN470" i="7"/>
  <c r="BO470" i="7"/>
  <c r="BV470" i="7"/>
  <c r="AL470" i="11" s="1"/>
  <c r="BW470" i="7"/>
  <c r="E471" i="7"/>
  <c r="F471" i="7"/>
  <c r="G471" i="7"/>
  <c r="H471" i="7"/>
  <c r="I471" i="7"/>
  <c r="S471" i="7"/>
  <c r="AO471" i="7"/>
  <c r="AP471" i="7"/>
  <c r="AS471" i="7"/>
  <c r="AP471" i="11" s="1"/>
  <c r="AT471" i="7"/>
  <c r="AQ471" i="11" s="1"/>
  <c r="AU471" i="7"/>
  <c r="AR471" i="11" s="1"/>
  <c r="BN471" i="7"/>
  <c r="BO471" i="7"/>
  <c r="BV471" i="7"/>
  <c r="AL471" i="11" s="1"/>
  <c r="BW471" i="7"/>
  <c r="E472" i="7"/>
  <c r="F472" i="7"/>
  <c r="G472" i="7"/>
  <c r="H472" i="7"/>
  <c r="I472" i="7"/>
  <c r="S472" i="7"/>
  <c r="AO472" i="7"/>
  <c r="AP472" i="7"/>
  <c r="AS472" i="7"/>
  <c r="AP472" i="11" s="1"/>
  <c r="AT472" i="7"/>
  <c r="AQ472" i="11" s="1"/>
  <c r="AU472" i="7"/>
  <c r="AR472" i="11" s="1"/>
  <c r="BN472" i="7"/>
  <c r="BO472" i="7"/>
  <c r="BV472" i="7"/>
  <c r="AL472" i="11" s="1"/>
  <c r="BW472" i="7"/>
  <c r="E473" i="7"/>
  <c r="F473" i="7"/>
  <c r="G473" i="7"/>
  <c r="H473" i="7"/>
  <c r="I473" i="7"/>
  <c r="S473" i="7"/>
  <c r="AO473" i="7"/>
  <c r="AP473" i="7"/>
  <c r="AS473" i="7"/>
  <c r="AP473" i="11" s="1"/>
  <c r="AT473" i="7"/>
  <c r="AQ473" i="11" s="1"/>
  <c r="AU473" i="7"/>
  <c r="AR473" i="11" s="1"/>
  <c r="BN473" i="7"/>
  <c r="BO473" i="7"/>
  <c r="BV473" i="7"/>
  <c r="AL473" i="11" s="1"/>
  <c r="BW473" i="7"/>
  <c r="E474" i="7"/>
  <c r="F474" i="7"/>
  <c r="G474" i="7"/>
  <c r="H474" i="7"/>
  <c r="I474" i="7"/>
  <c r="S474" i="7"/>
  <c r="AO474" i="7"/>
  <c r="AP474" i="7"/>
  <c r="AS474" i="7"/>
  <c r="AP474" i="11" s="1"/>
  <c r="AT474" i="7"/>
  <c r="AQ474" i="11" s="1"/>
  <c r="AU474" i="7"/>
  <c r="AR474" i="11" s="1"/>
  <c r="BN474" i="7"/>
  <c r="BO474" i="7"/>
  <c r="BV474" i="7"/>
  <c r="AL474" i="11" s="1"/>
  <c r="BW474" i="7"/>
  <c r="E475" i="7"/>
  <c r="F475" i="7"/>
  <c r="G475" i="7"/>
  <c r="H475" i="7"/>
  <c r="I475" i="7"/>
  <c r="S475" i="7"/>
  <c r="AO475" i="7"/>
  <c r="AP475" i="7"/>
  <c r="AS475" i="7"/>
  <c r="AP475" i="11" s="1"/>
  <c r="AT475" i="7"/>
  <c r="AQ475" i="11" s="1"/>
  <c r="AU475" i="7"/>
  <c r="AR475" i="11" s="1"/>
  <c r="BN475" i="7"/>
  <c r="BO475" i="7"/>
  <c r="BV475" i="7"/>
  <c r="AL475" i="11" s="1"/>
  <c r="BW475" i="7"/>
  <c r="E476" i="7"/>
  <c r="F476" i="7"/>
  <c r="G476" i="7"/>
  <c r="H476" i="7"/>
  <c r="I476" i="7"/>
  <c r="S476" i="7"/>
  <c r="AO476" i="7"/>
  <c r="AP476" i="7"/>
  <c r="AS476" i="7"/>
  <c r="AP476" i="11" s="1"/>
  <c r="AT476" i="7"/>
  <c r="AQ476" i="11" s="1"/>
  <c r="AU476" i="7"/>
  <c r="AR476" i="11" s="1"/>
  <c r="BN476" i="7"/>
  <c r="BO476" i="7"/>
  <c r="BV476" i="7"/>
  <c r="AL476" i="11" s="1"/>
  <c r="BW476" i="7"/>
  <c r="E477" i="7"/>
  <c r="F477" i="7"/>
  <c r="G477" i="7"/>
  <c r="H477" i="7"/>
  <c r="I477" i="7"/>
  <c r="S477" i="7"/>
  <c r="AO477" i="7"/>
  <c r="AP477" i="7"/>
  <c r="AS477" i="7"/>
  <c r="AP477" i="11" s="1"/>
  <c r="AT477" i="7"/>
  <c r="AQ477" i="11" s="1"/>
  <c r="AU477" i="7"/>
  <c r="AR477" i="11" s="1"/>
  <c r="BN477" i="7"/>
  <c r="BO477" i="7"/>
  <c r="BV477" i="7"/>
  <c r="AL477" i="11" s="1"/>
  <c r="BW477" i="7"/>
  <c r="E478" i="7"/>
  <c r="F478" i="7"/>
  <c r="G478" i="7"/>
  <c r="H478" i="7"/>
  <c r="I478" i="7"/>
  <c r="S478" i="7"/>
  <c r="AO478" i="7"/>
  <c r="AP478" i="7"/>
  <c r="AS478" i="7"/>
  <c r="AP478" i="11" s="1"/>
  <c r="AT478" i="7"/>
  <c r="AQ478" i="11" s="1"/>
  <c r="AU478" i="7"/>
  <c r="AR478" i="11" s="1"/>
  <c r="BN478" i="7"/>
  <c r="BO478" i="7"/>
  <c r="BV478" i="7"/>
  <c r="AL478" i="11" s="1"/>
  <c r="BW478" i="7"/>
  <c r="E479" i="7"/>
  <c r="F479" i="7"/>
  <c r="G479" i="7"/>
  <c r="H479" i="7"/>
  <c r="I479" i="7"/>
  <c r="S479" i="7"/>
  <c r="AO479" i="7"/>
  <c r="AP479" i="7"/>
  <c r="AS479" i="7"/>
  <c r="AP479" i="11" s="1"/>
  <c r="AT479" i="7"/>
  <c r="AQ479" i="11" s="1"/>
  <c r="AU479" i="7"/>
  <c r="AR479" i="11" s="1"/>
  <c r="BN479" i="7"/>
  <c r="BO479" i="7"/>
  <c r="BV479" i="7"/>
  <c r="AL479" i="11" s="1"/>
  <c r="BW479" i="7"/>
  <c r="E480" i="7"/>
  <c r="F480" i="7"/>
  <c r="G480" i="7"/>
  <c r="H480" i="7"/>
  <c r="I480" i="7"/>
  <c r="S480" i="7"/>
  <c r="AO480" i="7"/>
  <c r="AP480" i="7"/>
  <c r="AS480" i="7"/>
  <c r="AP480" i="11" s="1"/>
  <c r="AT480" i="7"/>
  <c r="AQ480" i="11" s="1"/>
  <c r="AU480" i="7"/>
  <c r="AR480" i="11" s="1"/>
  <c r="BN480" i="7"/>
  <c r="BO480" i="7"/>
  <c r="BV480" i="7"/>
  <c r="AL480" i="11" s="1"/>
  <c r="BW480" i="7"/>
  <c r="E481" i="7"/>
  <c r="F481" i="7"/>
  <c r="G481" i="7"/>
  <c r="H481" i="7"/>
  <c r="I481" i="7"/>
  <c r="S481" i="7"/>
  <c r="AO481" i="7"/>
  <c r="AP481" i="7"/>
  <c r="AS481" i="7"/>
  <c r="AP481" i="11" s="1"/>
  <c r="AT481" i="7"/>
  <c r="AQ481" i="11" s="1"/>
  <c r="AU481" i="7"/>
  <c r="AR481" i="11" s="1"/>
  <c r="BN481" i="7"/>
  <c r="BO481" i="7"/>
  <c r="BV481" i="7"/>
  <c r="AL481" i="11" s="1"/>
  <c r="BW481" i="7"/>
  <c r="E482" i="7"/>
  <c r="F482" i="7"/>
  <c r="G482" i="7"/>
  <c r="H482" i="7"/>
  <c r="I482" i="7"/>
  <c r="S482" i="7"/>
  <c r="AO482" i="7"/>
  <c r="AP482" i="7"/>
  <c r="AS482" i="7"/>
  <c r="AP482" i="11" s="1"/>
  <c r="AT482" i="7"/>
  <c r="AQ482" i="11" s="1"/>
  <c r="AU482" i="7"/>
  <c r="AR482" i="11" s="1"/>
  <c r="BN482" i="7"/>
  <c r="BO482" i="7"/>
  <c r="BV482" i="7"/>
  <c r="AL482" i="11" s="1"/>
  <c r="BW482" i="7"/>
  <c r="E483" i="7"/>
  <c r="F483" i="7"/>
  <c r="G483" i="7"/>
  <c r="H483" i="7"/>
  <c r="I483" i="7"/>
  <c r="S483" i="7"/>
  <c r="AO483" i="7"/>
  <c r="AP483" i="7"/>
  <c r="AS483" i="7"/>
  <c r="AP483" i="11" s="1"/>
  <c r="AT483" i="7"/>
  <c r="AQ483" i="11" s="1"/>
  <c r="AU483" i="7"/>
  <c r="AR483" i="11" s="1"/>
  <c r="BN483" i="7"/>
  <c r="BO483" i="7"/>
  <c r="BV483" i="7"/>
  <c r="AL483" i="11" s="1"/>
  <c r="BW483" i="7"/>
  <c r="E484" i="7"/>
  <c r="F484" i="7"/>
  <c r="G484" i="7"/>
  <c r="H484" i="7"/>
  <c r="I484" i="7"/>
  <c r="S484" i="7"/>
  <c r="AO484" i="7"/>
  <c r="AP484" i="7"/>
  <c r="AS484" i="7"/>
  <c r="AP484" i="11" s="1"/>
  <c r="AT484" i="7"/>
  <c r="AQ484" i="11" s="1"/>
  <c r="AU484" i="7"/>
  <c r="AR484" i="11" s="1"/>
  <c r="BN484" i="7"/>
  <c r="BO484" i="7"/>
  <c r="BV484" i="7"/>
  <c r="AL484" i="11" s="1"/>
  <c r="BW484" i="7"/>
  <c r="G365" i="2"/>
  <c r="T365" i="11" s="1"/>
  <c r="H365" i="2"/>
  <c r="N365" i="2"/>
  <c r="O365" i="2"/>
  <c r="P365" i="2"/>
  <c r="R365" i="2"/>
  <c r="S365" i="2"/>
  <c r="Z365" i="2"/>
  <c r="AH365" i="2"/>
  <c r="AI365" i="2"/>
  <c r="AH365" i="11" s="1"/>
  <c r="BE365" i="2"/>
  <c r="G366" i="2"/>
  <c r="T366" i="11" s="1"/>
  <c r="H366" i="2"/>
  <c r="I366" i="2"/>
  <c r="J366" i="2"/>
  <c r="K366" i="2"/>
  <c r="N366" i="2"/>
  <c r="O366" i="2"/>
  <c r="P366" i="2"/>
  <c r="R366" i="2"/>
  <c r="S366" i="2"/>
  <c r="Z366" i="2"/>
  <c r="AH366" i="2"/>
  <c r="AI366" i="2"/>
  <c r="AH366" i="11" s="1"/>
  <c r="BE366" i="2"/>
  <c r="G367" i="2"/>
  <c r="T367" i="11" s="1"/>
  <c r="H367" i="2"/>
  <c r="N367" i="2"/>
  <c r="O367" i="2"/>
  <c r="P367" i="2"/>
  <c r="R367" i="2"/>
  <c r="S367" i="2"/>
  <c r="Z367" i="2"/>
  <c r="AH367" i="2"/>
  <c r="AK367" i="11" s="1"/>
  <c r="AI367" i="2"/>
  <c r="AH367" i="11" s="1"/>
  <c r="BE367" i="2"/>
  <c r="G368" i="2"/>
  <c r="T368" i="11" s="1"/>
  <c r="H368" i="2"/>
  <c r="N368" i="2"/>
  <c r="O368" i="2"/>
  <c r="P368" i="2"/>
  <c r="R368" i="2"/>
  <c r="S368" i="2"/>
  <c r="Z368" i="2"/>
  <c r="AH368" i="2"/>
  <c r="AK368" i="11" s="1"/>
  <c r="AI368" i="2"/>
  <c r="AH368" i="11" s="1"/>
  <c r="BE368" i="2"/>
  <c r="G369" i="2"/>
  <c r="T369" i="11" s="1"/>
  <c r="H369" i="2"/>
  <c r="N369" i="2"/>
  <c r="O369" i="2"/>
  <c r="P369" i="2"/>
  <c r="R369" i="2"/>
  <c r="S369" i="2"/>
  <c r="Z369" i="2"/>
  <c r="AH369" i="2"/>
  <c r="AI369" i="2"/>
  <c r="AH369" i="11" s="1"/>
  <c r="BE369" i="2"/>
  <c r="G370" i="2"/>
  <c r="T370" i="11" s="1"/>
  <c r="H370" i="2"/>
  <c r="N370" i="2"/>
  <c r="O370" i="2"/>
  <c r="P370" i="2"/>
  <c r="R370" i="2"/>
  <c r="S370" i="2"/>
  <c r="Z370" i="2"/>
  <c r="AH370" i="2"/>
  <c r="AK370" i="11" s="1"/>
  <c r="AI370" i="2"/>
  <c r="AH370" i="11" s="1"/>
  <c r="BE370" i="2"/>
  <c r="G371" i="2"/>
  <c r="T371" i="11" s="1"/>
  <c r="H371" i="2"/>
  <c r="N371" i="2"/>
  <c r="O371" i="2"/>
  <c r="P371" i="2"/>
  <c r="R371" i="2"/>
  <c r="S371" i="2"/>
  <c r="Z371" i="2"/>
  <c r="AH371" i="2"/>
  <c r="AK371" i="11" s="1"/>
  <c r="AI371" i="2"/>
  <c r="AH371" i="11" s="1"/>
  <c r="BE371" i="2"/>
  <c r="G372" i="2"/>
  <c r="T372" i="11" s="1"/>
  <c r="H372" i="2"/>
  <c r="N372" i="2"/>
  <c r="O372" i="2"/>
  <c r="P372" i="2"/>
  <c r="R372" i="2"/>
  <c r="S372" i="2"/>
  <c r="Z372" i="2"/>
  <c r="AH372" i="2"/>
  <c r="AI372" i="2"/>
  <c r="AH372" i="11" s="1"/>
  <c r="BE372" i="2"/>
  <c r="G373" i="2"/>
  <c r="T373" i="11" s="1"/>
  <c r="H373" i="2"/>
  <c r="N373" i="2"/>
  <c r="O373" i="2"/>
  <c r="P373" i="2"/>
  <c r="R373" i="2"/>
  <c r="S373" i="2"/>
  <c r="Z373" i="2"/>
  <c r="AH373" i="2"/>
  <c r="AI373" i="2"/>
  <c r="AH373" i="11" s="1"/>
  <c r="BE373" i="2"/>
  <c r="G374" i="2"/>
  <c r="T374" i="11" s="1"/>
  <c r="H374" i="2"/>
  <c r="N374" i="2"/>
  <c r="O374" i="2"/>
  <c r="P374" i="2"/>
  <c r="R374" i="2"/>
  <c r="S374" i="2"/>
  <c r="Z374" i="2"/>
  <c r="AH374" i="2"/>
  <c r="AI374" i="2"/>
  <c r="AH374" i="11" s="1"/>
  <c r="BE374" i="2"/>
  <c r="G375" i="2"/>
  <c r="T375" i="11" s="1"/>
  <c r="H375" i="2"/>
  <c r="N375" i="2"/>
  <c r="O375" i="2"/>
  <c r="P375" i="2"/>
  <c r="R375" i="2"/>
  <c r="S375" i="2"/>
  <c r="Z375" i="2"/>
  <c r="AH375" i="2"/>
  <c r="AI375" i="2"/>
  <c r="AH375" i="11" s="1"/>
  <c r="BE375" i="2"/>
  <c r="G376" i="2"/>
  <c r="T376" i="11" s="1"/>
  <c r="H376" i="2"/>
  <c r="N376" i="2"/>
  <c r="O376" i="2"/>
  <c r="P376" i="2"/>
  <c r="R376" i="2"/>
  <c r="S376" i="2"/>
  <c r="Z376" i="2"/>
  <c r="AH376" i="2"/>
  <c r="AI376" i="2"/>
  <c r="AH376" i="11" s="1"/>
  <c r="BE376" i="2"/>
  <c r="G377" i="2"/>
  <c r="T377" i="11" s="1"/>
  <c r="H377" i="2"/>
  <c r="N377" i="2"/>
  <c r="O377" i="2"/>
  <c r="P377" i="2"/>
  <c r="R377" i="2"/>
  <c r="S377" i="2"/>
  <c r="Z377" i="2"/>
  <c r="AO377" i="2" s="1"/>
  <c r="AH377" i="2"/>
  <c r="AK377" i="11" s="1"/>
  <c r="AI377" i="2"/>
  <c r="AH377" i="11" s="1"/>
  <c r="BE377" i="2"/>
  <c r="G378" i="2"/>
  <c r="T378" i="11" s="1"/>
  <c r="H378" i="2"/>
  <c r="N378" i="2"/>
  <c r="O378" i="2"/>
  <c r="P378" i="2"/>
  <c r="R378" i="2"/>
  <c r="S378" i="2"/>
  <c r="Z378" i="2"/>
  <c r="AH378" i="2"/>
  <c r="AK378" i="11" s="1"/>
  <c r="AI378" i="2"/>
  <c r="AH378" i="11" s="1"/>
  <c r="BE378" i="2"/>
  <c r="G379" i="2"/>
  <c r="T379" i="11" s="1"/>
  <c r="H379" i="2"/>
  <c r="N379" i="2"/>
  <c r="O379" i="2"/>
  <c r="P379" i="2"/>
  <c r="R379" i="2"/>
  <c r="S379" i="2"/>
  <c r="Z379" i="2"/>
  <c r="AH379" i="2"/>
  <c r="AK379" i="11" s="1"/>
  <c r="AI379" i="2"/>
  <c r="AH379" i="11" s="1"/>
  <c r="BE379" i="2"/>
  <c r="G380" i="2"/>
  <c r="T380" i="11" s="1"/>
  <c r="H380" i="2"/>
  <c r="N380" i="2"/>
  <c r="O380" i="2"/>
  <c r="P380" i="2"/>
  <c r="R380" i="2"/>
  <c r="S380" i="2"/>
  <c r="Z380" i="2"/>
  <c r="AH380" i="2"/>
  <c r="AK380" i="11" s="1"/>
  <c r="AI380" i="2"/>
  <c r="AH380" i="11" s="1"/>
  <c r="BE380" i="2"/>
  <c r="G381" i="2"/>
  <c r="T381" i="11" s="1"/>
  <c r="H381" i="2"/>
  <c r="N381" i="2"/>
  <c r="O381" i="2"/>
  <c r="P381" i="2"/>
  <c r="R381" i="2"/>
  <c r="S381" i="2"/>
  <c r="Z381" i="2"/>
  <c r="AH381" i="2"/>
  <c r="AI381" i="2"/>
  <c r="AH381" i="11" s="1"/>
  <c r="BE381" i="2"/>
  <c r="G382" i="2"/>
  <c r="T382" i="11" s="1"/>
  <c r="H382" i="2"/>
  <c r="N382" i="2"/>
  <c r="O382" i="2"/>
  <c r="P382" i="2"/>
  <c r="R382" i="2"/>
  <c r="S382" i="2"/>
  <c r="Z382" i="2"/>
  <c r="AH382" i="2"/>
  <c r="AI382" i="2"/>
  <c r="AH382" i="11" s="1"/>
  <c r="BE382" i="2"/>
  <c r="G383" i="2"/>
  <c r="T383" i="11" s="1"/>
  <c r="H383" i="2"/>
  <c r="N383" i="2"/>
  <c r="O383" i="2"/>
  <c r="P383" i="2"/>
  <c r="R383" i="2"/>
  <c r="S383" i="2"/>
  <c r="Z383" i="2"/>
  <c r="AH383" i="2"/>
  <c r="AK383" i="11" s="1"/>
  <c r="AI383" i="2"/>
  <c r="AH383" i="11" s="1"/>
  <c r="BE383" i="2"/>
  <c r="G384" i="2"/>
  <c r="T384" i="11" s="1"/>
  <c r="H384" i="2"/>
  <c r="N384" i="2"/>
  <c r="O384" i="2"/>
  <c r="P384" i="2"/>
  <c r="R384" i="2"/>
  <c r="S384" i="2"/>
  <c r="Z384" i="2"/>
  <c r="AH384" i="2"/>
  <c r="AI384" i="2"/>
  <c r="AH384" i="11" s="1"/>
  <c r="BE384" i="2"/>
  <c r="G385" i="2"/>
  <c r="T385" i="11" s="1"/>
  <c r="H385" i="2"/>
  <c r="N385" i="2"/>
  <c r="O385" i="2"/>
  <c r="P385" i="2"/>
  <c r="R385" i="2"/>
  <c r="S385" i="2"/>
  <c r="Z385" i="2"/>
  <c r="AH385" i="2"/>
  <c r="AI385" i="2"/>
  <c r="AH385" i="11" s="1"/>
  <c r="BE385" i="2"/>
  <c r="G386" i="2"/>
  <c r="T386" i="11" s="1"/>
  <c r="H386" i="2"/>
  <c r="N386" i="2"/>
  <c r="O386" i="2"/>
  <c r="P386" i="2"/>
  <c r="R386" i="2"/>
  <c r="S386" i="2"/>
  <c r="Z386" i="2"/>
  <c r="AH386" i="2"/>
  <c r="AK386" i="11" s="1"/>
  <c r="AI386" i="2"/>
  <c r="AH386" i="11" s="1"/>
  <c r="BE386" i="2"/>
  <c r="G387" i="2"/>
  <c r="T387" i="11" s="1"/>
  <c r="H387" i="2"/>
  <c r="N387" i="2"/>
  <c r="O387" i="2"/>
  <c r="P387" i="2"/>
  <c r="R387" i="2"/>
  <c r="S387" i="2"/>
  <c r="Z387" i="2"/>
  <c r="AH387" i="2"/>
  <c r="AI387" i="2"/>
  <c r="AH387" i="11" s="1"/>
  <c r="BE387" i="2"/>
  <c r="G388" i="2"/>
  <c r="T388" i="11" s="1"/>
  <c r="H388" i="2"/>
  <c r="N388" i="2"/>
  <c r="O388" i="2"/>
  <c r="P388" i="2"/>
  <c r="R388" i="2"/>
  <c r="S388" i="2"/>
  <c r="Z388" i="2"/>
  <c r="AH388" i="2"/>
  <c r="AI388" i="2"/>
  <c r="AH388" i="11" s="1"/>
  <c r="BE388" i="2"/>
  <c r="G389" i="2"/>
  <c r="T389" i="11" s="1"/>
  <c r="H389" i="2"/>
  <c r="N389" i="2"/>
  <c r="O389" i="2"/>
  <c r="P389" i="2"/>
  <c r="R389" i="2"/>
  <c r="S389" i="2"/>
  <c r="Z389" i="2"/>
  <c r="AH389" i="2"/>
  <c r="AK389" i="11" s="1"/>
  <c r="AI389" i="2"/>
  <c r="AH389" i="11" s="1"/>
  <c r="BE389" i="2"/>
  <c r="G390" i="2"/>
  <c r="T390" i="11" s="1"/>
  <c r="H390" i="2"/>
  <c r="N390" i="2"/>
  <c r="O390" i="2"/>
  <c r="P390" i="2"/>
  <c r="R390" i="2"/>
  <c r="S390" i="2"/>
  <c r="Z390" i="2"/>
  <c r="AH390" i="2"/>
  <c r="AI390" i="2"/>
  <c r="AH390" i="11" s="1"/>
  <c r="BE390" i="2"/>
  <c r="G391" i="2"/>
  <c r="T391" i="11" s="1"/>
  <c r="H391" i="2"/>
  <c r="N391" i="2"/>
  <c r="O391" i="2"/>
  <c r="P391" i="2"/>
  <c r="R391" i="2"/>
  <c r="S391" i="2"/>
  <c r="Z391" i="2"/>
  <c r="AH391" i="2"/>
  <c r="AK391" i="11" s="1"/>
  <c r="AI391" i="2"/>
  <c r="AH391" i="11" s="1"/>
  <c r="BE391" i="2"/>
  <c r="G392" i="2"/>
  <c r="T392" i="11" s="1"/>
  <c r="H392" i="2"/>
  <c r="N392" i="2"/>
  <c r="O392" i="2"/>
  <c r="P392" i="2"/>
  <c r="R392" i="2"/>
  <c r="S392" i="2"/>
  <c r="Z392" i="2"/>
  <c r="AH392" i="2"/>
  <c r="AK392" i="11" s="1"/>
  <c r="AI392" i="2"/>
  <c r="AH392" i="11" s="1"/>
  <c r="BE392" i="2"/>
  <c r="G393" i="2"/>
  <c r="T393" i="11" s="1"/>
  <c r="H393" i="2"/>
  <c r="N393" i="2"/>
  <c r="O393" i="2"/>
  <c r="P393" i="2"/>
  <c r="R393" i="2"/>
  <c r="S393" i="2"/>
  <c r="Z393" i="2"/>
  <c r="AH393" i="2"/>
  <c r="AI393" i="2"/>
  <c r="AH393" i="11" s="1"/>
  <c r="BE393" i="2"/>
  <c r="G394" i="2"/>
  <c r="T394" i="11" s="1"/>
  <c r="H394" i="2"/>
  <c r="N394" i="2"/>
  <c r="O394" i="2"/>
  <c r="P394" i="2"/>
  <c r="R394" i="2"/>
  <c r="S394" i="2"/>
  <c r="Z394" i="2"/>
  <c r="AH394" i="2"/>
  <c r="AK394" i="11" s="1"/>
  <c r="AI394" i="2"/>
  <c r="AH394" i="11" s="1"/>
  <c r="BE394" i="2"/>
  <c r="G395" i="2"/>
  <c r="T395" i="11" s="1"/>
  <c r="H395" i="2"/>
  <c r="N395" i="2"/>
  <c r="O395" i="2"/>
  <c r="P395" i="2"/>
  <c r="R395" i="2"/>
  <c r="S395" i="2"/>
  <c r="Z395" i="2"/>
  <c r="AH395" i="2"/>
  <c r="AK395" i="11" s="1"/>
  <c r="AI395" i="2"/>
  <c r="AH395" i="11" s="1"/>
  <c r="BE395" i="2"/>
  <c r="G396" i="2"/>
  <c r="T396" i="11" s="1"/>
  <c r="H396" i="2"/>
  <c r="N396" i="2"/>
  <c r="O396" i="2"/>
  <c r="P396" i="2"/>
  <c r="R396" i="2"/>
  <c r="S396" i="2"/>
  <c r="Z396" i="2"/>
  <c r="AH396" i="2"/>
  <c r="AI396" i="2"/>
  <c r="AH396" i="11" s="1"/>
  <c r="BE396" i="2"/>
  <c r="G397" i="2"/>
  <c r="T397" i="11" s="1"/>
  <c r="H397" i="2"/>
  <c r="N397" i="2"/>
  <c r="O397" i="2"/>
  <c r="P397" i="2"/>
  <c r="R397" i="2"/>
  <c r="S397" i="2"/>
  <c r="Z397" i="2"/>
  <c r="AH397" i="2"/>
  <c r="AI397" i="2"/>
  <c r="AH397" i="11" s="1"/>
  <c r="BE397" i="2"/>
  <c r="G398" i="2"/>
  <c r="T398" i="11" s="1"/>
  <c r="H398" i="2"/>
  <c r="N398" i="2"/>
  <c r="O398" i="2"/>
  <c r="P398" i="2"/>
  <c r="R398" i="2"/>
  <c r="S398" i="2"/>
  <c r="Z398" i="2"/>
  <c r="AH398" i="2"/>
  <c r="AI398" i="2"/>
  <c r="AH398" i="11" s="1"/>
  <c r="BE398" i="2"/>
  <c r="G399" i="2"/>
  <c r="T399" i="11" s="1"/>
  <c r="H399" i="2"/>
  <c r="N399" i="2"/>
  <c r="O399" i="2"/>
  <c r="P399" i="2"/>
  <c r="R399" i="2"/>
  <c r="S399" i="2"/>
  <c r="Z399" i="2"/>
  <c r="AH399" i="2"/>
  <c r="AI399" i="2"/>
  <c r="AH399" i="11" s="1"/>
  <c r="BE399" i="2"/>
  <c r="G400" i="2"/>
  <c r="T400" i="11" s="1"/>
  <c r="H400" i="2"/>
  <c r="N400" i="2"/>
  <c r="O400" i="2"/>
  <c r="P400" i="2"/>
  <c r="R400" i="2"/>
  <c r="S400" i="2"/>
  <c r="Z400" i="2"/>
  <c r="AH400" i="2"/>
  <c r="AI400" i="2"/>
  <c r="AH400" i="11" s="1"/>
  <c r="BE400" i="2"/>
  <c r="G401" i="2"/>
  <c r="T401" i="11" s="1"/>
  <c r="H401" i="2"/>
  <c r="N401" i="2"/>
  <c r="O401" i="2"/>
  <c r="P401" i="2"/>
  <c r="R401" i="2"/>
  <c r="S401" i="2"/>
  <c r="Z401" i="2"/>
  <c r="AH401" i="2"/>
  <c r="AK401" i="11" s="1"/>
  <c r="AI401" i="2"/>
  <c r="AH401" i="11" s="1"/>
  <c r="BE401" i="2"/>
  <c r="G402" i="2"/>
  <c r="T402" i="11" s="1"/>
  <c r="H402" i="2"/>
  <c r="N402" i="2"/>
  <c r="O402" i="2"/>
  <c r="P402" i="2"/>
  <c r="R402" i="2"/>
  <c r="S402" i="2"/>
  <c r="Z402" i="2"/>
  <c r="AH402" i="2"/>
  <c r="AK402" i="11" s="1"/>
  <c r="AI402" i="2"/>
  <c r="AH402" i="11" s="1"/>
  <c r="BE402" i="2"/>
  <c r="G403" i="2"/>
  <c r="T403" i="11" s="1"/>
  <c r="H403" i="2"/>
  <c r="N403" i="2"/>
  <c r="O403" i="2"/>
  <c r="P403" i="2"/>
  <c r="R403" i="2"/>
  <c r="S403" i="2"/>
  <c r="Z403" i="2"/>
  <c r="AH403" i="2"/>
  <c r="AK403" i="11" s="1"/>
  <c r="AI403" i="2"/>
  <c r="AH403" i="11" s="1"/>
  <c r="BE403" i="2"/>
  <c r="G404" i="2"/>
  <c r="T404" i="11" s="1"/>
  <c r="H404" i="2"/>
  <c r="N404" i="2"/>
  <c r="O404" i="2"/>
  <c r="P404" i="2"/>
  <c r="R404" i="2"/>
  <c r="S404" i="2"/>
  <c r="Z404" i="2"/>
  <c r="AH404" i="2"/>
  <c r="AK404" i="11" s="1"/>
  <c r="AI404" i="2"/>
  <c r="AH404" i="11" s="1"/>
  <c r="BE404" i="2"/>
  <c r="G405" i="2"/>
  <c r="T405" i="11" s="1"/>
  <c r="H405" i="2"/>
  <c r="N405" i="2"/>
  <c r="O405" i="2"/>
  <c r="P405" i="2"/>
  <c r="R405" i="2"/>
  <c r="S405" i="2"/>
  <c r="Z405" i="2"/>
  <c r="AH405" i="2"/>
  <c r="AI405" i="2"/>
  <c r="AH405" i="11" s="1"/>
  <c r="BE405" i="2"/>
  <c r="G406" i="2"/>
  <c r="T406" i="11" s="1"/>
  <c r="H406" i="2"/>
  <c r="N406" i="2"/>
  <c r="O406" i="2"/>
  <c r="P406" i="2"/>
  <c r="R406" i="2"/>
  <c r="S406" i="2"/>
  <c r="Z406" i="2"/>
  <c r="AH406" i="2"/>
  <c r="AI406" i="2"/>
  <c r="AH406" i="11" s="1"/>
  <c r="BE406" i="2"/>
  <c r="G407" i="2"/>
  <c r="T407" i="11" s="1"/>
  <c r="H407" i="2"/>
  <c r="N407" i="2"/>
  <c r="O407" i="2"/>
  <c r="P407" i="2"/>
  <c r="R407" i="2"/>
  <c r="S407" i="2"/>
  <c r="Z407" i="2"/>
  <c r="AH407" i="2"/>
  <c r="AK407" i="11" s="1"/>
  <c r="AI407" i="2"/>
  <c r="AH407" i="11" s="1"/>
  <c r="BE407" i="2"/>
  <c r="G408" i="2"/>
  <c r="T408" i="11" s="1"/>
  <c r="H408" i="2"/>
  <c r="N408" i="2"/>
  <c r="O408" i="2"/>
  <c r="P408" i="2"/>
  <c r="R408" i="2"/>
  <c r="S408" i="2"/>
  <c r="Z408" i="2"/>
  <c r="AH408" i="2"/>
  <c r="AI408" i="2"/>
  <c r="AH408" i="11" s="1"/>
  <c r="BE408" i="2"/>
  <c r="G409" i="2"/>
  <c r="T409" i="11" s="1"/>
  <c r="H409" i="2"/>
  <c r="N409" i="2"/>
  <c r="O409" i="2"/>
  <c r="P409" i="2"/>
  <c r="R409" i="2"/>
  <c r="S409" i="2"/>
  <c r="Z409" i="2"/>
  <c r="AH409" i="2"/>
  <c r="AI409" i="2"/>
  <c r="AH409" i="11" s="1"/>
  <c r="BE409" i="2"/>
  <c r="G410" i="2"/>
  <c r="T410" i="11" s="1"/>
  <c r="H410" i="2"/>
  <c r="N410" i="2"/>
  <c r="O410" i="2"/>
  <c r="P410" i="2"/>
  <c r="R410" i="2"/>
  <c r="S410" i="2"/>
  <c r="Z410" i="2"/>
  <c r="AH410" i="2"/>
  <c r="AK410" i="11" s="1"/>
  <c r="AI410" i="2"/>
  <c r="AH410" i="11" s="1"/>
  <c r="BE410" i="2"/>
  <c r="G411" i="2"/>
  <c r="T411" i="11" s="1"/>
  <c r="H411" i="2"/>
  <c r="N411" i="2"/>
  <c r="O411" i="2"/>
  <c r="P411" i="2"/>
  <c r="R411" i="2"/>
  <c r="S411" i="2"/>
  <c r="Z411" i="2"/>
  <c r="AH411" i="2"/>
  <c r="AI411" i="2"/>
  <c r="AH411" i="11" s="1"/>
  <c r="BE411" i="2"/>
  <c r="G412" i="2"/>
  <c r="T412" i="11" s="1"/>
  <c r="H412" i="2"/>
  <c r="N412" i="2"/>
  <c r="O412" i="2"/>
  <c r="P412" i="2"/>
  <c r="R412" i="2"/>
  <c r="S412" i="2"/>
  <c r="Z412" i="2"/>
  <c r="AH412" i="2"/>
  <c r="AI412" i="2"/>
  <c r="AH412" i="11" s="1"/>
  <c r="BE412" i="2"/>
  <c r="G413" i="2"/>
  <c r="T413" i="11" s="1"/>
  <c r="H413" i="2"/>
  <c r="N413" i="2"/>
  <c r="O413" i="2"/>
  <c r="P413" i="2"/>
  <c r="R413" i="2"/>
  <c r="S413" i="2"/>
  <c r="Z413" i="2"/>
  <c r="AH413" i="2"/>
  <c r="AK413" i="11" s="1"/>
  <c r="AI413" i="2"/>
  <c r="AH413" i="11" s="1"/>
  <c r="BE413" i="2"/>
  <c r="G414" i="2"/>
  <c r="T414" i="11" s="1"/>
  <c r="H414" i="2"/>
  <c r="N414" i="2"/>
  <c r="O414" i="2"/>
  <c r="P414" i="2"/>
  <c r="R414" i="2"/>
  <c r="S414" i="2"/>
  <c r="Z414" i="2"/>
  <c r="AH414" i="2"/>
  <c r="AI414" i="2"/>
  <c r="AH414" i="11" s="1"/>
  <c r="BE414" i="2"/>
  <c r="G415" i="2"/>
  <c r="T415" i="11" s="1"/>
  <c r="H415" i="2"/>
  <c r="N415" i="2"/>
  <c r="O415" i="2"/>
  <c r="P415" i="2"/>
  <c r="R415" i="2"/>
  <c r="S415" i="2"/>
  <c r="Z415" i="2"/>
  <c r="AH415" i="2"/>
  <c r="AK415" i="11" s="1"/>
  <c r="AI415" i="2"/>
  <c r="AH415" i="11" s="1"/>
  <c r="BE415" i="2"/>
  <c r="G416" i="2"/>
  <c r="T416" i="11" s="1"/>
  <c r="H416" i="2"/>
  <c r="N416" i="2"/>
  <c r="O416" i="2"/>
  <c r="P416" i="2"/>
  <c r="R416" i="2"/>
  <c r="S416" i="2"/>
  <c r="Z416" i="2"/>
  <c r="AH416" i="2"/>
  <c r="AK416" i="11" s="1"/>
  <c r="AI416" i="2"/>
  <c r="AH416" i="11" s="1"/>
  <c r="BE416" i="2"/>
  <c r="G417" i="2"/>
  <c r="T417" i="11" s="1"/>
  <c r="H417" i="2"/>
  <c r="N417" i="2"/>
  <c r="O417" i="2"/>
  <c r="P417" i="2"/>
  <c r="R417" i="2"/>
  <c r="S417" i="2"/>
  <c r="Z417" i="2"/>
  <c r="AH417" i="2"/>
  <c r="AI417" i="2"/>
  <c r="AH417" i="11" s="1"/>
  <c r="BE417" i="2"/>
  <c r="G418" i="2"/>
  <c r="T418" i="11" s="1"/>
  <c r="H418" i="2"/>
  <c r="N418" i="2"/>
  <c r="O418" i="2"/>
  <c r="P418" i="2"/>
  <c r="R418" i="2"/>
  <c r="S418" i="2"/>
  <c r="Z418" i="2"/>
  <c r="AH418" i="2"/>
  <c r="AK418" i="11" s="1"/>
  <c r="AI418" i="2"/>
  <c r="AH418" i="11" s="1"/>
  <c r="BE418" i="2"/>
  <c r="G419" i="2"/>
  <c r="T419" i="11" s="1"/>
  <c r="H419" i="2"/>
  <c r="N419" i="2"/>
  <c r="O419" i="2"/>
  <c r="P419" i="2"/>
  <c r="R419" i="2"/>
  <c r="S419" i="2"/>
  <c r="Z419" i="2"/>
  <c r="AH419" i="2"/>
  <c r="AK419" i="11" s="1"/>
  <c r="AI419" i="2"/>
  <c r="AH419" i="11" s="1"/>
  <c r="BE419" i="2"/>
  <c r="G420" i="2"/>
  <c r="T420" i="11" s="1"/>
  <c r="H420" i="2"/>
  <c r="N420" i="2"/>
  <c r="O420" i="2"/>
  <c r="P420" i="2"/>
  <c r="R420" i="2"/>
  <c r="S420" i="2"/>
  <c r="Z420" i="2"/>
  <c r="AH420" i="2"/>
  <c r="AI420" i="2"/>
  <c r="AH420" i="11" s="1"/>
  <c r="BE420" i="2"/>
  <c r="G421" i="2"/>
  <c r="T421" i="11" s="1"/>
  <c r="H421" i="2"/>
  <c r="N421" i="2"/>
  <c r="O421" i="2"/>
  <c r="P421" i="2"/>
  <c r="R421" i="2"/>
  <c r="S421" i="2"/>
  <c r="Z421" i="2"/>
  <c r="AH421" i="2"/>
  <c r="AI421" i="2"/>
  <c r="AH421" i="11" s="1"/>
  <c r="BE421" i="2"/>
  <c r="G422" i="2"/>
  <c r="T422" i="11" s="1"/>
  <c r="H422" i="2"/>
  <c r="N422" i="2"/>
  <c r="O422" i="2"/>
  <c r="P422" i="2"/>
  <c r="R422" i="2"/>
  <c r="S422" i="2"/>
  <c r="Z422" i="2"/>
  <c r="AH422" i="2"/>
  <c r="AI422" i="2"/>
  <c r="AH422" i="11" s="1"/>
  <c r="BE422" i="2"/>
  <c r="G423" i="2"/>
  <c r="T423" i="11" s="1"/>
  <c r="H423" i="2"/>
  <c r="N423" i="2"/>
  <c r="O423" i="2"/>
  <c r="P423" i="2"/>
  <c r="R423" i="2"/>
  <c r="S423" i="2"/>
  <c r="Z423" i="2"/>
  <c r="AH423" i="2"/>
  <c r="AI423" i="2"/>
  <c r="AH423" i="11" s="1"/>
  <c r="BE423" i="2"/>
  <c r="G424" i="2"/>
  <c r="T424" i="11" s="1"/>
  <c r="H424" i="2"/>
  <c r="N424" i="2"/>
  <c r="O424" i="2"/>
  <c r="P424" i="2"/>
  <c r="R424" i="2"/>
  <c r="S424" i="2"/>
  <c r="Z424" i="2"/>
  <c r="AH424" i="2"/>
  <c r="AI424" i="2"/>
  <c r="AH424" i="11" s="1"/>
  <c r="BE424" i="2"/>
  <c r="G425" i="2"/>
  <c r="T425" i="11" s="1"/>
  <c r="H425" i="2"/>
  <c r="N425" i="2"/>
  <c r="O425" i="2"/>
  <c r="P425" i="2"/>
  <c r="R425" i="2"/>
  <c r="S425" i="2"/>
  <c r="Z425" i="2"/>
  <c r="AH425" i="2"/>
  <c r="AK425" i="11" s="1"/>
  <c r="AI425" i="2"/>
  <c r="AH425" i="11" s="1"/>
  <c r="BE425" i="2"/>
  <c r="G426" i="2"/>
  <c r="T426" i="11" s="1"/>
  <c r="H426" i="2"/>
  <c r="N426" i="2"/>
  <c r="O426" i="2"/>
  <c r="P426" i="2"/>
  <c r="R426" i="2"/>
  <c r="S426" i="2"/>
  <c r="Z426" i="2"/>
  <c r="AH426" i="2"/>
  <c r="AK426" i="11" s="1"/>
  <c r="AI426" i="2"/>
  <c r="AH426" i="11" s="1"/>
  <c r="BE426" i="2"/>
  <c r="G427" i="2"/>
  <c r="T427" i="11" s="1"/>
  <c r="H427" i="2"/>
  <c r="N427" i="2"/>
  <c r="O427" i="2"/>
  <c r="P427" i="2"/>
  <c r="R427" i="2"/>
  <c r="S427" i="2"/>
  <c r="Z427" i="2"/>
  <c r="AH427" i="2"/>
  <c r="AK427" i="11" s="1"/>
  <c r="AI427" i="2"/>
  <c r="AH427" i="11" s="1"/>
  <c r="BE427" i="2"/>
  <c r="G428" i="2"/>
  <c r="T428" i="11" s="1"/>
  <c r="H428" i="2"/>
  <c r="N428" i="2"/>
  <c r="O428" i="2"/>
  <c r="P428" i="2"/>
  <c r="R428" i="2"/>
  <c r="S428" i="2"/>
  <c r="Z428" i="2"/>
  <c r="AH428" i="2"/>
  <c r="AK428" i="11" s="1"/>
  <c r="AI428" i="2"/>
  <c r="AH428" i="11" s="1"/>
  <c r="BE428" i="2"/>
  <c r="G429" i="2"/>
  <c r="T429" i="11" s="1"/>
  <c r="H429" i="2"/>
  <c r="N429" i="2"/>
  <c r="O429" i="2"/>
  <c r="P429" i="2"/>
  <c r="R429" i="2"/>
  <c r="S429" i="2"/>
  <c r="Z429" i="2"/>
  <c r="AH429" i="2"/>
  <c r="AI429" i="2"/>
  <c r="AH429" i="11" s="1"/>
  <c r="BE429" i="2"/>
  <c r="G430" i="2"/>
  <c r="T430" i="11" s="1"/>
  <c r="H430" i="2"/>
  <c r="N430" i="2"/>
  <c r="O430" i="2"/>
  <c r="P430" i="2"/>
  <c r="R430" i="2"/>
  <c r="S430" i="2"/>
  <c r="Z430" i="2"/>
  <c r="AH430" i="2"/>
  <c r="AI430" i="2"/>
  <c r="AH430" i="11" s="1"/>
  <c r="BE430" i="2"/>
  <c r="G431" i="2"/>
  <c r="T431" i="11" s="1"/>
  <c r="H431" i="2"/>
  <c r="N431" i="2"/>
  <c r="O431" i="2"/>
  <c r="P431" i="2"/>
  <c r="R431" i="2"/>
  <c r="S431" i="2"/>
  <c r="Z431" i="2"/>
  <c r="AH431" i="2"/>
  <c r="AK431" i="11" s="1"/>
  <c r="AI431" i="2"/>
  <c r="AH431" i="11" s="1"/>
  <c r="BE431" i="2"/>
  <c r="G432" i="2"/>
  <c r="T432" i="11" s="1"/>
  <c r="H432" i="2"/>
  <c r="N432" i="2"/>
  <c r="O432" i="2"/>
  <c r="P432" i="2"/>
  <c r="R432" i="2"/>
  <c r="S432" i="2"/>
  <c r="Z432" i="2"/>
  <c r="AH432" i="2"/>
  <c r="AI432" i="2"/>
  <c r="AH432" i="11" s="1"/>
  <c r="BE432" i="2"/>
  <c r="G433" i="2"/>
  <c r="T433" i="11" s="1"/>
  <c r="H433" i="2"/>
  <c r="N433" i="2"/>
  <c r="O433" i="2"/>
  <c r="P433" i="2"/>
  <c r="R433" i="2"/>
  <c r="S433" i="2"/>
  <c r="Z433" i="2"/>
  <c r="AH433" i="2"/>
  <c r="AI433" i="2"/>
  <c r="AH433" i="11" s="1"/>
  <c r="BE433" i="2"/>
  <c r="G434" i="2"/>
  <c r="T434" i="11" s="1"/>
  <c r="H434" i="2"/>
  <c r="N434" i="2"/>
  <c r="O434" i="2"/>
  <c r="P434" i="2"/>
  <c r="R434" i="2"/>
  <c r="S434" i="2"/>
  <c r="Z434" i="2"/>
  <c r="AH434" i="2"/>
  <c r="AK434" i="11" s="1"/>
  <c r="AI434" i="2"/>
  <c r="AH434" i="11" s="1"/>
  <c r="BE434" i="2"/>
  <c r="G435" i="2"/>
  <c r="T435" i="11" s="1"/>
  <c r="H435" i="2"/>
  <c r="N435" i="2"/>
  <c r="O435" i="2"/>
  <c r="P435" i="2"/>
  <c r="R435" i="2"/>
  <c r="S435" i="2"/>
  <c r="Z435" i="2"/>
  <c r="AH435" i="2"/>
  <c r="AI435" i="2"/>
  <c r="AH435" i="11" s="1"/>
  <c r="BE435" i="2"/>
  <c r="G436" i="2"/>
  <c r="T436" i="11" s="1"/>
  <c r="H436" i="2"/>
  <c r="N436" i="2"/>
  <c r="O436" i="2"/>
  <c r="P436" i="2"/>
  <c r="R436" i="2"/>
  <c r="S436" i="2"/>
  <c r="Z436" i="2"/>
  <c r="AH436" i="2"/>
  <c r="AI436" i="2"/>
  <c r="AH436" i="11" s="1"/>
  <c r="BE436" i="2"/>
  <c r="G437" i="2"/>
  <c r="T437" i="11" s="1"/>
  <c r="H437" i="2"/>
  <c r="N437" i="2"/>
  <c r="O437" i="2"/>
  <c r="P437" i="2"/>
  <c r="R437" i="2"/>
  <c r="S437" i="2"/>
  <c r="Z437" i="2"/>
  <c r="AH437" i="2"/>
  <c r="AK437" i="11" s="1"/>
  <c r="AI437" i="2"/>
  <c r="AH437" i="11" s="1"/>
  <c r="BE437" i="2"/>
  <c r="G438" i="2"/>
  <c r="T438" i="11" s="1"/>
  <c r="H438" i="2"/>
  <c r="N438" i="2"/>
  <c r="O438" i="2"/>
  <c r="P438" i="2"/>
  <c r="R438" i="2"/>
  <c r="S438" i="2"/>
  <c r="Z438" i="2"/>
  <c r="AH438" i="2"/>
  <c r="AI438" i="2"/>
  <c r="AH438" i="11" s="1"/>
  <c r="BE438" i="2"/>
  <c r="G439" i="2"/>
  <c r="T439" i="11" s="1"/>
  <c r="H439" i="2"/>
  <c r="N439" i="2"/>
  <c r="O439" i="2"/>
  <c r="P439" i="2"/>
  <c r="R439" i="2"/>
  <c r="S439" i="2"/>
  <c r="Z439" i="2"/>
  <c r="AH439" i="2"/>
  <c r="AK439" i="11" s="1"/>
  <c r="AI439" i="2"/>
  <c r="AH439" i="11" s="1"/>
  <c r="BE439" i="2"/>
  <c r="G440" i="2"/>
  <c r="T440" i="11" s="1"/>
  <c r="H440" i="2"/>
  <c r="N440" i="2"/>
  <c r="O440" i="2"/>
  <c r="P440" i="2"/>
  <c r="R440" i="2"/>
  <c r="S440" i="2"/>
  <c r="Z440" i="2"/>
  <c r="AH440" i="2"/>
  <c r="AK440" i="11" s="1"/>
  <c r="AI440" i="2"/>
  <c r="AH440" i="11" s="1"/>
  <c r="BE440" i="2"/>
  <c r="G441" i="2"/>
  <c r="T441" i="11" s="1"/>
  <c r="H441" i="2"/>
  <c r="N441" i="2"/>
  <c r="O441" i="2"/>
  <c r="P441" i="2"/>
  <c r="R441" i="2"/>
  <c r="S441" i="2"/>
  <c r="Z441" i="2"/>
  <c r="AH441" i="2"/>
  <c r="AI441" i="2"/>
  <c r="AH441" i="11" s="1"/>
  <c r="BE441" i="2"/>
  <c r="G442" i="2"/>
  <c r="T442" i="11" s="1"/>
  <c r="H442" i="2"/>
  <c r="N442" i="2"/>
  <c r="O442" i="2"/>
  <c r="P442" i="2"/>
  <c r="R442" i="2"/>
  <c r="S442" i="2"/>
  <c r="Z442" i="2"/>
  <c r="AH442" i="2"/>
  <c r="AK442" i="11" s="1"/>
  <c r="AI442" i="2"/>
  <c r="AH442" i="11" s="1"/>
  <c r="BE442" i="2"/>
  <c r="G443" i="2"/>
  <c r="T443" i="11" s="1"/>
  <c r="H443" i="2"/>
  <c r="N443" i="2"/>
  <c r="O443" i="2"/>
  <c r="P443" i="2"/>
  <c r="R443" i="2"/>
  <c r="S443" i="2"/>
  <c r="Z443" i="2"/>
  <c r="AH443" i="2"/>
  <c r="AK443" i="11" s="1"/>
  <c r="AI443" i="2"/>
  <c r="AH443" i="11" s="1"/>
  <c r="BE443" i="2"/>
  <c r="G444" i="2"/>
  <c r="T444" i="11" s="1"/>
  <c r="H444" i="2"/>
  <c r="N444" i="2"/>
  <c r="O444" i="2"/>
  <c r="P444" i="2"/>
  <c r="R444" i="2"/>
  <c r="S444" i="2"/>
  <c r="Z444" i="2"/>
  <c r="AH444" i="2"/>
  <c r="AI444" i="2"/>
  <c r="AH444" i="11" s="1"/>
  <c r="BE444" i="2"/>
  <c r="G445" i="2"/>
  <c r="T445" i="11" s="1"/>
  <c r="H445" i="2"/>
  <c r="N445" i="2"/>
  <c r="O445" i="2"/>
  <c r="P445" i="2"/>
  <c r="R445" i="2"/>
  <c r="S445" i="2"/>
  <c r="Z445" i="2"/>
  <c r="AH445" i="2"/>
  <c r="AI445" i="2"/>
  <c r="AH445" i="11" s="1"/>
  <c r="BE445" i="2"/>
  <c r="G446" i="2"/>
  <c r="T446" i="11" s="1"/>
  <c r="H446" i="2"/>
  <c r="N446" i="2"/>
  <c r="O446" i="2"/>
  <c r="P446" i="2"/>
  <c r="R446" i="2"/>
  <c r="S446" i="2"/>
  <c r="Z446" i="2"/>
  <c r="AH446" i="2"/>
  <c r="AI446" i="2"/>
  <c r="AH446" i="11" s="1"/>
  <c r="BE446" i="2"/>
  <c r="G447" i="2"/>
  <c r="T447" i="11" s="1"/>
  <c r="H447" i="2"/>
  <c r="N447" i="2"/>
  <c r="O447" i="2"/>
  <c r="P447" i="2"/>
  <c r="R447" i="2"/>
  <c r="S447" i="2"/>
  <c r="Z447" i="2"/>
  <c r="AH447" i="2"/>
  <c r="AI447" i="2"/>
  <c r="AH447" i="11" s="1"/>
  <c r="BE447" i="2"/>
  <c r="G448" i="2"/>
  <c r="T448" i="11" s="1"/>
  <c r="H448" i="2"/>
  <c r="N448" i="2"/>
  <c r="O448" i="2"/>
  <c r="P448" i="2"/>
  <c r="R448" i="2"/>
  <c r="S448" i="2"/>
  <c r="Z448" i="2"/>
  <c r="AH448" i="2"/>
  <c r="AI448" i="2"/>
  <c r="AH448" i="11" s="1"/>
  <c r="BE448" i="2"/>
  <c r="G449" i="2"/>
  <c r="T449" i="11" s="1"/>
  <c r="H449" i="2"/>
  <c r="N449" i="2"/>
  <c r="O449" i="2"/>
  <c r="P449" i="2"/>
  <c r="R449" i="2"/>
  <c r="S449" i="2"/>
  <c r="Z449" i="2"/>
  <c r="AH449" i="2"/>
  <c r="AK449" i="11" s="1"/>
  <c r="AI449" i="2"/>
  <c r="AH449" i="11" s="1"/>
  <c r="BE449" i="2"/>
  <c r="G450" i="2"/>
  <c r="T450" i="11" s="1"/>
  <c r="H450" i="2"/>
  <c r="N450" i="2"/>
  <c r="O450" i="2"/>
  <c r="P450" i="2"/>
  <c r="R450" i="2"/>
  <c r="S450" i="2"/>
  <c r="Z450" i="2"/>
  <c r="AH450" i="2"/>
  <c r="AK450" i="11" s="1"/>
  <c r="AI450" i="2"/>
  <c r="AH450" i="11" s="1"/>
  <c r="BE450" i="2"/>
  <c r="G451" i="2"/>
  <c r="T451" i="11" s="1"/>
  <c r="H451" i="2"/>
  <c r="N451" i="2"/>
  <c r="O451" i="2"/>
  <c r="P451" i="2"/>
  <c r="R451" i="2"/>
  <c r="S451" i="2"/>
  <c r="Z451" i="2"/>
  <c r="AH451" i="2"/>
  <c r="AK451" i="11" s="1"/>
  <c r="AI451" i="2"/>
  <c r="AH451" i="11" s="1"/>
  <c r="BE451" i="2"/>
  <c r="G452" i="2"/>
  <c r="T452" i="11" s="1"/>
  <c r="H452" i="2"/>
  <c r="N452" i="2"/>
  <c r="O452" i="2"/>
  <c r="P452" i="2"/>
  <c r="R452" i="2"/>
  <c r="S452" i="2"/>
  <c r="Z452" i="2"/>
  <c r="AH452" i="2"/>
  <c r="AK452" i="11" s="1"/>
  <c r="AI452" i="2"/>
  <c r="AH452" i="11" s="1"/>
  <c r="BE452" i="2"/>
  <c r="G453" i="2"/>
  <c r="T453" i="11" s="1"/>
  <c r="H453" i="2"/>
  <c r="N453" i="2"/>
  <c r="O453" i="2"/>
  <c r="P453" i="2"/>
  <c r="R453" i="2"/>
  <c r="S453" i="2"/>
  <c r="Z453" i="2"/>
  <c r="AH453" i="2"/>
  <c r="AI453" i="2"/>
  <c r="AH453" i="11" s="1"/>
  <c r="BE453" i="2"/>
  <c r="G454" i="2"/>
  <c r="T454" i="11" s="1"/>
  <c r="H454" i="2"/>
  <c r="N454" i="2"/>
  <c r="O454" i="2"/>
  <c r="P454" i="2"/>
  <c r="R454" i="2"/>
  <c r="S454" i="2"/>
  <c r="Z454" i="2"/>
  <c r="AH454" i="2"/>
  <c r="AI454" i="2"/>
  <c r="AH454" i="11" s="1"/>
  <c r="BE454" i="2"/>
  <c r="G455" i="2"/>
  <c r="T455" i="11" s="1"/>
  <c r="H455" i="2"/>
  <c r="N455" i="2"/>
  <c r="O455" i="2"/>
  <c r="P455" i="2"/>
  <c r="R455" i="2"/>
  <c r="S455" i="2"/>
  <c r="Z455" i="2"/>
  <c r="AH455" i="2"/>
  <c r="AK455" i="11" s="1"/>
  <c r="AI455" i="2"/>
  <c r="AH455" i="11" s="1"/>
  <c r="BE455" i="2"/>
  <c r="G456" i="2"/>
  <c r="T456" i="11" s="1"/>
  <c r="H456" i="2"/>
  <c r="N456" i="2"/>
  <c r="O456" i="2"/>
  <c r="P456" i="2"/>
  <c r="R456" i="2"/>
  <c r="S456" i="2"/>
  <c r="Z456" i="2"/>
  <c r="AH456" i="2"/>
  <c r="AI456" i="2"/>
  <c r="AH456" i="11" s="1"/>
  <c r="BE456" i="2"/>
  <c r="G457" i="2"/>
  <c r="T457" i="11" s="1"/>
  <c r="H457" i="2"/>
  <c r="N457" i="2"/>
  <c r="O457" i="2"/>
  <c r="P457" i="2"/>
  <c r="R457" i="2"/>
  <c r="S457" i="2"/>
  <c r="Z457" i="2"/>
  <c r="AH457" i="2"/>
  <c r="AI457" i="2"/>
  <c r="AH457" i="11" s="1"/>
  <c r="BE457" i="2"/>
  <c r="G458" i="2"/>
  <c r="T458" i="11" s="1"/>
  <c r="H458" i="2"/>
  <c r="N458" i="2"/>
  <c r="O458" i="2"/>
  <c r="P458" i="2"/>
  <c r="R458" i="2"/>
  <c r="S458" i="2"/>
  <c r="Z458" i="2"/>
  <c r="AH458" i="2"/>
  <c r="AK458" i="11" s="1"/>
  <c r="AI458" i="2"/>
  <c r="AH458" i="11" s="1"/>
  <c r="BE458" i="2"/>
  <c r="G459" i="2"/>
  <c r="T459" i="11" s="1"/>
  <c r="H459" i="2"/>
  <c r="N459" i="2"/>
  <c r="O459" i="2"/>
  <c r="P459" i="2"/>
  <c r="R459" i="2"/>
  <c r="S459" i="2"/>
  <c r="Z459" i="2"/>
  <c r="AH459" i="2"/>
  <c r="AI459" i="2"/>
  <c r="AH459" i="11" s="1"/>
  <c r="BE459" i="2"/>
  <c r="G460" i="2"/>
  <c r="T460" i="11" s="1"/>
  <c r="H460" i="2"/>
  <c r="N460" i="2"/>
  <c r="O460" i="2"/>
  <c r="P460" i="2"/>
  <c r="R460" i="2"/>
  <c r="S460" i="2"/>
  <c r="Z460" i="2"/>
  <c r="AH460" i="2"/>
  <c r="AI460" i="2"/>
  <c r="AH460" i="11" s="1"/>
  <c r="BE460" i="2"/>
  <c r="G461" i="2"/>
  <c r="T461" i="11" s="1"/>
  <c r="H461" i="2"/>
  <c r="N461" i="2"/>
  <c r="O461" i="2"/>
  <c r="P461" i="2"/>
  <c r="R461" i="2"/>
  <c r="S461" i="2"/>
  <c r="Z461" i="2"/>
  <c r="AH461" i="2"/>
  <c r="AK461" i="11" s="1"/>
  <c r="AI461" i="2"/>
  <c r="AH461" i="11" s="1"/>
  <c r="BE461" i="2"/>
  <c r="G462" i="2"/>
  <c r="T462" i="11" s="1"/>
  <c r="H462" i="2"/>
  <c r="N462" i="2"/>
  <c r="O462" i="2"/>
  <c r="P462" i="2"/>
  <c r="R462" i="2"/>
  <c r="S462" i="2"/>
  <c r="Z462" i="2"/>
  <c r="AH462" i="2"/>
  <c r="AI462" i="2"/>
  <c r="AH462" i="11" s="1"/>
  <c r="BE462" i="2"/>
  <c r="G463" i="2"/>
  <c r="T463" i="11" s="1"/>
  <c r="H463" i="2"/>
  <c r="N463" i="2"/>
  <c r="O463" i="2"/>
  <c r="P463" i="2"/>
  <c r="R463" i="2"/>
  <c r="S463" i="2"/>
  <c r="Z463" i="2"/>
  <c r="AH463" i="2"/>
  <c r="AK463" i="11" s="1"/>
  <c r="AI463" i="2"/>
  <c r="AH463" i="11" s="1"/>
  <c r="BE463" i="2"/>
  <c r="G464" i="2"/>
  <c r="T464" i="11" s="1"/>
  <c r="H464" i="2"/>
  <c r="N464" i="2"/>
  <c r="O464" i="2"/>
  <c r="P464" i="2"/>
  <c r="R464" i="2"/>
  <c r="S464" i="2"/>
  <c r="Z464" i="2"/>
  <c r="AH464" i="2"/>
  <c r="AK464" i="11" s="1"/>
  <c r="AI464" i="2"/>
  <c r="AH464" i="11" s="1"/>
  <c r="BE464" i="2"/>
  <c r="G465" i="2"/>
  <c r="T465" i="11" s="1"/>
  <c r="H465" i="2"/>
  <c r="N465" i="2"/>
  <c r="O465" i="2"/>
  <c r="P465" i="2"/>
  <c r="R465" i="2"/>
  <c r="S465" i="2"/>
  <c r="Z465" i="2"/>
  <c r="AH465" i="2"/>
  <c r="AI465" i="2"/>
  <c r="AH465" i="11" s="1"/>
  <c r="BE465" i="2"/>
  <c r="G466" i="2"/>
  <c r="T466" i="11" s="1"/>
  <c r="H466" i="2"/>
  <c r="N466" i="2"/>
  <c r="O466" i="2"/>
  <c r="P466" i="2"/>
  <c r="R466" i="2"/>
  <c r="S466" i="2"/>
  <c r="Z466" i="2"/>
  <c r="AH466" i="2"/>
  <c r="AK466" i="11" s="1"/>
  <c r="AI466" i="2"/>
  <c r="AH466" i="11" s="1"/>
  <c r="BE466" i="2"/>
  <c r="G467" i="2"/>
  <c r="T467" i="11" s="1"/>
  <c r="H467" i="2"/>
  <c r="N467" i="2"/>
  <c r="O467" i="2"/>
  <c r="P467" i="2"/>
  <c r="R467" i="2"/>
  <c r="S467" i="2"/>
  <c r="Z467" i="2"/>
  <c r="AH467" i="2"/>
  <c r="AK467" i="11" s="1"/>
  <c r="AI467" i="2"/>
  <c r="AH467" i="11" s="1"/>
  <c r="BE467" i="2"/>
  <c r="G468" i="2"/>
  <c r="T468" i="11" s="1"/>
  <c r="H468" i="2"/>
  <c r="N468" i="2"/>
  <c r="O468" i="2"/>
  <c r="P468" i="2"/>
  <c r="R468" i="2"/>
  <c r="S468" i="2"/>
  <c r="Z468" i="2"/>
  <c r="AH468" i="2"/>
  <c r="AI468" i="2"/>
  <c r="AH468" i="11" s="1"/>
  <c r="BE468" i="2"/>
  <c r="G469" i="2"/>
  <c r="T469" i="11" s="1"/>
  <c r="H469" i="2"/>
  <c r="N469" i="2"/>
  <c r="O469" i="2"/>
  <c r="P469" i="2"/>
  <c r="R469" i="2"/>
  <c r="S469" i="2"/>
  <c r="Z469" i="2"/>
  <c r="AH469" i="2"/>
  <c r="AI469" i="2"/>
  <c r="AH469" i="11" s="1"/>
  <c r="BE469" i="2"/>
  <c r="G470" i="2"/>
  <c r="T470" i="11" s="1"/>
  <c r="H470" i="2"/>
  <c r="N470" i="2"/>
  <c r="O470" i="2"/>
  <c r="P470" i="2"/>
  <c r="R470" i="2"/>
  <c r="S470" i="2"/>
  <c r="Z470" i="2"/>
  <c r="AH470" i="2"/>
  <c r="AI470" i="2"/>
  <c r="AH470" i="11" s="1"/>
  <c r="BE470" i="2"/>
  <c r="G471" i="2"/>
  <c r="T471" i="11" s="1"/>
  <c r="H471" i="2"/>
  <c r="N471" i="2"/>
  <c r="O471" i="2"/>
  <c r="P471" i="2"/>
  <c r="R471" i="2"/>
  <c r="S471" i="2"/>
  <c r="Z471" i="2"/>
  <c r="AH471" i="2"/>
  <c r="AI471" i="2"/>
  <c r="AH471" i="11" s="1"/>
  <c r="BE471" i="2"/>
  <c r="G472" i="2"/>
  <c r="T472" i="11" s="1"/>
  <c r="H472" i="2"/>
  <c r="N472" i="2"/>
  <c r="O472" i="2"/>
  <c r="P472" i="2"/>
  <c r="R472" i="2"/>
  <c r="S472" i="2"/>
  <c r="Z472" i="2"/>
  <c r="AH472" i="2"/>
  <c r="AI472" i="2"/>
  <c r="AH472" i="11" s="1"/>
  <c r="BE472" i="2"/>
  <c r="G473" i="2"/>
  <c r="T473" i="11" s="1"/>
  <c r="H473" i="2"/>
  <c r="N473" i="2"/>
  <c r="O473" i="2"/>
  <c r="P473" i="2"/>
  <c r="R473" i="2"/>
  <c r="S473" i="2"/>
  <c r="Z473" i="2"/>
  <c r="AH473" i="2"/>
  <c r="AK473" i="11" s="1"/>
  <c r="AI473" i="2"/>
  <c r="AH473" i="11" s="1"/>
  <c r="BE473" i="2"/>
  <c r="G474" i="2"/>
  <c r="T474" i="11" s="1"/>
  <c r="H474" i="2"/>
  <c r="N474" i="2"/>
  <c r="O474" i="2"/>
  <c r="P474" i="2"/>
  <c r="R474" i="2"/>
  <c r="S474" i="2"/>
  <c r="Z474" i="2"/>
  <c r="AH474" i="2"/>
  <c r="AK474" i="11" s="1"/>
  <c r="AI474" i="2"/>
  <c r="AH474" i="11" s="1"/>
  <c r="BE474" i="2"/>
  <c r="G475" i="2"/>
  <c r="T475" i="11" s="1"/>
  <c r="H475" i="2"/>
  <c r="N475" i="2"/>
  <c r="O475" i="2"/>
  <c r="P475" i="2"/>
  <c r="R475" i="2"/>
  <c r="S475" i="2"/>
  <c r="Z475" i="2"/>
  <c r="AH475" i="2"/>
  <c r="AK475" i="11" s="1"/>
  <c r="AI475" i="2"/>
  <c r="AH475" i="11" s="1"/>
  <c r="BE475" i="2"/>
  <c r="G476" i="2"/>
  <c r="T476" i="11" s="1"/>
  <c r="H476" i="2"/>
  <c r="N476" i="2"/>
  <c r="O476" i="2"/>
  <c r="P476" i="2"/>
  <c r="R476" i="2"/>
  <c r="S476" i="2"/>
  <c r="Z476" i="2"/>
  <c r="AH476" i="2"/>
  <c r="AK476" i="11" s="1"/>
  <c r="AI476" i="2"/>
  <c r="AH476" i="11" s="1"/>
  <c r="BE476" i="2"/>
  <c r="G477" i="2"/>
  <c r="T477" i="11" s="1"/>
  <c r="H477" i="2"/>
  <c r="N477" i="2"/>
  <c r="O477" i="2"/>
  <c r="P477" i="2"/>
  <c r="R477" i="2"/>
  <c r="S477" i="2"/>
  <c r="Z477" i="2"/>
  <c r="AH477" i="2"/>
  <c r="AI477" i="2"/>
  <c r="AH477" i="11" s="1"/>
  <c r="BE477" i="2"/>
  <c r="G478" i="2"/>
  <c r="T478" i="11" s="1"/>
  <c r="H478" i="2"/>
  <c r="N478" i="2"/>
  <c r="O478" i="2"/>
  <c r="P478" i="2"/>
  <c r="R478" i="2"/>
  <c r="S478" i="2"/>
  <c r="Z478" i="2"/>
  <c r="AH478" i="2"/>
  <c r="AI478" i="2"/>
  <c r="AH478" i="11" s="1"/>
  <c r="BE478" i="2"/>
  <c r="G479" i="2"/>
  <c r="T479" i="11" s="1"/>
  <c r="H479" i="2"/>
  <c r="N479" i="2"/>
  <c r="O479" i="2"/>
  <c r="P479" i="2"/>
  <c r="R479" i="2"/>
  <c r="S479" i="2"/>
  <c r="Z479" i="2"/>
  <c r="AH479" i="2"/>
  <c r="AK479" i="11" s="1"/>
  <c r="AI479" i="2"/>
  <c r="AH479" i="11" s="1"/>
  <c r="BE479" i="2"/>
  <c r="G480" i="2"/>
  <c r="T480" i="11" s="1"/>
  <c r="H480" i="2"/>
  <c r="N480" i="2"/>
  <c r="O480" i="2"/>
  <c r="P480" i="2"/>
  <c r="R480" i="2"/>
  <c r="S480" i="2"/>
  <c r="Z480" i="2"/>
  <c r="AH480" i="2"/>
  <c r="AI480" i="2"/>
  <c r="AH480" i="11" s="1"/>
  <c r="BE480" i="2"/>
  <c r="G481" i="2"/>
  <c r="T481" i="11" s="1"/>
  <c r="H481" i="2"/>
  <c r="N481" i="2"/>
  <c r="O481" i="2"/>
  <c r="P481" i="2"/>
  <c r="R481" i="2"/>
  <c r="S481" i="2"/>
  <c r="Z481" i="2"/>
  <c r="AH481" i="2"/>
  <c r="AI481" i="2"/>
  <c r="AH481" i="11" s="1"/>
  <c r="BE481" i="2"/>
  <c r="G482" i="2"/>
  <c r="T482" i="11" s="1"/>
  <c r="H482" i="2"/>
  <c r="N482" i="2"/>
  <c r="O482" i="2"/>
  <c r="P482" i="2"/>
  <c r="R482" i="2"/>
  <c r="S482" i="2"/>
  <c r="Z482" i="2"/>
  <c r="AH482" i="2"/>
  <c r="AK482" i="11" s="1"/>
  <c r="AI482" i="2"/>
  <c r="AH482" i="11" s="1"/>
  <c r="BE482" i="2"/>
  <c r="G483" i="2"/>
  <c r="T483" i="11" s="1"/>
  <c r="H483" i="2"/>
  <c r="N483" i="2"/>
  <c r="O483" i="2"/>
  <c r="P483" i="2"/>
  <c r="R483" i="2"/>
  <c r="S483" i="2"/>
  <c r="Z483" i="2"/>
  <c r="AH483" i="2"/>
  <c r="AI483" i="2"/>
  <c r="AH483" i="11" s="1"/>
  <c r="BE483" i="2"/>
  <c r="G484" i="2"/>
  <c r="T484" i="11" s="1"/>
  <c r="H484" i="2"/>
  <c r="N484" i="2"/>
  <c r="O484" i="2"/>
  <c r="P484" i="2"/>
  <c r="R484" i="2"/>
  <c r="S484" i="2"/>
  <c r="Z484" i="2"/>
  <c r="AH484" i="2"/>
  <c r="AI484" i="2"/>
  <c r="AH484" i="11" s="1"/>
  <c r="BE484" i="2"/>
  <c r="S20" i="5"/>
  <c r="AK484" i="11" l="1"/>
  <c r="AK472" i="11"/>
  <c r="AK460" i="11"/>
  <c r="AK448" i="11"/>
  <c r="AK436" i="11"/>
  <c r="AK424" i="11"/>
  <c r="AK412" i="11"/>
  <c r="AK400" i="11"/>
  <c r="AK388" i="11"/>
  <c r="AK376" i="11"/>
  <c r="AK465" i="11"/>
  <c r="AK453" i="11"/>
  <c r="AK417" i="11"/>
  <c r="AK393" i="11"/>
  <c r="AK456" i="11"/>
  <c r="AK444" i="11"/>
  <c r="AK432" i="11"/>
  <c r="AK420" i="11"/>
  <c r="AK396" i="11"/>
  <c r="AK372" i="11"/>
  <c r="AK481" i="11"/>
  <c r="AK445" i="11"/>
  <c r="AK409" i="11"/>
  <c r="AK373" i="11"/>
  <c r="AK365" i="11"/>
  <c r="AK477" i="11"/>
  <c r="AK441" i="11"/>
  <c r="AK429" i="11"/>
  <c r="AK405" i="11"/>
  <c r="AK381" i="11"/>
  <c r="AK369" i="11"/>
  <c r="AK480" i="11"/>
  <c r="AK468" i="11"/>
  <c r="AK408" i="11"/>
  <c r="AK384" i="11"/>
  <c r="AK469" i="11"/>
  <c r="AK457" i="11"/>
  <c r="AK433" i="11"/>
  <c r="AK421" i="11"/>
  <c r="AK397" i="11"/>
  <c r="AK385" i="11"/>
  <c r="AK483" i="11"/>
  <c r="AK471" i="11"/>
  <c r="AK459" i="11"/>
  <c r="AK447" i="11"/>
  <c r="AK435" i="11"/>
  <c r="AK423" i="11"/>
  <c r="AK411" i="11"/>
  <c r="AK399" i="11"/>
  <c r="AK387" i="11"/>
  <c r="AK375" i="11"/>
  <c r="BE448" i="7"/>
  <c r="AZ448" i="7"/>
  <c r="BE432" i="7"/>
  <c r="AZ432" i="7"/>
  <c r="BE424" i="7"/>
  <c r="AZ424" i="7"/>
  <c r="BE384" i="7"/>
  <c r="AZ384" i="7"/>
  <c r="BE368" i="7"/>
  <c r="AZ368" i="7"/>
  <c r="BE473" i="7"/>
  <c r="AZ473" i="7"/>
  <c r="BE465" i="7"/>
  <c r="AZ465" i="7"/>
  <c r="BE457" i="7"/>
  <c r="AZ457" i="7"/>
  <c r="BE449" i="7"/>
  <c r="AZ449" i="7"/>
  <c r="BE377" i="7"/>
  <c r="AZ377" i="7"/>
  <c r="BE479" i="7"/>
  <c r="AZ479" i="7"/>
  <c r="BE471" i="7"/>
  <c r="AZ471" i="7"/>
  <c r="BE463" i="7"/>
  <c r="AZ463" i="7"/>
  <c r="BE455" i="7"/>
  <c r="AZ455" i="7"/>
  <c r="BE447" i="7"/>
  <c r="AZ447" i="7"/>
  <c r="BE439" i="7"/>
  <c r="AZ439" i="7"/>
  <c r="BE431" i="7"/>
  <c r="AZ431" i="7"/>
  <c r="BE423" i="7"/>
  <c r="AZ423" i="7"/>
  <c r="BE415" i="7"/>
  <c r="AZ415" i="7"/>
  <c r="BE407" i="7"/>
  <c r="AZ407" i="7"/>
  <c r="BE399" i="7"/>
  <c r="AZ399" i="7"/>
  <c r="BE391" i="7"/>
  <c r="AZ391" i="7"/>
  <c r="BE383" i="7"/>
  <c r="AZ383" i="7"/>
  <c r="BE375" i="7"/>
  <c r="AZ375" i="7"/>
  <c r="BE367" i="7"/>
  <c r="AZ367" i="7"/>
  <c r="BE464" i="7"/>
  <c r="AZ464" i="7"/>
  <c r="BE408" i="7"/>
  <c r="AZ408" i="7"/>
  <c r="BE393" i="7"/>
  <c r="AZ393" i="7"/>
  <c r="BE482" i="7"/>
  <c r="AZ482" i="7"/>
  <c r="BE474" i="7"/>
  <c r="AZ474" i="7"/>
  <c r="BE466" i="7"/>
  <c r="AZ466" i="7"/>
  <c r="BE458" i="7"/>
  <c r="AZ458" i="7"/>
  <c r="BE450" i="7"/>
  <c r="AZ450" i="7"/>
  <c r="BE442" i="7"/>
  <c r="AZ442" i="7"/>
  <c r="BE434" i="7"/>
  <c r="AZ434" i="7"/>
  <c r="BE426" i="7"/>
  <c r="AZ426" i="7"/>
  <c r="BE418" i="7"/>
  <c r="AZ418" i="7"/>
  <c r="BE410" i="7"/>
  <c r="AZ410" i="7"/>
  <c r="BE402" i="7"/>
  <c r="AZ402" i="7"/>
  <c r="BE394" i="7"/>
  <c r="AZ394" i="7"/>
  <c r="BE386" i="7"/>
  <c r="AZ386" i="7"/>
  <c r="BE378" i="7"/>
  <c r="AZ378" i="7"/>
  <c r="BE370" i="7"/>
  <c r="AZ370" i="7"/>
  <c r="BE481" i="7"/>
  <c r="AZ481" i="7"/>
  <c r="BE441" i="7"/>
  <c r="AZ441" i="7"/>
  <c r="BE409" i="7"/>
  <c r="AZ409" i="7"/>
  <c r="BE483" i="7"/>
  <c r="AZ483" i="7"/>
  <c r="BE475" i="7"/>
  <c r="AZ475" i="7"/>
  <c r="BE467" i="7"/>
  <c r="AZ467" i="7"/>
  <c r="BE459" i="7"/>
  <c r="AZ459" i="7"/>
  <c r="BE451" i="7"/>
  <c r="AZ451" i="7"/>
  <c r="BE443" i="7"/>
  <c r="AZ443" i="7"/>
  <c r="BE435" i="7"/>
  <c r="AZ435" i="7"/>
  <c r="BE427" i="7"/>
  <c r="AZ427" i="7"/>
  <c r="BE419" i="7"/>
  <c r="AZ419" i="7"/>
  <c r="BE411" i="7"/>
  <c r="AZ411" i="7"/>
  <c r="BE403" i="7"/>
  <c r="AZ403" i="7"/>
  <c r="BE395" i="7"/>
  <c r="AZ395" i="7"/>
  <c r="BE387" i="7"/>
  <c r="AZ387" i="7"/>
  <c r="BE379" i="7"/>
  <c r="AZ379" i="7"/>
  <c r="BE371" i="7"/>
  <c r="AZ371" i="7"/>
  <c r="BE416" i="7"/>
  <c r="AZ416" i="7"/>
  <c r="BE433" i="7"/>
  <c r="AZ433" i="7"/>
  <c r="BE417" i="7"/>
  <c r="AZ417" i="7"/>
  <c r="BE401" i="7"/>
  <c r="AZ401" i="7"/>
  <c r="AK478" i="11"/>
  <c r="AK470" i="11"/>
  <c r="AK462" i="11"/>
  <c r="AK454" i="11"/>
  <c r="AK446" i="11"/>
  <c r="AK438" i="11"/>
  <c r="AK430" i="11"/>
  <c r="AK422" i="11"/>
  <c r="AK414" i="11"/>
  <c r="AK406" i="11"/>
  <c r="AK398" i="11"/>
  <c r="AK390" i="11"/>
  <c r="AK382" i="11"/>
  <c r="AK374" i="11"/>
  <c r="AK366" i="11"/>
  <c r="BE484" i="7"/>
  <c r="AZ484" i="7"/>
  <c r="BE476" i="7"/>
  <c r="AZ476" i="7"/>
  <c r="BE468" i="7"/>
  <c r="AZ468" i="7"/>
  <c r="BE460" i="7"/>
  <c r="AZ460" i="7"/>
  <c r="BE452" i="7"/>
  <c r="AZ452" i="7"/>
  <c r="BE444" i="7"/>
  <c r="AZ444" i="7"/>
  <c r="BE436" i="7"/>
  <c r="AZ436" i="7"/>
  <c r="BE428" i="7"/>
  <c r="AZ428" i="7"/>
  <c r="BE420" i="7"/>
  <c r="AZ420" i="7"/>
  <c r="BE412" i="7"/>
  <c r="AZ412" i="7"/>
  <c r="BE404" i="7"/>
  <c r="AZ404" i="7"/>
  <c r="BE396" i="7"/>
  <c r="AZ396" i="7"/>
  <c r="BE388" i="7"/>
  <c r="AZ388" i="7"/>
  <c r="BE380" i="7"/>
  <c r="AZ380" i="7"/>
  <c r="BE372" i="7"/>
  <c r="AZ372" i="7"/>
  <c r="BE440" i="7"/>
  <c r="AZ440" i="7"/>
  <c r="BE400" i="7"/>
  <c r="AZ400" i="7"/>
  <c r="BE376" i="7"/>
  <c r="AZ376" i="7"/>
  <c r="BE477" i="7"/>
  <c r="AZ477" i="7"/>
  <c r="BE469" i="7"/>
  <c r="AZ469" i="7"/>
  <c r="BE461" i="7"/>
  <c r="AZ461" i="7"/>
  <c r="BE453" i="7"/>
  <c r="AZ453" i="7"/>
  <c r="BE445" i="7"/>
  <c r="AZ445" i="7"/>
  <c r="BE437" i="7"/>
  <c r="AZ437" i="7"/>
  <c r="BE429" i="7"/>
  <c r="AZ429" i="7"/>
  <c r="BE421" i="7"/>
  <c r="AZ421" i="7"/>
  <c r="BE413" i="7"/>
  <c r="AZ413" i="7"/>
  <c r="BE405" i="7"/>
  <c r="AZ405" i="7"/>
  <c r="BE397" i="7"/>
  <c r="AZ397" i="7"/>
  <c r="BE389" i="7"/>
  <c r="AZ389" i="7"/>
  <c r="BE381" i="7"/>
  <c r="AZ381" i="7"/>
  <c r="BE373" i="7"/>
  <c r="AZ373" i="7"/>
  <c r="BE365" i="7"/>
  <c r="AZ365" i="7"/>
  <c r="BE480" i="7"/>
  <c r="AZ480" i="7"/>
  <c r="BE472" i="7"/>
  <c r="AZ472" i="7"/>
  <c r="BE456" i="7"/>
  <c r="AZ456" i="7"/>
  <c r="BE392" i="7"/>
  <c r="AZ392" i="7"/>
  <c r="BE425" i="7"/>
  <c r="AZ425" i="7"/>
  <c r="BE385" i="7"/>
  <c r="AZ385" i="7"/>
  <c r="BE369" i="7"/>
  <c r="AZ369" i="7"/>
  <c r="BE478" i="7"/>
  <c r="AZ478" i="7"/>
  <c r="BE470" i="7"/>
  <c r="AZ470" i="7"/>
  <c r="BE462" i="7"/>
  <c r="AZ462" i="7"/>
  <c r="BE454" i="7"/>
  <c r="AZ454" i="7"/>
  <c r="BE446" i="7"/>
  <c r="AZ446" i="7"/>
  <c r="BE438" i="7"/>
  <c r="AZ438" i="7"/>
  <c r="BE430" i="7"/>
  <c r="AZ430" i="7"/>
  <c r="BE422" i="7"/>
  <c r="AZ422" i="7"/>
  <c r="BE414" i="7"/>
  <c r="AZ414" i="7"/>
  <c r="BE406" i="7"/>
  <c r="AZ406" i="7"/>
  <c r="BE398" i="7"/>
  <c r="AZ398" i="7"/>
  <c r="BE390" i="7"/>
  <c r="AZ390" i="7"/>
  <c r="BE382" i="7"/>
  <c r="AZ382" i="7"/>
  <c r="BE374" i="7"/>
  <c r="AZ374" i="7"/>
  <c r="BE366" i="7"/>
  <c r="AZ366" i="7"/>
  <c r="CA484" i="11"/>
  <c r="AU39" i="20" s="1"/>
  <c r="CA472" i="11"/>
  <c r="AT39" i="20" s="1"/>
  <c r="CA460" i="11"/>
  <c r="AS39" i="20" s="1"/>
  <c r="CA448" i="11"/>
  <c r="AR39" i="20" s="1"/>
  <c r="CA436" i="11"/>
  <c r="AQ39" i="20" s="1"/>
  <c r="CA424" i="11"/>
  <c r="AP39" i="20" s="1"/>
  <c r="CA412" i="11"/>
  <c r="AO39" i="20" s="1"/>
  <c r="CA400" i="11"/>
  <c r="AN39" i="20" s="1"/>
  <c r="CA388" i="11"/>
  <c r="AM39" i="20" s="1"/>
  <c r="CA376" i="11"/>
  <c r="AL39" i="20" s="1"/>
  <c r="BZ484" i="11"/>
  <c r="AU38" i="20" s="1"/>
  <c r="BZ472" i="11"/>
  <c r="AT38" i="20" s="1"/>
  <c r="BZ460" i="11"/>
  <c r="AS38" i="20" s="1"/>
  <c r="BZ448" i="11"/>
  <c r="AR38" i="20" s="1"/>
  <c r="BZ436" i="11"/>
  <c r="AQ38" i="20" s="1"/>
  <c r="BZ424" i="11"/>
  <c r="AP38" i="20" s="1"/>
  <c r="BZ412" i="11"/>
  <c r="AO38" i="20" s="1"/>
  <c r="BZ400" i="11"/>
  <c r="AN38" i="20" s="1"/>
  <c r="BZ388" i="11"/>
  <c r="AM38" i="20" s="1"/>
  <c r="BZ376" i="11"/>
  <c r="AL38" i="20" s="1"/>
  <c r="BY484" i="11"/>
  <c r="AU37" i="20" s="1"/>
  <c r="BY472" i="11"/>
  <c r="AT37" i="20" s="1"/>
  <c r="BY460" i="11"/>
  <c r="AS37" i="20" s="1"/>
  <c r="BY448" i="11"/>
  <c r="AR37" i="20" s="1"/>
  <c r="BY436" i="11"/>
  <c r="AQ37" i="20" s="1"/>
  <c r="BY424" i="11"/>
  <c r="AP37" i="20" s="1"/>
  <c r="BY412" i="11"/>
  <c r="AO37" i="20" s="1"/>
  <c r="BY400" i="11"/>
  <c r="AN37" i="20" s="1"/>
  <c r="BY388" i="11"/>
  <c r="AM37" i="20" s="1"/>
  <c r="BY376" i="11"/>
  <c r="AL37" i="20" s="1"/>
  <c r="BQ376" i="11"/>
  <c r="AL24" i="20" s="1"/>
  <c r="BQ484" i="11"/>
  <c r="AU24" i="20" s="1"/>
  <c r="BQ460" i="11"/>
  <c r="AS24" i="20" s="1"/>
  <c r="BQ436" i="11"/>
  <c r="AQ24" i="20" s="1"/>
  <c r="BQ412" i="11"/>
  <c r="AO24" i="20" s="1"/>
  <c r="BQ472" i="11"/>
  <c r="AT24" i="20" s="1"/>
  <c r="BQ448" i="11"/>
  <c r="AR24" i="20" s="1"/>
  <c r="BQ424" i="11"/>
  <c r="AP24" i="20" s="1"/>
  <c r="BQ388" i="11"/>
  <c r="AM24" i="20" s="1"/>
  <c r="BQ400" i="11"/>
  <c r="AN24" i="20" s="1"/>
  <c r="AO477" i="2"/>
  <c r="BC477" i="2" s="1"/>
  <c r="AO469" i="2"/>
  <c r="BC469" i="2" s="1"/>
  <c r="AO461" i="2"/>
  <c r="BC461" i="2" s="1"/>
  <c r="AO453" i="2"/>
  <c r="BC453" i="2" s="1"/>
  <c r="AO445" i="2"/>
  <c r="BC445" i="2" s="1"/>
  <c r="AO437" i="2"/>
  <c r="BC437" i="2" s="1"/>
  <c r="AO429" i="2"/>
  <c r="BC429" i="2" s="1"/>
  <c r="AO421" i="2"/>
  <c r="BC421" i="2" s="1"/>
  <c r="AO413" i="2"/>
  <c r="BC413" i="2" s="1"/>
  <c r="AO405" i="2"/>
  <c r="BC405" i="2" s="1"/>
  <c r="AO397" i="2"/>
  <c r="BC397" i="2" s="1"/>
  <c r="AO389" i="2"/>
  <c r="BC389" i="2" s="1"/>
  <c r="AO381" i="2"/>
  <c r="BC381" i="2" s="1"/>
  <c r="AO370" i="2"/>
  <c r="BC370" i="2" s="1"/>
  <c r="AO480" i="2"/>
  <c r="BC480" i="2" s="1"/>
  <c r="AO472" i="2"/>
  <c r="BC472" i="2" s="1"/>
  <c r="AO464" i="2"/>
  <c r="BC464" i="2" s="1"/>
  <c r="AO456" i="2"/>
  <c r="BC456" i="2" s="1"/>
  <c r="AO448" i="2"/>
  <c r="BC448" i="2" s="1"/>
  <c r="AO440" i="2"/>
  <c r="BC440" i="2" s="1"/>
  <c r="AO432" i="2"/>
  <c r="BC432" i="2" s="1"/>
  <c r="AO424" i="2"/>
  <c r="BC424" i="2" s="1"/>
  <c r="AO416" i="2"/>
  <c r="BC416" i="2" s="1"/>
  <c r="AO408" i="2"/>
  <c r="BC408" i="2" s="1"/>
  <c r="AO400" i="2"/>
  <c r="BC400" i="2" s="1"/>
  <c r="AO392" i="2"/>
  <c r="BC392" i="2" s="1"/>
  <c r="AO384" i="2"/>
  <c r="BC384" i="2" s="1"/>
  <c r="AO373" i="2"/>
  <c r="BC373" i="2" s="1"/>
  <c r="AO483" i="2"/>
  <c r="BC483" i="2" s="1"/>
  <c r="AO475" i="2"/>
  <c r="BC475" i="2" s="1"/>
  <c r="AO467" i="2"/>
  <c r="BC467" i="2" s="1"/>
  <c r="AO459" i="2"/>
  <c r="BC459" i="2" s="1"/>
  <c r="AO451" i="2"/>
  <c r="BC451" i="2" s="1"/>
  <c r="AO443" i="2"/>
  <c r="BC443" i="2" s="1"/>
  <c r="AO435" i="2"/>
  <c r="BC435" i="2" s="1"/>
  <c r="AO427" i="2"/>
  <c r="BC427" i="2" s="1"/>
  <c r="AO419" i="2"/>
  <c r="BC419" i="2" s="1"/>
  <c r="AO411" i="2"/>
  <c r="BC411" i="2" s="1"/>
  <c r="AO403" i="2"/>
  <c r="BC403" i="2" s="1"/>
  <c r="AO395" i="2"/>
  <c r="BC395" i="2" s="1"/>
  <c r="AO387" i="2"/>
  <c r="BC387" i="2" s="1"/>
  <c r="AO379" i="2"/>
  <c r="BC379" i="2" s="1"/>
  <c r="AO376" i="2"/>
  <c r="BC376" i="2" s="1"/>
  <c r="AO368" i="2"/>
  <c r="BC368" i="2" s="1"/>
  <c r="AO365" i="2"/>
  <c r="BC365" i="2" s="1"/>
  <c r="AO478" i="2"/>
  <c r="BC478" i="2" s="1"/>
  <c r="AO470" i="2"/>
  <c r="AO462" i="2"/>
  <c r="BC462" i="2" s="1"/>
  <c r="AO454" i="2"/>
  <c r="BC454" i="2" s="1"/>
  <c r="AO446" i="2"/>
  <c r="BC446" i="2" s="1"/>
  <c r="AO438" i="2"/>
  <c r="BC438" i="2" s="1"/>
  <c r="AO430" i="2"/>
  <c r="BC430" i="2" s="1"/>
  <c r="AO422" i="2"/>
  <c r="BC422" i="2" s="1"/>
  <c r="AO414" i="2"/>
  <c r="BC414" i="2" s="1"/>
  <c r="AO406" i="2"/>
  <c r="BC406" i="2" s="1"/>
  <c r="AO398" i="2"/>
  <c r="BC398" i="2" s="1"/>
  <c r="AO390" i="2"/>
  <c r="BC390" i="2" s="1"/>
  <c r="AO382" i="2"/>
  <c r="BC382" i="2" s="1"/>
  <c r="AO371" i="2"/>
  <c r="BC371" i="2" s="1"/>
  <c r="AO481" i="2"/>
  <c r="BC481" i="2" s="1"/>
  <c r="AO473" i="2"/>
  <c r="BC473" i="2" s="1"/>
  <c r="AO465" i="2"/>
  <c r="BC465" i="2" s="1"/>
  <c r="AO457" i="2"/>
  <c r="BC457" i="2" s="1"/>
  <c r="AO449" i="2"/>
  <c r="BC449" i="2" s="1"/>
  <c r="AO441" i="2"/>
  <c r="BC441" i="2" s="1"/>
  <c r="AO433" i="2"/>
  <c r="BC433" i="2" s="1"/>
  <c r="AO425" i="2"/>
  <c r="BC425" i="2" s="1"/>
  <c r="AO417" i="2"/>
  <c r="BC417" i="2" s="1"/>
  <c r="AO409" i="2"/>
  <c r="BC409" i="2" s="1"/>
  <c r="AO401" i="2"/>
  <c r="BC401" i="2" s="1"/>
  <c r="AO393" i="2"/>
  <c r="BC393" i="2" s="1"/>
  <c r="AO385" i="2"/>
  <c r="BC385" i="2" s="1"/>
  <c r="AO374" i="2"/>
  <c r="BC374" i="2" s="1"/>
  <c r="AO366" i="2"/>
  <c r="BC366" i="2" s="1"/>
  <c r="AO484" i="2"/>
  <c r="BC484" i="2" s="1"/>
  <c r="AO476" i="2"/>
  <c r="BC476" i="2" s="1"/>
  <c r="AO468" i="2"/>
  <c r="BC468" i="2" s="1"/>
  <c r="AO460" i="2"/>
  <c r="BC460" i="2" s="1"/>
  <c r="AO452" i="2"/>
  <c r="BC452" i="2" s="1"/>
  <c r="AO444" i="2"/>
  <c r="BC444" i="2" s="1"/>
  <c r="AO436" i="2"/>
  <c r="BC436" i="2" s="1"/>
  <c r="AO428" i="2"/>
  <c r="BC428" i="2" s="1"/>
  <c r="AO420" i="2"/>
  <c r="BC420" i="2" s="1"/>
  <c r="AO412" i="2"/>
  <c r="BC412" i="2" s="1"/>
  <c r="AO404" i="2"/>
  <c r="BC404" i="2" s="1"/>
  <c r="AO396" i="2"/>
  <c r="BC396" i="2" s="1"/>
  <c r="AO388" i="2"/>
  <c r="BC388" i="2" s="1"/>
  <c r="AO380" i="2"/>
  <c r="BC380" i="2" s="1"/>
  <c r="AO369" i="2"/>
  <c r="BC369" i="2" s="1"/>
  <c r="AO479" i="2"/>
  <c r="BC479" i="2" s="1"/>
  <c r="AO471" i="2"/>
  <c r="BC471" i="2" s="1"/>
  <c r="AO463" i="2"/>
  <c r="BC463" i="2" s="1"/>
  <c r="AO455" i="2"/>
  <c r="BC455" i="2" s="1"/>
  <c r="AO447" i="2"/>
  <c r="BC447" i="2" s="1"/>
  <c r="AO439" i="2"/>
  <c r="BC439" i="2" s="1"/>
  <c r="AO431" i="2"/>
  <c r="BC431" i="2" s="1"/>
  <c r="AO423" i="2"/>
  <c r="BC423" i="2" s="1"/>
  <c r="AO415" i="2"/>
  <c r="BC415" i="2" s="1"/>
  <c r="AO407" i="2"/>
  <c r="BC407" i="2" s="1"/>
  <c r="AO399" i="2"/>
  <c r="BC399" i="2" s="1"/>
  <c r="AO391" i="2"/>
  <c r="BC391" i="2" s="1"/>
  <c r="AO383" i="2"/>
  <c r="BC383" i="2" s="1"/>
  <c r="AO372" i="2"/>
  <c r="BC372" i="2" s="1"/>
  <c r="AO482" i="2"/>
  <c r="BC482" i="2" s="1"/>
  <c r="AO474" i="2"/>
  <c r="BC474" i="2" s="1"/>
  <c r="AO466" i="2"/>
  <c r="BC466" i="2" s="1"/>
  <c r="AO458" i="2"/>
  <c r="BC458" i="2" s="1"/>
  <c r="AO450" i="2"/>
  <c r="BC450" i="2" s="1"/>
  <c r="AO442" i="2"/>
  <c r="BC442" i="2" s="1"/>
  <c r="AO434" i="2"/>
  <c r="BC434" i="2" s="1"/>
  <c r="AO426" i="2"/>
  <c r="BC426" i="2" s="1"/>
  <c r="AO418" i="2"/>
  <c r="BC418" i="2" s="1"/>
  <c r="AO410" i="2"/>
  <c r="BC410" i="2" s="1"/>
  <c r="AO402" i="2"/>
  <c r="BC402" i="2" s="1"/>
  <c r="AO394" i="2"/>
  <c r="BC394" i="2" s="1"/>
  <c r="AO386" i="2"/>
  <c r="BC386" i="2" s="1"/>
  <c r="AO378" i="2"/>
  <c r="BC378" i="2" s="1"/>
  <c r="AO375" i="2"/>
  <c r="BC375" i="2" s="1"/>
  <c r="AO367" i="2"/>
  <c r="BC367" i="2" s="1"/>
  <c r="BC472" i="11"/>
  <c r="AT33" i="20" s="1"/>
  <c r="BC424" i="11"/>
  <c r="AP33" i="20" s="1"/>
  <c r="BC376" i="11"/>
  <c r="AL33" i="20" s="1"/>
  <c r="BC448" i="11"/>
  <c r="AR33" i="20" s="1"/>
  <c r="BC400" i="11"/>
  <c r="AN33" i="20" s="1"/>
  <c r="BC484" i="11"/>
  <c r="AU33" i="20" s="1"/>
  <c r="BC460" i="11"/>
  <c r="AS33" i="20" s="1"/>
  <c r="BC436" i="11"/>
  <c r="AQ33" i="20" s="1"/>
  <c r="BC412" i="11"/>
  <c r="AO33" i="20" s="1"/>
  <c r="BU484" i="11"/>
  <c r="AU28" i="20" s="1"/>
  <c r="BU472" i="11"/>
  <c r="AT28" i="20" s="1"/>
  <c r="BU460" i="11"/>
  <c r="AS28" i="20" s="1"/>
  <c r="BU448" i="11"/>
  <c r="AR28" i="20" s="1"/>
  <c r="BU436" i="11"/>
  <c r="AQ28" i="20" s="1"/>
  <c r="BU424" i="11"/>
  <c r="AP28" i="20" s="1"/>
  <c r="BU412" i="11"/>
  <c r="AO28" i="20" s="1"/>
  <c r="BU400" i="11"/>
  <c r="AN28" i="20" s="1"/>
  <c r="BU388" i="11"/>
  <c r="AM28" i="20" s="1"/>
  <c r="BU376" i="11"/>
  <c r="AL28" i="20" s="1"/>
  <c r="BC388" i="11"/>
  <c r="AM33" i="20" s="1"/>
  <c r="Y372" i="2"/>
  <c r="X372" i="11" s="1"/>
  <c r="Y466" i="2"/>
  <c r="X466" i="11" s="1"/>
  <c r="Y402" i="2"/>
  <c r="X402" i="11" s="1"/>
  <c r="Y388" i="2"/>
  <c r="X388" i="11" s="1"/>
  <c r="Y412" i="2"/>
  <c r="X412" i="11" s="1"/>
  <c r="Y458" i="2"/>
  <c r="X458" i="11" s="1"/>
  <c r="Y480" i="2"/>
  <c r="X480" i="11" s="1"/>
  <c r="Y459" i="2"/>
  <c r="X459" i="11" s="1"/>
  <c r="Y465" i="2"/>
  <c r="X465" i="11" s="1"/>
  <c r="Y468" i="2"/>
  <c r="X468" i="11" s="1"/>
  <c r="Y435" i="2"/>
  <c r="X435" i="11" s="1"/>
  <c r="Y411" i="2"/>
  <c r="X411" i="11" s="1"/>
  <c r="Y376" i="2"/>
  <c r="X376" i="11" s="1"/>
  <c r="Y417" i="2"/>
  <c r="X417" i="11" s="1"/>
  <c r="Y462" i="2"/>
  <c r="X462" i="11" s="1"/>
  <c r="Y420" i="2"/>
  <c r="X420" i="11" s="1"/>
  <c r="Y408" i="2"/>
  <c r="X408" i="11" s="1"/>
  <c r="Y386" i="2"/>
  <c r="X386" i="11" s="1"/>
  <c r="Y368" i="2"/>
  <c r="X368" i="11" s="1"/>
  <c r="Y380" i="2"/>
  <c r="X380" i="11" s="1"/>
  <c r="Y475" i="2"/>
  <c r="X475" i="11" s="1"/>
  <c r="Y469" i="2"/>
  <c r="X469" i="11" s="1"/>
  <c r="Y460" i="2"/>
  <c r="X460" i="11" s="1"/>
  <c r="Y395" i="2"/>
  <c r="X395" i="11" s="1"/>
  <c r="Y484" i="2"/>
  <c r="X484" i="11" s="1"/>
  <c r="Y416" i="2"/>
  <c r="X416" i="11" s="1"/>
  <c r="Y464" i="2"/>
  <c r="X464" i="11" s="1"/>
  <c r="Y457" i="2"/>
  <c r="X457" i="11" s="1"/>
  <c r="Y452" i="2"/>
  <c r="X452" i="11" s="1"/>
  <c r="Y430" i="2"/>
  <c r="X430" i="11" s="1"/>
  <c r="Y429" i="2"/>
  <c r="X429" i="11" s="1"/>
  <c r="Y419" i="2"/>
  <c r="X419" i="11" s="1"/>
  <c r="Y407" i="2"/>
  <c r="X407" i="11" s="1"/>
  <c r="Y398" i="2"/>
  <c r="X398" i="11" s="1"/>
  <c r="Y483" i="2"/>
  <c r="X483" i="11" s="1"/>
  <c r="Y467" i="2"/>
  <c r="X467" i="11" s="1"/>
  <c r="Y453" i="2"/>
  <c r="X453" i="11" s="1"/>
  <c r="Y441" i="2"/>
  <c r="X441" i="11" s="1"/>
  <c r="Y440" i="2"/>
  <c r="X440" i="11" s="1"/>
  <c r="Y427" i="2"/>
  <c r="X427" i="11" s="1"/>
  <c r="Y410" i="2"/>
  <c r="X410" i="11" s="1"/>
  <c r="Y404" i="2"/>
  <c r="X404" i="11" s="1"/>
  <c r="Y394" i="2"/>
  <c r="X394" i="11" s="1"/>
  <c r="Y387" i="2"/>
  <c r="X387" i="11" s="1"/>
  <c r="Y383" i="2"/>
  <c r="X383" i="11" s="1"/>
  <c r="Y481" i="2"/>
  <c r="X481" i="11" s="1"/>
  <c r="Y439" i="2"/>
  <c r="X439" i="11" s="1"/>
  <c r="Y424" i="2"/>
  <c r="X424" i="11" s="1"/>
  <c r="Y409" i="2"/>
  <c r="X409" i="11" s="1"/>
  <c r="Y403" i="2"/>
  <c r="X403" i="11" s="1"/>
  <c r="Y448" i="2"/>
  <c r="X448" i="11" s="1"/>
  <c r="Y437" i="2"/>
  <c r="X437" i="11" s="1"/>
  <c r="Y423" i="2"/>
  <c r="X423" i="11" s="1"/>
  <c r="Y414" i="2"/>
  <c r="X414" i="11" s="1"/>
  <c r="Y392" i="2"/>
  <c r="X392" i="11" s="1"/>
  <c r="Y391" i="2"/>
  <c r="X391" i="11" s="1"/>
  <c r="Y479" i="2"/>
  <c r="X479" i="11" s="1"/>
  <c r="Y478" i="2"/>
  <c r="X478" i="11" s="1"/>
  <c r="Y434" i="2"/>
  <c r="X434" i="11" s="1"/>
  <c r="Y433" i="2"/>
  <c r="X433" i="11" s="1"/>
  <c r="Y432" i="2"/>
  <c r="X432" i="11" s="1"/>
  <c r="Y390" i="2"/>
  <c r="X390" i="11" s="1"/>
  <c r="Y371" i="2"/>
  <c r="X371" i="11" s="1"/>
  <c r="Y370" i="2"/>
  <c r="X370" i="11" s="1"/>
  <c r="Y382" i="2"/>
  <c r="X382" i="11" s="1"/>
  <c r="Y379" i="2"/>
  <c r="X379" i="11" s="1"/>
  <c r="Y369" i="2"/>
  <c r="X369" i="11" s="1"/>
  <c r="Y365" i="2"/>
  <c r="X365" i="11" s="1"/>
  <c r="Y474" i="2"/>
  <c r="X474" i="11" s="1"/>
  <c r="Y456" i="2"/>
  <c r="X456" i="11" s="1"/>
  <c r="Y451" i="2"/>
  <c r="X451" i="11" s="1"/>
  <c r="Y446" i="2"/>
  <c r="X446" i="11" s="1"/>
  <c r="Y436" i="2"/>
  <c r="X436" i="11" s="1"/>
  <c r="Y428" i="2"/>
  <c r="X428" i="11" s="1"/>
  <c r="Y385" i="2"/>
  <c r="X385" i="11" s="1"/>
  <c r="Y378" i="2"/>
  <c r="X378" i="11" s="1"/>
  <c r="Y373" i="2"/>
  <c r="X373" i="11" s="1"/>
  <c r="Y482" i="2"/>
  <c r="X482" i="11" s="1"/>
  <c r="Y473" i="2"/>
  <c r="X473" i="11" s="1"/>
  <c r="Y454" i="2"/>
  <c r="X454" i="11" s="1"/>
  <c r="Y450" i="2"/>
  <c r="X450" i="11" s="1"/>
  <c r="Y445" i="2"/>
  <c r="X445" i="11" s="1"/>
  <c r="Y431" i="2"/>
  <c r="X431" i="11" s="1"/>
  <c r="Y415" i="2"/>
  <c r="X415" i="11" s="1"/>
  <c r="Y400" i="2"/>
  <c r="X400" i="11" s="1"/>
  <c r="Y377" i="2"/>
  <c r="X377" i="11" s="1"/>
  <c r="Y367" i="2"/>
  <c r="X367" i="11" s="1"/>
  <c r="Y477" i="2"/>
  <c r="X477" i="11" s="1"/>
  <c r="Y476" i="2"/>
  <c r="X476" i="11" s="1"/>
  <c r="Y472" i="2"/>
  <c r="X472" i="11" s="1"/>
  <c r="Y461" i="2"/>
  <c r="X461" i="11" s="1"/>
  <c r="Y399" i="2"/>
  <c r="X399" i="11" s="1"/>
  <c r="Y449" i="2"/>
  <c r="X449" i="11" s="1"/>
  <c r="Y442" i="2"/>
  <c r="X442" i="11" s="1"/>
  <c r="Y438" i="2"/>
  <c r="X438" i="11" s="1"/>
  <c r="Y426" i="2"/>
  <c r="X426" i="11" s="1"/>
  <c r="Y422" i="2"/>
  <c r="X422" i="11" s="1"/>
  <c r="Y418" i="2"/>
  <c r="X418" i="11" s="1"/>
  <c r="Y413" i="2"/>
  <c r="X413" i="11" s="1"/>
  <c r="Y393" i="2"/>
  <c r="X393" i="11" s="1"/>
  <c r="Y366" i="2"/>
  <c r="X366" i="11" s="1"/>
  <c r="Y470" i="2"/>
  <c r="X470" i="11" s="1"/>
  <c r="Y425" i="2"/>
  <c r="X425" i="11" s="1"/>
  <c r="Y421" i="2"/>
  <c r="X421" i="11" s="1"/>
  <c r="Y401" i="2"/>
  <c r="X401" i="11" s="1"/>
  <c r="Y397" i="2"/>
  <c r="X397" i="11" s="1"/>
  <c r="Y381" i="2"/>
  <c r="X381" i="11" s="1"/>
  <c r="Y374" i="2"/>
  <c r="X374" i="11" s="1"/>
  <c r="Y405" i="2"/>
  <c r="X405" i="11" s="1"/>
  <c r="Y396" i="2"/>
  <c r="X396" i="11" s="1"/>
  <c r="Y389" i="2"/>
  <c r="X389" i="11" s="1"/>
  <c r="BC470" i="2"/>
  <c r="Y471" i="2"/>
  <c r="X471" i="11" s="1"/>
  <c r="Y447" i="2"/>
  <c r="X447" i="11" s="1"/>
  <c r="Y463" i="2"/>
  <c r="X463" i="11" s="1"/>
  <c r="Y455" i="2"/>
  <c r="X455" i="11" s="1"/>
  <c r="Y443" i="2"/>
  <c r="X443" i="11" s="1"/>
  <c r="Y444" i="2"/>
  <c r="X444" i="11" s="1"/>
  <c r="Y406" i="2"/>
  <c r="X406" i="11" s="1"/>
  <c r="L366" i="2"/>
  <c r="V366" i="11" s="1"/>
  <c r="Y375" i="2"/>
  <c r="X375" i="11" s="1"/>
  <c r="Y384" i="2"/>
  <c r="X384" i="11" s="1"/>
  <c r="BC377" i="2"/>
  <c r="Q20" i="5"/>
  <c r="T21" i="5"/>
  <c r="T22" i="5" s="1"/>
  <c r="N99" i="5" a="1"/>
  <c r="N99" i="5" s="1"/>
  <c r="F52" i="5" s="1"/>
  <c r="AA99" i="5" a="1"/>
  <c r="AA99" i="5" s="1"/>
  <c r="G52" i="5" s="1"/>
  <c r="AN99" i="5" a="1"/>
  <c r="AN99" i="5" s="1"/>
  <c r="H52" i="5" s="1"/>
  <c r="O52" i="5" s="1" a="1"/>
  <c r="O52" i="5" s="1"/>
  <c r="BA99" i="5" a="1"/>
  <c r="BA99" i="5" s="1"/>
  <c r="I52" i="5" s="1"/>
  <c r="BN99" i="5" a="1"/>
  <c r="BN99" i="5" s="1"/>
  <c r="J52" i="5" s="1"/>
  <c r="CA99" i="5" a="1"/>
  <c r="CA99" i="5" s="1"/>
  <c r="K52" i="5" s="1"/>
  <c r="CN99" i="5" a="1"/>
  <c r="CN99" i="5" s="1"/>
  <c r="L52" i="5" s="1"/>
  <c r="DA99" i="5" a="1"/>
  <c r="DA99" i="5" s="1"/>
  <c r="M52" i="5" s="1"/>
  <c r="DN99" i="5" a="1"/>
  <c r="DN99" i="5" s="1"/>
  <c r="N52" i="5" s="1"/>
  <c r="N100" i="5" a="1"/>
  <c r="N100" i="5" s="1"/>
  <c r="F53" i="5" s="1"/>
  <c r="AA100" i="5" a="1"/>
  <c r="AA100" i="5" s="1"/>
  <c r="G53" i="5" s="1"/>
  <c r="AN100" i="5" a="1"/>
  <c r="AN100" i="5" s="1"/>
  <c r="H53" i="5" s="1"/>
  <c r="O53" i="5" s="1" a="1"/>
  <c r="O53" i="5" s="1"/>
  <c r="BA100" i="5" a="1"/>
  <c r="BA100" i="5" s="1"/>
  <c r="I53" i="5" s="1"/>
  <c r="BN100" i="5" a="1"/>
  <c r="BN100" i="5" s="1"/>
  <c r="J53" i="5" s="1"/>
  <c r="CA100" i="5" a="1"/>
  <c r="CA100" i="5" s="1"/>
  <c r="K53" i="5" s="1"/>
  <c r="CN100" i="5" a="1"/>
  <c r="CN100" i="5" s="1"/>
  <c r="L53" i="5" s="1"/>
  <c r="DA100" i="5" a="1"/>
  <c r="DA100" i="5" s="1"/>
  <c r="M53" i="5" s="1"/>
  <c r="DN100" i="5" a="1"/>
  <c r="DN100" i="5" s="1"/>
  <c r="N53" i="5" s="1"/>
  <c r="N101" i="5" a="1"/>
  <c r="N101" i="5" s="1"/>
  <c r="F54" i="5" s="1"/>
  <c r="AA101" i="5" a="1"/>
  <c r="AA101" i="5" s="1"/>
  <c r="G54" i="5" s="1"/>
  <c r="AN101" i="5" a="1"/>
  <c r="AN101" i="5" s="1"/>
  <c r="H54" i="5" s="1"/>
  <c r="O54" i="5" s="1" a="1"/>
  <c r="O54" i="5" s="1"/>
  <c r="BA101" i="5" a="1"/>
  <c r="BA101" i="5" s="1"/>
  <c r="I54" i="5" s="1"/>
  <c r="BN101" i="5" a="1"/>
  <c r="BN101" i="5" s="1"/>
  <c r="J54" i="5" s="1"/>
  <c r="CA101" i="5" a="1"/>
  <c r="CA101" i="5" s="1"/>
  <c r="K54" i="5" s="1"/>
  <c r="CN101" i="5" a="1"/>
  <c r="CN101" i="5" s="1"/>
  <c r="L54" i="5" s="1"/>
  <c r="DA101" i="5" a="1"/>
  <c r="DA101" i="5" s="1"/>
  <c r="M54" i="5" s="1"/>
  <c r="DN101" i="5" a="1"/>
  <c r="DN101" i="5" s="1"/>
  <c r="N54" i="5" s="1"/>
  <c r="N102" i="5" a="1"/>
  <c r="N102" i="5" s="1"/>
  <c r="F55" i="5" s="1"/>
  <c r="AA102" i="5" a="1"/>
  <c r="AA102" i="5" s="1"/>
  <c r="G55" i="5" s="1"/>
  <c r="AN102" i="5" a="1"/>
  <c r="AN102" i="5" s="1"/>
  <c r="H55" i="5" s="1"/>
  <c r="O55" i="5" s="1" a="1"/>
  <c r="O55" i="5" s="1"/>
  <c r="BA102" i="5" a="1"/>
  <c r="BA102" i="5" s="1"/>
  <c r="I55" i="5" s="1"/>
  <c r="BN102" i="5" a="1"/>
  <c r="BN102" i="5" s="1"/>
  <c r="J55" i="5" s="1"/>
  <c r="CA102" i="5" a="1"/>
  <c r="CA102" i="5" s="1"/>
  <c r="K55" i="5" s="1"/>
  <c r="CN102" i="5" a="1"/>
  <c r="CN102" i="5" s="1"/>
  <c r="L55" i="5" s="1"/>
  <c r="DA102" i="5" a="1"/>
  <c r="DA102" i="5" s="1"/>
  <c r="M55" i="5" s="1"/>
  <c r="DN102" i="5" a="1"/>
  <c r="DN102" i="5" s="1"/>
  <c r="N55" i="5" s="1"/>
  <c r="N103" i="5" a="1"/>
  <c r="N103" i="5" s="1"/>
  <c r="F56" i="5" s="1"/>
  <c r="AA103" i="5" a="1"/>
  <c r="AA103" i="5" s="1"/>
  <c r="G56" i="5" s="1"/>
  <c r="AN103" i="5" a="1"/>
  <c r="AN103" i="5" s="1"/>
  <c r="H56" i="5" s="1"/>
  <c r="O56" i="5" s="1" a="1"/>
  <c r="O56" i="5" s="1"/>
  <c r="BA103" i="5" a="1"/>
  <c r="BA103" i="5" s="1"/>
  <c r="I56" i="5" s="1"/>
  <c r="BN103" i="5" a="1"/>
  <c r="BN103" i="5" s="1"/>
  <c r="J56" i="5" s="1"/>
  <c r="CA103" i="5" a="1"/>
  <c r="CA103" i="5" s="1"/>
  <c r="K56" i="5" s="1"/>
  <c r="CN103" i="5" a="1"/>
  <c r="CN103" i="5" s="1"/>
  <c r="L56" i="5" s="1"/>
  <c r="DA103" i="5" a="1"/>
  <c r="DA103" i="5" s="1"/>
  <c r="M56" i="5" s="1"/>
  <c r="DN103" i="5" a="1"/>
  <c r="DN103" i="5" s="1"/>
  <c r="N56" i="5" s="1"/>
  <c r="N104" i="5" a="1"/>
  <c r="N104" i="5" s="1"/>
  <c r="F57" i="5" s="1"/>
  <c r="AA104" i="5" a="1"/>
  <c r="AA104" i="5" s="1"/>
  <c r="G57" i="5" s="1"/>
  <c r="AN104" i="5" a="1"/>
  <c r="AN104" i="5" s="1"/>
  <c r="H57" i="5" s="1"/>
  <c r="O57" i="5" s="1" a="1"/>
  <c r="O57" i="5" s="1"/>
  <c r="BA104" i="5" a="1"/>
  <c r="BA104" i="5" s="1"/>
  <c r="I57" i="5" s="1"/>
  <c r="BN104" i="5" a="1"/>
  <c r="BN104" i="5" s="1"/>
  <c r="J57" i="5" s="1"/>
  <c r="CA104" i="5" a="1"/>
  <c r="CA104" i="5" s="1"/>
  <c r="K57" i="5" s="1"/>
  <c r="CN104" i="5" a="1"/>
  <c r="CN104" i="5" s="1"/>
  <c r="L57" i="5" s="1"/>
  <c r="DA104" i="5" a="1"/>
  <c r="DA104" i="5" s="1"/>
  <c r="M57" i="5" s="1"/>
  <c r="DN104" i="5" a="1"/>
  <c r="DN104" i="5" s="1"/>
  <c r="N57" i="5" s="1"/>
  <c r="N105" i="5" a="1"/>
  <c r="N105" i="5" s="1"/>
  <c r="F58" i="5" s="1"/>
  <c r="AA105" i="5" a="1"/>
  <c r="AA105" i="5" s="1"/>
  <c r="G58" i="5" s="1"/>
  <c r="AN105" i="5" a="1"/>
  <c r="AN105" i="5" s="1"/>
  <c r="H58" i="5" s="1"/>
  <c r="O58" i="5" s="1" a="1"/>
  <c r="O58" i="5" s="1"/>
  <c r="BA105" i="5" a="1"/>
  <c r="BA105" i="5" s="1"/>
  <c r="I58" i="5" s="1"/>
  <c r="BN105" i="5" a="1"/>
  <c r="BN105" i="5" s="1"/>
  <c r="J58" i="5" s="1"/>
  <c r="CA105" i="5" a="1"/>
  <c r="CA105" i="5" s="1"/>
  <c r="K58" i="5" s="1"/>
  <c r="CN105" i="5" a="1"/>
  <c r="CN105" i="5" s="1"/>
  <c r="L58" i="5" s="1"/>
  <c r="DA105" i="5" a="1"/>
  <c r="DA105" i="5" s="1"/>
  <c r="M58" i="5" s="1"/>
  <c r="DN105" i="5" a="1"/>
  <c r="DN105" i="5" s="1"/>
  <c r="N58" i="5" s="1"/>
  <c r="N106" i="5" a="1"/>
  <c r="N106" i="5" s="1"/>
  <c r="F59" i="5" s="1"/>
  <c r="AA106" i="5" a="1"/>
  <c r="AA106" i="5" s="1"/>
  <c r="G59" i="5" s="1"/>
  <c r="AN106" i="5" a="1"/>
  <c r="AN106" i="5" s="1"/>
  <c r="H59" i="5" s="1"/>
  <c r="O59" i="5" s="1" a="1"/>
  <c r="O59" i="5" s="1"/>
  <c r="BA106" i="5" a="1"/>
  <c r="BA106" i="5" s="1"/>
  <c r="I59" i="5" s="1"/>
  <c r="BN106" i="5" a="1"/>
  <c r="BN106" i="5" s="1"/>
  <c r="J59" i="5" s="1"/>
  <c r="CA106" i="5" a="1"/>
  <c r="CA106" i="5" s="1"/>
  <c r="K59" i="5" s="1"/>
  <c r="CN106" i="5" a="1"/>
  <c r="CN106" i="5" s="1"/>
  <c r="L59" i="5" s="1"/>
  <c r="DA106" i="5" a="1"/>
  <c r="DA106" i="5" s="1"/>
  <c r="M59" i="5" s="1"/>
  <c r="DN106" i="5" a="1"/>
  <c r="DN106" i="5" s="1"/>
  <c r="N59" i="5" s="1"/>
  <c r="N107" i="5" a="1"/>
  <c r="N107" i="5" s="1"/>
  <c r="F60" i="5" s="1"/>
  <c r="AA107" i="5" a="1"/>
  <c r="AA107" i="5" s="1"/>
  <c r="G60" i="5" s="1"/>
  <c r="AN107" i="5" a="1"/>
  <c r="AN107" i="5" s="1"/>
  <c r="H60" i="5" s="1"/>
  <c r="O60" i="5" s="1" a="1"/>
  <c r="O60" i="5" s="1"/>
  <c r="BA107" i="5" a="1"/>
  <c r="BA107" i="5" s="1"/>
  <c r="I60" i="5" s="1"/>
  <c r="BN107" i="5" a="1"/>
  <c r="BN107" i="5" s="1"/>
  <c r="J60" i="5" s="1"/>
  <c r="CA107" i="5" a="1"/>
  <c r="CA107" i="5" s="1"/>
  <c r="K60" i="5" s="1"/>
  <c r="CN107" i="5" a="1"/>
  <c r="CN107" i="5" s="1"/>
  <c r="L60" i="5" s="1"/>
  <c r="DA107" i="5" a="1"/>
  <c r="DA107" i="5" s="1"/>
  <c r="M60" i="5" s="1"/>
  <c r="DN107" i="5" a="1"/>
  <c r="DN107" i="5" s="1"/>
  <c r="N60" i="5" s="1"/>
  <c r="N108" i="5" a="1"/>
  <c r="N108" i="5" s="1"/>
  <c r="F61" i="5" s="1"/>
  <c r="AA108" i="5" a="1"/>
  <c r="AA108" i="5" s="1"/>
  <c r="G61" i="5" s="1"/>
  <c r="AN108" i="5" a="1"/>
  <c r="AN108" i="5" s="1"/>
  <c r="H61" i="5" s="1"/>
  <c r="O61" i="5" s="1" a="1"/>
  <c r="O61" i="5" s="1"/>
  <c r="BA108" i="5" a="1"/>
  <c r="BA108" i="5" s="1"/>
  <c r="I61" i="5" s="1"/>
  <c r="BN108" i="5" a="1"/>
  <c r="BN108" i="5" s="1"/>
  <c r="J61" i="5" s="1"/>
  <c r="CA108" i="5" a="1"/>
  <c r="CA108" i="5" s="1"/>
  <c r="K61" i="5" s="1"/>
  <c r="CN108" i="5" a="1"/>
  <c r="CN108" i="5" s="1"/>
  <c r="L61" i="5" s="1"/>
  <c r="DA108" i="5" a="1"/>
  <c r="DA108" i="5" s="1"/>
  <c r="M61" i="5" s="1"/>
  <c r="DN108" i="5" a="1"/>
  <c r="DN108" i="5" s="1"/>
  <c r="N61" i="5" s="1"/>
  <c r="BT424" i="11" l="1"/>
  <c r="AP27" i="20" s="1"/>
  <c r="AA417" i="11"/>
  <c r="AA395" i="11"/>
  <c r="AA443" i="11"/>
  <c r="AA409" i="11"/>
  <c r="AA394" i="11"/>
  <c r="AA442" i="11"/>
  <c r="AA393" i="11"/>
  <c r="AA391" i="11"/>
  <c r="AA439" i="11"/>
  <c r="AA384" i="11"/>
  <c r="BT460" i="11"/>
  <c r="AS27" i="20" s="1"/>
  <c r="AA422" i="11"/>
  <c r="AA456" i="11"/>
  <c r="BT388" i="11"/>
  <c r="AM27" i="20" s="1"/>
  <c r="AA454" i="11"/>
  <c r="AA416" i="11"/>
  <c r="AA411" i="11"/>
  <c r="AA459" i="11"/>
  <c r="AA481" i="11"/>
  <c r="AA410" i="11"/>
  <c r="AA458" i="11"/>
  <c r="AA464" i="11"/>
  <c r="AA407" i="11"/>
  <c r="AA455" i="11"/>
  <c r="AA457" i="11"/>
  <c r="AA448" i="11"/>
  <c r="BT436" i="11"/>
  <c r="AQ27" i="20" s="1"/>
  <c r="AA373" i="11"/>
  <c r="BT376" i="11"/>
  <c r="AL27" i="20" s="1"/>
  <c r="BT484" i="11"/>
  <c r="AU27" i="20" s="1"/>
  <c r="AA427" i="11"/>
  <c r="AA474" i="11"/>
  <c r="AA471" i="11"/>
  <c r="BT472" i="11"/>
  <c r="AT27" i="20" s="1"/>
  <c r="AA379" i="11"/>
  <c r="AA475" i="11"/>
  <c r="AA378" i="11"/>
  <c r="AA426" i="11"/>
  <c r="AA375" i="11"/>
  <c r="AA423" i="11"/>
  <c r="AA390" i="11"/>
  <c r="AA369" i="11"/>
  <c r="BT412" i="11"/>
  <c r="AO27" i="20" s="1"/>
  <c r="BT448" i="11"/>
  <c r="AR27" i="20" s="1"/>
  <c r="AA377" i="11"/>
  <c r="AA401" i="11"/>
  <c r="AA371" i="11"/>
  <c r="AA403" i="11"/>
  <c r="AA405" i="11"/>
  <c r="AA437" i="11"/>
  <c r="AA469" i="11"/>
  <c r="AA473" i="11"/>
  <c r="AA435" i="11"/>
  <c r="AA467" i="11"/>
  <c r="AA441" i="11"/>
  <c r="AA386" i="11"/>
  <c r="AA418" i="11"/>
  <c r="AA450" i="11"/>
  <c r="AA482" i="11"/>
  <c r="AA367" i="11"/>
  <c r="AA399" i="11"/>
  <c r="AA431" i="11"/>
  <c r="AA463" i="11"/>
  <c r="AA440" i="11"/>
  <c r="AA432" i="11"/>
  <c r="AA382" i="11"/>
  <c r="AA414" i="11"/>
  <c r="AA446" i="11"/>
  <c r="AA478" i="11"/>
  <c r="AA392" i="11"/>
  <c r="AA365" i="11"/>
  <c r="AA449" i="11"/>
  <c r="BT400" i="11"/>
  <c r="AN27" i="20" s="1"/>
  <c r="AA385" i="11"/>
  <c r="AA372" i="11"/>
  <c r="AA396" i="11"/>
  <c r="AA428" i="11"/>
  <c r="AA460" i="11"/>
  <c r="AA430" i="11"/>
  <c r="AA445" i="11"/>
  <c r="AA433" i="11"/>
  <c r="AA387" i="11"/>
  <c r="AA419" i="11"/>
  <c r="AA451" i="11"/>
  <c r="AA483" i="11"/>
  <c r="AA370" i="11"/>
  <c r="AA402" i="11"/>
  <c r="AA434" i="11"/>
  <c r="AA466" i="11"/>
  <c r="AA408" i="11"/>
  <c r="AA383" i="11"/>
  <c r="AA415" i="11"/>
  <c r="AA447" i="11"/>
  <c r="AA479" i="11"/>
  <c r="AA465" i="11"/>
  <c r="AA424" i="11"/>
  <c r="AA381" i="11"/>
  <c r="AA468" i="11"/>
  <c r="AA374" i="11"/>
  <c r="AA406" i="11"/>
  <c r="AA438" i="11"/>
  <c r="AA470" i="11"/>
  <c r="AA425" i="11"/>
  <c r="AA480" i="11"/>
  <c r="AA389" i="11"/>
  <c r="AA421" i="11"/>
  <c r="AA453" i="11"/>
  <c r="AA376" i="11"/>
  <c r="AA380" i="11"/>
  <c r="AA412" i="11"/>
  <c r="AA444" i="11"/>
  <c r="AA476" i="11"/>
  <c r="AA462" i="11"/>
  <c r="AA477" i="11"/>
  <c r="AA398" i="11"/>
  <c r="AA413" i="11"/>
  <c r="AA436" i="11"/>
  <c r="AA397" i="11"/>
  <c r="AA429" i="11"/>
  <c r="AA461" i="11"/>
  <c r="AA400" i="11"/>
  <c r="AA388" i="11"/>
  <c r="AA420" i="11"/>
  <c r="AA452" i="11"/>
  <c r="AA484" i="11"/>
  <c r="AA366" i="11"/>
  <c r="AA472" i="11"/>
  <c r="AA404" i="11"/>
  <c r="AA368" i="11"/>
  <c r="BG424" i="11"/>
  <c r="AP6" i="20" s="1"/>
  <c r="BG472" i="11"/>
  <c r="AT6" i="20" s="1"/>
  <c r="BG376" i="11"/>
  <c r="AL6" i="20" s="1"/>
  <c r="BG448" i="11"/>
  <c r="AR6" i="20" s="1"/>
  <c r="BG412" i="11"/>
  <c r="AO6" i="20" s="1"/>
  <c r="BG400" i="11"/>
  <c r="AN6" i="20" s="1"/>
  <c r="BG436" i="11"/>
  <c r="AQ6" i="20" s="1"/>
  <c r="BG484" i="11"/>
  <c r="AU6" i="20" s="1"/>
  <c r="BG388" i="11"/>
  <c r="AM6" i="20" s="1"/>
  <c r="BG460" i="11"/>
  <c r="AS6" i="20" s="1"/>
  <c r="M366" i="2"/>
  <c r="U366" i="11" s="1"/>
  <c r="AG366" i="7"/>
  <c r="BJ484" i="11" l="1"/>
  <c r="AU9" i="20" s="1"/>
  <c r="BJ412" i="11"/>
  <c r="AO9" i="20" s="1"/>
  <c r="BJ376" i="11"/>
  <c r="AL9" i="20" s="1"/>
  <c r="BJ388" i="11"/>
  <c r="AM9" i="20" s="1"/>
  <c r="BJ424" i="11"/>
  <c r="AP9" i="20" s="1"/>
  <c r="BJ448" i="11"/>
  <c r="AR9" i="20" s="1"/>
  <c r="BJ460" i="11"/>
  <c r="AS9" i="20" s="1"/>
  <c r="BJ436" i="11"/>
  <c r="AQ9" i="20" s="1"/>
  <c r="BJ400" i="11"/>
  <c r="AN9" i="20" s="1"/>
  <c r="BJ472" i="11"/>
  <c r="AT9" i="20" s="1"/>
  <c r="AA67" i="5" a="1"/>
  <c r="AA67" i="5" s="1"/>
  <c r="DN98" i="5" a="1"/>
  <c r="DN98" i="5" s="1"/>
  <c r="DN97" i="5" a="1"/>
  <c r="DN97" i="5" s="1"/>
  <c r="DN96" i="5" a="1"/>
  <c r="DN96" i="5" s="1"/>
  <c r="DN95" i="5" a="1"/>
  <c r="DN95" i="5" s="1"/>
  <c r="DN94" i="5" a="1"/>
  <c r="DN94" i="5" s="1"/>
  <c r="DN93" i="5" a="1"/>
  <c r="DN93" i="5" s="1"/>
  <c r="DN92" i="5" a="1"/>
  <c r="DN92" i="5" s="1"/>
  <c r="DN91" i="5" a="1"/>
  <c r="DN91" i="5" s="1"/>
  <c r="DN90" i="5" a="1"/>
  <c r="DN90" i="5" s="1"/>
  <c r="DN89" i="5" a="1"/>
  <c r="DN89" i="5" s="1"/>
  <c r="DN88" i="5" a="1"/>
  <c r="DN88" i="5" s="1"/>
  <c r="DN87" i="5" a="1"/>
  <c r="DN87" i="5" s="1"/>
  <c r="DN86" i="5" a="1"/>
  <c r="DN86" i="5" s="1"/>
  <c r="DN85" i="5" a="1"/>
  <c r="DN85" i="5" s="1"/>
  <c r="DN84" i="5" a="1"/>
  <c r="DN84" i="5" s="1"/>
  <c r="DN83" i="5" a="1"/>
  <c r="DN83" i="5" s="1"/>
  <c r="DN82" i="5" a="1"/>
  <c r="DN82" i="5" s="1"/>
  <c r="DN81" i="5" a="1"/>
  <c r="DN81" i="5" s="1"/>
  <c r="DN80" i="5" a="1"/>
  <c r="DN80" i="5" s="1"/>
  <c r="DN79" i="5" a="1"/>
  <c r="DN79" i="5" s="1"/>
  <c r="DN78" i="5" a="1"/>
  <c r="DN78" i="5" s="1"/>
  <c r="DN77" i="5" a="1"/>
  <c r="DN77" i="5" s="1"/>
  <c r="DN76" i="5" a="1"/>
  <c r="DN76" i="5" s="1"/>
  <c r="DN75" i="5" a="1"/>
  <c r="DN75" i="5" s="1"/>
  <c r="DN74" i="5" a="1"/>
  <c r="DN74" i="5" s="1"/>
  <c r="DN73" i="5" a="1"/>
  <c r="DN73" i="5" s="1"/>
  <c r="DN72" i="5" a="1"/>
  <c r="DN72" i="5" s="1"/>
  <c r="DN71" i="5" a="1"/>
  <c r="DN71" i="5" s="1"/>
  <c r="DN70" i="5" a="1"/>
  <c r="DN70" i="5" s="1"/>
  <c r="DN69" i="5" a="1"/>
  <c r="DN69" i="5" s="1"/>
  <c r="DN68" i="5" a="1"/>
  <c r="DN68" i="5" s="1"/>
  <c r="DN67" i="5" a="1"/>
  <c r="DN67" i="5" s="1"/>
  <c r="DA98" i="5" a="1"/>
  <c r="DA98" i="5" s="1"/>
  <c r="DA97" i="5" a="1"/>
  <c r="DA97" i="5" s="1"/>
  <c r="DA96" i="5" a="1"/>
  <c r="DA96" i="5" s="1"/>
  <c r="DA95" i="5" a="1"/>
  <c r="DA95" i="5" s="1"/>
  <c r="DA94" i="5" a="1"/>
  <c r="DA94" i="5" s="1"/>
  <c r="DA93" i="5" a="1"/>
  <c r="DA93" i="5" s="1"/>
  <c r="DA92" i="5" a="1"/>
  <c r="DA92" i="5" s="1"/>
  <c r="DA91" i="5" a="1"/>
  <c r="DA91" i="5" s="1"/>
  <c r="DA90" i="5" a="1"/>
  <c r="DA90" i="5" s="1"/>
  <c r="DA89" i="5" a="1"/>
  <c r="DA89" i="5" s="1"/>
  <c r="DA88" i="5" a="1"/>
  <c r="DA88" i="5" s="1"/>
  <c r="DA87" i="5" a="1"/>
  <c r="DA87" i="5" s="1"/>
  <c r="DA86" i="5" a="1"/>
  <c r="DA86" i="5" s="1"/>
  <c r="DA85" i="5" a="1"/>
  <c r="DA85" i="5" s="1"/>
  <c r="DA84" i="5" a="1"/>
  <c r="DA84" i="5" s="1"/>
  <c r="DA83" i="5" a="1"/>
  <c r="DA83" i="5" s="1"/>
  <c r="DA82" i="5" a="1"/>
  <c r="DA82" i="5" s="1"/>
  <c r="DA81" i="5" a="1"/>
  <c r="DA81" i="5" s="1"/>
  <c r="DA80" i="5" a="1"/>
  <c r="DA80" i="5" s="1"/>
  <c r="DA79" i="5" a="1"/>
  <c r="DA79" i="5" s="1"/>
  <c r="DA78" i="5" a="1"/>
  <c r="DA78" i="5" s="1"/>
  <c r="DA77" i="5" a="1"/>
  <c r="DA77" i="5" s="1"/>
  <c r="DA76" i="5" a="1"/>
  <c r="DA76" i="5" s="1"/>
  <c r="DA75" i="5" a="1"/>
  <c r="DA75" i="5" s="1"/>
  <c r="DA74" i="5" a="1"/>
  <c r="DA74" i="5" s="1"/>
  <c r="DA73" i="5" a="1"/>
  <c r="DA73" i="5" s="1"/>
  <c r="DA72" i="5" a="1"/>
  <c r="DA72" i="5" s="1"/>
  <c r="DA71" i="5" a="1"/>
  <c r="DA71" i="5" s="1"/>
  <c r="DA70" i="5" a="1"/>
  <c r="DA70" i="5" s="1"/>
  <c r="DA69" i="5" a="1"/>
  <c r="DA69" i="5" s="1"/>
  <c r="DA68" i="5" a="1"/>
  <c r="DA68" i="5" s="1"/>
  <c r="DA67" i="5" a="1"/>
  <c r="DA67" i="5" s="1"/>
  <c r="CN98" i="5" a="1"/>
  <c r="CN98" i="5" s="1"/>
  <c r="CN97" i="5" a="1"/>
  <c r="CN97" i="5" s="1"/>
  <c r="CN96" i="5" a="1"/>
  <c r="CN96" i="5" s="1"/>
  <c r="CN95" i="5" a="1"/>
  <c r="CN95" i="5" s="1"/>
  <c r="CN94" i="5" a="1"/>
  <c r="CN94" i="5" s="1"/>
  <c r="CN93" i="5" a="1"/>
  <c r="CN93" i="5" s="1"/>
  <c r="CN92" i="5" a="1"/>
  <c r="CN92" i="5" s="1"/>
  <c r="CN91" i="5" a="1"/>
  <c r="CN91" i="5" s="1"/>
  <c r="CN90" i="5" a="1"/>
  <c r="CN90" i="5" s="1"/>
  <c r="CN89" i="5" a="1"/>
  <c r="CN89" i="5" s="1"/>
  <c r="CN88" i="5" a="1"/>
  <c r="CN88" i="5" s="1"/>
  <c r="CN87" i="5" a="1"/>
  <c r="CN87" i="5" s="1"/>
  <c r="CN86" i="5" a="1"/>
  <c r="CN86" i="5" s="1"/>
  <c r="CN85" i="5" a="1"/>
  <c r="CN85" i="5" s="1"/>
  <c r="CN84" i="5" a="1"/>
  <c r="CN84" i="5" s="1"/>
  <c r="CN83" i="5" a="1"/>
  <c r="CN83" i="5" s="1"/>
  <c r="CN82" i="5" a="1"/>
  <c r="CN82" i="5" s="1"/>
  <c r="CN81" i="5" a="1"/>
  <c r="CN81" i="5" s="1"/>
  <c r="CN80" i="5" a="1"/>
  <c r="CN80" i="5" s="1"/>
  <c r="CN79" i="5" a="1"/>
  <c r="CN79" i="5" s="1"/>
  <c r="CN78" i="5" a="1"/>
  <c r="CN78" i="5" s="1"/>
  <c r="CN77" i="5" a="1"/>
  <c r="CN77" i="5" s="1"/>
  <c r="CN76" i="5" a="1"/>
  <c r="CN76" i="5" s="1"/>
  <c r="CN75" i="5" a="1"/>
  <c r="CN75" i="5" s="1"/>
  <c r="CN74" i="5" a="1"/>
  <c r="CN74" i="5" s="1"/>
  <c r="CN73" i="5" a="1"/>
  <c r="CN73" i="5" s="1"/>
  <c r="CN72" i="5" a="1"/>
  <c r="CN72" i="5" s="1"/>
  <c r="CN71" i="5" a="1"/>
  <c r="CN71" i="5" s="1"/>
  <c r="CN70" i="5" a="1"/>
  <c r="CN70" i="5" s="1"/>
  <c r="CN69" i="5" a="1"/>
  <c r="CN69" i="5" s="1"/>
  <c r="CN68" i="5" a="1"/>
  <c r="CN68" i="5" s="1"/>
  <c r="CN67" i="5" a="1"/>
  <c r="CN67" i="5" s="1"/>
  <c r="CA98" i="5" a="1"/>
  <c r="CA98" i="5" s="1"/>
  <c r="CA97" i="5" a="1"/>
  <c r="CA97" i="5" s="1"/>
  <c r="CA96" i="5" a="1"/>
  <c r="CA96" i="5" s="1"/>
  <c r="CA95" i="5" a="1"/>
  <c r="CA95" i="5" s="1"/>
  <c r="CA94" i="5" a="1"/>
  <c r="CA94" i="5" s="1"/>
  <c r="CA93" i="5" a="1"/>
  <c r="CA93" i="5" s="1"/>
  <c r="CA92" i="5" a="1"/>
  <c r="CA92" i="5" s="1"/>
  <c r="CA91" i="5" a="1"/>
  <c r="CA91" i="5" s="1"/>
  <c r="CA90" i="5" a="1"/>
  <c r="CA90" i="5" s="1"/>
  <c r="CA89" i="5" a="1"/>
  <c r="CA89" i="5" s="1"/>
  <c r="CA88" i="5" a="1"/>
  <c r="CA88" i="5" s="1"/>
  <c r="CA87" i="5" a="1"/>
  <c r="CA87" i="5" s="1"/>
  <c r="CA86" i="5" a="1"/>
  <c r="CA86" i="5" s="1"/>
  <c r="CA85" i="5" a="1"/>
  <c r="CA85" i="5" s="1"/>
  <c r="CA84" i="5" a="1"/>
  <c r="CA84" i="5" s="1"/>
  <c r="CA83" i="5" a="1"/>
  <c r="CA83" i="5" s="1"/>
  <c r="CA82" i="5" a="1"/>
  <c r="CA82" i="5" s="1"/>
  <c r="CA81" i="5" a="1"/>
  <c r="CA81" i="5" s="1"/>
  <c r="CA80" i="5" a="1"/>
  <c r="CA80" i="5" s="1"/>
  <c r="CA79" i="5" a="1"/>
  <c r="CA79" i="5" s="1"/>
  <c r="CA78" i="5" a="1"/>
  <c r="CA78" i="5" s="1"/>
  <c r="CA77" i="5" a="1"/>
  <c r="CA77" i="5" s="1"/>
  <c r="CA76" i="5" a="1"/>
  <c r="CA76" i="5" s="1"/>
  <c r="CA75" i="5" a="1"/>
  <c r="CA75" i="5" s="1"/>
  <c r="CA74" i="5" a="1"/>
  <c r="CA74" i="5" s="1"/>
  <c r="CA73" i="5" a="1"/>
  <c r="CA73" i="5" s="1"/>
  <c r="CA72" i="5" a="1"/>
  <c r="CA72" i="5" s="1"/>
  <c r="CA71" i="5" a="1"/>
  <c r="CA71" i="5" s="1"/>
  <c r="CA70" i="5" a="1"/>
  <c r="CA70" i="5" s="1"/>
  <c r="CA69" i="5" a="1"/>
  <c r="CA69" i="5" s="1"/>
  <c r="CA68" i="5" a="1"/>
  <c r="CA68" i="5" s="1"/>
  <c r="CA67" i="5" a="1"/>
  <c r="CA67" i="5" s="1"/>
  <c r="BN98" i="5" a="1"/>
  <c r="BN98" i="5" s="1"/>
  <c r="BN97" i="5" a="1"/>
  <c r="BN97" i="5" s="1"/>
  <c r="BN96" i="5" a="1"/>
  <c r="BN96" i="5" s="1"/>
  <c r="BN95" i="5" a="1"/>
  <c r="BN95" i="5" s="1"/>
  <c r="BN94" i="5" a="1"/>
  <c r="BN94" i="5" s="1"/>
  <c r="BN93" i="5" a="1"/>
  <c r="BN93" i="5" s="1"/>
  <c r="BN92" i="5" a="1"/>
  <c r="BN92" i="5" s="1"/>
  <c r="BN91" i="5" a="1"/>
  <c r="BN91" i="5" s="1"/>
  <c r="BN90" i="5" a="1"/>
  <c r="BN90" i="5" s="1"/>
  <c r="BN89" i="5" a="1"/>
  <c r="BN89" i="5" s="1"/>
  <c r="BN88" i="5" a="1"/>
  <c r="BN88" i="5" s="1"/>
  <c r="BN87" i="5" a="1"/>
  <c r="BN87" i="5" s="1"/>
  <c r="BN86" i="5" a="1"/>
  <c r="BN86" i="5" s="1"/>
  <c r="BN85" i="5" a="1"/>
  <c r="BN85" i="5" s="1"/>
  <c r="BN84" i="5" a="1"/>
  <c r="BN84" i="5" s="1"/>
  <c r="BN83" i="5" a="1"/>
  <c r="BN83" i="5" s="1"/>
  <c r="BN82" i="5" a="1"/>
  <c r="BN82" i="5" s="1"/>
  <c r="BN81" i="5" a="1"/>
  <c r="BN81" i="5" s="1"/>
  <c r="BN80" i="5" a="1"/>
  <c r="BN80" i="5" s="1"/>
  <c r="BN79" i="5" a="1"/>
  <c r="BN79" i="5" s="1"/>
  <c r="BN78" i="5" a="1"/>
  <c r="BN78" i="5" s="1"/>
  <c r="BN77" i="5" a="1"/>
  <c r="BN77" i="5" s="1"/>
  <c r="BN76" i="5" a="1"/>
  <c r="BN76" i="5" s="1"/>
  <c r="BN75" i="5" a="1"/>
  <c r="BN75" i="5" s="1"/>
  <c r="BN74" i="5" a="1"/>
  <c r="BN74" i="5" s="1"/>
  <c r="BN73" i="5" a="1"/>
  <c r="BN73" i="5" s="1"/>
  <c r="BN72" i="5" a="1"/>
  <c r="BN72" i="5" s="1"/>
  <c r="BN71" i="5" a="1"/>
  <c r="BN71" i="5" s="1"/>
  <c r="BN70" i="5" a="1"/>
  <c r="BN70" i="5" s="1"/>
  <c r="BN69" i="5" a="1"/>
  <c r="BN69" i="5" s="1"/>
  <c r="BN68" i="5" a="1"/>
  <c r="BN68" i="5" s="1"/>
  <c r="BN67" i="5" a="1"/>
  <c r="BN67" i="5" s="1"/>
  <c r="BA98" i="5" a="1"/>
  <c r="BA98" i="5" s="1"/>
  <c r="BA97" i="5" a="1"/>
  <c r="BA97" i="5" s="1"/>
  <c r="BA96" i="5" a="1"/>
  <c r="BA96" i="5" s="1"/>
  <c r="BA95" i="5" a="1"/>
  <c r="BA95" i="5" s="1"/>
  <c r="BA94" i="5" a="1"/>
  <c r="BA94" i="5" s="1"/>
  <c r="BA93" i="5" a="1"/>
  <c r="BA93" i="5" s="1"/>
  <c r="BA92" i="5" a="1"/>
  <c r="BA92" i="5" s="1"/>
  <c r="BA91" i="5" a="1"/>
  <c r="BA91" i="5" s="1"/>
  <c r="BA90" i="5" a="1"/>
  <c r="BA90" i="5" s="1"/>
  <c r="BA89" i="5" a="1"/>
  <c r="BA89" i="5" s="1"/>
  <c r="BA88" i="5" a="1"/>
  <c r="BA88" i="5" s="1"/>
  <c r="BA87" i="5" a="1"/>
  <c r="BA87" i="5" s="1"/>
  <c r="BA86" i="5" a="1"/>
  <c r="BA86" i="5" s="1"/>
  <c r="BA85" i="5" a="1"/>
  <c r="BA85" i="5" s="1"/>
  <c r="BA84" i="5" a="1"/>
  <c r="BA84" i="5" s="1"/>
  <c r="BA83" i="5" a="1"/>
  <c r="BA83" i="5" s="1"/>
  <c r="BA82" i="5" a="1"/>
  <c r="BA82" i="5" s="1"/>
  <c r="BA81" i="5" a="1"/>
  <c r="BA81" i="5" s="1"/>
  <c r="BA80" i="5" a="1"/>
  <c r="BA80" i="5" s="1"/>
  <c r="BA79" i="5" a="1"/>
  <c r="BA79" i="5" s="1"/>
  <c r="BA78" i="5" a="1"/>
  <c r="BA78" i="5" s="1"/>
  <c r="BA77" i="5" a="1"/>
  <c r="BA77" i="5" s="1"/>
  <c r="BA76" i="5" a="1"/>
  <c r="BA76" i="5" s="1"/>
  <c r="BA75" i="5" a="1"/>
  <c r="BA75" i="5" s="1"/>
  <c r="BA74" i="5" a="1"/>
  <c r="BA74" i="5" s="1"/>
  <c r="BA73" i="5" a="1"/>
  <c r="BA73" i="5" s="1"/>
  <c r="BA72" i="5" a="1"/>
  <c r="BA72" i="5" s="1"/>
  <c r="BA71" i="5" a="1"/>
  <c r="BA71" i="5" s="1"/>
  <c r="BA70" i="5" a="1"/>
  <c r="BA70" i="5" s="1"/>
  <c r="BA69" i="5" a="1"/>
  <c r="BA69" i="5" s="1"/>
  <c r="BA68" i="5" a="1"/>
  <c r="BA68" i="5" s="1"/>
  <c r="BA67" i="5" a="1"/>
  <c r="BA67" i="5" s="1"/>
  <c r="AN98" i="5" a="1"/>
  <c r="AN98" i="5" s="1"/>
  <c r="AN97" i="5" a="1"/>
  <c r="AN97" i="5" s="1"/>
  <c r="AN96" i="5" a="1"/>
  <c r="AN96" i="5" s="1"/>
  <c r="AN95" i="5" a="1"/>
  <c r="AN95" i="5" s="1"/>
  <c r="AN94" i="5" a="1"/>
  <c r="AN94" i="5" s="1"/>
  <c r="AN93" i="5" a="1"/>
  <c r="AN93" i="5" s="1"/>
  <c r="AN92" i="5" a="1"/>
  <c r="AN92" i="5" s="1"/>
  <c r="AN91" i="5" a="1"/>
  <c r="AN91" i="5" s="1"/>
  <c r="AN90" i="5" a="1"/>
  <c r="AN90" i="5" s="1"/>
  <c r="AN89" i="5" a="1"/>
  <c r="AN89" i="5" s="1"/>
  <c r="AN88" i="5" a="1"/>
  <c r="AN88" i="5" s="1"/>
  <c r="AN87" i="5" a="1"/>
  <c r="AN87" i="5" s="1"/>
  <c r="AN86" i="5" a="1"/>
  <c r="AN86" i="5" s="1"/>
  <c r="AN85" i="5" a="1"/>
  <c r="AN85" i="5" s="1"/>
  <c r="AN84" i="5" a="1"/>
  <c r="AN84" i="5" s="1"/>
  <c r="AN83" i="5" a="1"/>
  <c r="AN83" i="5" s="1"/>
  <c r="AN82" i="5" a="1"/>
  <c r="AN82" i="5" s="1"/>
  <c r="AN81" i="5" a="1"/>
  <c r="AN81" i="5" s="1"/>
  <c r="AN80" i="5" a="1"/>
  <c r="AN80" i="5" s="1"/>
  <c r="AN79" i="5" a="1"/>
  <c r="AN79" i="5" s="1"/>
  <c r="AN78" i="5" a="1"/>
  <c r="AN78" i="5" s="1"/>
  <c r="AN77" i="5" a="1"/>
  <c r="AN77" i="5" s="1"/>
  <c r="AN76" i="5" a="1"/>
  <c r="AN76" i="5" s="1"/>
  <c r="AN75" i="5" a="1"/>
  <c r="AN75" i="5" s="1"/>
  <c r="AN74" i="5" a="1"/>
  <c r="AN74" i="5" s="1"/>
  <c r="AN73" i="5" a="1"/>
  <c r="AN73" i="5" s="1"/>
  <c r="AN72" i="5" a="1"/>
  <c r="AN72" i="5" s="1"/>
  <c r="AN71" i="5" a="1"/>
  <c r="AN71" i="5" s="1"/>
  <c r="AN70" i="5" a="1"/>
  <c r="AN70" i="5" s="1"/>
  <c r="AN69" i="5" a="1"/>
  <c r="AN69" i="5" s="1"/>
  <c r="AN68" i="5" a="1"/>
  <c r="AN68" i="5" s="1"/>
  <c r="AN67" i="5" a="1"/>
  <c r="AN67" i="5" s="1"/>
  <c r="AA98" i="5" a="1"/>
  <c r="AA98" i="5" s="1"/>
  <c r="AA97" i="5" a="1"/>
  <c r="AA97" i="5" s="1"/>
  <c r="AA96" i="5" a="1"/>
  <c r="AA96" i="5" s="1"/>
  <c r="AA95" i="5" a="1"/>
  <c r="AA95" i="5" s="1"/>
  <c r="AA94" i="5" a="1"/>
  <c r="AA94" i="5" s="1"/>
  <c r="AA93" i="5" a="1"/>
  <c r="AA93" i="5" s="1"/>
  <c r="AA92" i="5" a="1"/>
  <c r="AA92" i="5" s="1"/>
  <c r="AA91" i="5" a="1"/>
  <c r="AA91" i="5" s="1"/>
  <c r="AA90" i="5" a="1"/>
  <c r="AA90" i="5" s="1"/>
  <c r="AA89" i="5" a="1"/>
  <c r="AA89" i="5" s="1"/>
  <c r="AA88" i="5" a="1"/>
  <c r="AA88" i="5" s="1"/>
  <c r="AA87" i="5" a="1"/>
  <c r="AA87" i="5" s="1"/>
  <c r="AA86" i="5" a="1"/>
  <c r="AA86" i="5" s="1"/>
  <c r="AA85" i="5" a="1"/>
  <c r="AA85" i="5" s="1"/>
  <c r="AA84" i="5" a="1"/>
  <c r="AA84" i="5" s="1"/>
  <c r="AA83" i="5" a="1"/>
  <c r="AA83" i="5" s="1"/>
  <c r="AA82" i="5" a="1"/>
  <c r="AA82" i="5" s="1"/>
  <c r="AA81" i="5" a="1"/>
  <c r="AA81" i="5" s="1"/>
  <c r="AA80" i="5" a="1"/>
  <c r="AA80" i="5" s="1"/>
  <c r="AA79" i="5" a="1"/>
  <c r="AA79" i="5" s="1"/>
  <c r="AA78" i="5" a="1"/>
  <c r="AA78" i="5" s="1"/>
  <c r="AA77" i="5" a="1"/>
  <c r="AA77" i="5" s="1"/>
  <c r="AA76" i="5" a="1"/>
  <c r="AA76" i="5" s="1"/>
  <c r="AA75" i="5" a="1"/>
  <c r="AA75" i="5" s="1"/>
  <c r="AA74" i="5" a="1"/>
  <c r="AA74" i="5" s="1"/>
  <c r="AA73" i="5" a="1"/>
  <c r="AA73" i="5" s="1"/>
  <c r="AA72" i="5" a="1"/>
  <c r="AA72" i="5" s="1"/>
  <c r="AA71" i="5" a="1"/>
  <c r="AA71" i="5" s="1"/>
  <c r="AA70" i="5" a="1"/>
  <c r="AA70" i="5" s="1"/>
  <c r="AA69" i="5" a="1"/>
  <c r="AA69" i="5" s="1"/>
  <c r="AA68" i="5" a="1"/>
  <c r="AA68" i="5" s="1"/>
  <c r="N68" i="5" a="1"/>
  <c r="N68" i="5" s="1"/>
  <c r="N69" i="5" a="1"/>
  <c r="N69" i="5" s="1"/>
  <c r="N70" i="5" a="1"/>
  <c r="N70" i="5" s="1"/>
  <c r="N71" i="5" a="1"/>
  <c r="N71" i="5" s="1"/>
  <c r="N72" i="5" a="1"/>
  <c r="N72" i="5" s="1"/>
  <c r="N73" i="5" a="1"/>
  <c r="N73" i="5" s="1"/>
  <c r="N74" i="5" a="1"/>
  <c r="N74" i="5" s="1"/>
  <c r="N75" i="5" a="1"/>
  <c r="N75" i="5" s="1"/>
  <c r="N76" i="5" a="1"/>
  <c r="N76" i="5" s="1"/>
  <c r="N77" i="5" a="1"/>
  <c r="N77" i="5" s="1"/>
  <c r="N78" i="5" a="1"/>
  <c r="N78" i="5" s="1"/>
  <c r="N79" i="5" a="1"/>
  <c r="N79" i="5" s="1"/>
  <c r="N80" i="5" a="1"/>
  <c r="N80" i="5" s="1"/>
  <c r="N81" i="5" a="1"/>
  <c r="N81" i="5" s="1"/>
  <c r="N82" i="5" a="1"/>
  <c r="N82" i="5" s="1"/>
  <c r="N83" i="5" a="1"/>
  <c r="N83" i="5" s="1"/>
  <c r="N84" i="5" a="1"/>
  <c r="N84" i="5" s="1"/>
  <c r="N85" i="5" a="1"/>
  <c r="N85" i="5" s="1"/>
  <c r="N86" i="5" a="1"/>
  <c r="N86" i="5" s="1"/>
  <c r="N87" i="5" a="1"/>
  <c r="N87" i="5" s="1"/>
  <c r="N88" i="5" a="1"/>
  <c r="N88" i="5" s="1"/>
  <c r="N89" i="5" a="1"/>
  <c r="N89" i="5" s="1"/>
  <c r="N90" i="5" a="1"/>
  <c r="N90" i="5" s="1"/>
  <c r="N91" i="5" a="1"/>
  <c r="N91" i="5" s="1"/>
  <c r="N92" i="5" a="1"/>
  <c r="N92" i="5" s="1"/>
  <c r="N93" i="5" a="1"/>
  <c r="N93" i="5" s="1"/>
  <c r="N94" i="5" a="1"/>
  <c r="N94" i="5" s="1"/>
  <c r="N95" i="5" a="1"/>
  <c r="N95" i="5" s="1"/>
  <c r="N96" i="5" a="1"/>
  <c r="N96" i="5" s="1"/>
  <c r="N97" i="5" a="1"/>
  <c r="N97" i="5" s="1"/>
  <c r="N98" i="5" a="1"/>
  <c r="N98" i="5" s="1"/>
  <c r="N67" i="5" a="1"/>
  <c r="N67" i="5" s="1"/>
  <c r="BE5" i="2" l="1"/>
  <c r="BE6" i="2"/>
  <c r="BE7" i="2"/>
  <c r="BE8" i="2"/>
  <c r="BE9" i="2"/>
  <c r="BE10" i="2"/>
  <c r="BE11" i="2"/>
  <c r="BE12" i="2"/>
  <c r="BE13" i="2"/>
  <c r="BE14" i="2"/>
  <c r="BE15" i="2"/>
  <c r="BE17" i="2"/>
  <c r="BE18" i="2"/>
  <c r="BE19" i="2"/>
  <c r="BE20" i="2"/>
  <c r="BE21" i="2"/>
  <c r="BE22" i="2"/>
  <c r="BE23" i="2"/>
  <c r="BE24" i="2"/>
  <c r="BE25" i="2"/>
  <c r="BE26" i="2"/>
  <c r="BE27" i="2"/>
  <c r="BE29" i="2"/>
  <c r="BE30" i="2"/>
  <c r="BE31" i="2"/>
  <c r="BE32" i="2"/>
  <c r="BE33" i="2"/>
  <c r="BE34" i="2"/>
  <c r="BE35" i="2"/>
  <c r="BE36" i="2"/>
  <c r="BE37" i="2"/>
  <c r="BE38" i="2"/>
  <c r="BE39" i="2"/>
  <c r="BE41" i="2"/>
  <c r="BE42" i="2"/>
  <c r="BE43" i="2"/>
  <c r="BE44" i="2"/>
  <c r="BE45" i="2"/>
  <c r="BE46" i="2"/>
  <c r="BE47" i="2"/>
  <c r="BE48" i="2"/>
  <c r="BE49" i="2"/>
  <c r="BE50" i="2"/>
  <c r="BE51" i="2"/>
  <c r="BE53" i="2"/>
  <c r="BE54" i="2"/>
  <c r="BE55" i="2"/>
  <c r="BE56" i="2"/>
  <c r="BE57" i="2"/>
  <c r="BE58" i="2"/>
  <c r="BE59" i="2"/>
  <c r="BE60" i="2"/>
  <c r="BE61" i="2"/>
  <c r="BE62" i="2"/>
  <c r="BE63" i="2"/>
  <c r="BE65" i="2"/>
  <c r="BE66" i="2"/>
  <c r="BE67" i="2"/>
  <c r="BE68" i="2"/>
  <c r="BE69" i="2"/>
  <c r="BE70" i="2"/>
  <c r="BE71" i="2"/>
  <c r="BE72" i="2"/>
  <c r="BE73" i="2"/>
  <c r="BE74" i="2"/>
  <c r="BE75"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4" i="2"/>
  <c r="AP4" i="2"/>
  <c r="BD4" i="2" s="1"/>
  <c r="AO4" i="2"/>
  <c r="BC4" i="2" s="1"/>
  <c r="BF4" i="2" l="1"/>
  <c r="BG4" i="2" s="1"/>
  <c r="AR4" i="2"/>
  <c r="AS4" i="2" s="1"/>
  <c r="Q21" i="5" l="1"/>
  <c r="M51" i="5" l="1"/>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H20" i="5"/>
  <c r="O20" i="5" s="1" a="1"/>
  <c r="O20" i="5" s="1"/>
  <c r="H21" i="5"/>
  <c r="H22" i="5"/>
  <c r="O22" i="5" s="1" a="1"/>
  <c r="O22" i="5" s="1"/>
  <c r="H23" i="5"/>
  <c r="O23" i="5" s="1" a="1"/>
  <c r="O23" i="5" s="1"/>
  <c r="H24" i="5"/>
  <c r="O24" i="5" s="1" a="1"/>
  <c r="O24" i="5" s="1"/>
  <c r="H25" i="5"/>
  <c r="O25" i="5" s="1" a="1"/>
  <c r="O25" i="5" s="1"/>
  <c r="H26" i="5"/>
  <c r="O26" i="5" s="1" a="1"/>
  <c r="O26" i="5" s="1"/>
  <c r="H27" i="5"/>
  <c r="O27" i="5" s="1" a="1"/>
  <c r="O27" i="5" s="1"/>
  <c r="H28" i="5"/>
  <c r="O28" i="5" s="1" a="1"/>
  <c r="O28" i="5" s="1"/>
  <c r="H29" i="5"/>
  <c r="O29" i="5" s="1" a="1"/>
  <c r="O29" i="5" s="1"/>
  <c r="H30" i="5"/>
  <c r="O30" i="5" s="1" a="1"/>
  <c r="O30" i="5" s="1"/>
  <c r="H31" i="5"/>
  <c r="O31" i="5" s="1" a="1"/>
  <c r="O31" i="5" s="1"/>
  <c r="H32" i="5"/>
  <c r="O32" i="5" s="1" a="1"/>
  <c r="O32" i="5" s="1"/>
  <c r="H33" i="5"/>
  <c r="O33" i="5" s="1" a="1"/>
  <c r="O33" i="5" s="1"/>
  <c r="H34" i="5"/>
  <c r="O34" i="5" s="1" a="1"/>
  <c r="O34" i="5" s="1"/>
  <c r="H35" i="5"/>
  <c r="O35" i="5" s="1" a="1"/>
  <c r="O35" i="5" s="1"/>
  <c r="H36" i="5"/>
  <c r="O36" i="5" s="1" a="1"/>
  <c r="O36" i="5" s="1"/>
  <c r="H37" i="5"/>
  <c r="O37" i="5" s="1" a="1"/>
  <c r="O37" i="5" s="1"/>
  <c r="H38" i="5"/>
  <c r="O38" i="5" s="1" a="1"/>
  <c r="O38" i="5" s="1"/>
  <c r="H39" i="5"/>
  <c r="O39" i="5" s="1" a="1"/>
  <c r="O39" i="5" s="1"/>
  <c r="H40" i="5"/>
  <c r="O40" i="5" s="1" a="1"/>
  <c r="O40" i="5" s="1"/>
  <c r="H41" i="5"/>
  <c r="O41" i="5" s="1" a="1"/>
  <c r="O41" i="5" s="1"/>
  <c r="H42" i="5"/>
  <c r="O42" i="5" s="1" a="1"/>
  <c r="O42" i="5" s="1"/>
  <c r="H43" i="5"/>
  <c r="O43" i="5" s="1" a="1"/>
  <c r="O43" i="5" s="1"/>
  <c r="H44" i="5"/>
  <c r="O44" i="5" s="1" a="1"/>
  <c r="O44" i="5" s="1"/>
  <c r="H45" i="5"/>
  <c r="O45" i="5" s="1" a="1"/>
  <c r="O45" i="5" s="1"/>
  <c r="H46" i="5"/>
  <c r="O46" i="5" s="1" a="1"/>
  <c r="O46" i="5" s="1"/>
  <c r="H47" i="5"/>
  <c r="O47" i="5" s="1" a="1"/>
  <c r="O47" i="5" s="1"/>
  <c r="H48" i="5"/>
  <c r="O48" i="5" s="1" a="1"/>
  <c r="O48" i="5" s="1"/>
  <c r="H49" i="5"/>
  <c r="O49" i="5" s="1" a="1"/>
  <c r="O49" i="5" s="1"/>
  <c r="H50" i="5"/>
  <c r="O50" i="5" s="1" a="1"/>
  <c r="O50" i="5" s="1"/>
  <c r="H51" i="5"/>
  <c r="O51" i="5" s="1" a="1"/>
  <c r="O51" i="5" s="1"/>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O21" i="5" l="1" a="1"/>
  <c r="O21" i="5" s="1"/>
  <c r="R21" i="5" s="1"/>
  <c r="S21" i="5" s="1"/>
  <c r="O26" i="6"/>
  <c r="R20" i="5" l="1"/>
  <c r="O30" i="6"/>
  <c r="E305" i="7"/>
  <c r="F305" i="7"/>
  <c r="G305" i="7"/>
  <c r="H305" i="7"/>
  <c r="I305" i="7"/>
  <c r="S305" i="7"/>
  <c r="AO305" i="7"/>
  <c r="AP305" i="7"/>
  <c r="AS305" i="7"/>
  <c r="AP305" i="11" s="1"/>
  <c r="AT305" i="7"/>
  <c r="AQ305" i="11" s="1"/>
  <c r="AU305" i="7"/>
  <c r="AR305" i="11" s="1"/>
  <c r="BN305" i="7"/>
  <c r="BO305" i="7"/>
  <c r="BV305" i="7"/>
  <c r="AL305" i="11" s="1"/>
  <c r="BW305" i="7"/>
  <c r="E306" i="7"/>
  <c r="F306" i="7"/>
  <c r="G306" i="7"/>
  <c r="H306" i="7"/>
  <c r="I306" i="7"/>
  <c r="S306" i="7"/>
  <c r="AO306" i="7"/>
  <c r="AP306" i="7"/>
  <c r="AS306" i="7"/>
  <c r="AP306" i="11" s="1"/>
  <c r="AT306" i="7"/>
  <c r="AQ306" i="11" s="1"/>
  <c r="AU306" i="7"/>
  <c r="AR306" i="11" s="1"/>
  <c r="BN306" i="7"/>
  <c r="BO306" i="7"/>
  <c r="BV306" i="7"/>
  <c r="AL306" i="11" s="1"/>
  <c r="BW306" i="7"/>
  <c r="E307" i="7"/>
  <c r="F307" i="7"/>
  <c r="G307" i="7"/>
  <c r="H307" i="7"/>
  <c r="I307" i="7"/>
  <c r="S307" i="7"/>
  <c r="AO307" i="7"/>
  <c r="AP307" i="7"/>
  <c r="AS307" i="7"/>
  <c r="AP307" i="11" s="1"/>
  <c r="AT307" i="7"/>
  <c r="AQ307" i="11" s="1"/>
  <c r="AU307" i="7"/>
  <c r="AR307" i="11" s="1"/>
  <c r="BN307" i="7"/>
  <c r="BO307" i="7"/>
  <c r="BV307" i="7"/>
  <c r="AL307" i="11" s="1"/>
  <c r="BW307" i="7"/>
  <c r="E308" i="7"/>
  <c r="F308" i="7"/>
  <c r="G308" i="7"/>
  <c r="H308" i="7"/>
  <c r="I308" i="7"/>
  <c r="S308" i="7"/>
  <c r="AO308" i="7"/>
  <c r="AP308" i="7"/>
  <c r="AS308" i="7"/>
  <c r="AP308" i="11" s="1"/>
  <c r="AT308" i="7"/>
  <c r="AQ308" i="11" s="1"/>
  <c r="AU308" i="7"/>
  <c r="AR308" i="11" s="1"/>
  <c r="BN308" i="7"/>
  <c r="BO308" i="7"/>
  <c r="BV308" i="7"/>
  <c r="AL308" i="11" s="1"/>
  <c r="BW308" i="7"/>
  <c r="E309" i="7"/>
  <c r="F309" i="7"/>
  <c r="G309" i="7"/>
  <c r="H309" i="7"/>
  <c r="I309" i="7"/>
  <c r="S309" i="7"/>
  <c r="AO309" i="7"/>
  <c r="AP309" i="7"/>
  <c r="AS309" i="7"/>
  <c r="AP309" i="11" s="1"/>
  <c r="AT309" i="7"/>
  <c r="AQ309" i="11" s="1"/>
  <c r="AU309" i="7"/>
  <c r="AR309" i="11" s="1"/>
  <c r="BN309" i="7"/>
  <c r="BO309" i="7"/>
  <c r="BV309" i="7"/>
  <c r="AL309" i="11" s="1"/>
  <c r="BW309" i="7"/>
  <c r="E310" i="7"/>
  <c r="F310" i="7"/>
  <c r="G310" i="7"/>
  <c r="H310" i="7"/>
  <c r="I310" i="7"/>
  <c r="S310" i="7"/>
  <c r="AO310" i="7"/>
  <c r="AP310" i="7"/>
  <c r="AS310" i="7"/>
  <c r="AP310" i="11" s="1"/>
  <c r="AT310" i="7"/>
  <c r="AQ310" i="11" s="1"/>
  <c r="AU310" i="7"/>
  <c r="AR310" i="11" s="1"/>
  <c r="BN310" i="7"/>
  <c r="BO310" i="7"/>
  <c r="BV310" i="7"/>
  <c r="AL310" i="11" s="1"/>
  <c r="BW310" i="7"/>
  <c r="E311" i="7"/>
  <c r="F311" i="7"/>
  <c r="G311" i="7"/>
  <c r="H311" i="7"/>
  <c r="I311" i="7"/>
  <c r="S311" i="7"/>
  <c r="AO311" i="7"/>
  <c r="AP311" i="7"/>
  <c r="AS311" i="7"/>
  <c r="AP311" i="11" s="1"/>
  <c r="AT311" i="7"/>
  <c r="AQ311" i="11" s="1"/>
  <c r="AU311" i="7"/>
  <c r="AR311" i="11" s="1"/>
  <c r="BN311" i="7"/>
  <c r="BO311" i="7"/>
  <c r="BV311" i="7"/>
  <c r="AL311" i="11" s="1"/>
  <c r="BW311" i="7"/>
  <c r="E312" i="7"/>
  <c r="F312" i="7"/>
  <c r="G312" i="7"/>
  <c r="H312" i="7"/>
  <c r="I312" i="7"/>
  <c r="S312" i="7"/>
  <c r="AO312" i="7"/>
  <c r="AP312" i="7"/>
  <c r="AS312" i="7"/>
  <c r="AP312" i="11" s="1"/>
  <c r="AT312" i="7"/>
  <c r="AQ312" i="11" s="1"/>
  <c r="AU312" i="7"/>
  <c r="AR312" i="11" s="1"/>
  <c r="BN312" i="7"/>
  <c r="BO312" i="7"/>
  <c r="BV312" i="7"/>
  <c r="AL312" i="11" s="1"/>
  <c r="BW312" i="7"/>
  <c r="E313" i="7"/>
  <c r="F313" i="7"/>
  <c r="G313" i="7"/>
  <c r="H313" i="7"/>
  <c r="I313" i="7"/>
  <c r="S313" i="7"/>
  <c r="AO313" i="7"/>
  <c r="AP313" i="7"/>
  <c r="AS313" i="7"/>
  <c r="AP313" i="11" s="1"/>
  <c r="AT313" i="7"/>
  <c r="AQ313" i="11" s="1"/>
  <c r="AU313" i="7"/>
  <c r="AR313" i="11" s="1"/>
  <c r="BN313" i="7"/>
  <c r="BO313" i="7"/>
  <c r="BV313" i="7"/>
  <c r="AL313" i="11" s="1"/>
  <c r="BW313" i="7"/>
  <c r="E314" i="7"/>
  <c r="F314" i="7"/>
  <c r="G314" i="7"/>
  <c r="H314" i="7"/>
  <c r="I314" i="7"/>
  <c r="S314" i="7"/>
  <c r="AO314" i="7"/>
  <c r="AP314" i="7"/>
  <c r="AS314" i="7"/>
  <c r="AP314" i="11" s="1"/>
  <c r="AT314" i="7"/>
  <c r="AQ314" i="11" s="1"/>
  <c r="AU314" i="7"/>
  <c r="AR314" i="11" s="1"/>
  <c r="BN314" i="7"/>
  <c r="BO314" i="7"/>
  <c r="BV314" i="7"/>
  <c r="AL314" i="11" s="1"/>
  <c r="BW314" i="7"/>
  <c r="E315" i="7"/>
  <c r="F315" i="7"/>
  <c r="G315" i="7"/>
  <c r="H315" i="7"/>
  <c r="I315" i="7"/>
  <c r="S315" i="7"/>
  <c r="AO315" i="7"/>
  <c r="AP315" i="7"/>
  <c r="AS315" i="7"/>
  <c r="AP315" i="11" s="1"/>
  <c r="AT315" i="7"/>
  <c r="AQ315" i="11" s="1"/>
  <c r="AU315" i="7"/>
  <c r="AR315" i="11" s="1"/>
  <c r="BN315" i="7"/>
  <c r="BO315" i="7"/>
  <c r="BV315" i="7"/>
  <c r="AL315" i="11" s="1"/>
  <c r="BW315" i="7"/>
  <c r="E316" i="7"/>
  <c r="F316" i="7"/>
  <c r="G316" i="7"/>
  <c r="H316" i="7"/>
  <c r="I316" i="7"/>
  <c r="S316" i="7"/>
  <c r="AO316" i="7"/>
  <c r="AP316" i="7"/>
  <c r="AS316" i="7"/>
  <c r="AP316" i="11" s="1"/>
  <c r="AT316" i="7"/>
  <c r="AQ316" i="11" s="1"/>
  <c r="AU316" i="7"/>
  <c r="AR316" i="11" s="1"/>
  <c r="BN316" i="7"/>
  <c r="BO316" i="7"/>
  <c r="BV316" i="7"/>
  <c r="AL316" i="11" s="1"/>
  <c r="BW316" i="7"/>
  <c r="E317" i="7"/>
  <c r="F317" i="7"/>
  <c r="G317" i="7"/>
  <c r="H317" i="7"/>
  <c r="I317" i="7"/>
  <c r="S317" i="7"/>
  <c r="AO317" i="7"/>
  <c r="AP317" i="7"/>
  <c r="AS317" i="7"/>
  <c r="AP317" i="11" s="1"/>
  <c r="AT317" i="7"/>
  <c r="AQ317" i="11" s="1"/>
  <c r="AU317" i="7"/>
  <c r="AR317" i="11" s="1"/>
  <c r="BN317" i="7"/>
  <c r="BO317" i="7"/>
  <c r="BV317" i="7"/>
  <c r="AL317" i="11" s="1"/>
  <c r="BW317" i="7"/>
  <c r="E318" i="7"/>
  <c r="F318" i="7"/>
  <c r="G318" i="7"/>
  <c r="H318" i="7"/>
  <c r="I318" i="7"/>
  <c r="S318" i="7"/>
  <c r="AO318" i="7"/>
  <c r="AP318" i="7"/>
  <c r="AS318" i="7"/>
  <c r="AP318" i="11" s="1"/>
  <c r="AT318" i="7"/>
  <c r="AQ318" i="11" s="1"/>
  <c r="AU318" i="7"/>
  <c r="AR318" i="11" s="1"/>
  <c r="BN318" i="7"/>
  <c r="BO318" i="7"/>
  <c r="BV318" i="7"/>
  <c r="AL318" i="11" s="1"/>
  <c r="BW318" i="7"/>
  <c r="E319" i="7"/>
  <c r="F319" i="7"/>
  <c r="G319" i="7"/>
  <c r="H319" i="7"/>
  <c r="I319" i="7"/>
  <c r="S319" i="7"/>
  <c r="AO319" i="7"/>
  <c r="AP319" i="7"/>
  <c r="AS319" i="7"/>
  <c r="AP319" i="11" s="1"/>
  <c r="AT319" i="7"/>
  <c r="AQ319" i="11" s="1"/>
  <c r="AU319" i="7"/>
  <c r="AR319" i="11" s="1"/>
  <c r="BN319" i="7"/>
  <c r="BO319" i="7"/>
  <c r="BV319" i="7"/>
  <c r="AL319" i="11" s="1"/>
  <c r="BW319" i="7"/>
  <c r="E320" i="7"/>
  <c r="F320" i="7"/>
  <c r="G320" i="7"/>
  <c r="H320" i="7"/>
  <c r="I320" i="7"/>
  <c r="S320" i="7"/>
  <c r="AO320" i="7"/>
  <c r="AP320" i="7"/>
  <c r="AS320" i="7"/>
  <c r="AP320" i="11" s="1"/>
  <c r="AT320" i="7"/>
  <c r="AQ320" i="11" s="1"/>
  <c r="AU320" i="7"/>
  <c r="AR320" i="11" s="1"/>
  <c r="BN320" i="7"/>
  <c r="BO320" i="7"/>
  <c r="BV320" i="7"/>
  <c r="AL320" i="11" s="1"/>
  <c r="BW320" i="7"/>
  <c r="E321" i="7"/>
  <c r="F321" i="7"/>
  <c r="G321" i="7"/>
  <c r="H321" i="7"/>
  <c r="I321" i="7"/>
  <c r="S321" i="7"/>
  <c r="AO321" i="7"/>
  <c r="AP321" i="7"/>
  <c r="AS321" i="7"/>
  <c r="AP321" i="11" s="1"/>
  <c r="AT321" i="7"/>
  <c r="AQ321" i="11" s="1"/>
  <c r="AU321" i="7"/>
  <c r="AR321" i="11" s="1"/>
  <c r="BN321" i="7"/>
  <c r="BO321" i="7"/>
  <c r="BV321" i="7"/>
  <c r="AL321" i="11" s="1"/>
  <c r="BW321" i="7"/>
  <c r="E322" i="7"/>
  <c r="F322" i="7"/>
  <c r="G322" i="7"/>
  <c r="H322" i="7"/>
  <c r="I322" i="7"/>
  <c r="S322" i="7"/>
  <c r="AO322" i="7"/>
  <c r="AP322" i="7"/>
  <c r="AS322" i="7"/>
  <c r="AP322" i="11" s="1"/>
  <c r="AT322" i="7"/>
  <c r="AQ322" i="11" s="1"/>
  <c r="AU322" i="7"/>
  <c r="AR322" i="11" s="1"/>
  <c r="BN322" i="7"/>
  <c r="BO322" i="7"/>
  <c r="BV322" i="7"/>
  <c r="AL322" i="11" s="1"/>
  <c r="BW322" i="7"/>
  <c r="E323" i="7"/>
  <c r="F323" i="7"/>
  <c r="G323" i="7"/>
  <c r="H323" i="7"/>
  <c r="I323" i="7"/>
  <c r="S323" i="7"/>
  <c r="AO323" i="7"/>
  <c r="AP323" i="7"/>
  <c r="AS323" i="7"/>
  <c r="AP323" i="11" s="1"/>
  <c r="AT323" i="7"/>
  <c r="AQ323" i="11" s="1"/>
  <c r="AU323" i="7"/>
  <c r="AR323" i="11" s="1"/>
  <c r="BN323" i="7"/>
  <c r="BO323" i="7"/>
  <c r="BV323" i="7"/>
  <c r="AL323" i="11" s="1"/>
  <c r="BW323" i="7"/>
  <c r="E324" i="7"/>
  <c r="F324" i="7"/>
  <c r="G324" i="7"/>
  <c r="H324" i="7"/>
  <c r="I324" i="7"/>
  <c r="S324" i="7"/>
  <c r="AO324" i="7"/>
  <c r="AP324" i="7"/>
  <c r="AS324" i="7"/>
  <c r="AP324" i="11" s="1"/>
  <c r="AT324" i="7"/>
  <c r="AQ324" i="11" s="1"/>
  <c r="AU324" i="7"/>
  <c r="AR324" i="11" s="1"/>
  <c r="BN324" i="7"/>
  <c r="BO324" i="7"/>
  <c r="BV324" i="7"/>
  <c r="AL324" i="11" s="1"/>
  <c r="BW324" i="7"/>
  <c r="E325" i="7"/>
  <c r="F325" i="7"/>
  <c r="G325" i="7"/>
  <c r="H325" i="7"/>
  <c r="I325" i="7"/>
  <c r="S325" i="7"/>
  <c r="AO325" i="7"/>
  <c r="AP325" i="7"/>
  <c r="AS325" i="7"/>
  <c r="AP325" i="11" s="1"/>
  <c r="AT325" i="7"/>
  <c r="AQ325" i="11" s="1"/>
  <c r="AU325" i="7"/>
  <c r="AR325" i="11" s="1"/>
  <c r="BN325" i="7"/>
  <c r="BO325" i="7"/>
  <c r="BV325" i="7"/>
  <c r="AL325" i="11" s="1"/>
  <c r="BW325" i="7"/>
  <c r="E326" i="7"/>
  <c r="F326" i="7"/>
  <c r="G326" i="7"/>
  <c r="H326" i="7"/>
  <c r="I326" i="7"/>
  <c r="S326" i="7"/>
  <c r="AO326" i="7"/>
  <c r="AP326" i="7"/>
  <c r="AS326" i="7"/>
  <c r="AP326" i="11" s="1"/>
  <c r="AT326" i="7"/>
  <c r="AQ326" i="11" s="1"/>
  <c r="AU326" i="7"/>
  <c r="AR326" i="11" s="1"/>
  <c r="BN326" i="7"/>
  <c r="BO326" i="7"/>
  <c r="BV326" i="7"/>
  <c r="AL326" i="11" s="1"/>
  <c r="BW326" i="7"/>
  <c r="E327" i="7"/>
  <c r="F327" i="7"/>
  <c r="G327" i="7"/>
  <c r="H327" i="7"/>
  <c r="I327" i="7"/>
  <c r="S327" i="7"/>
  <c r="AO327" i="7"/>
  <c r="AP327" i="7"/>
  <c r="AS327" i="7"/>
  <c r="AP327" i="11" s="1"/>
  <c r="AT327" i="7"/>
  <c r="AQ327" i="11" s="1"/>
  <c r="AU327" i="7"/>
  <c r="AR327" i="11" s="1"/>
  <c r="BN327" i="7"/>
  <c r="BO327" i="7"/>
  <c r="BV327" i="7"/>
  <c r="AL327" i="11" s="1"/>
  <c r="BW327" i="7"/>
  <c r="E328" i="7"/>
  <c r="F328" i="7"/>
  <c r="G328" i="7"/>
  <c r="H328" i="7"/>
  <c r="I328" i="7"/>
  <c r="S328" i="7"/>
  <c r="AO328" i="7"/>
  <c r="AP328" i="7"/>
  <c r="AS328" i="7"/>
  <c r="AP328" i="11" s="1"/>
  <c r="AT328" i="7"/>
  <c r="AQ328" i="11" s="1"/>
  <c r="AU328" i="7"/>
  <c r="AR328" i="11" s="1"/>
  <c r="BN328" i="7"/>
  <c r="BO328" i="7"/>
  <c r="BV328" i="7"/>
  <c r="AL328" i="11" s="1"/>
  <c r="BW328" i="7"/>
  <c r="E329" i="7"/>
  <c r="F329" i="7"/>
  <c r="G329" i="7"/>
  <c r="H329" i="7"/>
  <c r="I329" i="7"/>
  <c r="S329" i="7"/>
  <c r="AO329" i="7"/>
  <c r="AP329" i="7"/>
  <c r="AS329" i="7"/>
  <c r="AP329" i="11" s="1"/>
  <c r="AT329" i="7"/>
  <c r="AQ329" i="11" s="1"/>
  <c r="AU329" i="7"/>
  <c r="AR329" i="11" s="1"/>
  <c r="BN329" i="7"/>
  <c r="BO329" i="7"/>
  <c r="BV329" i="7"/>
  <c r="AL329" i="11" s="1"/>
  <c r="BW329" i="7"/>
  <c r="E330" i="7"/>
  <c r="F330" i="7"/>
  <c r="G330" i="7"/>
  <c r="H330" i="7"/>
  <c r="I330" i="7"/>
  <c r="S330" i="7"/>
  <c r="AO330" i="7"/>
  <c r="AP330" i="7"/>
  <c r="AS330" i="7"/>
  <c r="AP330" i="11" s="1"/>
  <c r="AT330" i="7"/>
  <c r="AQ330" i="11" s="1"/>
  <c r="AU330" i="7"/>
  <c r="AR330" i="11" s="1"/>
  <c r="BN330" i="7"/>
  <c r="BO330" i="7"/>
  <c r="BV330" i="7"/>
  <c r="AL330" i="11" s="1"/>
  <c r="BW330" i="7"/>
  <c r="E331" i="7"/>
  <c r="F331" i="7"/>
  <c r="G331" i="7"/>
  <c r="H331" i="7"/>
  <c r="I331" i="7"/>
  <c r="S331" i="7"/>
  <c r="AO331" i="7"/>
  <c r="AP331" i="7"/>
  <c r="AS331" i="7"/>
  <c r="AP331" i="11" s="1"/>
  <c r="AT331" i="7"/>
  <c r="AQ331" i="11" s="1"/>
  <c r="AU331" i="7"/>
  <c r="AR331" i="11" s="1"/>
  <c r="BN331" i="7"/>
  <c r="BO331" i="7"/>
  <c r="BV331" i="7"/>
  <c r="AL331" i="11" s="1"/>
  <c r="BW331" i="7"/>
  <c r="E332" i="7"/>
  <c r="F332" i="7"/>
  <c r="G332" i="7"/>
  <c r="H332" i="7"/>
  <c r="I332" i="7"/>
  <c r="S332" i="7"/>
  <c r="AO332" i="7"/>
  <c r="AP332" i="7"/>
  <c r="AS332" i="7"/>
  <c r="AP332" i="11" s="1"/>
  <c r="AT332" i="7"/>
  <c r="AQ332" i="11" s="1"/>
  <c r="AU332" i="7"/>
  <c r="AR332" i="11" s="1"/>
  <c r="BN332" i="7"/>
  <c r="BO332" i="7"/>
  <c r="BV332" i="7"/>
  <c r="AL332" i="11" s="1"/>
  <c r="BW332" i="7"/>
  <c r="E333" i="7"/>
  <c r="F333" i="7"/>
  <c r="G333" i="7"/>
  <c r="H333" i="7"/>
  <c r="I333" i="7"/>
  <c r="S333" i="7"/>
  <c r="AO333" i="7"/>
  <c r="AP333" i="7"/>
  <c r="AS333" i="7"/>
  <c r="AP333" i="11" s="1"/>
  <c r="AT333" i="7"/>
  <c r="AQ333" i="11" s="1"/>
  <c r="AU333" i="7"/>
  <c r="AR333" i="11" s="1"/>
  <c r="BN333" i="7"/>
  <c r="BO333" i="7"/>
  <c r="BV333" i="7"/>
  <c r="AL333" i="11" s="1"/>
  <c r="BW333" i="7"/>
  <c r="E334" i="7"/>
  <c r="F334" i="7"/>
  <c r="G334" i="7"/>
  <c r="H334" i="7"/>
  <c r="I334" i="7"/>
  <c r="S334" i="7"/>
  <c r="AO334" i="7"/>
  <c r="AP334" i="7"/>
  <c r="AS334" i="7"/>
  <c r="AP334" i="11" s="1"/>
  <c r="AT334" i="7"/>
  <c r="AQ334" i="11" s="1"/>
  <c r="AU334" i="7"/>
  <c r="AR334" i="11" s="1"/>
  <c r="BN334" i="7"/>
  <c r="BO334" i="7"/>
  <c r="BV334" i="7"/>
  <c r="AL334" i="11" s="1"/>
  <c r="BW334" i="7"/>
  <c r="E335" i="7"/>
  <c r="F335" i="7"/>
  <c r="G335" i="7"/>
  <c r="H335" i="7"/>
  <c r="I335" i="7"/>
  <c r="S335" i="7"/>
  <c r="AO335" i="7"/>
  <c r="AP335" i="7"/>
  <c r="AS335" i="7"/>
  <c r="AP335" i="11" s="1"/>
  <c r="AT335" i="7"/>
  <c r="AQ335" i="11" s="1"/>
  <c r="AU335" i="7"/>
  <c r="AR335" i="11" s="1"/>
  <c r="BN335" i="7"/>
  <c r="BO335" i="7"/>
  <c r="BV335" i="7"/>
  <c r="AL335" i="11" s="1"/>
  <c r="BW335" i="7"/>
  <c r="E336" i="7"/>
  <c r="F336" i="7"/>
  <c r="G336" i="7"/>
  <c r="H336" i="7"/>
  <c r="I336" i="7"/>
  <c r="S336" i="7"/>
  <c r="AO336" i="7"/>
  <c r="AP336" i="7"/>
  <c r="AS336" i="7"/>
  <c r="AP336" i="11" s="1"/>
  <c r="AT336" i="7"/>
  <c r="AQ336" i="11" s="1"/>
  <c r="AU336" i="7"/>
  <c r="AR336" i="11" s="1"/>
  <c r="BN336" i="7"/>
  <c r="BO336" i="7"/>
  <c r="BV336" i="7"/>
  <c r="AL336" i="11" s="1"/>
  <c r="BW336" i="7"/>
  <c r="E337" i="7"/>
  <c r="F337" i="7"/>
  <c r="G337" i="7"/>
  <c r="H337" i="7"/>
  <c r="I337" i="7"/>
  <c r="S337" i="7"/>
  <c r="AO337" i="7"/>
  <c r="AP337" i="7"/>
  <c r="AS337" i="7"/>
  <c r="AP337" i="11" s="1"/>
  <c r="AT337" i="7"/>
  <c r="AQ337" i="11" s="1"/>
  <c r="AU337" i="7"/>
  <c r="AR337" i="11" s="1"/>
  <c r="BN337" i="7"/>
  <c r="BO337" i="7"/>
  <c r="BV337" i="7"/>
  <c r="AL337" i="11" s="1"/>
  <c r="BW337" i="7"/>
  <c r="E338" i="7"/>
  <c r="F338" i="7"/>
  <c r="G338" i="7"/>
  <c r="H338" i="7"/>
  <c r="I338" i="7"/>
  <c r="S338" i="7"/>
  <c r="AO338" i="7"/>
  <c r="AP338" i="7"/>
  <c r="AS338" i="7"/>
  <c r="AP338" i="11" s="1"/>
  <c r="AT338" i="7"/>
  <c r="AQ338" i="11" s="1"/>
  <c r="AU338" i="7"/>
  <c r="AR338" i="11" s="1"/>
  <c r="BN338" i="7"/>
  <c r="BO338" i="7"/>
  <c r="BV338" i="7"/>
  <c r="AL338" i="11" s="1"/>
  <c r="BW338" i="7"/>
  <c r="E339" i="7"/>
  <c r="F339" i="7"/>
  <c r="G339" i="7"/>
  <c r="H339" i="7"/>
  <c r="I339" i="7"/>
  <c r="S339" i="7"/>
  <c r="AO339" i="7"/>
  <c r="AP339" i="7"/>
  <c r="AS339" i="7"/>
  <c r="AP339" i="11" s="1"/>
  <c r="AT339" i="7"/>
  <c r="AQ339" i="11" s="1"/>
  <c r="AU339" i="7"/>
  <c r="AR339" i="11" s="1"/>
  <c r="BN339" i="7"/>
  <c r="BO339" i="7"/>
  <c r="BV339" i="7"/>
  <c r="AL339" i="11" s="1"/>
  <c r="BW339" i="7"/>
  <c r="E340" i="7"/>
  <c r="F340" i="7"/>
  <c r="G340" i="7"/>
  <c r="H340" i="7"/>
  <c r="I340" i="7"/>
  <c r="S340" i="7"/>
  <c r="AO340" i="7"/>
  <c r="AP340" i="7"/>
  <c r="AS340" i="7"/>
  <c r="AP340" i="11" s="1"/>
  <c r="AT340" i="7"/>
  <c r="AQ340" i="11" s="1"/>
  <c r="AU340" i="7"/>
  <c r="AR340" i="11" s="1"/>
  <c r="BN340" i="7"/>
  <c r="BO340" i="7"/>
  <c r="BV340" i="7"/>
  <c r="AL340" i="11" s="1"/>
  <c r="BW340" i="7"/>
  <c r="E341" i="7"/>
  <c r="F341" i="7"/>
  <c r="G341" i="7"/>
  <c r="H341" i="7"/>
  <c r="I341" i="7"/>
  <c r="S341" i="7"/>
  <c r="AO341" i="7"/>
  <c r="AP341" i="7"/>
  <c r="AS341" i="7"/>
  <c r="AP341" i="11" s="1"/>
  <c r="AT341" i="7"/>
  <c r="AQ341" i="11" s="1"/>
  <c r="AU341" i="7"/>
  <c r="AR341" i="11" s="1"/>
  <c r="BN341" i="7"/>
  <c r="BO341" i="7"/>
  <c r="BV341" i="7"/>
  <c r="AL341" i="11" s="1"/>
  <c r="BW341" i="7"/>
  <c r="E342" i="7"/>
  <c r="F342" i="7"/>
  <c r="G342" i="7"/>
  <c r="H342" i="7"/>
  <c r="I342" i="7"/>
  <c r="S342" i="7"/>
  <c r="AO342" i="7"/>
  <c r="AP342" i="7"/>
  <c r="AS342" i="7"/>
  <c r="AP342" i="11" s="1"/>
  <c r="AT342" i="7"/>
  <c r="AQ342" i="11" s="1"/>
  <c r="AU342" i="7"/>
  <c r="AR342" i="11" s="1"/>
  <c r="BN342" i="7"/>
  <c r="BO342" i="7"/>
  <c r="BV342" i="7"/>
  <c r="AL342" i="11" s="1"/>
  <c r="BW342" i="7"/>
  <c r="E343" i="7"/>
  <c r="F343" i="7"/>
  <c r="G343" i="7"/>
  <c r="H343" i="7"/>
  <c r="I343" i="7"/>
  <c r="S343" i="7"/>
  <c r="AO343" i="7"/>
  <c r="AP343" i="7"/>
  <c r="AS343" i="7"/>
  <c r="AP343" i="11" s="1"/>
  <c r="AT343" i="7"/>
  <c r="AQ343" i="11" s="1"/>
  <c r="AU343" i="7"/>
  <c r="AR343" i="11" s="1"/>
  <c r="BN343" i="7"/>
  <c r="BO343" i="7"/>
  <c r="BV343" i="7"/>
  <c r="AL343" i="11" s="1"/>
  <c r="BW343" i="7"/>
  <c r="E344" i="7"/>
  <c r="F344" i="7"/>
  <c r="G344" i="7"/>
  <c r="H344" i="7"/>
  <c r="I344" i="7"/>
  <c r="S344" i="7"/>
  <c r="AO344" i="7"/>
  <c r="AP344" i="7"/>
  <c r="AS344" i="7"/>
  <c r="AP344" i="11" s="1"/>
  <c r="AT344" i="7"/>
  <c r="AQ344" i="11" s="1"/>
  <c r="AU344" i="7"/>
  <c r="AR344" i="11" s="1"/>
  <c r="BN344" i="7"/>
  <c r="BO344" i="7"/>
  <c r="BV344" i="7"/>
  <c r="AL344" i="11" s="1"/>
  <c r="BW344" i="7"/>
  <c r="E345" i="7"/>
  <c r="F345" i="7"/>
  <c r="G345" i="7"/>
  <c r="H345" i="7"/>
  <c r="I345" i="7"/>
  <c r="S345" i="7"/>
  <c r="AO345" i="7"/>
  <c r="AP345" i="7"/>
  <c r="AS345" i="7"/>
  <c r="AP345" i="11" s="1"/>
  <c r="AT345" i="7"/>
  <c r="AQ345" i="11" s="1"/>
  <c r="AU345" i="7"/>
  <c r="AR345" i="11" s="1"/>
  <c r="BN345" i="7"/>
  <c r="BO345" i="7"/>
  <c r="BV345" i="7"/>
  <c r="AL345" i="11" s="1"/>
  <c r="BW345" i="7"/>
  <c r="E346" i="7"/>
  <c r="F346" i="7"/>
  <c r="G346" i="7"/>
  <c r="H346" i="7"/>
  <c r="I346" i="7"/>
  <c r="S346" i="7"/>
  <c r="AO346" i="7"/>
  <c r="AP346" i="7"/>
  <c r="AS346" i="7"/>
  <c r="AP346" i="11" s="1"/>
  <c r="AT346" i="7"/>
  <c r="AQ346" i="11" s="1"/>
  <c r="AU346" i="7"/>
  <c r="AR346" i="11" s="1"/>
  <c r="BN346" i="7"/>
  <c r="BO346" i="7"/>
  <c r="BV346" i="7"/>
  <c r="AL346" i="11" s="1"/>
  <c r="BW346" i="7"/>
  <c r="E347" i="7"/>
  <c r="F347" i="7"/>
  <c r="G347" i="7"/>
  <c r="H347" i="7"/>
  <c r="I347" i="7"/>
  <c r="S347" i="7"/>
  <c r="AO347" i="7"/>
  <c r="AP347" i="7"/>
  <c r="AS347" i="7"/>
  <c r="AP347" i="11" s="1"/>
  <c r="AT347" i="7"/>
  <c r="AQ347" i="11" s="1"/>
  <c r="AU347" i="7"/>
  <c r="AR347" i="11" s="1"/>
  <c r="BN347" i="7"/>
  <c r="BO347" i="7"/>
  <c r="BV347" i="7"/>
  <c r="AL347" i="11" s="1"/>
  <c r="BW347" i="7"/>
  <c r="E348" i="7"/>
  <c r="F348" i="7"/>
  <c r="G348" i="7"/>
  <c r="H348" i="7"/>
  <c r="I348" i="7"/>
  <c r="S348" i="7"/>
  <c r="AO348" i="7"/>
  <c r="AP348" i="7"/>
  <c r="AS348" i="7"/>
  <c r="AP348" i="11" s="1"/>
  <c r="AT348" i="7"/>
  <c r="AQ348" i="11" s="1"/>
  <c r="AU348" i="7"/>
  <c r="AR348" i="11" s="1"/>
  <c r="BN348" i="7"/>
  <c r="BO348" i="7"/>
  <c r="BV348" i="7"/>
  <c r="AL348" i="11" s="1"/>
  <c r="BW348" i="7"/>
  <c r="E349" i="7"/>
  <c r="F349" i="7"/>
  <c r="G349" i="7"/>
  <c r="H349" i="7"/>
  <c r="I349" i="7"/>
  <c r="S349" i="7"/>
  <c r="AO349" i="7"/>
  <c r="AP349" i="7"/>
  <c r="AS349" i="7"/>
  <c r="AP349" i="11" s="1"/>
  <c r="AT349" i="7"/>
  <c r="AQ349" i="11" s="1"/>
  <c r="AU349" i="7"/>
  <c r="AR349" i="11" s="1"/>
  <c r="BN349" i="7"/>
  <c r="BO349" i="7"/>
  <c r="BV349" i="7"/>
  <c r="AL349" i="11" s="1"/>
  <c r="BW349" i="7"/>
  <c r="E350" i="7"/>
  <c r="F350" i="7"/>
  <c r="G350" i="7"/>
  <c r="H350" i="7"/>
  <c r="I350" i="7"/>
  <c r="S350" i="7"/>
  <c r="AO350" i="7"/>
  <c r="AP350" i="7"/>
  <c r="AS350" i="7"/>
  <c r="AP350" i="11" s="1"/>
  <c r="AT350" i="7"/>
  <c r="AQ350" i="11" s="1"/>
  <c r="AU350" i="7"/>
  <c r="AR350" i="11" s="1"/>
  <c r="BN350" i="7"/>
  <c r="BO350" i="7"/>
  <c r="BV350" i="7"/>
  <c r="AL350" i="11" s="1"/>
  <c r="BW350" i="7"/>
  <c r="E351" i="7"/>
  <c r="F351" i="7"/>
  <c r="G351" i="7"/>
  <c r="H351" i="7"/>
  <c r="I351" i="7"/>
  <c r="S351" i="7"/>
  <c r="AO351" i="7"/>
  <c r="AP351" i="7"/>
  <c r="AS351" i="7"/>
  <c r="AP351" i="11" s="1"/>
  <c r="AT351" i="7"/>
  <c r="AQ351" i="11" s="1"/>
  <c r="AU351" i="7"/>
  <c r="AR351" i="11" s="1"/>
  <c r="BN351" i="7"/>
  <c r="BO351" i="7"/>
  <c r="BV351" i="7"/>
  <c r="AL351" i="11" s="1"/>
  <c r="BW351" i="7"/>
  <c r="E352" i="7"/>
  <c r="F352" i="7"/>
  <c r="G352" i="7"/>
  <c r="H352" i="7"/>
  <c r="I352" i="7"/>
  <c r="S352" i="7"/>
  <c r="AO352" i="7"/>
  <c r="AP352" i="7"/>
  <c r="AS352" i="7"/>
  <c r="AP352" i="11" s="1"/>
  <c r="AT352" i="7"/>
  <c r="AQ352" i="11" s="1"/>
  <c r="AU352" i="7"/>
  <c r="AR352" i="11" s="1"/>
  <c r="BN352" i="7"/>
  <c r="BO352" i="7"/>
  <c r="BV352" i="7"/>
  <c r="AL352" i="11" s="1"/>
  <c r="BW352" i="7"/>
  <c r="E353" i="7"/>
  <c r="F353" i="7"/>
  <c r="G353" i="7"/>
  <c r="H353" i="7"/>
  <c r="I353" i="7"/>
  <c r="S353" i="7"/>
  <c r="AO353" i="7"/>
  <c r="AP353" i="7"/>
  <c r="AS353" i="7"/>
  <c r="AP353" i="11" s="1"/>
  <c r="AT353" i="7"/>
  <c r="AQ353" i="11" s="1"/>
  <c r="AU353" i="7"/>
  <c r="AR353" i="11" s="1"/>
  <c r="BN353" i="7"/>
  <c r="BO353" i="7"/>
  <c r="BV353" i="7"/>
  <c r="AL353" i="11" s="1"/>
  <c r="BW353" i="7"/>
  <c r="E354" i="7"/>
  <c r="F354" i="7"/>
  <c r="G354" i="7"/>
  <c r="H354" i="7"/>
  <c r="I354" i="7"/>
  <c r="S354" i="7"/>
  <c r="AO354" i="7"/>
  <c r="AP354" i="7"/>
  <c r="AS354" i="7"/>
  <c r="AP354" i="11" s="1"/>
  <c r="AT354" i="7"/>
  <c r="AQ354" i="11" s="1"/>
  <c r="AU354" i="7"/>
  <c r="AR354" i="11" s="1"/>
  <c r="BN354" i="7"/>
  <c r="BO354" i="7"/>
  <c r="BV354" i="7"/>
  <c r="AL354" i="11" s="1"/>
  <c r="BW354" i="7"/>
  <c r="E355" i="7"/>
  <c r="F355" i="7"/>
  <c r="G355" i="7"/>
  <c r="H355" i="7"/>
  <c r="I355" i="7"/>
  <c r="S355" i="7"/>
  <c r="AO355" i="7"/>
  <c r="AP355" i="7"/>
  <c r="AS355" i="7"/>
  <c r="AP355" i="11" s="1"/>
  <c r="AT355" i="7"/>
  <c r="AQ355" i="11" s="1"/>
  <c r="AU355" i="7"/>
  <c r="AR355" i="11" s="1"/>
  <c r="BN355" i="7"/>
  <c r="BO355" i="7"/>
  <c r="BV355" i="7"/>
  <c r="AL355" i="11" s="1"/>
  <c r="BW355" i="7"/>
  <c r="E356" i="7"/>
  <c r="F356" i="7"/>
  <c r="G356" i="7"/>
  <c r="H356" i="7"/>
  <c r="I356" i="7"/>
  <c r="S356" i="7"/>
  <c r="AO356" i="7"/>
  <c r="AP356" i="7"/>
  <c r="AS356" i="7"/>
  <c r="AP356" i="11" s="1"/>
  <c r="AT356" i="7"/>
  <c r="AQ356" i="11" s="1"/>
  <c r="AU356" i="7"/>
  <c r="AR356" i="11" s="1"/>
  <c r="BN356" i="7"/>
  <c r="BO356" i="7"/>
  <c r="BV356" i="7"/>
  <c r="AL356" i="11" s="1"/>
  <c r="BW356" i="7"/>
  <c r="E357" i="7"/>
  <c r="F357" i="7"/>
  <c r="G357" i="7"/>
  <c r="H357" i="7"/>
  <c r="I357" i="7"/>
  <c r="S357" i="7"/>
  <c r="AO357" i="7"/>
  <c r="AP357" i="7"/>
  <c r="AS357" i="7"/>
  <c r="AP357" i="11" s="1"/>
  <c r="AT357" i="7"/>
  <c r="AQ357" i="11" s="1"/>
  <c r="AU357" i="7"/>
  <c r="AR357" i="11" s="1"/>
  <c r="BN357" i="7"/>
  <c r="BO357" i="7"/>
  <c r="BV357" i="7"/>
  <c r="AL357" i="11" s="1"/>
  <c r="BW357" i="7"/>
  <c r="E358" i="7"/>
  <c r="F358" i="7"/>
  <c r="G358" i="7"/>
  <c r="H358" i="7"/>
  <c r="I358" i="7"/>
  <c r="S358" i="7"/>
  <c r="AO358" i="7"/>
  <c r="AP358" i="7"/>
  <c r="AS358" i="7"/>
  <c r="AP358" i="11" s="1"/>
  <c r="AT358" i="7"/>
  <c r="AQ358" i="11" s="1"/>
  <c r="AU358" i="7"/>
  <c r="AR358" i="11" s="1"/>
  <c r="BN358" i="7"/>
  <c r="BO358" i="7"/>
  <c r="BV358" i="7"/>
  <c r="AL358" i="11" s="1"/>
  <c r="BW358" i="7"/>
  <c r="E359" i="7"/>
  <c r="F359" i="7"/>
  <c r="G359" i="7"/>
  <c r="H359" i="7"/>
  <c r="I359" i="7"/>
  <c r="S359" i="7"/>
  <c r="AO359" i="7"/>
  <c r="AP359" i="7"/>
  <c r="AS359" i="7"/>
  <c r="AP359" i="11" s="1"/>
  <c r="AT359" i="7"/>
  <c r="AQ359" i="11" s="1"/>
  <c r="AU359" i="7"/>
  <c r="AR359" i="11" s="1"/>
  <c r="BN359" i="7"/>
  <c r="BO359" i="7"/>
  <c r="BV359" i="7"/>
  <c r="AL359" i="11" s="1"/>
  <c r="BW359" i="7"/>
  <c r="E360" i="7"/>
  <c r="F360" i="7"/>
  <c r="G360" i="7"/>
  <c r="H360" i="7"/>
  <c r="I360" i="7"/>
  <c r="S360" i="7"/>
  <c r="AO360" i="7"/>
  <c r="AP360" i="7"/>
  <c r="AS360" i="7"/>
  <c r="AP360" i="11" s="1"/>
  <c r="AT360" i="7"/>
  <c r="AQ360" i="11" s="1"/>
  <c r="AU360" i="7"/>
  <c r="AR360" i="11" s="1"/>
  <c r="BN360" i="7"/>
  <c r="BO360" i="7"/>
  <c r="BV360" i="7"/>
  <c r="AL360" i="11" s="1"/>
  <c r="BW360" i="7"/>
  <c r="E361" i="7"/>
  <c r="F361" i="7"/>
  <c r="G361" i="7"/>
  <c r="H361" i="7"/>
  <c r="I361" i="7"/>
  <c r="S361" i="7"/>
  <c r="AO361" i="7"/>
  <c r="AP361" i="7"/>
  <c r="AS361" i="7"/>
  <c r="AP361" i="11" s="1"/>
  <c r="AT361" i="7"/>
  <c r="AQ361" i="11" s="1"/>
  <c r="AU361" i="7"/>
  <c r="AR361" i="11" s="1"/>
  <c r="BN361" i="7"/>
  <c r="BO361" i="7"/>
  <c r="BV361" i="7"/>
  <c r="AL361" i="11" s="1"/>
  <c r="BW361" i="7"/>
  <c r="E362" i="7"/>
  <c r="F362" i="7"/>
  <c r="G362" i="7"/>
  <c r="H362" i="7"/>
  <c r="I362" i="7"/>
  <c r="S362" i="7"/>
  <c r="AO362" i="7"/>
  <c r="AP362" i="7"/>
  <c r="AS362" i="7"/>
  <c r="AP362" i="11" s="1"/>
  <c r="AT362" i="7"/>
  <c r="AQ362" i="11" s="1"/>
  <c r="AU362" i="7"/>
  <c r="AR362" i="11" s="1"/>
  <c r="BN362" i="7"/>
  <c r="BO362" i="7"/>
  <c r="BV362" i="7"/>
  <c r="AL362" i="11" s="1"/>
  <c r="BW362" i="7"/>
  <c r="E363" i="7"/>
  <c r="F363" i="7"/>
  <c r="G363" i="7"/>
  <c r="H363" i="7"/>
  <c r="I363" i="7"/>
  <c r="S363" i="7"/>
  <c r="AO363" i="7"/>
  <c r="AP363" i="7"/>
  <c r="AS363" i="7"/>
  <c r="AP363" i="11" s="1"/>
  <c r="AT363" i="7"/>
  <c r="AQ363" i="11" s="1"/>
  <c r="AU363" i="7"/>
  <c r="AR363" i="11" s="1"/>
  <c r="BN363" i="7"/>
  <c r="BO363" i="7"/>
  <c r="BV363" i="7"/>
  <c r="AL363" i="11" s="1"/>
  <c r="BW363" i="7"/>
  <c r="E364" i="7"/>
  <c r="F364" i="7"/>
  <c r="G364" i="7"/>
  <c r="H364" i="7"/>
  <c r="I364" i="7"/>
  <c r="S364" i="7"/>
  <c r="AO364" i="7"/>
  <c r="AP364" i="7"/>
  <c r="AS364" i="7"/>
  <c r="AP364" i="11" s="1"/>
  <c r="AT364" i="7"/>
  <c r="AQ364" i="11" s="1"/>
  <c r="AU364" i="7"/>
  <c r="AR364" i="11" s="1"/>
  <c r="BN364" i="7"/>
  <c r="BO364" i="7"/>
  <c r="BV364" i="7"/>
  <c r="AL364" i="11" s="1"/>
  <c r="BW364" i="7"/>
  <c r="G305" i="2"/>
  <c r="T305" i="11" s="1"/>
  <c r="H305" i="2"/>
  <c r="N305" i="2"/>
  <c r="O305" i="2"/>
  <c r="P305" i="2"/>
  <c r="R305" i="2"/>
  <c r="S305" i="2"/>
  <c r="Z305" i="2"/>
  <c r="AH305" i="2"/>
  <c r="AK305" i="11" s="1"/>
  <c r="AI305" i="2"/>
  <c r="AH305" i="11" s="1"/>
  <c r="G306" i="2"/>
  <c r="T306" i="11" s="1"/>
  <c r="H306" i="2"/>
  <c r="N306" i="2"/>
  <c r="O306" i="2"/>
  <c r="P306" i="2"/>
  <c r="R306" i="2"/>
  <c r="S306" i="2"/>
  <c r="Z306" i="2"/>
  <c r="AH306" i="2"/>
  <c r="AK306" i="11" s="1"/>
  <c r="AI306" i="2"/>
  <c r="AH306" i="11" s="1"/>
  <c r="G307" i="2"/>
  <c r="T307" i="11" s="1"/>
  <c r="H307" i="2"/>
  <c r="N307" i="2"/>
  <c r="O307" i="2"/>
  <c r="P307" i="2"/>
  <c r="R307" i="2"/>
  <c r="S307" i="2"/>
  <c r="Z307" i="2"/>
  <c r="AH307" i="2"/>
  <c r="AI307" i="2"/>
  <c r="AH307" i="11" s="1"/>
  <c r="G308" i="2"/>
  <c r="T308" i="11" s="1"/>
  <c r="H308" i="2"/>
  <c r="N308" i="2"/>
  <c r="O308" i="2"/>
  <c r="P308" i="2"/>
  <c r="R308" i="2"/>
  <c r="S308" i="2"/>
  <c r="Z308" i="2"/>
  <c r="AH308" i="2"/>
  <c r="AI308" i="2"/>
  <c r="AH308" i="11" s="1"/>
  <c r="G309" i="2"/>
  <c r="T309" i="11" s="1"/>
  <c r="H309" i="2"/>
  <c r="N309" i="2"/>
  <c r="O309" i="2"/>
  <c r="P309" i="2"/>
  <c r="R309" i="2"/>
  <c r="S309" i="2"/>
  <c r="Z309" i="2"/>
  <c r="AH309" i="2"/>
  <c r="AK309" i="11" s="1"/>
  <c r="AI309" i="2"/>
  <c r="AH309" i="11" s="1"/>
  <c r="G310" i="2"/>
  <c r="T310" i="11" s="1"/>
  <c r="H310" i="2"/>
  <c r="N310" i="2"/>
  <c r="O310" i="2"/>
  <c r="P310" i="2"/>
  <c r="R310" i="2"/>
  <c r="S310" i="2"/>
  <c r="Z310" i="2"/>
  <c r="AH310" i="2"/>
  <c r="AI310" i="2"/>
  <c r="AH310" i="11" s="1"/>
  <c r="G311" i="2"/>
  <c r="T311" i="11" s="1"/>
  <c r="H311" i="2"/>
  <c r="N311" i="2"/>
  <c r="O311" i="2"/>
  <c r="P311" i="2"/>
  <c r="R311" i="2"/>
  <c r="S311" i="2"/>
  <c r="Z311" i="2"/>
  <c r="AH311" i="2"/>
  <c r="AK311" i="11" s="1"/>
  <c r="AI311" i="2"/>
  <c r="AH311" i="11" s="1"/>
  <c r="G312" i="2"/>
  <c r="T312" i="11" s="1"/>
  <c r="H312" i="2"/>
  <c r="N312" i="2"/>
  <c r="O312" i="2"/>
  <c r="P312" i="2"/>
  <c r="R312" i="2"/>
  <c r="S312" i="2"/>
  <c r="Z312" i="2"/>
  <c r="AH312" i="2"/>
  <c r="AI312" i="2"/>
  <c r="AH312" i="11" s="1"/>
  <c r="G313" i="2"/>
  <c r="T313" i="11" s="1"/>
  <c r="H313" i="2"/>
  <c r="N313" i="2"/>
  <c r="O313" i="2"/>
  <c r="P313" i="2"/>
  <c r="R313" i="2"/>
  <c r="S313" i="2"/>
  <c r="Z313" i="2"/>
  <c r="AH313" i="2"/>
  <c r="AK313" i="11" s="1"/>
  <c r="AI313" i="2"/>
  <c r="AH313" i="11" s="1"/>
  <c r="G314" i="2"/>
  <c r="T314" i="11" s="1"/>
  <c r="H314" i="2"/>
  <c r="N314" i="2"/>
  <c r="O314" i="2"/>
  <c r="P314" i="2"/>
  <c r="R314" i="2"/>
  <c r="S314" i="2"/>
  <c r="Z314" i="2"/>
  <c r="AH314" i="2"/>
  <c r="AK314" i="11" s="1"/>
  <c r="AI314" i="2"/>
  <c r="AH314" i="11" s="1"/>
  <c r="G315" i="2"/>
  <c r="T315" i="11" s="1"/>
  <c r="H315" i="2"/>
  <c r="N315" i="2"/>
  <c r="O315" i="2"/>
  <c r="P315" i="2"/>
  <c r="R315" i="2"/>
  <c r="S315" i="2"/>
  <c r="Z315" i="2"/>
  <c r="AH315" i="2"/>
  <c r="AI315" i="2"/>
  <c r="AH315" i="11" s="1"/>
  <c r="G316" i="2"/>
  <c r="T316" i="11" s="1"/>
  <c r="H316" i="2"/>
  <c r="N316" i="2"/>
  <c r="O316" i="2"/>
  <c r="P316" i="2"/>
  <c r="R316" i="2"/>
  <c r="S316" i="2"/>
  <c r="Z316" i="2"/>
  <c r="AH316" i="2"/>
  <c r="AI316" i="2"/>
  <c r="AH316" i="11" s="1"/>
  <c r="G317" i="2"/>
  <c r="T317" i="11" s="1"/>
  <c r="H317" i="2"/>
  <c r="N317" i="2"/>
  <c r="O317" i="2"/>
  <c r="P317" i="2"/>
  <c r="R317" i="2"/>
  <c r="S317" i="2"/>
  <c r="Z317" i="2"/>
  <c r="AH317" i="2"/>
  <c r="AK317" i="11" s="1"/>
  <c r="AI317" i="2"/>
  <c r="AH317" i="11" s="1"/>
  <c r="G318" i="2"/>
  <c r="T318" i="11" s="1"/>
  <c r="H318" i="2"/>
  <c r="N318" i="2"/>
  <c r="O318" i="2"/>
  <c r="P318" i="2"/>
  <c r="R318" i="2"/>
  <c r="S318" i="2"/>
  <c r="Z318" i="2"/>
  <c r="AH318" i="2"/>
  <c r="AK318" i="11" s="1"/>
  <c r="AI318" i="2"/>
  <c r="AH318" i="11" s="1"/>
  <c r="G319" i="2"/>
  <c r="T319" i="11" s="1"/>
  <c r="H319" i="2"/>
  <c r="N319" i="2"/>
  <c r="O319" i="2"/>
  <c r="P319" i="2"/>
  <c r="R319" i="2"/>
  <c r="S319" i="2"/>
  <c r="Z319" i="2"/>
  <c r="AH319" i="2"/>
  <c r="AI319" i="2"/>
  <c r="AH319" i="11" s="1"/>
  <c r="G320" i="2"/>
  <c r="T320" i="11" s="1"/>
  <c r="H320" i="2"/>
  <c r="N320" i="2"/>
  <c r="O320" i="2"/>
  <c r="P320" i="2"/>
  <c r="R320" i="2"/>
  <c r="S320" i="2"/>
  <c r="Z320" i="2"/>
  <c r="AH320" i="2"/>
  <c r="AI320" i="2"/>
  <c r="AH320" i="11" s="1"/>
  <c r="G321" i="2"/>
  <c r="T321" i="11" s="1"/>
  <c r="H321" i="2"/>
  <c r="N321" i="2"/>
  <c r="O321" i="2"/>
  <c r="P321" i="2"/>
  <c r="R321" i="2"/>
  <c r="S321" i="2"/>
  <c r="Z321" i="2"/>
  <c r="AH321" i="2"/>
  <c r="AK321" i="11" s="1"/>
  <c r="AI321" i="2"/>
  <c r="AH321" i="11" s="1"/>
  <c r="G322" i="2"/>
  <c r="T322" i="11" s="1"/>
  <c r="H322" i="2"/>
  <c r="N322" i="2"/>
  <c r="O322" i="2"/>
  <c r="P322" i="2"/>
  <c r="R322" i="2"/>
  <c r="S322" i="2"/>
  <c r="Z322" i="2"/>
  <c r="AH322" i="2"/>
  <c r="AI322" i="2"/>
  <c r="AH322" i="11" s="1"/>
  <c r="G323" i="2"/>
  <c r="T323" i="11" s="1"/>
  <c r="H323" i="2"/>
  <c r="N323" i="2"/>
  <c r="O323" i="2"/>
  <c r="P323" i="2"/>
  <c r="R323" i="2"/>
  <c r="S323" i="2"/>
  <c r="Z323" i="2"/>
  <c r="AH323" i="2"/>
  <c r="AK323" i="11" s="1"/>
  <c r="AI323" i="2"/>
  <c r="AH323" i="11" s="1"/>
  <c r="G324" i="2"/>
  <c r="T324" i="11" s="1"/>
  <c r="H324" i="2"/>
  <c r="N324" i="2"/>
  <c r="O324" i="2"/>
  <c r="P324" i="2"/>
  <c r="R324" i="2"/>
  <c r="S324" i="2"/>
  <c r="Z324" i="2"/>
  <c r="AH324" i="2"/>
  <c r="AI324" i="2"/>
  <c r="AH324" i="11" s="1"/>
  <c r="G325" i="2"/>
  <c r="T325" i="11" s="1"/>
  <c r="H325" i="2"/>
  <c r="N325" i="2"/>
  <c r="O325" i="2"/>
  <c r="P325" i="2"/>
  <c r="R325" i="2"/>
  <c r="S325" i="2"/>
  <c r="Z325" i="2"/>
  <c r="AH325" i="2"/>
  <c r="AK325" i="11" s="1"/>
  <c r="AI325" i="2"/>
  <c r="AH325" i="11" s="1"/>
  <c r="G326" i="2"/>
  <c r="T326" i="11" s="1"/>
  <c r="H326" i="2"/>
  <c r="N326" i="2"/>
  <c r="O326" i="2"/>
  <c r="P326" i="2"/>
  <c r="R326" i="2"/>
  <c r="S326" i="2"/>
  <c r="Z326" i="2"/>
  <c r="AH326" i="2"/>
  <c r="AK326" i="11" s="1"/>
  <c r="AI326" i="2"/>
  <c r="AH326" i="11" s="1"/>
  <c r="G327" i="2"/>
  <c r="T327" i="11" s="1"/>
  <c r="H327" i="2"/>
  <c r="N327" i="2"/>
  <c r="O327" i="2"/>
  <c r="P327" i="2"/>
  <c r="R327" i="2"/>
  <c r="S327" i="2"/>
  <c r="Z327" i="2"/>
  <c r="AH327" i="2"/>
  <c r="AI327" i="2"/>
  <c r="AH327" i="11" s="1"/>
  <c r="G328" i="2"/>
  <c r="T328" i="11" s="1"/>
  <c r="H328" i="2"/>
  <c r="N328" i="2"/>
  <c r="O328" i="2"/>
  <c r="P328" i="2"/>
  <c r="R328" i="2"/>
  <c r="S328" i="2"/>
  <c r="Z328" i="2"/>
  <c r="AH328" i="2"/>
  <c r="AI328" i="2"/>
  <c r="AH328" i="11" s="1"/>
  <c r="G329" i="2"/>
  <c r="T329" i="11" s="1"/>
  <c r="H329" i="2"/>
  <c r="N329" i="2"/>
  <c r="O329" i="2"/>
  <c r="P329" i="2"/>
  <c r="R329" i="2"/>
  <c r="S329" i="2"/>
  <c r="Z329" i="2"/>
  <c r="AH329" i="2"/>
  <c r="AK329" i="11" s="1"/>
  <c r="AI329" i="2"/>
  <c r="AH329" i="11" s="1"/>
  <c r="G330" i="2"/>
  <c r="T330" i="11" s="1"/>
  <c r="H330" i="2"/>
  <c r="N330" i="2"/>
  <c r="O330" i="2"/>
  <c r="P330" i="2"/>
  <c r="R330" i="2"/>
  <c r="S330" i="2"/>
  <c r="Z330" i="2"/>
  <c r="AH330" i="2"/>
  <c r="AK330" i="11" s="1"/>
  <c r="AI330" i="2"/>
  <c r="AH330" i="11" s="1"/>
  <c r="G331" i="2"/>
  <c r="T331" i="11" s="1"/>
  <c r="H331" i="2"/>
  <c r="N331" i="2"/>
  <c r="O331" i="2"/>
  <c r="P331" i="2"/>
  <c r="R331" i="2"/>
  <c r="S331" i="2"/>
  <c r="Z331" i="2"/>
  <c r="AH331" i="2"/>
  <c r="AI331" i="2"/>
  <c r="AH331" i="11" s="1"/>
  <c r="G332" i="2"/>
  <c r="T332" i="11" s="1"/>
  <c r="H332" i="2"/>
  <c r="N332" i="2"/>
  <c r="O332" i="2"/>
  <c r="P332" i="2"/>
  <c r="R332" i="2"/>
  <c r="S332" i="2"/>
  <c r="Z332" i="2"/>
  <c r="AH332" i="2"/>
  <c r="AI332" i="2"/>
  <c r="AH332" i="11" s="1"/>
  <c r="G333" i="2"/>
  <c r="T333" i="11" s="1"/>
  <c r="H333" i="2"/>
  <c r="N333" i="2"/>
  <c r="O333" i="2"/>
  <c r="P333" i="2"/>
  <c r="R333" i="2"/>
  <c r="S333" i="2"/>
  <c r="Z333" i="2"/>
  <c r="AH333" i="2"/>
  <c r="AK333" i="11" s="1"/>
  <c r="AI333" i="2"/>
  <c r="AH333" i="11" s="1"/>
  <c r="G334" i="2"/>
  <c r="T334" i="11" s="1"/>
  <c r="H334" i="2"/>
  <c r="N334" i="2"/>
  <c r="O334" i="2"/>
  <c r="P334" i="2"/>
  <c r="R334" i="2"/>
  <c r="S334" i="2"/>
  <c r="Z334" i="2"/>
  <c r="AH334" i="2"/>
  <c r="AI334" i="2"/>
  <c r="AH334" i="11" s="1"/>
  <c r="G335" i="2"/>
  <c r="T335" i="11" s="1"/>
  <c r="H335" i="2"/>
  <c r="N335" i="2"/>
  <c r="O335" i="2"/>
  <c r="P335" i="2"/>
  <c r="R335" i="2"/>
  <c r="S335" i="2"/>
  <c r="Z335" i="2"/>
  <c r="AH335" i="2"/>
  <c r="AK335" i="11" s="1"/>
  <c r="AI335" i="2"/>
  <c r="AH335" i="11" s="1"/>
  <c r="G336" i="2"/>
  <c r="T336" i="11" s="1"/>
  <c r="H336" i="2"/>
  <c r="N336" i="2"/>
  <c r="O336" i="2"/>
  <c r="P336" i="2"/>
  <c r="R336" i="2"/>
  <c r="S336" i="2"/>
  <c r="Z336" i="2"/>
  <c r="AH336" i="2"/>
  <c r="AI336" i="2"/>
  <c r="AH336" i="11" s="1"/>
  <c r="G337" i="2"/>
  <c r="T337" i="11" s="1"/>
  <c r="H337" i="2"/>
  <c r="N337" i="2"/>
  <c r="O337" i="2"/>
  <c r="P337" i="2"/>
  <c r="R337" i="2"/>
  <c r="S337" i="2"/>
  <c r="Z337" i="2"/>
  <c r="AH337" i="2"/>
  <c r="AK337" i="11" s="1"/>
  <c r="AI337" i="2"/>
  <c r="AH337" i="11" s="1"/>
  <c r="G338" i="2"/>
  <c r="T338" i="11" s="1"/>
  <c r="H338" i="2"/>
  <c r="N338" i="2"/>
  <c r="O338" i="2"/>
  <c r="P338" i="2"/>
  <c r="R338" i="2"/>
  <c r="S338" i="2"/>
  <c r="Z338" i="2"/>
  <c r="AH338" i="2"/>
  <c r="AK338" i="11" s="1"/>
  <c r="AI338" i="2"/>
  <c r="AH338" i="11" s="1"/>
  <c r="G339" i="2"/>
  <c r="T339" i="11" s="1"/>
  <c r="H339" i="2"/>
  <c r="N339" i="2"/>
  <c r="O339" i="2"/>
  <c r="P339" i="2"/>
  <c r="R339" i="2"/>
  <c r="S339" i="2"/>
  <c r="Z339" i="2"/>
  <c r="AH339" i="2"/>
  <c r="AI339" i="2"/>
  <c r="AH339" i="11" s="1"/>
  <c r="G340" i="2"/>
  <c r="T340" i="11" s="1"/>
  <c r="H340" i="2"/>
  <c r="N340" i="2"/>
  <c r="O340" i="2"/>
  <c r="P340" i="2"/>
  <c r="R340" i="2"/>
  <c r="S340" i="2"/>
  <c r="Z340" i="2"/>
  <c r="AH340" i="2"/>
  <c r="AI340" i="2"/>
  <c r="AH340" i="11" s="1"/>
  <c r="G341" i="2"/>
  <c r="T341" i="11" s="1"/>
  <c r="H341" i="2"/>
  <c r="N341" i="2"/>
  <c r="O341" i="2"/>
  <c r="P341" i="2"/>
  <c r="R341" i="2"/>
  <c r="S341" i="2"/>
  <c r="Z341" i="2"/>
  <c r="AH341" i="2"/>
  <c r="AK341" i="11" s="1"/>
  <c r="AI341" i="2"/>
  <c r="AH341" i="11" s="1"/>
  <c r="G342" i="2"/>
  <c r="T342" i="11" s="1"/>
  <c r="H342" i="2"/>
  <c r="N342" i="2"/>
  <c r="O342" i="2"/>
  <c r="P342" i="2"/>
  <c r="R342" i="2"/>
  <c r="S342" i="2"/>
  <c r="Z342" i="2"/>
  <c r="AH342" i="2"/>
  <c r="AK342" i="11" s="1"/>
  <c r="AI342" i="2"/>
  <c r="AH342" i="11" s="1"/>
  <c r="G343" i="2"/>
  <c r="T343" i="11" s="1"/>
  <c r="H343" i="2"/>
  <c r="N343" i="2"/>
  <c r="O343" i="2"/>
  <c r="P343" i="2"/>
  <c r="R343" i="2"/>
  <c r="S343" i="2"/>
  <c r="Z343" i="2"/>
  <c r="AH343" i="2"/>
  <c r="AI343" i="2"/>
  <c r="AH343" i="11" s="1"/>
  <c r="G344" i="2"/>
  <c r="T344" i="11" s="1"/>
  <c r="H344" i="2"/>
  <c r="N344" i="2"/>
  <c r="O344" i="2"/>
  <c r="P344" i="2"/>
  <c r="R344" i="2"/>
  <c r="S344" i="2"/>
  <c r="Z344" i="2"/>
  <c r="AH344" i="2"/>
  <c r="AI344" i="2"/>
  <c r="AH344" i="11" s="1"/>
  <c r="G345" i="2"/>
  <c r="T345" i="11" s="1"/>
  <c r="H345" i="2"/>
  <c r="N345" i="2"/>
  <c r="O345" i="2"/>
  <c r="P345" i="2"/>
  <c r="R345" i="2"/>
  <c r="S345" i="2"/>
  <c r="Z345" i="2"/>
  <c r="AH345" i="2"/>
  <c r="AK345" i="11" s="1"/>
  <c r="AI345" i="2"/>
  <c r="AH345" i="11" s="1"/>
  <c r="G346" i="2"/>
  <c r="T346" i="11" s="1"/>
  <c r="H346" i="2"/>
  <c r="N346" i="2"/>
  <c r="O346" i="2"/>
  <c r="P346" i="2"/>
  <c r="R346" i="2"/>
  <c r="S346" i="2"/>
  <c r="Z346" i="2"/>
  <c r="AH346" i="2"/>
  <c r="AI346" i="2"/>
  <c r="AH346" i="11" s="1"/>
  <c r="G347" i="2"/>
  <c r="T347" i="11" s="1"/>
  <c r="H347" i="2"/>
  <c r="N347" i="2"/>
  <c r="O347" i="2"/>
  <c r="P347" i="2"/>
  <c r="R347" i="2"/>
  <c r="S347" i="2"/>
  <c r="Z347" i="2"/>
  <c r="AH347" i="2"/>
  <c r="AK347" i="11" s="1"/>
  <c r="AI347" i="2"/>
  <c r="AH347" i="11" s="1"/>
  <c r="G348" i="2"/>
  <c r="T348" i="11" s="1"/>
  <c r="H348" i="2"/>
  <c r="N348" i="2"/>
  <c r="O348" i="2"/>
  <c r="P348" i="2"/>
  <c r="R348" i="2"/>
  <c r="S348" i="2"/>
  <c r="Z348" i="2"/>
  <c r="AH348" i="2"/>
  <c r="AI348" i="2"/>
  <c r="AH348" i="11" s="1"/>
  <c r="G349" i="2"/>
  <c r="T349" i="11" s="1"/>
  <c r="H349" i="2"/>
  <c r="N349" i="2"/>
  <c r="O349" i="2"/>
  <c r="P349" i="2"/>
  <c r="R349" i="2"/>
  <c r="S349" i="2"/>
  <c r="Z349" i="2"/>
  <c r="AH349" i="2"/>
  <c r="AK349" i="11" s="1"/>
  <c r="AI349" i="2"/>
  <c r="AH349" i="11" s="1"/>
  <c r="G350" i="2"/>
  <c r="T350" i="11" s="1"/>
  <c r="H350" i="2"/>
  <c r="N350" i="2"/>
  <c r="O350" i="2"/>
  <c r="P350" i="2"/>
  <c r="R350" i="2"/>
  <c r="S350" i="2"/>
  <c r="Z350" i="2"/>
  <c r="AH350" i="2"/>
  <c r="AI350" i="2"/>
  <c r="AH350" i="11" s="1"/>
  <c r="G351" i="2"/>
  <c r="T351" i="11" s="1"/>
  <c r="H351" i="2"/>
  <c r="N351" i="2"/>
  <c r="O351" i="2"/>
  <c r="P351" i="2"/>
  <c r="R351" i="2"/>
  <c r="S351" i="2"/>
  <c r="Z351" i="2"/>
  <c r="AH351" i="2"/>
  <c r="AI351" i="2"/>
  <c r="AH351" i="11" s="1"/>
  <c r="G352" i="2"/>
  <c r="T352" i="11" s="1"/>
  <c r="H352" i="2"/>
  <c r="N352" i="2"/>
  <c r="O352" i="2"/>
  <c r="P352" i="2"/>
  <c r="R352" i="2"/>
  <c r="S352" i="2"/>
  <c r="Z352" i="2"/>
  <c r="AH352" i="2"/>
  <c r="AI352" i="2"/>
  <c r="AH352" i="11" s="1"/>
  <c r="G353" i="2"/>
  <c r="T353" i="11" s="1"/>
  <c r="H353" i="2"/>
  <c r="N353" i="2"/>
  <c r="O353" i="2"/>
  <c r="P353" i="2"/>
  <c r="R353" i="2"/>
  <c r="S353" i="2"/>
  <c r="Z353" i="2"/>
  <c r="AH353" i="2"/>
  <c r="AK353" i="11" s="1"/>
  <c r="AI353" i="2"/>
  <c r="AH353" i="11" s="1"/>
  <c r="G354" i="2"/>
  <c r="T354" i="11" s="1"/>
  <c r="H354" i="2"/>
  <c r="N354" i="2"/>
  <c r="O354" i="2"/>
  <c r="P354" i="2"/>
  <c r="R354" i="2"/>
  <c r="S354" i="2"/>
  <c r="Z354" i="2"/>
  <c r="AH354" i="2"/>
  <c r="AK354" i="11" s="1"/>
  <c r="AI354" i="2"/>
  <c r="AH354" i="11" s="1"/>
  <c r="G355" i="2"/>
  <c r="T355" i="11" s="1"/>
  <c r="H355" i="2"/>
  <c r="N355" i="2"/>
  <c r="O355" i="2"/>
  <c r="P355" i="2"/>
  <c r="R355" i="2"/>
  <c r="S355" i="2"/>
  <c r="Z355" i="2"/>
  <c r="AH355" i="2"/>
  <c r="AI355" i="2"/>
  <c r="AH355" i="11" s="1"/>
  <c r="G356" i="2"/>
  <c r="T356" i="11" s="1"/>
  <c r="H356" i="2"/>
  <c r="N356" i="2"/>
  <c r="O356" i="2"/>
  <c r="P356" i="2"/>
  <c r="R356" i="2"/>
  <c r="S356" i="2"/>
  <c r="Z356" i="2"/>
  <c r="AH356" i="2"/>
  <c r="AI356" i="2"/>
  <c r="AH356" i="11" s="1"/>
  <c r="G357" i="2"/>
  <c r="T357" i="11" s="1"/>
  <c r="H357" i="2"/>
  <c r="N357" i="2"/>
  <c r="O357" i="2"/>
  <c r="P357" i="2"/>
  <c r="R357" i="2"/>
  <c r="S357" i="2"/>
  <c r="Z357" i="2"/>
  <c r="AH357" i="2"/>
  <c r="AK357" i="11" s="1"/>
  <c r="AI357" i="2"/>
  <c r="AH357" i="11" s="1"/>
  <c r="G358" i="2"/>
  <c r="T358" i="11" s="1"/>
  <c r="H358" i="2"/>
  <c r="N358" i="2"/>
  <c r="O358" i="2"/>
  <c r="P358" i="2"/>
  <c r="R358" i="2"/>
  <c r="S358" i="2"/>
  <c r="Z358" i="2"/>
  <c r="AH358" i="2"/>
  <c r="AI358" i="2"/>
  <c r="AH358" i="11" s="1"/>
  <c r="G359" i="2"/>
  <c r="T359" i="11" s="1"/>
  <c r="H359" i="2"/>
  <c r="N359" i="2"/>
  <c r="O359" i="2"/>
  <c r="P359" i="2"/>
  <c r="R359" i="2"/>
  <c r="S359" i="2"/>
  <c r="Z359" i="2"/>
  <c r="AH359" i="2"/>
  <c r="AK359" i="11" s="1"/>
  <c r="AI359" i="2"/>
  <c r="AH359" i="11" s="1"/>
  <c r="G360" i="2"/>
  <c r="T360" i="11" s="1"/>
  <c r="H360" i="2"/>
  <c r="N360" i="2"/>
  <c r="O360" i="2"/>
  <c r="P360" i="2"/>
  <c r="R360" i="2"/>
  <c r="S360" i="2"/>
  <c r="Z360" i="2"/>
  <c r="AH360" i="2"/>
  <c r="AI360" i="2"/>
  <c r="AH360" i="11" s="1"/>
  <c r="G361" i="2"/>
  <c r="T361" i="11" s="1"/>
  <c r="H361" i="2"/>
  <c r="N361" i="2"/>
  <c r="O361" i="2"/>
  <c r="P361" i="2"/>
  <c r="R361" i="2"/>
  <c r="S361" i="2"/>
  <c r="Z361" i="2"/>
  <c r="AH361" i="2"/>
  <c r="AK361" i="11" s="1"/>
  <c r="AI361" i="2"/>
  <c r="AH361" i="11" s="1"/>
  <c r="G362" i="2"/>
  <c r="T362" i="11" s="1"/>
  <c r="H362" i="2"/>
  <c r="N362" i="2"/>
  <c r="O362" i="2"/>
  <c r="P362" i="2"/>
  <c r="R362" i="2"/>
  <c r="S362" i="2"/>
  <c r="Z362" i="2"/>
  <c r="AH362" i="2"/>
  <c r="AK362" i="11" s="1"/>
  <c r="AI362" i="2"/>
  <c r="AH362" i="11" s="1"/>
  <c r="G363" i="2"/>
  <c r="T363" i="11" s="1"/>
  <c r="H363" i="2"/>
  <c r="N363" i="2"/>
  <c r="O363" i="2"/>
  <c r="P363" i="2"/>
  <c r="R363" i="2"/>
  <c r="S363" i="2"/>
  <c r="Z363" i="2"/>
  <c r="AH363" i="2"/>
  <c r="AI363" i="2"/>
  <c r="AH363" i="11" s="1"/>
  <c r="G364" i="2"/>
  <c r="T364" i="11" s="1"/>
  <c r="H364" i="2"/>
  <c r="N364" i="2"/>
  <c r="O364" i="2"/>
  <c r="P364" i="2"/>
  <c r="R364" i="2"/>
  <c r="S364" i="2"/>
  <c r="Z364" i="2"/>
  <c r="AH364" i="2"/>
  <c r="AI364" i="2"/>
  <c r="AH364" i="11" s="1"/>
  <c r="M33" i="6" l="1"/>
  <c r="M32" i="6"/>
  <c r="AK364" i="11"/>
  <c r="AK346" i="11"/>
  <c r="AK340" i="11"/>
  <c r="AK334" i="11"/>
  <c r="AK322" i="11"/>
  <c r="AK316" i="11"/>
  <c r="AK310" i="11"/>
  <c r="AK324" i="11"/>
  <c r="AK319" i="11"/>
  <c r="AK363" i="11"/>
  <c r="AK351" i="11"/>
  <c r="AK339" i="11"/>
  <c r="AK327" i="11"/>
  <c r="AK315" i="11"/>
  <c r="AK348" i="11"/>
  <c r="AK355" i="11"/>
  <c r="AK343" i="11"/>
  <c r="AK331" i="11"/>
  <c r="AK307" i="11"/>
  <c r="AK356" i="11"/>
  <c r="AK332" i="11"/>
  <c r="AK308" i="11"/>
  <c r="BE363" i="7"/>
  <c r="AZ363" i="7"/>
  <c r="BE331" i="7"/>
  <c r="AZ331" i="7"/>
  <c r="BE364" i="7"/>
  <c r="AZ364" i="7"/>
  <c r="BE356" i="7"/>
  <c r="AZ356" i="7"/>
  <c r="BE348" i="7"/>
  <c r="AZ348" i="7"/>
  <c r="BE340" i="7"/>
  <c r="AZ340" i="7"/>
  <c r="BE332" i="7"/>
  <c r="AZ332" i="7"/>
  <c r="BE324" i="7"/>
  <c r="AZ324" i="7"/>
  <c r="BE316" i="7"/>
  <c r="AZ316" i="7"/>
  <c r="BE308" i="7"/>
  <c r="AZ308" i="7"/>
  <c r="BE362" i="7"/>
  <c r="AZ362" i="7"/>
  <c r="BE354" i="7"/>
  <c r="AZ354" i="7"/>
  <c r="BE346" i="7"/>
  <c r="AZ346" i="7"/>
  <c r="BE339" i="7"/>
  <c r="AZ339" i="7"/>
  <c r="BE357" i="7"/>
  <c r="AZ357" i="7"/>
  <c r="BE349" i="7"/>
  <c r="AZ349" i="7"/>
  <c r="BE341" i="7"/>
  <c r="AZ341" i="7"/>
  <c r="BE333" i="7"/>
  <c r="AZ333" i="7"/>
  <c r="BE325" i="7"/>
  <c r="AZ325" i="7"/>
  <c r="BE317" i="7"/>
  <c r="AZ317" i="7"/>
  <c r="BE309" i="7"/>
  <c r="AZ309" i="7"/>
  <c r="BE338" i="7"/>
  <c r="AZ338" i="7"/>
  <c r="BE314" i="7"/>
  <c r="AZ314" i="7"/>
  <c r="BE307" i="7"/>
  <c r="AZ307" i="7"/>
  <c r="BE358" i="7"/>
  <c r="AZ358" i="7"/>
  <c r="BE350" i="7"/>
  <c r="AZ350" i="7"/>
  <c r="BE342" i="7"/>
  <c r="AZ342" i="7"/>
  <c r="BE334" i="7"/>
  <c r="AZ334" i="7"/>
  <c r="BE326" i="7"/>
  <c r="AZ326" i="7"/>
  <c r="BE318" i="7"/>
  <c r="AZ318" i="7"/>
  <c r="BE310" i="7"/>
  <c r="AZ310" i="7"/>
  <c r="BE347" i="7"/>
  <c r="AZ347" i="7"/>
  <c r="BE359" i="7"/>
  <c r="AZ359" i="7"/>
  <c r="BE351" i="7"/>
  <c r="AZ351" i="7"/>
  <c r="BE343" i="7"/>
  <c r="AZ343" i="7"/>
  <c r="BE335" i="7"/>
  <c r="AZ335" i="7"/>
  <c r="BE327" i="7"/>
  <c r="AZ327" i="7"/>
  <c r="BE319" i="7"/>
  <c r="AZ319" i="7"/>
  <c r="BE311" i="7"/>
  <c r="AZ311" i="7"/>
  <c r="BE330" i="7"/>
  <c r="AZ330" i="7"/>
  <c r="BE355" i="7"/>
  <c r="AZ355" i="7"/>
  <c r="BE323" i="7"/>
  <c r="AZ323" i="7"/>
  <c r="BE315" i="7"/>
  <c r="AZ315" i="7"/>
  <c r="BE360" i="7"/>
  <c r="AZ360" i="7"/>
  <c r="BE352" i="7"/>
  <c r="AZ352" i="7"/>
  <c r="BE344" i="7"/>
  <c r="AZ344" i="7"/>
  <c r="BE336" i="7"/>
  <c r="AZ336" i="7"/>
  <c r="BE328" i="7"/>
  <c r="AZ328" i="7"/>
  <c r="BE320" i="7"/>
  <c r="AZ320" i="7"/>
  <c r="BE312" i="7"/>
  <c r="AZ312" i="7"/>
  <c r="BE322" i="7"/>
  <c r="AZ322" i="7"/>
  <c r="BE306" i="7"/>
  <c r="AZ306" i="7"/>
  <c r="BE361" i="7"/>
  <c r="AZ361" i="7"/>
  <c r="BE353" i="7"/>
  <c r="AZ353" i="7"/>
  <c r="BE345" i="7"/>
  <c r="AZ345" i="7"/>
  <c r="BE337" i="7"/>
  <c r="AZ337" i="7"/>
  <c r="BE329" i="7"/>
  <c r="AZ329" i="7"/>
  <c r="BE321" i="7"/>
  <c r="AZ321" i="7"/>
  <c r="BE313" i="7"/>
  <c r="AZ313" i="7"/>
  <c r="BE305" i="7"/>
  <c r="AZ305" i="7"/>
  <c r="AK358" i="11"/>
  <c r="AK350" i="11"/>
  <c r="BY328" i="11"/>
  <c r="AH37" i="20" s="1"/>
  <c r="BY352" i="11"/>
  <c r="AJ37" i="20" s="1"/>
  <c r="AK328" i="11"/>
  <c r="AK320" i="11"/>
  <c r="AK312" i="11"/>
  <c r="CA364" i="11"/>
  <c r="AK39" i="20" s="1"/>
  <c r="CA340" i="11"/>
  <c r="AI39" i="20" s="1"/>
  <c r="CA316" i="11"/>
  <c r="AG39" i="20" s="1"/>
  <c r="AK360" i="11"/>
  <c r="BZ364" i="11"/>
  <c r="AK38" i="20" s="1"/>
  <c r="BZ340" i="11"/>
  <c r="AI38" i="20" s="1"/>
  <c r="BZ316" i="11"/>
  <c r="AG38" i="20" s="1"/>
  <c r="BY364" i="11"/>
  <c r="AK37" i="20" s="1"/>
  <c r="BY340" i="11"/>
  <c r="AI37" i="20" s="1"/>
  <c r="BY316" i="11"/>
  <c r="AG37" i="20" s="1"/>
  <c r="AK352" i="11"/>
  <c r="AK344" i="11"/>
  <c r="AK336" i="11"/>
  <c r="CA352" i="11"/>
  <c r="AJ39" i="20" s="1"/>
  <c r="CA328" i="11"/>
  <c r="AH39" i="20" s="1"/>
  <c r="BZ352" i="11"/>
  <c r="AJ38" i="20" s="1"/>
  <c r="BZ328" i="11"/>
  <c r="AH38" i="20" s="1"/>
  <c r="BQ364" i="11"/>
  <c r="AK24" i="20" s="1"/>
  <c r="BQ352" i="11"/>
  <c r="AJ24" i="20" s="1"/>
  <c r="BQ340" i="11"/>
  <c r="AI24" i="20" s="1"/>
  <c r="BQ328" i="11"/>
  <c r="AH24" i="20" s="1"/>
  <c r="BQ316" i="11"/>
  <c r="AG24" i="20" s="1"/>
  <c r="BC364" i="11"/>
  <c r="AK33" i="20" s="1"/>
  <c r="BC352" i="11"/>
  <c r="AJ33" i="20" s="1"/>
  <c r="BC340" i="11"/>
  <c r="AI33" i="20" s="1"/>
  <c r="BC328" i="11"/>
  <c r="AH33" i="20" s="1"/>
  <c r="BC316" i="11"/>
  <c r="AG33" i="20" s="1"/>
  <c r="BU352" i="11"/>
  <c r="AJ28" i="20" s="1"/>
  <c r="BU328" i="11"/>
  <c r="AH28" i="20" s="1"/>
  <c r="BU364" i="11"/>
  <c r="AK28" i="20" s="1"/>
  <c r="BU340" i="11"/>
  <c r="AI28" i="20" s="1"/>
  <c r="BU316" i="11"/>
  <c r="AG28" i="20" s="1"/>
  <c r="AO331" i="2"/>
  <c r="BC331" i="2" s="1"/>
  <c r="Y305" i="2"/>
  <c r="X305" i="11" s="1"/>
  <c r="AO323" i="2"/>
  <c r="BC323" i="2" s="1"/>
  <c r="AO334" i="2"/>
  <c r="BC334" i="2" s="1"/>
  <c r="Y347" i="2"/>
  <c r="X347" i="11" s="1"/>
  <c r="AO332" i="2"/>
  <c r="BC332" i="2" s="1"/>
  <c r="Y306" i="2"/>
  <c r="X306" i="11" s="1"/>
  <c r="Y349" i="2"/>
  <c r="X349" i="11" s="1"/>
  <c r="Y308" i="2"/>
  <c r="X308" i="11" s="1"/>
  <c r="Y318" i="2"/>
  <c r="X318" i="11" s="1"/>
  <c r="Y317" i="2"/>
  <c r="X317" i="11" s="1"/>
  <c r="Y316" i="2"/>
  <c r="X316" i="11" s="1"/>
  <c r="Y315" i="2"/>
  <c r="X315" i="11" s="1"/>
  <c r="Y314" i="2"/>
  <c r="X314" i="11" s="1"/>
  <c r="Y313" i="2"/>
  <c r="X313" i="11" s="1"/>
  <c r="Y312" i="2"/>
  <c r="X312" i="11" s="1"/>
  <c r="Y311" i="2"/>
  <c r="X311" i="11" s="1"/>
  <c r="Y339" i="2"/>
  <c r="X339" i="11" s="1"/>
  <c r="AO341" i="2"/>
  <c r="BC341" i="2" s="1"/>
  <c r="Y357" i="2"/>
  <c r="X357" i="11" s="1"/>
  <c r="Y356" i="2"/>
  <c r="X356" i="11" s="1"/>
  <c r="Y345" i="2"/>
  <c r="X345" i="11" s="1"/>
  <c r="Y344" i="2"/>
  <c r="X344" i="11" s="1"/>
  <c r="Y343" i="2"/>
  <c r="X343" i="11" s="1"/>
  <c r="Y342" i="2"/>
  <c r="X342" i="11" s="1"/>
  <c r="Y341" i="2"/>
  <c r="X341" i="11" s="1"/>
  <c r="Y360" i="2"/>
  <c r="X360" i="11" s="1"/>
  <c r="Y354" i="2"/>
  <c r="X354" i="11" s="1"/>
  <c r="Y325" i="2"/>
  <c r="X325" i="11" s="1"/>
  <c r="Y333" i="2"/>
  <c r="X333" i="11" s="1"/>
  <c r="Y332" i="2"/>
  <c r="X332" i="11" s="1"/>
  <c r="Y331" i="2"/>
  <c r="X331" i="11" s="1"/>
  <c r="Y323" i="2"/>
  <c r="X323" i="11" s="1"/>
  <c r="AO357" i="2"/>
  <c r="BC357" i="2" s="1"/>
  <c r="AO356" i="2"/>
  <c r="BC356" i="2" s="1"/>
  <c r="AO355" i="2"/>
  <c r="BC355" i="2" s="1"/>
  <c r="AO354" i="2"/>
  <c r="BC354" i="2" s="1"/>
  <c r="AO353" i="2"/>
  <c r="BC353" i="2" s="1"/>
  <c r="AO344" i="2"/>
  <c r="BC344" i="2" s="1"/>
  <c r="AO343" i="2"/>
  <c r="BC343" i="2" s="1"/>
  <c r="AO342" i="2"/>
  <c r="BC342" i="2" s="1"/>
  <c r="AO339" i="2"/>
  <c r="BC339" i="2" s="1"/>
  <c r="Y359" i="2"/>
  <c r="X359" i="11" s="1"/>
  <c r="AO363" i="2"/>
  <c r="BC363" i="2" s="1"/>
  <c r="AO361" i="2"/>
  <c r="BC361" i="2" s="1"/>
  <c r="Y335" i="2"/>
  <c r="X335" i="11" s="1"/>
  <c r="AO364" i="2"/>
  <c r="BC364" i="2" s="1"/>
  <c r="AO362" i="2"/>
  <c r="BC362" i="2" s="1"/>
  <c r="Y352" i="2"/>
  <c r="X352" i="11" s="1"/>
  <c r="Y351" i="2"/>
  <c r="X351" i="11" s="1"/>
  <c r="Y361" i="2"/>
  <c r="X361" i="11" s="1"/>
  <c r="Y358" i="2"/>
  <c r="X358" i="11" s="1"/>
  <c r="Y353" i="2"/>
  <c r="X353" i="11" s="1"/>
  <c r="Y350" i="2"/>
  <c r="X350" i="11" s="1"/>
  <c r="AO338" i="2"/>
  <c r="BC338" i="2" s="1"/>
  <c r="AO337" i="2"/>
  <c r="BC337" i="2" s="1"/>
  <c r="Y334" i="2"/>
  <c r="X334" i="11" s="1"/>
  <c r="Y330" i="2"/>
  <c r="X330" i="11" s="1"/>
  <c r="Y329" i="2"/>
  <c r="X329" i="11" s="1"/>
  <c r="Y328" i="2"/>
  <c r="X328" i="11" s="1"/>
  <c r="Y327" i="2"/>
  <c r="X327" i="11" s="1"/>
  <c r="AO316" i="2"/>
  <c r="BC316" i="2" s="1"/>
  <c r="AO315" i="2"/>
  <c r="BC315" i="2" s="1"/>
  <c r="AO314" i="2"/>
  <c r="BC314" i="2" s="1"/>
  <c r="AO313" i="2"/>
  <c r="BC313" i="2" s="1"/>
  <c r="AO312" i="2"/>
  <c r="BC312" i="2" s="1"/>
  <c r="AO311" i="2"/>
  <c r="BC311" i="2" s="1"/>
  <c r="AO310" i="2"/>
  <c r="BC310" i="2" s="1"/>
  <c r="Y307" i="2"/>
  <c r="X307" i="11" s="1"/>
  <c r="AO359" i="2"/>
  <c r="BC359" i="2" s="1"/>
  <c r="AO358" i="2"/>
  <c r="BC358" i="2" s="1"/>
  <c r="Y348" i="2"/>
  <c r="X348" i="11" s="1"/>
  <c r="Y346" i="2"/>
  <c r="X346" i="11" s="1"/>
  <c r="AO336" i="2"/>
  <c r="BC336" i="2" s="1"/>
  <c r="AO335" i="2"/>
  <c r="BC335" i="2" s="1"/>
  <c r="Y326" i="2"/>
  <c r="X326" i="11" s="1"/>
  <c r="Y324" i="2"/>
  <c r="X324" i="11" s="1"/>
  <c r="Y363" i="2"/>
  <c r="X363" i="11" s="1"/>
  <c r="AO351" i="2"/>
  <c r="BC351" i="2" s="1"/>
  <c r="AO350" i="2"/>
  <c r="BC350" i="2" s="1"/>
  <c r="AO330" i="2"/>
  <c r="BC330" i="2" s="1"/>
  <c r="AO329" i="2"/>
  <c r="BC329" i="2" s="1"/>
  <c r="AO328" i="2"/>
  <c r="BC328" i="2" s="1"/>
  <c r="AO327" i="2"/>
  <c r="BC327" i="2" s="1"/>
  <c r="AO326" i="2"/>
  <c r="BC326" i="2" s="1"/>
  <c r="Y322" i="2"/>
  <c r="X322" i="11" s="1"/>
  <c r="Y321" i="2"/>
  <c r="X321" i="11" s="1"/>
  <c r="Y319" i="2"/>
  <c r="X319" i="11" s="1"/>
  <c r="AO307" i="2"/>
  <c r="BC307" i="2" s="1"/>
  <c r="Y364" i="2"/>
  <c r="X364" i="11" s="1"/>
  <c r="Y362" i="2"/>
  <c r="X362" i="11" s="1"/>
  <c r="AO349" i="2"/>
  <c r="BC349" i="2" s="1"/>
  <c r="AO348" i="2"/>
  <c r="BC348" i="2" s="1"/>
  <c r="AO347" i="2"/>
  <c r="BC347" i="2" s="1"/>
  <c r="AO346" i="2"/>
  <c r="BC346" i="2" s="1"/>
  <c r="AO345" i="2"/>
  <c r="BC345" i="2" s="1"/>
  <c r="AO324" i="2"/>
  <c r="BC324" i="2" s="1"/>
  <c r="Y338" i="2"/>
  <c r="X338" i="11" s="1"/>
  <c r="Y337" i="2"/>
  <c r="X337" i="11" s="1"/>
  <c r="AO306" i="2"/>
  <c r="BC306" i="2" s="1"/>
  <c r="Y355" i="2"/>
  <c r="X355" i="11" s="1"/>
  <c r="AO340" i="2"/>
  <c r="BC340" i="2" s="1"/>
  <c r="AO322" i="2"/>
  <c r="BC322" i="2" s="1"/>
  <c r="AO321" i="2"/>
  <c r="BC321" i="2" s="1"/>
  <c r="AO319" i="2"/>
  <c r="BC319" i="2" s="1"/>
  <c r="AO318" i="2"/>
  <c r="BC318" i="2" s="1"/>
  <c r="Y310" i="2"/>
  <c r="X310" i="11" s="1"/>
  <c r="Y309" i="2"/>
  <c r="X309" i="11" s="1"/>
  <c r="AO317" i="2"/>
  <c r="BC317" i="2" s="1"/>
  <c r="AO333" i="2"/>
  <c r="BC333" i="2" s="1"/>
  <c r="AO309" i="2"/>
  <c r="BC309" i="2" s="1"/>
  <c r="AO308" i="2"/>
  <c r="BC308" i="2" s="1"/>
  <c r="AO360" i="2"/>
  <c r="BC360" i="2" s="1"/>
  <c r="AO352" i="2"/>
  <c r="BC352" i="2" s="1"/>
  <c r="AO325" i="2"/>
  <c r="BC325" i="2" s="1"/>
  <c r="AO305" i="2"/>
  <c r="BC305" i="2" s="1"/>
  <c r="Y340" i="2"/>
  <c r="X340" i="11" s="1"/>
  <c r="Y336" i="2"/>
  <c r="X336" i="11" s="1"/>
  <c r="Y320" i="2"/>
  <c r="X320" i="11" s="1"/>
  <c r="AO320" i="2"/>
  <c r="BC320" i="2" s="1"/>
  <c r="T7" i="5"/>
  <c r="T6" i="5"/>
  <c r="Q4" i="11"/>
  <c r="O4" i="11"/>
  <c r="B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4" i="11"/>
  <c r="BT340" i="11" l="1"/>
  <c r="AI27" i="20" s="1"/>
  <c r="BT316" i="11"/>
  <c r="AG27" i="20" s="1"/>
  <c r="AA321" i="11"/>
  <c r="AA353" i="11"/>
  <c r="AA312" i="11"/>
  <c r="AA344" i="11"/>
  <c r="AA323" i="11"/>
  <c r="AA319" i="11"/>
  <c r="AA351" i="11"/>
  <c r="AA329" i="11"/>
  <c r="AA361" i="11"/>
  <c r="AA320" i="11"/>
  <c r="AA352" i="11"/>
  <c r="AA355" i="11"/>
  <c r="AA327" i="11"/>
  <c r="AA359" i="11"/>
  <c r="AA316" i="11"/>
  <c r="AA313" i="11"/>
  <c r="AA345" i="11"/>
  <c r="AA322" i="11"/>
  <c r="AA336" i="11"/>
  <c r="AA315" i="11"/>
  <c r="AA311" i="11"/>
  <c r="AA343" i="11"/>
  <c r="AA310" i="11"/>
  <c r="AA342" i="11"/>
  <c r="AA314" i="11"/>
  <c r="AA325" i="11"/>
  <c r="AA357" i="11"/>
  <c r="AA318" i="11"/>
  <c r="AA350" i="11"/>
  <c r="AA338" i="11"/>
  <c r="AA333" i="11"/>
  <c r="AA326" i="11"/>
  <c r="AA358" i="11"/>
  <c r="AA309" i="11"/>
  <c r="AA341" i="11"/>
  <c r="AA346" i="11"/>
  <c r="AA339" i="11"/>
  <c r="AA308" i="11"/>
  <c r="AA340" i="11"/>
  <c r="AA331" i="11"/>
  <c r="AA348" i="11"/>
  <c r="AA330" i="11"/>
  <c r="AA356" i="11"/>
  <c r="AA328" i="11"/>
  <c r="AA334" i="11"/>
  <c r="AA354" i="11"/>
  <c r="AA362" i="11"/>
  <c r="AA332" i="11"/>
  <c r="AA364" i="11"/>
  <c r="AA337" i="11"/>
  <c r="AA324" i="11"/>
  <c r="AA305" i="11"/>
  <c r="AA335" i="11"/>
  <c r="AA317" i="11"/>
  <c r="AA306" i="11"/>
  <c r="AA349" i="11"/>
  <c r="AA360" i="11"/>
  <c r="AA347" i="11"/>
  <c r="AA307" i="11"/>
  <c r="AA363" i="11"/>
  <c r="BT364" i="11"/>
  <c r="AK27" i="20" s="1"/>
  <c r="BT352" i="11"/>
  <c r="AJ27" i="20" s="1"/>
  <c r="BT328" i="11"/>
  <c r="AH27" i="20" s="1"/>
  <c r="B16" i="11"/>
  <c r="G3" i="20"/>
  <c r="BG364" i="11"/>
  <c r="AK6" i="20" s="1"/>
  <c r="BG340" i="11"/>
  <c r="AI6" i="20" s="1"/>
  <c r="BG328" i="11"/>
  <c r="AH6" i="20" s="1"/>
  <c r="BG352" i="11"/>
  <c r="AJ6" i="20" s="1"/>
  <c r="BG316" i="11"/>
  <c r="AG6" i="20" s="1"/>
  <c r="T23" i="5"/>
  <c r="T24" i="5" s="1"/>
  <c r="C25" i="17"/>
  <c r="C24" i="17"/>
  <c r="C23" i="17"/>
  <c r="C22" i="17"/>
  <c r="C21" i="17"/>
  <c r="C12" i="17"/>
  <c r="C11" i="17"/>
  <c r="C10" i="17"/>
  <c r="C9" i="17"/>
  <c r="C8" i="17"/>
  <c r="BJ328" i="11" l="1"/>
  <c r="AH9" i="20" s="1"/>
  <c r="BJ364" i="11"/>
  <c r="AK9" i="20" s="1"/>
  <c r="BJ316" i="11"/>
  <c r="AG9" i="20" s="1"/>
  <c r="BJ352" i="11"/>
  <c r="AJ9" i="20" s="1"/>
  <c r="BJ340" i="11"/>
  <c r="AI9" i="20" s="1"/>
  <c r="B28" i="11"/>
  <c r="H3" i="20"/>
  <c r="T25" i="5"/>
  <c r="E7" i="17"/>
  <c r="E8" i="17" s="1"/>
  <c r="B40" i="11" l="1"/>
  <c r="I3" i="20"/>
  <c r="T26" i="5"/>
  <c r="E9" i="17"/>
  <c r="B52" i="11" l="1"/>
  <c r="J3" i="20"/>
  <c r="T27" i="5"/>
  <c r="E10" i="17"/>
  <c r="B64" i="11" l="1"/>
  <c r="K3" i="20"/>
  <c r="T28" i="5"/>
  <c r="E11" i="17"/>
  <c r="B76" i="11" l="1"/>
  <c r="L3" i="20"/>
  <c r="T29" i="5"/>
  <c r="E12" i="17"/>
  <c r="B88" i="11" l="1"/>
  <c r="M3" i="20"/>
  <c r="T30" i="5"/>
  <c r="E13" i="17"/>
  <c r="B100" i="11" l="1"/>
  <c r="N3" i="20"/>
  <c r="T31" i="5"/>
  <c r="B112" i="11" l="1"/>
  <c r="O3" i="20"/>
  <c r="T32" i="5"/>
  <c r="B124" i="11" l="1"/>
  <c r="P3" i="20"/>
  <c r="T33" i="5"/>
  <c r="Q22" i="5"/>
  <c r="R22" i="5" l="1"/>
  <c r="S22" i="5" s="1"/>
  <c r="B136" i="11"/>
  <c r="Q3" i="20"/>
  <c r="T34" i="5"/>
  <c r="Q23" i="5"/>
  <c r="R23" i="5" s="1"/>
  <c r="S23" i="5" l="1"/>
  <c r="B148" i="11"/>
  <c r="R3" i="20"/>
  <c r="T35" i="5"/>
  <c r="Q24" i="5"/>
  <c r="R24" i="5" l="1"/>
  <c r="S24" i="5" s="1"/>
  <c r="B160" i="11"/>
  <c r="S3" i="20"/>
  <c r="T36" i="5"/>
  <c r="Q25" i="5"/>
  <c r="F6" i="1"/>
  <c r="C6" i="1"/>
  <c r="R25" i="5" l="1"/>
  <c r="S25" i="5" s="1"/>
  <c r="B172" i="11"/>
  <c r="T3" i="20"/>
  <c r="T37" i="5"/>
  <c r="Q26" i="5"/>
  <c r="E6" i="6"/>
  <c r="F6" i="6"/>
  <c r="G6" i="6"/>
  <c r="H6" i="6"/>
  <c r="D6" i="6"/>
  <c r="B184" i="11" l="1"/>
  <c r="U3" i="20"/>
  <c r="R26" i="5"/>
  <c r="T38" i="5"/>
  <c r="Q27" i="5"/>
  <c r="B196" i="11" l="1"/>
  <c r="V3" i="20"/>
  <c r="S26" i="5"/>
  <c r="R27" i="5"/>
  <c r="T39" i="5"/>
  <c r="Q28" i="5"/>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5" i="7"/>
  <c r="B208" i="11" l="1"/>
  <c r="W3" i="20"/>
  <c r="S27" i="5"/>
  <c r="R28" i="5"/>
  <c r="T40" i="5"/>
  <c r="Q29" i="5"/>
  <c r="M2" i="19"/>
  <c r="S2" i="19"/>
  <c r="B220" i="11" l="1"/>
  <c r="X3" i="20"/>
  <c r="S28" i="5"/>
  <c r="R29" i="5"/>
  <c r="T41" i="5"/>
  <c r="Q30" i="5"/>
  <c r="K2" i="19"/>
  <c r="J2" i="19"/>
  <c r="I2" i="19"/>
  <c r="H2" i="19"/>
  <c r="G2" i="19"/>
  <c r="F2" i="19"/>
  <c r="E2" i="19"/>
  <c r="D2" i="19"/>
  <c r="C2" i="19"/>
  <c r="B2" i="19"/>
  <c r="B232" i="11" l="1"/>
  <c r="Y3" i="20"/>
  <c r="S29" i="5"/>
  <c r="U26" i="5" s="1"/>
  <c r="R30" i="5"/>
  <c r="T42" i="5"/>
  <c r="Q31" i="5"/>
  <c r="AU6" i="7"/>
  <c r="AR6" i="11" s="1"/>
  <c r="AU7" i="7"/>
  <c r="AR7" i="11" s="1"/>
  <c r="AU8" i="7"/>
  <c r="AR8" i="11" s="1"/>
  <c r="AU9" i="7"/>
  <c r="AR9" i="11" s="1"/>
  <c r="AU10" i="7"/>
  <c r="AR10" i="11" s="1"/>
  <c r="AU11" i="7"/>
  <c r="AR11" i="11" s="1"/>
  <c r="AU12" i="7"/>
  <c r="AR12" i="11" s="1"/>
  <c r="AU13" i="7"/>
  <c r="AR13" i="11" s="1"/>
  <c r="AU14" i="7"/>
  <c r="AR14" i="11" s="1"/>
  <c r="AU15" i="7"/>
  <c r="AR15" i="11" s="1"/>
  <c r="AU16" i="7"/>
  <c r="AR16" i="11" s="1"/>
  <c r="AU17" i="7"/>
  <c r="AR17" i="11" s="1"/>
  <c r="AU18" i="7"/>
  <c r="AR18" i="11" s="1"/>
  <c r="AU19" i="7"/>
  <c r="AR19" i="11" s="1"/>
  <c r="AU20" i="7"/>
  <c r="AR20" i="11" s="1"/>
  <c r="AU21" i="7"/>
  <c r="AR21" i="11" s="1"/>
  <c r="AU22" i="7"/>
  <c r="AR22" i="11" s="1"/>
  <c r="AU23" i="7"/>
  <c r="AR23" i="11" s="1"/>
  <c r="AU24" i="7"/>
  <c r="AR24" i="11" s="1"/>
  <c r="AU25" i="7"/>
  <c r="AR25" i="11" s="1"/>
  <c r="AU26" i="7"/>
  <c r="AR26" i="11" s="1"/>
  <c r="AU27" i="7"/>
  <c r="AR27" i="11" s="1"/>
  <c r="AU28" i="7"/>
  <c r="AR28" i="11" s="1"/>
  <c r="AU29" i="7"/>
  <c r="AR29" i="11" s="1"/>
  <c r="AU30" i="7"/>
  <c r="AR30" i="11" s="1"/>
  <c r="AU31" i="7"/>
  <c r="AR31" i="11" s="1"/>
  <c r="AU32" i="7"/>
  <c r="AR32" i="11" s="1"/>
  <c r="AU33" i="7"/>
  <c r="AR33" i="11" s="1"/>
  <c r="AU34" i="7"/>
  <c r="AR34" i="11" s="1"/>
  <c r="AU35" i="7"/>
  <c r="AR35" i="11" s="1"/>
  <c r="AU36" i="7"/>
  <c r="AR36" i="11" s="1"/>
  <c r="AU37" i="7"/>
  <c r="AR37" i="11" s="1"/>
  <c r="AU38" i="7"/>
  <c r="AR38" i="11" s="1"/>
  <c r="AU39" i="7"/>
  <c r="AR39" i="11" s="1"/>
  <c r="AU40" i="7"/>
  <c r="AR40" i="11" s="1"/>
  <c r="AU41" i="7"/>
  <c r="AR41" i="11" s="1"/>
  <c r="AU42" i="7"/>
  <c r="AR42" i="11" s="1"/>
  <c r="AU43" i="7"/>
  <c r="AR43" i="11" s="1"/>
  <c r="AU44" i="7"/>
  <c r="AR44" i="11" s="1"/>
  <c r="AU45" i="7"/>
  <c r="AR45" i="11" s="1"/>
  <c r="AU46" i="7"/>
  <c r="AR46" i="11" s="1"/>
  <c r="AU47" i="7"/>
  <c r="AR47" i="11" s="1"/>
  <c r="AU48" i="7"/>
  <c r="AR48" i="11" s="1"/>
  <c r="AU49" i="7"/>
  <c r="AR49" i="11" s="1"/>
  <c r="AU50" i="7"/>
  <c r="AR50" i="11" s="1"/>
  <c r="AU51" i="7"/>
  <c r="AR51" i="11" s="1"/>
  <c r="AU52" i="7"/>
  <c r="AR52" i="11" s="1"/>
  <c r="AU53" i="7"/>
  <c r="AR53" i="11" s="1"/>
  <c r="AU54" i="7"/>
  <c r="AR54" i="11" s="1"/>
  <c r="AU55" i="7"/>
  <c r="AR55" i="11" s="1"/>
  <c r="AU56" i="7"/>
  <c r="AR56" i="11" s="1"/>
  <c r="AU57" i="7"/>
  <c r="AR57" i="11" s="1"/>
  <c r="AU58" i="7"/>
  <c r="AR58" i="11" s="1"/>
  <c r="AU59" i="7"/>
  <c r="AR59" i="11" s="1"/>
  <c r="AU60" i="7"/>
  <c r="AR60" i="11" s="1"/>
  <c r="AU61" i="7"/>
  <c r="AR61" i="11" s="1"/>
  <c r="AU62" i="7"/>
  <c r="AR62" i="11" s="1"/>
  <c r="AU63" i="7"/>
  <c r="AR63" i="11" s="1"/>
  <c r="AU64" i="7"/>
  <c r="AR64" i="11" s="1"/>
  <c r="AU65" i="7"/>
  <c r="AR65" i="11" s="1"/>
  <c r="AU66" i="7"/>
  <c r="AR66" i="11" s="1"/>
  <c r="AU67" i="7"/>
  <c r="AR67" i="11" s="1"/>
  <c r="AU68" i="7"/>
  <c r="AR68" i="11" s="1"/>
  <c r="AU69" i="7"/>
  <c r="AR69" i="11" s="1"/>
  <c r="AU70" i="7"/>
  <c r="AR70" i="11" s="1"/>
  <c r="AU71" i="7"/>
  <c r="AR71" i="11" s="1"/>
  <c r="AU72" i="7"/>
  <c r="AR72" i="11" s="1"/>
  <c r="AU73" i="7"/>
  <c r="AR73" i="11" s="1"/>
  <c r="AU74" i="7"/>
  <c r="AR74" i="11" s="1"/>
  <c r="AU75" i="7"/>
  <c r="AR75" i="11" s="1"/>
  <c r="AU76" i="7"/>
  <c r="AR76" i="11" s="1"/>
  <c r="AU77" i="7"/>
  <c r="AR77" i="11" s="1"/>
  <c r="AU78" i="7"/>
  <c r="AR78" i="11" s="1"/>
  <c r="AU79" i="7"/>
  <c r="AR79" i="11" s="1"/>
  <c r="AU80" i="7"/>
  <c r="AR80" i="11" s="1"/>
  <c r="AU81" i="7"/>
  <c r="AR81" i="11" s="1"/>
  <c r="AU82" i="7"/>
  <c r="AR82" i="11" s="1"/>
  <c r="AU83" i="7"/>
  <c r="AR83" i="11" s="1"/>
  <c r="AU84" i="7"/>
  <c r="AR84" i="11" s="1"/>
  <c r="AU85" i="7"/>
  <c r="AR85" i="11" s="1"/>
  <c r="AU86" i="7"/>
  <c r="AR86" i="11" s="1"/>
  <c r="AU87" i="7"/>
  <c r="AR87" i="11" s="1"/>
  <c r="AU88" i="7"/>
  <c r="AR88" i="11" s="1"/>
  <c r="AU89" i="7"/>
  <c r="AR89" i="11" s="1"/>
  <c r="AU90" i="7"/>
  <c r="AR90" i="11" s="1"/>
  <c r="AU91" i="7"/>
  <c r="AR91" i="11" s="1"/>
  <c r="AU92" i="7"/>
  <c r="AR92" i="11" s="1"/>
  <c r="AU93" i="7"/>
  <c r="AR93" i="11" s="1"/>
  <c r="AU94" i="7"/>
  <c r="AR94" i="11" s="1"/>
  <c r="AU95" i="7"/>
  <c r="AR95" i="11" s="1"/>
  <c r="AU96" i="7"/>
  <c r="AR96" i="11" s="1"/>
  <c r="AU97" i="7"/>
  <c r="AR97" i="11" s="1"/>
  <c r="AU98" i="7"/>
  <c r="AR98" i="11" s="1"/>
  <c r="AU99" i="7"/>
  <c r="AR99" i="11" s="1"/>
  <c r="AU100" i="7"/>
  <c r="AR100" i="11" s="1"/>
  <c r="AU101" i="7"/>
  <c r="AR101" i="11" s="1"/>
  <c r="AU102" i="7"/>
  <c r="AR102" i="11" s="1"/>
  <c r="AU103" i="7"/>
  <c r="AR103" i="11" s="1"/>
  <c r="AU104" i="7"/>
  <c r="AR104" i="11" s="1"/>
  <c r="AU105" i="7"/>
  <c r="AR105" i="11" s="1"/>
  <c r="AU106" i="7"/>
  <c r="AR106" i="11" s="1"/>
  <c r="AU107" i="7"/>
  <c r="AR107" i="11" s="1"/>
  <c r="AU108" i="7"/>
  <c r="AR108" i="11" s="1"/>
  <c r="AU109" i="7"/>
  <c r="AR109" i="11" s="1"/>
  <c r="AU110" i="7"/>
  <c r="AR110" i="11" s="1"/>
  <c r="AU111" i="7"/>
  <c r="AR111" i="11" s="1"/>
  <c r="AU112" i="7"/>
  <c r="AR112" i="11" s="1"/>
  <c r="AU113" i="7"/>
  <c r="AR113" i="11" s="1"/>
  <c r="AU114" i="7"/>
  <c r="AR114" i="11" s="1"/>
  <c r="AU115" i="7"/>
  <c r="AR115" i="11" s="1"/>
  <c r="AU116" i="7"/>
  <c r="AR116" i="11" s="1"/>
  <c r="AU117" i="7"/>
  <c r="AR117" i="11" s="1"/>
  <c r="AU118" i="7"/>
  <c r="AR118" i="11" s="1"/>
  <c r="AU119" i="7"/>
  <c r="AR119" i="11" s="1"/>
  <c r="AU120" i="7"/>
  <c r="AR120" i="11" s="1"/>
  <c r="AU121" i="7"/>
  <c r="AR121" i="11" s="1"/>
  <c r="AU122" i="7"/>
  <c r="AR122" i="11" s="1"/>
  <c r="AU123" i="7"/>
  <c r="AR123" i="11" s="1"/>
  <c r="AU124" i="7"/>
  <c r="AR124" i="11" s="1"/>
  <c r="AU125" i="7"/>
  <c r="AR125" i="11" s="1"/>
  <c r="AU126" i="7"/>
  <c r="AR126" i="11" s="1"/>
  <c r="AU127" i="7"/>
  <c r="AR127" i="11" s="1"/>
  <c r="AU128" i="7"/>
  <c r="AR128" i="11" s="1"/>
  <c r="AU129" i="7"/>
  <c r="AR129" i="11" s="1"/>
  <c r="AU130" i="7"/>
  <c r="AR130" i="11" s="1"/>
  <c r="AU131" i="7"/>
  <c r="AR131" i="11" s="1"/>
  <c r="AU132" i="7"/>
  <c r="AR132" i="11" s="1"/>
  <c r="AU133" i="7"/>
  <c r="AR133" i="11" s="1"/>
  <c r="AU134" i="7"/>
  <c r="AR134" i="11" s="1"/>
  <c r="AU135" i="7"/>
  <c r="AR135" i="11" s="1"/>
  <c r="AU136" i="7"/>
  <c r="AR136" i="11" s="1"/>
  <c r="AU137" i="7"/>
  <c r="AR137" i="11" s="1"/>
  <c r="AU138" i="7"/>
  <c r="AR138" i="11" s="1"/>
  <c r="AU139" i="7"/>
  <c r="AR139" i="11" s="1"/>
  <c r="AU140" i="7"/>
  <c r="AR140" i="11" s="1"/>
  <c r="AU141" i="7"/>
  <c r="AR141" i="11" s="1"/>
  <c r="AU142" i="7"/>
  <c r="AR142" i="11" s="1"/>
  <c r="AU143" i="7"/>
  <c r="AR143" i="11" s="1"/>
  <c r="AU144" i="7"/>
  <c r="AR144" i="11" s="1"/>
  <c r="AU145" i="7"/>
  <c r="AR145" i="11" s="1"/>
  <c r="AU146" i="7"/>
  <c r="AR146" i="11" s="1"/>
  <c r="AU147" i="7"/>
  <c r="AR147" i="11" s="1"/>
  <c r="AU148" i="7"/>
  <c r="AR148" i="11" s="1"/>
  <c r="AU149" i="7"/>
  <c r="AR149" i="11" s="1"/>
  <c r="AU150" i="7"/>
  <c r="AR150" i="11" s="1"/>
  <c r="AU151" i="7"/>
  <c r="AR151" i="11" s="1"/>
  <c r="AU152" i="7"/>
  <c r="AR152" i="11" s="1"/>
  <c r="AU153" i="7"/>
  <c r="AR153" i="11" s="1"/>
  <c r="AU154" i="7"/>
  <c r="AR154" i="11" s="1"/>
  <c r="AU155" i="7"/>
  <c r="AR155" i="11" s="1"/>
  <c r="AU156" i="7"/>
  <c r="AR156" i="11" s="1"/>
  <c r="AU157" i="7"/>
  <c r="AR157" i="11" s="1"/>
  <c r="AU158" i="7"/>
  <c r="AR158" i="11" s="1"/>
  <c r="AU159" i="7"/>
  <c r="AR159" i="11" s="1"/>
  <c r="AU160" i="7"/>
  <c r="AR160" i="11" s="1"/>
  <c r="AU161" i="7"/>
  <c r="AR161" i="11" s="1"/>
  <c r="AU162" i="7"/>
  <c r="AR162" i="11" s="1"/>
  <c r="AU163" i="7"/>
  <c r="AR163" i="11" s="1"/>
  <c r="AU164" i="7"/>
  <c r="AR164" i="11" s="1"/>
  <c r="AU165" i="7"/>
  <c r="AR165" i="11" s="1"/>
  <c r="AU166" i="7"/>
  <c r="AR166" i="11" s="1"/>
  <c r="AU167" i="7"/>
  <c r="AR167" i="11" s="1"/>
  <c r="AU168" i="7"/>
  <c r="AR168" i="11" s="1"/>
  <c r="AU169" i="7"/>
  <c r="AR169" i="11" s="1"/>
  <c r="AU170" i="7"/>
  <c r="AR170" i="11" s="1"/>
  <c r="AU171" i="7"/>
  <c r="AR171" i="11" s="1"/>
  <c r="AU172" i="7"/>
  <c r="AR172" i="11" s="1"/>
  <c r="AU173" i="7"/>
  <c r="AR173" i="11" s="1"/>
  <c r="AU174" i="7"/>
  <c r="AR174" i="11" s="1"/>
  <c r="AU175" i="7"/>
  <c r="AR175" i="11" s="1"/>
  <c r="AU176" i="7"/>
  <c r="AR176" i="11" s="1"/>
  <c r="AU177" i="7"/>
  <c r="AR177" i="11" s="1"/>
  <c r="AU178" i="7"/>
  <c r="AR178" i="11" s="1"/>
  <c r="AU179" i="7"/>
  <c r="AR179" i="11" s="1"/>
  <c r="AU180" i="7"/>
  <c r="AR180" i="11" s="1"/>
  <c r="AU181" i="7"/>
  <c r="AR181" i="11" s="1"/>
  <c r="AU182" i="7"/>
  <c r="AR182" i="11" s="1"/>
  <c r="AU183" i="7"/>
  <c r="AR183" i="11" s="1"/>
  <c r="AU184" i="7"/>
  <c r="AR184" i="11" s="1"/>
  <c r="AU185" i="7"/>
  <c r="AR185" i="11" s="1"/>
  <c r="AU186" i="7"/>
  <c r="AR186" i="11" s="1"/>
  <c r="AU187" i="7"/>
  <c r="AR187" i="11" s="1"/>
  <c r="AU188" i="7"/>
  <c r="AR188" i="11" s="1"/>
  <c r="AU189" i="7"/>
  <c r="AR189" i="11" s="1"/>
  <c r="AU190" i="7"/>
  <c r="AR190" i="11" s="1"/>
  <c r="AU191" i="7"/>
  <c r="AR191" i="11" s="1"/>
  <c r="AU192" i="7"/>
  <c r="AR192" i="11" s="1"/>
  <c r="AU193" i="7"/>
  <c r="AR193" i="11" s="1"/>
  <c r="AU194" i="7"/>
  <c r="AR194" i="11" s="1"/>
  <c r="AU195" i="7"/>
  <c r="AR195" i="11" s="1"/>
  <c r="AU196" i="7"/>
  <c r="AR196" i="11" s="1"/>
  <c r="AU197" i="7"/>
  <c r="AR197" i="11" s="1"/>
  <c r="AU198" i="7"/>
  <c r="AR198" i="11" s="1"/>
  <c r="AU199" i="7"/>
  <c r="AR199" i="11" s="1"/>
  <c r="AU200" i="7"/>
  <c r="AR200" i="11" s="1"/>
  <c r="AU201" i="7"/>
  <c r="AR201" i="11" s="1"/>
  <c r="AU202" i="7"/>
  <c r="AR202" i="11" s="1"/>
  <c r="AU203" i="7"/>
  <c r="AR203" i="11" s="1"/>
  <c r="AU204" i="7"/>
  <c r="AR204" i="11" s="1"/>
  <c r="AU205" i="7"/>
  <c r="AR205" i="11" s="1"/>
  <c r="AU206" i="7"/>
  <c r="AR206" i="11" s="1"/>
  <c r="AU207" i="7"/>
  <c r="AR207" i="11" s="1"/>
  <c r="AU208" i="7"/>
  <c r="AR208" i="11" s="1"/>
  <c r="AU209" i="7"/>
  <c r="AR209" i="11" s="1"/>
  <c r="AU210" i="7"/>
  <c r="AR210" i="11" s="1"/>
  <c r="AU211" i="7"/>
  <c r="AR211" i="11" s="1"/>
  <c r="AU212" i="7"/>
  <c r="AR212" i="11" s="1"/>
  <c r="AU213" i="7"/>
  <c r="AR213" i="11" s="1"/>
  <c r="AU214" i="7"/>
  <c r="AR214" i="11" s="1"/>
  <c r="AU215" i="7"/>
  <c r="AR215" i="11" s="1"/>
  <c r="AU216" i="7"/>
  <c r="AR216" i="11" s="1"/>
  <c r="AU217" i="7"/>
  <c r="AR217" i="11" s="1"/>
  <c r="AU218" i="7"/>
  <c r="AR218" i="11" s="1"/>
  <c r="AU219" i="7"/>
  <c r="AR219" i="11" s="1"/>
  <c r="AU220" i="7"/>
  <c r="AR220" i="11" s="1"/>
  <c r="AU221" i="7"/>
  <c r="AR221" i="11" s="1"/>
  <c r="AU222" i="7"/>
  <c r="AR222" i="11" s="1"/>
  <c r="AU223" i="7"/>
  <c r="AR223" i="11" s="1"/>
  <c r="AU224" i="7"/>
  <c r="AR224" i="11" s="1"/>
  <c r="AU225" i="7"/>
  <c r="AR225" i="11" s="1"/>
  <c r="AU226" i="7"/>
  <c r="AR226" i="11" s="1"/>
  <c r="AU227" i="7"/>
  <c r="AR227" i="11" s="1"/>
  <c r="AU228" i="7"/>
  <c r="AR228" i="11" s="1"/>
  <c r="AU229" i="7"/>
  <c r="AR229" i="11" s="1"/>
  <c r="AU230" i="7"/>
  <c r="AR230" i="11" s="1"/>
  <c r="AU231" i="7"/>
  <c r="AR231" i="11" s="1"/>
  <c r="AU232" i="7"/>
  <c r="AR232" i="11" s="1"/>
  <c r="AU233" i="7"/>
  <c r="AR233" i="11" s="1"/>
  <c r="AU234" i="7"/>
  <c r="AR234" i="11" s="1"/>
  <c r="AU235" i="7"/>
  <c r="AR235" i="11" s="1"/>
  <c r="AU236" i="7"/>
  <c r="AR236" i="11" s="1"/>
  <c r="AU237" i="7"/>
  <c r="AR237" i="11" s="1"/>
  <c r="AU238" i="7"/>
  <c r="AR238" i="11" s="1"/>
  <c r="AU239" i="7"/>
  <c r="AR239" i="11" s="1"/>
  <c r="AU240" i="7"/>
  <c r="AR240" i="11" s="1"/>
  <c r="AU241" i="7"/>
  <c r="AR241" i="11" s="1"/>
  <c r="AU242" i="7"/>
  <c r="AR242" i="11" s="1"/>
  <c r="AU243" i="7"/>
  <c r="AR243" i="11" s="1"/>
  <c r="AU244" i="7"/>
  <c r="AR244" i="11" s="1"/>
  <c r="AU245" i="7"/>
  <c r="AR245" i="11" s="1"/>
  <c r="AU246" i="7"/>
  <c r="AR246" i="11" s="1"/>
  <c r="AU247" i="7"/>
  <c r="AR247" i="11" s="1"/>
  <c r="AU248" i="7"/>
  <c r="AR248" i="11" s="1"/>
  <c r="AU249" i="7"/>
  <c r="AR249" i="11" s="1"/>
  <c r="AU250" i="7"/>
  <c r="AR250" i="11" s="1"/>
  <c r="AU251" i="7"/>
  <c r="AR251" i="11" s="1"/>
  <c r="AU252" i="7"/>
  <c r="AR252" i="11" s="1"/>
  <c r="AU253" i="7"/>
  <c r="AR253" i="11" s="1"/>
  <c r="AU254" i="7"/>
  <c r="AR254" i="11" s="1"/>
  <c r="AU255" i="7"/>
  <c r="AR255" i="11" s="1"/>
  <c r="AU256" i="7"/>
  <c r="AR256" i="11" s="1"/>
  <c r="AU257" i="7"/>
  <c r="AR257" i="11" s="1"/>
  <c r="AU258" i="7"/>
  <c r="AR258" i="11" s="1"/>
  <c r="AU259" i="7"/>
  <c r="AR259" i="11" s="1"/>
  <c r="AU260" i="7"/>
  <c r="AR260" i="11" s="1"/>
  <c r="AU261" i="7"/>
  <c r="AR261" i="11" s="1"/>
  <c r="AU262" i="7"/>
  <c r="AR262" i="11" s="1"/>
  <c r="AU263" i="7"/>
  <c r="AR263" i="11" s="1"/>
  <c r="AU264" i="7"/>
  <c r="AR264" i="11" s="1"/>
  <c r="AU265" i="7"/>
  <c r="AR265" i="11" s="1"/>
  <c r="AU266" i="7"/>
  <c r="AR266" i="11" s="1"/>
  <c r="AU267" i="7"/>
  <c r="AR267" i="11" s="1"/>
  <c r="AU268" i="7"/>
  <c r="AR268" i="11" s="1"/>
  <c r="AU269" i="7"/>
  <c r="AR269" i="11" s="1"/>
  <c r="AU270" i="7"/>
  <c r="AR270" i="11" s="1"/>
  <c r="AU271" i="7"/>
  <c r="AR271" i="11" s="1"/>
  <c r="AU272" i="7"/>
  <c r="AR272" i="11" s="1"/>
  <c r="AU273" i="7"/>
  <c r="AR273" i="11" s="1"/>
  <c r="AU274" i="7"/>
  <c r="AR274" i="11" s="1"/>
  <c r="AU275" i="7"/>
  <c r="AR275" i="11" s="1"/>
  <c r="AU276" i="7"/>
  <c r="AR276" i="11" s="1"/>
  <c r="AU277" i="7"/>
  <c r="AR277" i="11" s="1"/>
  <c r="AU278" i="7"/>
  <c r="AR278" i="11" s="1"/>
  <c r="AU279" i="7"/>
  <c r="AR279" i="11" s="1"/>
  <c r="AU280" i="7"/>
  <c r="AR280" i="11" s="1"/>
  <c r="AU281" i="7"/>
  <c r="AR281" i="11" s="1"/>
  <c r="AU282" i="7"/>
  <c r="AR282" i="11" s="1"/>
  <c r="AU283" i="7"/>
  <c r="AR283" i="11" s="1"/>
  <c r="AU284" i="7"/>
  <c r="AR284" i="11" s="1"/>
  <c r="AU285" i="7"/>
  <c r="AR285" i="11" s="1"/>
  <c r="AU286" i="7"/>
  <c r="AR286" i="11" s="1"/>
  <c r="AU287" i="7"/>
  <c r="AR287" i="11" s="1"/>
  <c r="AU288" i="7"/>
  <c r="AR288" i="11" s="1"/>
  <c r="AU289" i="7"/>
  <c r="AR289" i="11" s="1"/>
  <c r="AU290" i="7"/>
  <c r="AR290" i="11" s="1"/>
  <c r="AU291" i="7"/>
  <c r="AR291" i="11" s="1"/>
  <c r="AU292" i="7"/>
  <c r="AR292" i="11" s="1"/>
  <c r="AU293" i="7"/>
  <c r="AR293" i="11" s="1"/>
  <c r="AU294" i="7"/>
  <c r="AR294" i="11" s="1"/>
  <c r="AU295" i="7"/>
  <c r="AR295" i="11" s="1"/>
  <c r="AU296" i="7"/>
  <c r="AR296" i="11" s="1"/>
  <c r="AU297" i="7"/>
  <c r="AR297" i="11" s="1"/>
  <c r="AU298" i="7"/>
  <c r="AR298" i="11" s="1"/>
  <c r="AU299" i="7"/>
  <c r="AR299" i="11" s="1"/>
  <c r="AU300" i="7"/>
  <c r="AR300" i="11" s="1"/>
  <c r="AU301" i="7"/>
  <c r="AR301" i="11" s="1"/>
  <c r="AU302" i="7"/>
  <c r="AR302" i="11" s="1"/>
  <c r="AU303" i="7"/>
  <c r="AR303" i="11" s="1"/>
  <c r="AU304" i="7"/>
  <c r="AR304" i="11" s="1"/>
  <c r="AU5" i="7"/>
  <c r="AR5" i="11" s="1"/>
  <c r="CA16" i="11" l="1"/>
  <c r="H39" i="20" s="1"/>
  <c r="CA292" i="11"/>
  <c r="AE39" i="20" s="1"/>
  <c r="CA244" i="11"/>
  <c r="AA39" i="20" s="1"/>
  <c r="CA220" i="11"/>
  <c r="Y39" i="20" s="1"/>
  <c r="CA196" i="11"/>
  <c r="W39" i="20" s="1"/>
  <c r="CA148" i="11"/>
  <c r="S39" i="20" s="1"/>
  <c r="CA124" i="11"/>
  <c r="Q39" i="20" s="1"/>
  <c r="CA100" i="11"/>
  <c r="O39" i="20" s="1"/>
  <c r="CA28" i="11"/>
  <c r="I39" i="20" s="1"/>
  <c r="CA76" i="11"/>
  <c r="M39" i="20" s="1"/>
  <c r="CA268" i="11"/>
  <c r="AC39" i="20" s="1"/>
  <c r="CA172" i="11"/>
  <c r="U39" i="20" s="1"/>
  <c r="CA256" i="11"/>
  <c r="AB39" i="20" s="1"/>
  <c r="CA232" i="11"/>
  <c r="Z39" i="20" s="1"/>
  <c r="CA208" i="11"/>
  <c r="X39" i="20" s="1"/>
  <c r="CA184" i="11"/>
  <c r="V39" i="20" s="1"/>
  <c r="CA160" i="11"/>
  <c r="T39" i="20" s="1"/>
  <c r="CA136" i="11"/>
  <c r="R39" i="20" s="1"/>
  <c r="CA112" i="11"/>
  <c r="P39" i="20" s="1"/>
  <c r="CA88" i="11"/>
  <c r="N39" i="20" s="1"/>
  <c r="CA64" i="11"/>
  <c r="L39" i="20" s="1"/>
  <c r="CA40" i="11"/>
  <c r="J39" i="20" s="1"/>
  <c r="CA304" i="11"/>
  <c r="AF39" i="20" s="1"/>
  <c r="CA52" i="11"/>
  <c r="K39" i="20" s="1"/>
  <c r="CA280" i="11"/>
  <c r="AD39" i="20" s="1"/>
  <c r="B244" i="11"/>
  <c r="Z3" i="20"/>
  <c r="S30" i="5"/>
  <c r="U27" i="5" s="1"/>
  <c r="R31" i="5"/>
  <c r="T43" i="5"/>
  <c r="Q32" i="5"/>
  <c r="B256" i="11" l="1"/>
  <c r="AA3" i="20"/>
  <c r="S31" i="5"/>
  <c r="U28" i="5" s="1"/>
  <c r="R32" i="5"/>
  <c r="T44" i="5"/>
  <c r="Q33" i="5"/>
  <c r="F4" i="6"/>
  <c r="H5" i="2"/>
  <c r="B268" i="11" l="1"/>
  <c r="AB3" i="20"/>
  <c r="CK365" i="7"/>
  <c r="CK373" i="7"/>
  <c r="CK381" i="7"/>
  <c r="CK389" i="7"/>
  <c r="CK397" i="7"/>
  <c r="CK405" i="7"/>
  <c r="CK413" i="7"/>
  <c r="CK421" i="7"/>
  <c r="CK429" i="7"/>
  <c r="CK437" i="7"/>
  <c r="CK445" i="7"/>
  <c r="CK453" i="7"/>
  <c r="CK461" i="7"/>
  <c r="CK469" i="7"/>
  <c r="CK477" i="7"/>
  <c r="CK396" i="7"/>
  <c r="CK436" i="7"/>
  <c r="CK460" i="7"/>
  <c r="CK484" i="7"/>
  <c r="CK366" i="7"/>
  <c r="CK374" i="7"/>
  <c r="CK382" i="7"/>
  <c r="CK390" i="7"/>
  <c r="CK398" i="7"/>
  <c r="CK406" i="7"/>
  <c r="CK414" i="7"/>
  <c r="CK422" i="7"/>
  <c r="CK430" i="7"/>
  <c r="CK438" i="7"/>
  <c r="CK446" i="7"/>
  <c r="CK454" i="7"/>
  <c r="CK462" i="7"/>
  <c r="CK470" i="7"/>
  <c r="CK478" i="7"/>
  <c r="CK404" i="7"/>
  <c r="CK367" i="7"/>
  <c r="CK375" i="7"/>
  <c r="CK383" i="7"/>
  <c r="CK391" i="7"/>
  <c r="CK399" i="7"/>
  <c r="CK407" i="7"/>
  <c r="CK415" i="7"/>
  <c r="CK423" i="7"/>
  <c r="CK431" i="7"/>
  <c r="CK439" i="7"/>
  <c r="CK447" i="7"/>
  <c r="CK455" i="7"/>
  <c r="CK463" i="7"/>
  <c r="CK471" i="7"/>
  <c r="CK479" i="7"/>
  <c r="CK388" i="7"/>
  <c r="CK412" i="7"/>
  <c r="CK444" i="7"/>
  <c r="CK476" i="7"/>
  <c r="CK368" i="7"/>
  <c r="CK376" i="7"/>
  <c r="CK384" i="7"/>
  <c r="CK392" i="7"/>
  <c r="CK400" i="7"/>
  <c r="CK408" i="7"/>
  <c r="CK416" i="7"/>
  <c r="CK424" i="7"/>
  <c r="CK432" i="7"/>
  <c r="CK440" i="7"/>
  <c r="CK448" i="7"/>
  <c r="CK456" i="7"/>
  <c r="CK464" i="7"/>
  <c r="CK472" i="7"/>
  <c r="CK480" i="7"/>
  <c r="CK369" i="7"/>
  <c r="CK377" i="7"/>
  <c r="CK385" i="7"/>
  <c r="CK393" i="7"/>
  <c r="CK401" i="7"/>
  <c r="CK409" i="7"/>
  <c r="CK417" i="7"/>
  <c r="CK425" i="7"/>
  <c r="CK433" i="7"/>
  <c r="CK441" i="7"/>
  <c r="CK449" i="7"/>
  <c r="CK457" i="7"/>
  <c r="CK465" i="7"/>
  <c r="CK473" i="7"/>
  <c r="CK481" i="7"/>
  <c r="CK459" i="7"/>
  <c r="CK372" i="7"/>
  <c r="CK420" i="7"/>
  <c r="CK468" i="7"/>
  <c r="CK370" i="7"/>
  <c r="CK378" i="7"/>
  <c r="CK386" i="7"/>
  <c r="CK394" i="7"/>
  <c r="CK402" i="7"/>
  <c r="CK410" i="7"/>
  <c r="CK418" i="7"/>
  <c r="CK426" i="7"/>
  <c r="CK434" i="7"/>
  <c r="CK442" i="7"/>
  <c r="CK450" i="7"/>
  <c r="CK458" i="7"/>
  <c r="CK466" i="7"/>
  <c r="CK474" i="7"/>
  <c r="CK482" i="7"/>
  <c r="CK371" i="7"/>
  <c r="CK379" i="7"/>
  <c r="CK387" i="7"/>
  <c r="CK395" i="7"/>
  <c r="CK403" i="7"/>
  <c r="CK411" i="7"/>
  <c r="CK419" i="7"/>
  <c r="CK427" i="7"/>
  <c r="CK435" i="7"/>
  <c r="CK443" i="7"/>
  <c r="CK451" i="7"/>
  <c r="CK467" i="7"/>
  <c r="CK475" i="7"/>
  <c r="CK483" i="7"/>
  <c r="CK380" i="7"/>
  <c r="CK428" i="7"/>
  <c r="CK452" i="7"/>
  <c r="S32" i="5"/>
  <c r="U29" i="5" s="1"/>
  <c r="R33" i="5"/>
  <c r="T45" i="5"/>
  <c r="T46" i="5" s="1"/>
  <c r="T47" i="5" s="1"/>
  <c r="T48" i="5" s="1"/>
  <c r="T49" i="5" s="1"/>
  <c r="T50" i="5" s="1"/>
  <c r="T51" i="5" s="1"/>
  <c r="T52" i="5" s="1"/>
  <c r="T53" i="5" s="1"/>
  <c r="T54" i="5" s="1"/>
  <c r="T55" i="5" s="1"/>
  <c r="Q34" i="5"/>
  <c r="H28" i="6"/>
  <c r="E35" i="6" s="1"/>
  <c r="B280" i="11" l="1"/>
  <c r="AC3" i="20"/>
  <c r="S33" i="5"/>
  <c r="U30" i="5" s="1"/>
  <c r="R34" i="5"/>
  <c r="T56" i="5"/>
  <c r="Q35" i="5"/>
  <c r="G35" i="6"/>
  <c r="B292" i="11" l="1"/>
  <c r="AD3" i="20"/>
  <c r="S34" i="5"/>
  <c r="U31" i="5" s="1"/>
  <c r="R35" i="5"/>
  <c r="T57" i="5"/>
  <c r="Q36" i="5"/>
  <c r="F30" i="6"/>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5" i="7"/>
  <c r="B304" i="11" l="1"/>
  <c r="AE3" i="20"/>
  <c r="S35" i="5"/>
  <c r="U32" i="5" s="1"/>
  <c r="AC365" i="7"/>
  <c r="M365" i="7" s="1"/>
  <c r="AD366" i="7"/>
  <c r="N366" i="7" s="1"/>
  <c r="AD367" i="7"/>
  <c r="N367" i="7" s="1"/>
  <c r="AD365" i="7"/>
  <c r="N365" i="7" s="1"/>
  <c r="W366" i="7"/>
  <c r="W365" i="7"/>
  <c r="I365" i="2" s="1"/>
  <c r="X366" i="7"/>
  <c r="X365" i="7"/>
  <c r="Z366" i="7"/>
  <c r="J366" i="7" s="1"/>
  <c r="Z365" i="7"/>
  <c r="J365" i="7" s="1"/>
  <c r="AA365" i="7"/>
  <c r="K365" i="7" s="1"/>
  <c r="AB365" i="7"/>
  <c r="L365" i="7" s="1"/>
  <c r="AC366" i="7"/>
  <c r="M366" i="7" s="1"/>
  <c r="AC367" i="7"/>
  <c r="M367" i="7" s="1"/>
  <c r="AA367" i="7"/>
  <c r="K367" i="7" s="1"/>
  <c r="AD368" i="7"/>
  <c r="N368" i="7" s="1"/>
  <c r="AD373" i="7"/>
  <c r="N373" i="7" s="1"/>
  <c r="AC374" i="7"/>
  <c r="M374" i="7" s="1"/>
  <c r="AC375" i="7"/>
  <c r="M375" i="7" s="1"/>
  <c r="AC376" i="7"/>
  <c r="M376" i="7" s="1"/>
  <c r="AD377" i="7"/>
  <c r="N377" i="7" s="1"/>
  <c r="AC380" i="7"/>
  <c r="M380" i="7" s="1"/>
  <c r="AB381" i="7"/>
  <c r="L381" i="7" s="1"/>
  <c r="AB382" i="7"/>
  <c r="L382" i="7" s="1"/>
  <c r="AB383" i="7"/>
  <c r="L383" i="7" s="1"/>
  <c r="AB384" i="7"/>
  <c r="L384" i="7" s="1"/>
  <c r="AB385" i="7"/>
  <c r="L385" i="7" s="1"/>
  <c r="AB386" i="7"/>
  <c r="L386" i="7" s="1"/>
  <c r="AB387" i="7"/>
  <c r="L387" i="7" s="1"/>
  <c r="AB388" i="7"/>
  <c r="L388" i="7" s="1"/>
  <c r="AB389" i="7"/>
  <c r="L389" i="7" s="1"/>
  <c r="AB390" i="7"/>
  <c r="L390" i="7" s="1"/>
  <c r="AA391" i="7"/>
  <c r="K391" i="7" s="1"/>
  <c r="AA392" i="7"/>
  <c r="K392" i="7" s="1"/>
  <c r="AB393" i="7"/>
  <c r="L393" i="7" s="1"/>
  <c r="AC394" i="7"/>
  <c r="M394" i="7" s="1"/>
  <c r="AD395" i="7"/>
  <c r="N395" i="7" s="1"/>
  <c r="AD396" i="7"/>
  <c r="N396" i="7" s="1"/>
  <c r="AD397" i="7"/>
  <c r="N397" i="7" s="1"/>
  <c r="AD398" i="7"/>
  <c r="N398" i="7" s="1"/>
  <c r="AD399" i="7"/>
  <c r="N399" i="7" s="1"/>
  <c r="W402" i="7"/>
  <c r="I402" i="2" s="1"/>
  <c r="Z403" i="7"/>
  <c r="J403" i="7" s="1"/>
  <c r="AB404" i="7"/>
  <c r="L404" i="7" s="1"/>
  <c r="AC405" i="7"/>
  <c r="M405" i="7" s="1"/>
  <c r="AD406" i="7"/>
  <c r="N406" i="7" s="1"/>
  <c r="W409" i="7"/>
  <c r="I409" i="2" s="1"/>
  <c r="Z410" i="7"/>
  <c r="J410" i="7" s="1"/>
  <c r="Z411" i="7"/>
  <c r="J411" i="7" s="1"/>
  <c r="Z412" i="7"/>
  <c r="J412" i="7" s="1"/>
  <c r="Z413" i="7"/>
  <c r="J413" i="7" s="1"/>
  <c r="Z414" i="7"/>
  <c r="J414" i="7" s="1"/>
  <c r="Z415" i="7"/>
  <c r="J415" i="7" s="1"/>
  <c r="Z416" i="7"/>
  <c r="J416" i="7" s="1"/>
  <c r="Z417" i="7"/>
  <c r="J417" i="7" s="1"/>
  <c r="X418" i="7"/>
  <c r="X419" i="7"/>
  <c r="X420" i="7"/>
  <c r="W421" i="7"/>
  <c r="I421" i="2" s="1"/>
  <c r="W422" i="7"/>
  <c r="I422" i="2" s="1"/>
  <c r="W423" i="7"/>
  <c r="I423" i="2" s="1"/>
  <c r="W424" i="7"/>
  <c r="I424" i="2" s="1"/>
  <c r="AB367" i="7"/>
  <c r="L367" i="7" s="1"/>
  <c r="W369" i="7"/>
  <c r="I369" i="2" s="1"/>
  <c r="W370" i="7"/>
  <c r="I370" i="2" s="1"/>
  <c r="W371" i="7"/>
  <c r="I371" i="2" s="1"/>
  <c r="W372" i="7"/>
  <c r="I372" i="2" s="1"/>
  <c r="AD374" i="7"/>
  <c r="N374" i="7" s="1"/>
  <c r="AD375" i="7"/>
  <c r="N375" i="7" s="1"/>
  <c r="AD376" i="7"/>
  <c r="N376" i="7" s="1"/>
  <c r="W378" i="7"/>
  <c r="I378" i="2" s="1"/>
  <c r="W379" i="7"/>
  <c r="I379" i="2" s="1"/>
  <c r="AD380" i="7"/>
  <c r="N380" i="7" s="1"/>
  <c r="AC381" i="7"/>
  <c r="M381" i="7" s="1"/>
  <c r="AC382" i="7"/>
  <c r="M382" i="7" s="1"/>
  <c r="AC383" i="7"/>
  <c r="M383" i="7" s="1"/>
  <c r="AC384" i="7"/>
  <c r="M384" i="7" s="1"/>
  <c r="AC385" i="7"/>
  <c r="M385" i="7" s="1"/>
  <c r="AC386" i="7"/>
  <c r="M386" i="7" s="1"/>
  <c r="AC387" i="7"/>
  <c r="M387" i="7" s="1"/>
  <c r="AC388" i="7"/>
  <c r="M388" i="7" s="1"/>
  <c r="AC389" i="7"/>
  <c r="M389" i="7" s="1"/>
  <c r="AC390" i="7"/>
  <c r="M390" i="7" s="1"/>
  <c r="AB391" i="7"/>
  <c r="L391" i="7" s="1"/>
  <c r="AB392" i="7"/>
  <c r="L392" i="7" s="1"/>
  <c r="AC393" i="7"/>
  <c r="M393" i="7" s="1"/>
  <c r="AD394" i="7"/>
  <c r="N394" i="7" s="1"/>
  <c r="W400" i="7"/>
  <c r="I400" i="2" s="1"/>
  <c r="W401" i="7"/>
  <c r="I401" i="2" s="1"/>
  <c r="X402" i="7"/>
  <c r="AA403" i="7"/>
  <c r="K403" i="7" s="1"/>
  <c r="AC404" i="7"/>
  <c r="M404" i="7" s="1"/>
  <c r="AD405" i="7"/>
  <c r="N405" i="7" s="1"/>
  <c r="W407" i="7"/>
  <c r="I407" i="2" s="1"/>
  <c r="W408" i="7"/>
  <c r="I408" i="2" s="1"/>
  <c r="X409" i="7"/>
  <c r="AA410" i="7"/>
  <c r="K410" i="7" s="1"/>
  <c r="AA411" i="7"/>
  <c r="K411" i="7" s="1"/>
  <c r="AA412" i="7"/>
  <c r="K412" i="7" s="1"/>
  <c r="AA413" i="7"/>
  <c r="K413" i="7" s="1"/>
  <c r="AA414" i="7"/>
  <c r="K414" i="7" s="1"/>
  <c r="AA415" i="7"/>
  <c r="K415" i="7" s="1"/>
  <c r="AA416" i="7"/>
  <c r="K416" i="7" s="1"/>
  <c r="AA417" i="7"/>
  <c r="K417" i="7" s="1"/>
  <c r="Z418" i="7"/>
  <c r="J418" i="7" s="1"/>
  <c r="Z419" i="7"/>
  <c r="J419" i="7" s="1"/>
  <c r="Z420" i="7"/>
  <c r="J420" i="7" s="1"/>
  <c r="X421" i="7"/>
  <c r="X422" i="7"/>
  <c r="W368" i="7"/>
  <c r="I368" i="2" s="1"/>
  <c r="X369" i="7"/>
  <c r="X370" i="7"/>
  <c r="X371" i="7"/>
  <c r="X372" i="7"/>
  <c r="W373" i="7"/>
  <c r="I373" i="2" s="1"/>
  <c r="W377" i="7"/>
  <c r="I377" i="2" s="1"/>
  <c r="X378" i="7"/>
  <c r="X379" i="7"/>
  <c r="W380" i="7"/>
  <c r="I380" i="2" s="1"/>
  <c r="AD381" i="7"/>
  <c r="N381" i="7" s="1"/>
  <c r="AD382" i="7"/>
  <c r="N382" i="7" s="1"/>
  <c r="AD383" i="7"/>
  <c r="N383" i="7" s="1"/>
  <c r="AD384" i="7"/>
  <c r="N384" i="7" s="1"/>
  <c r="AD385" i="7"/>
  <c r="N385" i="7" s="1"/>
  <c r="AD386" i="7"/>
  <c r="N386" i="7" s="1"/>
  <c r="AD387" i="7"/>
  <c r="N387" i="7" s="1"/>
  <c r="AD388" i="7"/>
  <c r="N388" i="7" s="1"/>
  <c r="AD389" i="7"/>
  <c r="N389" i="7" s="1"/>
  <c r="AD390" i="7"/>
  <c r="N390" i="7" s="1"/>
  <c r="AC391" i="7"/>
  <c r="M391" i="7" s="1"/>
  <c r="AC392" i="7"/>
  <c r="M392" i="7" s="1"/>
  <c r="AD393" i="7"/>
  <c r="N393" i="7" s="1"/>
  <c r="W395" i="7"/>
  <c r="I395" i="2" s="1"/>
  <c r="W396" i="7"/>
  <c r="I396" i="2" s="1"/>
  <c r="W397" i="7"/>
  <c r="I397" i="2" s="1"/>
  <c r="W398" i="7"/>
  <c r="I398" i="2" s="1"/>
  <c r="W399" i="7"/>
  <c r="I399" i="2" s="1"/>
  <c r="X400" i="7"/>
  <c r="X401" i="7"/>
  <c r="Z402" i="7"/>
  <c r="J402" i="7" s="1"/>
  <c r="AB403" i="7"/>
  <c r="L403" i="7" s="1"/>
  <c r="AD404" i="7"/>
  <c r="N404" i="7" s="1"/>
  <c r="W406" i="7"/>
  <c r="I406" i="2" s="1"/>
  <c r="X407" i="7"/>
  <c r="X408" i="7"/>
  <c r="Z409" i="7"/>
  <c r="J409" i="7" s="1"/>
  <c r="AB410" i="7"/>
  <c r="L410" i="7" s="1"/>
  <c r="AB411" i="7"/>
  <c r="L411" i="7" s="1"/>
  <c r="AB412" i="7"/>
  <c r="L412" i="7" s="1"/>
  <c r="AB413" i="7"/>
  <c r="L413" i="7" s="1"/>
  <c r="AB414" i="7"/>
  <c r="L414" i="7" s="1"/>
  <c r="AB415" i="7"/>
  <c r="L415" i="7" s="1"/>
  <c r="AB416" i="7"/>
  <c r="L416" i="7" s="1"/>
  <c r="AB417" i="7"/>
  <c r="L417" i="7" s="1"/>
  <c r="AA418" i="7"/>
  <c r="K418" i="7" s="1"/>
  <c r="AA419" i="7"/>
  <c r="K419" i="7" s="1"/>
  <c r="AA420" i="7"/>
  <c r="K420" i="7" s="1"/>
  <c r="Z421" i="7"/>
  <c r="J421" i="7" s="1"/>
  <c r="Z422" i="7"/>
  <c r="J422" i="7" s="1"/>
  <c r="Z423" i="7"/>
  <c r="J423" i="7" s="1"/>
  <c r="X368" i="7"/>
  <c r="Z369" i="7"/>
  <c r="J369" i="7" s="1"/>
  <c r="Z370" i="7"/>
  <c r="J370" i="7" s="1"/>
  <c r="Z371" i="7"/>
  <c r="J371" i="7" s="1"/>
  <c r="Z372" i="7"/>
  <c r="J372" i="7" s="1"/>
  <c r="X373" i="7"/>
  <c r="W374" i="7"/>
  <c r="I374" i="2" s="1"/>
  <c r="W375" i="7"/>
  <c r="I375" i="2" s="1"/>
  <c r="W376" i="7"/>
  <c r="I376" i="2" s="1"/>
  <c r="X377" i="7"/>
  <c r="Z378" i="7"/>
  <c r="J378" i="7" s="1"/>
  <c r="Z379" i="7"/>
  <c r="J379" i="7" s="1"/>
  <c r="X380" i="7"/>
  <c r="AD391" i="7"/>
  <c r="N391" i="7" s="1"/>
  <c r="AD392" i="7"/>
  <c r="N392" i="7" s="1"/>
  <c r="W394" i="7"/>
  <c r="I394" i="2" s="1"/>
  <c r="X395" i="7"/>
  <c r="X396" i="7"/>
  <c r="X397" i="7"/>
  <c r="X398" i="7"/>
  <c r="X399" i="7"/>
  <c r="Z400" i="7"/>
  <c r="J400" i="7" s="1"/>
  <c r="Z401" i="7"/>
  <c r="J401" i="7" s="1"/>
  <c r="AA402" i="7"/>
  <c r="K402" i="7" s="1"/>
  <c r="AC403" i="7"/>
  <c r="M403" i="7" s="1"/>
  <c r="W405" i="7"/>
  <c r="I405" i="2" s="1"/>
  <c r="X406" i="7"/>
  <c r="Z407" i="7"/>
  <c r="J407" i="7" s="1"/>
  <c r="Z408" i="7"/>
  <c r="J408" i="7" s="1"/>
  <c r="AA409" i="7"/>
  <c r="K409" i="7" s="1"/>
  <c r="AC410" i="7"/>
  <c r="M410" i="7" s="1"/>
  <c r="AC411" i="7"/>
  <c r="M411" i="7" s="1"/>
  <c r="AC412" i="7"/>
  <c r="M412" i="7" s="1"/>
  <c r="AC413" i="7"/>
  <c r="M413" i="7" s="1"/>
  <c r="AC414" i="7"/>
  <c r="M414" i="7" s="1"/>
  <c r="AC415" i="7"/>
  <c r="M415" i="7" s="1"/>
  <c r="AC416" i="7"/>
  <c r="M416" i="7" s="1"/>
  <c r="AC417" i="7"/>
  <c r="M417" i="7" s="1"/>
  <c r="AB418" i="7"/>
  <c r="L418" i="7" s="1"/>
  <c r="AB419" i="7"/>
  <c r="L419" i="7" s="1"/>
  <c r="AB420" i="7"/>
  <c r="L420" i="7" s="1"/>
  <c r="AA421" i="7"/>
  <c r="K421" i="7" s="1"/>
  <c r="AA422" i="7"/>
  <c r="K422" i="7" s="1"/>
  <c r="AA423" i="7"/>
  <c r="K423" i="7" s="1"/>
  <c r="Z368" i="7"/>
  <c r="J368" i="7" s="1"/>
  <c r="AA369" i="7"/>
  <c r="K369" i="7" s="1"/>
  <c r="AA370" i="7"/>
  <c r="K370" i="7" s="1"/>
  <c r="AA371" i="7"/>
  <c r="K371" i="7" s="1"/>
  <c r="AA372" i="7"/>
  <c r="K372" i="7" s="1"/>
  <c r="Z373" i="7"/>
  <c r="J373" i="7" s="1"/>
  <c r="X374" i="7"/>
  <c r="X375" i="7"/>
  <c r="X376" i="7"/>
  <c r="Z377" i="7"/>
  <c r="J377" i="7" s="1"/>
  <c r="AA378" i="7"/>
  <c r="K378" i="7" s="1"/>
  <c r="AA379" i="7"/>
  <c r="K379" i="7" s="1"/>
  <c r="Y380" i="7"/>
  <c r="J380" i="2" s="1"/>
  <c r="W381" i="7"/>
  <c r="I381" i="2" s="1"/>
  <c r="W382" i="7"/>
  <c r="I382" i="2" s="1"/>
  <c r="W383" i="7"/>
  <c r="I383" i="2" s="1"/>
  <c r="W384" i="7"/>
  <c r="I384" i="2" s="1"/>
  <c r="W385" i="7"/>
  <c r="I385" i="2" s="1"/>
  <c r="W386" i="7"/>
  <c r="I386" i="2" s="1"/>
  <c r="W387" i="7"/>
  <c r="I387" i="2" s="1"/>
  <c r="W388" i="7"/>
  <c r="I388" i="2" s="1"/>
  <c r="W389" i="7"/>
  <c r="I389" i="2" s="1"/>
  <c r="W390" i="7"/>
  <c r="I390" i="2" s="1"/>
  <c r="W391" i="7"/>
  <c r="I391" i="2" s="1"/>
  <c r="W393" i="7"/>
  <c r="I393" i="2" s="1"/>
  <c r="X394" i="7"/>
  <c r="Z395" i="7"/>
  <c r="J395" i="7" s="1"/>
  <c r="Z396" i="7"/>
  <c r="J396" i="7" s="1"/>
  <c r="Z397" i="7"/>
  <c r="J397" i="7" s="1"/>
  <c r="Z398" i="7"/>
  <c r="J398" i="7" s="1"/>
  <c r="Z399" i="7"/>
  <c r="J399" i="7" s="1"/>
  <c r="AA400" i="7"/>
  <c r="K400" i="7" s="1"/>
  <c r="AA401" i="7"/>
  <c r="K401" i="7" s="1"/>
  <c r="AB402" i="7"/>
  <c r="L402" i="7" s="1"/>
  <c r="AD403" i="7"/>
  <c r="N403" i="7" s="1"/>
  <c r="W404" i="7"/>
  <c r="I404" i="2" s="1"/>
  <c r="X405" i="7"/>
  <c r="Z406" i="7"/>
  <c r="J406" i="7" s="1"/>
  <c r="AA407" i="7"/>
  <c r="K407" i="7" s="1"/>
  <c r="AA408" i="7"/>
  <c r="K408" i="7" s="1"/>
  <c r="AB409" i="7"/>
  <c r="L409" i="7" s="1"/>
  <c r="AD410" i="7"/>
  <c r="N410" i="7" s="1"/>
  <c r="AD411" i="7"/>
  <c r="N411" i="7" s="1"/>
  <c r="AD412" i="7"/>
  <c r="N412" i="7" s="1"/>
  <c r="AD413" i="7"/>
  <c r="N413" i="7" s="1"/>
  <c r="AD414" i="7"/>
  <c r="N414" i="7" s="1"/>
  <c r="AD415" i="7"/>
  <c r="N415" i="7" s="1"/>
  <c r="AD416" i="7"/>
  <c r="N416" i="7" s="1"/>
  <c r="AD417" i="7"/>
  <c r="N417" i="7" s="1"/>
  <c r="AC418" i="7"/>
  <c r="M418" i="7" s="1"/>
  <c r="AC419" i="7"/>
  <c r="M419" i="7" s="1"/>
  <c r="AC420" i="7"/>
  <c r="M420" i="7" s="1"/>
  <c r="AB421" i="7"/>
  <c r="L421" i="7" s="1"/>
  <c r="AB422" i="7"/>
  <c r="L422" i="7" s="1"/>
  <c r="AB423" i="7"/>
  <c r="L423" i="7" s="1"/>
  <c r="AB424" i="7"/>
  <c r="L424" i="7" s="1"/>
  <c r="AA366" i="7"/>
  <c r="K366" i="7" s="1"/>
  <c r="W367" i="7"/>
  <c r="I367" i="2" s="1"/>
  <c r="AA368" i="7"/>
  <c r="K368" i="7" s="1"/>
  <c r="AB369" i="7"/>
  <c r="L369" i="7" s="1"/>
  <c r="AB370" i="7"/>
  <c r="L370" i="7" s="1"/>
  <c r="AB371" i="7"/>
  <c r="L371" i="7" s="1"/>
  <c r="AB372" i="7"/>
  <c r="L372" i="7" s="1"/>
  <c r="AA373" i="7"/>
  <c r="K373" i="7" s="1"/>
  <c r="Z374" i="7"/>
  <c r="J374" i="7" s="1"/>
  <c r="Z375" i="7"/>
  <c r="J375" i="7" s="1"/>
  <c r="Z376" i="7"/>
  <c r="J376" i="7" s="1"/>
  <c r="AA377" i="7"/>
  <c r="K377" i="7" s="1"/>
  <c r="AB378" i="7"/>
  <c r="L378" i="7" s="1"/>
  <c r="AB379" i="7"/>
  <c r="L379" i="7" s="1"/>
  <c r="Z380" i="7"/>
  <c r="J380" i="7" s="1"/>
  <c r="X381" i="7"/>
  <c r="X382" i="7"/>
  <c r="X383" i="7"/>
  <c r="X384" i="7"/>
  <c r="X385" i="7"/>
  <c r="X386" i="7"/>
  <c r="X387" i="7"/>
  <c r="X388" i="7"/>
  <c r="X389" i="7"/>
  <c r="X390" i="7"/>
  <c r="X391" i="7"/>
  <c r="W392" i="7"/>
  <c r="I392" i="2" s="1"/>
  <c r="X393" i="7"/>
  <c r="Z394" i="7"/>
  <c r="J394" i="7" s="1"/>
  <c r="AA395" i="7"/>
  <c r="K395" i="7" s="1"/>
  <c r="AA396" i="7"/>
  <c r="K396" i="7" s="1"/>
  <c r="AA397" i="7"/>
  <c r="K397" i="7" s="1"/>
  <c r="AA398" i="7"/>
  <c r="K398" i="7" s="1"/>
  <c r="AA399" i="7"/>
  <c r="K399" i="7" s="1"/>
  <c r="AB400" i="7"/>
  <c r="L400" i="7" s="1"/>
  <c r="AB401" i="7"/>
  <c r="L401" i="7" s="1"/>
  <c r="AC402" i="7"/>
  <c r="M402" i="7" s="1"/>
  <c r="X404" i="7"/>
  <c r="Z405" i="7"/>
  <c r="J405" i="7" s="1"/>
  <c r="AA406" i="7"/>
  <c r="K406" i="7" s="1"/>
  <c r="AB407" i="7"/>
  <c r="L407" i="7" s="1"/>
  <c r="AB408" i="7"/>
  <c r="L408" i="7" s="1"/>
  <c r="AC409" i="7"/>
  <c r="M409" i="7" s="1"/>
  <c r="AD418" i="7"/>
  <c r="N418" i="7" s="1"/>
  <c r="AD419" i="7"/>
  <c r="N419" i="7" s="1"/>
  <c r="AD420" i="7"/>
  <c r="N420" i="7" s="1"/>
  <c r="AC421" i="7"/>
  <c r="M421" i="7" s="1"/>
  <c r="AC422" i="7"/>
  <c r="M422" i="7" s="1"/>
  <c r="AC423" i="7"/>
  <c r="M423" i="7" s="1"/>
  <c r="AB366" i="7"/>
  <c r="L366" i="7" s="1"/>
  <c r="X367" i="7"/>
  <c r="AB368" i="7"/>
  <c r="L368" i="7" s="1"/>
  <c r="AC369" i="7"/>
  <c r="M369" i="7" s="1"/>
  <c r="AC370" i="7"/>
  <c r="M370" i="7" s="1"/>
  <c r="AC371" i="7"/>
  <c r="M371" i="7" s="1"/>
  <c r="AC372" i="7"/>
  <c r="M372" i="7" s="1"/>
  <c r="AB373" i="7"/>
  <c r="L373" i="7" s="1"/>
  <c r="AA374" i="7"/>
  <c r="K374" i="7" s="1"/>
  <c r="AA375" i="7"/>
  <c r="K375" i="7" s="1"/>
  <c r="AA376" i="7"/>
  <c r="K376" i="7" s="1"/>
  <c r="AB377" i="7"/>
  <c r="L377" i="7" s="1"/>
  <c r="AC378" i="7"/>
  <c r="M378" i="7" s="1"/>
  <c r="AC379" i="7"/>
  <c r="M379" i="7" s="1"/>
  <c r="AA380" i="7"/>
  <c r="K380" i="7" s="1"/>
  <c r="Z381" i="7"/>
  <c r="J381" i="7" s="1"/>
  <c r="Z382" i="7"/>
  <c r="J382" i="7" s="1"/>
  <c r="Z383" i="7"/>
  <c r="J383" i="7" s="1"/>
  <c r="Z384" i="7"/>
  <c r="J384" i="7" s="1"/>
  <c r="Z385" i="7"/>
  <c r="J385" i="7" s="1"/>
  <c r="Z386" i="7"/>
  <c r="J386" i="7" s="1"/>
  <c r="Z387" i="7"/>
  <c r="J387" i="7" s="1"/>
  <c r="Z388" i="7"/>
  <c r="J388" i="7" s="1"/>
  <c r="Z389" i="7"/>
  <c r="J389" i="7" s="1"/>
  <c r="Z390" i="7"/>
  <c r="J390" i="7" s="1"/>
  <c r="Y391" i="7"/>
  <c r="J391" i="2" s="1"/>
  <c r="X392" i="7"/>
  <c r="Z393" i="7"/>
  <c r="J393" i="7" s="1"/>
  <c r="AA394" i="7"/>
  <c r="K394" i="7" s="1"/>
  <c r="AB395" i="7"/>
  <c r="L395" i="7" s="1"/>
  <c r="AB396" i="7"/>
  <c r="L396" i="7" s="1"/>
  <c r="AB397" i="7"/>
  <c r="L397" i="7" s="1"/>
  <c r="AB398" i="7"/>
  <c r="L398" i="7" s="1"/>
  <c r="AB399" i="7"/>
  <c r="L399" i="7" s="1"/>
  <c r="AC400" i="7"/>
  <c r="M400" i="7" s="1"/>
  <c r="AC401" i="7"/>
  <c r="M401" i="7" s="1"/>
  <c r="AD402" i="7"/>
  <c r="N402" i="7" s="1"/>
  <c r="W403" i="7"/>
  <c r="I403" i="2" s="1"/>
  <c r="Z404" i="7"/>
  <c r="J404" i="7" s="1"/>
  <c r="AA405" i="7"/>
  <c r="K405" i="7" s="1"/>
  <c r="AB406" i="7"/>
  <c r="L406" i="7" s="1"/>
  <c r="AC407" i="7"/>
  <c r="M407" i="7" s="1"/>
  <c r="AC408" i="7"/>
  <c r="M408" i="7" s="1"/>
  <c r="AD409" i="7"/>
  <c r="N409" i="7" s="1"/>
  <c r="W410" i="7"/>
  <c r="I410" i="2" s="1"/>
  <c r="W411" i="7"/>
  <c r="I411" i="2" s="1"/>
  <c r="W412" i="7"/>
  <c r="I412" i="2" s="1"/>
  <c r="W413" i="7"/>
  <c r="I413" i="2" s="1"/>
  <c r="W414" i="7"/>
  <c r="I414" i="2" s="1"/>
  <c r="W415" i="7"/>
  <c r="I415" i="2" s="1"/>
  <c r="W416" i="7"/>
  <c r="I416" i="2" s="1"/>
  <c r="W417" i="7"/>
  <c r="I417" i="2" s="1"/>
  <c r="AD421" i="7"/>
  <c r="N421" i="7" s="1"/>
  <c r="AD422" i="7"/>
  <c r="N422" i="7" s="1"/>
  <c r="AD423" i="7"/>
  <c r="N423" i="7" s="1"/>
  <c r="Z367" i="7"/>
  <c r="J367" i="7" s="1"/>
  <c r="AC368" i="7"/>
  <c r="M368" i="7" s="1"/>
  <c r="AD369" i="7"/>
  <c r="N369" i="7" s="1"/>
  <c r="AD370" i="7"/>
  <c r="N370" i="7" s="1"/>
  <c r="AD371" i="7"/>
  <c r="N371" i="7" s="1"/>
  <c r="AD372" i="7"/>
  <c r="N372" i="7" s="1"/>
  <c r="AC373" i="7"/>
  <c r="M373" i="7" s="1"/>
  <c r="AB374" i="7"/>
  <c r="L374" i="7" s="1"/>
  <c r="AB375" i="7"/>
  <c r="L375" i="7" s="1"/>
  <c r="AB376" i="7"/>
  <c r="L376" i="7" s="1"/>
  <c r="AC377" i="7"/>
  <c r="M377" i="7" s="1"/>
  <c r="AD378" i="7"/>
  <c r="N378" i="7" s="1"/>
  <c r="AD379" i="7"/>
  <c r="N379" i="7" s="1"/>
  <c r="AB380" i="7"/>
  <c r="L380" i="7" s="1"/>
  <c r="AA381" i="7"/>
  <c r="K381" i="7" s="1"/>
  <c r="AA382" i="7"/>
  <c r="K382" i="7" s="1"/>
  <c r="AA383" i="7"/>
  <c r="K383" i="7" s="1"/>
  <c r="AA384" i="7"/>
  <c r="K384" i="7" s="1"/>
  <c r="AA385" i="7"/>
  <c r="K385" i="7" s="1"/>
  <c r="AA386" i="7"/>
  <c r="K386" i="7" s="1"/>
  <c r="AA387" i="7"/>
  <c r="K387" i="7" s="1"/>
  <c r="AA388" i="7"/>
  <c r="K388" i="7" s="1"/>
  <c r="AA389" i="7"/>
  <c r="K389" i="7" s="1"/>
  <c r="AA390" i="7"/>
  <c r="K390" i="7" s="1"/>
  <c r="Z391" i="7"/>
  <c r="J391" i="7" s="1"/>
  <c r="Z392" i="7"/>
  <c r="J392" i="7" s="1"/>
  <c r="AA393" i="7"/>
  <c r="K393" i="7" s="1"/>
  <c r="AB394" i="7"/>
  <c r="L394" i="7" s="1"/>
  <c r="AC395" i="7"/>
  <c r="M395" i="7" s="1"/>
  <c r="AC396" i="7"/>
  <c r="M396" i="7" s="1"/>
  <c r="AC397" i="7"/>
  <c r="M397" i="7" s="1"/>
  <c r="AC398" i="7"/>
  <c r="M398" i="7" s="1"/>
  <c r="AC399" i="7"/>
  <c r="M399" i="7" s="1"/>
  <c r="AD400" i="7"/>
  <c r="N400" i="7" s="1"/>
  <c r="AD401" i="7"/>
  <c r="N401" i="7" s="1"/>
  <c r="X403" i="7"/>
  <c r="AA404" i="7"/>
  <c r="K404" i="7" s="1"/>
  <c r="AB405" i="7"/>
  <c r="L405" i="7" s="1"/>
  <c r="AC406" i="7"/>
  <c r="M406" i="7" s="1"/>
  <c r="AD407" i="7"/>
  <c r="N407" i="7" s="1"/>
  <c r="AD408" i="7"/>
  <c r="N408" i="7" s="1"/>
  <c r="X410" i="7"/>
  <c r="X411" i="7"/>
  <c r="X412" i="7"/>
  <c r="X413" i="7"/>
  <c r="X414" i="7"/>
  <c r="X415" i="7"/>
  <c r="X416" i="7"/>
  <c r="X417" i="7"/>
  <c r="W418" i="7"/>
  <c r="I418" i="2" s="1"/>
  <c r="W419" i="7"/>
  <c r="I419" i="2" s="1"/>
  <c r="W420" i="7"/>
  <c r="I420" i="2" s="1"/>
  <c r="AA424" i="7"/>
  <c r="K424" i="7" s="1"/>
  <c r="AB425" i="7"/>
  <c r="L425" i="7" s="1"/>
  <c r="AC426" i="7"/>
  <c r="M426" i="7" s="1"/>
  <c r="AC427" i="7"/>
  <c r="M427" i="7" s="1"/>
  <c r="AC428" i="7"/>
  <c r="M428" i="7" s="1"/>
  <c r="AC429" i="7"/>
  <c r="M429" i="7" s="1"/>
  <c r="AC430" i="7"/>
  <c r="M430" i="7" s="1"/>
  <c r="AC431" i="7"/>
  <c r="M431" i="7" s="1"/>
  <c r="AD432" i="7"/>
  <c r="N432" i="7" s="1"/>
  <c r="AC433" i="7"/>
  <c r="M433" i="7" s="1"/>
  <c r="AC434" i="7"/>
  <c r="M434" i="7" s="1"/>
  <c r="W436" i="7"/>
  <c r="I436" i="2" s="1"/>
  <c r="X437" i="7"/>
  <c r="W438" i="7"/>
  <c r="I438" i="2" s="1"/>
  <c r="W439" i="7"/>
  <c r="I439" i="2" s="1"/>
  <c r="W440" i="7"/>
  <c r="I440" i="2" s="1"/>
  <c r="X441" i="7"/>
  <c r="W442" i="7"/>
  <c r="I442" i="2" s="1"/>
  <c r="AC444" i="7"/>
  <c r="M444" i="7" s="1"/>
  <c r="AA445" i="7"/>
  <c r="K445" i="7" s="1"/>
  <c r="W447" i="7"/>
  <c r="I447" i="2" s="1"/>
  <c r="AC448" i="7"/>
  <c r="M448" i="7" s="1"/>
  <c r="AA449" i="7"/>
  <c r="K449" i="7" s="1"/>
  <c r="W451" i="7"/>
  <c r="I451" i="2" s="1"/>
  <c r="AC452" i="7"/>
  <c r="M452" i="7" s="1"/>
  <c r="Z453" i="7"/>
  <c r="J453" i="7" s="1"/>
  <c r="X454" i="7"/>
  <c r="W455" i="7"/>
  <c r="I455" i="2" s="1"/>
  <c r="AD456" i="7"/>
  <c r="N456" i="7" s="1"/>
  <c r="AA457" i="7"/>
  <c r="K457" i="7" s="1"/>
  <c r="AA458" i="7"/>
  <c r="K458" i="7" s="1"/>
  <c r="AB459" i="7"/>
  <c r="L459" i="7" s="1"/>
  <c r="Z460" i="7"/>
  <c r="J460" i="7" s="1"/>
  <c r="AC462" i="7"/>
  <c r="M462" i="7" s="1"/>
  <c r="AC463" i="7"/>
  <c r="M463" i="7" s="1"/>
  <c r="AC464" i="7"/>
  <c r="M464" i="7" s="1"/>
  <c r="AC465" i="7"/>
  <c r="M465" i="7" s="1"/>
  <c r="AC466" i="7"/>
  <c r="M466" i="7" s="1"/>
  <c r="AC467" i="7"/>
  <c r="M467" i="7" s="1"/>
  <c r="AC468" i="7"/>
  <c r="M468" i="7" s="1"/>
  <c r="AB469" i="7"/>
  <c r="L469" i="7" s="1"/>
  <c r="AB470" i="7"/>
  <c r="L470" i="7" s="1"/>
  <c r="AB471" i="7"/>
  <c r="L471" i="7" s="1"/>
  <c r="AA472" i="7"/>
  <c r="K472" i="7" s="1"/>
  <c r="AA473" i="7"/>
  <c r="K473" i="7" s="1"/>
  <c r="AC424" i="7"/>
  <c r="M424" i="7" s="1"/>
  <c r="AC425" i="7"/>
  <c r="M425" i="7" s="1"/>
  <c r="AD426" i="7"/>
  <c r="N426" i="7" s="1"/>
  <c r="AD427" i="7"/>
  <c r="N427" i="7" s="1"/>
  <c r="AD428" i="7"/>
  <c r="N428" i="7" s="1"/>
  <c r="AD429" i="7"/>
  <c r="N429" i="7" s="1"/>
  <c r="AD430" i="7"/>
  <c r="N430" i="7" s="1"/>
  <c r="AD431" i="7"/>
  <c r="N431" i="7" s="1"/>
  <c r="AD433" i="7"/>
  <c r="N433" i="7" s="1"/>
  <c r="AD434" i="7"/>
  <c r="N434" i="7" s="1"/>
  <c r="W435" i="7"/>
  <c r="I435" i="2" s="1"/>
  <c r="X436" i="7"/>
  <c r="X438" i="7"/>
  <c r="X439" i="7"/>
  <c r="X440" i="7"/>
  <c r="Z441" i="7"/>
  <c r="J441" i="7" s="1"/>
  <c r="X442" i="7"/>
  <c r="W443" i="7"/>
  <c r="I443" i="2" s="1"/>
  <c r="AD444" i="7"/>
  <c r="N444" i="7" s="1"/>
  <c r="AB445" i="7"/>
  <c r="L445" i="7" s="1"/>
  <c r="Z446" i="7"/>
  <c r="J446" i="7" s="1"/>
  <c r="X447" i="7"/>
  <c r="AD448" i="7"/>
  <c r="N448" i="7" s="1"/>
  <c r="AB449" i="7"/>
  <c r="L449" i="7" s="1"/>
  <c r="Z450" i="7"/>
  <c r="J450" i="7" s="1"/>
  <c r="X451" i="7"/>
  <c r="AD452" i="7"/>
  <c r="N452" i="7" s="1"/>
  <c r="AA453" i="7"/>
  <c r="K453" i="7" s="1"/>
  <c r="X455" i="7"/>
  <c r="W456" i="7"/>
  <c r="I456" i="2" s="1"/>
  <c r="AB457" i="7"/>
  <c r="L457" i="7" s="1"/>
  <c r="AB458" i="7"/>
  <c r="L458" i="7" s="1"/>
  <c r="AC459" i="7"/>
  <c r="M459" i="7" s="1"/>
  <c r="AA460" i="7"/>
  <c r="K460" i="7" s="1"/>
  <c r="W461" i="7"/>
  <c r="I461" i="2" s="1"/>
  <c r="AD462" i="7"/>
  <c r="N462" i="7" s="1"/>
  <c r="AD463" i="7"/>
  <c r="N463" i="7" s="1"/>
  <c r="AD464" i="7"/>
  <c r="N464" i="7" s="1"/>
  <c r="AD465" i="7"/>
  <c r="N465" i="7" s="1"/>
  <c r="AD466" i="7"/>
  <c r="N466" i="7" s="1"/>
  <c r="AD467" i="7"/>
  <c r="N467" i="7" s="1"/>
  <c r="AD468" i="7"/>
  <c r="N468" i="7" s="1"/>
  <c r="AC469" i="7"/>
  <c r="M469" i="7" s="1"/>
  <c r="AC470" i="7"/>
  <c r="M470" i="7" s="1"/>
  <c r="AC471" i="7"/>
  <c r="M471" i="7" s="1"/>
  <c r="AB472" i="7"/>
  <c r="L472" i="7" s="1"/>
  <c r="AB473" i="7"/>
  <c r="L473" i="7" s="1"/>
  <c r="AC474" i="7"/>
  <c r="M474" i="7" s="1"/>
  <c r="AD424" i="7"/>
  <c r="N424" i="7" s="1"/>
  <c r="AD425" i="7"/>
  <c r="N425" i="7" s="1"/>
  <c r="W432" i="7"/>
  <c r="I432" i="2" s="1"/>
  <c r="X435" i="7"/>
  <c r="Z436" i="7"/>
  <c r="J436" i="7" s="1"/>
  <c r="Z437" i="7"/>
  <c r="J437" i="7" s="1"/>
  <c r="Y438" i="7"/>
  <c r="J438" i="2" s="1"/>
  <c r="Y439" i="7"/>
  <c r="J439" i="2" s="1"/>
  <c r="Y440" i="7"/>
  <c r="J440" i="2" s="1"/>
  <c r="AA441" i="7"/>
  <c r="K441" i="7" s="1"/>
  <c r="Y442" i="7"/>
  <c r="J442" i="2" s="1"/>
  <c r="X443" i="7"/>
  <c r="W444" i="7"/>
  <c r="I444" i="2" s="1"/>
  <c r="AC445" i="7"/>
  <c r="M445" i="7" s="1"/>
  <c r="AA446" i="7"/>
  <c r="K446" i="7" s="1"/>
  <c r="W448" i="7"/>
  <c r="I448" i="2" s="1"/>
  <c r="AC449" i="7"/>
  <c r="M449" i="7" s="1"/>
  <c r="AA450" i="7"/>
  <c r="K450" i="7" s="1"/>
  <c r="Y451" i="7"/>
  <c r="J451" i="2" s="1"/>
  <c r="W452" i="7"/>
  <c r="I452" i="2" s="1"/>
  <c r="AB453" i="7"/>
  <c r="L453" i="7" s="1"/>
  <c r="Z454" i="7"/>
  <c r="J454" i="7" s="1"/>
  <c r="Y455" i="7"/>
  <c r="J455" i="2" s="1"/>
  <c r="X456" i="7"/>
  <c r="AC457" i="7"/>
  <c r="M457" i="7" s="1"/>
  <c r="AC458" i="7"/>
  <c r="M458" i="7" s="1"/>
  <c r="AD459" i="7"/>
  <c r="N459" i="7" s="1"/>
  <c r="AB460" i="7"/>
  <c r="L460" i="7" s="1"/>
  <c r="X461" i="7"/>
  <c r="AD469" i="7"/>
  <c r="N469" i="7" s="1"/>
  <c r="AD470" i="7"/>
  <c r="N470" i="7" s="1"/>
  <c r="AD471" i="7"/>
  <c r="N471" i="7" s="1"/>
  <c r="AC472" i="7"/>
  <c r="M472" i="7" s="1"/>
  <c r="AC473" i="7"/>
  <c r="M473" i="7" s="1"/>
  <c r="W426" i="7"/>
  <c r="I426" i="2" s="1"/>
  <c r="W427" i="7"/>
  <c r="I427" i="2" s="1"/>
  <c r="W428" i="7"/>
  <c r="I428" i="2" s="1"/>
  <c r="W429" i="7"/>
  <c r="I429" i="2" s="1"/>
  <c r="W430" i="7"/>
  <c r="I430" i="2" s="1"/>
  <c r="W431" i="7"/>
  <c r="I431" i="2" s="1"/>
  <c r="X432" i="7"/>
  <c r="W433" i="7"/>
  <c r="I433" i="2" s="1"/>
  <c r="W434" i="7"/>
  <c r="I434" i="2" s="1"/>
  <c r="Z435" i="7"/>
  <c r="J435" i="7" s="1"/>
  <c r="AA436" i="7"/>
  <c r="K436" i="7" s="1"/>
  <c r="AA437" i="7"/>
  <c r="K437" i="7" s="1"/>
  <c r="Z438" i="7"/>
  <c r="J438" i="7" s="1"/>
  <c r="Z439" i="7"/>
  <c r="J439" i="7" s="1"/>
  <c r="Z440" i="7"/>
  <c r="J440" i="7" s="1"/>
  <c r="AB441" i="7"/>
  <c r="L441" i="7" s="1"/>
  <c r="Z442" i="7"/>
  <c r="J442" i="7" s="1"/>
  <c r="Z443" i="7"/>
  <c r="J443" i="7" s="1"/>
  <c r="X444" i="7"/>
  <c r="AD445" i="7"/>
  <c r="N445" i="7" s="1"/>
  <c r="AB446" i="7"/>
  <c r="L446" i="7" s="1"/>
  <c r="Z447" i="7"/>
  <c r="J447" i="7" s="1"/>
  <c r="X448" i="7"/>
  <c r="AD449" i="7"/>
  <c r="N449" i="7" s="1"/>
  <c r="AB450" i="7"/>
  <c r="L450" i="7" s="1"/>
  <c r="Z451" i="7"/>
  <c r="J451" i="7" s="1"/>
  <c r="X452" i="7"/>
  <c r="AC453" i="7"/>
  <c r="M453" i="7" s="1"/>
  <c r="AA454" i="7"/>
  <c r="K454" i="7" s="1"/>
  <c r="Z455" i="7"/>
  <c r="J455" i="7" s="1"/>
  <c r="AD457" i="7"/>
  <c r="N457" i="7" s="1"/>
  <c r="AD458" i="7"/>
  <c r="N458" i="7" s="1"/>
  <c r="AC460" i="7"/>
  <c r="M460" i="7" s="1"/>
  <c r="Z461" i="7"/>
  <c r="J461" i="7" s="1"/>
  <c r="W462" i="7"/>
  <c r="I462" i="2" s="1"/>
  <c r="W463" i="7"/>
  <c r="I463" i="2" s="1"/>
  <c r="W464" i="7"/>
  <c r="I464" i="2" s="1"/>
  <c r="W465" i="7"/>
  <c r="I465" i="2" s="1"/>
  <c r="W466" i="7"/>
  <c r="I466" i="2" s="1"/>
  <c r="W467" i="7"/>
  <c r="I467" i="2" s="1"/>
  <c r="W468" i="7"/>
  <c r="I468" i="2" s="1"/>
  <c r="AD472" i="7"/>
  <c r="N472" i="7" s="1"/>
  <c r="W425" i="7"/>
  <c r="I425" i="2" s="1"/>
  <c r="X426" i="7"/>
  <c r="X427" i="7"/>
  <c r="X428" i="7"/>
  <c r="X429" i="7"/>
  <c r="X430" i="7"/>
  <c r="X431" i="7"/>
  <c r="Z432" i="7"/>
  <c r="J432" i="7" s="1"/>
  <c r="X433" i="7"/>
  <c r="X434" i="7"/>
  <c r="AA435" i="7"/>
  <c r="K435" i="7" s="1"/>
  <c r="AB436" i="7"/>
  <c r="L436" i="7" s="1"/>
  <c r="AB437" i="7"/>
  <c r="L437" i="7" s="1"/>
  <c r="AA438" i="7"/>
  <c r="K438" i="7" s="1"/>
  <c r="AA439" i="7"/>
  <c r="K439" i="7" s="1"/>
  <c r="AA440" i="7"/>
  <c r="K440" i="7" s="1"/>
  <c r="AC441" i="7"/>
  <c r="M441" i="7" s="1"/>
  <c r="AA442" i="7"/>
  <c r="K442" i="7" s="1"/>
  <c r="AA443" i="7"/>
  <c r="K443" i="7" s="1"/>
  <c r="Y444" i="7"/>
  <c r="J444" i="2" s="1"/>
  <c r="W445" i="7"/>
  <c r="I445" i="2" s="1"/>
  <c r="AC446" i="7"/>
  <c r="M446" i="7" s="1"/>
  <c r="AA447" i="7"/>
  <c r="K447" i="7" s="1"/>
  <c r="Y448" i="7"/>
  <c r="J448" i="2" s="1"/>
  <c r="W449" i="7"/>
  <c r="I449" i="2" s="1"/>
  <c r="AC450" i="7"/>
  <c r="M450" i="7" s="1"/>
  <c r="AA451" i="7"/>
  <c r="K451" i="7" s="1"/>
  <c r="AD453" i="7"/>
  <c r="N453" i="7" s="1"/>
  <c r="AB454" i="7"/>
  <c r="L454" i="7" s="1"/>
  <c r="AA455" i="7"/>
  <c r="K455" i="7" s="1"/>
  <c r="Z456" i="7"/>
  <c r="J456" i="7" s="1"/>
  <c r="W457" i="7"/>
  <c r="I457" i="2" s="1"/>
  <c r="W459" i="7"/>
  <c r="I459" i="2" s="1"/>
  <c r="AD460" i="7"/>
  <c r="N460" i="7" s="1"/>
  <c r="AA461" i="7"/>
  <c r="K461" i="7" s="1"/>
  <c r="X462" i="7"/>
  <c r="X463" i="7"/>
  <c r="X464" i="7"/>
  <c r="X465" i="7"/>
  <c r="X466" i="7"/>
  <c r="X467" i="7"/>
  <c r="X468" i="7"/>
  <c r="W469" i="7"/>
  <c r="I469" i="2" s="1"/>
  <c r="W470" i="7"/>
  <c r="I470" i="2" s="1"/>
  <c r="W471" i="7"/>
  <c r="I471" i="2" s="1"/>
  <c r="X425" i="7"/>
  <c r="Z426" i="7"/>
  <c r="J426" i="7" s="1"/>
  <c r="Z427" i="7"/>
  <c r="J427" i="7" s="1"/>
  <c r="Z428" i="7"/>
  <c r="J428" i="7" s="1"/>
  <c r="Z429" i="7"/>
  <c r="J429" i="7" s="1"/>
  <c r="Z430" i="7"/>
  <c r="J430" i="7" s="1"/>
  <c r="Z431" i="7"/>
  <c r="J431" i="7" s="1"/>
  <c r="AA432" i="7"/>
  <c r="K432" i="7" s="1"/>
  <c r="Z433" i="7"/>
  <c r="J433" i="7" s="1"/>
  <c r="Z434" i="7"/>
  <c r="J434" i="7" s="1"/>
  <c r="AB435" i="7"/>
  <c r="L435" i="7" s="1"/>
  <c r="AC436" i="7"/>
  <c r="M436" i="7" s="1"/>
  <c r="AC437" i="7"/>
  <c r="M437" i="7" s="1"/>
  <c r="AB438" i="7"/>
  <c r="L438" i="7" s="1"/>
  <c r="AB439" i="7"/>
  <c r="L439" i="7" s="1"/>
  <c r="AB440" i="7"/>
  <c r="L440" i="7" s="1"/>
  <c r="AD441" i="7"/>
  <c r="N441" i="7" s="1"/>
  <c r="AB442" i="7"/>
  <c r="L442" i="7" s="1"/>
  <c r="AB443" i="7"/>
  <c r="L443" i="7" s="1"/>
  <c r="Z444" i="7"/>
  <c r="J444" i="7" s="1"/>
  <c r="X445" i="7"/>
  <c r="AD446" i="7"/>
  <c r="N446" i="7" s="1"/>
  <c r="AB447" i="7"/>
  <c r="L447" i="7" s="1"/>
  <c r="Z448" i="7"/>
  <c r="J448" i="7" s="1"/>
  <c r="X449" i="7"/>
  <c r="AD450" i="7"/>
  <c r="N450" i="7" s="1"/>
  <c r="AB451" i="7"/>
  <c r="L451" i="7" s="1"/>
  <c r="Z452" i="7"/>
  <c r="J452" i="7" s="1"/>
  <c r="W453" i="7"/>
  <c r="I453" i="2" s="1"/>
  <c r="AC454" i="7"/>
  <c r="M454" i="7" s="1"/>
  <c r="AB455" i="7"/>
  <c r="L455" i="7" s="1"/>
  <c r="AA456" i="7"/>
  <c r="K456" i="7" s="1"/>
  <c r="X457" i="7"/>
  <c r="W458" i="7"/>
  <c r="I458" i="2" s="1"/>
  <c r="X459" i="7"/>
  <c r="AB461" i="7"/>
  <c r="L461" i="7" s="1"/>
  <c r="Z462" i="7"/>
  <c r="J462" i="7" s="1"/>
  <c r="Z463" i="7"/>
  <c r="J463" i="7" s="1"/>
  <c r="Z464" i="7"/>
  <c r="J464" i="7" s="1"/>
  <c r="Z465" i="7"/>
  <c r="J465" i="7" s="1"/>
  <c r="Z466" i="7"/>
  <c r="J466" i="7" s="1"/>
  <c r="Z467" i="7"/>
  <c r="J467" i="7" s="1"/>
  <c r="Z468" i="7"/>
  <c r="J468" i="7" s="1"/>
  <c r="X469" i="7"/>
  <c r="X470" i="7"/>
  <c r="X471" i="7"/>
  <c r="W472" i="7"/>
  <c r="I472" i="2" s="1"/>
  <c r="W473" i="7"/>
  <c r="I473" i="2" s="1"/>
  <c r="X424" i="7"/>
  <c r="Z425" i="7"/>
  <c r="J425" i="7" s="1"/>
  <c r="AA426" i="7"/>
  <c r="K426" i="7" s="1"/>
  <c r="AA427" i="7"/>
  <c r="K427" i="7" s="1"/>
  <c r="AA428" i="7"/>
  <c r="K428" i="7" s="1"/>
  <c r="AA429" i="7"/>
  <c r="K429" i="7" s="1"/>
  <c r="AA430" i="7"/>
  <c r="K430" i="7" s="1"/>
  <c r="AA431" i="7"/>
  <c r="K431" i="7" s="1"/>
  <c r="AB432" i="7"/>
  <c r="L432" i="7" s="1"/>
  <c r="AA433" i="7"/>
  <c r="K433" i="7" s="1"/>
  <c r="AA434" i="7"/>
  <c r="K434" i="7" s="1"/>
  <c r="AC435" i="7"/>
  <c r="M435" i="7" s="1"/>
  <c r="AD436" i="7"/>
  <c r="N436" i="7" s="1"/>
  <c r="AD437" i="7"/>
  <c r="N437" i="7" s="1"/>
  <c r="AC438" i="7"/>
  <c r="M438" i="7" s="1"/>
  <c r="AC439" i="7"/>
  <c r="M439" i="7" s="1"/>
  <c r="AC440" i="7"/>
  <c r="M440" i="7" s="1"/>
  <c r="AC442" i="7"/>
  <c r="M442" i="7" s="1"/>
  <c r="AC443" i="7"/>
  <c r="M443" i="7" s="1"/>
  <c r="AA444" i="7"/>
  <c r="K444" i="7" s="1"/>
  <c r="W446" i="7"/>
  <c r="I446" i="2" s="1"/>
  <c r="AC447" i="7"/>
  <c r="M447" i="7" s="1"/>
  <c r="AA448" i="7"/>
  <c r="K448" i="7" s="1"/>
  <c r="W450" i="7"/>
  <c r="I450" i="2" s="1"/>
  <c r="AC451" i="7"/>
  <c r="M451" i="7" s="1"/>
  <c r="AA452" i="7"/>
  <c r="K452" i="7" s="1"/>
  <c r="X453" i="7"/>
  <c r="AD454" i="7"/>
  <c r="N454" i="7" s="1"/>
  <c r="AC455" i="7"/>
  <c r="M455" i="7" s="1"/>
  <c r="AB456" i="7"/>
  <c r="L456" i="7" s="1"/>
  <c r="X458" i="7"/>
  <c r="Z459" i="7"/>
  <c r="J459" i="7" s="1"/>
  <c r="W460" i="7"/>
  <c r="I460" i="2" s="1"/>
  <c r="AC461" i="7"/>
  <c r="M461" i="7" s="1"/>
  <c r="AA462" i="7"/>
  <c r="K462" i="7" s="1"/>
  <c r="AA463" i="7"/>
  <c r="K463" i="7" s="1"/>
  <c r="AA464" i="7"/>
  <c r="K464" i="7" s="1"/>
  <c r="AA465" i="7"/>
  <c r="K465" i="7" s="1"/>
  <c r="AA466" i="7"/>
  <c r="K466" i="7" s="1"/>
  <c r="AA467" i="7"/>
  <c r="K467" i="7" s="1"/>
  <c r="AA468" i="7"/>
  <c r="K468" i="7" s="1"/>
  <c r="Z469" i="7"/>
  <c r="J469" i="7" s="1"/>
  <c r="Z470" i="7"/>
  <c r="J470" i="7" s="1"/>
  <c r="Z471" i="7"/>
  <c r="J471" i="7" s="1"/>
  <c r="X472" i="7"/>
  <c r="X423" i="7"/>
  <c r="Z424" i="7"/>
  <c r="J424" i="7" s="1"/>
  <c r="AA425" i="7"/>
  <c r="K425" i="7" s="1"/>
  <c r="AB426" i="7"/>
  <c r="L426" i="7" s="1"/>
  <c r="AB427" i="7"/>
  <c r="L427" i="7" s="1"/>
  <c r="AB428" i="7"/>
  <c r="L428" i="7" s="1"/>
  <c r="AB429" i="7"/>
  <c r="L429" i="7" s="1"/>
  <c r="AB430" i="7"/>
  <c r="L430" i="7" s="1"/>
  <c r="AB431" i="7"/>
  <c r="L431" i="7" s="1"/>
  <c r="AC432" i="7"/>
  <c r="M432" i="7" s="1"/>
  <c r="AB433" i="7"/>
  <c r="L433" i="7" s="1"/>
  <c r="AB434" i="7"/>
  <c r="L434" i="7" s="1"/>
  <c r="AD435" i="7"/>
  <c r="N435" i="7" s="1"/>
  <c r="W437" i="7"/>
  <c r="I437" i="2" s="1"/>
  <c r="AD438" i="7"/>
  <c r="N438" i="7" s="1"/>
  <c r="AD439" i="7"/>
  <c r="N439" i="7" s="1"/>
  <c r="AD440" i="7"/>
  <c r="N440" i="7" s="1"/>
  <c r="W441" i="7"/>
  <c r="I441" i="2" s="1"/>
  <c r="AD442" i="7"/>
  <c r="N442" i="7" s="1"/>
  <c r="AD443" i="7"/>
  <c r="N443" i="7" s="1"/>
  <c r="AB444" i="7"/>
  <c r="L444" i="7" s="1"/>
  <c r="Z445" i="7"/>
  <c r="J445" i="7" s="1"/>
  <c r="X446" i="7"/>
  <c r="AD447" i="7"/>
  <c r="N447" i="7" s="1"/>
  <c r="AB448" i="7"/>
  <c r="L448" i="7" s="1"/>
  <c r="Z449" i="7"/>
  <c r="J449" i="7" s="1"/>
  <c r="X450" i="7"/>
  <c r="AD451" i="7"/>
  <c r="N451" i="7" s="1"/>
  <c r="AB452" i="7"/>
  <c r="L452" i="7" s="1"/>
  <c r="Y453" i="7"/>
  <c r="J453" i="2" s="1"/>
  <c r="W454" i="7"/>
  <c r="I454" i="2" s="1"/>
  <c r="AD455" i="7"/>
  <c r="N455" i="7" s="1"/>
  <c r="AC456" i="7"/>
  <c r="M456" i="7" s="1"/>
  <c r="Z457" i="7"/>
  <c r="J457" i="7" s="1"/>
  <c r="Z458" i="7"/>
  <c r="J458" i="7" s="1"/>
  <c r="AA459" i="7"/>
  <c r="K459" i="7" s="1"/>
  <c r="X460" i="7"/>
  <c r="AD461" i="7"/>
  <c r="N461" i="7" s="1"/>
  <c r="AB462" i="7"/>
  <c r="L462" i="7" s="1"/>
  <c r="AB463" i="7"/>
  <c r="L463" i="7" s="1"/>
  <c r="AB464" i="7"/>
  <c r="L464" i="7" s="1"/>
  <c r="AB465" i="7"/>
  <c r="L465" i="7" s="1"/>
  <c r="AB466" i="7"/>
  <c r="L466" i="7" s="1"/>
  <c r="AB467" i="7"/>
  <c r="L467" i="7" s="1"/>
  <c r="AB468" i="7"/>
  <c r="L468" i="7" s="1"/>
  <c r="AA469" i="7"/>
  <c r="K469" i="7" s="1"/>
  <c r="AA470" i="7"/>
  <c r="K470" i="7" s="1"/>
  <c r="AA471" i="7"/>
  <c r="K471" i="7" s="1"/>
  <c r="Z472" i="7"/>
  <c r="J472" i="7" s="1"/>
  <c r="AA474" i="7"/>
  <c r="K474" i="7" s="1"/>
  <c r="AC475" i="7"/>
  <c r="M475" i="7" s="1"/>
  <c r="AD476" i="7"/>
  <c r="N476" i="7" s="1"/>
  <c r="AD477" i="7"/>
  <c r="N477" i="7" s="1"/>
  <c r="W478" i="7"/>
  <c r="I478" i="2" s="1"/>
  <c r="X479" i="7"/>
  <c r="W480" i="7"/>
  <c r="I480" i="2" s="1"/>
  <c r="AD481" i="7"/>
  <c r="N481" i="7" s="1"/>
  <c r="AB482" i="7"/>
  <c r="L482" i="7" s="1"/>
  <c r="Z483" i="7"/>
  <c r="J483" i="7" s="1"/>
  <c r="X484" i="7"/>
  <c r="AB474" i="7"/>
  <c r="L474" i="7" s="1"/>
  <c r="AD475" i="7"/>
  <c r="N475" i="7" s="1"/>
  <c r="X478" i="7"/>
  <c r="X480" i="7"/>
  <c r="W481" i="7"/>
  <c r="I481" i="2" s="1"/>
  <c r="AC482" i="7"/>
  <c r="M482" i="7" s="1"/>
  <c r="AA483" i="7"/>
  <c r="K483" i="7" s="1"/>
  <c r="AD474" i="7"/>
  <c r="N474" i="7" s="1"/>
  <c r="W476" i="7"/>
  <c r="I476" i="2" s="1"/>
  <c r="W477" i="7"/>
  <c r="I477" i="2" s="1"/>
  <c r="Z478" i="7"/>
  <c r="J478" i="7" s="1"/>
  <c r="Z479" i="7"/>
  <c r="J479" i="7" s="1"/>
  <c r="X481" i="7"/>
  <c r="AD482" i="7"/>
  <c r="N482" i="7" s="1"/>
  <c r="AB483" i="7"/>
  <c r="L483" i="7" s="1"/>
  <c r="Z484" i="7"/>
  <c r="J484" i="7" s="1"/>
  <c r="X473" i="7"/>
  <c r="W475" i="7"/>
  <c r="I475" i="2" s="1"/>
  <c r="X476" i="7"/>
  <c r="X477" i="7"/>
  <c r="AA478" i="7"/>
  <c r="K478" i="7" s="1"/>
  <c r="AA479" i="7"/>
  <c r="K479" i="7" s="1"/>
  <c r="Z480" i="7"/>
  <c r="J480" i="7" s="1"/>
  <c r="Y481" i="7"/>
  <c r="J481" i="2" s="1"/>
  <c r="W482" i="7"/>
  <c r="I482" i="2" s="1"/>
  <c r="AC483" i="7"/>
  <c r="M483" i="7" s="1"/>
  <c r="AA484" i="7"/>
  <c r="K484" i="7" s="1"/>
  <c r="Z473" i="7"/>
  <c r="J473" i="7" s="1"/>
  <c r="X475" i="7"/>
  <c r="Z476" i="7"/>
  <c r="J476" i="7" s="1"/>
  <c r="Z477" i="7"/>
  <c r="J477" i="7" s="1"/>
  <c r="AB478" i="7"/>
  <c r="L478" i="7" s="1"/>
  <c r="AB479" i="7"/>
  <c r="L479" i="7" s="1"/>
  <c r="AA480" i="7"/>
  <c r="K480" i="7" s="1"/>
  <c r="Z481" i="7"/>
  <c r="J481" i="7" s="1"/>
  <c r="X482" i="7"/>
  <c r="AD483" i="7"/>
  <c r="N483" i="7" s="1"/>
  <c r="AB484" i="7"/>
  <c r="L484" i="7" s="1"/>
  <c r="AD473" i="7"/>
  <c r="N473" i="7" s="1"/>
  <c r="W474" i="7"/>
  <c r="I474" i="2" s="1"/>
  <c r="Z475" i="7"/>
  <c r="J475" i="7" s="1"/>
  <c r="AA476" i="7"/>
  <c r="K476" i="7" s="1"/>
  <c r="AA477" i="7"/>
  <c r="K477" i="7" s="1"/>
  <c r="AC478" i="7"/>
  <c r="M478" i="7" s="1"/>
  <c r="AC479" i="7"/>
  <c r="M479" i="7" s="1"/>
  <c r="AB480" i="7"/>
  <c r="L480" i="7" s="1"/>
  <c r="AA481" i="7"/>
  <c r="K481" i="7" s="1"/>
  <c r="Y482" i="7"/>
  <c r="J482" i="2" s="1"/>
  <c r="W483" i="7"/>
  <c r="I483" i="2" s="1"/>
  <c r="AC484" i="7"/>
  <c r="M484" i="7" s="1"/>
  <c r="X474" i="7"/>
  <c r="AA475" i="7"/>
  <c r="K475" i="7" s="1"/>
  <c r="AB476" i="7"/>
  <c r="L476" i="7" s="1"/>
  <c r="AB477" i="7"/>
  <c r="L477" i="7" s="1"/>
  <c r="AD478" i="7"/>
  <c r="N478" i="7" s="1"/>
  <c r="AD479" i="7"/>
  <c r="N479" i="7" s="1"/>
  <c r="AC480" i="7"/>
  <c r="M480" i="7" s="1"/>
  <c r="AB481" i="7"/>
  <c r="L481" i="7" s="1"/>
  <c r="Z482" i="7"/>
  <c r="J482" i="7" s="1"/>
  <c r="X483" i="7"/>
  <c r="AD484" i="7"/>
  <c r="N484" i="7" s="1"/>
  <c r="Z474" i="7"/>
  <c r="J474" i="7" s="1"/>
  <c r="AB475" i="7"/>
  <c r="L475" i="7" s="1"/>
  <c r="AC476" i="7"/>
  <c r="M476" i="7" s="1"/>
  <c r="AC477" i="7"/>
  <c r="M477" i="7" s="1"/>
  <c r="W479" i="7"/>
  <c r="I479" i="2" s="1"/>
  <c r="AD480" i="7"/>
  <c r="N480" i="7" s="1"/>
  <c r="AC481" i="7"/>
  <c r="M481" i="7" s="1"/>
  <c r="AA482" i="7"/>
  <c r="K482" i="7" s="1"/>
  <c r="Y483" i="7"/>
  <c r="J483" i="2" s="1"/>
  <c r="W484" i="7"/>
  <c r="I484" i="2" s="1"/>
  <c r="Y456" i="7"/>
  <c r="J456" i="2" s="1"/>
  <c r="Y419" i="7"/>
  <c r="J419" i="2" s="1"/>
  <c r="Y385" i="7"/>
  <c r="J385" i="2" s="1"/>
  <c r="Y405" i="7"/>
  <c r="J405" i="2" s="1"/>
  <c r="Y472" i="7"/>
  <c r="J472" i="2" s="1"/>
  <c r="Y478" i="7"/>
  <c r="J478" i="2" s="1"/>
  <c r="Y475" i="7"/>
  <c r="J475" i="2" s="1"/>
  <c r="Y429" i="7"/>
  <c r="J429" i="2" s="1"/>
  <c r="Y432" i="7"/>
  <c r="J432" i="2" s="1"/>
  <c r="Y431" i="7"/>
  <c r="J431" i="2" s="1"/>
  <c r="Y366" i="7"/>
  <c r="Y373" i="7"/>
  <c r="J373" i="2" s="1"/>
  <c r="Y484" i="7"/>
  <c r="J484" i="2" s="1"/>
  <c r="Y437" i="7"/>
  <c r="J437" i="2" s="1"/>
  <c r="Y441" i="7"/>
  <c r="J441" i="2" s="1"/>
  <c r="Y468" i="7"/>
  <c r="J468" i="2" s="1"/>
  <c r="Y454" i="7"/>
  <c r="J454" i="2" s="1"/>
  <c r="Y418" i="7"/>
  <c r="J418" i="2" s="1"/>
  <c r="Y392" i="7"/>
  <c r="J392" i="2" s="1"/>
  <c r="Y384" i="7"/>
  <c r="J384" i="2" s="1"/>
  <c r="Y394" i="7"/>
  <c r="J394" i="2" s="1"/>
  <c r="Y407" i="7"/>
  <c r="J407" i="2" s="1"/>
  <c r="Y474" i="7"/>
  <c r="J474" i="2" s="1"/>
  <c r="Y426" i="7"/>
  <c r="J426" i="2" s="1"/>
  <c r="Y411" i="7"/>
  <c r="J411" i="2" s="1"/>
  <c r="Y401" i="7"/>
  <c r="J401" i="2" s="1"/>
  <c r="Y388" i="7"/>
  <c r="J388" i="2" s="1"/>
  <c r="Y376" i="7"/>
  <c r="J376" i="2" s="1"/>
  <c r="Y480" i="7"/>
  <c r="J480" i="2" s="1"/>
  <c r="Y452" i="7"/>
  <c r="J452" i="2" s="1"/>
  <c r="Y449" i="7"/>
  <c r="J449" i="2" s="1"/>
  <c r="Y471" i="7"/>
  <c r="J471" i="2" s="1"/>
  <c r="Y467" i="7"/>
  <c r="J467" i="2" s="1"/>
  <c r="Y461" i="7"/>
  <c r="J461" i="2" s="1"/>
  <c r="Y417" i="7"/>
  <c r="J417" i="2" s="1"/>
  <c r="Y383" i="7"/>
  <c r="J383" i="2" s="1"/>
  <c r="Y379" i="7"/>
  <c r="J379" i="2" s="1"/>
  <c r="Y477" i="7"/>
  <c r="J477" i="2" s="1"/>
  <c r="Y425" i="7"/>
  <c r="J425" i="2" s="1"/>
  <c r="Y427" i="7"/>
  <c r="J427" i="2" s="1"/>
  <c r="Y409" i="7"/>
  <c r="J409" i="2" s="1"/>
  <c r="Y365" i="7"/>
  <c r="J365" i="2" s="1"/>
  <c r="Y445" i="7"/>
  <c r="J445" i="2" s="1"/>
  <c r="Y450" i="7"/>
  <c r="J450" i="2" s="1"/>
  <c r="Y470" i="7"/>
  <c r="J470" i="2" s="1"/>
  <c r="Y466" i="7"/>
  <c r="J466" i="2" s="1"/>
  <c r="Y443" i="7"/>
  <c r="J443" i="2" s="1"/>
  <c r="Y416" i="7"/>
  <c r="J416" i="2" s="1"/>
  <c r="Y404" i="7"/>
  <c r="J404" i="2" s="1"/>
  <c r="Y406" i="7"/>
  <c r="J406" i="2" s="1"/>
  <c r="Y434" i="7"/>
  <c r="J434" i="2" s="1"/>
  <c r="Y435" i="7"/>
  <c r="J435" i="2" s="1"/>
  <c r="Y377" i="7"/>
  <c r="J377" i="2" s="1"/>
  <c r="Y400" i="7"/>
  <c r="J400" i="2" s="1"/>
  <c r="Y369" i="7"/>
  <c r="J369" i="2" s="1"/>
  <c r="Y446" i="7"/>
  <c r="J446" i="2" s="1"/>
  <c r="Y460" i="7"/>
  <c r="J460" i="2" s="1"/>
  <c r="Y469" i="7"/>
  <c r="J469" i="2" s="1"/>
  <c r="Y465" i="7"/>
  <c r="J465" i="2" s="1"/>
  <c r="Y423" i="7"/>
  <c r="J423" i="2" s="1"/>
  <c r="Y415" i="7"/>
  <c r="J415" i="2" s="1"/>
  <c r="Y393" i="7"/>
  <c r="J393" i="2" s="1"/>
  <c r="Y382" i="7"/>
  <c r="J382" i="2" s="1"/>
  <c r="Y398" i="7"/>
  <c r="J398" i="2" s="1"/>
  <c r="Y433" i="7"/>
  <c r="J433" i="2" s="1"/>
  <c r="Y408" i="7"/>
  <c r="J408" i="2" s="1"/>
  <c r="Y372" i="7"/>
  <c r="J372" i="2" s="1"/>
  <c r="Y479" i="7"/>
  <c r="J479" i="2" s="1"/>
  <c r="Y436" i="7"/>
  <c r="J436" i="2" s="1"/>
  <c r="Y464" i="7"/>
  <c r="J464" i="2" s="1"/>
  <c r="Y422" i="7"/>
  <c r="J422" i="2" s="1"/>
  <c r="Y414" i="7"/>
  <c r="J414" i="2" s="1"/>
  <c r="Y397" i="7"/>
  <c r="J397" i="2" s="1"/>
  <c r="Y402" i="7"/>
  <c r="J402" i="2" s="1"/>
  <c r="Y378" i="7"/>
  <c r="J378" i="2" s="1"/>
  <c r="Y368" i="7"/>
  <c r="J368" i="2" s="1"/>
  <c r="Y447" i="7"/>
  <c r="J447" i="2" s="1"/>
  <c r="Y457" i="7"/>
  <c r="J457" i="2" s="1"/>
  <c r="Y463" i="7"/>
  <c r="J463" i="2" s="1"/>
  <c r="Y421" i="7"/>
  <c r="J421" i="2" s="1"/>
  <c r="Y413" i="7"/>
  <c r="J413" i="2" s="1"/>
  <c r="Y387" i="7"/>
  <c r="J387" i="2" s="1"/>
  <c r="Y381" i="7"/>
  <c r="J381" i="2" s="1"/>
  <c r="Y396" i="7"/>
  <c r="J396" i="2" s="1"/>
  <c r="Y458" i="7"/>
  <c r="J458" i="2" s="1"/>
  <c r="Y473" i="7"/>
  <c r="J473" i="2" s="1"/>
  <c r="Y399" i="7"/>
  <c r="J399" i="2" s="1"/>
  <c r="Y430" i="7"/>
  <c r="J430" i="2" s="1"/>
  <c r="Y410" i="7"/>
  <c r="J410" i="2" s="1"/>
  <c r="Y412" i="7"/>
  <c r="J412" i="2" s="1"/>
  <c r="Y390" i="7"/>
  <c r="J390" i="2" s="1"/>
  <c r="Y389" i="7"/>
  <c r="J389" i="2" s="1"/>
  <c r="Y375" i="7"/>
  <c r="J375" i="2" s="1"/>
  <c r="Y370" i="7"/>
  <c r="J370" i="2" s="1"/>
  <c r="Y459" i="7"/>
  <c r="J459" i="2" s="1"/>
  <c r="Y462" i="7"/>
  <c r="J462" i="2" s="1"/>
  <c r="Y420" i="7"/>
  <c r="J420" i="2" s="1"/>
  <c r="Y403" i="7"/>
  <c r="J403" i="2" s="1"/>
  <c r="Y386" i="7"/>
  <c r="J386" i="2" s="1"/>
  <c r="Y395" i="7"/>
  <c r="J395" i="2" s="1"/>
  <c r="Y476" i="7"/>
  <c r="J476" i="2" s="1"/>
  <c r="Y424" i="7"/>
  <c r="J424" i="2" s="1"/>
  <c r="Y428" i="7"/>
  <c r="J428" i="2" s="1"/>
  <c r="Y374" i="7"/>
  <c r="J374" i="2" s="1"/>
  <c r="Y371" i="7"/>
  <c r="J371" i="2" s="1"/>
  <c r="Y367" i="7"/>
  <c r="J367" i="2" s="1"/>
  <c r="R36" i="5"/>
  <c r="T58" i="5"/>
  <c r="Z5" i="7"/>
  <c r="X306" i="7"/>
  <c r="Z307" i="7"/>
  <c r="J307" i="7" s="1"/>
  <c r="AB308" i="7"/>
  <c r="L308" i="7" s="1"/>
  <c r="AD309" i="7"/>
  <c r="N309" i="7" s="1"/>
  <c r="W310" i="7"/>
  <c r="I310" i="2" s="1"/>
  <c r="X311" i="7"/>
  <c r="AA312" i="7"/>
  <c r="K312" i="7" s="1"/>
  <c r="AD313" i="7"/>
  <c r="N313" i="7" s="1"/>
  <c r="X314" i="7"/>
  <c r="AB315" i="7"/>
  <c r="L315" i="7" s="1"/>
  <c r="AC316" i="7"/>
  <c r="M316" i="7" s="1"/>
  <c r="AD317" i="7"/>
  <c r="N317" i="7" s="1"/>
  <c r="X319" i="7"/>
  <c r="Z320" i="7"/>
  <c r="J320" i="7" s="1"/>
  <c r="AB321" i="7"/>
  <c r="L321" i="7" s="1"/>
  <c r="AC322" i="7"/>
  <c r="M322" i="7" s="1"/>
  <c r="X324" i="7"/>
  <c r="X325" i="7"/>
  <c r="AA326" i="7"/>
  <c r="K326" i="7" s="1"/>
  <c r="AA327" i="7"/>
  <c r="K327" i="7" s="1"/>
  <c r="AB328" i="7"/>
  <c r="L328" i="7" s="1"/>
  <c r="AC329" i="7"/>
  <c r="M329" i="7" s="1"/>
  <c r="AD330" i="7"/>
  <c r="N330" i="7" s="1"/>
  <c r="AD331" i="7"/>
  <c r="N331" i="7" s="1"/>
  <c r="W332" i="7"/>
  <c r="I332" i="2" s="1"/>
  <c r="Z333" i="7"/>
  <c r="J333" i="7" s="1"/>
  <c r="AA334" i="7"/>
  <c r="K334" i="7" s="1"/>
  <c r="AA335" i="7"/>
  <c r="K335" i="7" s="1"/>
  <c r="AA336" i="7"/>
  <c r="K336" i="7" s="1"/>
  <c r="AC337" i="7"/>
  <c r="M337" i="7" s="1"/>
  <c r="W338" i="7"/>
  <c r="I338" i="2" s="1"/>
  <c r="X339" i="7"/>
  <c r="AB340" i="7"/>
  <c r="L340" i="7" s="1"/>
  <c r="AC341" i="7"/>
  <c r="M341" i="7" s="1"/>
  <c r="AD342" i="7"/>
  <c r="N342" i="7" s="1"/>
  <c r="W343" i="7"/>
  <c r="I343" i="2" s="1"/>
  <c r="AA344" i="7"/>
  <c r="K344" i="7" s="1"/>
  <c r="AC345" i="7"/>
  <c r="M345" i="7" s="1"/>
  <c r="AC346" i="7"/>
  <c r="M346" i="7" s="1"/>
  <c r="X348" i="7"/>
  <c r="AA349" i="7"/>
  <c r="K349" i="7" s="1"/>
  <c r="AB350" i="7"/>
  <c r="L350" i="7" s="1"/>
  <c r="X352" i="7"/>
  <c r="Y353" i="7"/>
  <c r="J353" i="2" s="1"/>
  <c r="X354" i="7"/>
  <c r="Z355" i="7"/>
  <c r="J355" i="7" s="1"/>
  <c r="AB356" i="7"/>
  <c r="L356" i="7" s="1"/>
  <c r="AC357" i="7"/>
  <c r="M357" i="7" s="1"/>
  <c r="W358" i="7"/>
  <c r="I358" i="2" s="1"/>
  <c r="Z359" i="7"/>
  <c r="J359" i="7" s="1"/>
  <c r="AA360" i="7"/>
  <c r="K360" i="7" s="1"/>
  <c r="AD361" i="7"/>
  <c r="N361" i="7" s="1"/>
  <c r="W362" i="7"/>
  <c r="I362" i="2" s="1"/>
  <c r="AA363" i="7"/>
  <c r="K363" i="7" s="1"/>
  <c r="AB364" i="7"/>
  <c r="L364" i="7" s="1"/>
  <c r="W305" i="7"/>
  <c r="I305" i="2" s="1"/>
  <c r="Z306" i="7"/>
  <c r="J306" i="7" s="1"/>
  <c r="AA307" i="7"/>
  <c r="K307" i="7" s="1"/>
  <c r="AC308" i="7"/>
  <c r="M308" i="7" s="1"/>
  <c r="X310" i="7"/>
  <c r="Z311" i="7"/>
  <c r="J311" i="7" s="1"/>
  <c r="AB312" i="7"/>
  <c r="L312" i="7" s="1"/>
  <c r="Z314" i="7"/>
  <c r="J314" i="7" s="1"/>
  <c r="AC315" i="7"/>
  <c r="M315" i="7" s="1"/>
  <c r="AD316" i="7"/>
  <c r="N316" i="7" s="1"/>
  <c r="W317" i="7"/>
  <c r="I317" i="2" s="1"/>
  <c r="W318" i="7"/>
  <c r="I318" i="2" s="1"/>
  <c r="Z319" i="7"/>
  <c r="J319" i="7" s="1"/>
  <c r="AA320" i="7"/>
  <c r="K320" i="7" s="1"/>
  <c r="AC321" i="7"/>
  <c r="M321" i="7" s="1"/>
  <c r="AD322" i="7"/>
  <c r="N322" i="7" s="1"/>
  <c r="W323" i="7"/>
  <c r="I323" i="2" s="1"/>
  <c r="Y324" i="7"/>
  <c r="J324" i="2" s="1"/>
  <c r="Z325" i="7"/>
  <c r="J325" i="7" s="1"/>
  <c r="AB326" i="7"/>
  <c r="L326" i="7" s="1"/>
  <c r="AB327" i="7"/>
  <c r="L327" i="7" s="1"/>
  <c r="AC328" i="7"/>
  <c r="M328" i="7" s="1"/>
  <c r="AD329" i="7"/>
  <c r="N329" i="7" s="1"/>
  <c r="W330" i="7"/>
  <c r="I330" i="2" s="1"/>
  <c r="X332" i="7"/>
  <c r="AA333" i="7"/>
  <c r="K333" i="7" s="1"/>
  <c r="AB334" i="7"/>
  <c r="L334" i="7" s="1"/>
  <c r="AB335" i="7"/>
  <c r="L335" i="7" s="1"/>
  <c r="AB336" i="7"/>
  <c r="L336" i="7" s="1"/>
  <c r="AD337" i="7"/>
  <c r="N337" i="7" s="1"/>
  <c r="X338" i="7"/>
  <c r="Z339" i="7"/>
  <c r="J339" i="7" s="1"/>
  <c r="AC340" i="7"/>
  <c r="M340" i="7" s="1"/>
  <c r="AD341" i="7"/>
  <c r="N341" i="7" s="1"/>
  <c r="W342" i="7"/>
  <c r="I342" i="2" s="1"/>
  <c r="X343" i="7"/>
  <c r="AB344" i="7"/>
  <c r="L344" i="7" s="1"/>
  <c r="AD345" i="7"/>
  <c r="N345" i="7" s="1"/>
  <c r="AD346" i="7"/>
  <c r="N346" i="7" s="1"/>
  <c r="W347" i="7"/>
  <c r="I347" i="2" s="1"/>
  <c r="Z348" i="7"/>
  <c r="J348" i="7" s="1"/>
  <c r="AB349" i="7"/>
  <c r="L349" i="7" s="1"/>
  <c r="AC350" i="7"/>
  <c r="M350" i="7" s="1"/>
  <c r="W351" i="7"/>
  <c r="I351" i="2" s="1"/>
  <c r="Z352" i="7"/>
  <c r="J352" i="7" s="1"/>
  <c r="Z353" i="7"/>
  <c r="J353" i="7" s="1"/>
  <c r="Z354" i="7"/>
  <c r="J354" i="7" s="1"/>
  <c r="AA355" i="7"/>
  <c r="K355" i="7" s="1"/>
  <c r="AC356" i="7"/>
  <c r="M356" i="7" s="1"/>
  <c r="AD357" i="7"/>
  <c r="N357" i="7" s="1"/>
  <c r="X358" i="7"/>
  <c r="AA359" i="7"/>
  <c r="K359" i="7" s="1"/>
  <c r="AB360" i="7"/>
  <c r="L360" i="7" s="1"/>
  <c r="X362" i="7"/>
  <c r="AB363" i="7"/>
  <c r="L363" i="7" s="1"/>
  <c r="AC364" i="7"/>
  <c r="M364" i="7" s="1"/>
  <c r="X305" i="7"/>
  <c r="AA306" i="7"/>
  <c r="K306" i="7" s="1"/>
  <c r="AB307" i="7"/>
  <c r="L307" i="7" s="1"/>
  <c r="AD308" i="7"/>
  <c r="N308" i="7" s="1"/>
  <c r="W309" i="7"/>
  <c r="I309" i="2" s="1"/>
  <c r="Z310" i="7"/>
  <c r="J310" i="7" s="1"/>
  <c r="AA311" i="7"/>
  <c r="K311" i="7" s="1"/>
  <c r="AC312" i="7"/>
  <c r="M312" i="7" s="1"/>
  <c r="W313" i="7"/>
  <c r="I313" i="2" s="1"/>
  <c r="AA314" i="7"/>
  <c r="K314" i="7" s="1"/>
  <c r="AD315" i="7"/>
  <c r="N315" i="7" s="1"/>
  <c r="W316" i="7"/>
  <c r="I316" i="2" s="1"/>
  <c r="X317" i="7"/>
  <c r="X318" i="7"/>
  <c r="AA319" i="7"/>
  <c r="K319" i="7" s="1"/>
  <c r="AB320" i="7"/>
  <c r="L320" i="7" s="1"/>
  <c r="AD321" i="7"/>
  <c r="N321" i="7" s="1"/>
  <c r="X323" i="7"/>
  <c r="Z324" i="7"/>
  <c r="J324" i="7" s="1"/>
  <c r="AA325" i="7"/>
  <c r="K325" i="7" s="1"/>
  <c r="AC326" i="7"/>
  <c r="M326" i="7" s="1"/>
  <c r="AC327" i="7"/>
  <c r="M327" i="7" s="1"/>
  <c r="AD328" i="7"/>
  <c r="N328" i="7" s="1"/>
  <c r="W329" i="7"/>
  <c r="I329" i="2" s="1"/>
  <c r="X330" i="7"/>
  <c r="W331" i="7"/>
  <c r="I331" i="2" s="1"/>
  <c r="Z332" i="7"/>
  <c r="J332" i="7" s="1"/>
  <c r="AB333" i="7"/>
  <c r="L333" i="7" s="1"/>
  <c r="AC334" i="7"/>
  <c r="M334" i="7" s="1"/>
  <c r="AC335" i="7"/>
  <c r="M335" i="7" s="1"/>
  <c r="AC336" i="7"/>
  <c r="M336" i="7" s="1"/>
  <c r="Z338" i="7"/>
  <c r="J338" i="7" s="1"/>
  <c r="AA339" i="7"/>
  <c r="K339" i="7" s="1"/>
  <c r="AD340" i="7"/>
  <c r="N340" i="7" s="1"/>
  <c r="W341" i="7"/>
  <c r="I341" i="2" s="1"/>
  <c r="X342" i="7"/>
  <c r="Z343" i="7"/>
  <c r="J343" i="7" s="1"/>
  <c r="AC344" i="7"/>
  <c r="M344" i="7" s="1"/>
  <c r="X347" i="7"/>
  <c r="AA348" i="7"/>
  <c r="K348" i="7" s="1"/>
  <c r="AC349" i="7"/>
  <c r="M349" i="7" s="1"/>
  <c r="AD350" i="7"/>
  <c r="N350" i="7" s="1"/>
  <c r="X351" i="7"/>
  <c r="AA352" i="7"/>
  <c r="K352" i="7" s="1"/>
  <c r="AA353" i="7"/>
  <c r="K353" i="7" s="1"/>
  <c r="AA354" i="7"/>
  <c r="K354" i="7" s="1"/>
  <c r="AB355" i="7"/>
  <c r="L355" i="7" s="1"/>
  <c r="AD356" i="7"/>
  <c r="N356" i="7" s="1"/>
  <c r="W357" i="7"/>
  <c r="I357" i="2" s="1"/>
  <c r="Z358" i="7"/>
  <c r="J358" i="7" s="1"/>
  <c r="AB359" i="7"/>
  <c r="L359" i="7" s="1"/>
  <c r="AC360" i="7"/>
  <c r="M360" i="7" s="1"/>
  <c r="W361" i="7"/>
  <c r="I361" i="2" s="1"/>
  <c r="Z362" i="7"/>
  <c r="J362" i="7" s="1"/>
  <c r="AC363" i="7"/>
  <c r="M363" i="7" s="1"/>
  <c r="AD364" i="7"/>
  <c r="N364" i="7" s="1"/>
  <c r="Z305" i="7"/>
  <c r="J305" i="7" s="1"/>
  <c r="AB306" i="7"/>
  <c r="L306" i="7" s="1"/>
  <c r="AC307" i="7"/>
  <c r="M307" i="7" s="1"/>
  <c r="X309" i="7"/>
  <c r="AA310" i="7"/>
  <c r="K310" i="7" s="1"/>
  <c r="AB311" i="7"/>
  <c r="L311" i="7" s="1"/>
  <c r="AD312" i="7"/>
  <c r="N312" i="7" s="1"/>
  <c r="X313" i="7"/>
  <c r="AB314" i="7"/>
  <c r="L314" i="7" s="1"/>
  <c r="X316" i="7"/>
  <c r="Y317" i="7"/>
  <c r="J317" i="2" s="1"/>
  <c r="Z318" i="7"/>
  <c r="J318" i="7" s="1"/>
  <c r="AB319" i="7"/>
  <c r="L319" i="7" s="1"/>
  <c r="AC320" i="7"/>
  <c r="M320" i="7" s="1"/>
  <c r="W322" i="7"/>
  <c r="I322" i="2" s="1"/>
  <c r="Z323" i="7"/>
  <c r="J323" i="7" s="1"/>
  <c r="AA324" i="7"/>
  <c r="K324" i="7" s="1"/>
  <c r="AB325" i="7"/>
  <c r="L325" i="7" s="1"/>
  <c r="AD326" i="7"/>
  <c r="N326" i="7" s="1"/>
  <c r="AD327" i="7"/>
  <c r="N327" i="7" s="1"/>
  <c r="X329" i="7"/>
  <c r="Y330" i="7"/>
  <c r="J330" i="2" s="1"/>
  <c r="X331" i="7"/>
  <c r="AA332" i="7"/>
  <c r="K332" i="7" s="1"/>
  <c r="AC333" i="7"/>
  <c r="M333" i="7" s="1"/>
  <c r="AD334" i="7"/>
  <c r="N334" i="7" s="1"/>
  <c r="AD335" i="7"/>
  <c r="N335" i="7" s="1"/>
  <c r="AD336" i="7"/>
  <c r="N336" i="7" s="1"/>
  <c r="W337" i="7"/>
  <c r="I337" i="2" s="1"/>
  <c r="AA338" i="7"/>
  <c r="K338" i="7" s="1"/>
  <c r="AB339" i="7"/>
  <c r="L339" i="7" s="1"/>
  <c r="X341" i="7"/>
  <c r="Y342" i="7"/>
  <c r="J342" i="2" s="1"/>
  <c r="AA343" i="7"/>
  <c r="K343" i="7" s="1"/>
  <c r="AD344" i="7"/>
  <c r="N344" i="7" s="1"/>
  <c r="W345" i="7"/>
  <c r="I345" i="2" s="1"/>
  <c r="W346" i="7"/>
  <c r="I346" i="2" s="1"/>
  <c r="Z347" i="7"/>
  <c r="J347" i="7" s="1"/>
  <c r="AB348" i="7"/>
  <c r="L348" i="7" s="1"/>
  <c r="AD349" i="7"/>
  <c r="N349" i="7" s="1"/>
  <c r="Z351" i="7"/>
  <c r="J351" i="7" s="1"/>
  <c r="AB352" i="7"/>
  <c r="L352" i="7" s="1"/>
  <c r="AB353" i="7"/>
  <c r="L353" i="7" s="1"/>
  <c r="AB354" i="7"/>
  <c r="L354" i="7" s="1"/>
  <c r="AC355" i="7"/>
  <c r="M355" i="7" s="1"/>
  <c r="X357" i="7"/>
  <c r="AA358" i="7"/>
  <c r="K358" i="7" s="1"/>
  <c r="AC359" i="7"/>
  <c r="M359" i="7" s="1"/>
  <c r="AD360" i="7"/>
  <c r="N360" i="7" s="1"/>
  <c r="X361" i="7"/>
  <c r="AA362" i="7"/>
  <c r="K362" i="7" s="1"/>
  <c r="AD363" i="7"/>
  <c r="N363" i="7" s="1"/>
  <c r="W364" i="7"/>
  <c r="I364" i="2" s="1"/>
  <c r="AA305" i="7"/>
  <c r="K305" i="7" s="1"/>
  <c r="AC306" i="7"/>
  <c r="M306" i="7" s="1"/>
  <c r="AD307" i="7"/>
  <c r="N307" i="7" s="1"/>
  <c r="W308" i="7"/>
  <c r="I308" i="2" s="1"/>
  <c r="Z309" i="7"/>
  <c r="J309" i="7" s="1"/>
  <c r="AB310" i="7"/>
  <c r="L310" i="7" s="1"/>
  <c r="AC311" i="7"/>
  <c r="M311" i="7" s="1"/>
  <c r="Z313" i="7"/>
  <c r="J313" i="7" s="1"/>
  <c r="AC314" i="7"/>
  <c r="M314" i="7" s="1"/>
  <c r="W315" i="7"/>
  <c r="I315" i="2" s="1"/>
  <c r="Y316" i="7"/>
  <c r="J316" i="2" s="1"/>
  <c r="Z317" i="7"/>
  <c r="J317" i="7" s="1"/>
  <c r="AA318" i="7"/>
  <c r="K318" i="7" s="1"/>
  <c r="AC319" i="7"/>
  <c r="M319" i="7" s="1"/>
  <c r="AD320" i="7"/>
  <c r="N320" i="7" s="1"/>
  <c r="W321" i="7"/>
  <c r="I321" i="2" s="1"/>
  <c r="X322" i="7"/>
  <c r="AA323" i="7"/>
  <c r="K323" i="7" s="1"/>
  <c r="AB324" i="7"/>
  <c r="L324" i="7" s="1"/>
  <c r="AC325" i="7"/>
  <c r="M325" i="7" s="1"/>
  <c r="W327" i="7"/>
  <c r="I327" i="2" s="1"/>
  <c r="W328" i="7"/>
  <c r="I328" i="2" s="1"/>
  <c r="Y329" i="7"/>
  <c r="J329" i="2" s="1"/>
  <c r="Z330" i="7"/>
  <c r="J330" i="7" s="1"/>
  <c r="Z331" i="7"/>
  <c r="J331" i="7" s="1"/>
  <c r="AB332" i="7"/>
  <c r="L332" i="7" s="1"/>
  <c r="AD333" i="7"/>
  <c r="N333" i="7" s="1"/>
  <c r="W334" i="7"/>
  <c r="I334" i="2" s="1"/>
  <c r="W336" i="7"/>
  <c r="I336" i="2" s="1"/>
  <c r="X337" i="7"/>
  <c r="AB338" i="7"/>
  <c r="L338" i="7" s="1"/>
  <c r="AC339" i="7"/>
  <c r="M339" i="7" s="1"/>
  <c r="W340" i="7"/>
  <c r="I340" i="2" s="1"/>
  <c r="Y341" i="7"/>
  <c r="J341" i="2" s="1"/>
  <c r="Z342" i="7"/>
  <c r="J342" i="7" s="1"/>
  <c r="AB343" i="7"/>
  <c r="L343" i="7" s="1"/>
  <c r="X345" i="7"/>
  <c r="X346" i="7"/>
  <c r="AA347" i="7"/>
  <c r="K347" i="7" s="1"/>
  <c r="AC348" i="7"/>
  <c r="M348" i="7" s="1"/>
  <c r="W350" i="7"/>
  <c r="I350" i="2" s="1"/>
  <c r="AA351" i="7"/>
  <c r="K351" i="7" s="1"/>
  <c r="AC352" i="7"/>
  <c r="M352" i="7" s="1"/>
  <c r="AC353" i="7"/>
  <c r="M353" i="7" s="1"/>
  <c r="AC354" i="7"/>
  <c r="M354" i="7" s="1"/>
  <c r="AD355" i="7"/>
  <c r="N355" i="7" s="1"/>
  <c r="W356" i="7"/>
  <c r="I356" i="2" s="1"/>
  <c r="Y357" i="7"/>
  <c r="J357" i="2" s="1"/>
  <c r="AB358" i="7"/>
  <c r="L358" i="7" s="1"/>
  <c r="AD359" i="7"/>
  <c r="N359" i="7" s="1"/>
  <c r="Z361" i="7"/>
  <c r="J361" i="7" s="1"/>
  <c r="AB362" i="7"/>
  <c r="L362" i="7" s="1"/>
  <c r="X364" i="7"/>
  <c r="AB305" i="7"/>
  <c r="L305" i="7" s="1"/>
  <c r="AD306" i="7"/>
  <c r="N306" i="7" s="1"/>
  <c r="W307" i="7"/>
  <c r="I307" i="2" s="1"/>
  <c r="X308" i="7"/>
  <c r="AA309" i="7"/>
  <c r="K309" i="7" s="1"/>
  <c r="AC310" i="7"/>
  <c r="M310" i="7" s="1"/>
  <c r="AD311" i="7"/>
  <c r="N311" i="7" s="1"/>
  <c r="W312" i="7"/>
  <c r="I312" i="2" s="1"/>
  <c r="AA313" i="7"/>
  <c r="K313" i="7" s="1"/>
  <c r="AD314" i="7"/>
  <c r="N314" i="7" s="1"/>
  <c r="X315" i="7"/>
  <c r="Z316" i="7"/>
  <c r="J316" i="7" s="1"/>
  <c r="AA317" i="7"/>
  <c r="K317" i="7" s="1"/>
  <c r="AB318" i="7"/>
  <c r="L318" i="7" s="1"/>
  <c r="AD319" i="7"/>
  <c r="N319" i="7" s="1"/>
  <c r="X321" i="7"/>
  <c r="Z322" i="7"/>
  <c r="J322" i="7" s="1"/>
  <c r="AB323" i="7"/>
  <c r="L323" i="7" s="1"/>
  <c r="AC324" i="7"/>
  <c r="M324" i="7" s="1"/>
  <c r="AD325" i="7"/>
  <c r="N325" i="7" s="1"/>
  <c r="W326" i="7"/>
  <c r="I326" i="2" s="1"/>
  <c r="X327" i="7"/>
  <c r="X328" i="7"/>
  <c r="Z329" i="7"/>
  <c r="J329" i="7" s="1"/>
  <c r="AA330" i="7"/>
  <c r="K330" i="7" s="1"/>
  <c r="AA331" i="7"/>
  <c r="K331" i="7" s="1"/>
  <c r="AC332" i="7"/>
  <c r="M332" i="7" s="1"/>
  <c r="X334" i="7"/>
  <c r="W335" i="7"/>
  <c r="I335" i="2" s="1"/>
  <c r="X336" i="7"/>
  <c r="Z337" i="7"/>
  <c r="J337" i="7" s="1"/>
  <c r="AC338" i="7"/>
  <c r="M338" i="7" s="1"/>
  <c r="AD339" i="7"/>
  <c r="N339" i="7" s="1"/>
  <c r="X340" i="7"/>
  <c r="Z341" i="7"/>
  <c r="J341" i="7" s="1"/>
  <c r="AA342" i="7"/>
  <c r="K342" i="7" s="1"/>
  <c r="AC343" i="7"/>
  <c r="M343" i="7" s="1"/>
  <c r="W344" i="7"/>
  <c r="I344" i="2" s="1"/>
  <c r="Z345" i="7"/>
  <c r="J345" i="7" s="1"/>
  <c r="Z346" i="7"/>
  <c r="J346" i="7" s="1"/>
  <c r="AB347" i="7"/>
  <c r="L347" i="7" s="1"/>
  <c r="AD348" i="7"/>
  <c r="N348" i="7" s="1"/>
  <c r="W349" i="7"/>
  <c r="I349" i="2" s="1"/>
  <c r="X350" i="7"/>
  <c r="AB351" i="7"/>
  <c r="L351" i="7" s="1"/>
  <c r="AD352" i="7"/>
  <c r="N352" i="7" s="1"/>
  <c r="AD353" i="7"/>
  <c r="N353" i="7" s="1"/>
  <c r="AD354" i="7"/>
  <c r="N354" i="7" s="1"/>
  <c r="W355" i="7"/>
  <c r="I355" i="2" s="1"/>
  <c r="X356" i="7"/>
  <c r="Z357" i="7"/>
  <c r="J357" i="7" s="1"/>
  <c r="AC358" i="7"/>
  <c r="M358" i="7" s="1"/>
  <c r="W359" i="7"/>
  <c r="I359" i="2" s="1"/>
  <c r="W360" i="7"/>
  <c r="I360" i="2" s="1"/>
  <c r="AA361" i="7"/>
  <c r="K361" i="7" s="1"/>
  <c r="AC362" i="7"/>
  <c r="M362" i="7" s="1"/>
  <c r="W363" i="7"/>
  <c r="I363" i="2" s="1"/>
  <c r="Y364" i="7"/>
  <c r="J364" i="2" s="1"/>
  <c r="AC305" i="7"/>
  <c r="M305" i="7" s="1"/>
  <c r="X307" i="7"/>
  <c r="Z308" i="7"/>
  <c r="J308" i="7" s="1"/>
  <c r="AB309" i="7"/>
  <c r="L309" i="7" s="1"/>
  <c r="AD310" i="7"/>
  <c r="N310" i="7" s="1"/>
  <c r="X312" i="7"/>
  <c r="AB313" i="7"/>
  <c r="L313" i="7" s="1"/>
  <c r="Z315" i="7"/>
  <c r="J315" i="7" s="1"/>
  <c r="AA316" i="7"/>
  <c r="K316" i="7" s="1"/>
  <c r="AB317" i="7"/>
  <c r="L317" i="7" s="1"/>
  <c r="AC318" i="7"/>
  <c r="M318" i="7" s="1"/>
  <c r="W320" i="7"/>
  <c r="I320" i="2" s="1"/>
  <c r="Z321" i="7"/>
  <c r="J321" i="7" s="1"/>
  <c r="AA322" i="7"/>
  <c r="K322" i="7" s="1"/>
  <c r="AC323" i="7"/>
  <c r="M323" i="7" s="1"/>
  <c r="AD324" i="7"/>
  <c r="N324" i="7" s="1"/>
  <c r="X326" i="7"/>
  <c r="Y327" i="7"/>
  <c r="J327" i="2" s="1"/>
  <c r="Z328" i="7"/>
  <c r="J328" i="7" s="1"/>
  <c r="AA329" i="7"/>
  <c r="K329" i="7" s="1"/>
  <c r="AB330" i="7"/>
  <c r="L330" i="7" s="1"/>
  <c r="AB331" i="7"/>
  <c r="L331" i="7" s="1"/>
  <c r="AD332" i="7"/>
  <c r="N332" i="7" s="1"/>
  <c r="W333" i="7"/>
  <c r="I333" i="2" s="1"/>
  <c r="Y334" i="7"/>
  <c r="J334" i="2" s="1"/>
  <c r="X335" i="7"/>
  <c r="Y336" i="7"/>
  <c r="J336" i="2" s="1"/>
  <c r="AA337" i="7"/>
  <c r="K337" i="7" s="1"/>
  <c r="AD338" i="7"/>
  <c r="N338" i="7" s="1"/>
  <c r="Z340" i="7"/>
  <c r="J340" i="7" s="1"/>
  <c r="AA341" i="7"/>
  <c r="K341" i="7" s="1"/>
  <c r="AB342" i="7"/>
  <c r="L342" i="7" s="1"/>
  <c r="AD343" i="7"/>
  <c r="N343" i="7" s="1"/>
  <c r="X344" i="7"/>
  <c r="AA345" i="7"/>
  <c r="K345" i="7" s="1"/>
  <c r="AA346" i="7"/>
  <c r="K346" i="7" s="1"/>
  <c r="AC347" i="7"/>
  <c r="M347" i="7" s="1"/>
  <c r="X349" i="7"/>
  <c r="Z350" i="7"/>
  <c r="J350" i="7" s="1"/>
  <c r="AC351" i="7"/>
  <c r="M351" i="7" s="1"/>
  <c r="W353" i="7"/>
  <c r="I353" i="2" s="1"/>
  <c r="X355" i="7"/>
  <c r="Z356" i="7"/>
  <c r="J356" i="7" s="1"/>
  <c r="AA357" i="7"/>
  <c r="K357" i="7" s="1"/>
  <c r="AD358" i="7"/>
  <c r="N358" i="7" s="1"/>
  <c r="X359" i="7"/>
  <c r="X360" i="7"/>
  <c r="AB361" i="7"/>
  <c r="L361" i="7" s="1"/>
  <c r="AD362" i="7"/>
  <c r="N362" i="7" s="1"/>
  <c r="X363" i="7"/>
  <c r="Z364" i="7"/>
  <c r="J364" i="7" s="1"/>
  <c r="AD305" i="7"/>
  <c r="N305" i="7" s="1"/>
  <c r="AB316" i="7"/>
  <c r="L316" i="7" s="1"/>
  <c r="AC317" i="7"/>
  <c r="M317" i="7" s="1"/>
  <c r="W319" i="7"/>
  <c r="I319" i="2" s="1"/>
  <c r="X320" i="7"/>
  <c r="W339" i="7"/>
  <c r="I339" i="2" s="1"/>
  <c r="W352" i="7"/>
  <c r="I352" i="2" s="1"/>
  <c r="AA315" i="7"/>
  <c r="K315" i="7" s="1"/>
  <c r="AD318" i="7"/>
  <c r="N318" i="7" s="1"/>
  <c r="AD351" i="7"/>
  <c r="N351" i="7" s="1"/>
  <c r="AC361" i="7"/>
  <c r="M361" i="7" s="1"/>
  <c r="W314" i="7"/>
  <c r="I314" i="2" s="1"/>
  <c r="X333" i="7"/>
  <c r="Z334" i="7"/>
  <c r="J334" i="7" s="1"/>
  <c r="Z335" i="7"/>
  <c r="J335" i="7" s="1"/>
  <c r="Z336" i="7"/>
  <c r="J336" i="7" s="1"/>
  <c r="AB337" i="7"/>
  <c r="L337" i="7" s="1"/>
  <c r="Z349" i="7"/>
  <c r="J349" i="7" s="1"/>
  <c r="AA350" i="7"/>
  <c r="K350" i="7" s="1"/>
  <c r="Y359" i="7"/>
  <c r="J359" i="2" s="1"/>
  <c r="Z360" i="7"/>
  <c r="J360" i="7" s="1"/>
  <c r="AC313" i="7"/>
  <c r="M313" i="7" s="1"/>
  <c r="AB345" i="7"/>
  <c r="L345" i="7" s="1"/>
  <c r="AB346" i="7"/>
  <c r="L346" i="7" s="1"/>
  <c r="AD347" i="7"/>
  <c r="N347" i="7" s="1"/>
  <c r="W348" i="7"/>
  <c r="I348" i="2" s="1"/>
  <c r="W306" i="7"/>
  <c r="I306" i="2" s="1"/>
  <c r="Z312" i="7"/>
  <c r="J312" i="7" s="1"/>
  <c r="AB329" i="7"/>
  <c r="L329" i="7" s="1"/>
  <c r="AC330" i="7"/>
  <c r="M330" i="7" s="1"/>
  <c r="Z344" i="7"/>
  <c r="J344" i="7" s="1"/>
  <c r="AA340" i="7"/>
  <c r="K340" i="7" s="1"/>
  <c r="W354" i="7"/>
  <c r="I354" i="2" s="1"/>
  <c r="W311" i="7"/>
  <c r="I311" i="2" s="1"/>
  <c r="Z326" i="7"/>
  <c r="J326" i="7" s="1"/>
  <c r="Z327" i="7"/>
  <c r="J327" i="7" s="1"/>
  <c r="AA328" i="7"/>
  <c r="K328" i="7" s="1"/>
  <c r="AC331" i="7"/>
  <c r="M331" i="7" s="1"/>
  <c r="AB357" i="7"/>
  <c r="L357" i="7" s="1"/>
  <c r="AC309" i="7"/>
  <c r="M309" i="7" s="1"/>
  <c r="AB322" i="7"/>
  <c r="L322" i="7" s="1"/>
  <c r="AD323" i="7"/>
  <c r="N323" i="7" s="1"/>
  <c r="W324" i="7"/>
  <c r="I324" i="2" s="1"/>
  <c r="W325" i="7"/>
  <c r="I325" i="2" s="1"/>
  <c r="AB341" i="7"/>
  <c r="L341" i="7" s="1"/>
  <c r="AC342" i="7"/>
  <c r="M342" i="7" s="1"/>
  <c r="Y355" i="7"/>
  <c r="J355" i="2" s="1"/>
  <c r="AA356" i="7"/>
  <c r="K356" i="7" s="1"/>
  <c r="Z363" i="7"/>
  <c r="J363" i="7" s="1"/>
  <c r="AA364" i="7"/>
  <c r="K364" i="7" s="1"/>
  <c r="Y307" i="7"/>
  <c r="J307" i="2" s="1"/>
  <c r="AA308" i="7"/>
  <c r="K308" i="7" s="1"/>
  <c r="AA321" i="7"/>
  <c r="K321" i="7" s="1"/>
  <c r="X353" i="7"/>
  <c r="Y338" i="7"/>
  <c r="J338" i="2" s="1"/>
  <c r="Y306" i="7"/>
  <c r="J306" i="2" s="1"/>
  <c r="Y328" i="7"/>
  <c r="J328" i="2" s="1"/>
  <c r="Y351" i="7"/>
  <c r="J351" i="2" s="1"/>
  <c r="Y343" i="7"/>
  <c r="J343" i="2" s="1"/>
  <c r="Y360" i="7"/>
  <c r="J360" i="2" s="1"/>
  <c r="Y321" i="7"/>
  <c r="J321" i="2" s="1"/>
  <c r="Y333" i="7"/>
  <c r="J333" i="2" s="1"/>
  <c r="Y315" i="7"/>
  <c r="J315" i="2" s="1"/>
  <c r="Y347" i="7"/>
  <c r="J347" i="2" s="1"/>
  <c r="Y362" i="7"/>
  <c r="J362" i="2" s="1"/>
  <c r="Y344" i="7"/>
  <c r="J344" i="2" s="1"/>
  <c r="Y352" i="7"/>
  <c r="J352" i="2" s="1"/>
  <c r="Y308" i="7"/>
  <c r="J308" i="2" s="1"/>
  <c r="Y323" i="7"/>
  <c r="J323" i="2" s="1"/>
  <c r="Y325" i="7"/>
  <c r="J325" i="2" s="1"/>
  <c r="Y310" i="7"/>
  <c r="J310" i="2" s="1"/>
  <c r="Y348" i="7"/>
  <c r="J348" i="2" s="1"/>
  <c r="Y363" i="7"/>
  <c r="J363" i="2" s="1"/>
  <c r="Y345" i="7"/>
  <c r="J345" i="2" s="1"/>
  <c r="Y361" i="7"/>
  <c r="J361" i="2" s="1"/>
  <c r="Y318" i="7"/>
  <c r="J318" i="2" s="1"/>
  <c r="Y346" i="7"/>
  <c r="J346" i="2" s="1"/>
  <c r="Y339" i="7"/>
  <c r="J339" i="2" s="1"/>
  <c r="Y349" i="7"/>
  <c r="J349" i="2" s="1"/>
  <c r="Y322" i="7"/>
  <c r="J322" i="2" s="1"/>
  <c r="Y331" i="7"/>
  <c r="J331" i="2" s="1"/>
  <c r="Y314" i="7"/>
  <c r="J314" i="2" s="1"/>
  <c r="Y326" i="7"/>
  <c r="J326" i="2" s="1"/>
  <c r="Y356" i="7"/>
  <c r="J356" i="2" s="1"/>
  <c r="Y305" i="7"/>
  <c r="J305" i="2" s="1"/>
  <c r="Y319" i="7"/>
  <c r="J319" i="2" s="1"/>
  <c r="Y335" i="7"/>
  <c r="J335" i="2" s="1"/>
  <c r="Y309" i="7"/>
  <c r="J309" i="2" s="1"/>
  <c r="Y337" i="7"/>
  <c r="J337" i="2" s="1"/>
  <c r="Y332" i="7"/>
  <c r="J332" i="2" s="1"/>
  <c r="Y311" i="7"/>
  <c r="J311" i="2" s="1"/>
  <c r="Y320" i="7"/>
  <c r="J320" i="2" s="1"/>
  <c r="Y312" i="7"/>
  <c r="J312" i="2" s="1"/>
  <c r="Y340" i="7"/>
  <c r="J340" i="2" s="1"/>
  <c r="Y350" i="7"/>
  <c r="J350" i="2" s="1"/>
  <c r="Y313" i="7"/>
  <c r="J313" i="2" s="1"/>
  <c r="Y358" i="7"/>
  <c r="J358" i="2" s="1"/>
  <c r="Y354" i="7"/>
  <c r="J354" i="2" s="1"/>
  <c r="Q37" i="5"/>
  <c r="AB13" i="7"/>
  <c r="L13" i="7" s="1"/>
  <c r="AB21" i="7"/>
  <c r="L21" i="7" s="1"/>
  <c r="AB29" i="7"/>
  <c r="L29" i="7" s="1"/>
  <c r="AB37" i="7"/>
  <c r="L37" i="7" s="1"/>
  <c r="AB45" i="7"/>
  <c r="L45" i="7" s="1"/>
  <c r="AB53" i="7"/>
  <c r="L53" i="7" s="1"/>
  <c r="AB61" i="7"/>
  <c r="L61" i="7" s="1"/>
  <c r="AB69" i="7"/>
  <c r="L69" i="7" s="1"/>
  <c r="AB77" i="7"/>
  <c r="L77" i="7" s="1"/>
  <c r="AB85" i="7"/>
  <c r="L85" i="7" s="1"/>
  <c r="AB93" i="7"/>
  <c r="L93" i="7" s="1"/>
  <c r="AB101" i="7"/>
  <c r="L101" i="7" s="1"/>
  <c r="AB109" i="7"/>
  <c r="L109" i="7" s="1"/>
  <c r="AB117" i="7"/>
  <c r="L117" i="7" s="1"/>
  <c r="AB125" i="7"/>
  <c r="L125" i="7" s="1"/>
  <c r="AB133" i="7"/>
  <c r="L133" i="7" s="1"/>
  <c r="AB141" i="7"/>
  <c r="L141" i="7" s="1"/>
  <c r="AB149" i="7"/>
  <c r="L149" i="7" s="1"/>
  <c r="AB157" i="7"/>
  <c r="L157" i="7" s="1"/>
  <c r="AB165" i="7"/>
  <c r="L165" i="7" s="1"/>
  <c r="AB173" i="7"/>
  <c r="L173" i="7" s="1"/>
  <c r="AB181" i="7"/>
  <c r="L181" i="7" s="1"/>
  <c r="AB189" i="7"/>
  <c r="L189" i="7" s="1"/>
  <c r="AB197" i="7"/>
  <c r="L197" i="7" s="1"/>
  <c r="AB205" i="7"/>
  <c r="L205" i="7" s="1"/>
  <c r="AB213" i="7"/>
  <c r="L213" i="7" s="1"/>
  <c r="AB221" i="7"/>
  <c r="L221" i="7" s="1"/>
  <c r="AB229" i="7"/>
  <c r="L229" i="7" s="1"/>
  <c r="AB237" i="7"/>
  <c r="L237" i="7" s="1"/>
  <c r="AB245" i="7"/>
  <c r="L245" i="7" s="1"/>
  <c r="AB253" i="7"/>
  <c r="L253" i="7" s="1"/>
  <c r="AB261" i="7"/>
  <c r="L261" i="7" s="1"/>
  <c r="AB269" i="7"/>
  <c r="L269" i="7" s="1"/>
  <c r="AB277" i="7"/>
  <c r="L277" i="7" s="1"/>
  <c r="AB285" i="7"/>
  <c r="L285" i="7" s="1"/>
  <c r="AB293" i="7"/>
  <c r="L293" i="7" s="1"/>
  <c r="AB301" i="7"/>
  <c r="L301" i="7" s="1"/>
  <c r="AB24" i="7"/>
  <c r="L24" i="7" s="1"/>
  <c r="AB96" i="7"/>
  <c r="L96" i="7" s="1"/>
  <c r="AB120" i="7"/>
  <c r="L120" i="7" s="1"/>
  <c r="AB144" i="7"/>
  <c r="L144" i="7" s="1"/>
  <c r="AB168" i="7"/>
  <c r="L168" i="7" s="1"/>
  <c r="AB200" i="7"/>
  <c r="L200" i="7" s="1"/>
  <c r="AB224" i="7"/>
  <c r="L224" i="7" s="1"/>
  <c r="AB240" i="7"/>
  <c r="L240" i="7" s="1"/>
  <c r="AB272" i="7"/>
  <c r="L272" i="7" s="1"/>
  <c r="AB296" i="7"/>
  <c r="L296" i="7" s="1"/>
  <c r="AB58" i="7"/>
  <c r="L58" i="7" s="1"/>
  <c r="AB98" i="7"/>
  <c r="L98" i="7" s="1"/>
  <c r="AB122" i="7"/>
  <c r="L122" i="7" s="1"/>
  <c r="AB154" i="7"/>
  <c r="L154" i="7" s="1"/>
  <c r="AB194" i="7"/>
  <c r="L194" i="7" s="1"/>
  <c r="AB226" i="7"/>
  <c r="L226" i="7" s="1"/>
  <c r="AB242" i="7"/>
  <c r="L242" i="7" s="1"/>
  <c r="AB266" i="7"/>
  <c r="L266" i="7" s="1"/>
  <c r="AB298" i="7"/>
  <c r="L298" i="7" s="1"/>
  <c r="AB27" i="7"/>
  <c r="L27" i="7" s="1"/>
  <c r="AB75" i="7"/>
  <c r="L75" i="7" s="1"/>
  <c r="AB123" i="7"/>
  <c r="L123" i="7" s="1"/>
  <c r="AB155" i="7"/>
  <c r="L155" i="7" s="1"/>
  <c r="AB179" i="7"/>
  <c r="L179" i="7" s="1"/>
  <c r="AB219" i="7"/>
  <c r="L219" i="7" s="1"/>
  <c r="AB251" i="7"/>
  <c r="L251" i="7" s="1"/>
  <c r="AB283" i="7"/>
  <c r="L283" i="7" s="1"/>
  <c r="AB28" i="7"/>
  <c r="L28" i="7" s="1"/>
  <c r="AB60" i="7"/>
  <c r="L60" i="7" s="1"/>
  <c r="AB92" i="7"/>
  <c r="L92" i="7" s="1"/>
  <c r="AB132" i="7"/>
  <c r="L132" i="7" s="1"/>
  <c r="AB188" i="7"/>
  <c r="L188" i="7" s="1"/>
  <c r="AB228" i="7"/>
  <c r="L228" i="7" s="1"/>
  <c r="AB268" i="7"/>
  <c r="L268" i="7" s="1"/>
  <c r="AB6" i="7"/>
  <c r="L6" i="7" s="1"/>
  <c r="AB14" i="7"/>
  <c r="L14" i="7" s="1"/>
  <c r="AB22" i="7"/>
  <c r="L22" i="7" s="1"/>
  <c r="AB30" i="7"/>
  <c r="L30" i="7" s="1"/>
  <c r="AB38" i="7"/>
  <c r="L38" i="7" s="1"/>
  <c r="AB46" i="7"/>
  <c r="L46" i="7" s="1"/>
  <c r="AB54" i="7"/>
  <c r="L54" i="7" s="1"/>
  <c r="AB62" i="7"/>
  <c r="L62" i="7" s="1"/>
  <c r="AB70" i="7"/>
  <c r="L70" i="7" s="1"/>
  <c r="AB78" i="7"/>
  <c r="L78" i="7" s="1"/>
  <c r="AB86" i="7"/>
  <c r="L86" i="7" s="1"/>
  <c r="AB94" i="7"/>
  <c r="L94" i="7" s="1"/>
  <c r="AB102" i="7"/>
  <c r="L102" i="7" s="1"/>
  <c r="AB110" i="7"/>
  <c r="L110" i="7" s="1"/>
  <c r="AB118" i="7"/>
  <c r="L118" i="7" s="1"/>
  <c r="AB126" i="7"/>
  <c r="L126" i="7" s="1"/>
  <c r="AB134" i="7"/>
  <c r="L134" i="7" s="1"/>
  <c r="AB142" i="7"/>
  <c r="L142" i="7" s="1"/>
  <c r="AB150" i="7"/>
  <c r="L150" i="7" s="1"/>
  <c r="AB158" i="7"/>
  <c r="L158" i="7" s="1"/>
  <c r="AB166" i="7"/>
  <c r="L166" i="7" s="1"/>
  <c r="AB174" i="7"/>
  <c r="L174" i="7" s="1"/>
  <c r="AB182" i="7"/>
  <c r="L182" i="7" s="1"/>
  <c r="AB190" i="7"/>
  <c r="L190" i="7" s="1"/>
  <c r="AB198" i="7"/>
  <c r="L198" i="7" s="1"/>
  <c r="AB206" i="7"/>
  <c r="L206" i="7" s="1"/>
  <c r="AB214" i="7"/>
  <c r="L214" i="7" s="1"/>
  <c r="AB222" i="7"/>
  <c r="L222" i="7" s="1"/>
  <c r="AB230" i="7"/>
  <c r="L230" i="7" s="1"/>
  <c r="AB238" i="7"/>
  <c r="L238" i="7" s="1"/>
  <c r="AB246" i="7"/>
  <c r="L246" i="7" s="1"/>
  <c r="AB254" i="7"/>
  <c r="L254" i="7" s="1"/>
  <c r="AB262" i="7"/>
  <c r="L262" i="7" s="1"/>
  <c r="AB270" i="7"/>
  <c r="L270" i="7" s="1"/>
  <c r="AB278" i="7"/>
  <c r="L278" i="7" s="1"/>
  <c r="AB286" i="7"/>
  <c r="L286" i="7" s="1"/>
  <c r="AB294" i="7"/>
  <c r="L294" i="7" s="1"/>
  <c r="AB302" i="7"/>
  <c r="L302" i="7" s="1"/>
  <c r="AB16" i="7"/>
  <c r="L16" i="7" s="1"/>
  <c r="AB40" i="7"/>
  <c r="L40" i="7" s="1"/>
  <c r="AB56" i="7"/>
  <c r="L56" i="7" s="1"/>
  <c r="AB80" i="7"/>
  <c r="L80" i="7" s="1"/>
  <c r="AB104" i="7"/>
  <c r="L104" i="7" s="1"/>
  <c r="AB136" i="7"/>
  <c r="L136" i="7" s="1"/>
  <c r="AB160" i="7"/>
  <c r="L160" i="7" s="1"/>
  <c r="AB184" i="7"/>
  <c r="L184" i="7" s="1"/>
  <c r="AB216" i="7"/>
  <c r="L216" i="7" s="1"/>
  <c r="AB248" i="7"/>
  <c r="L248" i="7" s="1"/>
  <c r="AB280" i="7"/>
  <c r="L280" i="7" s="1"/>
  <c r="AB50" i="7"/>
  <c r="L50" i="7" s="1"/>
  <c r="AB106" i="7"/>
  <c r="L106" i="7" s="1"/>
  <c r="AB146" i="7"/>
  <c r="L146" i="7" s="1"/>
  <c r="AB178" i="7"/>
  <c r="L178" i="7" s="1"/>
  <c r="AB202" i="7"/>
  <c r="L202" i="7" s="1"/>
  <c r="AB234" i="7"/>
  <c r="L234" i="7" s="1"/>
  <c r="AB274" i="7"/>
  <c r="L274" i="7" s="1"/>
  <c r="AB19" i="7"/>
  <c r="L19" i="7" s="1"/>
  <c r="AB43" i="7"/>
  <c r="L43" i="7" s="1"/>
  <c r="AB51" i="7"/>
  <c r="L51" i="7" s="1"/>
  <c r="AB59" i="7"/>
  <c r="L59" i="7" s="1"/>
  <c r="AB91" i="7"/>
  <c r="L91" i="7" s="1"/>
  <c r="AB139" i="7"/>
  <c r="L139" i="7" s="1"/>
  <c r="AB187" i="7"/>
  <c r="L187" i="7" s="1"/>
  <c r="AB227" i="7"/>
  <c r="L227" i="7" s="1"/>
  <c r="AB267" i="7"/>
  <c r="L267" i="7" s="1"/>
  <c r="AB12" i="7"/>
  <c r="L12" i="7" s="1"/>
  <c r="AB52" i="7"/>
  <c r="L52" i="7" s="1"/>
  <c r="AB76" i="7"/>
  <c r="L76" i="7" s="1"/>
  <c r="AB108" i="7"/>
  <c r="L108" i="7" s="1"/>
  <c r="AB156" i="7"/>
  <c r="L156" i="7" s="1"/>
  <c r="AB204" i="7"/>
  <c r="L204" i="7" s="1"/>
  <c r="AB244" i="7"/>
  <c r="L244" i="7" s="1"/>
  <c r="AB284" i="7"/>
  <c r="L284" i="7" s="1"/>
  <c r="AB7" i="7"/>
  <c r="L7" i="7" s="1"/>
  <c r="AB15" i="7"/>
  <c r="L15" i="7" s="1"/>
  <c r="AB23" i="7"/>
  <c r="L23" i="7" s="1"/>
  <c r="AB31" i="7"/>
  <c r="L31" i="7" s="1"/>
  <c r="AB39" i="7"/>
  <c r="L39" i="7" s="1"/>
  <c r="AB47" i="7"/>
  <c r="L47" i="7" s="1"/>
  <c r="AB55" i="7"/>
  <c r="L55" i="7" s="1"/>
  <c r="AB63" i="7"/>
  <c r="L63" i="7" s="1"/>
  <c r="AB71" i="7"/>
  <c r="L71" i="7" s="1"/>
  <c r="AB79" i="7"/>
  <c r="L79" i="7" s="1"/>
  <c r="AB87" i="7"/>
  <c r="L87" i="7" s="1"/>
  <c r="AB95" i="7"/>
  <c r="L95" i="7" s="1"/>
  <c r="AB103" i="7"/>
  <c r="L103" i="7" s="1"/>
  <c r="AB111" i="7"/>
  <c r="L111" i="7" s="1"/>
  <c r="AB119" i="7"/>
  <c r="L119" i="7" s="1"/>
  <c r="AB127" i="7"/>
  <c r="L127" i="7" s="1"/>
  <c r="AB135" i="7"/>
  <c r="L135" i="7" s="1"/>
  <c r="AB143" i="7"/>
  <c r="L143" i="7" s="1"/>
  <c r="AB151" i="7"/>
  <c r="L151" i="7" s="1"/>
  <c r="AB159" i="7"/>
  <c r="L159" i="7" s="1"/>
  <c r="AB167" i="7"/>
  <c r="L167" i="7" s="1"/>
  <c r="AB175" i="7"/>
  <c r="L175" i="7" s="1"/>
  <c r="AB183" i="7"/>
  <c r="L183" i="7" s="1"/>
  <c r="AB191" i="7"/>
  <c r="L191" i="7" s="1"/>
  <c r="AB199" i="7"/>
  <c r="L199" i="7" s="1"/>
  <c r="AB207" i="7"/>
  <c r="L207" i="7" s="1"/>
  <c r="AB215" i="7"/>
  <c r="L215" i="7" s="1"/>
  <c r="AB223" i="7"/>
  <c r="L223" i="7" s="1"/>
  <c r="AB231" i="7"/>
  <c r="L231" i="7" s="1"/>
  <c r="AB239" i="7"/>
  <c r="L239" i="7" s="1"/>
  <c r="AB247" i="7"/>
  <c r="L247" i="7" s="1"/>
  <c r="AB255" i="7"/>
  <c r="L255" i="7" s="1"/>
  <c r="AB263" i="7"/>
  <c r="L263" i="7" s="1"/>
  <c r="AB271" i="7"/>
  <c r="L271" i="7" s="1"/>
  <c r="AB279" i="7"/>
  <c r="L279" i="7" s="1"/>
  <c r="AB287" i="7"/>
  <c r="L287" i="7" s="1"/>
  <c r="AB295" i="7"/>
  <c r="L295" i="7" s="1"/>
  <c r="AB303" i="7"/>
  <c r="L303" i="7" s="1"/>
  <c r="AB8" i="7"/>
  <c r="L8" i="7" s="1"/>
  <c r="AB32" i="7"/>
  <c r="L32" i="7" s="1"/>
  <c r="AB48" i="7"/>
  <c r="L48" i="7" s="1"/>
  <c r="AB64" i="7"/>
  <c r="L64" i="7" s="1"/>
  <c r="AB72" i="7"/>
  <c r="L72" i="7" s="1"/>
  <c r="AB88" i="7"/>
  <c r="L88" i="7" s="1"/>
  <c r="AB112" i="7"/>
  <c r="L112" i="7" s="1"/>
  <c r="AB128" i="7"/>
  <c r="L128" i="7" s="1"/>
  <c r="AB152" i="7"/>
  <c r="L152" i="7" s="1"/>
  <c r="AB176" i="7"/>
  <c r="L176" i="7" s="1"/>
  <c r="AB192" i="7"/>
  <c r="L192" i="7" s="1"/>
  <c r="AB208" i="7"/>
  <c r="L208" i="7" s="1"/>
  <c r="AB232" i="7"/>
  <c r="L232" i="7" s="1"/>
  <c r="AB256" i="7"/>
  <c r="L256" i="7" s="1"/>
  <c r="AB264" i="7"/>
  <c r="L264" i="7" s="1"/>
  <c r="AB288" i="7"/>
  <c r="L288" i="7" s="1"/>
  <c r="AB304" i="7"/>
  <c r="L304" i="7" s="1"/>
  <c r="AB74" i="7"/>
  <c r="L74" i="7" s="1"/>
  <c r="AB130" i="7"/>
  <c r="L130" i="7" s="1"/>
  <c r="AB162" i="7"/>
  <c r="L162" i="7" s="1"/>
  <c r="AB186" i="7"/>
  <c r="L186" i="7" s="1"/>
  <c r="AB218" i="7"/>
  <c r="L218" i="7" s="1"/>
  <c r="AB258" i="7"/>
  <c r="L258" i="7" s="1"/>
  <c r="AB282" i="7"/>
  <c r="L282" i="7" s="1"/>
  <c r="AB11" i="7"/>
  <c r="L11" i="7" s="1"/>
  <c r="AB67" i="7"/>
  <c r="L67" i="7" s="1"/>
  <c r="AB99" i="7"/>
  <c r="L99" i="7" s="1"/>
  <c r="AB115" i="7"/>
  <c r="L115" i="7" s="1"/>
  <c r="AB131" i="7"/>
  <c r="L131" i="7" s="1"/>
  <c r="AB171" i="7"/>
  <c r="L171" i="7" s="1"/>
  <c r="AB203" i="7"/>
  <c r="L203" i="7" s="1"/>
  <c r="AB235" i="7"/>
  <c r="L235" i="7" s="1"/>
  <c r="AB275" i="7"/>
  <c r="L275" i="7" s="1"/>
  <c r="AB299" i="7"/>
  <c r="L299" i="7" s="1"/>
  <c r="AB36" i="7"/>
  <c r="L36" i="7" s="1"/>
  <c r="AB84" i="7"/>
  <c r="L84" i="7" s="1"/>
  <c r="AB116" i="7"/>
  <c r="L116" i="7" s="1"/>
  <c r="AB148" i="7"/>
  <c r="L148" i="7" s="1"/>
  <c r="AB164" i="7"/>
  <c r="L164" i="7" s="1"/>
  <c r="AB180" i="7"/>
  <c r="L180" i="7" s="1"/>
  <c r="AB212" i="7"/>
  <c r="L212" i="7" s="1"/>
  <c r="AB252" i="7"/>
  <c r="L252" i="7" s="1"/>
  <c r="AB292" i="7"/>
  <c r="L292" i="7" s="1"/>
  <c r="AB9" i="7"/>
  <c r="L9" i="7" s="1"/>
  <c r="AB17" i="7"/>
  <c r="L17" i="7" s="1"/>
  <c r="AB25" i="7"/>
  <c r="L25" i="7" s="1"/>
  <c r="AB33" i="7"/>
  <c r="L33" i="7" s="1"/>
  <c r="AB41" i="7"/>
  <c r="L41" i="7" s="1"/>
  <c r="AB49" i="7"/>
  <c r="L49" i="7" s="1"/>
  <c r="AB57" i="7"/>
  <c r="L57" i="7" s="1"/>
  <c r="AB65" i="7"/>
  <c r="L65" i="7" s="1"/>
  <c r="AB73" i="7"/>
  <c r="L73" i="7" s="1"/>
  <c r="AB81" i="7"/>
  <c r="L81" i="7" s="1"/>
  <c r="AB89" i="7"/>
  <c r="L89" i="7" s="1"/>
  <c r="AB97" i="7"/>
  <c r="L97" i="7" s="1"/>
  <c r="AB105" i="7"/>
  <c r="L105" i="7" s="1"/>
  <c r="AB113" i="7"/>
  <c r="L113" i="7" s="1"/>
  <c r="AB121" i="7"/>
  <c r="L121" i="7" s="1"/>
  <c r="AB129" i="7"/>
  <c r="L129" i="7" s="1"/>
  <c r="AB137" i="7"/>
  <c r="L137" i="7" s="1"/>
  <c r="AB145" i="7"/>
  <c r="L145" i="7" s="1"/>
  <c r="AB153" i="7"/>
  <c r="L153" i="7" s="1"/>
  <c r="AB161" i="7"/>
  <c r="L161" i="7" s="1"/>
  <c r="AB169" i="7"/>
  <c r="L169" i="7" s="1"/>
  <c r="AB177" i="7"/>
  <c r="L177" i="7" s="1"/>
  <c r="AB185" i="7"/>
  <c r="L185" i="7" s="1"/>
  <c r="AB193" i="7"/>
  <c r="L193" i="7" s="1"/>
  <c r="AB201" i="7"/>
  <c r="L201" i="7" s="1"/>
  <c r="AB209" i="7"/>
  <c r="L209" i="7" s="1"/>
  <c r="AB217" i="7"/>
  <c r="L217" i="7" s="1"/>
  <c r="AB225" i="7"/>
  <c r="L225" i="7" s="1"/>
  <c r="AB233" i="7"/>
  <c r="L233" i="7" s="1"/>
  <c r="AB241" i="7"/>
  <c r="L241" i="7" s="1"/>
  <c r="AB249" i="7"/>
  <c r="L249" i="7" s="1"/>
  <c r="AB257" i="7"/>
  <c r="L257" i="7" s="1"/>
  <c r="AB265" i="7"/>
  <c r="L265" i="7" s="1"/>
  <c r="AB273" i="7"/>
  <c r="L273" i="7" s="1"/>
  <c r="AB281" i="7"/>
  <c r="L281" i="7" s="1"/>
  <c r="AB289" i="7"/>
  <c r="L289" i="7" s="1"/>
  <c r="AB297" i="7"/>
  <c r="L297" i="7" s="1"/>
  <c r="AB5" i="7"/>
  <c r="AB10" i="7"/>
  <c r="L10" i="7" s="1"/>
  <c r="AB18" i="7"/>
  <c r="L18" i="7" s="1"/>
  <c r="AB26" i="7"/>
  <c r="L26" i="7" s="1"/>
  <c r="AB34" i="7"/>
  <c r="L34" i="7" s="1"/>
  <c r="AB42" i="7"/>
  <c r="L42" i="7" s="1"/>
  <c r="AB66" i="7"/>
  <c r="L66" i="7" s="1"/>
  <c r="AB82" i="7"/>
  <c r="L82" i="7" s="1"/>
  <c r="AB90" i="7"/>
  <c r="L90" i="7" s="1"/>
  <c r="AB114" i="7"/>
  <c r="L114" i="7" s="1"/>
  <c r="AB138" i="7"/>
  <c r="L138" i="7" s="1"/>
  <c r="AB170" i="7"/>
  <c r="L170" i="7" s="1"/>
  <c r="AB210" i="7"/>
  <c r="L210" i="7" s="1"/>
  <c r="AB250" i="7"/>
  <c r="L250" i="7" s="1"/>
  <c r="AB290" i="7"/>
  <c r="L290" i="7" s="1"/>
  <c r="AB35" i="7"/>
  <c r="L35" i="7" s="1"/>
  <c r="AB83" i="7"/>
  <c r="L83" i="7" s="1"/>
  <c r="AB147" i="7"/>
  <c r="L147" i="7" s="1"/>
  <c r="AB163" i="7"/>
  <c r="L163" i="7" s="1"/>
  <c r="AB195" i="7"/>
  <c r="L195" i="7" s="1"/>
  <c r="AB243" i="7"/>
  <c r="L243" i="7" s="1"/>
  <c r="AB291" i="7"/>
  <c r="L291" i="7" s="1"/>
  <c r="AB44" i="7"/>
  <c r="L44" i="7" s="1"/>
  <c r="AB124" i="7"/>
  <c r="L124" i="7" s="1"/>
  <c r="AB172" i="7"/>
  <c r="L172" i="7" s="1"/>
  <c r="AB220" i="7"/>
  <c r="L220" i="7" s="1"/>
  <c r="AB260" i="7"/>
  <c r="L260" i="7" s="1"/>
  <c r="AB300" i="7"/>
  <c r="L300" i="7" s="1"/>
  <c r="AB107" i="7"/>
  <c r="L107" i="7" s="1"/>
  <c r="AB211" i="7"/>
  <c r="L211" i="7" s="1"/>
  <c r="AB259" i="7"/>
  <c r="L259" i="7" s="1"/>
  <c r="AB20" i="7"/>
  <c r="L20" i="7" s="1"/>
  <c r="AB68" i="7"/>
  <c r="L68" i="7" s="1"/>
  <c r="AB100" i="7"/>
  <c r="L100" i="7" s="1"/>
  <c r="AB140" i="7"/>
  <c r="L140" i="7" s="1"/>
  <c r="AB196" i="7"/>
  <c r="L196" i="7" s="1"/>
  <c r="AB236" i="7"/>
  <c r="L236" i="7" s="1"/>
  <c r="AB276" i="7"/>
  <c r="L276" i="7" s="1"/>
  <c r="W10" i="7"/>
  <c r="I10" i="2" s="1"/>
  <c r="W18" i="7"/>
  <c r="I18" i="2" s="1"/>
  <c r="W26" i="7"/>
  <c r="I26" i="2" s="1"/>
  <c r="W34" i="7"/>
  <c r="I34" i="2" s="1"/>
  <c r="W42" i="7"/>
  <c r="I42" i="2" s="1"/>
  <c r="W50" i="7"/>
  <c r="I50" i="2" s="1"/>
  <c r="W58" i="7"/>
  <c r="I58" i="2" s="1"/>
  <c r="W66" i="7"/>
  <c r="I66" i="2" s="1"/>
  <c r="W74" i="7"/>
  <c r="I74" i="2" s="1"/>
  <c r="W82" i="7"/>
  <c r="I82" i="2" s="1"/>
  <c r="W90" i="7"/>
  <c r="I90" i="2" s="1"/>
  <c r="W98" i="7"/>
  <c r="I98" i="2" s="1"/>
  <c r="W106" i="7"/>
  <c r="I106" i="2" s="1"/>
  <c r="W114" i="7"/>
  <c r="I114" i="2" s="1"/>
  <c r="W122" i="7"/>
  <c r="I122" i="2" s="1"/>
  <c r="W130" i="7"/>
  <c r="I130" i="2" s="1"/>
  <c r="W138" i="7"/>
  <c r="I138" i="2" s="1"/>
  <c r="W146" i="7"/>
  <c r="I146" i="2" s="1"/>
  <c r="W154" i="7"/>
  <c r="I154" i="2" s="1"/>
  <c r="W162" i="7"/>
  <c r="I162" i="2" s="1"/>
  <c r="W170" i="7"/>
  <c r="I170" i="2" s="1"/>
  <c r="W178" i="7"/>
  <c r="I178" i="2" s="1"/>
  <c r="W186" i="7"/>
  <c r="I186" i="2" s="1"/>
  <c r="W194" i="7"/>
  <c r="I194" i="2" s="1"/>
  <c r="W202" i="7"/>
  <c r="I202" i="2" s="1"/>
  <c r="W210" i="7"/>
  <c r="I210" i="2" s="1"/>
  <c r="W218" i="7"/>
  <c r="I218" i="2" s="1"/>
  <c r="W226" i="7"/>
  <c r="I226" i="2" s="1"/>
  <c r="W234" i="7"/>
  <c r="I234" i="2" s="1"/>
  <c r="W242" i="7"/>
  <c r="I242" i="2" s="1"/>
  <c r="W250" i="7"/>
  <c r="I250" i="2" s="1"/>
  <c r="W258" i="7"/>
  <c r="I258" i="2" s="1"/>
  <c r="W266" i="7"/>
  <c r="I266" i="2" s="1"/>
  <c r="W274" i="7"/>
  <c r="I274" i="2" s="1"/>
  <c r="W282" i="7"/>
  <c r="I282" i="2" s="1"/>
  <c r="W290" i="7"/>
  <c r="I290" i="2" s="1"/>
  <c r="W298" i="7"/>
  <c r="I298" i="2" s="1"/>
  <c r="W299" i="7"/>
  <c r="I299" i="2" s="1"/>
  <c r="W16" i="7"/>
  <c r="I16" i="2" s="1"/>
  <c r="W72" i="7"/>
  <c r="I72" i="2" s="1"/>
  <c r="W136" i="7"/>
  <c r="I136" i="2" s="1"/>
  <c r="W176" i="7"/>
  <c r="I176" i="2" s="1"/>
  <c r="W11" i="7"/>
  <c r="I11" i="2" s="1"/>
  <c r="W19" i="7"/>
  <c r="I19" i="2" s="1"/>
  <c r="W27" i="7"/>
  <c r="I27" i="2" s="1"/>
  <c r="W35" i="7"/>
  <c r="I35" i="2" s="1"/>
  <c r="W43" i="7"/>
  <c r="I43" i="2" s="1"/>
  <c r="W51" i="7"/>
  <c r="I51" i="2" s="1"/>
  <c r="W59" i="7"/>
  <c r="I59" i="2" s="1"/>
  <c r="W67" i="7"/>
  <c r="I67" i="2" s="1"/>
  <c r="W75" i="7"/>
  <c r="I75" i="2" s="1"/>
  <c r="W83" i="7"/>
  <c r="I83" i="2" s="1"/>
  <c r="W91" i="7"/>
  <c r="I91" i="2" s="1"/>
  <c r="W99" i="7"/>
  <c r="I99" i="2" s="1"/>
  <c r="W107" i="7"/>
  <c r="I107" i="2" s="1"/>
  <c r="W115" i="7"/>
  <c r="I115" i="2" s="1"/>
  <c r="W123" i="7"/>
  <c r="I123" i="2" s="1"/>
  <c r="W131" i="7"/>
  <c r="I131" i="2" s="1"/>
  <c r="W139" i="7"/>
  <c r="I139" i="2" s="1"/>
  <c r="W147" i="7"/>
  <c r="I147" i="2" s="1"/>
  <c r="W155" i="7"/>
  <c r="I155" i="2" s="1"/>
  <c r="W163" i="7"/>
  <c r="I163" i="2" s="1"/>
  <c r="W171" i="7"/>
  <c r="I171" i="2" s="1"/>
  <c r="W179" i="7"/>
  <c r="I179" i="2" s="1"/>
  <c r="W187" i="7"/>
  <c r="I187" i="2" s="1"/>
  <c r="W195" i="7"/>
  <c r="I195" i="2" s="1"/>
  <c r="W203" i="7"/>
  <c r="I203" i="2" s="1"/>
  <c r="W211" i="7"/>
  <c r="I211" i="2" s="1"/>
  <c r="W219" i="7"/>
  <c r="I219" i="2" s="1"/>
  <c r="W227" i="7"/>
  <c r="I227" i="2" s="1"/>
  <c r="W235" i="7"/>
  <c r="I235" i="2" s="1"/>
  <c r="W243" i="7"/>
  <c r="I243" i="2" s="1"/>
  <c r="W251" i="7"/>
  <c r="I251" i="2" s="1"/>
  <c r="W259" i="7"/>
  <c r="I259" i="2" s="1"/>
  <c r="W267" i="7"/>
  <c r="I267" i="2" s="1"/>
  <c r="W275" i="7"/>
  <c r="I275" i="2" s="1"/>
  <c r="W283" i="7"/>
  <c r="I283" i="2" s="1"/>
  <c r="W291" i="7"/>
  <c r="I291" i="2" s="1"/>
  <c r="W48" i="7"/>
  <c r="I48" i="2" s="1"/>
  <c r="W120" i="7"/>
  <c r="I120" i="2" s="1"/>
  <c r="W192" i="7"/>
  <c r="I192" i="2" s="1"/>
  <c r="W12" i="7"/>
  <c r="I12" i="2" s="1"/>
  <c r="W20" i="7"/>
  <c r="I20" i="2" s="1"/>
  <c r="W28" i="7"/>
  <c r="I28" i="2" s="1"/>
  <c r="W36" i="7"/>
  <c r="I36" i="2" s="1"/>
  <c r="W44" i="7"/>
  <c r="I44" i="2" s="1"/>
  <c r="W52" i="7"/>
  <c r="I52" i="2" s="1"/>
  <c r="W60" i="7"/>
  <c r="I60" i="2" s="1"/>
  <c r="W68" i="7"/>
  <c r="I68" i="2" s="1"/>
  <c r="W76" i="7"/>
  <c r="I76" i="2" s="1"/>
  <c r="W84" i="7"/>
  <c r="I84" i="2" s="1"/>
  <c r="W92" i="7"/>
  <c r="I92" i="2" s="1"/>
  <c r="W100" i="7"/>
  <c r="I100" i="2" s="1"/>
  <c r="W108" i="7"/>
  <c r="I108" i="2" s="1"/>
  <c r="W116" i="7"/>
  <c r="I116" i="2" s="1"/>
  <c r="W124" i="7"/>
  <c r="I124" i="2" s="1"/>
  <c r="W132" i="7"/>
  <c r="I132" i="2" s="1"/>
  <c r="W140" i="7"/>
  <c r="I140" i="2" s="1"/>
  <c r="W148" i="7"/>
  <c r="I148" i="2" s="1"/>
  <c r="W156" i="7"/>
  <c r="I156" i="2" s="1"/>
  <c r="W164" i="7"/>
  <c r="I164" i="2" s="1"/>
  <c r="W172" i="7"/>
  <c r="I172" i="2" s="1"/>
  <c r="W180" i="7"/>
  <c r="I180" i="2" s="1"/>
  <c r="W188" i="7"/>
  <c r="I188" i="2" s="1"/>
  <c r="W196" i="7"/>
  <c r="I196" i="2" s="1"/>
  <c r="W204" i="7"/>
  <c r="I204" i="2" s="1"/>
  <c r="W212" i="7"/>
  <c r="I212" i="2" s="1"/>
  <c r="W220" i="7"/>
  <c r="I220" i="2" s="1"/>
  <c r="W228" i="7"/>
  <c r="I228" i="2" s="1"/>
  <c r="W236" i="7"/>
  <c r="I236" i="2" s="1"/>
  <c r="W244" i="7"/>
  <c r="I244" i="2" s="1"/>
  <c r="W252" i="7"/>
  <c r="I252" i="2" s="1"/>
  <c r="W260" i="7"/>
  <c r="I260" i="2" s="1"/>
  <c r="W268" i="7"/>
  <c r="I268" i="2" s="1"/>
  <c r="W276" i="7"/>
  <c r="I276" i="2" s="1"/>
  <c r="W284" i="7"/>
  <c r="I284" i="2" s="1"/>
  <c r="W292" i="7"/>
  <c r="I292" i="2" s="1"/>
  <c r="W300" i="7"/>
  <c r="I300" i="2" s="1"/>
  <c r="W301" i="7"/>
  <c r="I301" i="2" s="1"/>
  <c r="W40" i="7"/>
  <c r="I40" i="2" s="1"/>
  <c r="W88" i="7"/>
  <c r="I88" i="2" s="1"/>
  <c r="W144" i="7"/>
  <c r="I144" i="2" s="1"/>
  <c r="W208" i="7"/>
  <c r="I208" i="2" s="1"/>
  <c r="W13" i="7"/>
  <c r="I13" i="2" s="1"/>
  <c r="W21" i="7"/>
  <c r="I21" i="2" s="1"/>
  <c r="W29" i="7"/>
  <c r="I29" i="2" s="1"/>
  <c r="W37" i="7"/>
  <c r="I37" i="2" s="1"/>
  <c r="W45" i="7"/>
  <c r="I45" i="2" s="1"/>
  <c r="W53" i="7"/>
  <c r="I53" i="2" s="1"/>
  <c r="W61" i="7"/>
  <c r="I61" i="2" s="1"/>
  <c r="W69" i="7"/>
  <c r="I69" i="2" s="1"/>
  <c r="W77" i="7"/>
  <c r="I77" i="2" s="1"/>
  <c r="W85" i="7"/>
  <c r="I85" i="2" s="1"/>
  <c r="W93" i="7"/>
  <c r="I93" i="2" s="1"/>
  <c r="W101" i="7"/>
  <c r="I101" i="2" s="1"/>
  <c r="W109" i="7"/>
  <c r="I109" i="2" s="1"/>
  <c r="W117" i="7"/>
  <c r="I117" i="2" s="1"/>
  <c r="W125" i="7"/>
  <c r="I125" i="2" s="1"/>
  <c r="W133" i="7"/>
  <c r="I133" i="2" s="1"/>
  <c r="W141" i="7"/>
  <c r="I141" i="2" s="1"/>
  <c r="W149" i="7"/>
  <c r="I149" i="2" s="1"/>
  <c r="W157" i="7"/>
  <c r="I157" i="2" s="1"/>
  <c r="W165" i="7"/>
  <c r="I165" i="2" s="1"/>
  <c r="W173" i="7"/>
  <c r="I173" i="2" s="1"/>
  <c r="W181" i="7"/>
  <c r="I181" i="2" s="1"/>
  <c r="W189" i="7"/>
  <c r="I189" i="2" s="1"/>
  <c r="W197" i="7"/>
  <c r="I197" i="2" s="1"/>
  <c r="W205" i="7"/>
  <c r="I205" i="2" s="1"/>
  <c r="W213" i="7"/>
  <c r="I213" i="2" s="1"/>
  <c r="W221" i="7"/>
  <c r="I221" i="2" s="1"/>
  <c r="W229" i="7"/>
  <c r="I229" i="2" s="1"/>
  <c r="W237" i="7"/>
  <c r="I237" i="2" s="1"/>
  <c r="W245" i="7"/>
  <c r="I245" i="2" s="1"/>
  <c r="W253" i="7"/>
  <c r="I253" i="2" s="1"/>
  <c r="W261" i="7"/>
  <c r="I261" i="2" s="1"/>
  <c r="W269" i="7"/>
  <c r="I269" i="2" s="1"/>
  <c r="W277" i="7"/>
  <c r="I277" i="2" s="1"/>
  <c r="W285" i="7"/>
  <c r="I285" i="2" s="1"/>
  <c r="W293" i="7"/>
  <c r="I293" i="2" s="1"/>
  <c r="W8" i="7"/>
  <c r="I8" i="2" s="1"/>
  <c r="W64" i="7"/>
  <c r="I64" i="2" s="1"/>
  <c r="W112" i="7"/>
  <c r="I112" i="2" s="1"/>
  <c r="W168" i="7"/>
  <c r="I168" i="2" s="1"/>
  <c r="W216" i="7"/>
  <c r="I216" i="2" s="1"/>
  <c r="W6" i="7"/>
  <c r="I6" i="2" s="1"/>
  <c r="W14" i="7"/>
  <c r="I14" i="2" s="1"/>
  <c r="W22" i="7"/>
  <c r="I22" i="2" s="1"/>
  <c r="W30" i="7"/>
  <c r="I30" i="2" s="1"/>
  <c r="W38" i="7"/>
  <c r="I38" i="2" s="1"/>
  <c r="W46" i="7"/>
  <c r="I46" i="2" s="1"/>
  <c r="W54" i="7"/>
  <c r="I54" i="2" s="1"/>
  <c r="W62" i="7"/>
  <c r="I62" i="2" s="1"/>
  <c r="W70" i="7"/>
  <c r="I70" i="2" s="1"/>
  <c r="W78" i="7"/>
  <c r="I78" i="2" s="1"/>
  <c r="W86" i="7"/>
  <c r="I86" i="2" s="1"/>
  <c r="W94" i="7"/>
  <c r="I94" i="2" s="1"/>
  <c r="W102" i="7"/>
  <c r="I102" i="2" s="1"/>
  <c r="W110" i="7"/>
  <c r="I110" i="2" s="1"/>
  <c r="W118" i="7"/>
  <c r="I118" i="2" s="1"/>
  <c r="W126" i="7"/>
  <c r="I126" i="2" s="1"/>
  <c r="W134" i="7"/>
  <c r="I134" i="2" s="1"/>
  <c r="W142" i="7"/>
  <c r="I142" i="2" s="1"/>
  <c r="W150" i="7"/>
  <c r="I150" i="2" s="1"/>
  <c r="W158" i="7"/>
  <c r="I158" i="2" s="1"/>
  <c r="W166" i="7"/>
  <c r="I166" i="2" s="1"/>
  <c r="W174" i="7"/>
  <c r="I174" i="2" s="1"/>
  <c r="W182" i="7"/>
  <c r="I182" i="2" s="1"/>
  <c r="W190" i="7"/>
  <c r="I190" i="2" s="1"/>
  <c r="W198" i="7"/>
  <c r="I198" i="2" s="1"/>
  <c r="W206" i="7"/>
  <c r="I206" i="2" s="1"/>
  <c r="W214" i="7"/>
  <c r="I214" i="2" s="1"/>
  <c r="W222" i="7"/>
  <c r="I222" i="2" s="1"/>
  <c r="W230" i="7"/>
  <c r="I230" i="2" s="1"/>
  <c r="W238" i="7"/>
  <c r="I238" i="2" s="1"/>
  <c r="W246" i="7"/>
  <c r="I246" i="2" s="1"/>
  <c r="W254" i="7"/>
  <c r="I254" i="2" s="1"/>
  <c r="W262" i="7"/>
  <c r="I262" i="2" s="1"/>
  <c r="W270" i="7"/>
  <c r="I270" i="2" s="1"/>
  <c r="W278" i="7"/>
  <c r="I278" i="2" s="1"/>
  <c r="W286" i="7"/>
  <c r="I286" i="2" s="1"/>
  <c r="W294" i="7"/>
  <c r="I294" i="2" s="1"/>
  <c r="W302" i="7"/>
  <c r="I302" i="2" s="1"/>
  <c r="W24" i="7"/>
  <c r="I24" i="2" s="1"/>
  <c r="W80" i="7"/>
  <c r="I80" i="2" s="1"/>
  <c r="W128" i="7"/>
  <c r="I128" i="2" s="1"/>
  <c r="W184" i="7"/>
  <c r="I184" i="2" s="1"/>
  <c r="W224" i="7"/>
  <c r="I224" i="2" s="1"/>
  <c r="W7" i="7"/>
  <c r="I7" i="2" s="1"/>
  <c r="W15" i="7"/>
  <c r="I15" i="2" s="1"/>
  <c r="W23" i="7"/>
  <c r="I23" i="2" s="1"/>
  <c r="W31" i="7"/>
  <c r="I31" i="2" s="1"/>
  <c r="W39" i="7"/>
  <c r="I39" i="2" s="1"/>
  <c r="W47" i="7"/>
  <c r="I47" i="2" s="1"/>
  <c r="W55" i="7"/>
  <c r="I55" i="2" s="1"/>
  <c r="W63" i="7"/>
  <c r="I63" i="2" s="1"/>
  <c r="W71" i="7"/>
  <c r="I71" i="2" s="1"/>
  <c r="W79" i="7"/>
  <c r="I79" i="2" s="1"/>
  <c r="W87" i="7"/>
  <c r="I87" i="2" s="1"/>
  <c r="W95" i="7"/>
  <c r="I95" i="2" s="1"/>
  <c r="W103" i="7"/>
  <c r="I103" i="2" s="1"/>
  <c r="W111" i="7"/>
  <c r="I111" i="2" s="1"/>
  <c r="W119" i="7"/>
  <c r="I119" i="2" s="1"/>
  <c r="W127" i="7"/>
  <c r="I127" i="2" s="1"/>
  <c r="W135" i="7"/>
  <c r="I135" i="2" s="1"/>
  <c r="W143" i="7"/>
  <c r="I143" i="2" s="1"/>
  <c r="W151" i="7"/>
  <c r="I151" i="2" s="1"/>
  <c r="W159" i="7"/>
  <c r="I159" i="2" s="1"/>
  <c r="W167" i="7"/>
  <c r="I167" i="2" s="1"/>
  <c r="W175" i="7"/>
  <c r="I175" i="2" s="1"/>
  <c r="W183" i="7"/>
  <c r="I183" i="2" s="1"/>
  <c r="W191" i="7"/>
  <c r="I191" i="2" s="1"/>
  <c r="W199" i="7"/>
  <c r="I199" i="2" s="1"/>
  <c r="W207" i="7"/>
  <c r="I207" i="2" s="1"/>
  <c r="W215" i="7"/>
  <c r="I215" i="2" s="1"/>
  <c r="W223" i="7"/>
  <c r="I223" i="2" s="1"/>
  <c r="W231" i="7"/>
  <c r="I231" i="2" s="1"/>
  <c r="W239" i="7"/>
  <c r="I239" i="2" s="1"/>
  <c r="W247" i="7"/>
  <c r="I247" i="2" s="1"/>
  <c r="W255" i="7"/>
  <c r="I255" i="2" s="1"/>
  <c r="W263" i="7"/>
  <c r="I263" i="2" s="1"/>
  <c r="W271" i="7"/>
  <c r="I271" i="2" s="1"/>
  <c r="W279" i="7"/>
  <c r="I279" i="2" s="1"/>
  <c r="W287" i="7"/>
  <c r="I287" i="2" s="1"/>
  <c r="W295" i="7"/>
  <c r="I295" i="2" s="1"/>
  <c r="W303" i="7"/>
  <c r="I303" i="2" s="1"/>
  <c r="W56" i="7"/>
  <c r="I56" i="2" s="1"/>
  <c r="W104" i="7"/>
  <c r="I104" i="2" s="1"/>
  <c r="W152" i="7"/>
  <c r="I152" i="2" s="1"/>
  <c r="W200" i="7"/>
  <c r="I200" i="2" s="1"/>
  <c r="W32" i="7"/>
  <c r="I32" i="2" s="1"/>
  <c r="W96" i="7"/>
  <c r="I96" i="2" s="1"/>
  <c r="W160" i="7"/>
  <c r="I160" i="2" s="1"/>
  <c r="W240" i="7"/>
  <c r="I240" i="2" s="1"/>
  <c r="W33" i="7"/>
  <c r="I33" i="2" s="1"/>
  <c r="W97" i="7"/>
  <c r="I97" i="2" s="1"/>
  <c r="W161" i="7"/>
  <c r="I161" i="2" s="1"/>
  <c r="W225" i="7"/>
  <c r="I225" i="2" s="1"/>
  <c r="W264" i="7"/>
  <c r="I264" i="2" s="1"/>
  <c r="W296" i="7"/>
  <c r="I296" i="2" s="1"/>
  <c r="W297" i="7"/>
  <c r="I297" i="2" s="1"/>
  <c r="W177" i="7"/>
  <c r="I177" i="2" s="1"/>
  <c r="W201" i="7"/>
  <c r="I201" i="2" s="1"/>
  <c r="W256" i="7"/>
  <c r="I256" i="2" s="1"/>
  <c r="W153" i="7"/>
  <c r="I153" i="2" s="1"/>
  <c r="W41" i="7"/>
  <c r="I41" i="2" s="1"/>
  <c r="W105" i="7"/>
  <c r="I105" i="2" s="1"/>
  <c r="W169" i="7"/>
  <c r="I169" i="2" s="1"/>
  <c r="W232" i="7"/>
  <c r="I232" i="2" s="1"/>
  <c r="W265" i="7"/>
  <c r="I265" i="2" s="1"/>
  <c r="W233" i="7"/>
  <c r="I233" i="2" s="1"/>
  <c r="W304" i="7"/>
  <c r="I304" i="2" s="1"/>
  <c r="W249" i="7"/>
  <c r="I249" i="2" s="1"/>
  <c r="W288" i="7"/>
  <c r="I288" i="2" s="1"/>
  <c r="W217" i="7"/>
  <c r="I217" i="2" s="1"/>
  <c r="W49" i="7"/>
  <c r="I49" i="2" s="1"/>
  <c r="W113" i="7"/>
  <c r="I113" i="2" s="1"/>
  <c r="W272" i="7"/>
  <c r="I272" i="2" s="1"/>
  <c r="W145" i="7"/>
  <c r="I145" i="2" s="1"/>
  <c r="W89" i="7"/>
  <c r="I89" i="2" s="1"/>
  <c r="W289" i="7"/>
  <c r="I289" i="2" s="1"/>
  <c r="W57" i="7"/>
  <c r="I57" i="2" s="1"/>
  <c r="W121" i="7"/>
  <c r="I121" i="2" s="1"/>
  <c r="W185" i="7"/>
  <c r="I185" i="2" s="1"/>
  <c r="W241" i="7"/>
  <c r="I241" i="2" s="1"/>
  <c r="W273" i="7"/>
  <c r="I273" i="2" s="1"/>
  <c r="W5" i="7"/>
  <c r="I5" i="2" s="1"/>
  <c r="W280" i="7"/>
  <c r="I280" i="2" s="1"/>
  <c r="W137" i="7"/>
  <c r="I137" i="2" s="1"/>
  <c r="W281" i="7"/>
  <c r="I281" i="2" s="1"/>
  <c r="W65" i="7"/>
  <c r="I65" i="2" s="1"/>
  <c r="W129" i="7"/>
  <c r="I129" i="2" s="1"/>
  <c r="W193" i="7"/>
  <c r="I193" i="2" s="1"/>
  <c r="W248" i="7"/>
  <c r="I248" i="2" s="1"/>
  <c r="W73" i="7"/>
  <c r="I73" i="2" s="1"/>
  <c r="W209" i="7"/>
  <c r="I209" i="2" s="1"/>
  <c r="W25" i="7"/>
  <c r="I25" i="2" s="1"/>
  <c r="W257" i="7"/>
  <c r="I257" i="2" s="1"/>
  <c r="W9" i="7"/>
  <c r="I9" i="2" s="1"/>
  <c r="W17" i="7"/>
  <c r="I17" i="2" s="1"/>
  <c r="W81" i="7"/>
  <c r="I81" i="2" s="1"/>
  <c r="B316" i="11" l="1"/>
  <c r="AF3" i="20"/>
  <c r="O445" i="7"/>
  <c r="O474" i="7"/>
  <c r="O457" i="7"/>
  <c r="P457" i="7" s="1"/>
  <c r="Q457" i="7" s="1"/>
  <c r="O449" i="7"/>
  <c r="U449" i="7" s="1"/>
  <c r="O424" i="7"/>
  <c r="P424" i="7" s="1"/>
  <c r="Q424" i="7" s="1"/>
  <c r="O391" i="7"/>
  <c r="P391" i="7" s="1"/>
  <c r="Q391" i="7" s="1"/>
  <c r="O367" i="7"/>
  <c r="P367" i="7" s="1"/>
  <c r="Q367" i="7" s="1"/>
  <c r="O472" i="7"/>
  <c r="P472" i="7" s="1"/>
  <c r="Q472" i="7" s="1"/>
  <c r="O444" i="7"/>
  <c r="P444" i="7" s="1"/>
  <c r="Q444" i="7" s="1"/>
  <c r="O458" i="7"/>
  <c r="U458" i="7" s="1"/>
  <c r="O392" i="7"/>
  <c r="P392" i="7" s="1"/>
  <c r="Q392" i="7" s="1"/>
  <c r="S36" i="5"/>
  <c r="U33" i="5" s="1"/>
  <c r="O334" i="7"/>
  <c r="U334" i="7" s="1"/>
  <c r="O475" i="7"/>
  <c r="O469" i="7"/>
  <c r="O425" i="7"/>
  <c r="O467" i="7"/>
  <c r="O434" i="7"/>
  <c r="O426" i="7"/>
  <c r="O456" i="7"/>
  <c r="O442" i="7"/>
  <c r="O384" i="7"/>
  <c r="O396" i="7"/>
  <c r="O423" i="7"/>
  <c r="O410" i="7"/>
  <c r="O484" i="7"/>
  <c r="O451" i="7"/>
  <c r="O466" i="7"/>
  <c r="O433" i="7"/>
  <c r="O383" i="7"/>
  <c r="O376" i="7"/>
  <c r="O395" i="7"/>
  <c r="O401" i="7"/>
  <c r="O422" i="7"/>
  <c r="O417" i="7"/>
  <c r="O477" i="7"/>
  <c r="O480" i="7"/>
  <c r="O483" i="7"/>
  <c r="O459" i="7"/>
  <c r="O465" i="7"/>
  <c r="O448" i="7"/>
  <c r="O454" i="7"/>
  <c r="O440" i="7"/>
  <c r="O450" i="7"/>
  <c r="O390" i="7"/>
  <c r="O382" i="7"/>
  <c r="O375" i="7"/>
  <c r="O377" i="7"/>
  <c r="O400" i="7"/>
  <c r="O421" i="7"/>
  <c r="O416" i="7"/>
  <c r="P474" i="7"/>
  <c r="Q474" i="7" s="1"/>
  <c r="U474" i="7"/>
  <c r="O476" i="7"/>
  <c r="O464" i="7"/>
  <c r="O455" i="7"/>
  <c r="O431" i="7"/>
  <c r="O439" i="7"/>
  <c r="O441" i="7"/>
  <c r="O389" i="7"/>
  <c r="O381" i="7"/>
  <c r="O374" i="7"/>
  <c r="O368" i="7"/>
  <c r="O408" i="7"/>
  <c r="O372" i="7"/>
  <c r="O415" i="7"/>
  <c r="O447" i="7"/>
  <c r="O463" i="7"/>
  <c r="O430" i="7"/>
  <c r="O438" i="7"/>
  <c r="O404" i="7"/>
  <c r="O388" i="7"/>
  <c r="O407" i="7"/>
  <c r="O379" i="7"/>
  <c r="O371" i="7"/>
  <c r="O402" i="7"/>
  <c r="O414" i="7"/>
  <c r="O473" i="7"/>
  <c r="O479" i="7"/>
  <c r="O462" i="7"/>
  <c r="O429" i="7"/>
  <c r="O437" i="7"/>
  <c r="O387" i="7"/>
  <c r="O405" i="7"/>
  <c r="O380" i="7"/>
  <c r="O399" i="7"/>
  <c r="O378" i="7"/>
  <c r="O370" i="7"/>
  <c r="O420" i="7"/>
  <c r="O413" i="7"/>
  <c r="O403" i="7"/>
  <c r="O482" i="7"/>
  <c r="O481" i="7"/>
  <c r="O478" i="7"/>
  <c r="O471" i="7"/>
  <c r="O452" i="7"/>
  <c r="O428" i="7"/>
  <c r="O436" i="7"/>
  <c r="O446" i="7"/>
  <c r="O453" i="7"/>
  <c r="O386" i="7"/>
  <c r="O406" i="7"/>
  <c r="O398" i="7"/>
  <c r="O373" i="7"/>
  <c r="O369" i="7"/>
  <c r="O409" i="7"/>
  <c r="O419" i="7"/>
  <c r="O412" i="7"/>
  <c r="O365" i="7"/>
  <c r="P445" i="7"/>
  <c r="Q445" i="7" s="1"/>
  <c r="U445" i="7"/>
  <c r="O470" i="7"/>
  <c r="O468" i="7"/>
  <c r="O427" i="7"/>
  <c r="O432" i="7"/>
  <c r="O461" i="7"/>
  <c r="O443" i="7"/>
  <c r="O435" i="7"/>
  <c r="O460" i="7"/>
  <c r="O393" i="7"/>
  <c r="O385" i="7"/>
  <c r="O394" i="7"/>
  <c r="O397" i="7"/>
  <c r="O418" i="7"/>
  <c r="O411" i="7"/>
  <c r="O366" i="7"/>
  <c r="R37" i="5"/>
  <c r="T59" i="5"/>
  <c r="O336" i="7"/>
  <c r="U336" i="7" s="1"/>
  <c r="O344" i="7"/>
  <c r="P344" i="7" s="1"/>
  <c r="O335" i="7"/>
  <c r="P335" i="7" s="1"/>
  <c r="O360" i="7"/>
  <c r="P360" i="7" s="1"/>
  <c r="O326" i="7"/>
  <c r="U326" i="7" s="1"/>
  <c r="O364" i="7"/>
  <c r="U364" i="7" s="1"/>
  <c r="O349" i="7"/>
  <c r="U349" i="7" s="1"/>
  <c r="O327" i="7"/>
  <c r="U327" i="7" s="1"/>
  <c r="O363" i="7"/>
  <c r="U363" i="7" s="1"/>
  <c r="O312" i="7"/>
  <c r="U312" i="7" s="1"/>
  <c r="O361" i="7"/>
  <c r="O342" i="7"/>
  <c r="O323" i="7"/>
  <c r="O338" i="7"/>
  <c r="O339" i="7"/>
  <c r="O314" i="7"/>
  <c r="O356" i="7"/>
  <c r="O328" i="7"/>
  <c r="O308" i="7"/>
  <c r="O354" i="7"/>
  <c r="O355" i="7"/>
  <c r="O320" i="7"/>
  <c r="O316" i="7"/>
  <c r="O347" i="7"/>
  <c r="O362" i="7"/>
  <c r="O310" i="7"/>
  <c r="O353" i="7"/>
  <c r="O311" i="7"/>
  <c r="O357" i="7"/>
  <c r="O341" i="7"/>
  <c r="O330" i="7"/>
  <c r="O313" i="7"/>
  <c r="O343" i="7"/>
  <c r="O352" i="7"/>
  <c r="O319" i="7"/>
  <c r="O315" i="7"/>
  <c r="O331" i="7"/>
  <c r="O318" i="7"/>
  <c r="O350" i="7"/>
  <c r="O322" i="7"/>
  <c r="O332" i="7"/>
  <c r="O324" i="7"/>
  <c r="O325" i="7"/>
  <c r="O359" i="7"/>
  <c r="O333" i="7"/>
  <c r="O307" i="7"/>
  <c r="O340" i="7"/>
  <c r="O346" i="7"/>
  <c r="O329" i="7"/>
  <c r="O309" i="7"/>
  <c r="O358" i="7"/>
  <c r="O306" i="7"/>
  <c r="O321" i="7"/>
  <c r="O345" i="7"/>
  <c r="O337" i="7"/>
  <c r="O317" i="7"/>
  <c r="O351" i="7"/>
  <c r="O305" i="7"/>
  <c r="O348" i="7"/>
  <c r="Q38" i="5"/>
  <c r="L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5" i="7"/>
  <c r="BC445" i="7" l="1"/>
  <c r="AX445" i="7"/>
  <c r="BC391" i="7"/>
  <c r="AX391" i="7"/>
  <c r="Y391" i="11" s="1"/>
  <c r="BC474" i="7"/>
  <c r="CE474" i="7" s="1"/>
  <c r="AX474" i="7"/>
  <c r="BC424" i="7"/>
  <c r="AV424" i="11" s="1"/>
  <c r="AX424" i="7"/>
  <c r="BC392" i="7"/>
  <c r="BX392" i="7" s="1"/>
  <c r="AM392" i="11" s="1"/>
  <c r="AX392" i="7"/>
  <c r="Y392" i="11" s="1"/>
  <c r="BC457" i="7"/>
  <c r="BX457" i="7" s="1"/>
  <c r="AM457" i="11" s="1"/>
  <c r="AX457" i="7"/>
  <c r="Y457" i="11" s="1"/>
  <c r="BC444" i="7"/>
  <c r="AV444" i="11" s="1"/>
  <c r="AX444" i="7"/>
  <c r="BC472" i="7"/>
  <c r="AV472" i="11" s="1"/>
  <c r="AX472" i="7"/>
  <c r="BC367" i="7"/>
  <c r="CE367" i="7" s="1"/>
  <c r="AX367" i="7"/>
  <c r="Y367" i="11" s="1"/>
  <c r="U392" i="7"/>
  <c r="U457" i="7"/>
  <c r="V457" i="7" s="1"/>
  <c r="AE457" i="7" s="1"/>
  <c r="AF457" i="7" s="1"/>
  <c r="K457" i="2" s="1"/>
  <c r="L457" i="2" s="1"/>
  <c r="P449" i="7"/>
  <c r="Q449" i="7" s="1"/>
  <c r="P336" i="7"/>
  <c r="Q336" i="7" s="1"/>
  <c r="AV474" i="11"/>
  <c r="AV391" i="11"/>
  <c r="AV445" i="11"/>
  <c r="Y445" i="11"/>
  <c r="B328" i="11"/>
  <c r="AG3" i="20"/>
  <c r="U391" i="7"/>
  <c r="V391" i="7" s="1"/>
  <c r="AE391" i="7" s="1"/>
  <c r="AF391" i="7" s="1"/>
  <c r="K391" i="2" s="1"/>
  <c r="L391" i="2" s="1"/>
  <c r="U424" i="7"/>
  <c r="V424" i="7" s="1"/>
  <c r="AE424" i="7" s="1"/>
  <c r="AF424" i="7" s="1"/>
  <c r="K424" i="2" s="1"/>
  <c r="L424" i="2" s="1"/>
  <c r="P334" i="7"/>
  <c r="Q334" i="7" s="1"/>
  <c r="U367" i="7"/>
  <c r="V367" i="7" s="1"/>
  <c r="AE367" i="7" s="1"/>
  <c r="AF367" i="7" s="1"/>
  <c r="K367" i="2" s="1"/>
  <c r="L367" i="2" s="1"/>
  <c r="P326" i="7"/>
  <c r="Q326" i="7" s="1"/>
  <c r="U472" i="7"/>
  <c r="V472" i="7" s="1"/>
  <c r="AE472" i="7" s="1"/>
  <c r="AF472" i="7" s="1"/>
  <c r="K472" i="2" s="1"/>
  <c r="L472" i="2" s="1"/>
  <c r="U344" i="7"/>
  <c r="V344" i="7" s="1"/>
  <c r="AE344" i="7" s="1"/>
  <c r="AF344" i="7" s="1"/>
  <c r="K344" i="2" s="1"/>
  <c r="L344" i="2" s="1"/>
  <c r="V458" i="7"/>
  <c r="AE458" i="7" s="1"/>
  <c r="AF458" i="7" s="1"/>
  <c r="K458" i="2" s="1"/>
  <c r="L458" i="2" s="1"/>
  <c r="V336" i="7"/>
  <c r="AE336" i="7" s="1"/>
  <c r="AF336" i="7" s="1"/>
  <c r="K336" i="2" s="1"/>
  <c r="L336" i="2" s="1"/>
  <c r="V312" i="7"/>
  <c r="AE312" i="7" s="1"/>
  <c r="AF312" i="7" s="1"/>
  <c r="K312" i="2" s="1"/>
  <c r="L312" i="2" s="1"/>
  <c r="AG312" i="7" s="1"/>
  <c r="AH312" i="7" s="1"/>
  <c r="V363" i="7"/>
  <c r="AE363" i="7" s="1"/>
  <c r="AF363" i="7" s="1"/>
  <c r="K363" i="2" s="1"/>
  <c r="L363" i="2" s="1"/>
  <c r="V474" i="7"/>
  <c r="AE474" i="7" s="1"/>
  <c r="AF474" i="7" s="1"/>
  <c r="K474" i="2" s="1"/>
  <c r="L474" i="2" s="1"/>
  <c r="V474" i="11" s="1"/>
  <c r="V334" i="7"/>
  <c r="AE334" i="7" s="1"/>
  <c r="AF334" i="7" s="1"/>
  <c r="K334" i="2" s="1"/>
  <c r="L334" i="2" s="1"/>
  <c r="AG334" i="7" s="1"/>
  <c r="AH334" i="7" s="1"/>
  <c r="V327" i="7"/>
  <c r="AE327" i="7" s="1"/>
  <c r="AF327" i="7" s="1"/>
  <c r="K327" i="2" s="1"/>
  <c r="L327" i="2" s="1"/>
  <c r="V392" i="7"/>
  <c r="AE392" i="7" s="1"/>
  <c r="AF392" i="7" s="1"/>
  <c r="K392" i="2" s="1"/>
  <c r="L392" i="2" s="1"/>
  <c r="V349" i="7"/>
  <c r="AE349" i="7" s="1"/>
  <c r="AF349" i="7" s="1"/>
  <c r="K349" i="2" s="1"/>
  <c r="L349" i="2" s="1"/>
  <c r="V445" i="7"/>
  <c r="AE445" i="7" s="1"/>
  <c r="AF445" i="7" s="1"/>
  <c r="K445" i="2" s="1"/>
  <c r="L445" i="2" s="1"/>
  <c r="V364" i="7"/>
  <c r="AE364" i="7" s="1"/>
  <c r="AF364" i="7" s="1"/>
  <c r="K364" i="2" s="1"/>
  <c r="L364" i="2" s="1"/>
  <c r="V364" i="11" s="1"/>
  <c r="V326" i="7"/>
  <c r="AE326" i="7" s="1"/>
  <c r="AF326" i="7" s="1"/>
  <c r="K326" i="2" s="1"/>
  <c r="L326" i="2" s="1"/>
  <c r="V449" i="7"/>
  <c r="AE449" i="7" s="1"/>
  <c r="AF449" i="7" s="1"/>
  <c r="K449" i="2" s="1"/>
  <c r="L449" i="2" s="1"/>
  <c r="U444" i="7"/>
  <c r="P458" i="7"/>
  <c r="Q458" i="7" s="1"/>
  <c r="S37" i="5"/>
  <c r="U385" i="7"/>
  <c r="P385" i="7"/>
  <c r="Q385" i="7" s="1"/>
  <c r="U468" i="7"/>
  <c r="P468" i="7"/>
  <c r="Q468" i="7" s="1"/>
  <c r="P369" i="7"/>
  <c r="Q369" i="7" s="1"/>
  <c r="U369" i="7"/>
  <c r="U428" i="7"/>
  <c r="P428" i="7"/>
  <c r="Q428" i="7" s="1"/>
  <c r="P413" i="7"/>
  <c r="Q413" i="7" s="1"/>
  <c r="U413" i="7"/>
  <c r="U437" i="7"/>
  <c r="P437" i="7"/>
  <c r="Q437" i="7" s="1"/>
  <c r="U379" i="7"/>
  <c r="P379" i="7"/>
  <c r="Q379" i="7" s="1"/>
  <c r="P389" i="7"/>
  <c r="Q389" i="7" s="1"/>
  <c r="U389" i="7"/>
  <c r="P455" i="7"/>
  <c r="Q455" i="7" s="1"/>
  <c r="U455" i="7"/>
  <c r="P476" i="7"/>
  <c r="Q476" i="7" s="1"/>
  <c r="U476" i="7"/>
  <c r="P382" i="7"/>
  <c r="Q382" i="7" s="1"/>
  <c r="U382" i="7"/>
  <c r="P465" i="7"/>
  <c r="Q465" i="7" s="1"/>
  <c r="U465" i="7"/>
  <c r="P417" i="7"/>
  <c r="Q417" i="7" s="1"/>
  <c r="U417" i="7"/>
  <c r="P451" i="7"/>
  <c r="Q451" i="7" s="1"/>
  <c r="U451" i="7"/>
  <c r="U426" i="7"/>
  <c r="P426" i="7"/>
  <c r="Q426" i="7" s="1"/>
  <c r="P393" i="7"/>
  <c r="Q393" i="7" s="1"/>
  <c r="U393" i="7"/>
  <c r="P470" i="7"/>
  <c r="Q470" i="7" s="1"/>
  <c r="U470" i="7"/>
  <c r="P373" i="7"/>
  <c r="Q373" i="7" s="1"/>
  <c r="U373" i="7"/>
  <c r="U452" i="7"/>
  <c r="P452" i="7"/>
  <c r="Q452" i="7" s="1"/>
  <c r="U420" i="7"/>
  <c r="P420" i="7"/>
  <c r="Q420" i="7" s="1"/>
  <c r="U429" i="7"/>
  <c r="P429" i="7"/>
  <c r="Q429" i="7" s="1"/>
  <c r="U407" i="7"/>
  <c r="P407" i="7"/>
  <c r="Q407" i="7" s="1"/>
  <c r="P464" i="7"/>
  <c r="Q464" i="7" s="1"/>
  <c r="U464" i="7"/>
  <c r="P390" i="7"/>
  <c r="Q390" i="7" s="1"/>
  <c r="U390" i="7"/>
  <c r="P459" i="7"/>
  <c r="Q459" i="7" s="1"/>
  <c r="U459" i="7"/>
  <c r="P422" i="7"/>
  <c r="Q422" i="7" s="1"/>
  <c r="U422" i="7"/>
  <c r="P484" i="7"/>
  <c r="Q484" i="7" s="1"/>
  <c r="U484" i="7"/>
  <c r="P434" i="7"/>
  <c r="Q434" i="7" s="1"/>
  <c r="U434" i="7"/>
  <c r="P460" i="7"/>
  <c r="Q460" i="7" s="1"/>
  <c r="U460" i="7"/>
  <c r="P398" i="7"/>
  <c r="Q398" i="7" s="1"/>
  <c r="U398" i="7"/>
  <c r="P471" i="7"/>
  <c r="Q471" i="7" s="1"/>
  <c r="U471" i="7"/>
  <c r="P370" i="7"/>
  <c r="Q370" i="7" s="1"/>
  <c r="U370" i="7"/>
  <c r="P462" i="7"/>
  <c r="Q462" i="7" s="1"/>
  <c r="U462" i="7"/>
  <c r="P388" i="7"/>
  <c r="Q388" i="7" s="1"/>
  <c r="U388" i="7"/>
  <c r="P415" i="7"/>
  <c r="Q415" i="7" s="1"/>
  <c r="U415" i="7"/>
  <c r="P401" i="7"/>
  <c r="Q401" i="7" s="1"/>
  <c r="U401" i="7"/>
  <c r="U410" i="7"/>
  <c r="P410" i="7"/>
  <c r="Q410" i="7" s="1"/>
  <c r="P467" i="7"/>
  <c r="Q467" i="7" s="1"/>
  <c r="U467" i="7"/>
  <c r="P366" i="7"/>
  <c r="Q366" i="7" s="1"/>
  <c r="U366" i="7"/>
  <c r="U435" i="7"/>
  <c r="P435" i="7"/>
  <c r="Q435" i="7" s="1"/>
  <c r="CE445" i="7"/>
  <c r="BX445" i="7"/>
  <c r="AM445" i="11" s="1"/>
  <c r="U406" i="7"/>
  <c r="P406" i="7"/>
  <c r="Q406" i="7" s="1"/>
  <c r="P478" i="7"/>
  <c r="Q478" i="7" s="1"/>
  <c r="U478" i="7"/>
  <c r="P378" i="7"/>
  <c r="Q378" i="7" s="1"/>
  <c r="U378" i="7"/>
  <c r="P479" i="7"/>
  <c r="Q479" i="7" s="1"/>
  <c r="U479" i="7"/>
  <c r="U404" i="7"/>
  <c r="P404" i="7"/>
  <c r="Q404" i="7" s="1"/>
  <c r="U372" i="7"/>
  <c r="P372" i="7"/>
  <c r="Q372" i="7" s="1"/>
  <c r="P416" i="7"/>
  <c r="Q416" i="7" s="1"/>
  <c r="U416" i="7"/>
  <c r="P395" i="7"/>
  <c r="Q395" i="7" s="1"/>
  <c r="U395" i="7"/>
  <c r="P423" i="7"/>
  <c r="Q423" i="7" s="1"/>
  <c r="U423" i="7"/>
  <c r="U425" i="7"/>
  <c r="P425" i="7"/>
  <c r="Q425" i="7" s="1"/>
  <c r="U411" i="7"/>
  <c r="P411" i="7"/>
  <c r="Q411" i="7" s="1"/>
  <c r="P443" i="7"/>
  <c r="Q443" i="7" s="1"/>
  <c r="U443" i="7"/>
  <c r="P365" i="7"/>
  <c r="Q365" i="7" s="1"/>
  <c r="U365" i="7"/>
  <c r="P386" i="7"/>
  <c r="Q386" i="7" s="1"/>
  <c r="U386" i="7"/>
  <c r="P481" i="7"/>
  <c r="Q481" i="7" s="1"/>
  <c r="U481" i="7"/>
  <c r="U399" i="7"/>
  <c r="P399" i="7"/>
  <c r="Q399" i="7" s="1"/>
  <c r="P473" i="7"/>
  <c r="Q473" i="7" s="1"/>
  <c r="U473" i="7"/>
  <c r="U438" i="7"/>
  <c r="P438" i="7"/>
  <c r="Q438" i="7" s="1"/>
  <c r="U408" i="7"/>
  <c r="P408" i="7"/>
  <c r="Q408" i="7" s="1"/>
  <c r="BX391" i="7"/>
  <c r="AM391" i="11" s="1"/>
  <c r="CE391" i="7"/>
  <c r="P421" i="7"/>
  <c r="Q421" i="7" s="1"/>
  <c r="U421" i="7"/>
  <c r="P450" i="7"/>
  <c r="Q450" i="7" s="1"/>
  <c r="U450" i="7"/>
  <c r="P483" i="7"/>
  <c r="Q483" i="7" s="1"/>
  <c r="U483" i="7"/>
  <c r="U376" i="7"/>
  <c r="P376" i="7"/>
  <c r="Q376" i="7" s="1"/>
  <c r="P396" i="7"/>
  <c r="Q396" i="7" s="1"/>
  <c r="U396" i="7"/>
  <c r="P469" i="7"/>
  <c r="Q469" i="7" s="1"/>
  <c r="U469" i="7"/>
  <c r="P418" i="7"/>
  <c r="Q418" i="7" s="1"/>
  <c r="U418" i="7"/>
  <c r="P461" i="7"/>
  <c r="Q461" i="7" s="1"/>
  <c r="U461" i="7"/>
  <c r="U412" i="7"/>
  <c r="P412" i="7"/>
  <c r="Q412" i="7" s="1"/>
  <c r="P453" i="7"/>
  <c r="Q453" i="7" s="1"/>
  <c r="U453" i="7"/>
  <c r="P482" i="7"/>
  <c r="Q482" i="7" s="1"/>
  <c r="U482" i="7"/>
  <c r="P380" i="7"/>
  <c r="Q380" i="7" s="1"/>
  <c r="U380" i="7"/>
  <c r="P414" i="7"/>
  <c r="Q414" i="7" s="1"/>
  <c r="U414" i="7"/>
  <c r="U430" i="7"/>
  <c r="P430" i="7"/>
  <c r="Q430" i="7" s="1"/>
  <c r="P368" i="7"/>
  <c r="Q368" i="7" s="1"/>
  <c r="U368" i="7"/>
  <c r="U441" i="7"/>
  <c r="P441" i="7"/>
  <c r="Q441" i="7" s="1"/>
  <c r="U400" i="7"/>
  <c r="P400" i="7"/>
  <c r="Q400" i="7" s="1"/>
  <c r="U440" i="7"/>
  <c r="P440" i="7"/>
  <c r="Q440" i="7" s="1"/>
  <c r="U480" i="7"/>
  <c r="P480" i="7"/>
  <c r="Q480" i="7" s="1"/>
  <c r="P383" i="7"/>
  <c r="Q383" i="7" s="1"/>
  <c r="U383" i="7"/>
  <c r="P384" i="7"/>
  <c r="Q384" i="7" s="1"/>
  <c r="U384" i="7"/>
  <c r="P397" i="7"/>
  <c r="Q397" i="7" s="1"/>
  <c r="U397" i="7"/>
  <c r="P432" i="7"/>
  <c r="Q432" i="7" s="1"/>
  <c r="U432" i="7"/>
  <c r="U419" i="7"/>
  <c r="P419" i="7"/>
  <c r="Q419" i="7" s="1"/>
  <c r="P446" i="7"/>
  <c r="Q446" i="7" s="1"/>
  <c r="U446" i="7"/>
  <c r="U405" i="7"/>
  <c r="P405" i="7"/>
  <c r="Q405" i="7" s="1"/>
  <c r="P402" i="7"/>
  <c r="Q402" i="7" s="1"/>
  <c r="U402" i="7"/>
  <c r="P463" i="7"/>
  <c r="Q463" i="7" s="1"/>
  <c r="U463" i="7"/>
  <c r="P374" i="7"/>
  <c r="Q374" i="7" s="1"/>
  <c r="U374" i="7"/>
  <c r="U439" i="7"/>
  <c r="P439" i="7"/>
  <c r="Q439" i="7" s="1"/>
  <c r="U377" i="7"/>
  <c r="P377" i="7"/>
  <c r="Q377" i="7" s="1"/>
  <c r="P454" i="7"/>
  <c r="Q454" i="7" s="1"/>
  <c r="U454" i="7"/>
  <c r="U477" i="7"/>
  <c r="P477" i="7"/>
  <c r="Q477" i="7" s="1"/>
  <c r="U433" i="7"/>
  <c r="P433" i="7"/>
  <c r="Q433" i="7" s="1"/>
  <c r="P442" i="7"/>
  <c r="Q442" i="7" s="1"/>
  <c r="U442" i="7"/>
  <c r="BX444" i="7"/>
  <c r="AM444" i="11" s="1"/>
  <c r="P394" i="7"/>
  <c r="Q394" i="7" s="1"/>
  <c r="U394" i="7"/>
  <c r="U427" i="7"/>
  <c r="P427" i="7"/>
  <c r="Q427" i="7" s="1"/>
  <c r="U409" i="7"/>
  <c r="P409" i="7"/>
  <c r="Q409" i="7" s="1"/>
  <c r="U436" i="7"/>
  <c r="P436" i="7"/>
  <c r="Q436" i="7" s="1"/>
  <c r="P403" i="7"/>
  <c r="Q403" i="7" s="1"/>
  <c r="U403" i="7"/>
  <c r="P387" i="7"/>
  <c r="Q387" i="7" s="1"/>
  <c r="U387" i="7"/>
  <c r="P371" i="7"/>
  <c r="Q371" i="7" s="1"/>
  <c r="U371" i="7"/>
  <c r="P447" i="7"/>
  <c r="Q447" i="7" s="1"/>
  <c r="U447" i="7"/>
  <c r="P381" i="7"/>
  <c r="Q381" i="7" s="1"/>
  <c r="U381" i="7"/>
  <c r="U431" i="7"/>
  <c r="P431" i="7"/>
  <c r="Q431" i="7" s="1"/>
  <c r="P375" i="7"/>
  <c r="Q375" i="7" s="1"/>
  <c r="U375" i="7"/>
  <c r="P448" i="7"/>
  <c r="Q448" i="7" s="1"/>
  <c r="U448" i="7"/>
  <c r="P466" i="7"/>
  <c r="Q466" i="7" s="1"/>
  <c r="U466" i="7"/>
  <c r="P456" i="7"/>
  <c r="Q456" i="7" s="1"/>
  <c r="U456" i="7"/>
  <c r="P475" i="7"/>
  <c r="Q475" i="7" s="1"/>
  <c r="U475" i="7"/>
  <c r="R38" i="5"/>
  <c r="T60" i="5"/>
  <c r="P327" i="7"/>
  <c r="Q327" i="7" s="1"/>
  <c r="P364" i="7"/>
  <c r="Q364" i="7" s="1"/>
  <c r="U360" i="7"/>
  <c r="P349" i="7"/>
  <c r="Q349" i="7" s="1"/>
  <c r="U335" i="7"/>
  <c r="P312" i="7"/>
  <c r="Q312" i="7" s="1"/>
  <c r="P363" i="7"/>
  <c r="U322" i="7"/>
  <c r="P322" i="7"/>
  <c r="P315" i="7"/>
  <c r="U315" i="7"/>
  <c r="U341" i="7"/>
  <c r="P341" i="7"/>
  <c r="U347" i="7"/>
  <c r="P347" i="7"/>
  <c r="U354" i="7"/>
  <c r="P354" i="7"/>
  <c r="U314" i="7"/>
  <c r="P314" i="7"/>
  <c r="U348" i="7"/>
  <c r="P348" i="7"/>
  <c r="U350" i="7"/>
  <c r="P350" i="7"/>
  <c r="U357" i="7"/>
  <c r="P357" i="7"/>
  <c r="P316" i="7"/>
  <c r="U316" i="7"/>
  <c r="U308" i="7"/>
  <c r="P308" i="7"/>
  <c r="P339" i="7"/>
  <c r="U339" i="7"/>
  <c r="U305" i="7"/>
  <c r="P305" i="7"/>
  <c r="U306" i="7"/>
  <c r="P306" i="7"/>
  <c r="U307" i="7"/>
  <c r="P307" i="7"/>
  <c r="Q360" i="7"/>
  <c r="P328" i="7"/>
  <c r="U328" i="7"/>
  <c r="P338" i="7"/>
  <c r="U338" i="7"/>
  <c r="P351" i="7"/>
  <c r="U351" i="7"/>
  <c r="U358" i="7"/>
  <c r="P358" i="7"/>
  <c r="U333" i="7"/>
  <c r="P333" i="7"/>
  <c r="P319" i="7"/>
  <c r="U319" i="7"/>
  <c r="Q335" i="7"/>
  <c r="U356" i="7"/>
  <c r="P356" i="7"/>
  <c r="U323" i="7"/>
  <c r="P323" i="7"/>
  <c r="U317" i="7"/>
  <c r="P317" i="7"/>
  <c r="P309" i="7"/>
  <c r="U309" i="7"/>
  <c r="P359" i="7"/>
  <c r="U359" i="7"/>
  <c r="P352" i="7"/>
  <c r="U352" i="7"/>
  <c r="U311" i="7"/>
  <c r="P311" i="7"/>
  <c r="U342" i="7"/>
  <c r="P342" i="7"/>
  <c r="P337" i="7"/>
  <c r="U337" i="7"/>
  <c r="P329" i="7"/>
  <c r="U329" i="7"/>
  <c r="P325" i="7"/>
  <c r="U325" i="7"/>
  <c r="U343" i="7"/>
  <c r="P343" i="7"/>
  <c r="U353" i="7"/>
  <c r="P353" i="7"/>
  <c r="Q344" i="7"/>
  <c r="P361" i="7"/>
  <c r="U361" i="7"/>
  <c r="P345" i="7"/>
  <c r="U345" i="7"/>
  <c r="U346" i="7"/>
  <c r="P346" i="7"/>
  <c r="P324" i="7"/>
  <c r="U324" i="7"/>
  <c r="P318" i="7"/>
  <c r="U318" i="7"/>
  <c r="U313" i="7"/>
  <c r="P313" i="7"/>
  <c r="P310" i="7"/>
  <c r="U310" i="7"/>
  <c r="P320" i="7"/>
  <c r="U320" i="7"/>
  <c r="U321" i="7"/>
  <c r="P321" i="7"/>
  <c r="P340" i="7"/>
  <c r="U340" i="7"/>
  <c r="P332" i="7"/>
  <c r="U332" i="7"/>
  <c r="U331" i="7"/>
  <c r="P331" i="7"/>
  <c r="P330" i="7"/>
  <c r="U330" i="7"/>
  <c r="U362" i="7"/>
  <c r="P362" i="7"/>
  <c r="U355" i="7"/>
  <c r="P355" i="7"/>
  <c r="Q39" i="5"/>
  <c r="AD6" i="7"/>
  <c r="N6" i="7" s="1"/>
  <c r="AD7" i="7"/>
  <c r="N7" i="7" s="1"/>
  <c r="AD8" i="7"/>
  <c r="N8" i="7" s="1"/>
  <c r="AD9" i="7"/>
  <c r="N9" i="7" s="1"/>
  <c r="AD10" i="7"/>
  <c r="N10" i="7" s="1"/>
  <c r="AD11" i="7"/>
  <c r="N11" i="7" s="1"/>
  <c r="AD12" i="7"/>
  <c r="N12" i="7" s="1"/>
  <c r="AD13" i="7"/>
  <c r="N13" i="7" s="1"/>
  <c r="AD14" i="7"/>
  <c r="N14" i="7" s="1"/>
  <c r="AD15" i="7"/>
  <c r="N15" i="7" s="1"/>
  <c r="AD16" i="7"/>
  <c r="N16" i="7" s="1"/>
  <c r="AD17" i="7"/>
  <c r="N17" i="7" s="1"/>
  <c r="AD18" i="7"/>
  <c r="N18" i="7" s="1"/>
  <c r="AD19" i="7"/>
  <c r="N19" i="7" s="1"/>
  <c r="AD20" i="7"/>
  <c r="N20" i="7" s="1"/>
  <c r="AD21" i="7"/>
  <c r="N21" i="7" s="1"/>
  <c r="AD22" i="7"/>
  <c r="N22" i="7" s="1"/>
  <c r="AD23" i="7"/>
  <c r="N23" i="7" s="1"/>
  <c r="AD24" i="7"/>
  <c r="N24" i="7" s="1"/>
  <c r="AD25" i="7"/>
  <c r="N25" i="7" s="1"/>
  <c r="AD26" i="7"/>
  <c r="N26" i="7" s="1"/>
  <c r="AD27" i="7"/>
  <c r="N27" i="7" s="1"/>
  <c r="AD28" i="7"/>
  <c r="N28" i="7" s="1"/>
  <c r="AD29" i="7"/>
  <c r="N29" i="7" s="1"/>
  <c r="AD30" i="7"/>
  <c r="N30" i="7" s="1"/>
  <c r="AD31" i="7"/>
  <c r="N31" i="7" s="1"/>
  <c r="AD32" i="7"/>
  <c r="N32" i="7" s="1"/>
  <c r="AD33" i="7"/>
  <c r="N33" i="7" s="1"/>
  <c r="AD34" i="7"/>
  <c r="N34" i="7" s="1"/>
  <c r="AD35" i="7"/>
  <c r="N35" i="7" s="1"/>
  <c r="AD36" i="7"/>
  <c r="N36" i="7" s="1"/>
  <c r="AD37" i="7"/>
  <c r="N37" i="7" s="1"/>
  <c r="AD38" i="7"/>
  <c r="N38" i="7" s="1"/>
  <c r="AD39" i="7"/>
  <c r="N39" i="7" s="1"/>
  <c r="AD40" i="7"/>
  <c r="N40" i="7" s="1"/>
  <c r="AD41" i="7"/>
  <c r="N41" i="7" s="1"/>
  <c r="AD42" i="7"/>
  <c r="N42" i="7" s="1"/>
  <c r="AD43" i="7"/>
  <c r="N43" i="7" s="1"/>
  <c r="AD44" i="7"/>
  <c r="N44" i="7" s="1"/>
  <c r="AD45" i="7"/>
  <c r="N45" i="7" s="1"/>
  <c r="AD46" i="7"/>
  <c r="N46" i="7" s="1"/>
  <c r="AD47" i="7"/>
  <c r="N47" i="7" s="1"/>
  <c r="AD48" i="7"/>
  <c r="N48" i="7" s="1"/>
  <c r="AD49" i="7"/>
  <c r="N49" i="7" s="1"/>
  <c r="AD50" i="7"/>
  <c r="N50" i="7" s="1"/>
  <c r="AD51" i="7"/>
  <c r="N51" i="7" s="1"/>
  <c r="AD52" i="7"/>
  <c r="N52" i="7" s="1"/>
  <c r="AD53" i="7"/>
  <c r="N53" i="7" s="1"/>
  <c r="AD54" i="7"/>
  <c r="N54" i="7" s="1"/>
  <c r="AD55" i="7"/>
  <c r="N55" i="7" s="1"/>
  <c r="AD56" i="7"/>
  <c r="N56" i="7" s="1"/>
  <c r="AD57" i="7"/>
  <c r="N57" i="7" s="1"/>
  <c r="AD58" i="7"/>
  <c r="N58" i="7" s="1"/>
  <c r="AD59" i="7"/>
  <c r="N59" i="7" s="1"/>
  <c r="AD60" i="7"/>
  <c r="N60" i="7" s="1"/>
  <c r="AD61" i="7"/>
  <c r="N61" i="7" s="1"/>
  <c r="AD62" i="7"/>
  <c r="N62" i="7" s="1"/>
  <c r="AD63" i="7"/>
  <c r="N63" i="7" s="1"/>
  <c r="AD64" i="7"/>
  <c r="N64" i="7" s="1"/>
  <c r="AD65" i="7"/>
  <c r="N65" i="7" s="1"/>
  <c r="AD66" i="7"/>
  <c r="N66" i="7" s="1"/>
  <c r="AD67" i="7"/>
  <c r="N67" i="7" s="1"/>
  <c r="AD68" i="7"/>
  <c r="N68" i="7" s="1"/>
  <c r="AD69" i="7"/>
  <c r="N69" i="7" s="1"/>
  <c r="AD70" i="7"/>
  <c r="N70" i="7" s="1"/>
  <c r="AD71" i="7"/>
  <c r="N71" i="7" s="1"/>
  <c r="AD72" i="7"/>
  <c r="N72" i="7" s="1"/>
  <c r="AD73" i="7"/>
  <c r="N73" i="7" s="1"/>
  <c r="AD74" i="7"/>
  <c r="N74" i="7" s="1"/>
  <c r="AD75" i="7"/>
  <c r="N75" i="7" s="1"/>
  <c r="AD76" i="7"/>
  <c r="N76" i="7" s="1"/>
  <c r="AD77" i="7"/>
  <c r="N77" i="7" s="1"/>
  <c r="AD78" i="7"/>
  <c r="N78" i="7" s="1"/>
  <c r="AD79" i="7"/>
  <c r="N79" i="7" s="1"/>
  <c r="AD80" i="7"/>
  <c r="N80" i="7" s="1"/>
  <c r="AD81" i="7"/>
  <c r="N81" i="7" s="1"/>
  <c r="AD82" i="7"/>
  <c r="N82" i="7" s="1"/>
  <c r="AD83" i="7"/>
  <c r="N83" i="7" s="1"/>
  <c r="AD84" i="7"/>
  <c r="N84" i="7" s="1"/>
  <c r="AD85" i="7"/>
  <c r="N85" i="7" s="1"/>
  <c r="AD86" i="7"/>
  <c r="N86" i="7" s="1"/>
  <c r="AD87" i="7"/>
  <c r="N87" i="7" s="1"/>
  <c r="AD88" i="7"/>
  <c r="N88" i="7" s="1"/>
  <c r="AD89" i="7"/>
  <c r="N89" i="7" s="1"/>
  <c r="AD90" i="7"/>
  <c r="N90" i="7" s="1"/>
  <c r="AD91" i="7"/>
  <c r="N91" i="7" s="1"/>
  <c r="AD92" i="7"/>
  <c r="N92" i="7" s="1"/>
  <c r="AD93" i="7"/>
  <c r="N93" i="7" s="1"/>
  <c r="AD94" i="7"/>
  <c r="N94" i="7" s="1"/>
  <c r="AD95" i="7"/>
  <c r="N95" i="7" s="1"/>
  <c r="AD96" i="7"/>
  <c r="N96" i="7" s="1"/>
  <c r="AD97" i="7"/>
  <c r="N97" i="7" s="1"/>
  <c r="AD98" i="7"/>
  <c r="N98" i="7" s="1"/>
  <c r="AD99" i="7"/>
  <c r="N99" i="7" s="1"/>
  <c r="AD100" i="7"/>
  <c r="N100" i="7" s="1"/>
  <c r="AD101" i="7"/>
  <c r="N101" i="7" s="1"/>
  <c r="AD102" i="7"/>
  <c r="N102" i="7" s="1"/>
  <c r="AD103" i="7"/>
  <c r="N103" i="7" s="1"/>
  <c r="AD104" i="7"/>
  <c r="N104" i="7" s="1"/>
  <c r="AD105" i="7"/>
  <c r="N105" i="7" s="1"/>
  <c r="AD106" i="7"/>
  <c r="N106" i="7" s="1"/>
  <c r="AD107" i="7"/>
  <c r="N107" i="7" s="1"/>
  <c r="AD108" i="7"/>
  <c r="N108" i="7" s="1"/>
  <c r="AD109" i="7"/>
  <c r="N109" i="7" s="1"/>
  <c r="AD110" i="7"/>
  <c r="N110" i="7" s="1"/>
  <c r="AD111" i="7"/>
  <c r="N111" i="7" s="1"/>
  <c r="AD112" i="7"/>
  <c r="N112" i="7" s="1"/>
  <c r="AD113" i="7"/>
  <c r="N113" i="7" s="1"/>
  <c r="AD114" i="7"/>
  <c r="N114" i="7" s="1"/>
  <c r="AD115" i="7"/>
  <c r="N115" i="7" s="1"/>
  <c r="AD116" i="7"/>
  <c r="N116" i="7" s="1"/>
  <c r="AD117" i="7"/>
  <c r="N117" i="7" s="1"/>
  <c r="AD118" i="7"/>
  <c r="N118" i="7" s="1"/>
  <c r="AD119" i="7"/>
  <c r="N119" i="7" s="1"/>
  <c r="AD120" i="7"/>
  <c r="N120" i="7" s="1"/>
  <c r="AD121" i="7"/>
  <c r="N121" i="7" s="1"/>
  <c r="AD122" i="7"/>
  <c r="N122" i="7" s="1"/>
  <c r="AD123" i="7"/>
  <c r="N123" i="7" s="1"/>
  <c r="AD124" i="7"/>
  <c r="N124" i="7" s="1"/>
  <c r="AD125" i="7"/>
  <c r="N125" i="7" s="1"/>
  <c r="AD126" i="7"/>
  <c r="N126" i="7" s="1"/>
  <c r="AD127" i="7"/>
  <c r="N127" i="7" s="1"/>
  <c r="AD128" i="7"/>
  <c r="N128" i="7" s="1"/>
  <c r="AD129" i="7"/>
  <c r="N129" i="7" s="1"/>
  <c r="AD130" i="7"/>
  <c r="N130" i="7" s="1"/>
  <c r="AD131" i="7"/>
  <c r="N131" i="7" s="1"/>
  <c r="AD132" i="7"/>
  <c r="N132" i="7" s="1"/>
  <c r="AD133" i="7"/>
  <c r="N133" i="7" s="1"/>
  <c r="AD134" i="7"/>
  <c r="N134" i="7" s="1"/>
  <c r="AD135" i="7"/>
  <c r="N135" i="7" s="1"/>
  <c r="AD136" i="7"/>
  <c r="N136" i="7" s="1"/>
  <c r="AD137" i="7"/>
  <c r="N137" i="7" s="1"/>
  <c r="AD138" i="7"/>
  <c r="N138" i="7" s="1"/>
  <c r="AD139" i="7"/>
  <c r="N139" i="7" s="1"/>
  <c r="AD140" i="7"/>
  <c r="N140" i="7" s="1"/>
  <c r="AD141" i="7"/>
  <c r="N141" i="7" s="1"/>
  <c r="AD142" i="7"/>
  <c r="N142" i="7" s="1"/>
  <c r="AD143" i="7"/>
  <c r="N143" i="7" s="1"/>
  <c r="AD144" i="7"/>
  <c r="N144" i="7" s="1"/>
  <c r="AD145" i="7"/>
  <c r="N145" i="7" s="1"/>
  <c r="AD146" i="7"/>
  <c r="N146" i="7" s="1"/>
  <c r="AD147" i="7"/>
  <c r="N147" i="7" s="1"/>
  <c r="AD148" i="7"/>
  <c r="N148" i="7" s="1"/>
  <c r="AD149" i="7"/>
  <c r="N149" i="7" s="1"/>
  <c r="AD150" i="7"/>
  <c r="N150" i="7" s="1"/>
  <c r="AD151" i="7"/>
  <c r="N151" i="7" s="1"/>
  <c r="AD152" i="7"/>
  <c r="N152" i="7" s="1"/>
  <c r="AD153" i="7"/>
  <c r="N153" i="7" s="1"/>
  <c r="AD154" i="7"/>
  <c r="N154" i="7" s="1"/>
  <c r="AD155" i="7"/>
  <c r="N155" i="7" s="1"/>
  <c r="AD156" i="7"/>
  <c r="N156" i="7" s="1"/>
  <c r="AD157" i="7"/>
  <c r="N157" i="7" s="1"/>
  <c r="AD158" i="7"/>
  <c r="N158" i="7" s="1"/>
  <c r="AD159" i="7"/>
  <c r="N159" i="7" s="1"/>
  <c r="AD160" i="7"/>
  <c r="N160" i="7" s="1"/>
  <c r="AD161" i="7"/>
  <c r="N161" i="7" s="1"/>
  <c r="AD162" i="7"/>
  <c r="N162" i="7" s="1"/>
  <c r="AD163" i="7"/>
  <c r="N163" i="7" s="1"/>
  <c r="AD164" i="7"/>
  <c r="N164" i="7" s="1"/>
  <c r="AD165" i="7"/>
  <c r="N165" i="7" s="1"/>
  <c r="AD166" i="7"/>
  <c r="N166" i="7" s="1"/>
  <c r="AD167" i="7"/>
  <c r="N167" i="7" s="1"/>
  <c r="AD168" i="7"/>
  <c r="N168" i="7" s="1"/>
  <c r="AD169" i="7"/>
  <c r="N169" i="7" s="1"/>
  <c r="AD170" i="7"/>
  <c r="N170" i="7" s="1"/>
  <c r="AD171" i="7"/>
  <c r="N171" i="7" s="1"/>
  <c r="AD172" i="7"/>
  <c r="N172" i="7" s="1"/>
  <c r="AD173" i="7"/>
  <c r="N173" i="7" s="1"/>
  <c r="AD174" i="7"/>
  <c r="N174" i="7" s="1"/>
  <c r="AD175" i="7"/>
  <c r="N175" i="7" s="1"/>
  <c r="AD176" i="7"/>
  <c r="N176" i="7" s="1"/>
  <c r="AD177" i="7"/>
  <c r="N177" i="7" s="1"/>
  <c r="AD178" i="7"/>
  <c r="N178" i="7" s="1"/>
  <c r="AD179" i="7"/>
  <c r="N179" i="7" s="1"/>
  <c r="AD180" i="7"/>
  <c r="N180" i="7" s="1"/>
  <c r="AD181" i="7"/>
  <c r="N181" i="7" s="1"/>
  <c r="AD182" i="7"/>
  <c r="N182" i="7" s="1"/>
  <c r="AD183" i="7"/>
  <c r="N183" i="7" s="1"/>
  <c r="AD184" i="7"/>
  <c r="N184" i="7" s="1"/>
  <c r="AD185" i="7"/>
  <c r="N185" i="7" s="1"/>
  <c r="AD186" i="7"/>
  <c r="N186" i="7" s="1"/>
  <c r="AD187" i="7"/>
  <c r="N187" i="7" s="1"/>
  <c r="AD188" i="7"/>
  <c r="N188" i="7" s="1"/>
  <c r="AD189" i="7"/>
  <c r="N189" i="7" s="1"/>
  <c r="AD190" i="7"/>
  <c r="N190" i="7" s="1"/>
  <c r="AD191" i="7"/>
  <c r="N191" i="7" s="1"/>
  <c r="AD192" i="7"/>
  <c r="N192" i="7" s="1"/>
  <c r="AD193" i="7"/>
  <c r="N193" i="7" s="1"/>
  <c r="AD194" i="7"/>
  <c r="N194" i="7" s="1"/>
  <c r="AD195" i="7"/>
  <c r="N195" i="7" s="1"/>
  <c r="AD196" i="7"/>
  <c r="N196" i="7" s="1"/>
  <c r="AD197" i="7"/>
  <c r="N197" i="7" s="1"/>
  <c r="AD198" i="7"/>
  <c r="N198" i="7" s="1"/>
  <c r="AD199" i="7"/>
  <c r="N199" i="7" s="1"/>
  <c r="AD200" i="7"/>
  <c r="N200" i="7" s="1"/>
  <c r="AD201" i="7"/>
  <c r="N201" i="7" s="1"/>
  <c r="AD202" i="7"/>
  <c r="N202" i="7" s="1"/>
  <c r="AD203" i="7"/>
  <c r="N203" i="7" s="1"/>
  <c r="AD204" i="7"/>
  <c r="N204" i="7" s="1"/>
  <c r="AD205" i="7"/>
  <c r="N205" i="7" s="1"/>
  <c r="AD206" i="7"/>
  <c r="N206" i="7" s="1"/>
  <c r="AD207" i="7"/>
  <c r="N207" i="7" s="1"/>
  <c r="AD208" i="7"/>
  <c r="N208" i="7" s="1"/>
  <c r="AD209" i="7"/>
  <c r="N209" i="7" s="1"/>
  <c r="AD210" i="7"/>
  <c r="N210" i="7" s="1"/>
  <c r="AD211" i="7"/>
  <c r="N211" i="7" s="1"/>
  <c r="AD212" i="7"/>
  <c r="N212" i="7" s="1"/>
  <c r="AD213" i="7"/>
  <c r="N213" i="7" s="1"/>
  <c r="AD214" i="7"/>
  <c r="N214" i="7" s="1"/>
  <c r="AD215" i="7"/>
  <c r="N215" i="7" s="1"/>
  <c r="AD216" i="7"/>
  <c r="N216" i="7" s="1"/>
  <c r="AD217" i="7"/>
  <c r="N217" i="7" s="1"/>
  <c r="AD218" i="7"/>
  <c r="N218" i="7" s="1"/>
  <c r="AD219" i="7"/>
  <c r="N219" i="7" s="1"/>
  <c r="AD220" i="7"/>
  <c r="N220" i="7" s="1"/>
  <c r="AD221" i="7"/>
  <c r="N221" i="7" s="1"/>
  <c r="AD222" i="7"/>
  <c r="N222" i="7" s="1"/>
  <c r="AD223" i="7"/>
  <c r="N223" i="7" s="1"/>
  <c r="AD224" i="7"/>
  <c r="N224" i="7" s="1"/>
  <c r="AD225" i="7"/>
  <c r="N225" i="7" s="1"/>
  <c r="AD226" i="7"/>
  <c r="N226" i="7" s="1"/>
  <c r="AD227" i="7"/>
  <c r="N227" i="7" s="1"/>
  <c r="AD228" i="7"/>
  <c r="N228" i="7" s="1"/>
  <c r="AD229" i="7"/>
  <c r="N229" i="7" s="1"/>
  <c r="AD230" i="7"/>
  <c r="N230" i="7" s="1"/>
  <c r="AD231" i="7"/>
  <c r="N231" i="7" s="1"/>
  <c r="AD232" i="7"/>
  <c r="N232" i="7" s="1"/>
  <c r="AD233" i="7"/>
  <c r="N233" i="7" s="1"/>
  <c r="AD234" i="7"/>
  <c r="N234" i="7" s="1"/>
  <c r="AD235" i="7"/>
  <c r="N235" i="7" s="1"/>
  <c r="AD236" i="7"/>
  <c r="N236" i="7" s="1"/>
  <c r="AD237" i="7"/>
  <c r="N237" i="7" s="1"/>
  <c r="AD238" i="7"/>
  <c r="N238" i="7" s="1"/>
  <c r="AD239" i="7"/>
  <c r="N239" i="7" s="1"/>
  <c r="AD240" i="7"/>
  <c r="N240" i="7" s="1"/>
  <c r="AD241" i="7"/>
  <c r="N241" i="7" s="1"/>
  <c r="AD242" i="7"/>
  <c r="N242" i="7" s="1"/>
  <c r="AD243" i="7"/>
  <c r="N243" i="7" s="1"/>
  <c r="AD244" i="7"/>
  <c r="N244" i="7" s="1"/>
  <c r="AD245" i="7"/>
  <c r="N245" i="7" s="1"/>
  <c r="AD246" i="7"/>
  <c r="N246" i="7" s="1"/>
  <c r="AD247" i="7"/>
  <c r="N247" i="7" s="1"/>
  <c r="AD248" i="7"/>
  <c r="N248" i="7" s="1"/>
  <c r="AD249" i="7"/>
  <c r="N249" i="7" s="1"/>
  <c r="AD250" i="7"/>
  <c r="N250" i="7" s="1"/>
  <c r="AD251" i="7"/>
  <c r="N251" i="7" s="1"/>
  <c r="AD252" i="7"/>
  <c r="N252" i="7" s="1"/>
  <c r="AD253" i="7"/>
  <c r="N253" i="7" s="1"/>
  <c r="AD254" i="7"/>
  <c r="N254" i="7" s="1"/>
  <c r="AD255" i="7"/>
  <c r="N255" i="7" s="1"/>
  <c r="AD256" i="7"/>
  <c r="N256" i="7" s="1"/>
  <c r="AD257" i="7"/>
  <c r="N257" i="7" s="1"/>
  <c r="AD258" i="7"/>
  <c r="N258" i="7" s="1"/>
  <c r="AD259" i="7"/>
  <c r="N259" i="7" s="1"/>
  <c r="AD260" i="7"/>
  <c r="N260" i="7" s="1"/>
  <c r="AD261" i="7"/>
  <c r="N261" i="7" s="1"/>
  <c r="AD262" i="7"/>
  <c r="N262" i="7" s="1"/>
  <c r="AD263" i="7"/>
  <c r="N263" i="7" s="1"/>
  <c r="AD264" i="7"/>
  <c r="N264" i="7" s="1"/>
  <c r="AD265" i="7"/>
  <c r="N265" i="7" s="1"/>
  <c r="AD266" i="7"/>
  <c r="N266" i="7" s="1"/>
  <c r="AD267" i="7"/>
  <c r="N267" i="7" s="1"/>
  <c r="AD268" i="7"/>
  <c r="N268" i="7" s="1"/>
  <c r="AD269" i="7"/>
  <c r="N269" i="7" s="1"/>
  <c r="AD270" i="7"/>
  <c r="N270" i="7" s="1"/>
  <c r="AD271" i="7"/>
  <c r="N271" i="7" s="1"/>
  <c r="AD272" i="7"/>
  <c r="N272" i="7" s="1"/>
  <c r="AD273" i="7"/>
  <c r="N273" i="7" s="1"/>
  <c r="AD274" i="7"/>
  <c r="N274" i="7" s="1"/>
  <c r="AD275" i="7"/>
  <c r="N275" i="7" s="1"/>
  <c r="AD276" i="7"/>
  <c r="N276" i="7" s="1"/>
  <c r="AD277" i="7"/>
  <c r="N277" i="7" s="1"/>
  <c r="AD278" i="7"/>
  <c r="N278" i="7" s="1"/>
  <c r="AD279" i="7"/>
  <c r="N279" i="7" s="1"/>
  <c r="AD280" i="7"/>
  <c r="N280" i="7" s="1"/>
  <c r="AD281" i="7"/>
  <c r="N281" i="7" s="1"/>
  <c r="AD282" i="7"/>
  <c r="N282" i="7" s="1"/>
  <c r="AD283" i="7"/>
  <c r="N283" i="7" s="1"/>
  <c r="AD284" i="7"/>
  <c r="N284" i="7" s="1"/>
  <c r="AD285" i="7"/>
  <c r="N285" i="7" s="1"/>
  <c r="AD286" i="7"/>
  <c r="N286" i="7" s="1"/>
  <c r="AD287" i="7"/>
  <c r="N287" i="7" s="1"/>
  <c r="AD288" i="7"/>
  <c r="N288" i="7" s="1"/>
  <c r="AD289" i="7"/>
  <c r="N289" i="7" s="1"/>
  <c r="AD290" i="7"/>
  <c r="N290" i="7" s="1"/>
  <c r="AD291" i="7"/>
  <c r="N291" i="7" s="1"/>
  <c r="AD292" i="7"/>
  <c r="N292" i="7" s="1"/>
  <c r="AD293" i="7"/>
  <c r="N293" i="7" s="1"/>
  <c r="AD294" i="7"/>
  <c r="N294" i="7" s="1"/>
  <c r="AD295" i="7"/>
  <c r="N295" i="7" s="1"/>
  <c r="AD296" i="7"/>
  <c r="N296" i="7" s="1"/>
  <c r="AD297" i="7"/>
  <c r="N297" i="7" s="1"/>
  <c r="AD298" i="7"/>
  <c r="N298" i="7" s="1"/>
  <c r="AD299" i="7"/>
  <c r="N299" i="7" s="1"/>
  <c r="AD300" i="7"/>
  <c r="N300" i="7" s="1"/>
  <c r="AD301" i="7"/>
  <c r="N301" i="7" s="1"/>
  <c r="AD302" i="7"/>
  <c r="N302" i="7" s="1"/>
  <c r="AD303" i="7"/>
  <c r="N303" i="7" s="1"/>
  <c r="AD304" i="7"/>
  <c r="N304" i="7" s="1"/>
  <c r="AC6" i="7"/>
  <c r="M6" i="7" s="1"/>
  <c r="AC7" i="7"/>
  <c r="M7" i="7" s="1"/>
  <c r="AC8" i="7"/>
  <c r="M8" i="7" s="1"/>
  <c r="AC9" i="7"/>
  <c r="M9" i="7" s="1"/>
  <c r="AC10" i="7"/>
  <c r="M10" i="7" s="1"/>
  <c r="AC11" i="7"/>
  <c r="M11" i="7" s="1"/>
  <c r="AC12" i="7"/>
  <c r="M12" i="7" s="1"/>
  <c r="AC13" i="7"/>
  <c r="M13" i="7" s="1"/>
  <c r="AC14" i="7"/>
  <c r="M14" i="7" s="1"/>
  <c r="AC15" i="7"/>
  <c r="M15" i="7" s="1"/>
  <c r="AC16" i="7"/>
  <c r="M16" i="7" s="1"/>
  <c r="AC17" i="7"/>
  <c r="M17" i="7" s="1"/>
  <c r="AC18" i="7"/>
  <c r="M18" i="7" s="1"/>
  <c r="AC19" i="7"/>
  <c r="M19" i="7" s="1"/>
  <c r="AC20" i="7"/>
  <c r="M20" i="7" s="1"/>
  <c r="AC21" i="7"/>
  <c r="M21" i="7" s="1"/>
  <c r="AC22" i="7"/>
  <c r="M22" i="7" s="1"/>
  <c r="AC23" i="7"/>
  <c r="M23" i="7" s="1"/>
  <c r="AC24" i="7"/>
  <c r="M24" i="7" s="1"/>
  <c r="AC25" i="7"/>
  <c r="M25" i="7" s="1"/>
  <c r="AC26" i="7"/>
  <c r="M26" i="7" s="1"/>
  <c r="AC27" i="7"/>
  <c r="M27" i="7" s="1"/>
  <c r="AC28" i="7"/>
  <c r="M28" i="7" s="1"/>
  <c r="AC29" i="7"/>
  <c r="M29" i="7" s="1"/>
  <c r="AC30" i="7"/>
  <c r="M30" i="7" s="1"/>
  <c r="AC31" i="7"/>
  <c r="M31" i="7" s="1"/>
  <c r="AC32" i="7"/>
  <c r="M32" i="7" s="1"/>
  <c r="AC33" i="7"/>
  <c r="M33" i="7" s="1"/>
  <c r="AC34" i="7"/>
  <c r="M34" i="7" s="1"/>
  <c r="AC35" i="7"/>
  <c r="M35" i="7" s="1"/>
  <c r="AC36" i="7"/>
  <c r="M36" i="7" s="1"/>
  <c r="AC37" i="7"/>
  <c r="M37" i="7" s="1"/>
  <c r="AC38" i="7"/>
  <c r="M38" i="7" s="1"/>
  <c r="AC39" i="7"/>
  <c r="M39" i="7" s="1"/>
  <c r="AC40" i="7"/>
  <c r="M40" i="7" s="1"/>
  <c r="AC41" i="7"/>
  <c r="M41" i="7" s="1"/>
  <c r="AC42" i="7"/>
  <c r="M42" i="7" s="1"/>
  <c r="AC43" i="7"/>
  <c r="M43" i="7" s="1"/>
  <c r="AC44" i="7"/>
  <c r="M44" i="7" s="1"/>
  <c r="AC45" i="7"/>
  <c r="M45" i="7" s="1"/>
  <c r="AC46" i="7"/>
  <c r="M46" i="7" s="1"/>
  <c r="AC47" i="7"/>
  <c r="M47" i="7" s="1"/>
  <c r="AC48" i="7"/>
  <c r="M48" i="7" s="1"/>
  <c r="AC49" i="7"/>
  <c r="M49" i="7" s="1"/>
  <c r="AC50" i="7"/>
  <c r="M50" i="7" s="1"/>
  <c r="AC51" i="7"/>
  <c r="M51" i="7" s="1"/>
  <c r="AC52" i="7"/>
  <c r="M52" i="7" s="1"/>
  <c r="AC53" i="7"/>
  <c r="M53" i="7" s="1"/>
  <c r="AC54" i="7"/>
  <c r="M54" i="7" s="1"/>
  <c r="AC55" i="7"/>
  <c r="M55" i="7" s="1"/>
  <c r="AC56" i="7"/>
  <c r="M56" i="7" s="1"/>
  <c r="AC57" i="7"/>
  <c r="M57" i="7" s="1"/>
  <c r="AC58" i="7"/>
  <c r="M58" i="7" s="1"/>
  <c r="AC59" i="7"/>
  <c r="M59" i="7" s="1"/>
  <c r="AC60" i="7"/>
  <c r="M60" i="7" s="1"/>
  <c r="AC61" i="7"/>
  <c r="M61" i="7" s="1"/>
  <c r="AC62" i="7"/>
  <c r="M62" i="7" s="1"/>
  <c r="AC63" i="7"/>
  <c r="M63" i="7" s="1"/>
  <c r="AC64" i="7"/>
  <c r="M64" i="7" s="1"/>
  <c r="AC65" i="7"/>
  <c r="M65" i="7" s="1"/>
  <c r="AC66" i="7"/>
  <c r="M66" i="7" s="1"/>
  <c r="AC67" i="7"/>
  <c r="M67" i="7" s="1"/>
  <c r="AC68" i="7"/>
  <c r="M68" i="7" s="1"/>
  <c r="AC69" i="7"/>
  <c r="M69" i="7" s="1"/>
  <c r="AC70" i="7"/>
  <c r="M70" i="7" s="1"/>
  <c r="AC71" i="7"/>
  <c r="M71" i="7" s="1"/>
  <c r="AC72" i="7"/>
  <c r="M72" i="7" s="1"/>
  <c r="AC73" i="7"/>
  <c r="M73" i="7" s="1"/>
  <c r="AC74" i="7"/>
  <c r="M74" i="7" s="1"/>
  <c r="AC75" i="7"/>
  <c r="M75" i="7" s="1"/>
  <c r="AC76" i="7"/>
  <c r="M76" i="7" s="1"/>
  <c r="AC77" i="7"/>
  <c r="M77" i="7" s="1"/>
  <c r="AC78" i="7"/>
  <c r="M78" i="7" s="1"/>
  <c r="AC79" i="7"/>
  <c r="M79" i="7" s="1"/>
  <c r="AC80" i="7"/>
  <c r="M80" i="7" s="1"/>
  <c r="AC81" i="7"/>
  <c r="M81" i="7" s="1"/>
  <c r="AC82" i="7"/>
  <c r="M82" i="7" s="1"/>
  <c r="AC83" i="7"/>
  <c r="M83" i="7" s="1"/>
  <c r="AC84" i="7"/>
  <c r="M84" i="7" s="1"/>
  <c r="AC85" i="7"/>
  <c r="M85" i="7" s="1"/>
  <c r="AC86" i="7"/>
  <c r="M86" i="7" s="1"/>
  <c r="AC87" i="7"/>
  <c r="M87" i="7" s="1"/>
  <c r="AC88" i="7"/>
  <c r="M88" i="7" s="1"/>
  <c r="AC89" i="7"/>
  <c r="M89" i="7" s="1"/>
  <c r="AC90" i="7"/>
  <c r="M90" i="7" s="1"/>
  <c r="AC91" i="7"/>
  <c r="M91" i="7" s="1"/>
  <c r="AC92" i="7"/>
  <c r="M92" i="7" s="1"/>
  <c r="AC93" i="7"/>
  <c r="M93" i="7" s="1"/>
  <c r="AC94" i="7"/>
  <c r="M94" i="7" s="1"/>
  <c r="AC95" i="7"/>
  <c r="M95" i="7" s="1"/>
  <c r="AC96" i="7"/>
  <c r="M96" i="7" s="1"/>
  <c r="AC97" i="7"/>
  <c r="M97" i="7" s="1"/>
  <c r="AC98" i="7"/>
  <c r="M98" i="7" s="1"/>
  <c r="AC99" i="7"/>
  <c r="M99" i="7" s="1"/>
  <c r="AC100" i="7"/>
  <c r="M100" i="7" s="1"/>
  <c r="AC101" i="7"/>
  <c r="M101" i="7" s="1"/>
  <c r="AC102" i="7"/>
  <c r="M102" i="7" s="1"/>
  <c r="AC103" i="7"/>
  <c r="M103" i="7" s="1"/>
  <c r="AC104" i="7"/>
  <c r="M104" i="7" s="1"/>
  <c r="AC105" i="7"/>
  <c r="M105" i="7" s="1"/>
  <c r="AC106" i="7"/>
  <c r="M106" i="7" s="1"/>
  <c r="AC107" i="7"/>
  <c r="M107" i="7" s="1"/>
  <c r="AC108" i="7"/>
  <c r="M108" i="7" s="1"/>
  <c r="AC109" i="7"/>
  <c r="M109" i="7" s="1"/>
  <c r="AC110" i="7"/>
  <c r="M110" i="7" s="1"/>
  <c r="AC111" i="7"/>
  <c r="M111" i="7" s="1"/>
  <c r="AC112" i="7"/>
  <c r="M112" i="7" s="1"/>
  <c r="AC113" i="7"/>
  <c r="M113" i="7" s="1"/>
  <c r="AC114" i="7"/>
  <c r="M114" i="7" s="1"/>
  <c r="AC115" i="7"/>
  <c r="M115" i="7" s="1"/>
  <c r="AC116" i="7"/>
  <c r="M116" i="7" s="1"/>
  <c r="AC117" i="7"/>
  <c r="M117" i="7" s="1"/>
  <c r="AC118" i="7"/>
  <c r="M118" i="7" s="1"/>
  <c r="AC119" i="7"/>
  <c r="M119" i="7" s="1"/>
  <c r="AC120" i="7"/>
  <c r="M120" i="7" s="1"/>
  <c r="AC121" i="7"/>
  <c r="M121" i="7" s="1"/>
  <c r="AC122" i="7"/>
  <c r="M122" i="7" s="1"/>
  <c r="AC123" i="7"/>
  <c r="M123" i="7" s="1"/>
  <c r="AC124" i="7"/>
  <c r="M124" i="7" s="1"/>
  <c r="AC125" i="7"/>
  <c r="M125" i="7" s="1"/>
  <c r="AC126" i="7"/>
  <c r="M126" i="7" s="1"/>
  <c r="AC127" i="7"/>
  <c r="M127" i="7" s="1"/>
  <c r="AC128" i="7"/>
  <c r="M128" i="7" s="1"/>
  <c r="AC129" i="7"/>
  <c r="M129" i="7" s="1"/>
  <c r="AC130" i="7"/>
  <c r="M130" i="7" s="1"/>
  <c r="AC131" i="7"/>
  <c r="M131" i="7" s="1"/>
  <c r="AC132" i="7"/>
  <c r="M132" i="7" s="1"/>
  <c r="AC133" i="7"/>
  <c r="M133" i="7" s="1"/>
  <c r="AC134" i="7"/>
  <c r="M134" i="7" s="1"/>
  <c r="AC135" i="7"/>
  <c r="M135" i="7" s="1"/>
  <c r="AC136" i="7"/>
  <c r="M136" i="7" s="1"/>
  <c r="AC137" i="7"/>
  <c r="M137" i="7" s="1"/>
  <c r="AC138" i="7"/>
  <c r="M138" i="7" s="1"/>
  <c r="AC139" i="7"/>
  <c r="M139" i="7" s="1"/>
  <c r="AC140" i="7"/>
  <c r="M140" i="7" s="1"/>
  <c r="AC141" i="7"/>
  <c r="M141" i="7" s="1"/>
  <c r="AC142" i="7"/>
  <c r="M142" i="7" s="1"/>
  <c r="AC143" i="7"/>
  <c r="M143" i="7" s="1"/>
  <c r="AC144" i="7"/>
  <c r="M144" i="7" s="1"/>
  <c r="AC145" i="7"/>
  <c r="M145" i="7" s="1"/>
  <c r="AC146" i="7"/>
  <c r="M146" i="7" s="1"/>
  <c r="AC147" i="7"/>
  <c r="M147" i="7" s="1"/>
  <c r="AC148" i="7"/>
  <c r="M148" i="7" s="1"/>
  <c r="AC149" i="7"/>
  <c r="M149" i="7" s="1"/>
  <c r="AC150" i="7"/>
  <c r="M150" i="7" s="1"/>
  <c r="AC151" i="7"/>
  <c r="M151" i="7" s="1"/>
  <c r="AC152" i="7"/>
  <c r="M152" i="7" s="1"/>
  <c r="AC153" i="7"/>
  <c r="M153" i="7" s="1"/>
  <c r="AC154" i="7"/>
  <c r="M154" i="7" s="1"/>
  <c r="AC155" i="7"/>
  <c r="M155" i="7" s="1"/>
  <c r="AC156" i="7"/>
  <c r="M156" i="7" s="1"/>
  <c r="AC157" i="7"/>
  <c r="M157" i="7" s="1"/>
  <c r="AC158" i="7"/>
  <c r="M158" i="7" s="1"/>
  <c r="AC159" i="7"/>
  <c r="M159" i="7" s="1"/>
  <c r="AC160" i="7"/>
  <c r="M160" i="7" s="1"/>
  <c r="AC161" i="7"/>
  <c r="M161" i="7" s="1"/>
  <c r="AC162" i="7"/>
  <c r="M162" i="7" s="1"/>
  <c r="AC163" i="7"/>
  <c r="M163" i="7" s="1"/>
  <c r="AC164" i="7"/>
  <c r="M164" i="7" s="1"/>
  <c r="AC165" i="7"/>
  <c r="M165" i="7" s="1"/>
  <c r="AC166" i="7"/>
  <c r="M166" i="7" s="1"/>
  <c r="AC167" i="7"/>
  <c r="M167" i="7" s="1"/>
  <c r="AC168" i="7"/>
  <c r="M168" i="7" s="1"/>
  <c r="AC169" i="7"/>
  <c r="M169" i="7" s="1"/>
  <c r="AC170" i="7"/>
  <c r="M170" i="7" s="1"/>
  <c r="AC171" i="7"/>
  <c r="M171" i="7" s="1"/>
  <c r="AC172" i="7"/>
  <c r="M172" i="7" s="1"/>
  <c r="AC173" i="7"/>
  <c r="M173" i="7" s="1"/>
  <c r="AC174" i="7"/>
  <c r="M174" i="7" s="1"/>
  <c r="AC175" i="7"/>
  <c r="M175" i="7" s="1"/>
  <c r="AC176" i="7"/>
  <c r="M176" i="7" s="1"/>
  <c r="AC177" i="7"/>
  <c r="M177" i="7" s="1"/>
  <c r="AC178" i="7"/>
  <c r="M178" i="7" s="1"/>
  <c r="AC179" i="7"/>
  <c r="M179" i="7" s="1"/>
  <c r="AC180" i="7"/>
  <c r="M180" i="7" s="1"/>
  <c r="AC181" i="7"/>
  <c r="M181" i="7" s="1"/>
  <c r="AC182" i="7"/>
  <c r="M182" i="7" s="1"/>
  <c r="AC183" i="7"/>
  <c r="M183" i="7" s="1"/>
  <c r="AC184" i="7"/>
  <c r="M184" i="7" s="1"/>
  <c r="AC185" i="7"/>
  <c r="M185" i="7" s="1"/>
  <c r="AC186" i="7"/>
  <c r="M186" i="7" s="1"/>
  <c r="AC187" i="7"/>
  <c r="M187" i="7" s="1"/>
  <c r="AC188" i="7"/>
  <c r="M188" i="7" s="1"/>
  <c r="AC189" i="7"/>
  <c r="M189" i="7" s="1"/>
  <c r="AC190" i="7"/>
  <c r="M190" i="7" s="1"/>
  <c r="AC191" i="7"/>
  <c r="M191" i="7" s="1"/>
  <c r="AC192" i="7"/>
  <c r="M192" i="7" s="1"/>
  <c r="AC193" i="7"/>
  <c r="M193" i="7" s="1"/>
  <c r="AC194" i="7"/>
  <c r="M194" i="7" s="1"/>
  <c r="AC195" i="7"/>
  <c r="M195" i="7" s="1"/>
  <c r="AC196" i="7"/>
  <c r="M196" i="7" s="1"/>
  <c r="AC197" i="7"/>
  <c r="M197" i="7" s="1"/>
  <c r="AC198" i="7"/>
  <c r="M198" i="7" s="1"/>
  <c r="AC199" i="7"/>
  <c r="M199" i="7" s="1"/>
  <c r="AC200" i="7"/>
  <c r="M200" i="7" s="1"/>
  <c r="AC201" i="7"/>
  <c r="M201" i="7" s="1"/>
  <c r="AC202" i="7"/>
  <c r="M202" i="7" s="1"/>
  <c r="AC203" i="7"/>
  <c r="M203" i="7" s="1"/>
  <c r="AC204" i="7"/>
  <c r="M204" i="7" s="1"/>
  <c r="AC205" i="7"/>
  <c r="M205" i="7" s="1"/>
  <c r="AC206" i="7"/>
  <c r="M206" i="7" s="1"/>
  <c r="AC207" i="7"/>
  <c r="M207" i="7" s="1"/>
  <c r="AC208" i="7"/>
  <c r="M208" i="7" s="1"/>
  <c r="AC209" i="7"/>
  <c r="M209" i="7" s="1"/>
  <c r="AC210" i="7"/>
  <c r="M210" i="7" s="1"/>
  <c r="AC211" i="7"/>
  <c r="M211" i="7" s="1"/>
  <c r="AC212" i="7"/>
  <c r="M212" i="7" s="1"/>
  <c r="AC213" i="7"/>
  <c r="M213" i="7" s="1"/>
  <c r="AC214" i="7"/>
  <c r="M214" i="7" s="1"/>
  <c r="AC215" i="7"/>
  <c r="M215" i="7" s="1"/>
  <c r="AC216" i="7"/>
  <c r="M216" i="7" s="1"/>
  <c r="AC217" i="7"/>
  <c r="M217" i="7" s="1"/>
  <c r="AC218" i="7"/>
  <c r="M218" i="7" s="1"/>
  <c r="AC219" i="7"/>
  <c r="M219" i="7" s="1"/>
  <c r="AC220" i="7"/>
  <c r="M220" i="7" s="1"/>
  <c r="AC221" i="7"/>
  <c r="M221" i="7" s="1"/>
  <c r="AC222" i="7"/>
  <c r="M222" i="7" s="1"/>
  <c r="AC223" i="7"/>
  <c r="M223" i="7" s="1"/>
  <c r="AC224" i="7"/>
  <c r="M224" i="7" s="1"/>
  <c r="AC225" i="7"/>
  <c r="M225" i="7" s="1"/>
  <c r="AC226" i="7"/>
  <c r="M226" i="7" s="1"/>
  <c r="AC227" i="7"/>
  <c r="M227" i="7" s="1"/>
  <c r="AC228" i="7"/>
  <c r="M228" i="7" s="1"/>
  <c r="AC229" i="7"/>
  <c r="M229" i="7" s="1"/>
  <c r="AC230" i="7"/>
  <c r="M230" i="7" s="1"/>
  <c r="AC231" i="7"/>
  <c r="M231" i="7" s="1"/>
  <c r="AC232" i="7"/>
  <c r="M232" i="7" s="1"/>
  <c r="AC233" i="7"/>
  <c r="M233" i="7" s="1"/>
  <c r="AC234" i="7"/>
  <c r="M234" i="7" s="1"/>
  <c r="AC235" i="7"/>
  <c r="M235" i="7" s="1"/>
  <c r="AC236" i="7"/>
  <c r="M236" i="7" s="1"/>
  <c r="AC237" i="7"/>
  <c r="M237" i="7" s="1"/>
  <c r="AC238" i="7"/>
  <c r="M238" i="7" s="1"/>
  <c r="AC239" i="7"/>
  <c r="M239" i="7" s="1"/>
  <c r="AC240" i="7"/>
  <c r="M240" i="7" s="1"/>
  <c r="AC241" i="7"/>
  <c r="M241" i="7" s="1"/>
  <c r="AC242" i="7"/>
  <c r="M242" i="7" s="1"/>
  <c r="AC243" i="7"/>
  <c r="M243" i="7" s="1"/>
  <c r="AC244" i="7"/>
  <c r="M244" i="7" s="1"/>
  <c r="AC245" i="7"/>
  <c r="M245" i="7" s="1"/>
  <c r="AC246" i="7"/>
  <c r="M246" i="7" s="1"/>
  <c r="AC247" i="7"/>
  <c r="M247" i="7" s="1"/>
  <c r="AC248" i="7"/>
  <c r="M248" i="7" s="1"/>
  <c r="AC249" i="7"/>
  <c r="M249" i="7" s="1"/>
  <c r="AC250" i="7"/>
  <c r="M250" i="7" s="1"/>
  <c r="AC251" i="7"/>
  <c r="M251" i="7" s="1"/>
  <c r="AC252" i="7"/>
  <c r="M252" i="7" s="1"/>
  <c r="AC253" i="7"/>
  <c r="M253" i="7" s="1"/>
  <c r="AC254" i="7"/>
  <c r="M254" i="7" s="1"/>
  <c r="AC255" i="7"/>
  <c r="M255" i="7" s="1"/>
  <c r="AC256" i="7"/>
  <c r="M256" i="7" s="1"/>
  <c r="AC257" i="7"/>
  <c r="M257" i="7" s="1"/>
  <c r="AC258" i="7"/>
  <c r="M258" i="7" s="1"/>
  <c r="AC259" i="7"/>
  <c r="M259" i="7" s="1"/>
  <c r="AC260" i="7"/>
  <c r="M260" i="7" s="1"/>
  <c r="AC261" i="7"/>
  <c r="M261" i="7" s="1"/>
  <c r="AC262" i="7"/>
  <c r="M262" i="7" s="1"/>
  <c r="AC263" i="7"/>
  <c r="M263" i="7" s="1"/>
  <c r="AC264" i="7"/>
  <c r="M264" i="7" s="1"/>
  <c r="AC265" i="7"/>
  <c r="M265" i="7" s="1"/>
  <c r="AC266" i="7"/>
  <c r="M266" i="7" s="1"/>
  <c r="AC267" i="7"/>
  <c r="M267" i="7" s="1"/>
  <c r="AC268" i="7"/>
  <c r="M268" i="7" s="1"/>
  <c r="AC269" i="7"/>
  <c r="M269" i="7" s="1"/>
  <c r="AC270" i="7"/>
  <c r="M270" i="7" s="1"/>
  <c r="AC271" i="7"/>
  <c r="M271" i="7" s="1"/>
  <c r="AC272" i="7"/>
  <c r="M272" i="7" s="1"/>
  <c r="AC273" i="7"/>
  <c r="M273" i="7" s="1"/>
  <c r="AC274" i="7"/>
  <c r="M274" i="7" s="1"/>
  <c r="AC275" i="7"/>
  <c r="M275" i="7" s="1"/>
  <c r="AC276" i="7"/>
  <c r="M276" i="7" s="1"/>
  <c r="AC277" i="7"/>
  <c r="M277" i="7" s="1"/>
  <c r="AC278" i="7"/>
  <c r="M278" i="7" s="1"/>
  <c r="AC279" i="7"/>
  <c r="M279" i="7" s="1"/>
  <c r="AC280" i="7"/>
  <c r="M280" i="7" s="1"/>
  <c r="AC281" i="7"/>
  <c r="M281" i="7" s="1"/>
  <c r="AC282" i="7"/>
  <c r="M282" i="7" s="1"/>
  <c r="AC283" i="7"/>
  <c r="M283" i="7" s="1"/>
  <c r="AC284" i="7"/>
  <c r="M284" i="7" s="1"/>
  <c r="AC285" i="7"/>
  <c r="M285" i="7" s="1"/>
  <c r="AC286" i="7"/>
  <c r="M286" i="7" s="1"/>
  <c r="AC287" i="7"/>
  <c r="M287" i="7" s="1"/>
  <c r="AC288" i="7"/>
  <c r="M288" i="7" s="1"/>
  <c r="AC289" i="7"/>
  <c r="M289" i="7" s="1"/>
  <c r="AC290" i="7"/>
  <c r="M290" i="7" s="1"/>
  <c r="AC291" i="7"/>
  <c r="M291" i="7" s="1"/>
  <c r="AC292" i="7"/>
  <c r="M292" i="7" s="1"/>
  <c r="AC293" i="7"/>
  <c r="M293" i="7" s="1"/>
  <c r="AC294" i="7"/>
  <c r="M294" i="7" s="1"/>
  <c r="AC295" i="7"/>
  <c r="M295" i="7" s="1"/>
  <c r="AC296" i="7"/>
  <c r="M296" i="7" s="1"/>
  <c r="AC297" i="7"/>
  <c r="M297" i="7" s="1"/>
  <c r="AC298" i="7"/>
  <c r="M298" i="7" s="1"/>
  <c r="AC299" i="7"/>
  <c r="M299" i="7" s="1"/>
  <c r="AC300" i="7"/>
  <c r="M300" i="7" s="1"/>
  <c r="AC301" i="7"/>
  <c r="M301" i="7" s="1"/>
  <c r="AC302" i="7"/>
  <c r="M302" i="7" s="1"/>
  <c r="AC303" i="7"/>
  <c r="M303" i="7" s="1"/>
  <c r="AC304" i="7"/>
  <c r="M304" i="7" s="1"/>
  <c r="AD5" i="7"/>
  <c r="AC5" i="7"/>
  <c r="M5" i="7" s="1"/>
  <c r="AA6" i="7"/>
  <c r="K6" i="7" s="1"/>
  <c r="AA7" i="7"/>
  <c r="K7" i="7" s="1"/>
  <c r="AA8" i="7"/>
  <c r="K8" i="7" s="1"/>
  <c r="AA9" i="7"/>
  <c r="K9" i="7" s="1"/>
  <c r="AA10" i="7"/>
  <c r="K10" i="7" s="1"/>
  <c r="AA11" i="7"/>
  <c r="K11" i="7" s="1"/>
  <c r="AA12" i="7"/>
  <c r="K12" i="7" s="1"/>
  <c r="AA13" i="7"/>
  <c r="K13" i="7" s="1"/>
  <c r="AA14" i="7"/>
  <c r="K14" i="7" s="1"/>
  <c r="AA15" i="7"/>
  <c r="K15" i="7" s="1"/>
  <c r="AA16" i="7"/>
  <c r="K16" i="7" s="1"/>
  <c r="AA17" i="7"/>
  <c r="K17" i="7" s="1"/>
  <c r="AA18" i="7"/>
  <c r="K18" i="7" s="1"/>
  <c r="AA19" i="7"/>
  <c r="K19" i="7" s="1"/>
  <c r="AA20" i="7"/>
  <c r="K20" i="7" s="1"/>
  <c r="AA21" i="7"/>
  <c r="K21" i="7" s="1"/>
  <c r="AA22" i="7"/>
  <c r="K22" i="7" s="1"/>
  <c r="AA23" i="7"/>
  <c r="K23" i="7" s="1"/>
  <c r="AA24" i="7"/>
  <c r="K24" i="7" s="1"/>
  <c r="AA25" i="7"/>
  <c r="K25" i="7" s="1"/>
  <c r="AA26" i="7"/>
  <c r="K26" i="7" s="1"/>
  <c r="AA27" i="7"/>
  <c r="K27" i="7" s="1"/>
  <c r="AA28" i="7"/>
  <c r="K28" i="7" s="1"/>
  <c r="AA29" i="7"/>
  <c r="K29" i="7" s="1"/>
  <c r="AA30" i="7"/>
  <c r="K30" i="7" s="1"/>
  <c r="AA31" i="7"/>
  <c r="K31" i="7" s="1"/>
  <c r="AA32" i="7"/>
  <c r="K32" i="7" s="1"/>
  <c r="AA33" i="7"/>
  <c r="K33" i="7" s="1"/>
  <c r="AA34" i="7"/>
  <c r="K34" i="7" s="1"/>
  <c r="AA35" i="7"/>
  <c r="K35" i="7" s="1"/>
  <c r="AA36" i="7"/>
  <c r="K36" i="7" s="1"/>
  <c r="AA37" i="7"/>
  <c r="K37" i="7" s="1"/>
  <c r="AA38" i="7"/>
  <c r="K38" i="7" s="1"/>
  <c r="AA39" i="7"/>
  <c r="K39" i="7" s="1"/>
  <c r="AA40" i="7"/>
  <c r="K40" i="7" s="1"/>
  <c r="AA41" i="7"/>
  <c r="K41" i="7" s="1"/>
  <c r="AA42" i="7"/>
  <c r="K42" i="7" s="1"/>
  <c r="AA43" i="7"/>
  <c r="K43" i="7" s="1"/>
  <c r="AA44" i="7"/>
  <c r="K44" i="7" s="1"/>
  <c r="AA45" i="7"/>
  <c r="K45" i="7" s="1"/>
  <c r="AA46" i="7"/>
  <c r="K46" i="7" s="1"/>
  <c r="AA47" i="7"/>
  <c r="K47" i="7" s="1"/>
  <c r="AA48" i="7"/>
  <c r="K48" i="7" s="1"/>
  <c r="AA49" i="7"/>
  <c r="K49" i="7" s="1"/>
  <c r="AA50" i="7"/>
  <c r="K50" i="7" s="1"/>
  <c r="AA51" i="7"/>
  <c r="K51" i="7" s="1"/>
  <c r="AA52" i="7"/>
  <c r="K52" i="7" s="1"/>
  <c r="AA53" i="7"/>
  <c r="K53" i="7" s="1"/>
  <c r="AA54" i="7"/>
  <c r="K54" i="7" s="1"/>
  <c r="AA55" i="7"/>
  <c r="K55" i="7" s="1"/>
  <c r="AA56" i="7"/>
  <c r="K56" i="7" s="1"/>
  <c r="AA57" i="7"/>
  <c r="K57" i="7" s="1"/>
  <c r="AA58" i="7"/>
  <c r="K58" i="7" s="1"/>
  <c r="AA59" i="7"/>
  <c r="K59" i="7" s="1"/>
  <c r="AA60" i="7"/>
  <c r="K60" i="7" s="1"/>
  <c r="AA61" i="7"/>
  <c r="K61" i="7" s="1"/>
  <c r="AA62" i="7"/>
  <c r="K62" i="7" s="1"/>
  <c r="AA63" i="7"/>
  <c r="K63" i="7" s="1"/>
  <c r="AA64" i="7"/>
  <c r="K64" i="7" s="1"/>
  <c r="AA65" i="7"/>
  <c r="K65" i="7" s="1"/>
  <c r="AA66" i="7"/>
  <c r="K66" i="7" s="1"/>
  <c r="AA67" i="7"/>
  <c r="K67" i="7" s="1"/>
  <c r="AA68" i="7"/>
  <c r="K68" i="7" s="1"/>
  <c r="AA69" i="7"/>
  <c r="K69" i="7" s="1"/>
  <c r="AA70" i="7"/>
  <c r="K70" i="7" s="1"/>
  <c r="AA71" i="7"/>
  <c r="K71" i="7" s="1"/>
  <c r="AA72" i="7"/>
  <c r="K72" i="7" s="1"/>
  <c r="AA73" i="7"/>
  <c r="K73" i="7" s="1"/>
  <c r="AA74" i="7"/>
  <c r="K74" i="7" s="1"/>
  <c r="AA75" i="7"/>
  <c r="K75" i="7" s="1"/>
  <c r="AA76" i="7"/>
  <c r="K76" i="7" s="1"/>
  <c r="AA77" i="7"/>
  <c r="K77" i="7" s="1"/>
  <c r="AA78" i="7"/>
  <c r="K78" i="7" s="1"/>
  <c r="AA79" i="7"/>
  <c r="K79" i="7" s="1"/>
  <c r="AA80" i="7"/>
  <c r="K80" i="7" s="1"/>
  <c r="AA81" i="7"/>
  <c r="K81" i="7" s="1"/>
  <c r="AA82" i="7"/>
  <c r="K82" i="7" s="1"/>
  <c r="AA83" i="7"/>
  <c r="K83" i="7" s="1"/>
  <c r="AA84" i="7"/>
  <c r="K84" i="7" s="1"/>
  <c r="AA85" i="7"/>
  <c r="K85" i="7" s="1"/>
  <c r="AA86" i="7"/>
  <c r="K86" i="7" s="1"/>
  <c r="AA87" i="7"/>
  <c r="K87" i="7" s="1"/>
  <c r="AA88" i="7"/>
  <c r="K88" i="7" s="1"/>
  <c r="AA89" i="7"/>
  <c r="K89" i="7" s="1"/>
  <c r="AA90" i="7"/>
  <c r="K90" i="7" s="1"/>
  <c r="AA91" i="7"/>
  <c r="K91" i="7" s="1"/>
  <c r="AA92" i="7"/>
  <c r="K92" i="7" s="1"/>
  <c r="AA93" i="7"/>
  <c r="K93" i="7" s="1"/>
  <c r="AA94" i="7"/>
  <c r="K94" i="7" s="1"/>
  <c r="AA95" i="7"/>
  <c r="K95" i="7" s="1"/>
  <c r="AA96" i="7"/>
  <c r="K96" i="7" s="1"/>
  <c r="AA97" i="7"/>
  <c r="K97" i="7" s="1"/>
  <c r="AA98" i="7"/>
  <c r="K98" i="7" s="1"/>
  <c r="AA99" i="7"/>
  <c r="K99" i="7" s="1"/>
  <c r="AA100" i="7"/>
  <c r="K100" i="7" s="1"/>
  <c r="AA101" i="7"/>
  <c r="K101" i="7" s="1"/>
  <c r="AA102" i="7"/>
  <c r="K102" i="7" s="1"/>
  <c r="AA103" i="7"/>
  <c r="K103" i="7" s="1"/>
  <c r="AA104" i="7"/>
  <c r="K104" i="7" s="1"/>
  <c r="AA105" i="7"/>
  <c r="K105" i="7" s="1"/>
  <c r="AA106" i="7"/>
  <c r="K106" i="7" s="1"/>
  <c r="AA107" i="7"/>
  <c r="K107" i="7" s="1"/>
  <c r="AA108" i="7"/>
  <c r="K108" i="7" s="1"/>
  <c r="AA109" i="7"/>
  <c r="K109" i="7" s="1"/>
  <c r="AA110" i="7"/>
  <c r="K110" i="7" s="1"/>
  <c r="AA111" i="7"/>
  <c r="K111" i="7" s="1"/>
  <c r="AA112" i="7"/>
  <c r="K112" i="7" s="1"/>
  <c r="AA113" i="7"/>
  <c r="K113" i="7" s="1"/>
  <c r="AA114" i="7"/>
  <c r="K114" i="7" s="1"/>
  <c r="AA115" i="7"/>
  <c r="K115" i="7" s="1"/>
  <c r="AA116" i="7"/>
  <c r="K116" i="7" s="1"/>
  <c r="AA117" i="7"/>
  <c r="K117" i="7" s="1"/>
  <c r="AA118" i="7"/>
  <c r="K118" i="7" s="1"/>
  <c r="AA119" i="7"/>
  <c r="K119" i="7" s="1"/>
  <c r="AA120" i="7"/>
  <c r="K120" i="7" s="1"/>
  <c r="AA121" i="7"/>
  <c r="K121" i="7" s="1"/>
  <c r="AA122" i="7"/>
  <c r="K122" i="7" s="1"/>
  <c r="AA123" i="7"/>
  <c r="K123" i="7" s="1"/>
  <c r="AA124" i="7"/>
  <c r="K124" i="7" s="1"/>
  <c r="AA125" i="7"/>
  <c r="K125" i="7" s="1"/>
  <c r="AA126" i="7"/>
  <c r="K126" i="7" s="1"/>
  <c r="AA127" i="7"/>
  <c r="K127" i="7" s="1"/>
  <c r="AA128" i="7"/>
  <c r="K128" i="7" s="1"/>
  <c r="AA129" i="7"/>
  <c r="K129" i="7" s="1"/>
  <c r="AA130" i="7"/>
  <c r="K130" i="7" s="1"/>
  <c r="AA131" i="7"/>
  <c r="K131" i="7" s="1"/>
  <c r="AA132" i="7"/>
  <c r="K132" i="7" s="1"/>
  <c r="AA133" i="7"/>
  <c r="K133" i="7" s="1"/>
  <c r="AA134" i="7"/>
  <c r="K134" i="7" s="1"/>
  <c r="AA135" i="7"/>
  <c r="K135" i="7" s="1"/>
  <c r="AA136" i="7"/>
  <c r="K136" i="7" s="1"/>
  <c r="AA137" i="7"/>
  <c r="K137" i="7" s="1"/>
  <c r="AA138" i="7"/>
  <c r="K138" i="7" s="1"/>
  <c r="AA139" i="7"/>
  <c r="K139" i="7" s="1"/>
  <c r="AA140" i="7"/>
  <c r="K140" i="7" s="1"/>
  <c r="AA141" i="7"/>
  <c r="K141" i="7" s="1"/>
  <c r="AA142" i="7"/>
  <c r="K142" i="7" s="1"/>
  <c r="AA143" i="7"/>
  <c r="K143" i="7" s="1"/>
  <c r="AA144" i="7"/>
  <c r="K144" i="7" s="1"/>
  <c r="AA145" i="7"/>
  <c r="K145" i="7" s="1"/>
  <c r="AA146" i="7"/>
  <c r="K146" i="7" s="1"/>
  <c r="AA147" i="7"/>
  <c r="K147" i="7" s="1"/>
  <c r="AA148" i="7"/>
  <c r="K148" i="7" s="1"/>
  <c r="AA149" i="7"/>
  <c r="K149" i="7" s="1"/>
  <c r="AA150" i="7"/>
  <c r="K150" i="7" s="1"/>
  <c r="AA151" i="7"/>
  <c r="K151" i="7" s="1"/>
  <c r="AA152" i="7"/>
  <c r="K152" i="7" s="1"/>
  <c r="AA153" i="7"/>
  <c r="K153" i="7" s="1"/>
  <c r="AA154" i="7"/>
  <c r="K154" i="7" s="1"/>
  <c r="AA155" i="7"/>
  <c r="K155" i="7" s="1"/>
  <c r="AA156" i="7"/>
  <c r="K156" i="7" s="1"/>
  <c r="AA157" i="7"/>
  <c r="K157" i="7" s="1"/>
  <c r="AA158" i="7"/>
  <c r="K158" i="7" s="1"/>
  <c r="AA159" i="7"/>
  <c r="K159" i="7" s="1"/>
  <c r="AA160" i="7"/>
  <c r="K160" i="7" s="1"/>
  <c r="AA161" i="7"/>
  <c r="K161" i="7" s="1"/>
  <c r="AA162" i="7"/>
  <c r="K162" i="7" s="1"/>
  <c r="AA163" i="7"/>
  <c r="K163" i="7" s="1"/>
  <c r="AA164" i="7"/>
  <c r="K164" i="7" s="1"/>
  <c r="AA165" i="7"/>
  <c r="K165" i="7" s="1"/>
  <c r="AA166" i="7"/>
  <c r="K166" i="7" s="1"/>
  <c r="AA167" i="7"/>
  <c r="K167" i="7" s="1"/>
  <c r="AA168" i="7"/>
  <c r="K168" i="7" s="1"/>
  <c r="AA169" i="7"/>
  <c r="K169" i="7" s="1"/>
  <c r="AA170" i="7"/>
  <c r="K170" i="7" s="1"/>
  <c r="AA171" i="7"/>
  <c r="K171" i="7" s="1"/>
  <c r="AA172" i="7"/>
  <c r="K172" i="7" s="1"/>
  <c r="AA173" i="7"/>
  <c r="K173" i="7" s="1"/>
  <c r="AA174" i="7"/>
  <c r="K174" i="7" s="1"/>
  <c r="AA175" i="7"/>
  <c r="K175" i="7" s="1"/>
  <c r="AA176" i="7"/>
  <c r="K176" i="7" s="1"/>
  <c r="AA177" i="7"/>
  <c r="K177" i="7" s="1"/>
  <c r="AA178" i="7"/>
  <c r="K178" i="7" s="1"/>
  <c r="AA179" i="7"/>
  <c r="K179" i="7" s="1"/>
  <c r="AA180" i="7"/>
  <c r="K180" i="7" s="1"/>
  <c r="AA181" i="7"/>
  <c r="K181" i="7" s="1"/>
  <c r="AA182" i="7"/>
  <c r="K182" i="7" s="1"/>
  <c r="AA183" i="7"/>
  <c r="K183" i="7" s="1"/>
  <c r="AA184" i="7"/>
  <c r="K184" i="7" s="1"/>
  <c r="AA185" i="7"/>
  <c r="K185" i="7" s="1"/>
  <c r="AA186" i="7"/>
  <c r="K186" i="7" s="1"/>
  <c r="AA187" i="7"/>
  <c r="K187" i="7" s="1"/>
  <c r="AA188" i="7"/>
  <c r="K188" i="7" s="1"/>
  <c r="AA189" i="7"/>
  <c r="K189" i="7" s="1"/>
  <c r="AA190" i="7"/>
  <c r="K190" i="7" s="1"/>
  <c r="AA191" i="7"/>
  <c r="K191" i="7" s="1"/>
  <c r="AA192" i="7"/>
  <c r="K192" i="7" s="1"/>
  <c r="AA193" i="7"/>
  <c r="K193" i="7" s="1"/>
  <c r="AA194" i="7"/>
  <c r="K194" i="7" s="1"/>
  <c r="AA195" i="7"/>
  <c r="K195" i="7" s="1"/>
  <c r="AA196" i="7"/>
  <c r="K196" i="7" s="1"/>
  <c r="AA197" i="7"/>
  <c r="K197" i="7" s="1"/>
  <c r="AA198" i="7"/>
  <c r="K198" i="7" s="1"/>
  <c r="AA199" i="7"/>
  <c r="K199" i="7" s="1"/>
  <c r="AA200" i="7"/>
  <c r="K200" i="7" s="1"/>
  <c r="AA201" i="7"/>
  <c r="K201" i="7" s="1"/>
  <c r="AA202" i="7"/>
  <c r="K202" i="7" s="1"/>
  <c r="AA203" i="7"/>
  <c r="K203" i="7" s="1"/>
  <c r="AA204" i="7"/>
  <c r="K204" i="7" s="1"/>
  <c r="AA205" i="7"/>
  <c r="K205" i="7" s="1"/>
  <c r="AA206" i="7"/>
  <c r="K206" i="7" s="1"/>
  <c r="AA207" i="7"/>
  <c r="K207" i="7" s="1"/>
  <c r="AA208" i="7"/>
  <c r="K208" i="7" s="1"/>
  <c r="AA209" i="7"/>
  <c r="K209" i="7" s="1"/>
  <c r="AA210" i="7"/>
  <c r="K210" i="7" s="1"/>
  <c r="AA211" i="7"/>
  <c r="K211" i="7" s="1"/>
  <c r="AA212" i="7"/>
  <c r="K212" i="7" s="1"/>
  <c r="AA213" i="7"/>
  <c r="K213" i="7" s="1"/>
  <c r="AA214" i="7"/>
  <c r="K214" i="7" s="1"/>
  <c r="AA215" i="7"/>
  <c r="K215" i="7" s="1"/>
  <c r="AA216" i="7"/>
  <c r="K216" i="7" s="1"/>
  <c r="AA217" i="7"/>
  <c r="K217" i="7" s="1"/>
  <c r="AA218" i="7"/>
  <c r="K218" i="7" s="1"/>
  <c r="AA219" i="7"/>
  <c r="K219" i="7" s="1"/>
  <c r="AA220" i="7"/>
  <c r="K220" i="7" s="1"/>
  <c r="AA221" i="7"/>
  <c r="K221" i="7" s="1"/>
  <c r="AA222" i="7"/>
  <c r="K222" i="7" s="1"/>
  <c r="AA223" i="7"/>
  <c r="K223" i="7" s="1"/>
  <c r="AA224" i="7"/>
  <c r="K224" i="7" s="1"/>
  <c r="AA225" i="7"/>
  <c r="K225" i="7" s="1"/>
  <c r="AA226" i="7"/>
  <c r="K226" i="7" s="1"/>
  <c r="AA227" i="7"/>
  <c r="K227" i="7" s="1"/>
  <c r="AA228" i="7"/>
  <c r="K228" i="7" s="1"/>
  <c r="AA229" i="7"/>
  <c r="K229" i="7" s="1"/>
  <c r="AA230" i="7"/>
  <c r="K230" i="7" s="1"/>
  <c r="AA231" i="7"/>
  <c r="K231" i="7" s="1"/>
  <c r="AA232" i="7"/>
  <c r="K232" i="7" s="1"/>
  <c r="AA233" i="7"/>
  <c r="K233" i="7" s="1"/>
  <c r="AA234" i="7"/>
  <c r="K234" i="7" s="1"/>
  <c r="AA235" i="7"/>
  <c r="K235" i="7" s="1"/>
  <c r="AA236" i="7"/>
  <c r="K236" i="7" s="1"/>
  <c r="AA237" i="7"/>
  <c r="K237" i="7" s="1"/>
  <c r="AA238" i="7"/>
  <c r="K238" i="7" s="1"/>
  <c r="AA239" i="7"/>
  <c r="K239" i="7" s="1"/>
  <c r="AA240" i="7"/>
  <c r="K240" i="7" s="1"/>
  <c r="AA241" i="7"/>
  <c r="K241" i="7" s="1"/>
  <c r="AA242" i="7"/>
  <c r="K242" i="7" s="1"/>
  <c r="AA243" i="7"/>
  <c r="K243" i="7" s="1"/>
  <c r="AA244" i="7"/>
  <c r="K244" i="7" s="1"/>
  <c r="AA245" i="7"/>
  <c r="K245" i="7" s="1"/>
  <c r="AA246" i="7"/>
  <c r="K246" i="7" s="1"/>
  <c r="AA247" i="7"/>
  <c r="K247" i="7" s="1"/>
  <c r="AA248" i="7"/>
  <c r="K248" i="7" s="1"/>
  <c r="AA249" i="7"/>
  <c r="K249" i="7" s="1"/>
  <c r="AA250" i="7"/>
  <c r="K250" i="7" s="1"/>
  <c r="AA251" i="7"/>
  <c r="K251" i="7" s="1"/>
  <c r="AA252" i="7"/>
  <c r="K252" i="7" s="1"/>
  <c r="AA253" i="7"/>
  <c r="K253" i="7" s="1"/>
  <c r="AA254" i="7"/>
  <c r="K254" i="7" s="1"/>
  <c r="AA255" i="7"/>
  <c r="K255" i="7" s="1"/>
  <c r="AA256" i="7"/>
  <c r="K256" i="7" s="1"/>
  <c r="AA257" i="7"/>
  <c r="K257" i="7" s="1"/>
  <c r="AA258" i="7"/>
  <c r="K258" i="7" s="1"/>
  <c r="AA259" i="7"/>
  <c r="K259" i="7" s="1"/>
  <c r="AA260" i="7"/>
  <c r="K260" i="7" s="1"/>
  <c r="AA261" i="7"/>
  <c r="K261" i="7" s="1"/>
  <c r="AA262" i="7"/>
  <c r="K262" i="7" s="1"/>
  <c r="AA263" i="7"/>
  <c r="K263" i="7" s="1"/>
  <c r="AA264" i="7"/>
  <c r="K264" i="7" s="1"/>
  <c r="AA265" i="7"/>
  <c r="K265" i="7" s="1"/>
  <c r="AA266" i="7"/>
  <c r="K266" i="7" s="1"/>
  <c r="AA267" i="7"/>
  <c r="K267" i="7" s="1"/>
  <c r="AA268" i="7"/>
  <c r="K268" i="7" s="1"/>
  <c r="AA269" i="7"/>
  <c r="K269" i="7" s="1"/>
  <c r="AA270" i="7"/>
  <c r="K270" i="7" s="1"/>
  <c r="AA271" i="7"/>
  <c r="K271" i="7" s="1"/>
  <c r="AA272" i="7"/>
  <c r="K272" i="7" s="1"/>
  <c r="AA273" i="7"/>
  <c r="K273" i="7" s="1"/>
  <c r="AA274" i="7"/>
  <c r="K274" i="7" s="1"/>
  <c r="AA275" i="7"/>
  <c r="K275" i="7" s="1"/>
  <c r="AA276" i="7"/>
  <c r="K276" i="7" s="1"/>
  <c r="AA277" i="7"/>
  <c r="K277" i="7" s="1"/>
  <c r="AA278" i="7"/>
  <c r="K278" i="7" s="1"/>
  <c r="AA279" i="7"/>
  <c r="K279" i="7" s="1"/>
  <c r="AA280" i="7"/>
  <c r="K280" i="7" s="1"/>
  <c r="AA281" i="7"/>
  <c r="K281" i="7" s="1"/>
  <c r="AA282" i="7"/>
  <c r="K282" i="7" s="1"/>
  <c r="AA283" i="7"/>
  <c r="K283" i="7" s="1"/>
  <c r="AA284" i="7"/>
  <c r="K284" i="7" s="1"/>
  <c r="AA285" i="7"/>
  <c r="K285" i="7" s="1"/>
  <c r="AA286" i="7"/>
  <c r="K286" i="7" s="1"/>
  <c r="AA287" i="7"/>
  <c r="K287" i="7" s="1"/>
  <c r="AA288" i="7"/>
  <c r="K288" i="7" s="1"/>
  <c r="AA289" i="7"/>
  <c r="K289" i="7" s="1"/>
  <c r="AA290" i="7"/>
  <c r="K290" i="7" s="1"/>
  <c r="AA291" i="7"/>
  <c r="K291" i="7" s="1"/>
  <c r="AA292" i="7"/>
  <c r="K292" i="7" s="1"/>
  <c r="AA293" i="7"/>
  <c r="K293" i="7" s="1"/>
  <c r="AA294" i="7"/>
  <c r="K294" i="7" s="1"/>
  <c r="AA295" i="7"/>
  <c r="K295" i="7" s="1"/>
  <c r="AA296" i="7"/>
  <c r="K296" i="7" s="1"/>
  <c r="AA297" i="7"/>
  <c r="K297" i="7" s="1"/>
  <c r="AA298" i="7"/>
  <c r="K298" i="7" s="1"/>
  <c r="AA299" i="7"/>
  <c r="K299" i="7" s="1"/>
  <c r="AA300" i="7"/>
  <c r="K300" i="7" s="1"/>
  <c r="AA301" i="7"/>
  <c r="K301" i="7" s="1"/>
  <c r="AA302" i="7"/>
  <c r="K302" i="7" s="1"/>
  <c r="AA303" i="7"/>
  <c r="K303" i="7" s="1"/>
  <c r="AA304" i="7"/>
  <c r="K304" i="7" s="1"/>
  <c r="AT6" i="7"/>
  <c r="AQ6" i="11" s="1"/>
  <c r="AT7" i="7"/>
  <c r="AQ7" i="11" s="1"/>
  <c r="AT8" i="7"/>
  <c r="AQ8" i="11" s="1"/>
  <c r="AT9" i="7"/>
  <c r="AQ9" i="11" s="1"/>
  <c r="AT10" i="7"/>
  <c r="AQ10" i="11" s="1"/>
  <c r="AT11" i="7"/>
  <c r="AQ11" i="11" s="1"/>
  <c r="AT12" i="7"/>
  <c r="AQ12" i="11" s="1"/>
  <c r="AT13" i="7"/>
  <c r="AQ13" i="11" s="1"/>
  <c r="AT14" i="7"/>
  <c r="AQ14" i="11" s="1"/>
  <c r="AT15" i="7"/>
  <c r="AQ15" i="11" s="1"/>
  <c r="AT16" i="7"/>
  <c r="AQ16" i="11" s="1"/>
  <c r="AT17" i="7"/>
  <c r="AQ17" i="11" s="1"/>
  <c r="AT18" i="7"/>
  <c r="AQ18" i="11" s="1"/>
  <c r="AT19" i="7"/>
  <c r="AQ19" i="11" s="1"/>
  <c r="AT20" i="7"/>
  <c r="AQ20" i="11" s="1"/>
  <c r="AT21" i="7"/>
  <c r="AQ21" i="11" s="1"/>
  <c r="AT22" i="7"/>
  <c r="AQ22" i="11" s="1"/>
  <c r="AT23" i="7"/>
  <c r="AQ23" i="11" s="1"/>
  <c r="AT24" i="7"/>
  <c r="AQ24" i="11" s="1"/>
  <c r="AT25" i="7"/>
  <c r="AQ25" i="11" s="1"/>
  <c r="AT26" i="7"/>
  <c r="AQ26" i="11" s="1"/>
  <c r="AT27" i="7"/>
  <c r="AQ27" i="11" s="1"/>
  <c r="AT28" i="7"/>
  <c r="AQ28" i="11" s="1"/>
  <c r="AT29" i="7"/>
  <c r="AQ29" i="11" s="1"/>
  <c r="AT30" i="7"/>
  <c r="AQ30" i="11" s="1"/>
  <c r="AT31" i="7"/>
  <c r="AQ31" i="11" s="1"/>
  <c r="AT32" i="7"/>
  <c r="AQ32" i="11" s="1"/>
  <c r="AT33" i="7"/>
  <c r="AQ33" i="11" s="1"/>
  <c r="AT34" i="7"/>
  <c r="AQ34" i="11" s="1"/>
  <c r="AT35" i="7"/>
  <c r="AQ35" i="11" s="1"/>
  <c r="AT36" i="7"/>
  <c r="AQ36" i="11" s="1"/>
  <c r="AT37" i="7"/>
  <c r="AQ37" i="11" s="1"/>
  <c r="AT38" i="7"/>
  <c r="AQ38" i="11" s="1"/>
  <c r="AT39" i="7"/>
  <c r="AQ39" i="11" s="1"/>
  <c r="AT40" i="7"/>
  <c r="AQ40" i="11" s="1"/>
  <c r="AT41" i="7"/>
  <c r="AQ41" i="11" s="1"/>
  <c r="AT42" i="7"/>
  <c r="AQ42" i="11" s="1"/>
  <c r="AT43" i="7"/>
  <c r="AQ43" i="11" s="1"/>
  <c r="AT44" i="7"/>
  <c r="AQ44" i="11" s="1"/>
  <c r="AT45" i="7"/>
  <c r="AQ45" i="11" s="1"/>
  <c r="AT46" i="7"/>
  <c r="AQ46" i="11" s="1"/>
  <c r="AT47" i="7"/>
  <c r="AQ47" i="11" s="1"/>
  <c r="AT48" i="7"/>
  <c r="AQ48" i="11" s="1"/>
  <c r="AT49" i="7"/>
  <c r="AQ49" i="11" s="1"/>
  <c r="AT50" i="7"/>
  <c r="AQ50" i="11" s="1"/>
  <c r="AT51" i="7"/>
  <c r="AQ51" i="11" s="1"/>
  <c r="AT52" i="7"/>
  <c r="AQ52" i="11" s="1"/>
  <c r="AT53" i="7"/>
  <c r="AQ53" i="11" s="1"/>
  <c r="AT54" i="7"/>
  <c r="AQ54" i="11" s="1"/>
  <c r="AT55" i="7"/>
  <c r="AQ55" i="11" s="1"/>
  <c r="AT56" i="7"/>
  <c r="AQ56" i="11" s="1"/>
  <c r="AT57" i="7"/>
  <c r="AQ57" i="11" s="1"/>
  <c r="AT58" i="7"/>
  <c r="AQ58" i="11" s="1"/>
  <c r="AT59" i="7"/>
  <c r="AQ59" i="11" s="1"/>
  <c r="AT60" i="7"/>
  <c r="AQ60" i="11" s="1"/>
  <c r="AT61" i="7"/>
  <c r="AQ61" i="11" s="1"/>
  <c r="AT62" i="7"/>
  <c r="AQ62" i="11" s="1"/>
  <c r="AT63" i="7"/>
  <c r="AQ63" i="11" s="1"/>
  <c r="AT64" i="7"/>
  <c r="AQ64" i="11" s="1"/>
  <c r="AT65" i="7"/>
  <c r="AQ65" i="11" s="1"/>
  <c r="AT66" i="7"/>
  <c r="AQ66" i="11" s="1"/>
  <c r="AT67" i="7"/>
  <c r="AQ67" i="11" s="1"/>
  <c r="AT68" i="7"/>
  <c r="AQ68" i="11" s="1"/>
  <c r="AT69" i="7"/>
  <c r="AQ69" i="11" s="1"/>
  <c r="AT70" i="7"/>
  <c r="AQ70" i="11" s="1"/>
  <c r="AT71" i="7"/>
  <c r="AQ71" i="11" s="1"/>
  <c r="AT72" i="7"/>
  <c r="AQ72" i="11" s="1"/>
  <c r="AT73" i="7"/>
  <c r="AQ73" i="11" s="1"/>
  <c r="AT74" i="7"/>
  <c r="AQ74" i="11" s="1"/>
  <c r="AT75" i="7"/>
  <c r="AQ75" i="11" s="1"/>
  <c r="AT76" i="7"/>
  <c r="AQ76" i="11" s="1"/>
  <c r="AT77" i="7"/>
  <c r="AQ77" i="11" s="1"/>
  <c r="AT78" i="7"/>
  <c r="AQ78" i="11" s="1"/>
  <c r="AT79" i="7"/>
  <c r="AQ79" i="11" s="1"/>
  <c r="AT80" i="7"/>
  <c r="AQ80" i="11" s="1"/>
  <c r="AT81" i="7"/>
  <c r="AQ81" i="11" s="1"/>
  <c r="AT82" i="7"/>
  <c r="AQ82" i="11" s="1"/>
  <c r="AT83" i="7"/>
  <c r="AQ83" i="11" s="1"/>
  <c r="AT84" i="7"/>
  <c r="AQ84" i="11" s="1"/>
  <c r="AT85" i="7"/>
  <c r="AQ85" i="11" s="1"/>
  <c r="AT86" i="7"/>
  <c r="AQ86" i="11" s="1"/>
  <c r="AT87" i="7"/>
  <c r="AQ87" i="11" s="1"/>
  <c r="AT88" i="7"/>
  <c r="AQ88" i="11" s="1"/>
  <c r="AT89" i="7"/>
  <c r="AQ89" i="11" s="1"/>
  <c r="AT90" i="7"/>
  <c r="AQ90" i="11" s="1"/>
  <c r="AT91" i="7"/>
  <c r="AQ91" i="11" s="1"/>
  <c r="AT92" i="7"/>
  <c r="AQ92" i="11" s="1"/>
  <c r="AT93" i="7"/>
  <c r="AQ93" i="11" s="1"/>
  <c r="AT94" i="7"/>
  <c r="AQ94" i="11" s="1"/>
  <c r="AT95" i="7"/>
  <c r="AQ95" i="11" s="1"/>
  <c r="AT96" i="7"/>
  <c r="AQ96" i="11" s="1"/>
  <c r="AT97" i="7"/>
  <c r="AQ97" i="11" s="1"/>
  <c r="AT98" i="7"/>
  <c r="AQ98" i="11" s="1"/>
  <c r="AT99" i="7"/>
  <c r="AQ99" i="11" s="1"/>
  <c r="AT100" i="7"/>
  <c r="AQ100" i="11" s="1"/>
  <c r="AT101" i="7"/>
  <c r="AQ101" i="11" s="1"/>
  <c r="AT102" i="7"/>
  <c r="AQ102" i="11" s="1"/>
  <c r="AT103" i="7"/>
  <c r="AQ103" i="11" s="1"/>
  <c r="AT104" i="7"/>
  <c r="AQ104" i="11" s="1"/>
  <c r="AT105" i="7"/>
  <c r="AQ105" i="11" s="1"/>
  <c r="AT106" i="7"/>
  <c r="AQ106" i="11" s="1"/>
  <c r="AT107" i="7"/>
  <c r="AQ107" i="11" s="1"/>
  <c r="AT108" i="7"/>
  <c r="AQ108" i="11" s="1"/>
  <c r="AT109" i="7"/>
  <c r="AQ109" i="11" s="1"/>
  <c r="AT110" i="7"/>
  <c r="AQ110" i="11" s="1"/>
  <c r="AT111" i="7"/>
  <c r="AQ111" i="11" s="1"/>
  <c r="AT112" i="7"/>
  <c r="AQ112" i="11" s="1"/>
  <c r="AT113" i="7"/>
  <c r="AQ113" i="11" s="1"/>
  <c r="AT114" i="7"/>
  <c r="AQ114" i="11" s="1"/>
  <c r="AT115" i="7"/>
  <c r="AQ115" i="11" s="1"/>
  <c r="AT116" i="7"/>
  <c r="AQ116" i="11" s="1"/>
  <c r="AT117" i="7"/>
  <c r="AQ117" i="11" s="1"/>
  <c r="AT118" i="7"/>
  <c r="AQ118" i="11" s="1"/>
  <c r="AT119" i="7"/>
  <c r="AQ119" i="11" s="1"/>
  <c r="AT120" i="7"/>
  <c r="AQ120" i="11" s="1"/>
  <c r="AT121" i="7"/>
  <c r="AQ121" i="11" s="1"/>
  <c r="AT122" i="7"/>
  <c r="AQ122" i="11" s="1"/>
  <c r="AT123" i="7"/>
  <c r="AQ123" i="11" s="1"/>
  <c r="AT124" i="7"/>
  <c r="AQ124" i="11" s="1"/>
  <c r="AT125" i="7"/>
  <c r="AQ125" i="11" s="1"/>
  <c r="AT126" i="7"/>
  <c r="AQ126" i="11" s="1"/>
  <c r="AT127" i="7"/>
  <c r="AQ127" i="11" s="1"/>
  <c r="AT128" i="7"/>
  <c r="AQ128" i="11" s="1"/>
  <c r="AT129" i="7"/>
  <c r="AQ129" i="11" s="1"/>
  <c r="AT130" i="7"/>
  <c r="AQ130" i="11" s="1"/>
  <c r="AT131" i="7"/>
  <c r="AQ131" i="11" s="1"/>
  <c r="AT132" i="7"/>
  <c r="AQ132" i="11" s="1"/>
  <c r="AT133" i="7"/>
  <c r="AQ133" i="11" s="1"/>
  <c r="AT134" i="7"/>
  <c r="AQ134" i="11" s="1"/>
  <c r="AT135" i="7"/>
  <c r="AQ135" i="11" s="1"/>
  <c r="AT136" i="7"/>
  <c r="AQ136" i="11" s="1"/>
  <c r="AT137" i="7"/>
  <c r="AQ137" i="11" s="1"/>
  <c r="AT138" i="7"/>
  <c r="AQ138" i="11" s="1"/>
  <c r="AT139" i="7"/>
  <c r="AQ139" i="11" s="1"/>
  <c r="AT140" i="7"/>
  <c r="AQ140" i="11" s="1"/>
  <c r="AT141" i="7"/>
  <c r="AQ141" i="11" s="1"/>
  <c r="AT142" i="7"/>
  <c r="AQ142" i="11" s="1"/>
  <c r="AT143" i="7"/>
  <c r="AQ143" i="11" s="1"/>
  <c r="AT144" i="7"/>
  <c r="AQ144" i="11" s="1"/>
  <c r="AT145" i="7"/>
  <c r="AQ145" i="11" s="1"/>
  <c r="AT146" i="7"/>
  <c r="AQ146" i="11" s="1"/>
  <c r="AT147" i="7"/>
  <c r="AQ147" i="11" s="1"/>
  <c r="AT148" i="7"/>
  <c r="AQ148" i="11" s="1"/>
  <c r="AT149" i="7"/>
  <c r="AQ149" i="11" s="1"/>
  <c r="AT150" i="7"/>
  <c r="AQ150" i="11" s="1"/>
  <c r="AT151" i="7"/>
  <c r="AQ151" i="11" s="1"/>
  <c r="AT152" i="7"/>
  <c r="AQ152" i="11" s="1"/>
  <c r="AT153" i="7"/>
  <c r="AQ153" i="11" s="1"/>
  <c r="AT154" i="7"/>
  <c r="AQ154" i="11" s="1"/>
  <c r="AT155" i="7"/>
  <c r="AQ155" i="11" s="1"/>
  <c r="AT156" i="7"/>
  <c r="AQ156" i="11" s="1"/>
  <c r="AT157" i="7"/>
  <c r="AQ157" i="11" s="1"/>
  <c r="AT158" i="7"/>
  <c r="AQ158" i="11" s="1"/>
  <c r="AT159" i="7"/>
  <c r="AQ159" i="11" s="1"/>
  <c r="AT160" i="7"/>
  <c r="AQ160" i="11" s="1"/>
  <c r="AT161" i="7"/>
  <c r="AQ161" i="11" s="1"/>
  <c r="AT162" i="7"/>
  <c r="AQ162" i="11" s="1"/>
  <c r="AT163" i="7"/>
  <c r="AQ163" i="11" s="1"/>
  <c r="AT164" i="7"/>
  <c r="AQ164" i="11" s="1"/>
  <c r="AT165" i="7"/>
  <c r="AQ165" i="11" s="1"/>
  <c r="AT166" i="7"/>
  <c r="AQ166" i="11" s="1"/>
  <c r="AT167" i="7"/>
  <c r="AQ167" i="11" s="1"/>
  <c r="AT168" i="7"/>
  <c r="AQ168" i="11" s="1"/>
  <c r="AT169" i="7"/>
  <c r="AQ169" i="11" s="1"/>
  <c r="AT170" i="7"/>
  <c r="AQ170" i="11" s="1"/>
  <c r="AT171" i="7"/>
  <c r="AQ171" i="11" s="1"/>
  <c r="AT172" i="7"/>
  <c r="AQ172" i="11" s="1"/>
  <c r="AT173" i="7"/>
  <c r="AQ173" i="11" s="1"/>
  <c r="AT174" i="7"/>
  <c r="AQ174" i="11" s="1"/>
  <c r="AT175" i="7"/>
  <c r="AQ175" i="11" s="1"/>
  <c r="AT176" i="7"/>
  <c r="AQ176" i="11" s="1"/>
  <c r="AT177" i="7"/>
  <c r="AQ177" i="11" s="1"/>
  <c r="AT178" i="7"/>
  <c r="AQ178" i="11" s="1"/>
  <c r="AT179" i="7"/>
  <c r="AQ179" i="11" s="1"/>
  <c r="AT180" i="7"/>
  <c r="AQ180" i="11" s="1"/>
  <c r="AT181" i="7"/>
  <c r="AQ181" i="11" s="1"/>
  <c r="AT182" i="7"/>
  <c r="AQ182" i="11" s="1"/>
  <c r="AT183" i="7"/>
  <c r="AQ183" i="11" s="1"/>
  <c r="AT184" i="7"/>
  <c r="AQ184" i="11" s="1"/>
  <c r="AT185" i="7"/>
  <c r="AQ185" i="11" s="1"/>
  <c r="AT186" i="7"/>
  <c r="AQ186" i="11" s="1"/>
  <c r="AT187" i="7"/>
  <c r="AQ187" i="11" s="1"/>
  <c r="AT188" i="7"/>
  <c r="AQ188" i="11" s="1"/>
  <c r="AT189" i="7"/>
  <c r="AQ189" i="11" s="1"/>
  <c r="AT190" i="7"/>
  <c r="AQ190" i="11" s="1"/>
  <c r="AT191" i="7"/>
  <c r="AQ191" i="11" s="1"/>
  <c r="AT192" i="7"/>
  <c r="AQ192" i="11" s="1"/>
  <c r="AT193" i="7"/>
  <c r="AQ193" i="11" s="1"/>
  <c r="AT194" i="7"/>
  <c r="AQ194" i="11" s="1"/>
  <c r="AT195" i="7"/>
  <c r="AQ195" i="11" s="1"/>
  <c r="AT196" i="7"/>
  <c r="AQ196" i="11" s="1"/>
  <c r="AT197" i="7"/>
  <c r="AQ197" i="11" s="1"/>
  <c r="AT198" i="7"/>
  <c r="AQ198" i="11" s="1"/>
  <c r="AT199" i="7"/>
  <c r="AQ199" i="11" s="1"/>
  <c r="AT200" i="7"/>
  <c r="AQ200" i="11" s="1"/>
  <c r="AT201" i="7"/>
  <c r="AQ201" i="11" s="1"/>
  <c r="AT202" i="7"/>
  <c r="AQ202" i="11" s="1"/>
  <c r="AT203" i="7"/>
  <c r="AQ203" i="11" s="1"/>
  <c r="AT204" i="7"/>
  <c r="AQ204" i="11" s="1"/>
  <c r="AT205" i="7"/>
  <c r="AQ205" i="11" s="1"/>
  <c r="AT206" i="7"/>
  <c r="AQ206" i="11" s="1"/>
  <c r="AT207" i="7"/>
  <c r="AQ207" i="11" s="1"/>
  <c r="AT208" i="7"/>
  <c r="AQ208" i="11" s="1"/>
  <c r="AT209" i="7"/>
  <c r="AQ209" i="11" s="1"/>
  <c r="AT210" i="7"/>
  <c r="AQ210" i="11" s="1"/>
  <c r="AT211" i="7"/>
  <c r="AQ211" i="11" s="1"/>
  <c r="AT212" i="7"/>
  <c r="AQ212" i="11" s="1"/>
  <c r="AT213" i="7"/>
  <c r="AQ213" i="11" s="1"/>
  <c r="AT214" i="7"/>
  <c r="AQ214" i="11" s="1"/>
  <c r="AT215" i="7"/>
  <c r="AQ215" i="11" s="1"/>
  <c r="AT216" i="7"/>
  <c r="AQ216" i="11" s="1"/>
  <c r="AT217" i="7"/>
  <c r="AQ217" i="11" s="1"/>
  <c r="AT218" i="7"/>
  <c r="AQ218" i="11" s="1"/>
  <c r="AT219" i="7"/>
  <c r="AQ219" i="11" s="1"/>
  <c r="AT220" i="7"/>
  <c r="AQ220" i="11" s="1"/>
  <c r="AT221" i="7"/>
  <c r="AQ221" i="11" s="1"/>
  <c r="AT222" i="7"/>
  <c r="AQ222" i="11" s="1"/>
  <c r="AT223" i="7"/>
  <c r="AQ223" i="11" s="1"/>
  <c r="AT224" i="7"/>
  <c r="AQ224" i="11" s="1"/>
  <c r="AT225" i="7"/>
  <c r="AQ225" i="11" s="1"/>
  <c r="AT226" i="7"/>
  <c r="AQ226" i="11" s="1"/>
  <c r="AT227" i="7"/>
  <c r="AQ227" i="11" s="1"/>
  <c r="AT228" i="7"/>
  <c r="AQ228" i="11" s="1"/>
  <c r="AT229" i="7"/>
  <c r="AQ229" i="11" s="1"/>
  <c r="AT230" i="7"/>
  <c r="AQ230" i="11" s="1"/>
  <c r="AT231" i="7"/>
  <c r="AQ231" i="11" s="1"/>
  <c r="AT232" i="7"/>
  <c r="AQ232" i="11" s="1"/>
  <c r="AT233" i="7"/>
  <c r="AQ233" i="11" s="1"/>
  <c r="AT234" i="7"/>
  <c r="AQ234" i="11" s="1"/>
  <c r="AT235" i="7"/>
  <c r="AQ235" i="11" s="1"/>
  <c r="AT236" i="7"/>
  <c r="AQ236" i="11" s="1"/>
  <c r="AT237" i="7"/>
  <c r="AQ237" i="11" s="1"/>
  <c r="AT238" i="7"/>
  <c r="AQ238" i="11" s="1"/>
  <c r="AT239" i="7"/>
  <c r="AQ239" i="11" s="1"/>
  <c r="AT240" i="7"/>
  <c r="AQ240" i="11" s="1"/>
  <c r="AT241" i="7"/>
  <c r="AQ241" i="11" s="1"/>
  <c r="AT242" i="7"/>
  <c r="AQ242" i="11" s="1"/>
  <c r="AT243" i="7"/>
  <c r="AQ243" i="11" s="1"/>
  <c r="AT244" i="7"/>
  <c r="AQ244" i="11" s="1"/>
  <c r="AT245" i="7"/>
  <c r="AQ245" i="11" s="1"/>
  <c r="AT246" i="7"/>
  <c r="AQ246" i="11" s="1"/>
  <c r="AT247" i="7"/>
  <c r="AQ247" i="11" s="1"/>
  <c r="AT248" i="7"/>
  <c r="AQ248" i="11" s="1"/>
  <c r="AT249" i="7"/>
  <c r="AQ249" i="11" s="1"/>
  <c r="AT250" i="7"/>
  <c r="AQ250" i="11" s="1"/>
  <c r="AT251" i="7"/>
  <c r="AQ251" i="11" s="1"/>
  <c r="AT252" i="7"/>
  <c r="AQ252" i="11" s="1"/>
  <c r="AT253" i="7"/>
  <c r="AQ253" i="11" s="1"/>
  <c r="AT254" i="7"/>
  <c r="AQ254" i="11" s="1"/>
  <c r="AT255" i="7"/>
  <c r="AQ255" i="11" s="1"/>
  <c r="AT256" i="7"/>
  <c r="AQ256" i="11" s="1"/>
  <c r="AT257" i="7"/>
  <c r="AQ257" i="11" s="1"/>
  <c r="AT258" i="7"/>
  <c r="AQ258" i="11" s="1"/>
  <c r="AT259" i="7"/>
  <c r="AQ259" i="11" s="1"/>
  <c r="AT260" i="7"/>
  <c r="AQ260" i="11" s="1"/>
  <c r="AT261" i="7"/>
  <c r="AQ261" i="11" s="1"/>
  <c r="AT262" i="7"/>
  <c r="AQ262" i="11" s="1"/>
  <c r="AT263" i="7"/>
  <c r="AQ263" i="11" s="1"/>
  <c r="AT264" i="7"/>
  <c r="AQ264" i="11" s="1"/>
  <c r="AT265" i="7"/>
  <c r="AQ265" i="11" s="1"/>
  <c r="AT266" i="7"/>
  <c r="AQ266" i="11" s="1"/>
  <c r="AT267" i="7"/>
  <c r="AQ267" i="11" s="1"/>
  <c r="AT268" i="7"/>
  <c r="AQ268" i="11" s="1"/>
  <c r="AT269" i="7"/>
  <c r="AQ269" i="11" s="1"/>
  <c r="AT270" i="7"/>
  <c r="AQ270" i="11" s="1"/>
  <c r="AT271" i="7"/>
  <c r="AQ271" i="11" s="1"/>
  <c r="AT272" i="7"/>
  <c r="AQ272" i="11" s="1"/>
  <c r="AT273" i="7"/>
  <c r="AQ273" i="11" s="1"/>
  <c r="AT274" i="7"/>
  <c r="AQ274" i="11" s="1"/>
  <c r="AT275" i="7"/>
  <c r="AQ275" i="11" s="1"/>
  <c r="AT276" i="7"/>
  <c r="AQ276" i="11" s="1"/>
  <c r="AT277" i="7"/>
  <c r="AQ277" i="11" s="1"/>
  <c r="AT278" i="7"/>
  <c r="AQ278" i="11" s="1"/>
  <c r="AT279" i="7"/>
  <c r="AQ279" i="11" s="1"/>
  <c r="AT280" i="7"/>
  <c r="AQ280" i="11" s="1"/>
  <c r="AT281" i="7"/>
  <c r="AQ281" i="11" s="1"/>
  <c r="AT282" i="7"/>
  <c r="AQ282" i="11" s="1"/>
  <c r="AT283" i="7"/>
  <c r="AQ283" i="11" s="1"/>
  <c r="AT284" i="7"/>
  <c r="AQ284" i="11" s="1"/>
  <c r="AT285" i="7"/>
  <c r="AQ285" i="11" s="1"/>
  <c r="AT286" i="7"/>
  <c r="AQ286" i="11" s="1"/>
  <c r="AT287" i="7"/>
  <c r="AQ287" i="11" s="1"/>
  <c r="AT288" i="7"/>
  <c r="AQ288" i="11" s="1"/>
  <c r="AT289" i="7"/>
  <c r="AQ289" i="11" s="1"/>
  <c r="AT290" i="7"/>
  <c r="AQ290" i="11" s="1"/>
  <c r="AT291" i="7"/>
  <c r="AQ291" i="11" s="1"/>
  <c r="AT292" i="7"/>
  <c r="AQ292" i="11" s="1"/>
  <c r="AT293" i="7"/>
  <c r="AQ293" i="11" s="1"/>
  <c r="AT294" i="7"/>
  <c r="AQ294" i="11" s="1"/>
  <c r="AT295" i="7"/>
  <c r="AQ295" i="11" s="1"/>
  <c r="AT296" i="7"/>
  <c r="AQ296" i="11" s="1"/>
  <c r="AT297" i="7"/>
  <c r="AQ297" i="11" s="1"/>
  <c r="AT298" i="7"/>
  <c r="AQ298" i="11" s="1"/>
  <c r="AT299" i="7"/>
  <c r="AQ299" i="11" s="1"/>
  <c r="AT300" i="7"/>
  <c r="AQ300" i="11" s="1"/>
  <c r="AT301" i="7"/>
  <c r="AQ301" i="11" s="1"/>
  <c r="AT302" i="7"/>
  <c r="AQ302" i="11" s="1"/>
  <c r="AT303" i="7"/>
  <c r="AQ303" i="11" s="1"/>
  <c r="AT304" i="7"/>
  <c r="AQ304" i="11" s="1"/>
  <c r="AT5" i="7"/>
  <c r="AQ5" i="11" s="1"/>
  <c r="AA5" i="7"/>
  <c r="Z6" i="7"/>
  <c r="J6" i="7" s="1"/>
  <c r="Z7" i="7"/>
  <c r="J7" i="7" s="1"/>
  <c r="Z8" i="7"/>
  <c r="J8" i="7" s="1"/>
  <c r="Z9" i="7"/>
  <c r="J9" i="7" s="1"/>
  <c r="Z10" i="7"/>
  <c r="J10" i="7" s="1"/>
  <c r="Z11" i="7"/>
  <c r="J11" i="7" s="1"/>
  <c r="Z12" i="7"/>
  <c r="J12" i="7" s="1"/>
  <c r="Z13" i="7"/>
  <c r="J13" i="7" s="1"/>
  <c r="Z14" i="7"/>
  <c r="J14" i="7" s="1"/>
  <c r="Z15" i="7"/>
  <c r="J15" i="7" s="1"/>
  <c r="Z16" i="7"/>
  <c r="J16" i="7" s="1"/>
  <c r="Z17" i="7"/>
  <c r="J17" i="7" s="1"/>
  <c r="Z18" i="7"/>
  <c r="J18" i="7" s="1"/>
  <c r="Z19" i="7"/>
  <c r="J19" i="7" s="1"/>
  <c r="Z20" i="7"/>
  <c r="J20" i="7" s="1"/>
  <c r="Z21" i="7"/>
  <c r="J21" i="7" s="1"/>
  <c r="Z22" i="7"/>
  <c r="J22" i="7" s="1"/>
  <c r="Z23" i="7"/>
  <c r="J23" i="7" s="1"/>
  <c r="Z24" i="7"/>
  <c r="J24" i="7" s="1"/>
  <c r="Z25" i="7"/>
  <c r="J25" i="7" s="1"/>
  <c r="Z26" i="7"/>
  <c r="J26" i="7" s="1"/>
  <c r="Z27" i="7"/>
  <c r="J27" i="7" s="1"/>
  <c r="Z28" i="7"/>
  <c r="J28" i="7" s="1"/>
  <c r="Z29" i="7"/>
  <c r="J29" i="7" s="1"/>
  <c r="Z30" i="7"/>
  <c r="J30" i="7" s="1"/>
  <c r="Z31" i="7"/>
  <c r="J31" i="7" s="1"/>
  <c r="Z32" i="7"/>
  <c r="J32" i="7" s="1"/>
  <c r="Z33" i="7"/>
  <c r="J33" i="7" s="1"/>
  <c r="Z34" i="7"/>
  <c r="J34" i="7" s="1"/>
  <c r="Z35" i="7"/>
  <c r="J35" i="7" s="1"/>
  <c r="Z36" i="7"/>
  <c r="J36" i="7" s="1"/>
  <c r="Z37" i="7"/>
  <c r="J37" i="7" s="1"/>
  <c r="Z38" i="7"/>
  <c r="J38" i="7" s="1"/>
  <c r="Z39" i="7"/>
  <c r="J39" i="7" s="1"/>
  <c r="Z40" i="7"/>
  <c r="J40" i="7" s="1"/>
  <c r="Z41" i="7"/>
  <c r="J41" i="7" s="1"/>
  <c r="Z42" i="7"/>
  <c r="J42" i="7" s="1"/>
  <c r="Z43" i="7"/>
  <c r="J43" i="7" s="1"/>
  <c r="Z44" i="7"/>
  <c r="J44" i="7" s="1"/>
  <c r="Z45" i="7"/>
  <c r="J45" i="7" s="1"/>
  <c r="Z46" i="7"/>
  <c r="J46" i="7" s="1"/>
  <c r="Z47" i="7"/>
  <c r="J47" i="7" s="1"/>
  <c r="Z48" i="7"/>
  <c r="J48" i="7" s="1"/>
  <c r="Z49" i="7"/>
  <c r="J49" i="7" s="1"/>
  <c r="Z50" i="7"/>
  <c r="J50" i="7" s="1"/>
  <c r="Z51" i="7"/>
  <c r="J51" i="7" s="1"/>
  <c r="Z52" i="7"/>
  <c r="J52" i="7" s="1"/>
  <c r="Z53" i="7"/>
  <c r="J53" i="7" s="1"/>
  <c r="Z54" i="7"/>
  <c r="J54" i="7" s="1"/>
  <c r="Z55" i="7"/>
  <c r="J55" i="7" s="1"/>
  <c r="Z56" i="7"/>
  <c r="J56" i="7" s="1"/>
  <c r="Z57" i="7"/>
  <c r="J57" i="7" s="1"/>
  <c r="Z58" i="7"/>
  <c r="J58" i="7" s="1"/>
  <c r="Z59" i="7"/>
  <c r="J59" i="7" s="1"/>
  <c r="Z60" i="7"/>
  <c r="J60" i="7" s="1"/>
  <c r="Z61" i="7"/>
  <c r="J61" i="7" s="1"/>
  <c r="Z62" i="7"/>
  <c r="J62" i="7" s="1"/>
  <c r="Z63" i="7"/>
  <c r="J63" i="7" s="1"/>
  <c r="Z64" i="7"/>
  <c r="J64" i="7" s="1"/>
  <c r="Z65" i="7"/>
  <c r="J65" i="7" s="1"/>
  <c r="Z66" i="7"/>
  <c r="J66" i="7" s="1"/>
  <c r="Z67" i="7"/>
  <c r="J67" i="7" s="1"/>
  <c r="Z68" i="7"/>
  <c r="J68" i="7" s="1"/>
  <c r="Z69" i="7"/>
  <c r="J69" i="7" s="1"/>
  <c r="Z70" i="7"/>
  <c r="J70" i="7" s="1"/>
  <c r="Z71" i="7"/>
  <c r="J71" i="7" s="1"/>
  <c r="Z72" i="7"/>
  <c r="J72" i="7" s="1"/>
  <c r="Z73" i="7"/>
  <c r="J73" i="7" s="1"/>
  <c r="Z74" i="7"/>
  <c r="J74" i="7" s="1"/>
  <c r="Z75" i="7"/>
  <c r="J75" i="7" s="1"/>
  <c r="Z76" i="7"/>
  <c r="J76" i="7" s="1"/>
  <c r="Z77" i="7"/>
  <c r="J77" i="7" s="1"/>
  <c r="Z78" i="7"/>
  <c r="J78" i="7" s="1"/>
  <c r="Z79" i="7"/>
  <c r="J79" i="7" s="1"/>
  <c r="Z80" i="7"/>
  <c r="J80" i="7" s="1"/>
  <c r="Z81" i="7"/>
  <c r="J81" i="7" s="1"/>
  <c r="Z82" i="7"/>
  <c r="J82" i="7" s="1"/>
  <c r="Z83" i="7"/>
  <c r="J83" i="7" s="1"/>
  <c r="Z84" i="7"/>
  <c r="J84" i="7" s="1"/>
  <c r="Z85" i="7"/>
  <c r="J85" i="7" s="1"/>
  <c r="Z86" i="7"/>
  <c r="J86" i="7" s="1"/>
  <c r="Z87" i="7"/>
  <c r="J87" i="7" s="1"/>
  <c r="Z88" i="7"/>
  <c r="J88" i="7" s="1"/>
  <c r="Z89" i="7"/>
  <c r="J89" i="7" s="1"/>
  <c r="Z90" i="7"/>
  <c r="J90" i="7" s="1"/>
  <c r="Z91" i="7"/>
  <c r="J91" i="7" s="1"/>
  <c r="Z92" i="7"/>
  <c r="J92" i="7" s="1"/>
  <c r="Z93" i="7"/>
  <c r="J93" i="7" s="1"/>
  <c r="Z94" i="7"/>
  <c r="J94" i="7" s="1"/>
  <c r="Z95" i="7"/>
  <c r="J95" i="7" s="1"/>
  <c r="Z96" i="7"/>
  <c r="J96" i="7" s="1"/>
  <c r="Z97" i="7"/>
  <c r="J97" i="7" s="1"/>
  <c r="Z98" i="7"/>
  <c r="J98" i="7" s="1"/>
  <c r="Z99" i="7"/>
  <c r="J99" i="7" s="1"/>
  <c r="Z100" i="7"/>
  <c r="J100" i="7" s="1"/>
  <c r="Z101" i="7"/>
  <c r="J101" i="7" s="1"/>
  <c r="Z102" i="7"/>
  <c r="J102" i="7" s="1"/>
  <c r="Z103" i="7"/>
  <c r="J103" i="7" s="1"/>
  <c r="Z104" i="7"/>
  <c r="J104" i="7" s="1"/>
  <c r="Z105" i="7"/>
  <c r="J105" i="7" s="1"/>
  <c r="Z106" i="7"/>
  <c r="J106" i="7" s="1"/>
  <c r="Z107" i="7"/>
  <c r="J107" i="7" s="1"/>
  <c r="Z108" i="7"/>
  <c r="J108" i="7" s="1"/>
  <c r="Z109" i="7"/>
  <c r="J109" i="7" s="1"/>
  <c r="Z110" i="7"/>
  <c r="J110" i="7" s="1"/>
  <c r="Z111" i="7"/>
  <c r="J111" i="7" s="1"/>
  <c r="Z112" i="7"/>
  <c r="J112" i="7" s="1"/>
  <c r="Z113" i="7"/>
  <c r="J113" i="7" s="1"/>
  <c r="Z114" i="7"/>
  <c r="J114" i="7" s="1"/>
  <c r="Z115" i="7"/>
  <c r="J115" i="7" s="1"/>
  <c r="Z116" i="7"/>
  <c r="J116" i="7" s="1"/>
  <c r="Z117" i="7"/>
  <c r="J117" i="7" s="1"/>
  <c r="Z118" i="7"/>
  <c r="J118" i="7" s="1"/>
  <c r="Z119" i="7"/>
  <c r="J119" i="7" s="1"/>
  <c r="Z120" i="7"/>
  <c r="J120" i="7" s="1"/>
  <c r="Z121" i="7"/>
  <c r="J121" i="7" s="1"/>
  <c r="Z122" i="7"/>
  <c r="J122" i="7" s="1"/>
  <c r="Z123" i="7"/>
  <c r="J123" i="7" s="1"/>
  <c r="Z124" i="7"/>
  <c r="J124" i="7" s="1"/>
  <c r="Z125" i="7"/>
  <c r="J125" i="7" s="1"/>
  <c r="Z126" i="7"/>
  <c r="J126" i="7" s="1"/>
  <c r="Z127" i="7"/>
  <c r="J127" i="7" s="1"/>
  <c r="Z128" i="7"/>
  <c r="J128" i="7" s="1"/>
  <c r="Z129" i="7"/>
  <c r="J129" i="7" s="1"/>
  <c r="Z130" i="7"/>
  <c r="J130" i="7" s="1"/>
  <c r="Z131" i="7"/>
  <c r="J131" i="7" s="1"/>
  <c r="Z132" i="7"/>
  <c r="J132" i="7" s="1"/>
  <c r="Z133" i="7"/>
  <c r="J133" i="7" s="1"/>
  <c r="Z134" i="7"/>
  <c r="J134" i="7" s="1"/>
  <c r="Z135" i="7"/>
  <c r="J135" i="7" s="1"/>
  <c r="Z136" i="7"/>
  <c r="J136" i="7" s="1"/>
  <c r="Z137" i="7"/>
  <c r="J137" i="7" s="1"/>
  <c r="Z138" i="7"/>
  <c r="J138" i="7" s="1"/>
  <c r="Z139" i="7"/>
  <c r="J139" i="7" s="1"/>
  <c r="Z140" i="7"/>
  <c r="J140" i="7" s="1"/>
  <c r="Z141" i="7"/>
  <c r="J141" i="7" s="1"/>
  <c r="Z142" i="7"/>
  <c r="J142" i="7" s="1"/>
  <c r="Z143" i="7"/>
  <c r="J143" i="7" s="1"/>
  <c r="Z144" i="7"/>
  <c r="J144" i="7" s="1"/>
  <c r="Z145" i="7"/>
  <c r="J145" i="7" s="1"/>
  <c r="Z146" i="7"/>
  <c r="J146" i="7" s="1"/>
  <c r="Z147" i="7"/>
  <c r="J147" i="7" s="1"/>
  <c r="Z148" i="7"/>
  <c r="J148" i="7" s="1"/>
  <c r="Z149" i="7"/>
  <c r="J149" i="7" s="1"/>
  <c r="Z150" i="7"/>
  <c r="J150" i="7" s="1"/>
  <c r="Z151" i="7"/>
  <c r="J151" i="7" s="1"/>
  <c r="Z152" i="7"/>
  <c r="J152" i="7" s="1"/>
  <c r="Z153" i="7"/>
  <c r="J153" i="7" s="1"/>
  <c r="Z154" i="7"/>
  <c r="J154" i="7" s="1"/>
  <c r="Z155" i="7"/>
  <c r="J155" i="7" s="1"/>
  <c r="Z156" i="7"/>
  <c r="J156" i="7" s="1"/>
  <c r="Z157" i="7"/>
  <c r="J157" i="7" s="1"/>
  <c r="Z158" i="7"/>
  <c r="J158" i="7" s="1"/>
  <c r="Z159" i="7"/>
  <c r="J159" i="7" s="1"/>
  <c r="Z160" i="7"/>
  <c r="J160" i="7" s="1"/>
  <c r="Z161" i="7"/>
  <c r="J161" i="7" s="1"/>
  <c r="Z162" i="7"/>
  <c r="J162" i="7" s="1"/>
  <c r="Z163" i="7"/>
  <c r="J163" i="7" s="1"/>
  <c r="Z164" i="7"/>
  <c r="J164" i="7" s="1"/>
  <c r="Z165" i="7"/>
  <c r="J165" i="7" s="1"/>
  <c r="Z166" i="7"/>
  <c r="J166" i="7" s="1"/>
  <c r="Z167" i="7"/>
  <c r="J167" i="7" s="1"/>
  <c r="Z168" i="7"/>
  <c r="J168" i="7" s="1"/>
  <c r="Z169" i="7"/>
  <c r="J169" i="7" s="1"/>
  <c r="Z170" i="7"/>
  <c r="J170" i="7" s="1"/>
  <c r="Z171" i="7"/>
  <c r="J171" i="7" s="1"/>
  <c r="Z172" i="7"/>
  <c r="J172" i="7" s="1"/>
  <c r="Z173" i="7"/>
  <c r="J173" i="7" s="1"/>
  <c r="Z174" i="7"/>
  <c r="J174" i="7" s="1"/>
  <c r="Z175" i="7"/>
  <c r="J175" i="7" s="1"/>
  <c r="Z176" i="7"/>
  <c r="J176" i="7" s="1"/>
  <c r="Z177" i="7"/>
  <c r="J177" i="7" s="1"/>
  <c r="Z178" i="7"/>
  <c r="J178" i="7" s="1"/>
  <c r="Z179" i="7"/>
  <c r="J179" i="7" s="1"/>
  <c r="Z180" i="7"/>
  <c r="J180" i="7" s="1"/>
  <c r="Z181" i="7"/>
  <c r="J181" i="7" s="1"/>
  <c r="Z182" i="7"/>
  <c r="J182" i="7" s="1"/>
  <c r="Z183" i="7"/>
  <c r="J183" i="7" s="1"/>
  <c r="Z184" i="7"/>
  <c r="J184" i="7" s="1"/>
  <c r="Z185" i="7"/>
  <c r="J185" i="7" s="1"/>
  <c r="Z186" i="7"/>
  <c r="J186" i="7" s="1"/>
  <c r="Z187" i="7"/>
  <c r="J187" i="7" s="1"/>
  <c r="Z188" i="7"/>
  <c r="J188" i="7" s="1"/>
  <c r="Z189" i="7"/>
  <c r="J189" i="7" s="1"/>
  <c r="Z190" i="7"/>
  <c r="J190" i="7" s="1"/>
  <c r="Z191" i="7"/>
  <c r="J191" i="7" s="1"/>
  <c r="Z192" i="7"/>
  <c r="J192" i="7" s="1"/>
  <c r="Z193" i="7"/>
  <c r="J193" i="7" s="1"/>
  <c r="Z194" i="7"/>
  <c r="J194" i="7" s="1"/>
  <c r="Z195" i="7"/>
  <c r="J195" i="7" s="1"/>
  <c r="Z196" i="7"/>
  <c r="J196" i="7" s="1"/>
  <c r="Z197" i="7"/>
  <c r="J197" i="7" s="1"/>
  <c r="Z198" i="7"/>
  <c r="J198" i="7" s="1"/>
  <c r="Z199" i="7"/>
  <c r="J199" i="7" s="1"/>
  <c r="Z200" i="7"/>
  <c r="J200" i="7" s="1"/>
  <c r="Z201" i="7"/>
  <c r="J201" i="7" s="1"/>
  <c r="Z202" i="7"/>
  <c r="J202" i="7" s="1"/>
  <c r="Z203" i="7"/>
  <c r="J203" i="7" s="1"/>
  <c r="Z204" i="7"/>
  <c r="J204" i="7" s="1"/>
  <c r="Z205" i="7"/>
  <c r="J205" i="7" s="1"/>
  <c r="Z206" i="7"/>
  <c r="J206" i="7" s="1"/>
  <c r="Z207" i="7"/>
  <c r="J207" i="7" s="1"/>
  <c r="Z208" i="7"/>
  <c r="J208" i="7" s="1"/>
  <c r="Z209" i="7"/>
  <c r="J209" i="7" s="1"/>
  <c r="Z210" i="7"/>
  <c r="J210" i="7" s="1"/>
  <c r="Z211" i="7"/>
  <c r="J211" i="7" s="1"/>
  <c r="Z212" i="7"/>
  <c r="J212" i="7" s="1"/>
  <c r="Z213" i="7"/>
  <c r="J213" i="7" s="1"/>
  <c r="Z214" i="7"/>
  <c r="J214" i="7" s="1"/>
  <c r="Z215" i="7"/>
  <c r="J215" i="7" s="1"/>
  <c r="Z216" i="7"/>
  <c r="J216" i="7" s="1"/>
  <c r="Z217" i="7"/>
  <c r="J217" i="7" s="1"/>
  <c r="Z218" i="7"/>
  <c r="J218" i="7" s="1"/>
  <c r="Z219" i="7"/>
  <c r="J219" i="7" s="1"/>
  <c r="Z220" i="7"/>
  <c r="J220" i="7" s="1"/>
  <c r="Z221" i="7"/>
  <c r="J221" i="7" s="1"/>
  <c r="Z222" i="7"/>
  <c r="J222" i="7" s="1"/>
  <c r="Z223" i="7"/>
  <c r="J223" i="7" s="1"/>
  <c r="Z224" i="7"/>
  <c r="J224" i="7" s="1"/>
  <c r="Z225" i="7"/>
  <c r="J225" i="7" s="1"/>
  <c r="Z226" i="7"/>
  <c r="J226" i="7" s="1"/>
  <c r="Z227" i="7"/>
  <c r="J227" i="7" s="1"/>
  <c r="Z228" i="7"/>
  <c r="J228" i="7" s="1"/>
  <c r="Z229" i="7"/>
  <c r="J229" i="7" s="1"/>
  <c r="Z230" i="7"/>
  <c r="J230" i="7" s="1"/>
  <c r="Z231" i="7"/>
  <c r="J231" i="7" s="1"/>
  <c r="Z232" i="7"/>
  <c r="J232" i="7" s="1"/>
  <c r="Z233" i="7"/>
  <c r="J233" i="7" s="1"/>
  <c r="Z234" i="7"/>
  <c r="J234" i="7" s="1"/>
  <c r="Z235" i="7"/>
  <c r="J235" i="7" s="1"/>
  <c r="Z236" i="7"/>
  <c r="J236" i="7" s="1"/>
  <c r="Z237" i="7"/>
  <c r="J237" i="7" s="1"/>
  <c r="Z238" i="7"/>
  <c r="J238" i="7" s="1"/>
  <c r="Z239" i="7"/>
  <c r="J239" i="7" s="1"/>
  <c r="Z240" i="7"/>
  <c r="J240" i="7" s="1"/>
  <c r="Z241" i="7"/>
  <c r="J241" i="7" s="1"/>
  <c r="Z242" i="7"/>
  <c r="J242" i="7" s="1"/>
  <c r="Z243" i="7"/>
  <c r="J243" i="7" s="1"/>
  <c r="Z244" i="7"/>
  <c r="J244" i="7" s="1"/>
  <c r="Z245" i="7"/>
  <c r="J245" i="7" s="1"/>
  <c r="Z246" i="7"/>
  <c r="J246" i="7" s="1"/>
  <c r="Z247" i="7"/>
  <c r="J247" i="7" s="1"/>
  <c r="Z248" i="7"/>
  <c r="J248" i="7" s="1"/>
  <c r="Z249" i="7"/>
  <c r="J249" i="7" s="1"/>
  <c r="Z250" i="7"/>
  <c r="J250" i="7" s="1"/>
  <c r="Z251" i="7"/>
  <c r="J251" i="7" s="1"/>
  <c r="Z252" i="7"/>
  <c r="J252" i="7" s="1"/>
  <c r="Z253" i="7"/>
  <c r="J253" i="7" s="1"/>
  <c r="Z254" i="7"/>
  <c r="J254" i="7" s="1"/>
  <c r="Z255" i="7"/>
  <c r="J255" i="7" s="1"/>
  <c r="Z256" i="7"/>
  <c r="J256" i="7" s="1"/>
  <c r="Z257" i="7"/>
  <c r="J257" i="7" s="1"/>
  <c r="Z258" i="7"/>
  <c r="J258" i="7" s="1"/>
  <c r="Z259" i="7"/>
  <c r="J259" i="7" s="1"/>
  <c r="Z260" i="7"/>
  <c r="J260" i="7" s="1"/>
  <c r="Z261" i="7"/>
  <c r="J261" i="7" s="1"/>
  <c r="Z262" i="7"/>
  <c r="J262" i="7" s="1"/>
  <c r="Z263" i="7"/>
  <c r="J263" i="7" s="1"/>
  <c r="Z264" i="7"/>
  <c r="J264" i="7" s="1"/>
  <c r="Z265" i="7"/>
  <c r="J265" i="7" s="1"/>
  <c r="Z266" i="7"/>
  <c r="J266" i="7" s="1"/>
  <c r="Z267" i="7"/>
  <c r="J267" i="7" s="1"/>
  <c r="Z268" i="7"/>
  <c r="J268" i="7" s="1"/>
  <c r="Z269" i="7"/>
  <c r="J269" i="7" s="1"/>
  <c r="Z270" i="7"/>
  <c r="J270" i="7" s="1"/>
  <c r="Z271" i="7"/>
  <c r="J271" i="7" s="1"/>
  <c r="Z272" i="7"/>
  <c r="J272" i="7" s="1"/>
  <c r="Z273" i="7"/>
  <c r="J273" i="7" s="1"/>
  <c r="Z274" i="7"/>
  <c r="J274" i="7" s="1"/>
  <c r="Z275" i="7"/>
  <c r="J275" i="7" s="1"/>
  <c r="Z276" i="7"/>
  <c r="J276" i="7" s="1"/>
  <c r="Z277" i="7"/>
  <c r="J277" i="7" s="1"/>
  <c r="Z278" i="7"/>
  <c r="J278" i="7" s="1"/>
  <c r="Z279" i="7"/>
  <c r="J279" i="7" s="1"/>
  <c r="Z280" i="7"/>
  <c r="J280" i="7" s="1"/>
  <c r="Z281" i="7"/>
  <c r="J281" i="7" s="1"/>
  <c r="Z282" i="7"/>
  <c r="J282" i="7" s="1"/>
  <c r="Z283" i="7"/>
  <c r="J283" i="7" s="1"/>
  <c r="Z284" i="7"/>
  <c r="J284" i="7" s="1"/>
  <c r="Z285" i="7"/>
  <c r="J285" i="7" s="1"/>
  <c r="Z286" i="7"/>
  <c r="J286" i="7" s="1"/>
  <c r="Z287" i="7"/>
  <c r="J287" i="7" s="1"/>
  <c r="Z288" i="7"/>
  <c r="J288" i="7" s="1"/>
  <c r="Z289" i="7"/>
  <c r="J289" i="7" s="1"/>
  <c r="Z290" i="7"/>
  <c r="J290" i="7" s="1"/>
  <c r="Z291" i="7"/>
  <c r="J291" i="7" s="1"/>
  <c r="Z292" i="7"/>
  <c r="J292" i="7" s="1"/>
  <c r="Z293" i="7"/>
  <c r="J293" i="7" s="1"/>
  <c r="Z294" i="7"/>
  <c r="J294" i="7" s="1"/>
  <c r="Z295" i="7"/>
  <c r="J295" i="7" s="1"/>
  <c r="Z296" i="7"/>
  <c r="J296" i="7" s="1"/>
  <c r="Z297" i="7"/>
  <c r="J297" i="7" s="1"/>
  <c r="Z298" i="7"/>
  <c r="J298" i="7" s="1"/>
  <c r="Z299" i="7"/>
  <c r="J299" i="7" s="1"/>
  <c r="Z300" i="7"/>
  <c r="J300" i="7" s="1"/>
  <c r="Z301" i="7"/>
  <c r="J301" i="7" s="1"/>
  <c r="Z302" i="7"/>
  <c r="J302" i="7" s="1"/>
  <c r="Z303" i="7"/>
  <c r="J303" i="7" s="1"/>
  <c r="Z304" i="7"/>
  <c r="J304" i="7" s="1"/>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5" i="7"/>
  <c r="AS6" i="7"/>
  <c r="AP6" i="11" s="1"/>
  <c r="AS7" i="7"/>
  <c r="AP7" i="11" s="1"/>
  <c r="AS8" i="7"/>
  <c r="AP8" i="11" s="1"/>
  <c r="AS9" i="7"/>
  <c r="AP9" i="11" s="1"/>
  <c r="AS10" i="7"/>
  <c r="AP10" i="11" s="1"/>
  <c r="AS11" i="7"/>
  <c r="AP11" i="11" s="1"/>
  <c r="AS12" i="7"/>
  <c r="AP12" i="11" s="1"/>
  <c r="AS13" i="7"/>
  <c r="AP13" i="11" s="1"/>
  <c r="AS14" i="7"/>
  <c r="AP14" i="11" s="1"/>
  <c r="AS15" i="7"/>
  <c r="AP15" i="11" s="1"/>
  <c r="AS16" i="7"/>
  <c r="AP16" i="11" s="1"/>
  <c r="AS17" i="7"/>
  <c r="AP17" i="11" s="1"/>
  <c r="AS18" i="7"/>
  <c r="AP18" i="11" s="1"/>
  <c r="AS19" i="7"/>
  <c r="AP19" i="11" s="1"/>
  <c r="AS20" i="7"/>
  <c r="AP20" i="11" s="1"/>
  <c r="AS21" i="7"/>
  <c r="AP21" i="11" s="1"/>
  <c r="AS22" i="7"/>
  <c r="AP22" i="11" s="1"/>
  <c r="AS23" i="7"/>
  <c r="AP23" i="11" s="1"/>
  <c r="AS24" i="7"/>
  <c r="AP24" i="11" s="1"/>
  <c r="AS25" i="7"/>
  <c r="AP25" i="11" s="1"/>
  <c r="AS26" i="7"/>
  <c r="AP26" i="11" s="1"/>
  <c r="AS27" i="7"/>
  <c r="AP27" i="11" s="1"/>
  <c r="AS28" i="7"/>
  <c r="AP28" i="11" s="1"/>
  <c r="AS29" i="7"/>
  <c r="AP29" i="11" s="1"/>
  <c r="AS30" i="7"/>
  <c r="AP30" i="11" s="1"/>
  <c r="AS31" i="7"/>
  <c r="AP31" i="11" s="1"/>
  <c r="AS32" i="7"/>
  <c r="AP32" i="11" s="1"/>
  <c r="AS33" i="7"/>
  <c r="AP33" i="11" s="1"/>
  <c r="AS34" i="7"/>
  <c r="AP34" i="11" s="1"/>
  <c r="AS35" i="7"/>
  <c r="AP35" i="11" s="1"/>
  <c r="AS36" i="7"/>
  <c r="AP36" i="11" s="1"/>
  <c r="AS37" i="7"/>
  <c r="AP37" i="11" s="1"/>
  <c r="AS38" i="7"/>
  <c r="AP38" i="11" s="1"/>
  <c r="AS39" i="7"/>
  <c r="AP39" i="11" s="1"/>
  <c r="AS40" i="7"/>
  <c r="AP40" i="11" s="1"/>
  <c r="AS41" i="7"/>
  <c r="AP41" i="11" s="1"/>
  <c r="AS42" i="7"/>
  <c r="AP42" i="11" s="1"/>
  <c r="AS43" i="7"/>
  <c r="AP43" i="11" s="1"/>
  <c r="AS44" i="7"/>
  <c r="AP44" i="11" s="1"/>
  <c r="AS45" i="7"/>
  <c r="AP45" i="11" s="1"/>
  <c r="AS46" i="7"/>
  <c r="AP46" i="11" s="1"/>
  <c r="AS47" i="7"/>
  <c r="AP47" i="11" s="1"/>
  <c r="AS48" i="7"/>
  <c r="AP48" i="11" s="1"/>
  <c r="AS49" i="7"/>
  <c r="AP49" i="11" s="1"/>
  <c r="AS50" i="7"/>
  <c r="AP50" i="11" s="1"/>
  <c r="AS51" i="7"/>
  <c r="AP51" i="11" s="1"/>
  <c r="AS52" i="7"/>
  <c r="AP52" i="11" s="1"/>
  <c r="AS53" i="7"/>
  <c r="AP53" i="11" s="1"/>
  <c r="AS54" i="7"/>
  <c r="AP54" i="11" s="1"/>
  <c r="AS55" i="7"/>
  <c r="AP55" i="11" s="1"/>
  <c r="AS56" i="7"/>
  <c r="AP56" i="11" s="1"/>
  <c r="AS57" i="7"/>
  <c r="AP57" i="11" s="1"/>
  <c r="AS58" i="7"/>
  <c r="AP58" i="11" s="1"/>
  <c r="AS59" i="7"/>
  <c r="AP59" i="11" s="1"/>
  <c r="AS60" i="7"/>
  <c r="AP60" i="11" s="1"/>
  <c r="AS61" i="7"/>
  <c r="AP61" i="11" s="1"/>
  <c r="AS62" i="7"/>
  <c r="AP62" i="11" s="1"/>
  <c r="AS63" i="7"/>
  <c r="AP63" i="11" s="1"/>
  <c r="AS64" i="7"/>
  <c r="AP64" i="11" s="1"/>
  <c r="AS65" i="7"/>
  <c r="AP65" i="11" s="1"/>
  <c r="AS66" i="7"/>
  <c r="AP66" i="11" s="1"/>
  <c r="AS67" i="7"/>
  <c r="AP67" i="11" s="1"/>
  <c r="AS68" i="7"/>
  <c r="AP68" i="11" s="1"/>
  <c r="AS69" i="7"/>
  <c r="AP69" i="11" s="1"/>
  <c r="AS70" i="7"/>
  <c r="AP70" i="11" s="1"/>
  <c r="AS71" i="7"/>
  <c r="AP71" i="11" s="1"/>
  <c r="AS72" i="7"/>
  <c r="AP72" i="11" s="1"/>
  <c r="AS73" i="7"/>
  <c r="AP73" i="11" s="1"/>
  <c r="AS74" i="7"/>
  <c r="AP74" i="11" s="1"/>
  <c r="AS75" i="7"/>
  <c r="AP75" i="11" s="1"/>
  <c r="AS76" i="7"/>
  <c r="AP76" i="11" s="1"/>
  <c r="AS77" i="7"/>
  <c r="AP77" i="11" s="1"/>
  <c r="AS78" i="7"/>
  <c r="AP78" i="11" s="1"/>
  <c r="AS79" i="7"/>
  <c r="AP79" i="11" s="1"/>
  <c r="AS80" i="7"/>
  <c r="AP80" i="11" s="1"/>
  <c r="AS81" i="7"/>
  <c r="AP81" i="11" s="1"/>
  <c r="AS82" i="7"/>
  <c r="AP82" i="11" s="1"/>
  <c r="AS83" i="7"/>
  <c r="AP83" i="11" s="1"/>
  <c r="AS84" i="7"/>
  <c r="AP84" i="11" s="1"/>
  <c r="AS85" i="7"/>
  <c r="AP85" i="11" s="1"/>
  <c r="AS86" i="7"/>
  <c r="AP86" i="11" s="1"/>
  <c r="AS87" i="7"/>
  <c r="AP87" i="11" s="1"/>
  <c r="AS88" i="7"/>
  <c r="AP88" i="11" s="1"/>
  <c r="AS89" i="7"/>
  <c r="AP89" i="11" s="1"/>
  <c r="AS90" i="7"/>
  <c r="AP90" i="11" s="1"/>
  <c r="AS91" i="7"/>
  <c r="AP91" i="11" s="1"/>
  <c r="AS92" i="7"/>
  <c r="AP92" i="11" s="1"/>
  <c r="AS93" i="7"/>
  <c r="AP93" i="11" s="1"/>
  <c r="AS94" i="7"/>
  <c r="AP94" i="11" s="1"/>
  <c r="AS95" i="7"/>
  <c r="AP95" i="11" s="1"/>
  <c r="AS96" i="7"/>
  <c r="AP96" i="11" s="1"/>
  <c r="AS97" i="7"/>
  <c r="AP97" i="11" s="1"/>
  <c r="AS98" i="7"/>
  <c r="AP98" i="11" s="1"/>
  <c r="AS99" i="7"/>
  <c r="AP99" i="11" s="1"/>
  <c r="AS100" i="7"/>
  <c r="AP100" i="11" s="1"/>
  <c r="AS101" i="7"/>
  <c r="AP101" i="11" s="1"/>
  <c r="AS102" i="7"/>
  <c r="AP102" i="11" s="1"/>
  <c r="AS103" i="7"/>
  <c r="AP103" i="11" s="1"/>
  <c r="AS104" i="7"/>
  <c r="AP104" i="11" s="1"/>
  <c r="AS105" i="7"/>
  <c r="AP105" i="11" s="1"/>
  <c r="AS106" i="7"/>
  <c r="AP106" i="11" s="1"/>
  <c r="AS107" i="7"/>
  <c r="AP107" i="11" s="1"/>
  <c r="AS108" i="7"/>
  <c r="AP108" i="11" s="1"/>
  <c r="AS109" i="7"/>
  <c r="AP109" i="11" s="1"/>
  <c r="AS110" i="7"/>
  <c r="AP110" i="11" s="1"/>
  <c r="AS111" i="7"/>
  <c r="AP111" i="11" s="1"/>
  <c r="AS112" i="7"/>
  <c r="AP112" i="11" s="1"/>
  <c r="AS113" i="7"/>
  <c r="AP113" i="11" s="1"/>
  <c r="AS114" i="7"/>
  <c r="AP114" i="11" s="1"/>
  <c r="AS115" i="7"/>
  <c r="AP115" i="11" s="1"/>
  <c r="AS116" i="7"/>
  <c r="AP116" i="11" s="1"/>
  <c r="AS117" i="7"/>
  <c r="AP117" i="11" s="1"/>
  <c r="AS118" i="7"/>
  <c r="AP118" i="11" s="1"/>
  <c r="AS119" i="7"/>
  <c r="AP119" i="11" s="1"/>
  <c r="AS120" i="7"/>
  <c r="AP120" i="11" s="1"/>
  <c r="AS121" i="7"/>
  <c r="AP121" i="11" s="1"/>
  <c r="AS122" i="7"/>
  <c r="AP122" i="11" s="1"/>
  <c r="AS123" i="7"/>
  <c r="AP123" i="11" s="1"/>
  <c r="AS124" i="7"/>
  <c r="AP124" i="11" s="1"/>
  <c r="AS125" i="7"/>
  <c r="AP125" i="11" s="1"/>
  <c r="AS126" i="7"/>
  <c r="AP126" i="11" s="1"/>
  <c r="AS127" i="7"/>
  <c r="AP127" i="11" s="1"/>
  <c r="AS128" i="7"/>
  <c r="AP128" i="11" s="1"/>
  <c r="AS129" i="7"/>
  <c r="AP129" i="11" s="1"/>
  <c r="AS130" i="7"/>
  <c r="AP130" i="11" s="1"/>
  <c r="AS131" i="7"/>
  <c r="AP131" i="11" s="1"/>
  <c r="AS132" i="7"/>
  <c r="AP132" i="11" s="1"/>
  <c r="AS133" i="7"/>
  <c r="AP133" i="11" s="1"/>
  <c r="AS134" i="7"/>
  <c r="AP134" i="11" s="1"/>
  <c r="AS135" i="7"/>
  <c r="AP135" i="11" s="1"/>
  <c r="AS136" i="7"/>
  <c r="AP136" i="11" s="1"/>
  <c r="AS137" i="7"/>
  <c r="AP137" i="11" s="1"/>
  <c r="AS138" i="7"/>
  <c r="AP138" i="11" s="1"/>
  <c r="AS139" i="7"/>
  <c r="AP139" i="11" s="1"/>
  <c r="AS140" i="7"/>
  <c r="AP140" i="11" s="1"/>
  <c r="AS141" i="7"/>
  <c r="AP141" i="11" s="1"/>
  <c r="AS142" i="7"/>
  <c r="AP142" i="11" s="1"/>
  <c r="AS143" i="7"/>
  <c r="AP143" i="11" s="1"/>
  <c r="AS144" i="7"/>
  <c r="AP144" i="11" s="1"/>
  <c r="AS145" i="7"/>
  <c r="AP145" i="11" s="1"/>
  <c r="AS146" i="7"/>
  <c r="AP146" i="11" s="1"/>
  <c r="AS147" i="7"/>
  <c r="AP147" i="11" s="1"/>
  <c r="AS148" i="7"/>
  <c r="AP148" i="11" s="1"/>
  <c r="AS149" i="7"/>
  <c r="AP149" i="11" s="1"/>
  <c r="AS150" i="7"/>
  <c r="AP150" i="11" s="1"/>
  <c r="AS151" i="7"/>
  <c r="AP151" i="11" s="1"/>
  <c r="AS152" i="7"/>
  <c r="AP152" i="11" s="1"/>
  <c r="AS153" i="7"/>
  <c r="AP153" i="11" s="1"/>
  <c r="AS154" i="7"/>
  <c r="AP154" i="11" s="1"/>
  <c r="AS155" i="7"/>
  <c r="AP155" i="11" s="1"/>
  <c r="AS156" i="7"/>
  <c r="AP156" i="11" s="1"/>
  <c r="AS157" i="7"/>
  <c r="AP157" i="11" s="1"/>
  <c r="AS158" i="7"/>
  <c r="AP158" i="11" s="1"/>
  <c r="AS159" i="7"/>
  <c r="AP159" i="11" s="1"/>
  <c r="AS160" i="7"/>
  <c r="AP160" i="11" s="1"/>
  <c r="AS161" i="7"/>
  <c r="AP161" i="11" s="1"/>
  <c r="AS162" i="7"/>
  <c r="AP162" i="11" s="1"/>
  <c r="AS163" i="7"/>
  <c r="AP163" i="11" s="1"/>
  <c r="AS164" i="7"/>
  <c r="AP164" i="11" s="1"/>
  <c r="AS165" i="7"/>
  <c r="AP165" i="11" s="1"/>
  <c r="AS166" i="7"/>
  <c r="AP166" i="11" s="1"/>
  <c r="AS167" i="7"/>
  <c r="AP167" i="11" s="1"/>
  <c r="AS168" i="7"/>
  <c r="AP168" i="11" s="1"/>
  <c r="AS169" i="7"/>
  <c r="AP169" i="11" s="1"/>
  <c r="AS170" i="7"/>
  <c r="AP170" i="11" s="1"/>
  <c r="AS171" i="7"/>
  <c r="AP171" i="11" s="1"/>
  <c r="AS172" i="7"/>
  <c r="AP172" i="11" s="1"/>
  <c r="AS173" i="7"/>
  <c r="AP173" i="11" s="1"/>
  <c r="AS174" i="7"/>
  <c r="AP174" i="11" s="1"/>
  <c r="AS175" i="7"/>
  <c r="AP175" i="11" s="1"/>
  <c r="AS176" i="7"/>
  <c r="AP176" i="11" s="1"/>
  <c r="AS177" i="7"/>
  <c r="AP177" i="11" s="1"/>
  <c r="AS178" i="7"/>
  <c r="AP178" i="11" s="1"/>
  <c r="AS179" i="7"/>
  <c r="AP179" i="11" s="1"/>
  <c r="AS180" i="7"/>
  <c r="AP180" i="11" s="1"/>
  <c r="AS181" i="7"/>
  <c r="AP181" i="11" s="1"/>
  <c r="AS182" i="7"/>
  <c r="AP182" i="11" s="1"/>
  <c r="AS183" i="7"/>
  <c r="AP183" i="11" s="1"/>
  <c r="AS184" i="7"/>
  <c r="AP184" i="11" s="1"/>
  <c r="AS185" i="7"/>
  <c r="AP185" i="11" s="1"/>
  <c r="AS186" i="7"/>
  <c r="AP186" i="11" s="1"/>
  <c r="AS187" i="7"/>
  <c r="AP187" i="11" s="1"/>
  <c r="AS188" i="7"/>
  <c r="AP188" i="11" s="1"/>
  <c r="AS189" i="7"/>
  <c r="AP189" i="11" s="1"/>
  <c r="AS190" i="7"/>
  <c r="AP190" i="11" s="1"/>
  <c r="AS191" i="7"/>
  <c r="AP191" i="11" s="1"/>
  <c r="AS192" i="7"/>
  <c r="AP192" i="11" s="1"/>
  <c r="AS193" i="7"/>
  <c r="AP193" i="11" s="1"/>
  <c r="AS194" i="7"/>
  <c r="AP194" i="11" s="1"/>
  <c r="AS195" i="7"/>
  <c r="AP195" i="11" s="1"/>
  <c r="AS196" i="7"/>
  <c r="AP196" i="11" s="1"/>
  <c r="AS197" i="7"/>
  <c r="AP197" i="11" s="1"/>
  <c r="AS198" i="7"/>
  <c r="AP198" i="11" s="1"/>
  <c r="AS199" i="7"/>
  <c r="AP199" i="11" s="1"/>
  <c r="AS200" i="7"/>
  <c r="AP200" i="11" s="1"/>
  <c r="AS201" i="7"/>
  <c r="AP201" i="11" s="1"/>
  <c r="AS202" i="7"/>
  <c r="AP202" i="11" s="1"/>
  <c r="AS203" i="7"/>
  <c r="AP203" i="11" s="1"/>
  <c r="AS204" i="7"/>
  <c r="AP204" i="11" s="1"/>
  <c r="AS205" i="7"/>
  <c r="AP205" i="11" s="1"/>
  <c r="AS206" i="7"/>
  <c r="AP206" i="11" s="1"/>
  <c r="AS207" i="7"/>
  <c r="AP207" i="11" s="1"/>
  <c r="AS208" i="7"/>
  <c r="AP208" i="11" s="1"/>
  <c r="AS209" i="7"/>
  <c r="AP209" i="11" s="1"/>
  <c r="AS210" i="7"/>
  <c r="AP210" i="11" s="1"/>
  <c r="AS211" i="7"/>
  <c r="AP211" i="11" s="1"/>
  <c r="AS212" i="7"/>
  <c r="AP212" i="11" s="1"/>
  <c r="AS213" i="7"/>
  <c r="AP213" i="11" s="1"/>
  <c r="AS214" i="7"/>
  <c r="AP214" i="11" s="1"/>
  <c r="AS215" i="7"/>
  <c r="AP215" i="11" s="1"/>
  <c r="AS216" i="7"/>
  <c r="AP216" i="11" s="1"/>
  <c r="AS217" i="7"/>
  <c r="AP217" i="11" s="1"/>
  <c r="AS218" i="7"/>
  <c r="AP218" i="11" s="1"/>
  <c r="AS219" i="7"/>
  <c r="AP219" i="11" s="1"/>
  <c r="AS220" i="7"/>
  <c r="AP220" i="11" s="1"/>
  <c r="AS221" i="7"/>
  <c r="AP221" i="11" s="1"/>
  <c r="AS222" i="7"/>
  <c r="AP222" i="11" s="1"/>
  <c r="AS223" i="7"/>
  <c r="AP223" i="11" s="1"/>
  <c r="AS224" i="7"/>
  <c r="AP224" i="11" s="1"/>
  <c r="AS225" i="7"/>
  <c r="AP225" i="11" s="1"/>
  <c r="AS226" i="7"/>
  <c r="AP226" i="11" s="1"/>
  <c r="AS227" i="7"/>
  <c r="AP227" i="11" s="1"/>
  <c r="AS228" i="7"/>
  <c r="AP228" i="11" s="1"/>
  <c r="AS229" i="7"/>
  <c r="AP229" i="11" s="1"/>
  <c r="AS230" i="7"/>
  <c r="AP230" i="11" s="1"/>
  <c r="AS231" i="7"/>
  <c r="AP231" i="11" s="1"/>
  <c r="AS232" i="7"/>
  <c r="AP232" i="11" s="1"/>
  <c r="AS233" i="7"/>
  <c r="AP233" i="11" s="1"/>
  <c r="AS234" i="7"/>
  <c r="AP234" i="11" s="1"/>
  <c r="AS235" i="7"/>
  <c r="AP235" i="11" s="1"/>
  <c r="AS236" i="7"/>
  <c r="AP236" i="11" s="1"/>
  <c r="AS237" i="7"/>
  <c r="AP237" i="11" s="1"/>
  <c r="AS238" i="7"/>
  <c r="AP238" i="11" s="1"/>
  <c r="AS239" i="7"/>
  <c r="AP239" i="11" s="1"/>
  <c r="AS240" i="7"/>
  <c r="AP240" i="11" s="1"/>
  <c r="AS241" i="7"/>
  <c r="AP241" i="11" s="1"/>
  <c r="AS242" i="7"/>
  <c r="AP242" i="11" s="1"/>
  <c r="AS243" i="7"/>
  <c r="AP243" i="11" s="1"/>
  <c r="AS244" i="7"/>
  <c r="AP244" i="11" s="1"/>
  <c r="AS245" i="7"/>
  <c r="AP245" i="11" s="1"/>
  <c r="AS246" i="7"/>
  <c r="AP246" i="11" s="1"/>
  <c r="AS247" i="7"/>
  <c r="AP247" i="11" s="1"/>
  <c r="AS248" i="7"/>
  <c r="AP248" i="11" s="1"/>
  <c r="AS249" i="7"/>
  <c r="AP249" i="11" s="1"/>
  <c r="AS250" i="7"/>
  <c r="AP250" i="11" s="1"/>
  <c r="AS251" i="7"/>
  <c r="AP251" i="11" s="1"/>
  <c r="AS252" i="7"/>
  <c r="AP252" i="11" s="1"/>
  <c r="AS253" i="7"/>
  <c r="AP253" i="11" s="1"/>
  <c r="AS254" i="7"/>
  <c r="AP254" i="11" s="1"/>
  <c r="AS255" i="7"/>
  <c r="AP255" i="11" s="1"/>
  <c r="AS256" i="7"/>
  <c r="AP256" i="11" s="1"/>
  <c r="AS257" i="7"/>
  <c r="AP257" i="11" s="1"/>
  <c r="AS258" i="7"/>
  <c r="AP258" i="11" s="1"/>
  <c r="AS259" i="7"/>
  <c r="AP259" i="11" s="1"/>
  <c r="AS260" i="7"/>
  <c r="AP260" i="11" s="1"/>
  <c r="AS261" i="7"/>
  <c r="AP261" i="11" s="1"/>
  <c r="AS262" i="7"/>
  <c r="AP262" i="11" s="1"/>
  <c r="AS263" i="7"/>
  <c r="AP263" i="11" s="1"/>
  <c r="AS264" i="7"/>
  <c r="AP264" i="11" s="1"/>
  <c r="AS265" i="7"/>
  <c r="AP265" i="11" s="1"/>
  <c r="AS266" i="7"/>
  <c r="AP266" i="11" s="1"/>
  <c r="AS267" i="7"/>
  <c r="AP267" i="11" s="1"/>
  <c r="AS268" i="7"/>
  <c r="AP268" i="11" s="1"/>
  <c r="AS269" i="7"/>
  <c r="AP269" i="11" s="1"/>
  <c r="AS270" i="7"/>
  <c r="AP270" i="11" s="1"/>
  <c r="AS271" i="7"/>
  <c r="AP271" i="11" s="1"/>
  <c r="AS272" i="7"/>
  <c r="AP272" i="11" s="1"/>
  <c r="AS273" i="7"/>
  <c r="AP273" i="11" s="1"/>
  <c r="AS274" i="7"/>
  <c r="AP274" i="11" s="1"/>
  <c r="AS275" i="7"/>
  <c r="AP275" i="11" s="1"/>
  <c r="AS276" i="7"/>
  <c r="AP276" i="11" s="1"/>
  <c r="AS277" i="7"/>
  <c r="AP277" i="11" s="1"/>
  <c r="AS278" i="7"/>
  <c r="AP278" i="11" s="1"/>
  <c r="AS279" i="7"/>
  <c r="AP279" i="11" s="1"/>
  <c r="AS280" i="7"/>
  <c r="AP280" i="11" s="1"/>
  <c r="AS281" i="7"/>
  <c r="AP281" i="11" s="1"/>
  <c r="AS282" i="7"/>
  <c r="AP282" i="11" s="1"/>
  <c r="AS283" i="7"/>
  <c r="AP283" i="11" s="1"/>
  <c r="AS284" i="7"/>
  <c r="AP284" i="11" s="1"/>
  <c r="AS285" i="7"/>
  <c r="AP285" i="11" s="1"/>
  <c r="AS286" i="7"/>
  <c r="AP286" i="11" s="1"/>
  <c r="AS287" i="7"/>
  <c r="AP287" i="11" s="1"/>
  <c r="AS288" i="7"/>
  <c r="AP288" i="11" s="1"/>
  <c r="AS289" i="7"/>
  <c r="AP289" i="11" s="1"/>
  <c r="AS290" i="7"/>
  <c r="AP290" i="11" s="1"/>
  <c r="AS291" i="7"/>
  <c r="AP291" i="11" s="1"/>
  <c r="AS292" i="7"/>
  <c r="AP292" i="11" s="1"/>
  <c r="AS293" i="7"/>
  <c r="AP293" i="11" s="1"/>
  <c r="AS294" i="7"/>
  <c r="AP294" i="11" s="1"/>
  <c r="AS295" i="7"/>
  <c r="AP295" i="11" s="1"/>
  <c r="AS296" i="7"/>
  <c r="AP296" i="11" s="1"/>
  <c r="AS297" i="7"/>
  <c r="AP297" i="11" s="1"/>
  <c r="AS298" i="7"/>
  <c r="AP298" i="11" s="1"/>
  <c r="AS299" i="7"/>
  <c r="AP299" i="11" s="1"/>
  <c r="AS300" i="7"/>
  <c r="AP300" i="11" s="1"/>
  <c r="AS301" i="7"/>
  <c r="AP301" i="11" s="1"/>
  <c r="AS302" i="7"/>
  <c r="AP302" i="11" s="1"/>
  <c r="AS303" i="7"/>
  <c r="AP303" i="11" s="1"/>
  <c r="AS304" i="7"/>
  <c r="AP304" i="11" s="1"/>
  <c r="AS5" i="7"/>
  <c r="AP5" i="11" s="1"/>
  <c r="BX367" i="7" l="1"/>
  <c r="AM367" i="11" s="1"/>
  <c r="AV367" i="11"/>
  <c r="AV457" i="11"/>
  <c r="CE392" i="7"/>
  <c r="AV392" i="11"/>
  <c r="CE457" i="7"/>
  <c r="U34" i="5"/>
  <c r="BX474" i="7"/>
  <c r="AM474" i="11" s="1"/>
  <c r="Y474" i="11"/>
  <c r="CE444" i="7"/>
  <c r="Y424" i="11"/>
  <c r="Y444" i="11"/>
  <c r="CE424" i="7"/>
  <c r="BX472" i="7"/>
  <c r="AM472" i="11" s="1"/>
  <c r="BX424" i="7"/>
  <c r="AM424" i="11" s="1"/>
  <c r="CE472" i="7"/>
  <c r="Y472" i="11"/>
  <c r="BC364" i="7"/>
  <c r="AV364" i="11" s="1"/>
  <c r="AX364" i="7"/>
  <c r="Y364" i="11" s="1"/>
  <c r="BC431" i="7"/>
  <c r="AV431" i="11" s="1"/>
  <c r="AX431" i="7"/>
  <c r="BC427" i="7"/>
  <c r="AX427" i="7"/>
  <c r="BC433" i="7"/>
  <c r="BX433" i="7" s="1"/>
  <c r="AM433" i="11" s="1"/>
  <c r="AX433" i="7"/>
  <c r="BC439" i="7"/>
  <c r="BX439" i="7" s="1"/>
  <c r="AM439" i="11" s="1"/>
  <c r="AX439" i="7"/>
  <c r="BC405" i="7"/>
  <c r="CE405" i="7" s="1"/>
  <c r="AX405" i="7"/>
  <c r="BC440" i="7"/>
  <c r="CE440" i="7" s="1"/>
  <c r="AX440" i="7"/>
  <c r="BC430" i="7"/>
  <c r="CE430" i="7" s="1"/>
  <c r="AX430" i="7"/>
  <c r="BC408" i="7"/>
  <c r="CE408" i="7" s="1"/>
  <c r="AX408" i="7"/>
  <c r="Y408" i="11" s="1"/>
  <c r="BC411" i="7"/>
  <c r="AV411" i="11" s="1"/>
  <c r="AX411" i="7"/>
  <c r="BC404" i="7"/>
  <c r="CE404" i="7" s="1"/>
  <c r="AX404" i="7"/>
  <c r="BC406" i="7"/>
  <c r="CE406" i="7" s="1"/>
  <c r="AX406" i="7"/>
  <c r="BC429" i="7"/>
  <c r="BX429" i="7" s="1"/>
  <c r="AM429" i="11" s="1"/>
  <c r="AX429" i="7"/>
  <c r="BC385" i="7"/>
  <c r="CE385" i="7" s="1"/>
  <c r="AX385" i="7"/>
  <c r="BC442" i="7"/>
  <c r="AX442" i="7"/>
  <c r="BC366" i="7"/>
  <c r="BX366" i="7" s="1"/>
  <c r="AM366" i="11" s="1"/>
  <c r="AX366" i="7"/>
  <c r="BC459" i="7"/>
  <c r="CE459" i="7" s="1"/>
  <c r="AX459" i="7"/>
  <c r="BC476" i="7"/>
  <c r="CE476" i="7" s="1"/>
  <c r="AX476" i="7"/>
  <c r="BC327" i="7"/>
  <c r="AV327" i="11" s="1"/>
  <c r="AX327" i="7"/>
  <c r="BC466" i="7"/>
  <c r="CE466" i="7" s="1"/>
  <c r="AX466" i="7"/>
  <c r="Y466" i="11" s="1"/>
  <c r="BC387" i="7"/>
  <c r="CE387" i="7" s="1"/>
  <c r="AX387" i="7"/>
  <c r="Y387" i="11" s="1"/>
  <c r="BC397" i="7"/>
  <c r="AV397" i="11" s="1"/>
  <c r="AX397" i="7"/>
  <c r="BC453" i="7"/>
  <c r="CE453" i="7" s="1"/>
  <c r="AX453" i="7"/>
  <c r="BC469" i="7"/>
  <c r="CE469" i="7" s="1"/>
  <c r="AX469" i="7"/>
  <c r="Y469" i="11" s="1"/>
  <c r="BC450" i="7"/>
  <c r="AV450" i="11" s="1"/>
  <c r="AX450" i="7"/>
  <c r="Y450" i="11" s="1"/>
  <c r="BC481" i="7"/>
  <c r="BX481" i="7" s="1"/>
  <c r="AM481" i="11" s="1"/>
  <c r="AX481" i="7"/>
  <c r="BC467" i="7"/>
  <c r="AX467" i="7"/>
  <c r="BC370" i="7"/>
  <c r="BX370" i="7" s="1"/>
  <c r="AM370" i="11" s="1"/>
  <c r="AX370" i="7"/>
  <c r="BC434" i="7"/>
  <c r="BX434" i="7" s="1"/>
  <c r="AM434" i="11" s="1"/>
  <c r="AX434" i="7"/>
  <c r="BC390" i="7"/>
  <c r="BX390" i="7" s="1"/>
  <c r="AM390" i="11" s="1"/>
  <c r="AX390" i="7"/>
  <c r="BC470" i="7"/>
  <c r="AV470" i="11" s="1"/>
  <c r="AX470" i="7"/>
  <c r="BC417" i="7"/>
  <c r="CE417" i="7" s="1"/>
  <c r="AX417" i="7"/>
  <c r="Y417" i="11" s="1"/>
  <c r="BC455" i="7"/>
  <c r="BX455" i="7" s="1"/>
  <c r="AM455" i="11" s="1"/>
  <c r="AX455" i="7"/>
  <c r="Y455" i="11" s="1"/>
  <c r="BC413" i="7"/>
  <c r="AV413" i="11" s="1"/>
  <c r="AX413" i="7"/>
  <c r="BC456" i="7"/>
  <c r="AV456" i="11" s="1"/>
  <c r="AX456" i="7"/>
  <c r="BC432" i="7"/>
  <c r="CE432" i="7" s="1"/>
  <c r="AX432" i="7"/>
  <c r="Y432" i="11" s="1"/>
  <c r="BC418" i="7"/>
  <c r="AV418" i="11" s="1"/>
  <c r="AX418" i="7"/>
  <c r="Y418" i="11" s="1"/>
  <c r="BC443" i="7"/>
  <c r="AX443" i="7"/>
  <c r="BC462" i="7"/>
  <c r="CE462" i="7" s="1"/>
  <c r="AX462" i="7"/>
  <c r="BC451" i="7"/>
  <c r="BX451" i="7" s="1"/>
  <c r="AM451" i="11" s="1"/>
  <c r="AX451" i="7"/>
  <c r="BC477" i="7"/>
  <c r="CE477" i="7" s="1"/>
  <c r="AX477" i="7"/>
  <c r="BC400" i="7"/>
  <c r="AV400" i="11" s="1"/>
  <c r="AX400" i="7"/>
  <c r="BC412" i="7"/>
  <c r="AX412" i="7"/>
  <c r="BC438" i="7"/>
  <c r="AV438" i="11" s="1"/>
  <c r="AX438" i="7"/>
  <c r="Y438" i="11" s="1"/>
  <c r="BC425" i="7"/>
  <c r="BX425" i="7" s="1"/>
  <c r="AM425" i="11" s="1"/>
  <c r="AX425" i="7"/>
  <c r="Y425" i="11" s="1"/>
  <c r="BC410" i="7"/>
  <c r="AV410" i="11" s="1"/>
  <c r="AX410" i="7"/>
  <c r="BC420" i="7"/>
  <c r="AX420" i="7"/>
  <c r="BC428" i="7"/>
  <c r="BX428" i="7" s="1"/>
  <c r="AM428" i="11" s="1"/>
  <c r="AX428" i="7"/>
  <c r="Y428" i="11" s="1"/>
  <c r="BC449" i="7"/>
  <c r="AX449" i="7"/>
  <c r="BC344" i="7"/>
  <c r="AV344" i="11" s="1"/>
  <c r="AX344" i="7"/>
  <c r="BC334" i="7"/>
  <c r="AX334" i="7"/>
  <c r="BC448" i="7"/>
  <c r="CE448" i="7" s="1"/>
  <c r="AX448" i="7"/>
  <c r="BC381" i="7"/>
  <c r="CE381" i="7" s="1"/>
  <c r="AX381" i="7"/>
  <c r="BC403" i="7"/>
  <c r="CE403" i="7" s="1"/>
  <c r="AX403" i="7"/>
  <c r="BC394" i="7"/>
  <c r="AV394" i="11" s="1"/>
  <c r="AX394" i="7"/>
  <c r="BC374" i="7"/>
  <c r="AV374" i="11" s="1"/>
  <c r="AX374" i="7"/>
  <c r="Y374" i="11" s="1"/>
  <c r="BC446" i="7"/>
  <c r="CE446" i="7" s="1"/>
  <c r="AX446" i="7"/>
  <c r="Y446" i="11" s="1"/>
  <c r="BC384" i="7"/>
  <c r="AV384" i="11" s="1"/>
  <c r="AX384" i="7"/>
  <c r="BC414" i="7"/>
  <c r="AX414" i="7"/>
  <c r="BC396" i="7"/>
  <c r="CE396" i="7" s="1"/>
  <c r="AX396" i="7"/>
  <c r="Y396" i="11" s="1"/>
  <c r="BC421" i="7"/>
  <c r="BX421" i="7" s="1"/>
  <c r="AM421" i="11" s="1"/>
  <c r="AX421" i="7"/>
  <c r="Y421" i="11" s="1"/>
  <c r="BC386" i="7"/>
  <c r="AX386" i="7"/>
  <c r="BC416" i="7"/>
  <c r="AX416" i="7"/>
  <c r="BC479" i="7"/>
  <c r="BX479" i="7" s="1"/>
  <c r="AM479" i="11" s="1"/>
  <c r="AX479" i="7"/>
  <c r="BC415" i="7"/>
  <c r="BX415" i="7" s="1"/>
  <c r="AM415" i="11" s="1"/>
  <c r="AX415" i="7"/>
  <c r="BC471" i="7"/>
  <c r="AV471" i="11" s="1"/>
  <c r="AX471" i="7"/>
  <c r="BC484" i="7"/>
  <c r="CE484" i="7" s="1"/>
  <c r="AX484" i="7"/>
  <c r="BC464" i="7"/>
  <c r="BX464" i="7" s="1"/>
  <c r="AM464" i="11" s="1"/>
  <c r="AX464" i="7"/>
  <c r="Y464" i="11" s="1"/>
  <c r="BC393" i="7"/>
  <c r="BX393" i="7" s="1"/>
  <c r="AM393" i="11" s="1"/>
  <c r="AX393" i="7"/>
  <c r="Y393" i="11" s="1"/>
  <c r="BC465" i="7"/>
  <c r="CE465" i="7" s="1"/>
  <c r="AX465" i="7"/>
  <c r="BC389" i="7"/>
  <c r="CE389" i="7" s="1"/>
  <c r="AX389" i="7"/>
  <c r="BC482" i="7"/>
  <c r="BX482" i="7" s="1"/>
  <c r="AM482" i="11" s="1"/>
  <c r="AX482" i="7"/>
  <c r="Y482" i="11" s="1"/>
  <c r="BC395" i="7"/>
  <c r="AV395" i="11" s="1"/>
  <c r="AX395" i="7"/>
  <c r="Y395" i="11" s="1"/>
  <c r="BC336" i="7"/>
  <c r="AV336" i="11" s="1"/>
  <c r="AX336" i="7"/>
  <c r="BC360" i="7"/>
  <c r="AX360" i="7"/>
  <c r="BC312" i="7"/>
  <c r="AV312" i="11" s="1"/>
  <c r="AX312" i="7"/>
  <c r="BC436" i="7"/>
  <c r="BX436" i="7" s="1"/>
  <c r="AM436" i="11" s="1"/>
  <c r="AX436" i="7"/>
  <c r="BC419" i="7"/>
  <c r="AV419" i="11" s="1"/>
  <c r="AX419" i="7"/>
  <c r="BC441" i="7"/>
  <c r="BX441" i="7" s="1"/>
  <c r="AM441" i="11" s="1"/>
  <c r="AX441" i="7"/>
  <c r="BC376" i="7"/>
  <c r="AV376" i="11" s="1"/>
  <c r="AX376" i="7"/>
  <c r="Y376" i="11" s="1"/>
  <c r="BC435" i="7"/>
  <c r="AV435" i="11" s="1"/>
  <c r="AX435" i="7"/>
  <c r="Y435" i="11" s="1"/>
  <c r="BC452" i="7"/>
  <c r="AV452" i="11" s="1"/>
  <c r="AX452" i="7"/>
  <c r="BC426" i="7"/>
  <c r="CE426" i="7" s="1"/>
  <c r="AX426" i="7"/>
  <c r="BC379" i="7"/>
  <c r="AV379" i="11" s="1"/>
  <c r="AX379" i="7"/>
  <c r="Y379" i="11" s="1"/>
  <c r="BC458" i="7"/>
  <c r="BX458" i="7" s="1"/>
  <c r="AM458" i="11" s="1"/>
  <c r="AX458" i="7"/>
  <c r="BC475" i="7"/>
  <c r="AV475" i="11" s="1"/>
  <c r="AX475" i="7"/>
  <c r="BC375" i="7"/>
  <c r="AX375" i="7"/>
  <c r="BC447" i="7"/>
  <c r="AV447" i="11" s="1"/>
  <c r="AX447" i="7"/>
  <c r="BC454" i="7"/>
  <c r="CE454" i="7" s="1"/>
  <c r="AX454" i="7"/>
  <c r="BC463" i="7"/>
  <c r="AV463" i="11" s="1"/>
  <c r="AX463" i="7"/>
  <c r="BC383" i="7"/>
  <c r="AV383" i="11" s="1"/>
  <c r="AX383" i="7"/>
  <c r="BC380" i="7"/>
  <c r="AV380" i="11" s="1"/>
  <c r="AX380" i="7"/>
  <c r="Y380" i="11" s="1"/>
  <c r="BC461" i="7"/>
  <c r="CE461" i="7" s="1"/>
  <c r="AX461" i="7"/>
  <c r="Y461" i="11" s="1"/>
  <c r="BC473" i="7"/>
  <c r="AV473" i="11" s="1"/>
  <c r="AX473" i="7"/>
  <c r="BC365" i="7"/>
  <c r="BX365" i="7" s="1"/>
  <c r="AM365" i="11" s="1"/>
  <c r="AX365" i="7"/>
  <c r="BC423" i="7"/>
  <c r="AV423" i="11" s="1"/>
  <c r="AX423" i="7"/>
  <c r="Y423" i="11" s="1"/>
  <c r="BC378" i="7"/>
  <c r="AV378" i="11" s="1"/>
  <c r="AX378" i="7"/>
  <c r="Y378" i="11" s="1"/>
  <c r="BC401" i="7"/>
  <c r="AV401" i="11" s="1"/>
  <c r="AX401" i="7"/>
  <c r="BC388" i="7"/>
  <c r="BX388" i="7" s="1"/>
  <c r="AM388" i="11" s="1"/>
  <c r="AX388" i="7"/>
  <c r="BC398" i="7"/>
  <c r="AV398" i="11" s="1"/>
  <c r="AX398" i="7"/>
  <c r="BC422" i="7"/>
  <c r="BX422" i="7" s="1"/>
  <c r="AM422" i="11" s="1"/>
  <c r="AX422" i="7"/>
  <c r="BC382" i="7"/>
  <c r="AV382" i="11" s="1"/>
  <c r="AX382" i="7"/>
  <c r="BC369" i="7"/>
  <c r="AX369" i="7"/>
  <c r="BC371" i="7"/>
  <c r="AV371" i="11" s="1"/>
  <c r="AX371" i="7"/>
  <c r="BC402" i="7"/>
  <c r="BX402" i="7" s="1"/>
  <c r="AM402" i="11" s="1"/>
  <c r="AX402" i="7"/>
  <c r="Y402" i="11" s="1"/>
  <c r="BC368" i="7"/>
  <c r="AV368" i="11" s="1"/>
  <c r="AX368" i="7"/>
  <c r="BC483" i="7"/>
  <c r="CE483" i="7" s="1"/>
  <c r="AX483" i="7"/>
  <c r="BC478" i="7"/>
  <c r="BX478" i="7" s="1"/>
  <c r="AM478" i="11" s="1"/>
  <c r="AX478" i="7"/>
  <c r="Y478" i="11" s="1"/>
  <c r="BC460" i="7"/>
  <c r="CE460" i="7" s="1"/>
  <c r="AX460" i="7"/>
  <c r="BC373" i="7"/>
  <c r="AV373" i="11" s="1"/>
  <c r="AX373" i="7"/>
  <c r="BC335" i="7"/>
  <c r="AX335" i="7"/>
  <c r="BC349" i="7"/>
  <c r="AV349" i="11" s="1"/>
  <c r="AX349" i="7"/>
  <c r="BC409" i="7"/>
  <c r="CE409" i="7" s="1"/>
  <c r="AX409" i="7"/>
  <c r="BC377" i="7"/>
  <c r="AV377" i="11" s="1"/>
  <c r="AX377" i="7"/>
  <c r="BC480" i="7"/>
  <c r="AX480" i="7"/>
  <c r="BC399" i="7"/>
  <c r="AV399" i="11" s="1"/>
  <c r="AX399" i="7"/>
  <c r="Y399" i="11" s="1"/>
  <c r="BC372" i="7"/>
  <c r="CE372" i="7" s="1"/>
  <c r="AX372" i="7"/>
  <c r="Y372" i="11" s="1"/>
  <c r="BC407" i="7"/>
  <c r="AV407" i="11" s="1"/>
  <c r="AX407" i="7"/>
  <c r="BC437" i="7"/>
  <c r="BX437" i="7" s="1"/>
  <c r="AM437" i="11" s="1"/>
  <c r="AX437" i="7"/>
  <c r="BC468" i="7"/>
  <c r="AV468" i="11" s="1"/>
  <c r="AX468" i="7"/>
  <c r="Y468" i="11" s="1"/>
  <c r="BC326" i="7"/>
  <c r="BX326" i="7" s="1"/>
  <c r="AM326" i="11" s="1"/>
  <c r="AX326" i="7"/>
  <c r="Y326" i="11" s="1"/>
  <c r="BZ16" i="11"/>
  <c r="H38" i="20" s="1"/>
  <c r="BY160" i="11"/>
  <c r="T37" i="20" s="1"/>
  <c r="BY40" i="11"/>
  <c r="J37" i="20" s="1"/>
  <c r="BY304" i="11"/>
  <c r="AF37" i="20" s="1"/>
  <c r="BY232" i="11"/>
  <c r="Z37" i="20" s="1"/>
  <c r="BY112" i="11"/>
  <c r="P37" i="20" s="1"/>
  <c r="BY64" i="11"/>
  <c r="L37" i="20" s="1"/>
  <c r="BY256" i="11"/>
  <c r="AB37" i="20" s="1"/>
  <c r="BY280" i="11"/>
  <c r="AD37" i="20" s="1"/>
  <c r="BY136" i="11"/>
  <c r="R37" i="20" s="1"/>
  <c r="BY208" i="11"/>
  <c r="X37" i="20" s="1"/>
  <c r="BY88" i="11"/>
  <c r="N37" i="20" s="1"/>
  <c r="BZ292" i="11"/>
  <c r="AE38" i="20" s="1"/>
  <c r="BZ268" i="11"/>
  <c r="AC38" i="20" s="1"/>
  <c r="BZ244" i="11"/>
  <c r="AA38" i="20" s="1"/>
  <c r="BZ220" i="11"/>
  <c r="Y38" i="20" s="1"/>
  <c r="BZ196" i="11"/>
  <c r="W38" i="20" s="1"/>
  <c r="BZ172" i="11"/>
  <c r="U38" i="20" s="1"/>
  <c r="BZ148" i="11"/>
  <c r="S38" i="20" s="1"/>
  <c r="BZ124" i="11"/>
  <c r="Q38" i="20" s="1"/>
  <c r="BZ100" i="11"/>
  <c r="O38" i="20" s="1"/>
  <c r="BZ76" i="11"/>
  <c r="M38" i="20" s="1"/>
  <c r="BZ52" i="11"/>
  <c r="K38" i="20" s="1"/>
  <c r="BZ28" i="11"/>
  <c r="I38" i="20" s="1"/>
  <c r="BY16" i="11"/>
  <c r="H37" i="20" s="1"/>
  <c r="BY292" i="11"/>
  <c r="AE37" i="20" s="1"/>
  <c r="BY268" i="11"/>
  <c r="AC37" i="20" s="1"/>
  <c r="BY244" i="11"/>
  <c r="AA37" i="20" s="1"/>
  <c r="BY220" i="11"/>
  <c r="Y37" i="20" s="1"/>
  <c r="BY196" i="11"/>
  <c r="W37" i="20" s="1"/>
  <c r="BY172" i="11"/>
  <c r="U37" i="20" s="1"/>
  <c r="BY148" i="11"/>
  <c r="S37" i="20" s="1"/>
  <c r="BY124" i="11"/>
  <c r="Q37" i="20" s="1"/>
  <c r="BY100" i="11"/>
  <c r="O37" i="20" s="1"/>
  <c r="BY76" i="11"/>
  <c r="M37" i="20" s="1"/>
  <c r="BY52" i="11"/>
  <c r="K37" i="20" s="1"/>
  <c r="BY28" i="11"/>
  <c r="I37" i="20" s="1"/>
  <c r="BZ304" i="11"/>
  <c r="AF38" i="20" s="1"/>
  <c r="BZ280" i="11"/>
  <c r="AD38" i="20" s="1"/>
  <c r="BZ256" i="11"/>
  <c r="AB38" i="20" s="1"/>
  <c r="BZ232" i="11"/>
  <c r="Z38" i="20" s="1"/>
  <c r="BZ208" i="11"/>
  <c r="X38" i="20" s="1"/>
  <c r="BZ184" i="11"/>
  <c r="V38" i="20" s="1"/>
  <c r="BZ160" i="11"/>
  <c r="T38" i="20" s="1"/>
  <c r="BZ136" i="11"/>
  <c r="R38" i="20" s="1"/>
  <c r="BZ112" i="11"/>
  <c r="P38" i="20" s="1"/>
  <c r="BZ88" i="11"/>
  <c r="N38" i="20" s="1"/>
  <c r="BZ64" i="11"/>
  <c r="L38" i="20" s="1"/>
  <c r="BZ40" i="11"/>
  <c r="J38" i="20" s="1"/>
  <c r="BY184" i="11"/>
  <c r="V37" i="20" s="1"/>
  <c r="AV335" i="11"/>
  <c r="AV326" i="11"/>
  <c r="AV458" i="11"/>
  <c r="AV478" i="11"/>
  <c r="Y460" i="11"/>
  <c r="AV460" i="11"/>
  <c r="Y459" i="11"/>
  <c r="B340" i="11"/>
  <c r="AH3" i="20"/>
  <c r="AV405" i="11"/>
  <c r="AV390" i="11"/>
  <c r="AV428" i="11"/>
  <c r="AV403" i="11"/>
  <c r="AV396" i="11"/>
  <c r="Y415" i="11"/>
  <c r="AV415" i="11"/>
  <c r="Y471" i="11"/>
  <c r="M474" i="2"/>
  <c r="U474" i="11" s="1"/>
  <c r="AG474" i="7"/>
  <c r="AH474" i="7" s="1"/>
  <c r="AG364" i="7"/>
  <c r="AH364" i="7" s="1"/>
  <c r="M364" i="2"/>
  <c r="U364" i="11" s="1"/>
  <c r="M458" i="2"/>
  <c r="U458" i="11" s="1"/>
  <c r="V458" i="11"/>
  <c r="M326" i="2"/>
  <c r="U326" i="11" s="1"/>
  <c r="V326" i="11"/>
  <c r="M334" i="2"/>
  <c r="U334" i="11" s="1"/>
  <c r="V334" i="11"/>
  <c r="M344" i="2"/>
  <c r="U344" i="11" s="1"/>
  <c r="V344" i="11"/>
  <c r="AG424" i="7"/>
  <c r="AH424" i="7" s="1"/>
  <c r="V424" i="11"/>
  <c r="M327" i="2"/>
  <c r="U327" i="11" s="1"/>
  <c r="V327" i="11"/>
  <c r="AG472" i="7"/>
  <c r="AH472" i="7" s="1"/>
  <c r="V472" i="11"/>
  <c r="M391" i="2"/>
  <c r="U391" i="11" s="1"/>
  <c r="V391" i="11"/>
  <c r="M367" i="2"/>
  <c r="U367" i="11" s="1"/>
  <c r="V367" i="11"/>
  <c r="M445" i="2"/>
  <c r="U445" i="11" s="1"/>
  <c r="V445" i="11"/>
  <c r="M363" i="2"/>
  <c r="U363" i="11" s="1"/>
  <c r="V363" i="11"/>
  <c r="M449" i="2"/>
  <c r="U449" i="11" s="1"/>
  <c r="V449" i="11"/>
  <c r="M349" i="2"/>
  <c r="U349" i="11" s="1"/>
  <c r="V349" i="11"/>
  <c r="AG457" i="7"/>
  <c r="AH457" i="7" s="1"/>
  <c r="V457" i="11"/>
  <c r="AG336" i="7"/>
  <c r="AH336" i="7" s="1"/>
  <c r="V336" i="11"/>
  <c r="AG392" i="7"/>
  <c r="AH392" i="7" s="1"/>
  <c r="V392" i="11"/>
  <c r="M312" i="2"/>
  <c r="U312" i="11" s="1"/>
  <c r="V312" i="11"/>
  <c r="AG449" i="7"/>
  <c r="AH449" i="7" s="1"/>
  <c r="AG458" i="7"/>
  <c r="AH458" i="7" s="1"/>
  <c r="AG327" i="7"/>
  <c r="AH327" i="7" s="1"/>
  <c r="M472" i="2"/>
  <c r="U472" i="11" s="1"/>
  <c r="M457" i="2"/>
  <c r="U457" i="11" s="1"/>
  <c r="M424" i="2"/>
  <c r="U424" i="11" s="1"/>
  <c r="AG391" i="7"/>
  <c r="AH391" i="7" s="1"/>
  <c r="AG326" i="7"/>
  <c r="AH326" i="7" s="1"/>
  <c r="M336" i="2"/>
  <c r="U336" i="11" s="1"/>
  <c r="AG363" i="7"/>
  <c r="AH363" i="7" s="1"/>
  <c r="M392" i="2"/>
  <c r="U392" i="11" s="1"/>
  <c r="AG349" i="7"/>
  <c r="AH349" i="7" s="1"/>
  <c r="AG344" i="7"/>
  <c r="AH344" i="7" s="1"/>
  <c r="AG445" i="7"/>
  <c r="AH445" i="7" s="1"/>
  <c r="AG367" i="7"/>
  <c r="AH367" i="7" s="1"/>
  <c r="V357" i="7"/>
  <c r="AE357" i="7" s="1"/>
  <c r="AF357" i="7" s="1"/>
  <c r="K357" i="2" s="1"/>
  <c r="L357" i="2" s="1"/>
  <c r="V362" i="7"/>
  <c r="AE362" i="7" s="1"/>
  <c r="AF362" i="7" s="1"/>
  <c r="K362" i="2" s="1"/>
  <c r="L362" i="2" s="1"/>
  <c r="V346" i="7"/>
  <c r="AE346" i="7" s="1"/>
  <c r="AF346" i="7" s="1"/>
  <c r="K346" i="2" s="1"/>
  <c r="L346" i="2" s="1"/>
  <c r="V329" i="7"/>
  <c r="AE329" i="7" s="1"/>
  <c r="AF329" i="7" s="1"/>
  <c r="K329" i="2" s="1"/>
  <c r="L329" i="2" s="1"/>
  <c r="V351" i="7"/>
  <c r="AE351" i="7" s="1"/>
  <c r="AF351" i="7" s="1"/>
  <c r="K351" i="2" s="1"/>
  <c r="L351" i="2" s="1"/>
  <c r="V339" i="7"/>
  <c r="AE339" i="7" s="1"/>
  <c r="AF339" i="7" s="1"/>
  <c r="K339" i="2" s="1"/>
  <c r="L339" i="2" s="1"/>
  <c r="V314" i="7"/>
  <c r="AE314" i="7" s="1"/>
  <c r="AF314" i="7" s="1"/>
  <c r="K314" i="2" s="1"/>
  <c r="L314" i="2" s="1"/>
  <c r="V456" i="7"/>
  <c r="AE456" i="7" s="1"/>
  <c r="AF456" i="7" s="1"/>
  <c r="K456" i="2" s="1"/>
  <c r="L456" i="2" s="1"/>
  <c r="V371" i="7"/>
  <c r="AE371" i="7" s="1"/>
  <c r="AF371" i="7" s="1"/>
  <c r="K371" i="2" s="1"/>
  <c r="L371" i="2" s="1"/>
  <c r="V442" i="7"/>
  <c r="AE442" i="7" s="1"/>
  <c r="AF442" i="7" s="1"/>
  <c r="K442" i="2" s="1"/>
  <c r="L442" i="2" s="1"/>
  <c r="V463" i="7"/>
  <c r="AE463" i="7" s="1"/>
  <c r="AF463" i="7" s="1"/>
  <c r="K463" i="2" s="1"/>
  <c r="L463" i="2" s="1"/>
  <c r="V384" i="7"/>
  <c r="AE384" i="7" s="1"/>
  <c r="AF384" i="7" s="1"/>
  <c r="K384" i="2" s="1"/>
  <c r="L384" i="2" s="1"/>
  <c r="V453" i="7"/>
  <c r="AE453" i="7" s="1"/>
  <c r="AF453" i="7" s="1"/>
  <c r="K453" i="2" s="1"/>
  <c r="L453" i="2" s="1"/>
  <c r="V469" i="7"/>
  <c r="AE469" i="7" s="1"/>
  <c r="AF469" i="7" s="1"/>
  <c r="K469" i="2" s="1"/>
  <c r="L469" i="2" s="1"/>
  <c r="V450" i="7"/>
  <c r="AE450" i="7" s="1"/>
  <c r="AF450" i="7" s="1"/>
  <c r="K450" i="2" s="1"/>
  <c r="L450" i="2" s="1"/>
  <c r="V481" i="7"/>
  <c r="AE481" i="7" s="1"/>
  <c r="AF481" i="7" s="1"/>
  <c r="K481" i="2" s="1"/>
  <c r="L481" i="2" s="1"/>
  <c r="V378" i="7"/>
  <c r="AE378" i="7" s="1"/>
  <c r="AF378" i="7" s="1"/>
  <c r="K378" i="2" s="1"/>
  <c r="L378" i="2" s="1"/>
  <c r="V401" i="7"/>
  <c r="AE401" i="7" s="1"/>
  <c r="AF401" i="7" s="1"/>
  <c r="K401" i="2" s="1"/>
  <c r="L401" i="2" s="1"/>
  <c r="V462" i="7"/>
  <c r="AE462" i="7" s="1"/>
  <c r="AF462" i="7" s="1"/>
  <c r="K462" i="2" s="1"/>
  <c r="L462" i="2" s="1"/>
  <c r="V422" i="7"/>
  <c r="AE422" i="7" s="1"/>
  <c r="AF422" i="7" s="1"/>
  <c r="K422" i="2" s="1"/>
  <c r="L422" i="2" s="1"/>
  <c r="V464" i="7"/>
  <c r="AE464" i="7" s="1"/>
  <c r="AF464" i="7" s="1"/>
  <c r="K464" i="2" s="1"/>
  <c r="L464" i="2" s="1"/>
  <c r="V470" i="7"/>
  <c r="AE470" i="7" s="1"/>
  <c r="AF470" i="7" s="1"/>
  <c r="K470" i="2" s="1"/>
  <c r="L470" i="2" s="1"/>
  <c r="V417" i="7"/>
  <c r="AE417" i="7" s="1"/>
  <c r="AF417" i="7" s="1"/>
  <c r="K417" i="2" s="1"/>
  <c r="L417" i="2" s="1"/>
  <c r="V455" i="7"/>
  <c r="AE455" i="7" s="1"/>
  <c r="AF455" i="7" s="1"/>
  <c r="K455" i="2" s="1"/>
  <c r="L455" i="2" s="1"/>
  <c r="V444" i="7"/>
  <c r="AE444" i="7" s="1"/>
  <c r="AF444" i="7" s="1"/>
  <c r="K444" i="2" s="1"/>
  <c r="L444" i="2" s="1"/>
  <c r="V444" i="11" s="1"/>
  <c r="V358" i="7"/>
  <c r="AE358" i="7" s="1"/>
  <c r="AF358" i="7" s="1"/>
  <c r="K358" i="2" s="1"/>
  <c r="L358" i="2" s="1"/>
  <c r="V440" i="7"/>
  <c r="AE440" i="7" s="1"/>
  <c r="AF440" i="7" s="1"/>
  <c r="K440" i="2" s="1"/>
  <c r="L440" i="2" s="1"/>
  <c r="V330" i="7"/>
  <c r="AE330" i="7" s="1"/>
  <c r="AF330" i="7" s="1"/>
  <c r="K330" i="2" s="1"/>
  <c r="L330" i="2" s="1"/>
  <c r="V345" i="7"/>
  <c r="AE345" i="7" s="1"/>
  <c r="AF345" i="7" s="1"/>
  <c r="K345" i="2" s="1"/>
  <c r="L345" i="2" s="1"/>
  <c r="V353" i="7"/>
  <c r="AE353" i="7" s="1"/>
  <c r="AF353" i="7" s="1"/>
  <c r="K353" i="2" s="1"/>
  <c r="L353" i="2" s="1"/>
  <c r="V311" i="7"/>
  <c r="AE311" i="7" s="1"/>
  <c r="AF311" i="7" s="1"/>
  <c r="K311" i="2" s="1"/>
  <c r="L311" i="2" s="1"/>
  <c r="V350" i="7"/>
  <c r="AE350" i="7" s="1"/>
  <c r="AF350" i="7" s="1"/>
  <c r="K350" i="2" s="1"/>
  <c r="L350" i="2" s="1"/>
  <c r="V360" i="7"/>
  <c r="AE360" i="7" s="1"/>
  <c r="AF360" i="7" s="1"/>
  <c r="K360" i="2" s="1"/>
  <c r="L360" i="2" s="1"/>
  <c r="V409" i="7"/>
  <c r="AE409" i="7" s="1"/>
  <c r="AF409" i="7" s="1"/>
  <c r="K409" i="2" s="1"/>
  <c r="L409" i="2" s="1"/>
  <c r="V377" i="7"/>
  <c r="AE377" i="7" s="1"/>
  <c r="AF377" i="7" s="1"/>
  <c r="K377" i="2" s="1"/>
  <c r="L377" i="2" s="1"/>
  <c r="V419" i="7"/>
  <c r="AE419" i="7" s="1"/>
  <c r="AF419" i="7" s="1"/>
  <c r="K419" i="2" s="1"/>
  <c r="L419" i="2" s="1"/>
  <c r="V400" i="7"/>
  <c r="AE400" i="7" s="1"/>
  <c r="AF400" i="7" s="1"/>
  <c r="K400" i="2" s="1"/>
  <c r="L400" i="2" s="1"/>
  <c r="V430" i="7"/>
  <c r="AE430" i="7" s="1"/>
  <c r="AF430" i="7" s="1"/>
  <c r="K430" i="2" s="1"/>
  <c r="L430" i="2" s="1"/>
  <c r="V408" i="7"/>
  <c r="AE408" i="7" s="1"/>
  <c r="AF408" i="7" s="1"/>
  <c r="K408" i="2" s="1"/>
  <c r="L408" i="2" s="1"/>
  <c r="V411" i="7"/>
  <c r="AE411" i="7" s="1"/>
  <c r="AF411" i="7" s="1"/>
  <c r="K411" i="2" s="1"/>
  <c r="L411" i="2" s="1"/>
  <c r="V435" i="7"/>
  <c r="AE435" i="7" s="1"/>
  <c r="AF435" i="7" s="1"/>
  <c r="K435" i="2" s="1"/>
  <c r="L435" i="2" s="1"/>
  <c r="V429" i="7"/>
  <c r="AE429" i="7" s="1"/>
  <c r="AF429" i="7" s="1"/>
  <c r="K429" i="2" s="1"/>
  <c r="L429" i="2" s="1"/>
  <c r="V437" i="7"/>
  <c r="AE437" i="7" s="1"/>
  <c r="AF437" i="7" s="1"/>
  <c r="K437" i="2" s="1"/>
  <c r="L437" i="2" s="1"/>
  <c r="V468" i="7"/>
  <c r="AE468" i="7" s="1"/>
  <c r="AF468" i="7" s="1"/>
  <c r="K468" i="2" s="1"/>
  <c r="L468" i="2" s="1"/>
  <c r="V310" i="7"/>
  <c r="AE310" i="7" s="1"/>
  <c r="AF310" i="7" s="1"/>
  <c r="K310" i="2" s="1"/>
  <c r="L310" i="2" s="1"/>
  <c r="V436" i="7"/>
  <c r="AE436" i="7" s="1"/>
  <c r="AF436" i="7" s="1"/>
  <c r="K436" i="2" s="1"/>
  <c r="L436" i="2" s="1"/>
  <c r="V321" i="7"/>
  <c r="AE321" i="7" s="1"/>
  <c r="AF321" i="7" s="1"/>
  <c r="K321" i="2" s="1"/>
  <c r="L321" i="2" s="1"/>
  <c r="V313" i="7"/>
  <c r="AE313" i="7" s="1"/>
  <c r="AF313" i="7" s="1"/>
  <c r="K313" i="2" s="1"/>
  <c r="L313" i="2" s="1"/>
  <c r="V337" i="7"/>
  <c r="AE337" i="7" s="1"/>
  <c r="AF337" i="7" s="1"/>
  <c r="K337" i="2" s="1"/>
  <c r="L337" i="2" s="1"/>
  <c r="V352" i="7"/>
  <c r="AE352" i="7" s="1"/>
  <c r="AF352" i="7" s="1"/>
  <c r="K352" i="2" s="1"/>
  <c r="L352" i="2" s="1"/>
  <c r="V317" i="7"/>
  <c r="AE317" i="7" s="1"/>
  <c r="AF317" i="7" s="1"/>
  <c r="K317" i="2" s="1"/>
  <c r="L317" i="2" s="1"/>
  <c r="V317" i="11" s="1"/>
  <c r="V319" i="7"/>
  <c r="AE319" i="7" s="1"/>
  <c r="AF319" i="7" s="1"/>
  <c r="K319" i="2" s="1"/>
  <c r="L319" i="2" s="1"/>
  <c r="V338" i="7"/>
  <c r="AE338" i="7" s="1"/>
  <c r="AF338" i="7" s="1"/>
  <c r="K338" i="2" s="1"/>
  <c r="L338" i="2" s="1"/>
  <c r="V354" i="7"/>
  <c r="AE354" i="7" s="1"/>
  <c r="AF354" i="7" s="1"/>
  <c r="K354" i="2" s="1"/>
  <c r="L354" i="2" s="1"/>
  <c r="V322" i="7"/>
  <c r="AE322" i="7" s="1"/>
  <c r="AF322" i="7" s="1"/>
  <c r="K322" i="2" s="1"/>
  <c r="L322" i="2" s="1"/>
  <c r="V466" i="7"/>
  <c r="AE466" i="7" s="1"/>
  <c r="AF466" i="7" s="1"/>
  <c r="K466" i="2" s="1"/>
  <c r="L466" i="2" s="1"/>
  <c r="V387" i="7"/>
  <c r="AE387" i="7" s="1"/>
  <c r="AF387" i="7" s="1"/>
  <c r="K387" i="2" s="1"/>
  <c r="L387" i="2" s="1"/>
  <c r="V402" i="7"/>
  <c r="AE402" i="7" s="1"/>
  <c r="AF402" i="7" s="1"/>
  <c r="K402" i="2" s="1"/>
  <c r="L402" i="2" s="1"/>
  <c r="V432" i="7"/>
  <c r="AE432" i="7" s="1"/>
  <c r="AF432" i="7" s="1"/>
  <c r="K432" i="2" s="1"/>
  <c r="L432" i="2" s="1"/>
  <c r="V432" i="11" s="1"/>
  <c r="V383" i="7"/>
  <c r="AE383" i="7" s="1"/>
  <c r="AF383" i="7" s="1"/>
  <c r="K383" i="2" s="1"/>
  <c r="L383" i="2" s="1"/>
  <c r="V414" i="7"/>
  <c r="AE414" i="7" s="1"/>
  <c r="AF414" i="7" s="1"/>
  <c r="K414" i="2" s="1"/>
  <c r="L414" i="2" s="1"/>
  <c r="V396" i="7"/>
  <c r="AE396" i="7" s="1"/>
  <c r="AF396" i="7" s="1"/>
  <c r="K396" i="2" s="1"/>
  <c r="L396" i="2" s="1"/>
  <c r="V421" i="7"/>
  <c r="AE421" i="7" s="1"/>
  <c r="AF421" i="7" s="1"/>
  <c r="K421" i="2" s="1"/>
  <c r="L421" i="2" s="1"/>
  <c r="V386" i="7"/>
  <c r="AE386" i="7" s="1"/>
  <c r="AF386" i="7" s="1"/>
  <c r="K386" i="2" s="1"/>
  <c r="L386" i="2" s="1"/>
  <c r="V478" i="7"/>
  <c r="AE478" i="7" s="1"/>
  <c r="AF478" i="7" s="1"/>
  <c r="K478" i="2" s="1"/>
  <c r="L478" i="2" s="1"/>
  <c r="V366" i="7"/>
  <c r="AE366" i="7" s="1"/>
  <c r="AF366" i="7" s="1"/>
  <c r="V370" i="7"/>
  <c r="AE370" i="7" s="1"/>
  <c r="AF370" i="7" s="1"/>
  <c r="K370" i="2" s="1"/>
  <c r="L370" i="2" s="1"/>
  <c r="V370" i="11" s="1"/>
  <c r="V460" i="7"/>
  <c r="AE460" i="7" s="1"/>
  <c r="AF460" i="7" s="1"/>
  <c r="K460" i="2" s="1"/>
  <c r="L460" i="2" s="1"/>
  <c r="V459" i="7"/>
  <c r="AE459" i="7" s="1"/>
  <c r="AF459" i="7" s="1"/>
  <c r="K459" i="2" s="1"/>
  <c r="L459" i="2" s="1"/>
  <c r="V393" i="7"/>
  <c r="AE393" i="7" s="1"/>
  <c r="AF393" i="7" s="1"/>
  <c r="K393" i="2" s="1"/>
  <c r="L393" i="2" s="1"/>
  <c r="V465" i="7"/>
  <c r="AE465" i="7" s="1"/>
  <c r="AF465" i="7" s="1"/>
  <c r="K465" i="2" s="1"/>
  <c r="L465" i="2" s="1"/>
  <c r="V389" i="7"/>
  <c r="AE389" i="7" s="1"/>
  <c r="AF389" i="7" s="1"/>
  <c r="K389" i="2" s="1"/>
  <c r="L389" i="2" s="1"/>
  <c r="V413" i="7"/>
  <c r="AE413" i="7" s="1"/>
  <c r="AF413" i="7" s="1"/>
  <c r="K413" i="2" s="1"/>
  <c r="L413" i="2" s="1"/>
  <c r="V379" i="7"/>
  <c r="AE379" i="7" s="1"/>
  <c r="AF379" i="7" s="1"/>
  <c r="K379" i="2" s="1"/>
  <c r="L379" i="2" s="1"/>
  <c r="V318" i="7"/>
  <c r="AE318" i="7" s="1"/>
  <c r="AF318" i="7" s="1"/>
  <c r="K318" i="2" s="1"/>
  <c r="L318" i="2" s="1"/>
  <c r="V318" i="11" s="1"/>
  <c r="V361" i="7"/>
  <c r="AE361" i="7" s="1"/>
  <c r="AF361" i="7" s="1"/>
  <c r="K361" i="2" s="1"/>
  <c r="L361" i="2" s="1"/>
  <c r="V343" i="7"/>
  <c r="AE343" i="7" s="1"/>
  <c r="AF343" i="7" s="1"/>
  <c r="K343" i="2" s="1"/>
  <c r="L343" i="2" s="1"/>
  <c r="V307" i="7"/>
  <c r="AE307" i="7" s="1"/>
  <c r="AF307" i="7" s="1"/>
  <c r="K307" i="2" s="1"/>
  <c r="L307" i="2" s="1"/>
  <c r="V308" i="7"/>
  <c r="AE308" i="7" s="1"/>
  <c r="AF308" i="7" s="1"/>
  <c r="K308" i="2" s="1"/>
  <c r="L308" i="2" s="1"/>
  <c r="V431" i="7"/>
  <c r="AE431" i="7" s="1"/>
  <c r="AF431" i="7" s="1"/>
  <c r="K431" i="2" s="1"/>
  <c r="L431" i="2" s="1"/>
  <c r="V427" i="7"/>
  <c r="AE427" i="7" s="1"/>
  <c r="AF427" i="7" s="1"/>
  <c r="K427" i="2" s="1"/>
  <c r="L427" i="2" s="1"/>
  <c r="V433" i="7"/>
  <c r="AE433" i="7" s="1"/>
  <c r="AF433" i="7" s="1"/>
  <c r="K433" i="2" s="1"/>
  <c r="L433" i="2" s="1"/>
  <c r="V412" i="7"/>
  <c r="AE412" i="7" s="1"/>
  <c r="AF412" i="7" s="1"/>
  <c r="K412" i="2" s="1"/>
  <c r="L412" i="2" s="1"/>
  <c r="V412" i="11" s="1"/>
  <c r="V438" i="7"/>
  <c r="AE438" i="7" s="1"/>
  <c r="AF438" i="7" s="1"/>
  <c r="K438" i="2" s="1"/>
  <c r="L438" i="2" s="1"/>
  <c r="V425" i="7"/>
  <c r="AE425" i="7" s="1"/>
  <c r="AF425" i="7" s="1"/>
  <c r="K425" i="2" s="1"/>
  <c r="L425" i="2" s="1"/>
  <c r="V372" i="7"/>
  <c r="AE372" i="7" s="1"/>
  <c r="AF372" i="7" s="1"/>
  <c r="K372" i="2" s="1"/>
  <c r="L372" i="2" s="1"/>
  <c r="V420" i="7"/>
  <c r="AE420" i="7" s="1"/>
  <c r="AF420" i="7" s="1"/>
  <c r="K420" i="2" s="1"/>
  <c r="L420" i="2" s="1"/>
  <c r="V385" i="7"/>
  <c r="AE385" i="7" s="1"/>
  <c r="AF385" i="7" s="1"/>
  <c r="K385" i="2" s="1"/>
  <c r="L385" i="2" s="1"/>
  <c r="V309" i="7"/>
  <c r="AE309" i="7" s="1"/>
  <c r="AF309" i="7" s="1"/>
  <c r="K309" i="2" s="1"/>
  <c r="L309" i="2" s="1"/>
  <c r="V305" i="7"/>
  <c r="AE305" i="7" s="1"/>
  <c r="AF305" i="7" s="1"/>
  <c r="K305" i="2" s="1"/>
  <c r="L305" i="2" s="1"/>
  <c r="V399" i="7"/>
  <c r="AE399" i="7" s="1"/>
  <c r="AF399" i="7" s="1"/>
  <c r="K399" i="2" s="1"/>
  <c r="L399" i="2" s="1"/>
  <c r="V331" i="7"/>
  <c r="AE331" i="7" s="1"/>
  <c r="AF331" i="7" s="1"/>
  <c r="K331" i="2" s="1"/>
  <c r="L331" i="2" s="1"/>
  <c r="V323" i="7"/>
  <c r="AE323" i="7" s="1"/>
  <c r="AF323" i="7" s="1"/>
  <c r="K323" i="2" s="1"/>
  <c r="L323" i="2" s="1"/>
  <c r="V328" i="7"/>
  <c r="AE328" i="7" s="1"/>
  <c r="AF328" i="7" s="1"/>
  <c r="K328" i="2" s="1"/>
  <c r="L328" i="2" s="1"/>
  <c r="V316" i="7"/>
  <c r="AE316" i="7" s="1"/>
  <c r="AF316" i="7" s="1"/>
  <c r="K316" i="2" s="1"/>
  <c r="L316" i="2" s="1"/>
  <c r="V347" i="7"/>
  <c r="AE347" i="7" s="1"/>
  <c r="AF347" i="7" s="1"/>
  <c r="K347" i="2" s="1"/>
  <c r="L347" i="2" s="1"/>
  <c r="V448" i="7"/>
  <c r="AE448" i="7" s="1"/>
  <c r="AF448" i="7" s="1"/>
  <c r="K448" i="2" s="1"/>
  <c r="L448" i="2" s="1"/>
  <c r="V381" i="7"/>
  <c r="AE381" i="7" s="1"/>
  <c r="AF381" i="7" s="1"/>
  <c r="K381" i="2" s="1"/>
  <c r="L381" i="2" s="1"/>
  <c r="V403" i="7"/>
  <c r="AE403" i="7" s="1"/>
  <c r="AF403" i="7" s="1"/>
  <c r="K403" i="2" s="1"/>
  <c r="L403" i="2" s="1"/>
  <c r="V394" i="7"/>
  <c r="AE394" i="7" s="1"/>
  <c r="AF394" i="7" s="1"/>
  <c r="K394" i="2" s="1"/>
  <c r="L394" i="2" s="1"/>
  <c r="V397" i="7"/>
  <c r="AE397" i="7" s="1"/>
  <c r="AF397" i="7" s="1"/>
  <c r="K397" i="2" s="1"/>
  <c r="L397" i="2" s="1"/>
  <c r="V380" i="7"/>
  <c r="AE380" i="7" s="1"/>
  <c r="AF380" i="7" s="1"/>
  <c r="K380" i="2" s="1"/>
  <c r="L380" i="2" s="1"/>
  <c r="V461" i="7"/>
  <c r="AE461" i="7" s="1"/>
  <c r="AF461" i="7" s="1"/>
  <c r="K461" i="2" s="1"/>
  <c r="L461" i="2" s="1"/>
  <c r="V473" i="7"/>
  <c r="AE473" i="7" s="1"/>
  <c r="AF473" i="7" s="1"/>
  <c r="K473" i="2" s="1"/>
  <c r="L473" i="2" s="1"/>
  <c r="V365" i="7"/>
  <c r="AE365" i="7" s="1"/>
  <c r="AF365" i="7" s="1"/>
  <c r="K365" i="2" s="1"/>
  <c r="L365" i="2" s="1"/>
  <c r="V423" i="7"/>
  <c r="AE423" i="7" s="1"/>
  <c r="AF423" i="7" s="1"/>
  <c r="K423" i="2" s="1"/>
  <c r="L423" i="2" s="1"/>
  <c r="V416" i="7"/>
  <c r="AE416" i="7" s="1"/>
  <c r="AF416" i="7" s="1"/>
  <c r="K416" i="2" s="1"/>
  <c r="L416" i="2" s="1"/>
  <c r="V467" i="7"/>
  <c r="AE467" i="7" s="1"/>
  <c r="AF467" i="7" s="1"/>
  <c r="K467" i="2" s="1"/>
  <c r="L467" i="2" s="1"/>
  <c r="V415" i="7"/>
  <c r="AE415" i="7" s="1"/>
  <c r="AF415" i="7" s="1"/>
  <c r="K415" i="2" s="1"/>
  <c r="L415" i="2" s="1"/>
  <c r="V471" i="7"/>
  <c r="AE471" i="7" s="1"/>
  <c r="AF471" i="7" s="1"/>
  <c r="K471" i="2" s="1"/>
  <c r="L471" i="2" s="1"/>
  <c r="V434" i="7"/>
  <c r="AE434" i="7" s="1"/>
  <c r="AF434" i="7" s="1"/>
  <c r="K434" i="2" s="1"/>
  <c r="L434" i="2" s="1"/>
  <c r="V390" i="7"/>
  <c r="AE390" i="7" s="1"/>
  <c r="AF390" i="7" s="1"/>
  <c r="K390" i="2" s="1"/>
  <c r="L390" i="2" s="1"/>
  <c r="V382" i="7"/>
  <c r="AE382" i="7" s="1"/>
  <c r="AF382" i="7" s="1"/>
  <c r="K382" i="2" s="1"/>
  <c r="L382" i="2" s="1"/>
  <c r="V335" i="7"/>
  <c r="AE335" i="7" s="1"/>
  <c r="AF335" i="7" s="1"/>
  <c r="K335" i="2" s="1"/>
  <c r="L335" i="2" s="1"/>
  <c r="V407" i="7"/>
  <c r="AE407" i="7" s="1"/>
  <c r="AF407" i="7" s="1"/>
  <c r="K407" i="2" s="1"/>
  <c r="L407" i="2" s="1"/>
  <c r="V332" i="7"/>
  <c r="AE332" i="7" s="1"/>
  <c r="AF332" i="7" s="1"/>
  <c r="K332" i="2" s="1"/>
  <c r="L332" i="2" s="1"/>
  <c r="V320" i="7"/>
  <c r="AE320" i="7" s="1"/>
  <c r="AF320" i="7" s="1"/>
  <c r="K320" i="2" s="1"/>
  <c r="L320" i="2" s="1"/>
  <c r="V324" i="7"/>
  <c r="AE324" i="7" s="1"/>
  <c r="AF324" i="7" s="1"/>
  <c r="K324" i="2" s="1"/>
  <c r="L324" i="2" s="1"/>
  <c r="V342" i="7"/>
  <c r="AE342" i="7" s="1"/>
  <c r="AF342" i="7" s="1"/>
  <c r="K342" i="2" s="1"/>
  <c r="L342" i="2" s="1"/>
  <c r="V359" i="7"/>
  <c r="AE359" i="7" s="1"/>
  <c r="AF359" i="7" s="1"/>
  <c r="K359" i="2" s="1"/>
  <c r="L359" i="2" s="1"/>
  <c r="V333" i="7"/>
  <c r="AE333" i="7" s="1"/>
  <c r="AF333" i="7" s="1"/>
  <c r="K333" i="2" s="1"/>
  <c r="L333" i="2" s="1"/>
  <c r="V306" i="7"/>
  <c r="AE306" i="7" s="1"/>
  <c r="AF306" i="7" s="1"/>
  <c r="K306" i="2" s="1"/>
  <c r="L306" i="2" s="1"/>
  <c r="V477" i="7"/>
  <c r="AE477" i="7" s="1"/>
  <c r="AF477" i="7" s="1"/>
  <c r="K477" i="2" s="1"/>
  <c r="L477" i="2" s="1"/>
  <c r="V439" i="7"/>
  <c r="AE439" i="7" s="1"/>
  <c r="AF439" i="7" s="1"/>
  <c r="K439" i="2" s="1"/>
  <c r="L439" i="2" s="1"/>
  <c r="V405" i="7"/>
  <c r="AE405" i="7" s="1"/>
  <c r="AF405" i="7" s="1"/>
  <c r="K405" i="2" s="1"/>
  <c r="L405" i="2" s="1"/>
  <c r="V480" i="7"/>
  <c r="AE480" i="7" s="1"/>
  <c r="AF480" i="7" s="1"/>
  <c r="K480" i="2" s="1"/>
  <c r="L480" i="2" s="1"/>
  <c r="V441" i="7"/>
  <c r="AE441" i="7" s="1"/>
  <c r="AF441" i="7" s="1"/>
  <c r="K441" i="2" s="1"/>
  <c r="L441" i="2" s="1"/>
  <c r="V376" i="7"/>
  <c r="AE376" i="7" s="1"/>
  <c r="AF376" i="7" s="1"/>
  <c r="K376" i="2" s="1"/>
  <c r="L376" i="2" s="1"/>
  <c r="V404" i="7"/>
  <c r="AE404" i="7" s="1"/>
  <c r="AF404" i="7" s="1"/>
  <c r="K404" i="2" s="1"/>
  <c r="L404" i="2" s="1"/>
  <c r="V406" i="7"/>
  <c r="AE406" i="7" s="1"/>
  <c r="AF406" i="7" s="1"/>
  <c r="K406" i="2" s="1"/>
  <c r="L406" i="2" s="1"/>
  <c r="V452" i="7"/>
  <c r="AE452" i="7" s="1"/>
  <c r="AF452" i="7" s="1"/>
  <c r="K452" i="2" s="1"/>
  <c r="L452" i="2" s="1"/>
  <c r="V426" i="7"/>
  <c r="AE426" i="7" s="1"/>
  <c r="AF426" i="7" s="1"/>
  <c r="K426" i="2" s="1"/>
  <c r="L426" i="2" s="1"/>
  <c r="V428" i="7"/>
  <c r="AE428" i="7" s="1"/>
  <c r="AF428" i="7" s="1"/>
  <c r="K428" i="2" s="1"/>
  <c r="L428" i="2" s="1"/>
  <c r="V340" i="7"/>
  <c r="AE340" i="7" s="1"/>
  <c r="AF340" i="7" s="1"/>
  <c r="K340" i="2" s="1"/>
  <c r="L340" i="2" s="1"/>
  <c r="V315" i="7"/>
  <c r="AE315" i="7" s="1"/>
  <c r="AF315" i="7" s="1"/>
  <c r="K315" i="2" s="1"/>
  <c r="L315" i="2" s="1"/>
  <c r="V410" i="7"/>
  <c r="AE410" i="7" s="1"/>
  <c r="AF410" i="7" s="1"/>
  <c r="K410" i="2" s="1"/>
  <c r="L410" i="2" s="1"/>
  <c r="V355" i="7"/>
  <c r="AE355" i="7" s="1"/>
  <c r="AF355" i="7" s="1"/>
  <c r="K355" i="2" s="1"/>
  <c r="L355" i="2" s="1"/>
  <c r="V325" i="7"/>
  <c r="AE325" i="7" s="1"/>
  <c r="AF325" i="7" s="1"/>
  <c r="K325" i="2" s="1"/>
  <c r="L325" i="2" s="1"/>
  <c r="V356" i="7"/>
  <c r="AE356" i="7" s="1"/>
  <c r="AF356" i="7" s="1"/>
  <c r="K356" i="2" s="1"/>
  <c r="L356" i="2" s="1"/>
  <c r="V348" i="7"/>
  <c r="AE348" i="7" s="1"/>
  <c r="AF348" i="7" s="1"/>
  <c r="K348" i="2" s="1"/>
  <c r="L348" i="2" s="1"/>
  <c r="V341" i="7"/>
  <c r="AE341" i="7" s="1"/>
  <c r="AF341" i="7" s="1"/>
  <c r="K341" i="2" s="1"/>
  <c r="L341" i="2" s="1"/>
  <c r="V475" i="7"/>
  <c r="AE475" i="7" s="1"/>
  <c r="AF475" i="7" s="1"/>
  <c r="K475" i="2" s="1"/>
  <c r="L475" i="2" s="1"/>
  <c r="V375" i="7"/>
  <c r="AE375" i="7" s="1"/>
  <c r="AF375" i="7" s="1"/>
  <c r="K375" i="2" s="1"/>
  <c r="L375" i="2" s="1"/>
  <c r="V447" i="7"/>
  <c r="AE447" i="7" s="1"/>
  <c r="AF447" i="7" s="1"/>
  <c r="K447" i="2" s="1"/>
  <c r="L447" i="2" s="1"/>
  <c r="V454" i="7"/>
  <c r="AE454" i="7" s="1"/>
  <c r="AF454" i="7" s="1"/>
  <c r="K454" i="2" s="1"/>
  <c r="L454" i="2" s="1"/>
  <c r="V374" i="7"/>
  <c r="AE374" i="7" s="1"/>
  <c r="AF374" i="7" s="1"/>
  <c r="K374" i="2" s="1"/>
  <c r="L374" i="2" s="1"/>
  <c r="V446" i="7"/>
  <c r="AE446" i="7" s="1"/>
  <c r="AF446" i="7" s="1"/>
  <c r="K446" i="2" s="1"/>
  <c r="L446" i="2" s="1"/>
  <c r="V368" i="7"/>
  <c r="AE368" i="7" s="1"/>
  <c r="AF368" i="7" s="1"/>
  <c r="K368" i="2" s="1"/>
  <c r="L368" i="2" s="1"/>
  <c r="V482" i="7"/>
  <c r="AE482" i="7" s="1"/>
  <c r="AF482" i="7" s="1"/>
  <c r="K482" i="2" s="1"/>
  <c r="L482" i="2" s="1"/>
  <c r="V418" i="7"/>
  <c r="AE418" i="7" s="1"/>
  <c r="AF418" i="7" s="1"/>
  <c r="K418" i="2" s="1"/>
  <c r="L418" i="2" s="1"/>
  <c r="V483" i="7"/>
  <c r="AE483" i="7" s="1"/>
  <c r="AF483" i="7" s="1"/>
  <c r="K483" i="2" s="1"/>
  <c r="L483" i="2" s="1"/>
  <c r="V443" i="7"/>
  <c r="AE443" i="7" s="1"/>
  <c r="AF443" i="7" s="1"/>
  <c r="K443" i="2" s="1"/>
  <c r="L443" i="2" s="1"/>
  <c r="V395" i="7"/>
  <c r="AE395" i="7" s="1"/>
  <c r="AF395" i="7" s="1"/>
  <c r="K395" i="2" s="1"/>
  <c r="L395" i="2" s="1"/>
  <c r="V479" i="7"/>
  <c r="AE479" i="7" s="1"/>
  <c r="AF479" i="7" s="1"/>
  <c r="K479" i="2" s="1"/>
  <c r="L479" i="2" s="1"/>
  <c r="V388" i="7"/>
  <c r="AE388" i="7" s="1"/>
  <c r="AF388" i="7" s="1"/>
  <c r="K388" i="2" s="1"/>
  <c r="L388" i="2" s="1"/>
  <c r="V398" i="7"/>
  <c r="AE398" i="7" s="1"/>
  <c r="AF398" i="7" s="1"/>
  <c r="K398" i="2" s="1"/>
  <c r="L398" i="2" s="1"/>
  <c r="V484" i="7"/>
  <c r="AE484" i="7" s="1"/>
  <c r="AF484" i="7" s="1"/>
  <c r="K484" i="2" s="1"/>
  <c r="L484" i="2" s="1"/>
  <c r="V373" i="7"/>
  <c r="AE373" i="7" s="1"/>
  <c r="AF373" i="7" s="1"/>
  <c r="K373" i="2" s="1"/>
  <c r="L373" i="2" s="1"/>
  <c r="V451" i="7"/>
  <c r="AE451" i="7" s="1"/>
  <c r="AF451" i="7" s="1"/>
  <c r="K451" i="2" s="1"/>
  <c r="L451" i="2" s="1"/>
  <c r="V476" i="7"/>
  <c r="AE476" i="7" s="1"/>
  <c r="AF476" i="7" s="1"/>
  <c r="K476" i="2" s="1"/>
  <c r="L476" i="2" s="1"/>
  <c r="V369" i="7"/>
  <c r="AE369" i="7" s="1"/>
  <c r="AF369" i="7" s="1"/>
  <c r="K369" i="2" s="1"/>
  <c r="L369" i="2" s="1"/>
  <c r="S38" i="5"/>
  <c r="U35" i="5" s="1"/>
  <c r="BX475" i="7"/>
  <c r="AM475" i="11" s="1"/>
  <c r="BX450" i="7"/>
  <c r="AM450" i="11" s="1"/>
  <c r="CE378" i="7"/>
  <c r="CE421" i="7"/>
  <c r="BX386" i="7"/>
  <c r="AM386" i="11" s="1"/>
  <c r="BX385" i="7"/>
  <c r="AM385" i="11" s="1"/>
  <c r="BX376" i="7"/>
  <c r="AM376" i="11" s="1"/>
  <c r="CE366" i="7"/>
  <c r="R39" i="5"/>
  <c r="T61" i="5"/>
  <c r="Q363" i="7"/>
  <c r="Q362" i="7"/>
  <c r="Q342" i="7"/>
  <c r="Q317" i="7"/>
  <c r="Q358" i="7"/>
  <c r="Q307" i="7"/>
  <c r="Q308" i="7"/>
  <c r="Q350" i="7"/>
  <c r="Q314" i="7"/>
  <c r="Q340" i="7"/>
  <c r="Q320" i="7"/>
  <c r="Q324" i="7"/>
  <c r="Q352" i="7"/>
  <c r="Q315" i="7"/>
  <c r="Q321" i="7"/>
  <c r="Q346" i="7"/>
  <c r="Q323" i="7"/>
  <c r="Q306" i="7"/>
  <c r="Q354" i="7"/>
  <c r="Q322" i="7"/>
  <c r="Q330" i="7"/>
  <c r="Q310" i="7"/>
  <c r="Q325" i="7"/>
  <c r="Q319" i="7"/>
  <c r="Q351" i="7"/>
  <c r="Q316" i="7"/>
  <c r="Q331" i="7"/>
  <c r="Q313" i="7"/>
  <c r="Q353" i="7"/>
  <c r="Q356" i="7"/>
  <c r="Q305" i="7"/>
  <c r="Q357" i="7"/>
  <c r="Q347" i="7"/>
  <c r="Q345" i="7"/>
  <c r="Q329" i="7"/>
  <c r="Q359" i="7"/>
  <c r="Q338" i="7"/>
  <c r="Q355" i="7"/>
  <c r="Q343" i="7"/>
  <c r="Q311" i="7"/>
  <c r="Q333" i="7"/>
  <c r="Q348" i="7"/>
  <c r="Q341" i="7"/>
  <c r="Q332" i="7"/>
  <c r="Q318" i="7"/>
  <c r="Q361" i="7"/>
  <c r="Q337" i="7"/>
  <c r="Q309" i="7"/>
  <c r="Q328" i="7"/>
  <c r="Q339" i="7"/>
  <c r="Q40" i="5"/>
  <c r="K5" i="7"/>
  <c r="N5" i="7"/>
  <c r="J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BX344" i="7" l="1"/>
  <c r="AM344" i="11" s="1"/>
  <c r="CE450" i="7"/>
  <c r="AV417" i="11"/>
  <c r="CE373" i="7"/>
  <c r="BX373" i="7"/>
  <c r="AM373" i="11" s="1"/>
  <c r="CE458" i="7"/>
  <c r="AV429" i="11"/>
  <c r="AV482" i="11"/>
  <c r="CE374" i="7"/>
  <c r="AV406" i="11"/>
  <c r="AV432" i="11"/>
  <c r="BX374" i="7"/>
  <c r="AM374" i="11" s="1"/>
  <c r="AV430" i="11"/>
  <c r="AV409" i="11"/>
  <c r="CE451" i="7"/>
  <c r="AV448" i="11"/>
  <c r="BX448" i="7"/>
  <c r="AM448" i="11" s="1"/>
  <c r="AV408" i="11"/>
  <c r="AV366" i="11"/>
  <c r="BX336" i="7"/>
  <c r="AM336" i="11" s="1"/>
  <c r="CE464" i="7"/>
  <c r="BX430" i="7"/>
  <c r="AM430" i="11" s="1"/>
  <c r="AV465" i="11"/>
  <c r="BX407" i="7"/>
  <c r="AM407" i="11" s="1"/>
  <c r="AV464" i="11"/>
  <c r="AV370" i="11"/>
  <c r="AV433" i="11"/>
  <c r="BX378" i="7"/>
  <c r="AM378" i="11" s="1"/>
  <c r="BX395" i="7"/>
  <c r="AM395" i="11" s="1"/>
  <c r="AV481" i="11"/>
  <c r="CE438" i="7"/>
  <c r="CE418" i="7"/>
  <c r="CE413" i="7"/>
  <c r="BX438" i="7"/>
  <c r="AM438" i="11" s="1"/>
  <c r="BX418" i="7"/>
  <c r="AM418" i="11" s="1"/>
  <c r="AV476" i="11"/>
  <c r="AV402" i="11"/>
  <c r="CE370" i="7"/>
  <c r="CE433" i="7"/>
  <c r="CE368" i="7"/>
  <c r="AV479" i="11"/>
  <c r="AV469" i="11"/>
  <c r="AV451" i="11"/>
  <c r="BX368" i="7"/>
  <c r="AM368" i="11" s="1"/>
  <c r="AV421" i="11"/>
  <c r="AV385" i="11"/>
  <c r="AV459" i="11"/>
  <c r="AV454" i="11"/>
  <c r="Y349" i="11"/>
  <c r="Y398" i="11"/>
  <c r="Y447" i="11"/>
  <c r="Y312" i="11"/>
  <c r="Y479" i="11"/>
  <c r="Y448" i="11"/>
  <c r="Y451" i="11"/>
  <c r="Y370" i="11"/>
  <c r="BX372" i="7"/>
  <c r="AM372" i="11" s="1"/>
  <c r="CE401" i="7"/>
  <c r="Y381" i="11"/>
  <c r="BX364" i="7"/>
  <c r="AM364" i="11" s="1"/>
  <c r="BX401" i="7"/>
  <c r="AM401" i="11" s="1"/>
  <c r="CE371" i="7"/>
  <c r="AV393" i="11"/>
  <c r="AV381" i="11"/>
  <c r="AV434" i="11"/>
  <c r="AV436" i="11"/>
  <c r="AV372" i="11"/>
  <c r="Y386" i="11"/>
  <c r="Y443" i="11"/>
  <c r="CE386" i="7"/>
  <c r="AV439" i="11"/>
  <c r="AV422" i="11"/>
  <c r="BX431" i="7"/>
  <c r="AM431" i="11" s="1"/>
  <c r="CE395" i="7"/>
  <c r="CE380" i="7"/>
  <c r="Y477" i="11"/>
  <c r="AV425" i="11"/>
  <c r="CE475" i="7"/>
  <c r="Y439" i="11"/>
  <c r="Y422" i="11"/>
  <c r="BX399" i="7"/>
  <c r="AM399" i="11" s="1"/>
  <c r="AV477" i="11"/>
  <c r="BX460" i="7"/>
  <c r="AM460" i="11" s="1"/>
  <c r="CE455" i="7"/>
  <c r="CE429" i="7"/>
  <c r="BX443" i="7"/>
  <c r="AM443" i="11" s="1"/>
  <c r="AV446" i="11"/>
  <c r="AV466" i="11"/>
  <c r="AV461" i="11"/>
  <c r="AV387" i="11"/>
  <c r="BX417" i="7"/>
  <c r="AM417" i="11" s="1"/>
  <c r="CE443" i="7"/>
  <c r="AV455" i="11"/>
  <c r="Y409" i="11"/>
  <c r="Y454" i="11"/>
  <c r="Y436" i="11"/>
  <c r="Y434" i="11"/>
  <c r="CE379" i="7"/>
  <c r="CE407" i="7"/>
  <c r="CE410" i="7"/>
  <c r="CE482" i="7"/>
  <c r="BX396" i="7"/>
  <c r="AM396" i="11" s="1"/>
  <c r="BX477" i="7"/>
  <c r="AM477" i="11" s="1"/>
  <c r="CE436" i="7"/>
  <c r="CE439" i="7"/>
  <c r="BX413" i="7"/>
  <c r="AM413" i="11" s="1"/>
  <c r="CE473" i="7"/>
  <c r="CE402" i="7"/>
  <c r="CE393" i="7"/>
  <c r="BX387" i="7"/>
  <c r="AM387" i="11" s="1"/>
  <c r="CE435" i="7"/>
  <c r="BX435" i="7"/>
  <c r="AM435" i="11" s="1"/>
  <c r="BX408" i="7"/>
  <c r="AM408" i="11" s="1"/>
  <c r="BX466" i="7"/>
  <c r="AM466" i="11" s="1"/>
  <c r="CE425" i="7"/>
  <c r="CE481" i="7"/>
  <c r="CE399" i="7"/>
  <c r="BX461" i="7"/>
  <c r="AM461" i="11" s="1"/>
  <c r="BX371" i="7"/>
  <c r="AM371" i="11" s="1"/>
  <c r="BX446" i="7"/>
  <c r="AM446" i="11" s="1"/>
  <c r="CE376" i="7"/>
  <c r="CE431" i="7"/>
  <c r="BX476" i="7"/>
  <c r="AM476" i="11" s="1"/>
  <c r="BX410" i="7"/>
  <c r="AM410" i="11" s="1"/>
  <c r="BX380" i="7"/>
  <c r="AM380" i="11" s="1"/>
  <c r="CE422" i="7"/>
  <c r="CE390" i="7"/>
  <c r="BX400" i="7"/>
  <c r="AM400" i="11" s="1"/>
  <c r="BX379" i="7"/>
  <c r="AM379" i="11" s="1"/>
  <c r="BX473" i="7"/>
  <c r="AM473" i="11" s="1"/>
  <c r="BX382" i="7"/>
  <c r="AM382" i="11" s="1"/>
  <c r="BX432" i="7"/>
  <c r="AM432" i="11" s="1"/>
  <c r="CE428" i="7"/>
  <c r="BX469" i="7"/>
  <c r="AM469" i="11" s="1"/>
  <c r="BX465" i="7"/>
  <c r="AM465" i="11" s="1"/>
  <c r="CE478" i="7"/>
  <c r="BX468" i="7"/>
  <c r="AM468" i="11" s="1"/>
  <c r="CE384" i="7"/>
  <c r="CE398" i="7"/>
  <c r="CE419" i="7"/>
  <c r="CE434" i="7"/>
  <c r="BX452" i="7"/>
  <c r="AM452" i="11" s="1"/>
  <c r="CE397" i="7"/>
  <c r="BX312" i="7"/>
  <c r="AM312" i="11" s="1"/>
  <c r="CE468" i="7"/>
  <c r="BX384" i="7"/>
  <c r="AM384" i="11" s="1"/>
  <c r="BX398" i="7"/>
  <c r="AM398" i="11" s="1"/>
  <c r="BX419" i="7"/>
  <c r="AM419" i="11" s="1"/>
  <c r="CE452" i="7"/>
  <c r="BX397" i="7"/>
  <c r="AM397" i="11" s="1"/>
  <c r="CE312" i="7"/>
  <c r="BX463" i="7"/>
  <c r="AM463" i="11" s="1"/>
  <c r="CE479" i="7"/>
  <c r="CE377" i="7"/>
  <c r="BX454" i="7"/>
  <c r="AM454" i="11" s="1"/>
  <c r="BX471" i="7"/>
  <c r="AM471" i="11" s="1"/>
  <c r="BX406" i="7"/>
  <c r="AM406" i="11" s="1"/>
  <c r="BX403" i="7"/>
  <c r="AM403" i="11" s="1"/>
  <c r="CE349" i="7"/>
  <c r="CE463" i="7"/>
  <c r="BX377" i="7"/>
  <c r="AM377" i="11" s="1"/>
  <c r="CE471" i="7"/>
  <c r="CE382" i="7"/>
  <c r="BX459" i="7"/>
  <c r="AM459" i="11" s="1"/>
  <c r="BX405" i="7"/>
  <c r="AM405" i="11" s="1"/>
  <c r="BX411" i="7"/>
  <c r="AM411" i="11" s="1"/>
  <c r="BX409" i="7"/>
  <c r="AM409" i="11" s="1"/>
  <c r="BX447" i="7"/>
  <c r="AM447" i="11" s="1"/>
  <c r="CE415" i="7"/>
  <c r="CE423" i="7"/>
  <c r="BX381" i="7"/>
  <c r="AM381" i="11" s="1"/>
  <c r="CE400" i="7"/>
  <c r="CE411" i="7"/>
  <c r="CE447" i="7"/>
  <c r="BX423" i="7"/>
  <c r="AM423" i="11" s="1"/>
  <c r="Y371" i="11"/>
  <c r="Y476" i="11"/>
  <c r="BE288" i="7"/>
  <c r="AZ288" i="7"/>
  <c r="BE264" i="7"/>
  <c r="AZ264" i="7"/>
  <c r="BE216" i="7"/>
  <c r="AZ216" i="7"/>
  <c r="BE168" i="7"/>
  <c r="AZ168" i="7"/>
  <c r="BE136" i="7"/>
  <c r="AZ136" i="7"/>
  <c r="BE80" i="7"/>
  <c r="AZ80" i="7"/>
  <c r="BE48" i="7"/>
  <c r="AZ48" i="7"/>
  <c r="BE8" i="7"/>
  <c r="AZ8" i="7"/>
  <c r="BE302" i="7"/>
  <c r="AZ302" i="7"/>
  <c r="BE262" i="7"/>
  <c r="AZ262" i="7"/>
  <c r="BE230" i="7"/>
  <c r="AZ230" i="7"/>
  <c r="BE190" i="7"/>
  <c r="AZ190" i="7"/>
  <c r="BE150" i="7"/>
  <c r="AZ150" i="7"/>
  <c r="BE110" i="7"/>
  <c r="AZ110" i="7"/>
  <c r="BE78" i="7"/>
  <c r="AZ78" i="7"/>
  <c r="BE54" i="7"/>
  <c r="AZ54" i="7"/>
  <c r="BE6" i="7"/>
  <c r="AZ6" i="7"/>
  <c r="BE292" i="7"/>
  <c r="AZ292" i="7"/>
  <c r="BE260" i="7"/>
  <c r="AZ260" i="7"/>
  <c r="BE252" i="7"/>
  <c r="AZ252" i="7"/>
  <c r="BE297" i="7"/>
  <c r="AZ297" i="7"/>
  <c r="BE289" i="7"/>
  <c r="AZ289" i="7"/>
  <c r="BE281" i="7"/>
  <c r="AZ281" i="7"/>
  <c r="BE273" i="7"/>
  <c r="AZ273" i="7"/>
  <c r="BE265" i="7"/>
  <c r="AZ265" i="7"/>
  <c r="BE257" i="7"/>
  <c r="AZ257" i="7"/>
  <c r="BE249" i="7"/>
  <c r="AZ249" i="7"/>
  <c r="BE241" i="7"/>
  <c r="AZ241" i="7"/>
  <c r="BE233" i="7"/>
  <c r="AZ233" i="7"/>
  <c r="BE225" i="7"/>
  <c r="AZ225" i="7"/>
  <c r="BE217" i="7"/>
  <c r="AZ217" i="7"/>
  <c r="BE209" i="7"/>
  <c r="AZ209" i="7"/>
  <c r="BE201" i="7"/>
  <c r="AZ201" i="7"/>
  <c r="BE193" i="7"/>
  <c r="AZ193" i="7"/>
  <c r="BE185" i="7"/>
  <c r="AZ185" i="7"/>
  <c r="BE177" i="7"/>
  <c r="AZ177" i="7"/>
  <c r="BE169" i="7"/>
  <c r="AZ169" i="7"/>
  <c r="BE161" i="7"/>
  <c r="AZ161" i="7"/>
  <c r="BE153" i="7"/>
  <c r="AZ153" i="7"/>
  <c r="BE145" i="7"/>
  <c r="AZ145" i="7"/>
  <c r="BE137" i="7"/>
  <c r="AZ137" i="7"/>
  <c r="BE129" i="7"/>
  <c r="AZ129" i="7"/>
  <c r="BE121" i="7"/>
  <c r="AZ121" i="7"/>
  <c r="BE113" i="7"/>
  <c r="AZ113" i="7"/>
  <c r="BE105" i="7"/>
  <c r="AZ105" i="7"/>
  <c r="BE97" i="7"/>
  <c r="AZ97" i="7"/>
  <c r="BE89" i="7"/>
  <c r="AZ89" i="7"/>
  <c r="BE81" i="7"/>
  <c r="AZ81" i="7"/>
  <c r="BE73" i="7"/>
  <c r="AZ73" i="7"/>
  <c r="BE65" i="7"/>
  <c r="AZ65" i="7"/>
  <c r="BE57" i="7"/>
  <c r="AZ57" i="7"/>
  <c r="BE49" i="7"/>
  <c r="AZ49" i="7"/>
  <c r="BE41" i="7"/>
  <c r="AZ41" i="7"/>
  <c r="BE33" i="7"/>
  <c r="AZ33" i="7"/>
  <c r="BE25" i="7"/>
  <c r="AZ25" i="7"/>
  <c r="BE17" i="7"/>
  <c r="AZ17" i="7"/>
  <c r="BE9" i="7"/>
  <c r="AZ9" i="7"/>
  <c r="BE304" i="7"/>
  <c r="AZ304" i="7"/>
  <c r="BE232" i="7"/>
  <c r="AZ232" i="7"/>
  <c r="BE176" i="7"/>
  <c r="AZ176" i="7"/>
  <c r="BE120" i="7"/>
  <c r="AZ120" i="7"/>
  <c r="BE56" i="7"/>
  <c r="AZ56" i="7"/>
  <c r="BE303" i="7"/>
  <c r="AZ303" i="7"/>
  <c r="BE295" i="7"/>
  <c r="AZ295" i="7"/>
  <c r="BE287" i="7"/>
  <c r="AZ287" i="7"/>
  <c r="BE279" i="7"/>
  <c r="AZ279" i="7"/>
  <c r="BE271" i="7"/>
  <c r="AZ271" i="7"/>
  <c r="BE263" i="7"/>
  <c r="AZ263" i="7"/>
  <c r="BE255" i="7"/>
  <c r="AZ255" i="7"/>
  <c r="BE247" i="7"/>
  <c r="AZ247" i="7"/>
  <c r="BE239" i="7"/>
  <c r="AZ239" i="7"/>
  <c r="BE231" i="7"/>
  <c r="AZ231" i="7"/>
  <c r="BE223" i="7"/>
  <c r="AZ223" i="7"/>
  <c r="BE215" i="7"/>
  <c r="AZ215" i="7"/>
  <c r="BE207" i="7"/>
  <c r="AZ207" i="7"/>
  <c r="BE199" i="7"/>
  <c r="AZ199" i="7"/>
  <c r="BE191" i="7"/>
  <c r="AZ191" i="7"/>
  <c r="BE183" i="7"/>
  <c r="AZ183" i="7"/>
  <c r="BE175" i="7"/>
  <c r="AZ175" i="7"/>
  <c r="BE167" i="7"/>
  <c r="AZ167" i="7"/>
  <c r="BE159" i="7"/>
  <c r="AZ159" i="7"/>
  <c r="BE151" i="7"/>
  <c r="AZ151" i="7"/>
  <c r="BE143" i="7"/>
  <c r="AZ143" i="7"/>
  <c r="BE135" i="7"/>
  <c r="AZ135" i="7"/>
  <c r="BE127" i="7"/>
  <c r="AZ127" i="7"/>
  <c r="BE119" i="7"/>
  <c r="AZ119" i="7"/>
  <c r="BE111" i="7"/>
  <c r="AZ111" i="7"/>
  <c r="BE103" i="7"/>
  <c r="AZ103" i="7"/>
  <c r="BE95" i="7"/>
  <c r="AZ95" i="7"/>
  <c r="BE87" i="7"/>
  <c r="AZ87" i="7"/>
  <c r="BE79" i="7"/>
  <c r="AZ79" i="7"/>
  <c r="BE71" i="7"/>
  <c r="AZ71" i="7"/>
  <c r="BE63" i="7"/>
  <c r="AZ63" i="7"/>
  <c r="BE55" i="7"/>
  <c r="AZ55" i="7"/>
  <c r="BE47" i="7"/>
  <c r="AZ47" i="7"/>
  <c r="BE39" i="7"/>
  <c r="AZ39" i="7"/>
  <c r="BE31" i="7"/>
  <c r="AZ31" i="7"/>
  <c r="BE23" i="7"/>
  <c r="AZ23" i="7"/>
  <c r="BE15" i="7"/>
  <c r="AZ15" i="7"/>
  <c r="BE7" i="7"/>
  <c r="AZ7" i="7"/>
  <c r="BE224" i="7"/>
  <c r="AZ224" i="7"/>
  <c r="BE104" i="7"/>
  <c r="AZ104" i="7"/>
  <c r="BE286" i="7"/>
  <c r="AZ286" i="7"/>
  <c r="BE126" i="7"/>
  <c r="AZ126" i="7"/>
  <c r="BE14" i="7"/>
  <c r="AZ14" i="7"/>
  <c r="BE296" i="7"/>
  <c r="AZ296" i="7"/>
  <c r="BE248" i="7"/>
  <c r="AZ248" i="7"/>
  <c r="BE192" i="7"/>
  <c r="AZ192" i="7"/>
  <c r="BE144" i="7"/>
  <c r="AZ144" i="7"/>
  <c r="BE88" i="7"/>
  <c r="AZ88" i="7"/>
  <c r="BE32" i="7"/>
  <c r="AZ32" i="7"/>
  <c r="BE254" i="7"/>
  <c r="AZ254" i="7"/>
  <c r="BE214" i="7"/>
  <c r="AZ214" i="7"/>
  <c r="BE174" i="7"/>
  <c r="AZ174" i="7"/>
  <c r="BE118" i="7"/>
  <c r="AZ118" i="7"/>
  <c r="BE70" i="7"/>
  <c r="AZ70" i="7"/>
  <c r="BE30" i="7"/>
  <c r="AZ30" i="7"/>
  <c r="BE301" i="7"/>
  <c r="AZ301" i="7"/>
  <c r="BE293" i="7"/>
  <c r="AZ293" i="7"/>
  <c r="BE285" i="7"/>
  <c r="AZ285" i="7"/>
  <c r="BE277" i="7"/>
  <c r="AZ277" i="7"/>
  <c r="BE269" i="7"/>
  <c r="AZ269" i="7"/>
  <c r="BE261" i="7"/>
  <c r="AZ261" i="7"/>
  <c r="BE253" i="7"/>
  <c r="AZ253" i="7"/>
  <c r="BE245" i="7"/>
  <c r="AZ245" i="7"/>
  <c r="BE237" i="7"/>
  <c r="AZ237" i="7"/>
  <c r="BE229" i="7"/>
  <c r="AZ229" i="7"/>
  <c r="BE221" i="7"/>
  <c r="AZ221" i="7"/>
  <c r="BE213" i="7"/>
  <c r="AZ213" i="7"/>
  <c r="BE205" i="7"/>
  <c r="AZ205" i="7"/>
  <c r="BE197" i="7"/>
  <c r="AZ197" i="7"/>
  <c r="BE189" i="7"/>
  <c r="AZ189" i="7"/>
  <c r="BE181" i="7"/>
  <c r="AZ181" i="7"/>
  <c r="BE173" i="7"/>
  <c r="AZ173" i="7"/>
  <c r="BE165" i="7"/>
  <c r="AZ165" i="7"/>
  <c r="BE157" i="7"/>
  <c r="AZ157" i="7"/>
  <c r="BE149" i="7"/>
  <c r="AZ149" i="7"/>
  <c r="BE141" i="7"/>
  <c r="AZ141" i="7"/>
  <c r="BE133" i="7"/>
  <c r="AZ133" i="7"/>
  <c r="BE125" i="7"/>
  <c r="AZ125" i="7"/>
  <c r="BE117" i="7"/>
  <c r="AZ117" i="7"/>
  <c r="BE109" i="7"/>
  <c r="AZ109" i="7"/>
  <c r="BE101" i="7"/>
  <c r="AZ101" i="7"/>
  <c r="BE93" i="7"/>
  <c r="AZ93" i="7"/>
  <c r="BE85" i="7"/>
  <c r="AZ85" i="7"/>
  <c r="BE77" i="7"/>
  <c r="AZ77" i="7"/>
  <c r="BE69" i="7"/>
  <c r="AZ69" i="7"/>
  <c r="BE61" i="7"/>
  <c r="AZ61" i="7"/>
  <c r="BE53" i="7"/>
  <c r="AZ53" i="7"/>
  <c r="BE45" i="7"/>
  <c r="AZ45" i="7"/>
  <c r="BE37" i="7"/>
  <c r="AZ37" i="7"/>
  <c r="BE29" i="7"/>
  <c r="AZ29" i="7"/>
  <c r="BE21" i="7"/>
  <c r="AZ21" i="7"/>
  <c r="BE13" i="7"/>
  <c r="AZ13" i="7"/>
  <c r="Y429" i="11"/>
  <c r="BE256" i="7"/>
  <c r="AZ256" i="7"/>
  <c r="BE184" i="7"/>
  <c r="AZ184" i="7"/>
  <c r="BE128" i="7"/>
  <c r="AZ128" i="7"/>
  <c r="BE72" i="7"/>
  <c r="AZ72" i="7"/>
  <c r="BE16" i="7"/>
  <c r="AZ16" i="7"/>
  <c r="BE278" i="7"/>
  <c r="AZ278" i="7"/>
  <c r="BE222" i="7"/>
  <c r="AZ222" i="7"/>
  <c r="BE158" i="7"/>
  <c r="AZ158" i="7"/>
  <c r="BE102" i="7"/>
  <c r="AZ102" i="7"/>
  <c r="BE46" i="7"/>
  <c r="AZ46" i="7"/>
  <c r="BE268" i="7"/>
  <c r="AZ268" i="7"/>
  <c r="BE228" i="7"/>
  <c r="AZ228" i="7"/>
  <c r="BE220" i="7"/>
  <c r="AZ220" i="7"/>
  <c r="BE212" i="7"/>
  <c r="AZ212" i="7"/>
  <c r="BE204" i="7"/>
  <c r="AZ204" i="7"/>
  <c r="BE196" i="7"/>
  <c r="AZ196" i="7"/>
  <c r="BE188" i="7"/>
  <c r="AZ188" i="7"/>
  <c r="BE180" i="7"/>
  <c r="AZ180" i="7"/>
  <c r="BE172" i="7"/>
  <c r="AZ172" i="7"/>
  <c r="BE164" i="7"/>
  <c r="AZ164" i="7"/>
  <c r="BE156" i="7"/>
  <c r="AZ156" i="7"/>
  <c r="BE148" i="7"/>
  <c r="AZ148" i="7"/>
  <c r="BE140" i="7"/>
  <c r="AZ140" i="7"/>
  <c r="BE132" i="7"/>
  <c r="AZ132" i="7"/>
  <c r="BE124" i="7"/>
  <c r="AZ124" i="7"/>
  <c r="BE116" i="7"/>
  <c r="AZ116" i="7"/>
  <c r="BE108" i="7"/>
  <c r="AZ108" i="7"/>
  <c r="BE100" i="7"/>
  <c r="AZ100" i="7"/>
  <c r="BE92" i="7"/>
  <c r="AZ92" i="7"/>
  <c r="BE84" i="7"/>
  <c r="AZ84" i="7"/>
  <c r="BE76" i="7"/>
  <c r="AZ76" i="7"/>
  <c r="BE68" i="7"/>
  <c r="AZ68" i="7"/>
  <c r="BE60" i="7"/>
  <c r="AZ60" i="7"/>
  <c r="BE52" i="7"/>
  <c r="AZ52" i="7"/>
  <c r="BE44" i="7"/>
  <c r="AZ44" i="7"/>
  <c r="BE36" i="7"/>
  <c r="AZ36" i="7"/>
  <c r="BE28" i="7"/>
  <c r="AZ28" i="7"/>
  <c r="BE20" i="7"/>
  <c r="AZ20" i="7"/>
  <c r="BE12" i="7"/>
  <c r="AZ12" i="7"/>
  <c r="AG412" i="7"/>
  <c r="AH412" i="7" s="1"/>
  <c r="BE280" i="7"/>
  <c r="AZ280" i="7"/>
  <c r="BE240" i="7"/>
  <c r="AZ240" i="7"/>
  <c r="BE200" i="7"/>
  <c r="AZ200" i="7"/>
  <c r="BE160" i="7"/>
  <c r="AZ160" i="7"/>
  <c r="BE112" i="7"/>
  <c r="AZ112" i="7"/>
  <c r="BE64" i="7"/>
  <c r="AZ64" i="7"/>
  <c r="BE24" i="7"/>
  <c r="AZ24" i="7"/>
  <c r="BE270" i="7"/>
  <c r="AZ270" i="7"/>
  <c r="BE238" i="7"/>
  <c r="AZ238" i="7"/>
  <c r="BE198" i="7"/>
  <c r="AZ198" i="7"/>
  <c r="BE166" i="7"/>
  <c r="AZ166" i="7"/>
  <c r="BE134" i="7"/>
  <c r="AZ134" i="7"/>
  <c r="BE94" i="7"/>
  <c r="AZ94" i="7"/>
  <c r="BE62" i="7"/>
  <c r="AZ62" i="7"/>
  <c r="BE22" i="7"/>
  <c r="AZ22" i="7"/>
  <c r="BE300" i="7"/>
  <c r="AZ300" i="7"/>
  <c r="BE276" i="7"/>
  <c r="AZ276" i="7"/>
  <c r="BE244" i="7"/>
  <c r="AZ244" i="7"/>
  <c r="BE299" i="7"/>
  <c r="AZ299" i="7"/>
  <c r="BE291" i="7"/>
  <c r="AZ291" i="7"/>
  <c r="BE283" i="7"/>
  <c r="AZ283" i="7"/>
  <c r="BE275" i="7"/>
  <c r="AZ275" i="7"/>
  <c r="BE267" i="7"/>
  <c r="AZ267" i="7"/>
  <c r="BE259" i="7"/>
  <c r="AZ259" i="7"/>
  <c r="BE251" i="7"/>
  <c r="AZ251" i="7"/>
  <c r="BE243" i="7"/>
  <c r="AZ243" i="7"/>
  <c r="BE235" i="7"/>
  <c r="AZ235" i="7"/>
  <c r="BE227" i="7"/>
  <c r="AZ227" i="7"/>
  <c r="BE219" i="7"/>
  <c r="AZ219" i="7"/>
  <c r="BE211" i="7"/>
  <c r="AZ211" i="7"/>
  <c r="BE203" i="7"/>
  <c r="AZ203" i="7"/>
  <c r="BE195" i="7"/>
  <c r="AZ195" i="7"/>
  <c r="BE187" i="7"/>
  <c r="AZ187" i="7"/>
  <c r="BE179" i="7"/>
  <c r="AZ179" i="7"/>
  <c r="BE171" i="7"/>
  <c r="AZ171" i="7"/>
  <c r="BE163" i="7"/>
  <c r="AZ163" i="7"/>
  <c r="BE155" i="7"/>
  <c r="AZ155" i="7"/>
  <c r="BE147" i="7"/>
  <c r="AZ147" i="7"/>
  <c r="BE139" i="7"/>
  <c r="AZ139" i="7"/>
  <c r="BE131" i="7"/>
  <c r="AZ131" i="7"/>
  <c r="BE123" i="7"/>
  <c r="AZ123" i="7"/>
  <c r="BE115" i="7"/>
  <c r="AZ115" i="7"/>
  <c r="BE107" i="7"/>
  <c r="AZ107" i="7"/>
  <c r="BE99" i="7"/>
  <c r="AZ99" i="7"/>
  <c r="BE91" i="7"/>
  <c r="AZ91" i="7"/>
  <c r="BE83" i="7"/>
  <c r="AZ83" i="7"/>
  <c r="BE75" i="7"/>
  <c r="AZ75" i="7"/>
  <c r="BE67" i="7"/>
  <c r="AZ67" i="7"/>
  <c r="BE59" i="7"/>
  <c r="AZ59" i="7"/>
  <c r="BE51" i="7"/>
  <c r="AZ51" i="7"/>
  <c r="BE43" i="7"/>
  <c r="AZ43" i="7"/>
  <c r="BE35" i="7"/>
  <c r="AZ35" i="7"/>
  <c r="BE27" i="7"/>
  <c r="AZ27" i="7"/>
  <c r="BE19" i="7"/>
  <c r="AZ19" i="7"/>
  <c r="BE11" i="7"/>
  <c r="AZ11" i="7"/>
  <c r="BE272" i="7"/>
  <c r="AZ272" i="7"/>
  <c r="BE208" i="7"/>
  <c r="AZ208" i="7"/>
  <c r="BE152" i="7"/>
  <c r="AZ152" i="7"/>
  <c r="BE96" i="7"/>
  <c r="AZ96" i="7"/>
  <c r="BE40" i="7"/>
  <c r="AZ40" i="7"/>
  <c r="BE294" i="7"/>
  <c r="AZ294" i="7"/>
  <c r="BE246" i="7"/>
  <c r="AZ246" i="7"/>
  <c r="BE206" i="7"/>
  <c r="AZ206" i="7"/>
  <c r="BE182" i="7"/>
  <c r="AZ182" i="7"/>
  <c r="BE142" i="7"/>
  <c r="AZ142" i="7"/>
  <c r="BE86" i="7"/>
  <c r="AZ86" i="7"/>
  <c r="BE38" i="7"/>
  <c r="AZ38" i="7"/>
  <c r="BE284" i="7"/>
  <c r="AZ284" i="7"/>
  <c r="BE236" i="7"/>
  <c r="AZ236" i="7"/>
  <c r="BE298" i="7"/>
  <c r="AZ298" i="7"/>
  <c r="BE290" i="7"/>
  <c r="AZ290" i="7"/>
  <c r="BE282" i="7"/>
  <c r="AZ282" i="7"/>
  <c r="BE274" i="7"/>
  <c r="AZ274" i="7"/>
  <c r="BE266" i="7"/>
  <c r="AZ266" i="7"/>
  <c r="BE258" i="7"/>
  <c r="AZ258" i="7"/>
  <c r="BE250" i="7"/>
  <c r="AZ250" i="7"/>
  <c r="BE242" i="7"/>
  <c r="AZ242" i="7"/>
  <c r="BE234" i="7"/>
  <c r="AZ234" i="7"/>
  <c r="BE226" i="7"/>
  <c r="AZ226" i="7"/>
  <c r="BE218" i="7"/>
  <c r="AZ218" i="7"/>
  <c r="BE210" i="7"/>
  <c r="AZ210" i="7"/>
  <c r="BE202" i="7"/>
  <c r="AZ202" i="7"/>
  <c r="BE194" i="7"/>
  <c r="AZ194" i="7"/>
  <c r="BE186" i="7"/>
  <c r="AZ186" i="7"/>
  <c r="BE178" i="7"/>
  <c r="AZ178" i="7"/>
  <c r="BE170" i="7"/>
  <c r="AZ170" i="7"/>
  <c r="BE162" i="7"/>
  <c r="AZ162" i="7"/>
  <c r="BE154" i="7"/>
  <c r="AZ154" i="7"/>
  <c r="BE146" i="7"/>
  <c r="AZ146" i="7"/>
  <c r="BE138" i="7"/>
  <c r="AZ138" i="7"/>
  <c r="BE130" i="7"/>
  <c r="AZ130" i="7"/>
  <c r="BE122" i="7"/>
  <c r="AZ122" i="7"/>
  <c r="BE114" i="7"/>
  <c r="AZ114" i="7"/>
  <c r="BE106" i="7"/>
  <c r="AZ106" i="7"/>
  <c r="BE98" i="7"/>
  <c r="AZ98" i="7"/>
  <c r="BE90" i="7"/>
  <c r="AZ90" i="7"/>
  <c r="BE82" i="7"/>
  <c r="AZ82" i="7"/>
  <c r="BE74" i="7"/>
  <c r="AZ74" i="7"/>
  <c r="BE66" i="7"/>
  <c r="AZ66" i="7"/>
  <c r="BE58" i="7"/>
  <c r="AZ58" i="7"/>
  <c r="BE50" i="7"/>
  <c r="AZ50" i="7"/>
  <c r="BE42" i="7"/>
  <c r="AZ42" i="7"/>
  <c r="BE34" i="7"/>
  <c r="AZ34" i="7"/>
  <c r="BE26" i="7"/>
  <c r="AZ26" i="7"/>
  <c r="BE18" i="7"/>
  <c r="AZ18" i="7"/>
  <c r="BE10" i="7"/>
  <c r="AZ10" i="7"/>
  <c r="Y407" i="11"/>
  <c r="Y377" i="11"/>
  <c r="Y373" i="11"/>
  <c r="Y368" i="11"/>
  <c r="Y382" i="11"/>
  <c r="Y401" i="11"/>
  <c r="Y473" i="11"/>
  <c r="Y463" i="11"/>
  <c r="Y475" i="11"/>
  <c r="Y452" i="11"/>
  <c r="Y419" i="11"/>
  <c r="Y336" i="11"/>
  <c r="Y465" i="11"/>
  <c r="Y384" i="11"/>
  <c r="Y403" i="11"/>
  <c r="Y344" i="11"/>
  <c r="Y410" i="11"/>
  <c r="Y400" i="11"/>
  <c r="Y413" i="11"/>
  <c r="Y390" i="11"/>
  <c r="Y481" i="11"/>
  <c r="Y397" i="11"/>
  <c r="Y385" i="11"/>
  <c r="Y411" i="11"/>
  <c r="AV443" i="11"/>
  <c r="Y458" i="11"/>
  <c r="AV386" i="11"/>
  <c r="Y405" i="11"/>
  <c r="Y480" i="11"/>
  <c r="Y369" i="11"/>
  <c r="Y375" i="11"/>
  <c r="Y360" i="11"/>
  <c r="Y416" i="11"/>
  <c r="Y414" i="11"/>
  <c r="Y334" i="11"/>
  <c r="Y420" i="11"/>
  <c r="Y412" i="11"/>
  <c r="Y467" i="11"/>
  <c r="Y442" i="11"/>
  <c r="Y431" i="11"/>
  <c r="AV453" i="11"/>
  <c r="BX480" i="7"/>
  <c r="AM480" i="11" s="1"/>
  <c r="AH366" i="7"/>
  <c r="Y427" i="11"/>
  <c r="BX394" i="7"/>
  <c r="AM394" i="11" s="1"/>
  <c r="Y389" i="11"/>
  <c r="BX470" i="7"/>
  <c r="AM470" i="11" s="1"/>
  <c r="Y365" i="11"/>
  <c r="CE467" i="7"/>
  <c r="AV427" i="11"/>
  <c r="BX414" i="7"/>
  <c r="AM414" i="11" s="1"/>
  <c r="AV484" i="11"/>
  <c r="AV441" i="11"/>
  <c r="BX456" i="7"/>
  <c r="AM456" i="11" s="1"/>
  <c r="Y327" i="11"/>
  <c r="Y437" i="11"/>
  <c r="BX412" i="7"/>
  <c r="AM412" i="11" s="1"/>
  <c r="CE369" i="7"/>
  <c r="CE375" i="7"/>
  <c r="AV389" i="11"/>
  <c r="AV360" i="11"/>
  <c r="Y453" i="11"/>
  <c r="Y462" i="11"/>
  <c r="BX360" i="7"/>
  <c r="AM360" i="11" s="1"/>
  <c r="CE441" i="7"/>
  <c r="CE414" i="7"/>
  <c r="CE470" i="7"/>
  <c r="CE412" i="7"/>
  <c r="CE456" i="7"/>
  <c r="BX467" i="7"/>
  <c r="AM467" i="11" s="1"/>
  <c r="CE394" i="7"/>
  <c r="Y484" i="11"/>
  <c r="AV416" i="11"/>
  <c r="Y456" i="11"/>
  <c r="AV480" i="11"/>
  <c r="Y383" i="11"/>
  <c r="Y335" i="11"/>
  <c r="AV483" i="11"/>
  <c r="AV334" i="11"/>
  <c r="Y440" i="11"/>
  <c r="AV437" i="11"/>
  <c r="AV365" i="11"/>
  <c r="Y441" i="11"/>
  <c r="CE360" i="7"/>
  <c r="CE420" i="7"/>
  <c r="CE383" i="7"/>
  <c r="CE437" i="7"/>
  <c r="BX369" i="7"/>
  <c r="AM369" i="11" s="1"/>
  <c r="BX484" i="7"/>
  <c r="AM484" i="11" s="1"/>
  <c r="BX483" i="7"/>
  <c r="AM483" i="11" s="1"/>
  <c r="BX375" i="7"/>
  <c r="AM375" i="11" s="1"/>
  <c r="BX416" i="7"/>
  <c r="AM416" i="11" s="1"/>
  <c r="BX404" i="7"/>
  <c r="AM404" i="11" s="1"/>
  <c r="Y470" i="11"/>
  <c r="AV467" i="11"/>
  <c r="AV404" i="11"/>
  <c r="AV440" i="11"/>
  <c r="AV462" i="11"/>
  <c r="Y483" i="11"/>
  <c r="AV388" i="11"/>
  <c r="Y426" i="11"/>
  <c r="CE480" i="7"/>
  <c r="BX420" i="7"/>
  <c r="AM420" i="11" s="1"/>
  <c r="BX426" i="7"/>
  <c r="AM426" i="11" s="1"/>
  <c r="AV412" i="11"/>
  <c r="Y404" i="11"/>
  <c r="Y388" i="11"/>
  <c r="AV426" i="11"/>
  <c r="CE427" i="7"/>
  <c r="BX442" i="7"/>
  <c r="AM442" i="11" s="1"/>
  <c r="BX389" i="7"/>
  <c r="AM389" i="11" s="1"/>
  <c r="BX427" i="7"/>
  <c r="AM427" i="11" s="1"/>
  <c r="CE442" i="7"/>
  <c r="Y394" i="11"/>
  <c r="AV420" i="11"/>
  <c r="AV442" i="11"/>
  <c r="AV369" i="11"/>
  <c r="AV375" i="11"/>
  <c r="BX383" i="7"/>
  <c r="AM383" i="11" s="1"/>
  <c r="CE416" i="7"/>
  <c r="BX462" i="7"/>
  <c r="AM462" i="11" s="1"/>
  <c r="BX453" i="7"/>
  <c r="AM453" i="11" s="1"/>
  <c r="CE388" i="7"/>
  <c r="BX440" i="7"/>
  <c r="AM440" i="11" s="1"/>
  <c r="CE365" i="7"/>
  <c r="AV414" i="11"/>
  <c r="Y366" i="11"/>
  <c r="Y449" i="11"/>
  <c r="Y406" i="11"/>
  <c r="Y430" i="11"/>
  <c r="Y433" i="11"/>
  <c r="BC308" i="7"/>
  <c r="AV308" i="11" s="1"/>
  <c r="AX308" i="7"/>
  <c r="BC321" i="7"/>
  <c r="AV321" i="11" s="1"/>
  <c r="AX321" i="7"/>
  <c r="BC352" i="7"/>
  <c r="AV352" i="11" s="1"/>
  <c r="AX352" i="7"/>
  <c r="BC309" i="7"/>
  <c r="AX309" i="7"/>
  <c r="BC311" i="7"/>
  <c r="AX311" i="7"/>
  <c r="BC359" i="7"/>
  <c r="AV359" i="11" s="1"/>
  <c r="AX359" i="7"/>
  <c r="BC313" i="7"/>
  <c r="CE313" i="7" s="1"/>
  <c r="AX313" i="7"/>
  <c r="BC322" i="7"/>
  <c r="AX322" i="7"/>
  <c r="BC324" i="7"/>
  <c r="AV324" i="11" s="1"/>
  <c r="AX324" i="7"/>
  <c r="BC317" i="7"/>
  <c r="AV317" i="11" s="1"/>
  <c r="AX317" i="7"/>
  <c r="BC363" i="7"/>
  <c r="BX363" i="7" s="1"/>
  <c r="AM363" i="11" s="1"/>
  <c r="AX363" i="7"/>
  <c r="BC341" i="7"/>
  <c r="AX341" i="7"/>
  <c r="BC353" i="7"/>
  <c r="CE353" i="7" s="1"/>
  <c r="AX353" i="7"/>
  <c r="BC337" i="7"/>
  <c r="AV337" i="11" s="1"/>
  <c r="AX337" i="7"/>
  <c r="BC343" i="7"/>
  <c r="AV343" i="11" s="1"/>
  <c r="AX343" i="7"/>
  <c r="BC329" i="7"/>
  <c r="AV329" i="11" s="1"/>
  <c r="AX329" i="7"/>
  <c r="BC331" i="7"/>
  <c r="AX331" i="7"/>
  <c r="BC354" i="7"/>
  <c r="AV354" i="11" s="1"/>
  <c r="AX354" i="7"/>
  <c r="BC320" i="7"/>
  <c r="AV320" i="11" s="1"/>
  <c r="AX320" i="7"/>
  <c r="BC342" i="7"/>
  <c r="CE342" i="7" s="1"/>
  <c r="AX342" i="7"/>
  <c r="BC333" i="7"/>
  <c r="AV333" i="11" s="1"/>
  <c r="AX333" i="7"/>
  <c r="BC361" i="7"/>
  <c r="AV361" i="11" s="1"/>
  <c r="AX361" i="7"/>
  <c r="BC355" i="7"/>
  <c r="AX355" i="7"/>
  <c r="BC345" i="7"/>
  <c r="AV345" i="11" s="1"/>
  <c r="AX345" i="7"/>
  <c r="BC316" i="7"/>
  <c r="CE316" i="7" s="1"/>
  <c r="AX316" i="7"/>
  <c r="BC306" i="7"/>
  <c r="CE306" i="7" s="1"/>
  <c r="AX306" i="7"/>
  <c r="BC340" i="7"/>
  <c r="AX340" i="7"/>
  <c r="BC362" i="7"/>
  <c r="AV362" i="11" s="1"/>
  <c r="AX362" i="7"/>
  <c r="BC325" i="7"/>
  <c r="BX325" i="7" s="1"/>
  <c r="AM325" i="11" s="1"/>
  <c r="AX325" i="7"/>
  <c r="BC328" i="7"/>
  <c r="AV328" i="11" s="1"/>
  <c r="AX328" i="7"/>
  <c r="BC358" i="7"/>
  <c r="AV358" i="11" s="1"/>
  <c r="AX358" i="7"/>
  <c r="BC318" i="7"/>
  <c r="AX318" i="7"/>
  <c r="BC347" i="7"/>
  <c r="AV347" i="11" s="1"/>
  <c r="AX347" i="7"/>
  <c r="BC351" i="7"/>
  <c r="AV351" i="11" s="1"/>
  <c r="AX351" i="7"/>
  <c r="BC323" i="7"/>
  <c r="CE323" i="7" s="1"/>
  <c r="AX323" i="7"/>
  <c r="BC314" i="7"/>
  <c r="AX314" i="7"/>
  <c r="BC305" i="7"/>
  <c r="AX305" i="7"/>
  <c r="BC330" i="7"/>
  <c r="AV330" i="11" s="1"/>
  <c r="AX330" i="7"/>
  <c r="BC332" i="7"/>
  <c r="CE332" i="7" s="1"/>
  <c r="AX332" i="7"/>
  <c r="BC357" i="7"/>
  <c r="CE357" i="7" s="1"/>
  <c r="AX357" i="7"/>
  <c r="BC319" i="7"/>
  <c r="BX319" i="7" s="1"/>
  <c r="AM319" i="11" s="1"/>
  <c r="AX319" i="7"/>
  <c r="BC346" i="7"/>
  <c r="CE346" i="7" s="1"/>
  <c r="AX346" i="7"/>
  <c r="BC350" i="7"/>
  <c r="AX350" i="7"/>
  <c r="BC338" i="7"/>
  <c r="AV338" i="11" s="1"/>
  <c r="AX338" i="7"/>
  <c r="BC339" i="7"/>
  <c r="CE339" i="7" s="1"/>
  <c r="AX339" i="7"/>
  <c r="BC348" i="7"/>
  <c r="AV348" i="11" s="1"/>
  <c r="AX348" i="7"/>
  <c r="BC356" i="7"/>
  <c r="BX356" i="7" s="1"/>
  <c r="AM356" i="11" s="1"/>
  <c r="AX356" i="7"/>
  <c r="BC310" i="7"/>
  <c r="AX310" i="7"/>
  <c r="BC315" i="7"/>
  <c r="AX315" i="7"/>
  <c r="BC307" i="7"/>
  <c r="BX307" i="7" s="1"/>
  <c r="AM307" i="11" s="1"/>
  <c r="AX307" i="7"/>
  <c r="AV449" i="11"/>
  <c r="CE449" i="7"/>
  <c r="BX449" i="7"/>
  <c r="AM449" i="11" s="1"/>
  <c r="B352" i="11"/>
  <c r="AI3" i="20"/>
  <c r="M412" i="2"/>
  <c r="U412" i="11" s="1"/>
  <c r="M475" i="2"/>
  <c r="U475" i="11" s="1"/>
  <c r="V475" i="11"/>
  <c r="AG471" i="7"/>
  <c r="AH471" i="7" s="1"/>
  <c r="V471" i="11"/>
  <c r="AG307" i="7"/>
  <c r="AH307" i="7" s="1"/>
  <c r="V307" i="11"/>
  <c r="AG430" i="7"/>
  <c r="AH430" i="7" s="1"/>
  <c r="V430" i="11"/>
  <c r="M482" i="2"/>
  <c r="U482" i="11" s="1"/>
  <c r="V482" i="11"/>
  <c r="AG428" i="7"/>
  <c r="AH428" i="7" s="1"/>
  <c r="V428" i="11"/>
  <c r="M415" i="2"/>
  <c r="U415" i="11" s="1"/>
  <c r="V415" i="11"/>
  <c r="M323" i="2"/>
  <c r="U323" i="11" s="1"/>
  <c r="V323" i="11"/>
  <c r="M343" i="2"/>
  <c r="U343" i="11" s="1"/>
  <c r="V343" i="11"/>
  <c r="AG414" i="7"/>
  <c r="AH414" i="7" s="1"/>
  <c r="V414" i="11"/>
  <c r="M338" i="2"/>
  <c r="U338" i="11" s="1"/>
  <c r="V338" i="11"/>
  <c r="M310" i="2"/>
  <c r="U310" i="11" s="1"/>
  <c r="V310" i="11"/>
  <c r="AG400" i="7"/>
  <c r="AH400" i="7" s="1"/>
  <c r="V400" i="11"/>
  <c r="AG345" i="7"/>
  <c r="AH345" i="7" s="1"/>
  <c r="V345" i="11"/>
  <c r="M464" i="2"/>
  <c r="U464" i="11" s="1"/>
  <c r="V464" i="11"/>
  <c r="M351" i="2"/>
  <c r="U351" i="11" s="1"/>
  <c r="V351" i="11"/>
  <c r="M340" i="2"/>
  <c r="U340" i="11" s="1"/>
  <c r="V340" i="11"/>
  <c r="AG380" i="7"/>
  <c r="AH380" i="7" s="1"/>
  <c r="V380" i="11"/>
  <c r="AG393" i="7"/>
  <c r="AH393" i="7" s="1"/>
  <c r="V393" i="11"/>
  <c r="M436" i="2"/>
  <c r="U436" i="11" s="1"/>
  <c r="V436" i="11"/>
  <c r="M353" i="2"/>
  <c r="U353" i="11" s="1"/>
  <c r="V353" i="11"/>
  <c r="AG339" i="7"/>
  <c r="AH339" i="7" s="1"/>
  <c r="V339" i="11"/>
  <c r="AG484" i="7"/>
  <c r="AH484" i="7" s="1"/>
  <c r="V484" i="11"/>
  <c r="AG341" i="7"/>
  <c r="AH341" i="7" s="1"/>
  <c r="V341" i="11"/>
  <c r="AG405" i="7"/>
  <c r="AH405" i="7" s="1"/>
  <c r="V405" i="11"/>
  <c r="AG320" i="7"/>
  <c r="AH320" i="7" s="1"/>
  <c r="V320" i="11"/>
  <c r="AG397" i="7"/>
  <c r="AH397" i="7" s="1"/>
  <c r="V397" i="11"/>
  <c r="AG425" i="7"/>
  <c r="AH425" i="7" s="1"/>
  <c r="V425" i="11"/>
  <c r="M459" i="2"/>
  <c r="U459" i="11" s="1"/>
  <c r="V459" i="11"/>
  <c r="M453" i="2"/>
  <c r="U453" i="11" s="1"/>
  <c r="V453" i="11"/>
  <c r="AG398" i="7"/>
  <c r="AH398" i="7" s="1"/>
  <c r="V398" i="11"/>
  <c r="AG368" i="7"/>
  <c r="AH368" i="7" s="1"/>
  <c r="V368" i="11"/>
  <c r="M348" i="2"/>
  <c r="U348" i="11" s="1"/>
  <c r="V348" i="11"/>
  <c r="M426" i="2"/>
  <c r="U426" i="11" s="1"/>
  <c r="V426" i="11"/>
  <c r="M439" i="2"/>
  <c r="U439" i="11" s="1"/>
  <c r="V439" i="11"/>
  <c r="M332" i="2"/>
  <c r="U332" i="11" s="1"/>
  <c r="V332" i="11"/>
  <c r="AG467" i="7"/>
  <c r="AH467" i="7" s="1"/>
  <c r="V467" i="11"/>
  <c r="AG394" i="7"/>
  <c r="AH394" i="7" s="1"/>
  <c r="V394" i="11"/>
  <c r="M331" i="2"/>
  <c r="U331" i="11" s="1"/>
  <c r="V331" i="11"/>
  <c r="M438" i="2"/>
  <c r="U438" i="11" s="1"/>
  <c r="V438" i="11"/>
  <c r="AG361" i="7"/>
  <c r="AH361" i="7" s="1"/>
  <c r="V361" i="11"/>
  <c r="M460" i="2"/>
  <c r="U460" i="11" s="1"/>
  <c r="V460" i="11"/>
  <c r="AG383" i="7"/>
  <c r="AH383" i="7" s="1"/>
  <c r="V383" i="11"/>
  <c r="AG319" i="7"/>
  <c r="AH319" i="7" s="1"/>
  <c r="V319" i="11"/>
  <c r="AG468" i="7"/>
  <c r="AH468" i="7" s="1"/>
  <c r="V468" i="11"/>
  <c r="AG419" i="7"/>
  <c r="AH419" i="7" s="1"/>
  <c r="V419" i="11"/>
  <c r="M330" i="2"/>
  <c r="U330" i="11" s="1"/>
  <c r="V330" i="11"/>
  <c r="AG422" i="7"/>
  <c r="AH422" i="7" s="1"/>
  <c r="V422" i="11"/>
  <c r="AG384" i="7"/>
  <c r="AH384" i="7" s="1"/>
  <c r="V384" i="11"/>
  <c r="M329" i="2"/>
  <c r="U329" i="11" s="1"/>
  <c r="V329" i="11"/>
  <c r="AG317" i="7"/>
  <c r="AH317" i="7" s="1"/>
  <c r="M370" i="2"/>
  <c r="U370" i="11" s="1"/>
  <c r="AG432" i="7"/>
  <c r="AH432" i="7" s="1"/>
  <c r="M479" i="2"/>
  <c r="U479" i="11" s="1"/>
  <c r="V479" i="11"/>
  <c r="AG374" i="7"/>
  <c r="AH374" i="7" s="1"/>
  <c r="V374" i="11"/>
  <c r="AG325" i="7"/>
  <c r="AH325" i="7" s="1"/>
  <c r="V325" i="11"/>
  <c r="AG406" i="7"/>
  <c r="AH406" i="7" s="1"/>
  <c r="V406" i="11"/>
  <c r="AG306" i="7"/>
  <c r="AH306" i="7" s="1"/>
  <c r="V306" i="11"/>
  <c r="M335" i="2"/>
  <c r="U335" i="11" s="1"/>
  <c r="V335" i="11"/>
  <c r="M423" i="2"/>
  <c r="U423" i="11" s="1"/>
  <c r="V423" i="11"/>
  <c r="M381" i="2"/>
  <c r="U381" i="11" s="1"/>
  <c r="V381" i="11"/>
  <c r="AG305" i="7"/>
  <c r="AH305" i="7" s="1"/>
  <c r="V305" i="11"/>
  <c r="M433" i="2"/>
  <c r="U433" i="11" s="1"/>
  <c r="V433" i="11"/>
  <c r="M379" i="2"/>
  <c r="U379" i="11" s="1"/>
  <c r="V379" i="11"/>
  <c r="AG402" i="7"/>
  <c r="AH402" i="7" s="1"/>
  <c r="V402" i="11"/>
  <c r="AG352" i="7"/>
  <c r="AH352" i="7" s="1"/>
  <c r="V352" i="11"/>
  <c r="M429" i="2"/>
  <c r="U429" i="11" s="1"/>
  <c r="V429" i="11"/>
  <c r="M409" i="2"/>
  <c r="U409" i="11" s="1"/>
  <c r="V409" i="11"/>
  <c r="AG358" i="7"/>
  <c r="AH358" i="7" s="1"/>
  <c r="V358" i="11"/>
  <c r="M401" i="2"/>
  <c r="U401" i="11" s="1"/>
  <c r="V401" i="11"/>
  <c r="AG442" i="7"/>
  <c r="AH442" i="7" s="1"/>
  <c r="V442" i="11"/>
  <c r="M362" i="2"/>
  <c r="U362" i="11" s="1"/>
  <c r="V362" i="11"/>
  <c r="AG356" i="7"/>
  <c r="AH356" i="7" s="1"/>
  <c r="V356" i="11"/>
  <c r="AG407" i="7"/>
  <c r="AH407" i="7" s="1"/>
  <c r="V407" i="11"/>
  <c r="M399" i="2"/>
  <c r="U399" i="11" s="1"/>
  <c r="V399" i="11"/>
  <c r="AG318" i="7"/>
  <c r="AH318" i="7" s="1"/>
  <c r="M317" i="2"/>
  <c r="U317" i="11" s="1"/>
  <c r="AG370" i="7"/>
  <c r="AH370" i="7" s="1"/>
  <c r="M432" i="2"/>
  <c r="U432" i="11" s="1"/>
  <c r="AG369" i="7"/>
  <c r="AH369" i="7" s="1"/>
  <c r="V369" i="11"/>
  <c r="M395" i="2"/>
  <c r="U395" i="11" s="1"/>
  <c r="V395" i="11"/>
  <c r="AG454" i="7"/>
  <c r="AH454" i="7" s="1"/>
  <c r="V454" i="11"/>
  <c r="M355" i="2"/>
  <c r="U355" i="11" s="1"/>
  <c r="V355" i="11"/>
  <c r="AG404" i="7"/>
  <c r="AH404" i="7" s="1"/>
  <c r="V404" i="11"/>
  <c r="AG333" i="7"/>
  <c r="AH333" i="7" s="1"/>
  <c r="V333" i="11"/>
  <c r="M382" i="2"/>
  <c r="U382" i="11" s="1"/>
  <c r="V382" i="11"/>
  <c r="M365" i="2"/>
  <c r="U365" i="11" s="1"/>
  <c r="V365" i="11"/>
  <c r="M448" i="2"/>
  <c r="U448" i="11" s="1"/>
  <c r="V448" i="11"/>
  <c r="AG309" i="7"/>
  <c r="AH309" i="7" s="1"/>
  <c r="V309" i="11"/>
  <c r="AG427" i="7"/>
  <c r="AH427" i="7" s="1"/>
  <c r="V427" i="11"/>
  <c r="M413" i="2"/>
  <c r="U413" i="11" s="1"/>
  <c r="V413" i="11"/>
  <c r="M478" i="2"/>
  <c r="U478" i="11" s="1"/>
  <c r="V478" i="11"/>
  <c r="M387" i="2"/>
  <c r="U387" i="11" s="1"/>
  <c r="V387" i="11"/>
  <c r="AG337" i="7"/>
  <c r="AH337" i="7" s="1"/>
  <c r="V337" i="11"/>
  <c r="AG435" i="7"/>
  <c r="AH435" i="7" s="1"/>
  <c r="V435" i="11"/>
  <c r="AG360" i="7"/>
  <c r="AH360" i="7" s="1"/>
  <c r="V360" i="11"/>
  <c r="M378" i="2"/>
  <c r="U378" i="11" s="1"/>
  <c r="V378" i="11"/>
  <c r="AG371" i="7"/>
  <c r="AH371" i="7" s="1"/>
  <c r="V371" i="11"/>
  <c r="M357" i="2"/>
  <c r="U357" i="11" s="1"/>
  <c r="V357" i="11"/>
  <c r="M373" i="2"/>
  <c r="U373" i="11" s="1"/>
  <c r="V373" i="11"/>
  <c r="M480" i="2"/>
  <c r="U480" i="11" s="1"/>
  <c r="V480" i="11"/>
  <c r="M328" i="2"/>
  <c r="U328" i="11" s="1"/>
  <c r="V328" i="11"/>
  <c r="AG396" i="7"/>
  <c r="AH396" i="7" s="1"/>
  <c r="V396" i="11"/>
  <c r="M470" i="2"/>
  <c r="U470" i="11" s="1"/>
  <c r="V470" i="11"/>
  <c r="AG388" i="7"/>
  <c r="AH388" i="7" s="1"/>
  <c r="V388" i="11"/>
  <c r="AG452" i="7"/>
  <c r="AH452" i="7" s="1"/>
  <c r="V452" i="11"/>
  <c r="M416" i="2"/>
  <c r="U416" i="11" s="1"/>
  <c r="V416" i="11"/>
  <c r="M437" i="2"/>
  <c r="U437" i="11" s="1"/>
  <c r="V437" i="11"/>
  <c r="AG440" i="7"/>
  <c r="AH440" i="7" s="1"/>
  <c r="V440" i="11"/>
  <c r="AG463" i="7"/>
  <c r="AH463" i="7" s="1"/>
  <c r="V463" i="11"/>
  <c r="M318" i="2"/>
  <c r="U318" i="11" s="1"/>
  <c r="M476" i="2"/>
  <c r="U476" i="11" s="1"/>
  <c r="V476" i="11"/>
  <c r="M443" i="2"/>
  <c r="U443" i="11" s="1"/>
  <c r="V443" i="11"/>
  <c r="AG447" i="7"/>
  <c r="AH447" i="7" s="1"/>
  <c r="V447" i="11"/>
  <c r="AG410" i="7"/>
  <c r="AH410" i="7" s="1"/>
  <c r="V410" i="11"/>
  <c r="M376" i="2"/>
  <c r="U376" i="11" s="1"/>
  <c r="V376" i="11"/>
  <c r="M359" i="2"/>
  <c r="U359" i="11" s="1"/>
  <c r="V359" i="11"/>
  <c r="AG390" i="7"/>
  <c r="AH390" i="7" s="1"/>
  <c r="V390" i="11"/>
  <c r="M473" i="2"/>
  <c r="U473" i="11" s="1"/>
  <c r="V473" i="11"/>
  <c r="M347" i="2"/>
  <c r="U347" i="11" s="1"/>
  <c r="V347" i="11"/>
  <c r="AG385" i="7"/>
  <c r="AH385" i="7" s="1"/>
  <c r="V385" i="11"/>
  <c r="M431" i="2"/>
  <c r="U431" i="11" s="1"/>
  <c r="V431" i="11"/>
  <c r="M389" i="2"/>
  <c r="U389" i="11" s="1"/>
  <c r="V389" i="11"/>
  <c r="M386" i="2"/>
  <c r="U386" i="11" s="1"/>
  <c r="V386" i="11"/>
  <c r="M466" i="2"/>
  <c r="U466" i="11" s="1"/>
  <c r="V466" i="11"/>
  <c r="M313" i="2"/>
  <c r="U313" i="11" s="1"/>
  <c r="V313" i="11"/>
  <c r="M411" i="2"/>
  <c r="U411" i="11" s="1"/>
  <c r="V411" i="11"/>
  <c r="AG350" i="7"/>
  <c r="AH350" i="7" s="1"/>
  <c r="V350" i="11"/>
  <c r="AG455" i="7"/>
  <c r="AH455" i="7" s="1"/>
  <c r="V455" i="11"/>
  <c r="AG481" i="7"/>
  <c r="AH481" i="7" s="1"/>
  <c r="V481" i="11"/>
  <c r="AG456" i="7"/>
  <c r="AH456" i="7" s="1"/>
  <c r="V456" i="11"/>
  <c r="AG418" i="7"/>
  <c r="AH418" i="7" s="1"/>
  <c r="V418" i="11"/>
  <c r="AG324" i="7"/>
  <c r="AH324" i="7" s="1"/>
  <c r="V324" i="11"/>
  <c r="M372" i="2"/>
  <c r="U372" i="11" s="1"/>
  <c r="V372" i="11"/>
  <c r="M354" i="2"/>
  <c r="U354" i="11" s="1"/>
  <c r="V354" i="11"/>
  <c r="M469" i="2"/>
  <c r="U469" i="11" s="1"/>
  <c r="V469" i="11"/>
  <c r="AG446" i="7"/>
  <c r="AH446" i="7" s="1"/>
  <c r="V446" i="11"/>
  <c r="M477" i="2"/>
  <c r="U477" i="11" s="1"/>
  <c r="V477" i="11"/>
  <c r="M403" i="2"/>
  <c r="U403" i="11" s="1"/>
  <c r="V403" i="11"/>
  <c r="M377" i="2"/>
  <c r="U377" i="11" s="1"/>
  <c r="V377" i="11"/>
  <c r="M462" i="2"/>
  <c r="U462" i="11" s="1"/>
  <c r="V462" i="11"/>
  <c r="AG346" i="7"/>
  <c r="AH346" i="7" s="1"/>
  <c r="V346" i="11"/>
  <c r="AG451" i="7"/>
  <c r="AH451" i="7" s="1"/>
  <c r="V451" i="11"/>
  <c r="AG483" i="7"/>
  <c r="AH483" i="7" s="1"/>
  <c r="V483" i="11"/>
  <c r="AG375" i="7"/>
  <c r="AH375" i="7" s="1"/>
  <c r="V375" i="11"/>
  <c r="M315" i="2"/>
  <c r="U315" i="11" s="1"/>
  <c r="V315" i="11"/>
  <c r="M441" i="2"/>
  <c r="U441" i="11" s="1"/>
  <c r="V441" i="11"/>
  <c r="AG342" i="7"/>
  <c r="AH342" i="7" s="1"/>
  <c r="V342" i="11"/>
  <c r="M434" i="2"/>
  <c r="U434" i="11" s="1"/>
  <c r="V434" i="11"/>
  <c r="M461" i="2"/>
  <c r="U461" i="11" s="1"/>
  <c r="V461" i="11"/>
  <c r="AG316" i="7"/>
  <c r="AH316" i="7" s="1"/>
  <c r="V316" i="11"/>
  <c r="M420" i="2"/>
  <c r="U420" i="11" s="1"/>
  <c r="V420" i="11"/>
  <c r="AG308" i="7"/>
  <c r="AH308" i="7" s="1"/>
  <c r="V308" i="11"/>
  <c r="AG465" i="7"/>
  <c r="AH465" i="7" s="1"/>
  <c r="V465" i="11"/>
  <c r="M421" i="2"/>
  <c r="U421" i="11" s="1"/>
  <c r="V421" i="11"/>
  <c r="M322" i="2"/>
  <c r="U322" i="11" s="1"/>
  <c r="V322" i="11"/>
  <c r="M321" i="2"/>
  <c r="U321" i="11" s="1"/>
  <c r="V321" i="11"/>
  <c r="M408" i="2"/>
  <c r="U408" i="11" s="1"/>
  <c r="V408" i="11"/>
  <c r="AG311" i="7"/>
  <c r="AH311" i="7" s="1"/>
  <c r="V311" i="11"/>
  <c r="AG417" i="7"/>
  <c r="AH417" i="7" s="1"/>
  <c r="V417" i="11"/>
  <c r="M450" i="2"/>
  <c r="U450" i="11" s="1"/>
  <c r="V450" i="11"/>
  <c r="AG314" i="7"/>
  <c r="AH314" i="7" s="1"/>
  <c r="V314" i="11"/>
  <c r="AG450" i="7"/>
  <c r="AH450" i="7" s="1"/>
  <c r="AG426" i="7"/>
  <c r="AH426" i="7" s="1"/>
  <c r="M410" i="2"/>
  <c r="U410" i="11" s="1"/>
  <c r="M456" i="2"/>
  <c r="U456" i="11" s="1"/>
  <c r="M455" i="2"/>
  <c r="U455" i="11" s="1"/>
  <c r="M467" i="2"/>
  <c r="U467" i="11" s="1"/>
  <c r="AG332" i="7"/>
  <c r="AH332" i="7" s="1"/>
  <c r="M397" i="2"/>
  <c r="U397" i="11" s="1"/>
  <c r="AG415" i="7"/>
  <c r="AH415" i="7" s="1"/>
  <c r="AG328" i="7"/>
  <c r="AH328" i="7" s="1"/>
  <c r="M428" i="2"/>
  <c r="U428" i="11" s="1"/>
  <c r="M320" i="2"/>
  <c r="U320" i="11" s="1"/>
  <c r="AG351" i="7"/>
  <c r="AH351" i="7" s="1"/>
  <c r="M400" i="2"/>
  <c r="U400" i="11" s="1"/>
  <c r="M345" i="2"/>
  <c r="U345" i="11" s="1"/>
  <c r="M358" i="2"/>
  <c r="U358" i="11" s="1"/>
  <c r="AG362" i="7"/>
  <c r="AH362" i="7" s="1"/>
  <c r="M425" i="2"/>
  <c r="U425" i="11" s="1"/>
  <c r="AG338" i="7"/>
  <c r="AH338" i="7" s="1"/>
  <c r="AG459" i="7"/>
  <c r="AH459" i="7" s="1"/>
  <c r="AG348" i="7"/>
  <c r="AH348" i="7" s="1"/>
  <c r="AG461" i="7"/>
  <c r="AH461" i="7" s="1"/>
  <c r="AG401" i="7"/>
  <c r="AH401" i="7" s="1"/>
  <c r="M325" i="2"/>
  <c r="U325" i="11" s="1"/>
  <c r="AG409" i="7"/>
  <c r="AH409" i="7" s="1"/>
  <c r="AG343" i="7"/>
  <c r="AH343" i="7" s="1"/>
  <c r="AG347" i="7"/>
  <c r="AH347" i="7" s="1"/>
  <c r="AG429" i="7"/>
  <c r="AH429" i="7" s="1"/>
  <c r="AG310" i="7"/>
  <c r="AH310" i="7" s="1"/>
  <c r="AG434" i="7"/>
  <c r="AH434" i="7" s="1"/>
  <c r="M414" i="2"/>
  <c r="U414" i="11" s="1"/>
  <c r="M442" i="2"/>
  <c r="U442" i="11" s="1"/>
  <c r="AG437" i="7"/>
  <c r="AH437" i="7" s="1"/>
  <c r="AG335" i="7"/>
  <c r="AH335" i="7" s="1"/>
  <c r="AG382" i="7"/>
  <c r="AH382" i="7" s="1"/>
  <c r="AG321" i="7"/>
  <c r="AH321" i="7" s="1"/>
  <c r="AG322" i="7"/>
  <c r="AH322" i="7" s="1"/>
  <c r="M333" i="2"/>
  <c r="U333" i="11" s="1"/>
  <c r="M388" i="2"/>
  <c r="U388" i="11" s="1"/>
  <c r="M465" i="2"/>
  <c r="U465" i="11" s="1"/>
  <c r="AG421" i="7"/>
  <c r="AH421" i="7" s="1"/>
  <c r="M404" i="2"/>
  <c r="U404" i="11" s="1"/>
  <c r="AG420" i="7"/>
  <c r="AH420" i="7" s="1"/>
  <c r="M308" i="2"/>
  <c r="U308" i="11" s="1"/>
  <c r="M393" i="2"/>
  <c r="U393" i="11" s="1"/>
  <c r="M307" i="2"/>
  <c r="U307" i="11" s="1"/>
  <c r="AG448" i="7"/>
  <c r="AH448" i="7" s="1"/>
  <c r="AG377" i="7"/>
  <c r="AH377" i="7" s="1"/>
  <c r="AG436" i="7"/>
  <c r="AH436" i="7" s="1"/>
  <c r="M346" i="2"/>
  <c r="U346" i="11" s="1"/>
  <c r="M440" i="2"/>
  <c r="U440" i="11" s="1"/>
  <c r="M374" i="2"/>
  <c r="U374" i="11" s="1"/>
  <c r="AG470" i="7"/>
  <c r="AH470" i="7" s="1"/>
  <c r="AG353" i="7"/>
  <c r="AH353" i="7" s="1"/>
  <c r="M337" i="2"/>
  <c r="U337" i="11" s="1"/>
  <c r="AG413" i="7"/>
  <c r="AH413" i="7" s="1"/>
  <c r="M339" i="2"/>
  <c r="U339" i="11" s="1"/>
  <c r="M454" i="2"/>
  <c r="U454" i="11" s="1"/>
  <c r="M341" i="2"/>
  <c r="U341" i="11" s="1"/>
  <c r="AG395" i="7"/>
  <c r="AH395" i="7" s="1"/>
  <c r="AG478" i="7"/>
  <c r="AH478" i="7" s="1"/>
  <c r="AG387" i="7"/>
  <c r="AH387" i="7" s="1"/>
  <c r="AG340" i="7"/>
  <c r="AH340" i="7" s="1"/>
  <c r="AG372" i="7"/>
  <c r="AH372" i="7" s="1"/>
  <c r="M430" i="2"/>
  <c r="U430" i="11" s="1"/>
  <c r="AG469" i="7"/>
  <c r="AH469" i="7" s="1"/>
  <c r="M463" i="2"/>
  <c r="U463" i="11" s="1"/>
  <c r="AG376" i="7"/>
  <c r="AH376" i="7" s="1"/>
  <c r="M309" i="2"/>
  <c r="U309" i="11" s="1"/>
  <c r="AG331" i="7"/>
  <c r="AH331" i="7" s="1"/>
  <c r="AG359" i="7"/>
  <c r="AH359" i="7" s="1"/>
  <c r="AG354" i="7"/>
  <c r="AH354" i="7" s="1"/>
  <c r="M396" i="2"/>
  <c r="U396" i="11" s="1"/>
  <c r="AG479" i="7"/>
  <c r="AH479" i="7" s="1"/>
  <c r="M356" i="2"/>
  <c r="U356" i="11" s="1"/>
  <c r="AG473" i="7"/>
  <c r="AH473" i="7" s="1"/>
  <c r="AG462" i="7"/>
  <c r="AH462" i="7" s="1"/>
  <c r="AG464" i="7"/>
  <c r="AH464" i="7" s="1"/>
  <c r="M306" i="2"/>
  <c r="U306" i="11" s="1"/>
  <c r="AG453" i="7"/>
  <c r="AH453" i="7" s="1"/>
  <c r="AG423" i="7"/>
  <c r="AH423" i="7" s="1"/>
  <c r="M369" i="2"/>
  <c r="U369" i="11" s="1"/>
  <c r="AG313" i="7"/>
  <c r="AH313" i="7" s="1"/>
  <c r="AG431" i="7"/>
  <c r="AH431" i="7" s="1"/>
  <c r="AG466" i="7"/>
  <c r="AH466" i="7" s="1"/>
  <c r="AG381" i="7"/>
  <c r="AH381" i="7" s="1"/>
  <c r="AG389" i="7"/>
  <c r="AH389" i="7" s="1"/>
  <c r="AG386" i="7"/>
  <c r="AH386" i="7" s="1"/>
  <c r="M417" i="2"/>
  <c r="U417" i="11" s="1"/>
  <c r="AG408" i="7"/>
  <c r="AH408" i="7" s="1"/>
  <c r="M311" i="2"/>
  <c r="U311" i="11" s="1"/>
  <c r="M314" i="2"/>
  <c r="U314" i="11" s="1"/>
  <c r="AG315" i="7"/>
  <c r="AH315" i="7" s="1"/>
  <c r="M352" i="2"/>
  <c r="U352" i="11" s="1"/>
  <c r="AG433" i="7"/>
  <c r="AH433" i="7" s="1"/>
  <c r="AG379" i="7"/>
  <c r="AH379" i="7" s="1"/>
  <c r="M484" i="2"/>
  <c r="U484" i="11" s="1"/>
  <c r="AG439" i="7"/>
  <c r="AH439" i="7" s="1"/>
  <c r="AG323" i="7"/>
  <c r="AH323" i="7" s="1"/>
  <c r="M394" i="2"/>
  <c r="U394" i="11" s="1"/>
  <c r="M418" i="2"/>
  <c r="U418" i="11" s="1"/>
  <c r="AG482" i="7"/>
  <c r="AH482" i="7" s="1"/>
  <c r="AG475" i="7"/>
  <c r="AH475" i="7" s="1"/>
  <c r="M402" i="2"/>
  <c r="U402" i="11" s="1"/>
  <c r="M406" i="2"/>
  <c r="U406" i="11" s="1"/>
  <c r="M380" i="2"/>
  <c r="U380" i="11" s="1"/>
  <c r="AG476" i="7"/>
  <c r="AH476" i="7" s="1"/>
  <c r="M447" i="2"/>
  <c r="U447" i="11" s="1"/>
  <c r="M324" i="2"/>
  <c r="U324" i="11" s="1"/>
  <c r="AG443" i="7"/>
  <c r="AH443" i="7" s="1"/>
  <c r="M316" i="2"/>
  <c r="U316" i="11" s="1"/>
  <c r="M471" i="2"/>
  <c r="U471" i="11" s="1"/>
  <c r="AG355" i="7"/>
  <c r="AH355" i="7" s="1"/>
  <c r="AG438" i="7"/>
  <c r="AH438" i="7" s="1"/>
  <c r="M435" i="2"/>
  <c r="U435" i="11" s="1"/>
  <c r="AG480" i="7"/>
  <c r="AH480" i="7" s="1"/>
  <c r="M375" i="2"/>
  <c r="U375" i="11" s="1"/>
  <c r="M305" i="2"/>
  <c r="U305" i="11" s="1"/>
  <c r="M371" i="2"/>
  <c r="U371" i="11" s="1"/>
  <c r="AG373" i="7"/>
  <c r="AH373" i="7" s="1"/>
  <c r="M383" i="2"/>
  <c r="U383" i="11" s="1"/>
  <c r="M385" i="2"/>
  <c r="U385" i="11" s="1"/>
  <c r="M390" i="2"/>
  <c r="U390" i="11" s="1"/>
  <c r="M361" i="2"/>
  <c r="U361" i="11" s="1"/>
  <c r="M368" i="2"/>
  <c r="U368" i="11" s="1"/>
  <c r="AG357" i="7"/>
  <c r="AH357" i="7" s="1"/>
  <c r="AG365" i="7"/>
  <c r="AH365" i="7" s="1"/>
  <c r="AG378" i="7"/>
  <c r="AH378" i="7" s="1"/>
  <c r="M319" i="2"/>
  <c r="U319" i="11" s="1"/>
  <c r="AG460" i="7"/>
  <c r="AH460" i="7" s="1"/>
  <c r="M427" i="2"/>
  <c r="U427" i="11" s="1"/>
  <c r="M360" i="2"/>
  <c r="U360" i="11" s="1"/>
  <c r="M446" i="2"/>
  <c r="U446" i="11" s="1"/>
  <c r="M405" i="2"/>
  <c r="U405" i="11" s="1"/>
  <c r="M398" i="2"/>
  <c r="U398" i="11" s="1"/>
  <c r="M451" i="2"/>
  <c r="U451" i="11" s="1"/>
  <c r="M483" i="2"/>
  <c r="U483" i="11" s="1"/>
  <c r="AG330" i="7"/>
  <c r="AH330" i="7" s="1"/>
  <c r="M342" i="2"/>
  <c r="U342" i="11" s="1"/>
  <c r="M468" i="2"/>
  <c r="U468" i="11" s="1"/>
  <c r="M419" i="2"/>
  <c r="U419" i="11" s="1"/>
  <c r="M407" i="2"/>
  <c r="U407" i="11" s="1"/>
  <c r="AG441" i="7"/>
  <c r="AH441" i="7" s="1"/>
  <c r="AG403" i="7"/>
  <c r="AH403" i="7" s="1"/>
  <c r="M422" i="2"/>
  <c r="U422" i="11" s="1"/>
  <c r="M384" i="2"/>
  <c r="U384" i="11" s="1"/>
  <c r="M350" i="2"/>
  <c r="U350" i="11" s="1"/>
  <c r="AG416" i="7"/>
  <c r="AH416" i="7" s="1"/>
  <c r="AG477" i="7"/>
  <c r="AH477" i="7" s="1"/>
  <c r="AG411" i="7"/>
  <c r="AH411" i="7" s="1"/>
  <c r="M481" i="2"/>
  <c r="U481" i="11" s="1"/>
  <c r="AG399" i="7"/>
  <c r="AH399" i="7" s="1"/>
  <c r="AG329" i="7"/>
  <c r="AH329" i="7" s="1"/>
  <c r="M452" i="2"/>
  <c r="U452" i="11" s="1"/>
  <c r="M444" i="2"/>
  <c r="U444" i="11" s="1"/>
  <c r="AG444" i="7"/>
  <c r="AH444" i="7" s="1"/>
  <c r="S39" i="5"/>
  <c r="U36" i="5" s="1"/>
  <c r="R40" i="5"/>
  <c r="CE364" i="7"/>
  <c r="CE336" i="7"/>
  <c r="CE326" i="7"/>
  <c r="CE344" i="7"/>
  <c r="BX349" i="7"/>
  <c r="AM349" i="11" s="1"/>
  <c r="CE334" i="7"/>
  <c r="BX334" i="7"/>
  <c r="AM334" i="11" s="1"/>
  <c r="CE327" i="7"/>
  <c r="BX327" i="7"/>
  <c r="AM327" i="11" s="1"/>
  <c r="CE335" i="7"/>
  <c r="BX335" i="7"/>
  <c r="AM335" i="11" s="1"/>
  <c r="Q41" i="5"/>
  <c r="Y293" i="7"/>
  <c r="J293" i="2" s="1"/>
  <c r="Y253" i="7"/>
  <c r="J253" i="2" s="1"/>
  <c r="Y197" i="7"/>
  <c r="J197" i="2" s="1"/>
  <c r="Y157" i="7"/>
  <c r="J157" i="2" s="1"/>
  <c r="Y117" i="7"/>
  <c r="J117" i="2" s="1"/>
  <c r="Y85" i="7"/>
  <c r="J85" i="2" s="1"/>
  <c r="Y69" i="7"/>
  <c r="J69" i="2" s="1"/>
  <c r="Y61" i="7"/>
  <c r="J61" i="2" s="1"/>
  <c r="Y300" i="7"/>
  <c r="J300" i="2" s="1"/>
  <c r="Y292" i="7"/>
  <c r="J292" i="2" s="1"/>
  <c r="Y284" i="7"/>
  <c r="J284" i="2" s="1"/>
  <c r="Y276" i="7"/>
  <c r="J276" i="2" s="1"/>
  <c r="Y268" i="7"/>
  <c r="J268" i="2" s="1"/>
  <c r="Y260" i="7"/>
  <c r="J260" i="2" s="1"/>
  <c r="Y252" i="7"/>
  <c r="J252" i="2" s="1"/>
  <c r="Y244" i="7"/>
  <c r="J244" i="2" s="1"/>
  <c r="Y236" i="7"/>
  <c r="J236" i="2" s="1"/>
  <c r="Y228" i="7"/>
  <c r="J228" i="2" s="1"/>
  <c r="Y220" i="7"/>
  <c r="J220" i="2" s="1"/>
  <c r="Y212" i="7"/>
  <c r="J212" i="2" s="1"/>
  <c r="Y204" i="7"/>
  <c r="J204" i="2" s="1"/>
  <c r="Y196" i="7"/>
  <c r="J196" i="2" s="1"/>
  <c r="Y188" i="7"/>
  <c r="J188" i="2" s="1"/>
  <c r="Y180" i="7"/>
  <c r="J180" i="2" s="1"/>
  <c r="Y172" i="7"/>
  <c r="J172" i="2" s="1"/>
  <c r="Y164" i="7"/>
  <c r="J164" i="2" s="1"/>
  <c r="Y156" i="7"/>
  <c r="J156" i="2" s="1"/>
  <c r="Y148" i="7"/>
  <c r="J148" i="2" s="1"/>
  <c r="Y140" i="7"/>
  <c r="J140" i="2" s="1"/>
  <c r="Y132" i="7"/>
  <c r="J132" i="2" s="1"/>
  <c r="Y124" i="7"/>
  <c r="J124" i="2" s="1"/>
  <c r="Y116" i="7"/>
  <c r="J116" i="2" s="1"/>
  <c r="Y108" i="7"/>
  <c r="J108" i="2" s="1"/>
  <c r="Y100" i="7"/>
  <c r="J100" i="2" s="1"/>
  <c r="Y92" i="7"/>
  <c r="J92" i="2" s="1"/>
  <c r="Y84" i="7"/>
  <c r="J84" i="2" s="1"/>
  <c r="Y76" i="7"/>
  <c r="J76" i="2" s="1"/>
  <c r="Y68" i="7"/>
  <c r="J68" i="2" s="1"/>
  <c r="Y60" i="7"/>
  <c r="J60" i="2" s="1"/>
  <c r="Y52" i="7"/>
  <c r="J52" i="2" s="1"/>
  <c r="Y44" i="7"/>
  <c r="J44" i="2" s="1"/>
  <c r="Y36" i="7"/>
  <c r="J36" i="2" s="1"/>
  <c r="Y28" i="7"/>
  <c r="J28" i="2" s="1"/>
  <c r="Y20" i="7"/>
  <c r="J20" i="2" s="1"/>
  <c r="Y12" i="7"/>
  <c r="J12" i="2" s="1"/>
  <c r="Y285" i="7"/>
  <c r="J285" i="2" s="1"/>
  <c r="Y221" i="7"/>
  <c r="J221" i="2" s="1"/>
  <c r="Y141" i="7"/>
  <c r="J141" i="2" s="1"/>
  <c r="Y21" i="7"/>
  <c r="J21" i="2" s="1"/>
  <c r="Y299" i="7"/>
  <c r="J299" i="2" s="1"/>
  <c r="Y291" i="7"/>
  <c r="J291" i="2" s="1"/>
  <c r="Y283" i="7"/>
  <c r="J283" i="2" s="1"/>
  <c r="Y275" i="7"/>
  <c r="J275" i="2" s="1"/>
  <c r="Y267" i="7"/>
  <c r="J267" i="2" s="1"/>
  <c r="Y259" i="7"/>
  <c r="J259" i="2" s="1"/>
  <c r="Y251" i="7"/>
  <c r="J251" i="2" s="1"/>
  <c r="Y243" i="7"/>
  <c r="J243" i="2" s="1"/>
  <c r="Y235" i="7"/>
  <c r="J235" i="2" s="1"/>
  <c r="Y227" i="7"/>
  <c r="J227" i="2" s="1"/>
  <c r="Y219" i="7"/>
  <c r="J219" i="2" s="1"/>
  <c r="Y211" i="7"/>
  <c r="J211" i="2" s="1"/>
  <c r="Y203" i="7"/>
  <c r="J203" i="2" s="1"/>
  <c r="Y195" i="7"/>
  <c r="J195" i="2" s="1"/>
  <c r="Y187" i="7"/>
  <c r="J187" i="2" s="1"/>
  <c r="Y179" i="7"/>
  <c r="J179" i="2" s="1"/>
  <c r="Y171" i="7"/>
  <c r="J171" i="2" s="1"/>
  <c r="Y163" i="7"/>
  <c r="J163" i="2" s="1"/>
  <c r="Y155" i="7"/>
  <c r="J155" i="2" s="1"/>
  <c r="Y147" i="7"/>
  <c r="J147" i="2" s="1"/>
  <c r="Y139" i="7"/>
  <c r="J139" i="2" s="1"/>
  <c r="Y131" i="7"/>
  <c r="J131" i="2" s="1"/>
  <c r="Y123" i="7"/>
  <c r="J123" i="2" s="1"/>
  <c r="Y115" i="7"/>
  <c r="J115" i="2" s="1"/>
  <c r="Y107" i="7"/>
  <c r="J107" i="2" s="1"/>
  <c r="Y99" i="7"/>
  <c r="J99" i="2" s="1"/>
  <c r="Y91" i="7"/>
  <c r="J91" i="2" s="1"/>
  <c r="Y83" i="7"/>
  <c r="J83" i="2" s="1"/>
  <c r="Y75" i="7"/>
  <c r="J75" i="2" s="1"/>
  <c r="Y67" i="7"/>
  <c r="J67" i="2" s="1"/>
  <c r="Y59" i="7"/>
  <c r="J59" i="2" s="1"/>
  <c r="Y51" i="7"/>
  <c r="J51" i="2" s="1"/>
  <c r="Y43" i="7"/>
  <c r="J43" i="2" s="1"/>
  <c r="Y35" i="7"/>
  <c r="J35" i="2" s="1"/>
  <c r="Y27" i="7"/>
  <c r="J27" i="2" s="1"/>
  <c r="Y19" i="7"/>
  <c r="J19" i="2" s="1"/>
  <c r="Y11" i="7"/>
  <c r="J11" i="2" s="1"/>
  <c r="Y261" i="7"/>
  <c r="J261" i="2" s="1"/>
  <c r="Y205" i="7"/>
  <c r="J205" i="2" s="1"/>
  <c r="Y165" i="7"/>
  <c r="J165" i="2" s="1"/>
  <c r="Y109" i="7"/>
  <c r="J109" i="2" s="1"/>
  <c r="Y45" i="7"/>
  <c r="J45" i="2" s="1"/>
  <c r="Y298" i="7"/>
  <c r="J298" i="2" s="1"/>
  <c r="Y290" i="7"/>
  <c r="J290" i="2" s="1"/>
  <c r="Y282" i="7"/>
  <c r="J282" i="2" s="1"/>
  <c r="Y274" i="7"/>
  <c r="J274" i="2" s="1"/>
  <c r="Y266" i="7"/>
  <c r="J266" i="2" s="1"/>
  <c r="Y258" i="7"/>
  <c r="J258" i="2" s="1"/>
  <c r="Y250" i="7"/>
  <c r="J250" i="2" s="1"/>
  <c r="Y242" i="7"/>
  <c r="J242" i="2" s="1"/>
  <c r="Y234" i="7"/>
  <c r="J234" i="2" s="1"/>
  <c r="Y226" i="7"/>
  <c r="J226" i="2" s="1"/>
  <c r="Y218" i="7"/>
  <c r="J218" i="2" s="1"/>
  <c r="Y210" i="7"/>
  <c r="J210" i="2" s="1"/>
  <c r="Y202" i="7"/>
  <c r="J202" i="2" s="1"/>
  <c r="Y194" i="7"/>
  <c r="J194" i="2" s="1"/>
  <c r="Y186" i="7"/>
  <c r="J186" i="2" s="1"/>
  <c r="Y178" i="7"/>
  <c r="J178" i="2" s="1"/>
  <c r="Y170" i="7"/>
  <c r="J170" i="2" s="1"/>
  <c r="Y162" i="7"/>
  <c r="J162" i="2" s="1"/>
  <c r="Y154" i="7"/>
  <c r="J154" i="2" s="1"/>
  <c r="Y146" i="7"/>
  <c r="J146" i="2" s="1"/>
  <c r="Y138" i="7"/>
  <c r="J138" i="2" s="1"/>
  <c r="Y130" i="7"/>
  <c r="J130" i="2" s="1"/>
  <c r="Y122" i="7"/>
  <c r="J122" i="2" s="1"/>
  <c r="Y114" i="7"/>
  <c r="J114" i="2" s="1"/>
  <c r="Y106" i="7"/>
  <c r="J106" i="2" s="1"/>
  <c r="Y98" i="7"/>
  <c r="J98" i="2" s="1"/>
  <c r="Y90" i="7"/>
  <c r="J90" i="2" s="1"/>
  <c r="Y82" i="7"/>
  <c r="J82" i="2" s="1"/>
  <c r="Y74" i="7"/>
  <c r="J74" i="2" s="1"/>
  <c r="Y66" i="7"/>
  <c r="J66" i="2" s="1"/>
  <c r="Y58" i="7"/>
  <c r="J58" i="2" s="1"/>
  <c r="Y50" i="7"/>
  <c r="J50" i="2" s="1"/>
  <c r="Y42" i="7"/>
  <c r="J42" i="2" s="1"/>
  <c r="Y34" i="7"/>
  <c r="J34" i="2" s="1"/>
  <c r="Y26" i="7"/>
  <c r="J26" i="2" s="1"/>
  <c r="Y18" i="7"/>
  <c r="J18" i="2" s="1"/>
  <c r="Y10" i="7"/>
  <c r="J10" i="2" s="1"/>
  <c r="Y237" i="7"/>
  <c r="J237" i="2" s="1"/>
  <c r="Y173" i="7"/>
  <c r="J173" i="2" s="1"/>
  <c r="Y101" i="7"/>
  <c r="J101" i="2" s="1"/>
  <c r="Y53" i="7"/>
  <c r="J53" i="2" s="1"/>
  <c r="Y297" i="7"/>
  <c r="J297" i="2" s="1"/>
  <c r="Y289" i="7"/>
  <c r="J289" i="2" s="1"/>
  <c r="Y281" i="7"/>
  <c r="J281" i="2" s="1"/>
  <c r="Y273" i="7"/>
  <c r="J273" i="2" s="1"/>
  <c r="Y265" i="7"/>
  <c r="J265" i="2" s="1"/>
  <c r="Y257" i="7"/>
  <c r="J257" i="2" s="1"/>
  <c r="Y249" i="7"/>
  <c r="J249" i="2" s="1"/>
  <c r="Y241" i="7"/>
  <c r="J241" i="2" s="1"/>
  <c r="Y233" i="7"/>
  <c r="J233" i="2" s="1"/>
  <c r="Y225" i="7"/>
  <c r="J225" i="2" s="1"/>
  <c r="Y217" i="7"/>
  <c r="J217" i="2" s="1"/>
  <c r="Y209" i="7"/>
  <c r="J209" i="2" s="1"/>
  <c r="Y201" i="7"/>
  <c r="J201" i="2" s="1"/>
  <c r="Y193" i="7"/>
  <c r="J193" i="2" s="1"/>
  <c r="Y185" i="7"/>
  <c r="J185" i="2" s="1"/>
  <c r="Y177" i="7"/>
  <c r="J177" i="2" s="1"/>
  <c r="Y169" i="7"/>
  <c r="J169" i="2" s="1"/>
  <c r="Y161" i="7"/>
  <c r="J161" i="2" s="1"/>
  <c r="Y153" i="7"/>
  <c r="J153" i="2" s="1"/>
  <c r="Y145" i="7"/>
  <c r="J145" i="2" s="1"/>
  <c r="Y137" i="7"/>
  <c r="J137" i="2" s="1"/>
  <c r="Y129" i="7"/>
  <c r="J129" i="2" s="1"/>
  <c r="Y121" i="7"/>
  <c r="J121" i="2" s="1"/>
  <c r="Y113" i="7"/>
  <c r="J113" i="2" s="1"/>
  <c r="Y105" i="7"/>
  <c r="J105" i="2" s="1"/>
  <c r="Y97" i="7"/>
  <c r="J97" i="2" s="1"/>
  <c r="Y89" i="7"/>
  <c r="J89" i="2" s="1"/>
  <c r="Y81" i="7"/>
  <c r="J81" i="2" s="1"/>
  <c r="Y73" i="7"/>
  <c r="J73" i="2" s="1"/>
  <c r="Y65" i="7"/>
  <c r="J65" i="2" s="1"/>
  <c r="Y57" i="7"/>
  <c r="J57" i="2" s="1"/>
  <c r="Y49" i="7"/>
  <c r="J49" i="2" s="1"/>
  <c r="Y41" i="7"/>
  <c r="J41" i="2" s="1"/>
  <c r="Y33" i="7"/>
  <c r="J33" i="2" s="1"/>
  <c r="Y25" i="7"/>
  <c r="J25" i="2" s="1"/>
  <c r="Y17" i="7"/>
  <c r="J17" i="2" s="1"/>
  <c r="Y9" i="7"/>
  <c r="J9" i="2" s="1"/>
  <c r="Y269" i="7"/>
  <c r="J269" i="2" s="1"/>
  <c r="Y229" i="7"/>
  <c r="J229" i="2" s="1"/>
  <c r="Y181" i="7"/>
  <c r="J181" i="2" s="1"/>
  <c r="Y149" i="7"/>
  <c r="J149" i="2" s="1"/>
  <c r="Y93" i="7"/>
  <c r="J93" i="2" s="1"/>
  <c r="Y77" i="7"/>
  <c r="J77" i="2" s="1"/>
  <c r="Y29" i="7"/>
  <c r="J29" i="2" s="1"/>
  <c r="Y304" i="7"/>
  <c r="J304" i="2" s="1"/>
  <c r="Y296" i="7"/>
  <c r="J296" i="2" s="1"/>
  <c r="Y288" i="7"/>
  <c r="J288" i="2" s="1"/>
  <c r="Y280" i="7"/>
  <c r="J280" i="2" s="1"/>
  <c r="Y272" i="7"/>
  <c r="J272" i="2" s="1"/>
  <c r="Y264" i="7"/>
  <c r="J264" i="2" s="1"/>
  <c r="Y256" i="7"/>
  <c r="J256" i="2" s="1"/>
  <c r="Y248" i="7"/>
  <c r="J248" i="2" s="1"/>
  <c r="Y240" i="7"/>
  <c r="J240" i="2" s="1"/>
  <c r="Y232" i="7"/>
  <c r="J232" i="2" s="1"/>
  <c r="Y224" i="7"/>
  <c r="J224" i="2" s="1"/>
  <c r="Y216" i="7"/>
  <c r="J216" i="2" s="1"/>
  <c r="Y208" i="7"/>
  <c r="J208" i="2" s="1"/>
  <c r="Y200" i="7"/>
  <c r="J200" i="2" s="1"/>
  <c r="Y192" i="7"/>
  <c r="J192" i="2" s="1"/>
  <c r="Y184" i="7"/>
  <c r="J184" i="2" s="1"/>
  <c r="Y176" i="7"/>
  <c r="J176" i="2" s="1"/>
  <c r="Y168" i="7"/>
  <c r="J168" i="2" s="1"/>
  <c r="Y160" i="7"/>
  <c r="J160" i="2" s="1"/>
  <c r="Y152" i="7"/>
  <c r="J152" i="2" s="1"/>
  <c r="Y144" i="7"/>
  <c r="J144" i="2" s="1"/>
  <c r="Y136" i="7"/>
  <c r="J136" i="2" s="1"/>
  <c r="Y128" i="7"/>
  <c r="J128" i="2" s="1"/>
  <c r="Y120" i="7"/>
  <c r="J120" i="2" s="1"/>
  <c r="Y112" i="7"/>
  <c r="J112" i="2" s="1"/>
  <c r="Y104" i="7"/>
  <c r="J104" i="2" s="1"/>
  <c r="Y96" i="7"/>
  <c r="J96" i="2" s="1"/>
  <c r="Y88" i="7"/>
  <c r="J88" i="2" s="1"/>
  <c r="Y80" i="7"/>
  <c r="J80" i="2" s="1"/>
  <c r="Y72" i="7"/>
  <c r="J72" i="2" s="1"/>
  <c r="Y64" i="7"/>
  <c r="J64" i="2" s="1"/>
  <c r="Y56" i="7"/>
  <c r="J56" i="2" s="1"/>
  <c r="Y48" i="7"/>
  <c r="J48" i="2" s="1"/>
  <c r="Y40" i="7"/>
  <c r="J40" i="2" s="1"/>
  <c r="Y32" i="7"/>
  <c r="J32" i="2" s="1"/>
  <c r="Y24" i="7"/>
  <c r="J24" i="2" s="1"/>
  <c r="Y16" i="7"/>
  <c r="Y8" i="7"/>
  <c r="J8" i="2" s="1"/>
  <c r="Y277" i="7"/>
  <c r="J277" i="2" s="1"/>
  <c r="Y213" i="7"/>
  <c r="J213" i="2" s="1"/>
  <c r="Y133" i="7"/>
  <c r="J133" i="2" s="1"/>
  <c r="Y13" i="7"/>
  <c r="J13" i="2" s="1"/>
  <c r="Y303" i="7"/>
  <c r="J303" i="2" s="1"/>
  <c r="Y295" i="7"/>
  <c r="J295" i="2" s="1"/>
  <c r="Y287" i="7"/>
  <c r="J287" i="2" s="1"/>
  <c r="Y279" i="7"/>
  <c r="J279" i="2" s="1"/>
  <c r="Y271" i="7"/>
  <c r="J271" i="2" s="1"/>
  <c r="Y263" i="7"/>
  <c r="J263" i="2" s="1"/>
  <c r="Y255" i="7"/>
  <c r="J255" i="2" s="1"/>
  <c r="Y247" i="7"/>
  <c r="J247" i="2" s="1"/>
  <c r="Y239" i="7"/>
  <c r="J239" i="2" s="1"/>
  <c r="Y231" i="7"/>
  <c r="J231" i="2" s="1"/>
  <c r="Y223" i="7"/>
  <c r="J223" i="2" s="1"/>
  <c r="Y215" i="7"/>
  <c r="J215" i="2" s="1"/>
  <c r="Y207" i="7"/>
  <c r="J207" i="2" s="1"/>
  <c r="Y199" i="7"/>
  <c r="J199" i="2" s="1"/>
  <c r="Y191" i="7"/>
  <c r="J191" i="2" s="1"/>
  <c r="Y183" i="7"/>
  <c r="J183" i="2" s="1"/>
  <c r="Y175" i="7"/>
  <c r="J175" i="2" s="1"/>
  <c r="Y167" i="7"/>
  <c r="J167" i="2" s="1"/>
  <c r="Y159" i="7"/>
  <c r="J159" i="2" s="1"/>
  <c r="Y151" i="7"/>
  <c r="J151" i="2" s="1"/>
  <c r="Y143" i="7"/>
  <c r="J143" i="2" s="1"/>
  <c r="Y135" i="7"/>
  <c r="J135" i="2" s="1"/>
  <c r="Y127" i="7"/>
  <c r="J127" i="2" s="1"/>
  <c r="Y119" i="7"/>
  <c r="J119" i="2" s="1"/>
  <c r="Y111" i="7"/>
  <c r="J111" i="2" s="1"/>
  <c r="Y103" i="7"/>
  <c r="J103" i="2" s="1"/>
  <c r="Y95" i="7"/>
  <c r="J95" i="2" s="1"/>
  <c r="Y87" i="7"/>
  <c r="J87" i="2" s="1"/>
  <c r="Y79" i="7"/>
  <c r="J79" i="2" s="1"/>
  <c r="Y71" i="7"/>
  <c r="J71" i="2" s="1"/>
  <c r="Y63" i="7"/>
  <c r="J63" i="2" s="1"/>
  <c r="Y55" i="7"/>
  <c r="J55" i="2" s="1"/>
  <c r="Y47" i="7"/>
  <c r="J47" i="2" s="1"/>
  <c r="Y39" i="7"/>
  <c r="J39" i="2" s="1"/>
  <c r="Y31" i="7"/>
  <c r="J31" i="2" s="1"/>
  <c r="Y23" i="7"/>
  <c r="J23" i="2" s="1"/>
  <c r="Y15" i="7"/>
  <c r="J15" i="2" s="1"/>
  <c r="Y7" i="7"/>
  <c r="J7" i="2" s="1"/>
  <c r="Y301" i="7"/>
  <c r="J301" i="2" s="1"/>
  <c r="Y245" i="7"/>
  <c r="J245" i="2" s="1"/>
  <c r="Y189" i="7"/>
  <c r="J189" i="2" s="1"/>
  <c r="Y125" i="7"/>
  <c r="J125" i="2" s="1"/>
  <c r="Y37" i="7"/>
  <c r="J37" i="2" s="1"/>
  <c r="Y302" i="7"/>
  <c r="J302" i="2" s="1"/>
  <c r="Y294" i="7"/>
  <c r="J294" i="2" s="1"/>
  <c r="Y286" i="7"/>
  <c r="J286" i="2" s="1"/>
  <c r="Y278" i="7"/>
  <c r="J278" i="2" s="1"/>
  <c r="Y270" i="7"/>
  <c r="J270" i="2" s="1"/>
  <c r="Y262" i="7"/>
  <c r="J262" i="2" s="1"/>
  <c r="Y254" i="7"/>
  <c r="J254" i="2" s="1"/>
  <c r="Y246" i="7"/>
  <c r="J246" i="2" s="1"/>
  <c r="Y238" i="7"/>
  <c r="J238" i="2" s="1"/>
  <c r="Y230" i="7"/>
  <c r="J230" i="2" s="1"/>
  <c r="Y222" i="7"/>
  <c r="J222" i="2" s="1"/>
  <c r="Y214" i="7"/>
  <c r="J214" i="2" s="1"/>
  <c r="Y206" i="7"/>
  <c r="J206" i="2" s="1"/>
  <c r="Y198" i="7"/>
  <c r="J198" i="2" s="1"/>
  <c r="Y190" i="7"/>
  <c r="J190" i="2" s="1"/>
  <c r="Y182" i="7"/>
  <c r="J182" i="2" s="1"/>
  <c r="Y174" i="7"/>
  <c r="J174" i="2" s="1"/>
  <c r="Y166" i="7"/>
  <c r="J166" i="2" s="1"/>
  <c r="Y158" i="7"/>
  <c r="J158" i="2" s="1"/>
  <c r="Y150" i="7"/>
  <c r="J150" i="2" s="1"/>
  <c r="Y142" i="7"/>
  <c r="J142" i="2" s="1"/>
  <c r="Y134" i="7"/>
  <c r="J134" i="2" s="1"/>
  <c r="Y126" i="7"/>
  <c r="J126" i="2" s="1"/>
  <c r="Y118" i="7"/>
  <c r="J118" i="2" s="1"/>
  <c r="Y110" i="7"/>
  <c r="J110" i="2" s="1"/>
  <c r="Y102" i="7"/>
  <c r="J102" i="2" s="1"/>
  <c r="Y94" i="7"/>
  <c r="J94" i="2" s="1"/>
  <c r="Y86" i="7"/>
  <c r="J86" i="2" s="1"/>
  <c r="Y78" i="7"/>
  <c r="J78" i="2" s="1"/>
  <c r="Y70" i="7"/>
  <c r="J70" i="2" s="1"/>
  <c r="Y62" i="7"/>
  <c r="J62" i="2" s="1"/>
  <c r="Y54" i="7"/>
  <c r="J54" i="2" s="1"/>
  <c r="Y46" i="7"/>
  <c r="J46" i="2" s="1"/>
  <c r="Y38" i="7"/>
  <c r="J38" i="2" s="1"/>
  <c r="Y30" i="7"/>
  <c r="J30" i="2" s="1"/>
  <c r="Y22" i="7"/>
  <c r="J22" i="2" s="1"/>
  <c r="Y14" i="7"/>
  <c r="J14" i="2" s="1"/>
  <c r="Y6" i="7"/>
  <c r="J6" i="2" s="1"/>
  <c r="CE400" i="11" l="1"/>
  <c r="AN50" i="20" s="1"/>
  <c r="AA98" i="11"/>
  <c r="AA194" i="11"/>
  <c r="AA290" i="11"/>
  <c r="AA96" i="11"/>
  <c r="AA75" i="11"/>
  <c r="AA171" i="11"/>
  <c r="AA267" i="11"/>
  <c r="AA166" i="11"/>
  <c r="AA37" i="11"/>
  <c r="AA85" i="11"/>
  <c r="AA133" i="11"/>
  <c r="AA10" i="11"/>
  <c r="AA58" i="11"/>
  <c r="AA106" i="11"/>
  <c r="AA154" i="11"/>
  <c r="AA202" i="11"/>
  <c r="AA250" i="11"/>
  <c r="AA298" i="11"/>
  <c r="AA182" i="11"/>
  <c r="AA152" i="11"/>
  <c r="AA35" i="11"/>
  <c r="AA83" i="11"/>
  <c r="AA131" i="11"/>
  <c r="AA179" i="11"/>
  <c r="AA227" i="11"/>
  <c r="AA275" i="11"/>
  <c r="AA300" i="11"/>
  <c r="AA198" i="11"/>
  <c r="AA160" i="11"/>
  <c r="AA45" i="11"/>
  <c r="AA93" i="11"/>
  <c r="AA141" i="11"/>
  <c r="AA189" i="11"/>
  <c r="AA237" i="11"/>
  <c r="AA285" i="11"/>
  <c r="AA192" i="11"/>
  <c r="AA39" i="11"/>
  <c r="AA66" i="11"/>
  <c r="AA162" i="11"/>
  <c r="AA258" i="11"/>
  <c r="AA206" i="11"/>
  <c r="AA43" i="11"/>
  <c r="AA139" i="11"/>
  <c r="AA235" i="11"/>
  <c r="AA22" i="11"/>
  <c r="AA200" i="11"/>
  <c r="AA53" i="11"/>
  <c r="AA101" i="11"/>
  <c r="AA149" i="11"/>
  <c r="AA197" i="11"/>
  <c r="AA245" i="11"/>
  <c r="AA26" i="11"/>
  <c r="AA74" i="11"/>
  <c r="AA122" i="11"/>
  <c r="AA170" i="11"/>
  <c r="AA218" i="11"/>
  <c r="AA266" i="11"/>
  <c r="AA284" i="11"/>
  <c r="AA246" i="11"/>
  <c r="AA272" i="11"/>
  <c r="AA51" i="11"/>
  <c r="AA99" i="11"/>
  <c r="AA147" i="11"/>
  <c r="AA195" i="11"/>
  <c r="AA243" i="11"/>
  <c r="AA291" i="11"/>
  <c r="AA62" i="11"/>
  <c r="AA270" i="11"/>
  <c r="AA240" i="11"/>
  <c r="AA13" i="11"/>
  <c r="AA61" i="11"/>
  <c r="AA109" i="11"/>
  <c r="AA157" i="11"/>
  <c r="AA205" i="11"/>
  <c r="AA253" i="11"/>
  <c r="AA301" i="11"/>
  <c r="AA254" i="11"/>
  <c r="AA7" i="11"/>
  <c r="AA103" i="11"/>
  <c r="AA34" i="11"/>
  <c r="AA130" i="11"/>
  <c r="AA226" i="11"/>
  <c r="AA38" i="11"/>
  <c r="AA11" i="11"/>
  <c r="AA107" i="11"/>
  <c r="AA203" i="11"/>
  <c r="AA299" i="11"/>
  <c r="AA24" i="11"/>
  <c r="AA21" i="11"/>
  <c r="AA69" i="11"/>
  <c r="AA117" i="11"/>
  <c r="AA165" i="11"/>
  <c r="AA213" i="11"/>
  <c r="AA261" i="11"/>
  <c r="AA42" i="11"/>
  <c r="AA138" i="11"/>
  <c r="AA234" i="11"/>
  <c r="AA86" i="11"/>
  <c r="AA19" i="11"/>
  <c r="AA163" i="11"/>
  <c r="AA259" i="11"/>
  <c r="AA134" i="11"/>
  <c r="AA29" i="11"/>
  <c r="AA125" i="11"/>
  <c r="AA221" i="11"/>
  <c r="AA70" i="11"/>
  <c r="AA71" i="11"/>
  <c r="AA90" i="11"/>
  <c r="AA186" i="11"/>
  <c r="AA282" i="11"/>
  <c r="AA40" i="11"/>
  <c r="AA67" i="11"/>
  <c r="AA115" i="11"/>
  <c r="AA211" i="11"/>
  <c r="AA244" i="11"/>
  <c r="AA64" i="11"/>
  <c r="AA77" i="11"/>
  <c r="AA173" i="11"/>
  <c r="AA269" i="11"/>
  <c r="AA126" i="11"/>
  <c r="AA181" i="11"/>
  <c r="AA229" i="11"/>
  <c r="AA277" i="11"/>
  <c r="CE308" i="7"/>
  <c r="BX308" i="7"/>
  <c r="AM308" i="11" s="1"/>
  <c r="BX333" i="7"/>
  <c r="AM333" i="11" s="1"/>
  <c r="BV388" i="11"/>
  <c r="AM29" i="20" s="1"/>
  <c r="AA293" i="11"/>
  <c r="AA118" i="11"/>
  <c r="AA32" i="11"/>
  <c r="AA248" i="11"/>
  <c r="AA286" i="11"/>
  <c r="AA15" i="11"/>
  <c r="AA47" i="11"/>
  <c r="AA79" i="11"/>
  <c r="AA111" i="11"/>
  <c r="AA143" i="11"/>
  <c r="AA175" i="11"/>
  <c r="AA174" i="11"/>
  <c r="AA88" i="11"/>
  <c r="AA296" i="11"/>
  <c r="AA104" i="11"/>
  <c r="AA23" i="11"/>
  <c r="AA55" i="11"/>
  <c r="AA87" i="11"/>
  <c r="AA119" i="11"/>
  <c r="AA151" i="11"/>
  <c r="AA183" i="11"/>
  <c r="AA215" i="11"/>
  <c r="AA247" i="11"/>
  <c r="AA279" i="11"/>
  <c r="AA56" i="11"/>
  <c r="AA304" i="11"/>
  <c r="AA33" i="11"/>
  <c r="AA65" i="11"/>
  <c r="AA30" i="11"/>
  <c r="AA214" i="11"/>
  <c r="AA144" i="11"/>
  <c r="AA14" i="11"/>
  <c r="AA224" i="11"/>
  <c r="AA31" i="11"/>
  <c r="AA63" i="11"/>
  <c r="AA95" i="11"/>
  <c r="AA127" i="11"/>
  <c r="AA159" i="11"/>
  <c r="AA191" i="11"/>
  <c r="AA223" i="11"/>
  <c r="AA255" i="11"/>
  <c r="AA287" i="11"/>
  <c r="AA135" i="11"/>
  <c r="AA167" i="11"/>
  <c r="AA199" i="11"/>
  <c r="AA231" i="11"/>
  <c r="AA263" i="11"/>
  <c r="AA295" i="11"/>
  <c r="AA176" i="11"/>
  <c r="AA17" i="11"/>
  <c r="AA49" i="11"/>
  <c r="AA81" i="11"/>
  <c r="AA113" i="11"/>
  <c r="AA145" i="11"/>
  <c r="CE472" i="11"/>
  <c r="AT50" i="20" s="1"/>
  <c r="AA207" i="11"/>
  <c r="AA239" i="11"/>
  <c r="AA271" i="11"/>
  <c r="AA303" i="11"/>
  <c r="AA232" i="11"/>
  <c r="AA97" i="11"/>
  <c r="AA129" i="11"/>
  <c r="AA161" i="11"/>
  <c r="AA193" i="11"/>
  <c r="AA225" i="11"/>
  <c r="AA257" i="11"/>
  <c r="AA289" i="11"/>
  <c r="AA292" i="11"/>
  <c r="AA110" i="11"/>
  <c r="AA262" i="11"/>
  <c r="AA80" i="11"/>
  <c r="AA120" i="11"/>
  <c r="AA9" i="11"/>
  <c r="AA41" i="11"/>
  <c r="AA73" i="11"/>
  <c r="AA105" i="11"/>
  <c r="AA137" i="11"/>
  <c r="AA177" i="11"/>
  <c r="AA209" i="11"/>
  <c r="AA241" i="11"/>
  <c r="AA273" i="11"/>
  <c r="AA252" i="11"/>
  <c r="AA54" i="11"/>
  <c r="AA190" i="11"/>
  <c r="AA8" i="11"/>
  <c r="AA264" i="11"/>
  <c r="AA169" i="11"/>
  <c r="AA201" i="11"/>
  <c r="AA233" i="11"/>
  <c r="AA265" i="11"/>
  <c r="AA297" i="11"/>
  <c r="AA6" i="11"/>
  <c r="AA150" i="11"/>
  <c r="AA302" i="11"/>
  <c r="AA136" i="11"/>
  <c r="AA288" i="11"/>
  <c r="BV400" i="11"/>
  <c r="AN29" i="20" s="1"/>
  <c r="AA168" i="11"/>
  <c r="Y308" i="11"/>
  <c r="CE356" i="7"/>
  <c r="BH376" i="11"/>
  <c r="AL7" i="20" s="1"/>
  <c r="AL12" i="20" s="1"/>
  <c r="AA20" i="11"/>
  <c r="AA52" i="11"/>
  <c r="AA84" i="11"/>
  <c r="AA116" i="11"/>
  <c r="AA148" i="11"/>
  <c r="AA180" i="11"/>
  <c r="AA212" i="11"/>
  <c r="AA46" i="11"/>
  <c r="AA278" i="11"/>
  <c r="AA184" i="11"/>
  <c r="AA28" i="11"/>
  <c r="AA60" i="11"/>
  <c r="AA92" i="11"/>
  <c r="AA124" i="11"/>
  <c r="AA156" i="11"/>
  <c r="AA188" i="11"/>
  <c r="AA220" i="11"/>
  <c r="AA102" i="11"/>
  <c r="AA16" i="11"/>
  <c r="AA256" i="11"/>
  <c r="AA18" i="11"/>
  <c r="AA50" i="11"/>
  <c r="AA82" i="11"/>
  <c r="AA114" i="11"/>
  <c r="AA146" i="11"/>
  <c r="AA178" i="11"/>
  <c r="AA210" i="11"/>
  <c r="AA242" i="11"/>
  <c r="AA274" i="11"/>
  <c r="AA236" i="11"/>
  <c r="AA142" i="11"/>
  <c r="AA294" i="11"/>
  <c r="AA208" i="11"/>
  <c r="AA27" i="11"/>
  <c r="AA59" i="11"/>
  <c r="AA91" i="11"/>
  <c r="AA123" i="11"/>
  <c r="AA155" i="11"/>
  <c r="AA187" i="11"/>
  <c r="AA219" i="11"/>
  <c r="AA251" i="11"/>
  <c r="AA283" i="11"/>
  <c r="AA276" i="11"/>
  <c r="AA94" i="11"/>
  <c r="AA238" i="11"/>
  <c r="AA112" i="11"/>
  <c r="AA280" i="11"/>
  <c r="AA25" i="11"/>
  <c r="AA57" i="11"/>
  <c r="AA89" i="11"/>
  <c r="AA121" i="11"/>
  <c r="AA153" i="11"/>
  <c r="AA185" i="11"/>
  <c r="AA217" i="11"/>
  <c r="AA249" i="11"/>
  <c r="AA281" i="11"/>
  <c r="AA260" i="11"/>
  <c r="AA78" i="11"/>
  <c r="AA230" i="11"/>
  <c r="AA48" i="11"/>
  <c r="AA216" i="11"/>
  <c r="Y339" i="11"/>
  <c r="Y319" i="11"/>
  <c r="Y305" i="11"/>
  <c r="Y325" i="11"/>
  <c r="Y316" i="11"/>
  <c r="Y331" i="11"/>
  <c r="Y353" i="11"/>
  <c r="Y324" i="11"/>
  <c r="Y311" i="11"/>
  <c r="CE388" i="11"/>
  <c r="AM50" i="20" s="1"/>
  <c r="AA36" i="11"/>
  <c r="AA68" i="11"/>
  <c r="AA100" i="11"/>
  <c r="AA132" i="11"/>
  <c r="AA164" i="11"/>
  <c r="AA196" i="11"/>
  <c r="AA228" i="11"/>
  <c r="AA158" i="11"/>
  <c r="AA72" i="11"/>
  <c r="BH424" i="11"/>
  <c r="AP7" i="20" s="1"/>
  <c r="AP12" i="20" s="1"/>
  <c r="AA12" i="11"/>
  <c r="AA44" i="11"/>
  <c r="AA76" i="11"/>
  <c r="AA108" i="11"/>
  <c r="AA140" i="11"/>
  <c r="AA172" i="11"/>
  <c r="AA204" i="11"/>
  <c r="AA268" i="11"/>
  <c r="AA222" i="11"/>
  <c r="AA128" i="11"/>
  <c r="BH472" i="11"/>
  <c r="AT7" i="20" s="1"/>
  <c r="AT12" i="20" s="1"/>
  <c r="CE376" i="11"/>
  <c r="AL50" i="20" s="1"/>
  <c r="BX362" i="7"/>
  <c r="AM362" i="11" s="1"/>
  <c r="CE436" i="11"/>
  <c r="AQ50" i="20" s="1"/>
  <c r="CE460" i="11"/>
  <c r="AS50" i="20" s="1"/>
  <c r="BH412" i="11"/>
  <c r="AO7" i="20" s="1"/>
  <c r="AO12" i="20" s="1"/>
  <c r="BV448" i="11"/>
  <c r="AR29" i="20" s="1"/>
  <c r="BH400" i="11"/>
  <c r="AN7" i="20" s="1"/>
  <c r="AN12" i="20" s="1"/>
  <c r="Y333" i="11"/>
  <c r="Y347" i="11"/>
  <c r="BV460" i="11"/>
  <c r="AS29" i="20" s="1"/>
  <c r="BV472" i="11"/>
  <c r="AT29" i="20" s="1"/>
  <c r="BV412" i="11"/>
  <c r="AO29" i="20" s="1"/>
  <c r="BH460" i="11"/>
  <c r="AS7" i="20" s="1"/>
  <c r="AS12" i="20" s="1"/>
  <c r="Y315" i="11"/>
  <c r="BV424" i="11"/>
  <c r="AP29" i="20" s="1"/>
  <c r="Y338" i="11"/>
  <c r="Y362" i="11"/>
  <c r="Y345" i="11"/>
  <c r="Y342" i="11"/>
  <c r="Y329" i="11"/>
  <c r="BV484" i="11"/>
  <c r="AU29" i="20" s="1"/>
  <c r="CE412" i="11"/>
  <c r="AO50" i="20" s="1"/>
  <c r="AV325" i="11"/>
  <c r="AV316" i="11"/>
  <c r="AV315" i="11"/>
  <c r="BH436" i="11"/>
  <c r="AQ7" i="20" s="1"/>
  <c r="AQ12" i="20" s="1"/>
  <c r="BH388" i="11"/>
  <c r="AM7" i="20" s="1"/>
  <c r="AM12" i="20" s="1"/>
  <c r="CE484" i="11"/>
  <c r="AU50" i="20" s="1"/>
  <c r="AV305" i="11"/>
  <c r="AV311" i="11"/>
  <c r="AV339" i="11"/>
  <c r="AV319" i="11"/>
  <c r="AV331" i="11"/>
  <c r="AV353" i="11"/>
  <c r="Y310" i="11"/>
  <c r="Y314" i="11"/>
  <c r="Y318" i="11"/>
  <c r="Y320" i="11"/>
  <c r="Y343" i="11"/>
  <c r="Y363" i="11"/>
  <c r="Y313" i="11"/>
  <c r="Y352" i="11"/>
  <c r="CE448" i="11"/>
  <c r="AR50" i="20" s="1"/>
  <c r="CE424" i="11"/>
  <c r="AP50" i="20" s="1"/>
  <c r="BV436" i="11"/>
  <c r="AQ29" i="20" s="1"/>
  <c r="BV376" i="11"/>
  <c r="AL29" i="20" s="1"/>
  <c r="BH448" i="11"/>
  <c r="AR7" i="20" s="1"/>
  <c r="AR12" i="20" s="1"/>
  <c r="BH484" i="11"/>
  <c r="AU7" i="20" s="1"/>
  <c r="AU12" i="20" s="1"/>
  <c r="AV363" i="11"/>
  <c r="Y350" i="11"/>
  <c r="Y340" i="11"/>
  <c r="Y323" i="11"/>
  <c r="CE358" i="7"/>
  <c r="BX320" i="7"/>
  <c r="AM320" i="11" s="1"/>
  <c r="CE363" i="7"/>
  <c r="AV313" i="11"/>
  <c r="Y332" i="11"/>
  <c r="Y356" i="11"/>
  <c r="CE317" i="7"/>
  <c r="AV306" i="11"/>
  <c r="AV346" i="11"/>
  <c r="BX330" i="7"/>
  <c r="AM330" i="11" s="1"/>
  <c r="AV307" i="11"/>
  <c r="BX321" i="7"/>
  <c r="AM321" i="11" s="1"/>
  <c r="Y355" i="11"/>
  <c r="Y307" i="11"/>
  <c r="Y348" i="11"/>
  <c r="Y346" i="11"/>
  <c r="Y330" i="11"/>
  <c r="Y351" i="11"/>
  <c r="Y328" i="11"/>
  <c r="Y306" i="11"/>
  <c r="Y361" i="11"/>
  <c r="Y354" i="11"/>
  <c r="Y337" i="11"/>
  <c r="Y317" i="11"/>
  <c r="Y359" i="11"/>
  <c r="Y321" i="11"/>
  <c r="AV355" i="11"/>
  <c r="AV332" i="11"/>
  <c r="AV340" i="11"/>
  <c r="AV323" i="11"/>
  <c r="AV350" i="11"/>
  <c r="AV356" i="11"/>
  <c r="Y322" i="11"/>
  <c r="Y341" i="11"/>
  <c r="Y309" i="11"/>
  <c r="Y358" i="11"/>
  <c r="AV342" i="11"/>
  <c r="AV341" i="11"/>
  <c r="AV357" i="11"/>
  <c r="CE310" i="7"/>
  <c r="Y357" i="11"/>
  <c r="AV322" i="11"/>
  <c r="AV309" i="11"/>
  <c r="CE318" i="7"/>
  <c r="AV314" i="11"/>
  <c r="AV318" i="11"/>
  <c r="AV310" i="11"/>
  <c r="B364" i="11"/>
  <c r="AJ3" i="20"/>
  <c r="BE460" i="11"/>
  <c r="BE328" i="11"/>
  <c r="BD388" i="11"/>
  <c r="AM34" i="20" s="1"/>
  <c r="BE376" i="11"/>
  <c r="BE484" i="11"/>
  <c r="BD460" i="11"/>
  <c r="AS34" i="20" s="1"/>
  <c r="BE424" i="11"/>
  <c r="BD424" i="11"/>
  <c r="AP34" i="20" s="1"/>
  <c r="BE388" i="11"/>
  <c r="BD448" i="11"/>
  <c r="AR34" i="20" s="1"/>
  <c r="BD412" i="11"/>
  <c r="AO34" i="20" s="1"/>
  <c r="BE436" i="11"/>
  <c r="BE352" i="11"/>
  <c r="BE400" i="11"/>
  <c r="BD400" i="11"/>
  <c r="AN34" i="20" s="1"/>
  <c r="BD484" i="11"/>
  <c r="AU34" i="20" s="1"/>
  <c r="BD328" i="11"/>
  <c r="AH34" i="20" s="1"/>
  <c r="BD376" i="11"/>
  <c r="AL34" i="20" s="1"/>
  <c r="BE472" i="11"/>
  <c r="BE340" i="11"/>
  <c r="BD436" i="11"/>
  <c r="AQ34" i="20" s="1"/>
  <c r="BD472" i="11"/>
  <c r="AT34" i="20" s="1"/>
  <c r="BD340" i="11"/>
  <c r="AI34" i="20" s="1"/>
  <c r="BD352" i="11"/>
  <c r="AJ34" i="20" s="1"/>
  <c r="BD316" i="11"/>
  <c r="AG34" i="20" s="1"/>
  <c r="BE364" i="11"/>
  <c r="BE448" i="11"/>
  <c r="BE412" i="11"/>
  <c r="BE316" i="11"/>
  <c r="BD364" i="11"/>
  <c r="AK34" i="20" s="1"/>
  <c r="S40" i="5"/>
  <c r="U37" i="5" s="1"/>
  <c r="R41" i="5"/>
  <c r="CE307" i="7"/>
  <c r="BX342" i="7"/>
  <c r="AM342" i="11" s="1"/>
  <c r="BX323" i="7"/>
  <c r="AM323" i="11" s="1"/>
  <c r="CE362" i="7"/>
  <c r="BX310" i="7"/>
  <c r="AM310" i="11" s="1"/>
  <c r="CE321" i="7"/>
  <c r="BX346" i="7"/>
  <c r="AM346" i="11" s="1"/>
  <c r="BX317" i="7"/>
  <c r="AM317" i="11" s="1"/>
  <c r="BX316" i="7"/>
  <c r="AM316" i="11" s="1"/>
  <c r="CE330" i="7"/>
  <c r="BX353" i="7"/>
  <c r="AM353" i="11" s="1"/>
  <c r="BX306" i="7"/>
  <c r="AM306" i="11" s="1"/>
  <c r="CE319" i="7"/>
  <c r="CE325" i="7"/>
  <c r="BX358" i="7"/>
  <c r="AM358" i="11" s="1"/>
  <c r="CE320" i="7"/>
  <c r="BX332" i="7"/>
  <c r="AM332" i="11" s="1"/>
  <c r="BX339" i="7"/>
  <c r="AM339" i="11" s="1"/>
  <c r="BX357" i="7"/>
  <c r="AM357" i="11" s="1"/>
  <c r="BX313" i="7"/>
  <c r="AM313" i="11" s="1"/>
  <c r="CE333" i="7"/>
  <c r="BX318" i="7"/>
  <c r="AM318" i="11" s="1"/>
  <c r="CE354" i="7"/>
  <c r="BX354" i="7"/>
  <c r="AM354" i="11" s="1"/>
  <c r="BX324" i="7"/>
  <c r="AM324" i="11" s="1"/>
  <c r="CE324" i="7"/>
  <c r="CE348" i="7"/>
  <c r="BX348" i="7"/>
  <c r="AM348" i="11" s="1"/>
  <c r="BX345" i="7"/>
  <c r="AM345" i="11" s="1"/>
  <c r="CE345" i="7"/>
  <c r="BX331" i="7"/>
  <c r="AM331" i="11" s="1"/>
  <c r="CE331" i="7"/>
  <c r="BX337" i="7"/>
  <c r="AM337" i="11" s="1"/>
  <c r="CE337" i="7"/>
  <c r="BX351" i="7"/>
  <c r="AM351" i="11" s="1"/>
  <c r="CE351" i="7"/>
  <c r="BX305" i="7"/>
  <c r="AM305" i="11" s="1"/>
  <c r="CE305" i="7"/>
  <c r="CE328" i="7"/>
  <c r="BX328" i="7"/>
  <c r="AM328" i="11" s="1"/>
  <c r="BX329" i="7"/>
  <c r="AM329" i="11" s="1"/>
  <c r="CE329" i="7"/>
  <c r="CE347" i="7"/>
  <c r="BX347" i="7"/>
  <c r="AM347" i="11" s="1"/>
  <c r="BX311" i="7"/>
  <c r="AM311" i="11" s="1"/>
  <c r="CE311" i="7"/>
  <c r="CE314" i="7"/>
  <c r="BX314" i="7"/>
  <c r="AM314" i="11" s="1"/>
  <c r="CE338" i="7"/>
  <c r="BX338" i="7"/>
  <c r="AM338" i="11" s="1"/>
  <c r="BX359" i="7"/>
  <c r="AM359" i="11" s="1"/>
  <c r="CE359" i="7"/>
  <c r="BX341" i="7"/>
  <c r="AM341" i="11" s="1"/>
  <c r="CE341" i="7"/>
  <c r="CE355" i="7"/>
  <c r="BX355" i="7"/>
  <c r="AM355" i="11" s="1"/>
  <c r="BX361" i="7"/>
  <c r="AM361" i="11" s="1"/>
  <c r="CE361" i="7"/>
  <c r="BX350" i="7"/>
  <c r="AM350" i="11" s="1"/>
  <c r="CE350" i="7"/>
  <c r="CE343" i="7"/>
  <c r="BX343" i="7"/>
  <c r="AM343" i="11" s="1"/>
  <c r="CE309" i="7"/>
  <c r="BX309" i="7"/>
  <c r="AM309" i="11" s="1"/>
  <c r="CE315" i="7"/>
  <c r="BX315" i="7"/>
  <c r="AM315" i="11" s="1"/>
  <c r="BX340" i="7"/>
  <c r="AM340" i="11" s="1"/>
  <c r="CE340" i="7"/>
  <c r="BX322" i="7"/>
  <c r="AM322" i="11" s="1"/>
  <c r="CE322" i="7"/>
  <c r="BX352" i="7"/>
  <c r="AM352" i="11" s="1"/>
  <c r="CE352" i="7"/>
  <c r="Q42" i="5"/>
  <c r="J16"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8" i="2"/>
  <c r="O27" i="2"/>
  <c r="O26" i="2"/>
  <c r="O25" i="2"/>
  <c r="O24" i="2"/>
  <c r="O23" i="2"/>
  <c r="O22" i="2"/>
  <c r="O21" i="2"/>
  <c r="O20" i="2"/>
  <c r="O19" i="2"/>
  <c r="O18" i="2"/>
  <c r="O17" i="2"/>
  <c r="O16" i="2"/>
  <c r="O15" i="2"/>
  <c r="O14" i="2"/>
  <c r="O13" i="2"/>
  <c r="O12" i="2"/>
  <c r="O11" i="2"/>
  <c r="O10" i="2"/>
  <c r="O9" i="2"/>
  <c r="O8" i="2"/>
  <c r="O7" i="2"/>
  <c r="O6" i="2"/>
  <c r="O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BJ208" i="11" l="1"/>
  <c r="X9" i="20" s="1"/>
  <c r="BJ40" i="11"/>
  <c r="J9" i="20" s="1"/>
  <c r="BJ136" i="11"/>
  <c r="R9" i="20" s="1"/>
  <c r="BJ292" i="11"/>
  <c r="AE9" i="20" s="1"/>
  <c r="BJ304" i="11"/>
  <c r="AF9" i="20" s="1"/>
  <c r="BJ88" i="11"/>
  <c r="N9" i="20" s="1"/>
  <c r="BJ232" i="11"/>
  <c r="Z9" i="20" s="1"/>
  <c r="BJ256" i="11"/>
  <c r="AB9" i="20" s="1"/>
  <c r="BJ52" i="11"/>
  <c r="K9" i="20" s="1"/>
  <c r="BJ148" i="11"/>
  <c r="S9" i="20" s="1"/>
  <c r="BJ184" i="11"/>
  <c r="V9" i="20" s="1"/>
  <c r="BJ280" i="11"/>
  <c r="AD9" i="20" s="1"/>
  <c r="BJ28" i="11"/>
  <c r="I9" i="20" s="1"/>
  <c r="BJ220" i="11"/>
  <c r="Y9" i="20" s="1"/>
  <c r="BJ76" i="11"/>
  <c r="M9" i="20" s="1"/>
  <c r="BJ268" i="11"/>
  <c r="AC9" i="20" s="1"/>
  <c r="BJ64" i="11"/>
  <c r="L9" i="20" s="1"/>
  <c r="BJ124" i="11"/>
  <c r="Q9" i="20" s="1"/>
  <c r="BJ244" i="11"/>
  <c r="AA9" i="20" s="1"/>
  <c r="BJ100" i="11"/>
  <c r="O9" i="20" s="1"/>
  <c r="BJ112" i="11"/>
  <c r="P9" i="20" s="1"/>
  <c r="BJ196" i="11"/>
  <c r="W9" i="20" s="1"/>
  <c r="BJ172" i="11"/>
  <c r="U9" i="20" s="1"/>
  <c r="BJ160" i="11"/>
  <c r="T9" i="20" s="1"/>
  <c r="BH340" i="11"/>
  <c r="AI7" i="20" s="1"/>
  <c r="AI12" i="20" s="1"/>
  <c r="BH316" i="11"/>
  <c r="AG7" i="20" s="1"/>
  <c r="AG12" i="20" s="1"/>
  <c r="CE364" i="11"/>
  <c r="AK50" i="20" s="1"/>
  <c r="BH352" i="11"/>
  <c r="AJ7" i="20" s="1"/>
  <c r="AJ12" i="20" s="1"/>
  <c r="BH328" i="11"/>
  <c r="AH7" i="20" s="1"/>
  <c r="AH12" i="20" s="1"/>
  <c r="CE352" i="11"/>
  <c r="AJ50" i="20" s="1"/>
  <c r="CE340" i="11"/>
  <c r="AI50" i="20" s="1"/>
  <c r="BH364" i="11"/>
  <c r="AK7" i="20" s="1"/>
  <c r="AK12" i="20" s="1"/>
  <c r="CE316" i="11"/>
  <c r="AG50" i="20" s="1"/>
  <c r="CE328" i="11"/>
  <c r="AH50" i="20" s="1"/>
  <c r="B376" i="11"/>
  <c r="AK3" i="20"/>
  <c r="BV364" i="11"/>
  <c r="AK29" i="20" s="1"/>
  <c r="BV340" i="11"/>
  <c r="AI29" i="20" s="1"/>
  <c r="BV328" i="11"/>
  <c r="AH29" i="20" s="1"/>
  <c r="BV352" i="11"/>
  <c r="AJ29" i="20" s="1"/>
  <c r="BV316" i="11"/>
  <c r="AG29" i="20" s="1"/>
  <c r="S41" i="5"/>
  <c r="U38" i="5" s="1"/>
  <c r="R42" i="5"/>
  <c r="Q43" i="5"/>
  <c r="AL1" i="7"/>
  <c r="B388" i="11" l="1"/>
  <c r="AL3" i="20"/>
  <c r="S42" i="5"/>
  <c r="AN6" i="7"/>
  <c r="AN14" i="7"/>
  <c r="AN22" i="7"/>
  <c r="AN30" i="7"/>
  <c r="AN38" i="7"/>
  <c r="AN46" i="7"/>
  <c r="AN54" i="7"/>
  <c r="AN62" i="7"/>
  <c r="AN70" i="7"/>
  <c r="AN78" i="7"/>
  <c r="AN86" i="7"/>
  <c r="AN94" i="7"/>
  <c r="AN102" i="7"/>
  <c r="AN110" i="7"/>
  <c r="AN118" i="7"/>
  <c r="AN126" i="7"/>
  <c r="AN134" i="7"/>
  <c r="AN142" i="7"/>
  <c r="AN150" i="7"/>
  <c r="AN158" i="7"/>
  <c r="AN166" i="7"/>
  <c r="AN174" i="7"/>
  <c r="AN182" i="7"/>
  <c r="AN190" i="7"/>
  <c r="AN198" i="7"/>
  <c r="AN206" i="7"/>
  <c r="AN214" i="7"/>
  <c r="AN222" i="7"/>
  <c r="AN230" i="7"/>
  <c r="AN238" i="7"/>
  <c r="AN246" i="7"/>
  <c r="AN254" i="7"/>
  <c r="AN262" i="7"/>
  <c r="AN270" i="7"/>
  <c r="AN278" i="7"/>
  <c r="AN286" i="7"/>
  <c r="AN294" i="7"/>
  <c r="AN302" i="7"/>
  <c r="AN310" i="7"/>
  <c r="AN318" i="7"/>
  <c r="AN326" i="7"/>
  <c r="AN334" i="7"/>
  <c r="AN342" i="7"/>
  <c r="AN350" i="7"/>
  <c r="AN358" i="7"/>
  <c r="AN366" i="7"/>
  <c r="AN374" i="7"/>
  <c r="AN382" i="7"/>
  <c r="AN390" i="7"/>
  <c r="AN398" i="7"/>
  <c r="AN406" i="7"/>
  <c r="AN414" i="7"/>
  <c r="AN422" i="7"/>
  <c r="AN430" i="7"/>
  <c r="AN438" i="7"/>
  <c r="AN446" i="7"/>
  <c r="AN454" i="7"/>
  <c r="AN462" i="7"/>
  <c r="AN470" i="7"/>
  <c r="AN478" i="7"/>
  <c r="AM6" i="7"/>
  <c r="AM14" i="7"/>
  <c r="AM22" i="7"/>
  <c r="AM30" i="7"/>
  <c r="AM38" i="7"/>
  <c r="AM46" i="7"/>
  <c r="AM54" i="7"/>
  <c r="AM62" i="7"/>
  <c r="AM70" i="7"/>
  <c r="AM78" i="7"/>
  <c r="AM86" i="7"/>
  <c r="AM94" i="7"/>
  <c r="AM102" i="7"/>
  <c r="AM110" i="7"/>
  <c r="AM118" i="7"/>
  <c r="AM126" i="7"/>
  <c r="AM134" i="7"/>
  <c r="AM142" i="7"/>
  <c r="AM150" i="7"/>
  <c r="AM158" i="7"/>
  <c r="AM166" i="7"/>
  <c r="AM174" i="7"/>
  <c r="AM182" i="7"/>
  <c r="AM190" i="7"/>
  <c r="AM198" i="7"/>
  <c r="AN7" i="7"/>
  <c r="AN15" i="7"/>
  <c r="AN23" i="7"/>
  <c r="AN31" i="7"/>
  <c r="AN39" i="7"/>
  <c r="AN47" i="7"/>
  <c r="AN55" i="7"/>
  <c r="AN63" i="7"/>
  <c r="AN71" i="7"/>
  <c r="AN79" i="7"/>
  <c r="AN87" i="7"/>
  <c r="AN95" i="7"/>
  <c r="AN103" i="7"/>
  <c r="AN111" i="7"/>
  <c r="AN119" i="7"/>
  <c r="AN127" i="7"/>
  <c r="AN135" i="7"/>
  <c r="AN143" i="7"/>
  <c r="AN151" i="7"/>
  <c r="AN159" i="7"/>
  <c r="AN167" i="7"/>
  <c r="AN175" i="7"/>
  <c r="AN183" i="7"/>
  <c r="AN191" i="7"/>
  <c r="AN199" i="7"/>
  <c r="AN207" i="7"/>
  <c r="AN215" i="7"/>
  <c r="AN223" i="7"/>
  <c r="AN231" i="7"/>
  <c r="AN239" i="7"/>
  <c r="AN247" i="7"/>
  <c r="AN255" i="7"/>
  <c r="AN263" i="7"/>
  <c r="AN271" i="7"/>
  <c r="AN279" i="7"/>
  <c r="AN287" i="7"/>
  <c r="AN295" i="7"/>
  <c r="AN303" i="7"/>
  <c r="AN311" i="7"/>
  <c r="AN319" i="7"/>
  <c r="AN327" i="7"/>
  <c r="AN335" i="7"/>
  <c r="AN343" i="7"/>
  <c r="AN351" i="7"/>
  <c r="AN359" i="7"/>
  <c r="AN367" i="7"/>
  <c r="AN375" i="7"/>
  <c r="AN383" i="7"/>
  <c r="AN391" i="7"/>
  <c r="AN399" i="7"/>
  <c r="AN407" i="7"/>
  <c r="AN415" i="7"/>
  <c r="AN423" i="7"/>
  <c r="AN431" i="7"/>
  <c r="AN439" i="7"/>
  <c r="AN447" i="7"/>
  <c r="AN455" i="7"/>
  <c r="AN463" i="7"/>
  <c r="AN471" i="7"/>
  <c r="AN479" i="7"/>
  <c r="AM7" i="7"/>
  <c r="AM15" i="7"/>
  <c r="AM23" i="7"/>
  <c r="AM31" i="7"/>
  <c r="AM39" i="7"/>
  <c r="AM47" i="7"/>
  <c r="AM55" i="7"/>
  <c r="AM63" i="7"/>
  <c r="AM71" i="7"/>
  <c r="AM79" i="7"/>
  <c r="AM87" i="7"/>
  <c r="AM95" i="7"/>
  <c r="AM103" i="7"/>
  <c r="AM111" i="7"/>
  <c r="AM119" i="7"/>
  <c r="AM127" i="7"/>
  <c r="AM135" i="7"/>
  <c r="AM143" i="7"/>
  <c r="AM151" i="7"/>
  <c r="AM159" i="7"/>
  <c r="AM167" i="7"/>
  <c r="AM175" i="7"/>
  <c r="AM183" i="7"/>
  <c r="AM191" i="7"/>
  <c r="AM199" i="7"/>
  <c r="AN8" i="7"/>
  <c r="AN16" i="7"/>
  <c r="AN24" i="7"/>
  <c r="AN32" i="7"/>
  <c r="AN40" i="7"/>
  <c r="AN48" i="7"/>
  <c r="AN56" i="7"/>
  <c r="AN64" i="7"/>
  <c r="AN72" i="7"/>
  <c r="AN80" i="7"/>
  <c r="AN88" i="7"/>
  <c r="AN96" i="7"/>
  <c r="AN104" i="7"/>
  <c r="AN112" i="7"/>
  <c r="AN120" i="7"/>
  <c r="AN128" i="7"/>
  <c r="AN136" i="7"/>
  <c r="AN144" i="7"/>
  <c r="AN152" i="7"/>
  <c r="AN160" i="7"/>
  <c r="AN168" i="7"/>
  <c r="AN176" i="7"/>
  <c r="AN184" i="7"/>
  <c r="AN192" i="7"/>
  <c r="AN200" i="7"/>
  <c r="AN208" i="7"/>
  <c r="AN216" i="7"/>
  <c r="AN224" i="7"/>
  <c r="AN232" i="7"/>
  <c r="AN240" i="7"/>
  <c r="AN248" i="7"/>
  <c r="AN256" i="7"/>
  <c r="AN264" i="7"/>
  <c r="AN272" i="7"/>
  <c r="AN280" i="7"/>
  <c r="AN288" i="7"/>
  <c r="AN296" i="7"/>
  <c r="AN304" i="7"/>
  <c r="AN312" i="7"/>
  <c r="AN320" i="7"/>
  <c r="AN328" i="7"/>
  <c r="AN336" i="7"/>
  <c r="AN344" i="7"/>
  <c r="AN352" i="7"/>
  <c r="AN360" i="7"/>
  <c r="AN368" i="7"/>
  <c r="AN376" i="7"/>
  <c r="AN384" i="7"/>
  <c r="AN392" i="7"/>
  <c r="AN400" i="7"/>
  <c r="AN408" i="7"/>
  <c r="AN416" i="7"/>
  <c r="AN424" i="7"/>
  <c r="AN432" i="7"/>
  <c r="AN440" i="7"/>
  <c r="AN448" i="7"/>
  <c r="AN456" i="7"/>
  <c r="AN464" i="7"/>
  <c r="AN472" i="7"/>
  <c r="AN480" i="7"/>
  <c r="AM8" i="7"/>
  <c r="AM16" i="7"/>
  <c r="AM24" i="7"/>
  <c r="AM32" i="7"/>
  <c r="AM40" i="7"/>
  <c r="AM48" i="7"/>
  <c r="AM56" i="7"/>
  <c r="AM64" i="7"/>
  <c r="AM72" i="7"/>
  <c r="AM80" i="7"/>
  <c r="AM88" i="7"/>
  <c r="AM96" i="7"/>
  <c r="AM104" i="7"/>
  <c r="AM112" i="7"/>
  <c r="AM120" i="7"/>
  <c r="AM128" i="7"/>
  <c r="AM136" i="7"/>
  <c r="AM144" i="7"/>
  <c r="AM152" i="7"/>
  <c r="AM160" i="7"/>
  <c r="AM168" i="7"/>
  <c r="AM176" i="7"/>
  <c r="AM184" i="7"/>
  <c r="AM192" i="7"/>
  <c r="AM200" i="7"/>
  <c r="AN11" i="7"/>
  <c r="AN19" i="7"/>
  <c r="AN27" i="7"/>
  <c r="AN35" i="7"/>
  <c r="AN43" i="7"/>
  <c r="AN51" i="7"/>
  <c r="AN59" i="7"/>
  <c r="AN67" i="7"/>
  <c r="AN75" i="7"/>
  <c r="AN83" i="7"/>
  <c r="AN91" i="7"/>
  <c r="AN99" i="7"/>
  <c r="AN107" i="7"/>
  <c r="AN115" i="7"/>
  <c r="AN123" i="7"/>
  <c r="AN131" i="7"/>
  <c r="AN139" i="7"/>
  <c r="AN147" i="7"/>
  <c r="AN155" i="7"/>
  <c r="AN163" i="7"/>
  <c r="AN171" i="7"/>
  <c r="AN179" i="7"/>
  <c r="AN187" i="7"/>
  <c r="AN195" i="7"/>
  <c r="AN203" i="7"/>
  <c r="AN211" i="7"/>
  <c r="AN219" i="7"/>
  <c r="AN227" i="7"/>
  <c r="AN235" i="7"/>
  <c r="AN243" i="7"/>
  <c r="AN251" i="7"/>
  <c r="AN259" i="7"/>
  <c r="AN267" i="7"/>
  <c r="AN275" i="7"/>
  <c r="AN283" i="7"/>
  <c r="AN291" i="7"/>
  <c r="AN299" i="7"/>
  <c r="AN307" i="7"/>
  <c r="AN315" i="7"/>
  <c r="AN323" i="7"/>
  <c r="AN331" i="7"/>
  <c r="AN339" i="7"/>
  <c r="AN347" i="7"/>
  <c r="AN355" i="7"/>
  <c r="AN363" i="7"/>
  <c r="AN371" i="7"/>
  <c r="AN379" i="7"/>
  <c r="AN387" i="7"/>
  <c r="AN395" i="7"/>
  <c r="AN403" i="7"/>
  <c r="AN411" i="7"/>
  <c r="AN419" i="7"/>
  <c r="AN427" i="7"/>
  <c r="AN435" i="7"/>
  <c r="AN443" i="7"/>
  <c r="AN451" i="7"/>
  <c r="AN459" i="7"/>
  <c r="AN467" i="7"/>
  <c r="AN475" i="7"/>
  <c r="AN483" i="7"/>
  <c r="AM11" i="7"/>
  <c r="AM19" i="7"/>
  <c r="AM27" i="7"/>
  <c r="AM35" i="7"/>
  <c r="AM43" i="7"/>
  <c r="AM51" i="7"/>
  <c r="AM59" i="7"/>
  <c r="AM67" i="7"/>
  <c r="AM75" i="7"/>
  <c r="AM83" i="7"/>
  <c r="AM91" i="7"/>
  <c r="AM99" i="7"/>
  <c r="AM107" i="7"/>
  <c r="AM115" i="7"/>
  <c r="AM123" i="7"/>
  <c r="AM131" i="7"/>
  <c r="AM139" i="7"/>
  <c r="AM147" i="7"/>
  <c r="AM155" i="7"/>
  <c r="AM163" i="7"/>
  <c r="AM171" i="7"/>
  <c r="AM179" i="7"/>
  <c r="AM187" i="7"/>
  <c r="AM195" i="7"/>
  <c r="AM203" i="7"/>
  <c r="AN12" i="7"/>
  <c r="AN20" i="7"/>
  <c r="AN28" i="7"/>
  <c r="AN36" i="7"/>
  <c r="AN44" i="7"/>
  <c r="AN52" i="7"/>
  <c r="AN60" i="7"/>
  <c r="AN68" i="7"/>
  <c r="AN76" i="7"/>
  <c r="AN84" i="7"/>
  <c r="AN92" i="7"/>
  <c r="AN100" i="7"/>
  <c r="AN108" i="7"/>
  <c r="AN116" i="7"/>
  <c r="AN124" i="7"/>
  <c r="AN132" i="7"/>
  <c r="AN140" i="7"/>
  <c r="AN148" i="7"/>
  <c r="AN156" i="7"/>
  <c r="AN164" i="7"/>
  <c r="AN172" i="7"/>
  <c r="AN180" i="7"/>
  <c r="AN188" i="7"/>
  <c r="AN196" i="7"/>
  <c r="AN204" i="7"/>
  <c r="AN212" i="7"/>
  <c r="AN220" i="7"/>
  <c r="AN228" i="7"/>
  <c r="AN236" i="7"/>
  <c r="AN244" i="7"/>
  <c r="AN252" i="7"/>
  <c r="AN260" i="7"/>
  <c r="AN268" i="7"/>
  <c r="AN276" i="7"/>
  <c r="AN284" i="7"/>
  <c r="AN292" i="7"/>
  <c r="AN300" i="7"/>
  <c r="AN308" i="7"/>
  <c r="AN316" i="7"/>
  <c r="AN324" i="7"/>
  <c r="AN332" i="7"/>
  <c r="AN340" i="7"/>
  <c r="AN348" i="7"/>
  <c r="AN356" i="7"/>
  <c r="AN364" i="7"/>
  <c r="AN372" i="7"/>
  <c r="AN380" i="7"/>
  <c r="AN388" i="7"/>
  <c r="AN396" i="7"/>
  <c r="AN404" i="7"/>
  <c r="AN412" i="7"/>
  <c r="AN420" i="7"/>
  <c r="AN428" i="7"/>
  <c r="AN436" i="7"/>
  <c r="AN444" i="7"/>
  <c r="AN452" i="7"/>
  <c r="AN460" i="7"/>
  <c r="AN468" i="7"/>
  <c r="AN476" i="7"/>
  <c r="AN484" i="7"/>
  <c r="AM12" i="7"/>
  <c r="AM20" i="7"/>
  <c r="AM28" i="7"/>
  <c r="AM36" i="7"/>
  <c r="AM44" i="7"/>
  <c r="AM52" i="7"/>
  <c r="AM60" i="7"/>
  <c r="AM68" i="7"/>
  <c r="AM76" i="7"/>
  <c r="AM84" i="7"/>
  <c r="AM92" i="7"/>
  <c r="AM100" i="7"/>
  <c r="AM108" i="7"/>
  <c r="AM116" i="7"/>
  <c r="AM124" i="7"/>
  <c r="AM132" i="7"/>
  <c r="AM140" i="7"/>
  <c r="AM148" i="7"/>
  <c r="AM156" i="7"/>
  <c r="AM164" i="7"/>
  <c r="AM172" i="7"/>
  <c r="AM180" i="7"/>
  <c r="AM188" i="7"/>
  <c r="AM196" i="7"/>
  <c r="AM204" i="7"/>
  <c r="AN9" i="7"/>
  <c r="AN29" i="7"/>
  <c r="AN50" i="7"/>
  <c r="AN73" i="7"/>
  <c r="AN93" i="7"/>
  <c r="AN114" i="7"/>
  <c r="AN137" i="7"/>
  <c r="AN157" i="7"/>
  <c r="AN178" i="7"/>
  <c r="AN201" i="7"/>
  <c r="AN221" i="7"/>
  <c r="AN242" i="7"/>
  <c r="AN265" i="7"/>
  <c r="AN285" i="7"/>
  <c r="AN306" i="7"/>
  <c r="AN329" i="7"/>
  <c r="AN349" i="7"/>
  <c r="AN370" i="7"/>
  <c r="AN393" i="7"/>
  <c r="AN413" i="7"/>
  <c r="AN434" i="7"/>
  <c r="AN457" i="7"/>
  <c r="AN477" i="7"/>
  <c r="AM18" i="7"/>
  <c r="AM41" i="7"/>
  <c r="AM61" i="7"/>
  <c r="AM82" i="7"/>
  <c r="AM105" i="7"/>
  <c r="AM125" i="7"/>
  <c r="AM146" i="7"/>
  <c r="AM169" i="7"/>
  <c r="AM189" i="7"/>
  <c r="AM207" i="7"/>
  <c r="AM215" i="7"/>
  <c r="AM223" i="7"/>
  <c r="AM231" i="7"/>
  <c r="AM239" i="7"/>
  <c r="AM247" i="7"/>
  <c r="AM255" i="7"/>
  <c r="AM263" i="7"/>
  <c r="AM271" i="7"/>
  <c r="AM279" i="7"/>
  <c r="AM287" i="7"/>
  <c r="AM295" i="7"/>
  <c r="AM303" i="7"/>
  <c r="AM311" i="7"/>
  <c r="AM319" i="7"/>
  <c r="AM327" i="7"/>
  <c r="AM335" i="7"/>
  <c r="AM343" i="7"/>
  <c r="AM351" i="7"/>
  <c r="AM359" i="7"/>
  <c r="AM367" i="7"/>
  <c r="AM375" i="7"/>
  <c r="AM383" i="7"/>
  <c r="AM391" i="7"/>
  <c r="AM399" i="7"/>
  <c r="AM407" i="7"/>
  <c r="AM415" i="7"/>
  <c r="AM423" i="7"/>
  <c r="AM431" i="7"/>
  <c r="AM439" i="7"/>
  <c r="AM447" i="7"/>
  <c r="AM455" i="7"/>
  <c r="AM463" i="7"/>
  <c r="AM471" i="7"/>
  <c r="AM479" i="7"/>
  <c r="AL7" i="7"/>
  <c r="AL15" i="7"/>
  <c r="AL23" i="7"/>
  <c r="AL31" i="7"/>
  <c r="AL39" i="7"/>
  <c r="AL47" i="7"/>
  <c r="AL55" i="7"/>
  <c r="AL63" i="7"/>
  <c r="AL71" i="7"/>
  <c r="AL79" i="7"/>
  <c r="AL87" i="7"/>
  <c r="AL95" i="7"/>
  <c r="AL103" i="7"/>
  <c r="AL111" i="7"/>
  <c r="AL119" i="7"/>
  <c r="AL127" i="7"/>
  <c r="AL135" i="7"/>
  <c r="AL143" i="7"/>
  <c r="AL151" i="7"/>
  <c r="AL159" i="7"/>
  <c r="AN10" i="7"/>
  <c r="AN33" i="7"/>
  <c r="AN13" i="7"/>
  <c r="AN34" i="7"/>
  <c r="AN57" i="7"/>
  <c r="AN77" i="7"/>
  <c r="AN98" i="7"/>
  <c r="AN121" i="7"/>
  <c r="AN141" i="7"/>
  <c r="AN162" i="7"/>
  <c r="AN185" i="7"/>
  <c r="AN205" i="7"/>
  <c r="AN226" i="7"/>
  <c r="AN249" i="7"/>
  <c r="AN269" i="7"/>
  <c r="AN290" i="7"/>
  <c r="AN313" i="7"/>
  <c r="AN333" i="7"/>
  <c r="AN354" i="7"/>
  <c r="AN377" i="7"/>
  <c r="AN397" i="7"/>
  <c r="AN418" i="7"/>
  <c r="AN441" i="7"/>
  <c r="AN461" i="7"/>
  <c r="AN482" i="7"/>
  <c r="AM25" i="7"/>
  <c r="AM45" i="7"/>
  <c r="AM66" i="7"/>
  <c r="AM89" i="7"/>
  <c r="AM109" i="7"/>
  <c r="AM130" i="7"/>
  <c r="AM153" i="7"/>
  <c r="AM173" i="7"/>
  <c r="AM194" i="7"/>
  <c r="AM209" i="7"/>
  <c r="AM217" i="7"/>
  <c r="AM225" i="7"/>
  <c r="AM233" i="7"/>
  <c r="AM241" i="7"/>
  <c r="AM249" i="7"/>
  <c r="AM257" i="7"/>
  <c r="AM265" i="7"/>
  <c r="AM273" i="7"/>
  <c r="AM281" i="7"/>
  <c r="AM289" i="7"/>
  <c r="AM297" i="7"/>
  <c r="AM305" i="7"/>
  <c r="AM313" i="7"/>
  <c r="AM321" i="7"/>
  <c r="AM329" i="7"/>
  <c r="AM337" i="7"/>
  <c r="AM345" i="7"/>
  <c r="AM353" i="7"/>
  <c r="AM361" i="7"/>
  <c r="AM369" i="7"/>
  <c r="AM377" i="7"/>
  <c r="AN17" i="7"/>
  <c r="AN37" i="7"/>
  <c r="AN58" i="7"/>
  <c r="AN81" i="7"/>
  <c r="AN101" i="7"/>
  <c r="AN122" i="7"/>
  <c r="AN145" i="7"/>
  <c r="AN165" i="7"/>
  <c r="AN186" i="7"/>
  <c r="AN209" i="7"/>
  <c r="AN229" i="7"/>
  <c r="AN250" i="7"/>
  <c r="AN273" i="7"/>
  <c r="AN293" i="7"/>
  <c r="AN314" i="7"/>
  <c r="AN337" i="7"/>
  <c r="AN357" i="7"/>
  <c r="AN378" i="7"/>
  <c r="AN401" i="7"/>
  <c r="AN421" i="7"/>
  <c r="AN442" i="7"/>
  <c r="AN465" i="7"/>
  <c r="AN5" i="7"/>
  <c r="AM26" i="7"/>
  <c r="AM49" i="7"/>
  <c r="AM69" i="7"/>
  <c r="AM90" i="7"/>
  <c r="AM113" i="7"/>
  <c r="AM133" i="7"/>
  <c r="AM154" i="7"/>
  <c r="AM177" i="7"/>
  <c r="AM197" i="7"/>
  <c r="AM210" i="7"/>
  <c r="AM218" i="7"/>
  <c r="AM226" i="7"/>
  <c r="AM234" i="7"/>
  <c r="AM242" i="7"/>
  <c r="AM250" i="7"/>
  <c r="AM258" i="7"/>
  <c r="AM266" i="7"/>
  <c r="AM274" i="7"/>
  <c r="AM282" i="7"/>
  <c r="AM290" i="7"/>
  <c r="AM298" i="7"/>
  <c r="AM306" i="7"/>
  <c r="AM314" i="7"/>
  <c r="AM322" i="7"/>
  <c r="AM330" i="7"/>
  <c r="AM338" i="7"/>
  <c r="AM346" i="7"/>
  <c r="AM354" i="7"/>
  <c r="AM362" i="7"/>
  <c r="AM370" i="7"/>
  <c r="AN18" i="7"/>
  <c r="AN41" i="7"/>
  <c r="AN61" i="7"/>
  <c r="AN82" i="7"/>
  <c r="AN105" i="7"/>
  <c r="AN125" i="7"/>
  <c r="AN146" i="7"/>
  <c r="AN169" i="7"/>
  <c r="AN189" i="7"/>
  <c r="AN210" i="7"/>
  <c r="AN233" i="7"/>
  <c r="AN253" i="7"/>
  <c r="AN274" i="7"/>
  <c r="AN297" i="7"/>
  <c r="AN317" i="7"/>
  <c r="AN338" i="7"/>
  <c r="AN361" i="7"/>
  <c r="AN381" i="7"/>
  <c r="AN402" i="7"/>
  <c r="AN425" i="7"/>
  <c r="AN445" i="7"/>
  <c r="AN466" i="7"/>
  <c r="AM9" i="7"/>
  <c r="AM29" i="7"/>
  <c r="AM50" i="7"/>
  <c r="AM73" i="7"/>
  <c r="AM93" i="7"/>
  <c r="AM114" i="7"/>
  <c r="AM137" i="7"/>
  <c r="AM157" i="7"/>
  <c r="AM178" i="7"/>
  <c r="AM201" i="7"/>
  <c r="AM211" i="7"/>
  <c r="AM219" i="7"/>
  <c r="AM227" i="7"/>
  <c r="AM235" i="7"/>
  <c r="AM243" i="7"/>
  <c r="AM251" i="7"/>
  <c r="AM259" i="7"/>
  <c r="AM267" i="7"/>
  <c r="AM275" i="7"/>
  <c r="AM283" i="7"/>
  <c r="AM291" i="7"/>
  <c r="AM299" i="7"/>
  <c r="AM307" i="7"/>
  <c r="AM315" i="7"/>
  <c r="AM323" i="7"/>
  <c r="AM331" i="7"/>
  <c r="AM339" i="7"/>
  <c r="AM347" i="7"/>
  <c r="AM355" i="7"/>
  <c r="AM363" i="7"/>
  <c r="AM371" i="7"/>
  <c r="AM379" i="7"/>
  <c r="AM387" i="7"/>
  <c r="AM395" i="7"/>
  <c r="AM403" i="7"/>
  <c r="AM411" i="7"/>
  <c r="AM419" i="7"/>
  <c r="AM427" i="7"/>
  <c r="AM435" i="7"/>
  <c r="AM443" i="7"/>
  <c r="AM451" i="7"/>
  <c r="AM459" i="7"/>
  <c r="AM467" i="7"/>
  <c r="AM475" i="7"/>
  <c r="AM483" i="7"/>
  <c r="AL11" i="7"/>
  <c r="AL19" i="7"/>
  <c r="AL27" i="7"/>
  <c r="AL35" i="7"/>
  <c r="AL43" i="7"/>
  <c r="AL51" i="7"/>
  <c r="AL59" i="7"/>
  <c r="AL67" i="7"/>
  <c r="AL75" i="7"/>
  <c r="AL83" i="7"/>
  <c r="AL91" i="7"/>
  <c r="AL99" i="7"/>
  <c r="AL107" i="7"/>
  <c r="AL115" i="7"/>
  <c r="AL123" i="7"/>
  <c r="AL131" i="7"/>
  <c r="AL139" i="7"/>
  <c r="AL147" i="7"/>
  <c r="AN26" i="7"/>
  <c r="AN49" i="7"/>
  <c r="AN69" i="7"/>
  <c r="AN90" i="7"/>
  <c r="AN113" i="7"/>
  <c r="AN133" i="7"/>
  <c r="AN154" i="7"/>
  <c r="AN177" i="7"/>
  <c r="AN197" i="7"/>
  <c r="AN218" i="7"/>
  <c r="AN241" i="7"/>
  <c r="AN261" i="7"/>
  <c r="AN282" i="7"/>
  <c r="AN305" i="7"/>
  <c r="AN325" i="7"/>
  <c r="AN346" i="7"/>
  <c r="AN369" i="7"/>
  <c r="AN389" i="7"/>
  <c r="AN410" i="7"/>
  <c r="AN433" i="7"/>
  <c r="AN453" i="7"/>
  <c r="AN474" i="7"/>
  <c r="AM17" i="7"/>
  <c r="AM37" i="7"/>
  <c r="AM58" i="7"/>
  <c r="AM81" i="7"/>
  <c r="AM101" i="7"/>
  <c r="AM122" i="7"/>
  <c r="AM145" i="7"/>
  <c r="AM165" i="7"/>
  <c r="AM186" i="7"/>
  <c r="AM206" i="7"/>
  <c r="AM214" i="7"/>
  <c r="AM222" i="7"/>
  <c r="AM230" i="7"/>
  <c r="AM238" i="7"/>
  <c r="AM246" i="7"/>
  <c r="AM254" i="7"/>
  <c r="AM262" i="7"/>
  <c r="AM270" i="7"/>
  <c r="AM278" i="7"/>
  <c r="AM286" i="7"/>
  <c r="AM294" i="7"/>
  <c r="AM302" i="7"/>
  <c r="AM310" i="7"/>
  <c r="AM318" i="7"/>
  <c r="AM326" i="7"/>
  <c r="AM334" i="7"/>
  <c r="AM342" i="7"/>
  <c r="AM350" i="7"/>
  <c r="AM358" i="7"/>
  <c r="AM366" i="7"/>
  <c r="AN21" i="7"/>
  <c r="AN85" i="7"/>
  <c r="AN138" i="7"/>
  <c r="AN194" i="7"/>
  <c r="AN257" i="7"/>
  <c r="AN309" i="7"/>
  <c r="AN365" i="7"/>
  <c r="AN426" i="7"/>
  <c r="AN481" i="7"/>
  <c r="AM57" i="7"/>
  <c r="AM117" i="7"/>
  <c r="AM170" i="7"/>
  <c r="AM213" i="7"/>
  <c r="AM236" i="7"/>
  <c r="AM256" i="7"/>
  <c r="AM277" i="7"/>
  <c r="AM300" i="7"/>
  <c r="AM320" i="7"/>
  <c r="AM341" i="7"/>
  <c r="AM364" i="7"/>
  <c r="AM380" i="7"/>
  <c r="AM390" i="7"/>
  <c r="AM401" i="7"/>
  <c r="AM412" i="7"/>
  <c r="AM422" i="7"/>
  <c r="AM433" i="7"/>
  <c r="AM444" i="7"/>
  <c r="AM454" i="7"/>
  <c r="AM465" i="7"/>
  <c r="AM476" i="7"/>
  <c r="AL6" i="7"/>
  <c r="AL17" i="7"/>
  <c r="AL28" i="7"/>
  <c r="AL38" i="7"/>
  <c r="AL49" i="7"/>
  <c r="AL60" i="7"/>
  <c r="AL70" i="7"/>
  <c r="AL81" i="7"/>
  <c r="AL92" i="7"/>
  <c r="AL102" i="7"/>
  <c r="AL113" i="7"/>
  <c r="AL124" i="7"/>
  <c r="AL134" i="7"/>
  <c r="AL145" i="7"/>
  <c r="AL155" i="7"/>
  <c r="AL164" i="7"/>
  <c r="AL172" i="7"/>
  <c r="AL180" i="7"/>
  <c r="AL188" i="7"/>
  <c r="AL196" i="7"/>
  <c r="AL204" i="7"/>
  <c r="AL212" i="7"/>
  <c r="AL220" i="7"/>
  <c r="AL228" i="7"/>
  <c r="AL236" i="7"/>
  <c r="AL244" i="7"/>
  <c r="AL252" i="7"/>
  <c r="AL260" i="7"/>
  <c r="AL268" i="7"/>
  <c r="AL276" i="7"/>
  <c r="AL284" i="7"/>
  <c r="AL292" i="7"/>
  <c r="AL300" i="7"/>
  <c r="AL308" i="7"/>
  <c r="AL316" i="7"/>
  <c r="AL324" i="7"/>
  <c r="AL332" i="7"/>
  <c r="AL340" i="7"/>
  <c r="AL348" i="7"/>
  <c r="AL356" i="7"/>
  <c r="AL364" i="7"/>
  <c r="AL372" i="7"/>
  <c r="AL380" i="7"/>
  <c r="AL388" i="7"/>
  <c r="AL396" i="7"/>
  <c r="AL404" i="7"/>
  <c r="AL412" i="7"/>
  <c r="AL420" i="7"/>
  <c r="AL428" i="7"/>
  <c r="AL436" i="7"/>
  <c r="AL444" i="7"/>
  <c r="AL452" i="7"/>
  <c r="AL460" i="7"/>
  <c r="AL468" i="7"/>
  <c r="AL476" i="7"/>
  <c r="AL484" i="7"/>
  <c r="AN25" i="7"/>
  <c r="AN89" i="7"/>
  <c r="AN149" i="7"/>
  <c r="AN202" i="7"/>
  <c r="AN258" i="7"/>
  <c r="AN321" i="7"/>
  <c r="AN373" i="7"/>
  <c r="AN429" i="7"/>
  <c r="AM10" i="7"/>
  <c r="AM65" i="7"/>
  <c r="AM121" i="7"/>
  <c r="AM181" i="7"/>
  <c r="AM216" i="7"/>
  <c r="AM237" i="7"/>
  <c r="AM260" i="7"/>
  <c r="AM280" i="7"/>
  <c r="AM301" i="7"/>
  <c r="AM324" i="7"/>
  <c r="AM344" i="7"/>
  <c r="AM365" i="7"/>
  <c r="AM381" i="7"/>
  <c r="AM392" i="7"/>
  <c r="AM402" i="7"/>
  <c r="AM413" i="7"/>
  <c r="AM424" i="7"/>
  <c r="AM434" i="7"/>
  <c r="AM445" i="7"/>
  <c r="AM456" i="7"/>
  <c r="AM466" i="7"/>
  <c r="AM477" i="7"/>
  <c r="AL8" i="7"/>
  <c r="AL18" i="7"/>
  <c r="AL29" i="7"/>
  <c r="AL40" i="7"/>
  <c r="AL50" i="7"/>
  <c r="AL61" i="7"/>
  <c r="AL72" i="7"/>
  <c r="AL82" i="7"/>
  <c r="AL93" i="7"/>
  <c r="AL104" i="7"/>
  <c r="AL114" i="7"/>
  <c r="AL125" i="7"/>
  <c r="AL136" i="7"/>
  <c r="AL146" i="7"/>
  <c r="AL156" i="7"/>
  <c r="AL165" i="7"/>
  <c r="AL173" i="7"/>
  <c r="AL181" i="7"/>
  <c r="AL189" i="7"/>
  <c r="AL197" i="7"/>
  <c r="AL205" i="7"/>
  <c r="AL213" i="7"/>
  <c r="AL221" i="7"/>
  <c r="AL229" i="7"/>
  <c r="AL237" i="7"/>
  <c r="AL245" i="7"/>
  <c r="AL253" i="7"/>
  <c r="AL261" i="7"/>
  <c r="AL269" i="7"/>
  <c r="AL277" i="7"/>
  <c r="AL285" i="7"/>
  <c r="AL293" i="7"/>
  <c r="AL301" i="7"/>
  <c r="AL309" i="7"/>
  <c r="AL317" i="7"/>
  <c r="AL325" i="7"/>
  <c r="AL333" i="7"/>
  <c r="AL341" i="7"/>
  <c r="AL349" i="7"/>
  <c r="AL357" i="7"/>
  <c r="AL365" i="7"/>
  <c r="AL373" i="7"/>
  <c r="AL381" i="7"/>
  <c r="AL389" i="7"/>
  <c r="AL397" i="7"/>
  <c r="AL405" i="7"/>
  <c r="AL413" i="7"/>
  <c r="AL421" i="7"/>
  <c r="AL429" i="7"/>
  <c r="AL437" i="7"/>
  <c r="AL445" i="7"/>
  <c r="AL453" i="7"/>
  <c r="AL461" i="7"/>
  <c r="AL469" i="7"/>
  <c r="AL477" i="7"/>
  <c r="AN42" i="7"/>
  <c r="AN97" i="7"/>
  <c r="AN153" i="7"/>
  <c r="AN213" i="7"/>
  <c r="AN266" i="7"/>
  <c r="AN322" i="7"/>
  <c r="AN385" i="7"/>
  <c r="AN437" i="7"/>
  <c r="AM13" i="7"/>
  <c r="AM74" i="7"/>
  <c r="AM129" i="7"/>
  <c r="AM185" i="7"/>
  <c r="AM220" i="7"/>
  <c r="AM240" i="7"/>
  <c r="AM261" i="7"/>
  <c r="AM284" i="7"/>
  <c r="AM304" i="7"/>
  <c r="AM325" i="7"/>
  <c r="AM348" i="7"/>
  <c r="AM368" i="7"/>
  <c r="AM382" i="7"/>
  <c r="AM393" i="7"/>
  <c r="AM404" i="7"/>
  <c r="AM414" i="7"/>
  <c r="AM425" i="7"/>
  <c r="AM436" i="7"/>
  <c r="AM446" i="7"/>
  <c r="AM457" i="7"/>
  <c r="AM468" i="7"/>
  <c r="AM478" i="7"/>
  <c r="AL9" i="7"/>
  <c r="AL20" i="7"/>
  <c r="AL30" i="7"/>
  <c r="AL41" i="7"/>
  <c r="AL52" i="7"/>
  <c r="AL62" i="7"/>
  <c r="AL73" i="7"/>
  <c r="AL84" i="7"/>
  <c r="AL94" i="7"/>
  <c r="AL105" i="7"/>
  <c r="AL116" i="7"/>
  <c r="AL126" i="7"/>
  <c r="AL137" i="7"/>
  <c r="AL148" i="7"/>
  <c r="AL157" i="7"/>
  <c r="AL166" i="7"/>
  <c r="AL174" i="7"/>
  <c r="AL182" i="7"/>
  <c r="AL190" i="7"/>
  <c r="AL198" i="7"/>
  <c r="AL206" i="7"/>
  <c r="AL214" i="7"/>
  <c r="AL222" i="7"/>
  <c r="AL230" i="7"/>
  <c r="AL238" i="7"/>
  <c r="AL246" i="7"/>
  <c r="AL254" i="7"/>
  <c r="AL262" i="7"/>
  <c r="AL270" i="7"/>
  <c r="AL278" i="7"/>
  <c r="AL286" i="7"/>
  <c r="AL294" i="7"/>
  <c r="AL302" i="7"/>
  <c r="AL310" i="7"/>
  <c r="AL318" i="7"/>
  <c r="AL326" i="7"/>
  <c r="AL334" i="7"/>
  <c r="AL342" i="7"/>
  <c r="AN45" i="7"/>
  <c r="AN106" i="7"/>
  <c r="AN161" i="7"/>
  <c r="AN217" i="7"/>
  <c r="AN277" i="7"/>
  <c r="AN330" i="7"/>
  <c r="AN386" i="7"/>
  <c r="AN449" i="7"/>
  <c r="AM21" i="7"/>
  <c r="AM77" i="7"/>
  <c r="AM138" i="7"/>
  <c r="AM193" i="7"/>
  <c r="AM221" i="7"/>
  <c r="AM244" i="7"/>
  <c r="AM264" i="7"/>
  <c r="AM285" i="7"/>
  <c r="AM308" i="7"/>
  <c r="AM328" i="7"/>
  <c r="AM349" i="7"/>
  <c r="AM372" i="7"/>
  <c r="AM384" i="7"/>
  <c r="AM394" i="7"/>
  <c r="AM405" i="7"/>
  <c r="AM416" i="7"/>
  <c r="AM426" i="7"/>
  <c r="AM437" i="7"/>
  <c r="AM448" i="7"/>
  <c r="AM458" i="7"/>
  <c r="AM469" i="7"/>
  <c r="AM480" i="7"/>
  <c r="AL10" i="7"/>
  <c r="AL21" i="7"/>
  <c r="AL32" i="7"/>
  <c r="AL42" i="7"/>
  <c r="AL53" i="7"/>
  <c r="AL64" i="7"/>
  <c r="AL74" i="7"/>
  <c r="AL85" i="7"/>
  <c r="AL96" i="7"/>
  <c r="AL106" i="7"/>
  <c r="AL117" i="7"/>
  <c r="AL128" i="7"/>
  <c r="AL138" i="7"/>
  <c r="AL149" i="7"/>
  <c r="AL158" i="7"/>
  <c r="AL167" i="7"/>
  <c r="AL175" i="7"/>
  <c r="AL183" i="7"/>
  <c r="AL191" i="7"/>
  <c r="AL199" i="7"/>
  <c r="AL207" i="7"/>
  <c r="AL215" i="7"/>
  <c r="AL223" i="7"/>
  <c r="AL231" i="7"/>
  <c r="AL239" i="7"/>
  <c r="AL247" i="7"/>
  <c r="AL255" i="7"/>
  <c r="AL263" i="7"/>
  <c r="AL271" i="7"/>
  <c r="AL279" i="7"/>
  <c r="AL287" i="7"/>
  <c r="AL295" i="7"/>
  <c r="AL303" i="7"/>
  <c r="AL311" i="7"/>
  <c r="AL319" i="7"/>
  <c r="AL327" i="7"/>
  <c r="AL335" i="7"/>
  <c r="AL343" i="7"/>
  <c r="AL351" i="7"/>
  <c r="AL359" i="7"/>
  <c r="AL367" i="7"/>
  <c r="AL375" i="7"/>
  <c r="AL383" i="7"/>
  <c r="AL391" i="7"/>
  <c r="AL399" i="7"/>
  <c r="AL407" i="7"/>
  <c r="AL415" i="7"/>
  <c r="AL423" i="7"/>
  <c r="AL431" i="7"/>
  <c r="AL439" i="7"/>
  <c r="AL447" i="7"/>
  <c r="AL455" i="7"/>
  <c r="AL463" i="7"/>
  <c r="AN53" i="7"/>
  <c r="AN109" i="7"/>
  <c r="AN170" i="7"/>
  <c r="AN225" i="7"/>
  <c r="AN281" i="7"/>
  <c r="AN341" i="7"/>
  <c r="AN394" i="7"/>
  <c r="AN450" i="7"/>
  <c r="AM33" i="7"/>
  <c r="AM85" i="7"/>
  <c r="AM141" i="7"/>
  <c r="AM202" i="7"/>
  <c r="AM224" i="7"/>
  <c r="AM245" i="7"/>
  <c r="AM268" i="7"/>
  <c r="AM288" i="7"/>
  <c r="AM309" i="7"/>
  <c r="AM332" i="7"/>
  <c r="AM352" i="7"/>
  <c r="AM373" i="7"/>
  <c r="AM385" i="7"/>
  <c r="AM396" i="7"/>
  <c r="AM406" i="7"/>
  <c r="AM417" i="7"/>
  <c r="AM428" i="7"/>
  <c r="AM438" i="7"/>
  <c r="AM449" i="7"/>
  <c r="AM460" i="7"/>
  <c r="AM470" i="7"/>
  <c r="AM481" i="7"/>
  <c r="AL12" i="7"/>
  <c r="AL22" i="7"/>
  <c r="AL33" i="7"/>
  <c r="AL44" i="7"/>
  <c r="AL54" i="7"/>
  <c r="AL65" i="7"/>
  <c r="AL76" i="7"/>
  <c r="AL86" i="7"/>
  <c r="AL97" i="7"/>
  <c r="AL108" i="7"/>
  <c r="AL118" i="7"/>
  <c r="AL129" i="7"/>
  <c r="AL140" i="7"/>
  <c r="AL150" i="7"/>
  <c r="AL160" i="7"/>
  <c r="AL168" i="7"/>
  <c r="AL176" i="7"/>
  <c r="AL184" i="7"/>
  <c r="AL192" i="7"/>
  <c r="AL200" i="7"/>
  <c r="AL208" i="7"/>
  <c r="AL216" i="7"/>
  <c r="AL224" i="7"/>
  <c r="AL232" i="7"/>
  <c r="AL240" i="7"/>
  <c r="AL248" i="7"/>
  <c r="AL256" i="7"/>
  <c r="AL264" i="7"/>
  <c r="AL272" i="7"/>
  <c r="AL280" i="7"/>
  <c r="AL288" i="7"/>
  <c r="AL296" i="7"/>
  <c r="AL304" i="7"/>
  <c r="AL312" i="7"/>
  <c r="AL320" i="7"/>
  <c r="AL328" i="7"/>
  <c r="AL336" i="7"/>
  <c r="AL344" i="7"/>
  <c r="AL352" i="7"/>
  <c r="AL360" i="7"/>
  <c r="AL368" i="7"/>
  <c r="AL376" i="7"/>
  <c r="AL384" i="7"/>
  <c r="AL392" i="7"/>
  <c r="AL400" i="7"/>
  <c r="AL408" i="7"/>
  <c r="AL416" i="7"/>
  <c r="AL424" i="7"/>
  <c r="AL432" i="7"/>
  <c r="AL440" i="7"/>
  <c r="AL448" i="7"/>
  <c r="AL456" i="7"/>
  <c r="AL464" i="7"/>
  <c r="AN65" i="7"/>
  <c r="AN193" i="7"/>
  <c r="AN353" i="7"/>
  <c r="AM34" i="7"/>
  <c r="AM162" i="7"/>
  <c r="AM252" i="7"/>
  <c r="AM312" i="7"/>
  <c r="AM360" i="7"/>
  <c r="AM398" i="7"/>
  <c r="AM429" i="7"/>
  <c r="AM453" i="7"/>
  <c r="AM484" i="7"/>
  <c r="AL34" i="7"/>
  <c r="AL58" i="7"/>
  <c r="AL89" i="7"/>
  <c r="AL120" i="7"/>
  <c r="AL144" i="7"/>
  <c r="AL170" i="7"/>
  <c r="AL193" i="7"/>
  <c r="AL211" i="7"/>
  <c r="AL234" i="7"/>
  <c r="AL257" i="7"/>
  <c r="AL275" i="7"/>
  <c r="AL298" i="7"/>
  <c r="AL321" i="7"/>
  <c r="AL339" i="7"/>
  <c r="AL358" i="7"/>
  <c r="AL374" i="7"/>
  <c r="AL390" i="7"/>
  <c r="AL406" i="7"/>
  <c r="AL422" i="7"/>
  <c r="AL438" i="7"/>
  <c r="AL454" i="7"/>
  <c r="AL470" i="7"/>
  <c r="AL480" i="7"/>
  <c r="AL299" i="7"/>
  <c r="AL345" i="7"/>
  <c r="AL377" i="7"/>
  <c r="AL393" i="7"/>
  <c r="AL425" i="7"/>
  <c r="AL457" i="7"/>
  <c r="AL471" i="7"/>
  <c r="AL426" i="7"/>
  <c r="AL472" i="7"/>
  <c r="AN458" i="7"/>
  <c r="AM340" i="7"/>
  <c r="AL24" i="7"/>
  <c r="AL133" i="7"/>
  <c r="AL267" i="7"/>
  <c r="AL369" i="7"/>
  <c r="AL401" i="7"/>
  <c r="AL465" i="7"/>
  <c r="AN173" i="7"/>
  <c r="AM356" i="7"/>
  <c r="AM389" i="7"/>
  <c r="AL56" i="7"/>
  <c r="AL141" i="7"/>
  <c r="AL227" i="7"/>
  <c r="AL291" i="7"/>
  <c r="AL386" i="7"/>
  <c r="AL418" i="7"/>
  <c r="AN181" i="7"/>
  <c r="AM357" i="7"/>
  <c r="AL26" i="7"/>
  <c r="AL88" i="7"/>
  <c r="AL210" i="7"/>
  <c r="AL315" i="7"/>
  <c r="AL403" i="7"/>
  <c r="AL451" i="7"/>
  <c r="AN66" i="7"/>
  <c r="AN234" i="7"/>
  <c r="AN362" i="7"/>
  <c r="AM42" i="7"/>
  <c r="AM205" i="7"/>
  <c r="AM253" i="7"/>
  <c r="AM316" i="7"/>
  <c r="AM374" i="7"/>
  <c r="AM400" i="7"/>
  <c r="AM430" i="7"/>
  <c r="AM461" i="7"/>
  <c r="AM5" i="7"/>
  <c r="AL36" i="7"/>
  <c r="AL66" i="7"/>
  <c r="AL90" i="7"/>
  <c r="AL121" i="7"/>
  <c r="AL152" i="7"/>
  <c r="AL171" i="7"/>
  <c r="AL194" i="7"/>
  <c r="AL217" i="7"/>
  <c r="AL235" i="7"/>
  <c r="AL258" i="7"/>
  <c r="AL281" i="7"/>
  <c r="AL322" i="7"/>
  <c r="AL361" i="7"/>
  <c r="AL409" i="7"/>
  <c r="AL441" i="7"/>
  <c r="AL481" i="7"/>
  <c r="AL458" i="7"/>
  <c r="AL482" i="7"/>
  <c r="AM229" i="7"/>
  <c r="AM292" i="7"/>
  <c r="AM442" i="7"/>
  <c r="AL78" i="7"/>
  <c r="AL203" i="7"/>
  <c r="AL331" i="7"/>
  <c r="AL417" i="7"/>
  <c r="AM149" i="7"/>
  <c r="AL25" i="7"/>
  <c r="AL186" i="7"/>
  <c r="AL314" i="7"/>
  <c r="AL450" i="7"/>
  <c r="AN473" i="7"/>
  <c r="AM421" i="7"/>
  <c r="AL142" i="7"/>
  <c r="AL274" i="7"/>
  <c r="AL355" i="7"/>
  <c r="AL435" i="7"/>
  <c r="AN74" i="7"/>
  <c r="AN237" i="7"/>
  <c r="AN405" i="7"/>
  <c r="AM53" i="7"/>
  <c r="AM208" i="7"/>
  <c r="AM269" i="7"/>
  <c r="AM317" i="7"/>
  <c r="AM376" i="7"/>
  <c r="AM408" i="7"/>
  <c r="AM432" i="7"/>
  <c r="AM462" i="7"/>
  <c r="AL13" i="7"/>
  <c r="AL37" i="7"/>
  <c r="AL68" i="7"/>
  <c r="AL98" i="7"/>
  <c r="AL122" i="7"/>
  <c r="AL153" i="7"/>
  <c r="AL177" i="7"/>
  <c r="AL195" i="7"/>
  <c r="AL218" i="7"/>
  <c r="AL241" i="7"/>
  <c r="AL259" i="7"/>
  <c r="AL282" i="7"/>
  <c r="AL305" i="7"/>
  <c r="AL323" i="7"/>
  <c r="AL346" i="7"/>
  <c r="AL362" i="7"/>
  <c r="AL378" i="7"/>
  <c r="AL394" i="7"/>
  <c r="AL410" i="7"/>
  <c r="AL442" i="7"/>
  <c r="AN130" i="7"/>
  <c r="AM388" i="7"/>
  <c r="AL109" i="7"/>
  <c r="AL226" i="7"/>
  <c r="AL313" i="7"/>
  <c r="AL433" i="7"/>
  <c r="AN469" i="7"/>
  <c r="AM474" i="7"/>
  <c r="AL163" i="7"/>
  <c r="AL337" i="7"/>
  <c r="AL434" i="7"/>
  <c r="AM161" i="7"/>
  <c r="AM452" i="7"/>
  <c r="AL169" i="7"/>
  <c r="AL251" i="7"/>
  <c r="AL371" i="7"/>
  <c r="AL479" i="7"/>
  <c r="AN117" i="7"/>
  <c r="AN245" i="7"/>
  <c r="AN409" i="7"/>
  <c r="AM97" i="7"/>
  <c r="AM212" i="7"/>
  <c r="AM272" i="7"/>
  <c r="AM333" i="7"/>
  <c r="AM378" i="7"/>
  <c r="AM409" i="7"/>
  <c r="AM440" i="7"/>
  <c r="AM464" i="7"/>
  <c r="AL14" i="7"/>
  <c r="AL45" i="7"/>
  <c r="AL69" i="7"/>
  <c r="AL100" i="7"/>
  <c r="AL130" i="7"/>
  <c r="AL154" i="7"/>
  <c r="AL178" i="7"/>
  <c r="AL201" i="7"/>
  <c r="AL219" i="7"/>
  <c r="AL242" i="7"/>
  <c r="AL265" i="7"/>
  <c r="AL283" i="7"/>
  <c r="AL306" i="7"/>
  <c r="AL329" i="7"/>
  <c r="AL347" i="7"/>
  <c r="AL363" i="7"/>
  <c r="AL379" i="7"/>
  <c r="AL395" i="7"/>
  <c r="AL411" i="7"/>
  <c r="AL427" i="7"/>
  <c r="AL443" i="7"/>
  <c r="AL459" i="7"/>
  <c r="AL473" i="7"/>
  <c r="AL483" i="7"/>
  <c r="AM106" i="7"/>
  <c r="AM473" i="7"/>
  <c r="AL162" i="7"/>
  <c r="AL290" i="7"/>
  <c r="AL385" i="7"/>
  <c r="AL475" i="7"/>
  <c r="AM232" i="7"/>
  <c r="AM450" i="7"/>
  <c r="AL110" i="7"/>
  <c r="AL250" i="7"/>
  <c r="AL370" i="7"/>
  <c r="AL466" i="7"/>
  <c r="AM248" i="7"/>
  <c r="AM397" i="7"/>
  <c r="AL57" i="7"/>
  <c r="AL233" i="7"/>
  <c r="AL338" i="7"/>
  <c r="AL419" i="7"/>
  <c r="AN129" i="7"/>
  <c r="AN289" i="7"/>
  <c r="AN417" i="7"/>
  <c r="AM98" i="7"/>
  <c r="AM228" i="7"/>
  <c r="AM276" i="7"/>
  <c r="AM336" i="7"/>
  <c r="AM386" i="7"/>
  <c r="AM410" i="7"/>
  <c r="AM441" i="7"/>
  <c r="AM472" i="7"/>
  <c r="AL16" i="7"/>
  <c r="AL46" i="7"/>
  <c r="AL77" i="7"/>
  <c r="AL101" i="7"/>
  <c r="AL132" i="7"/>
  <c r="AL161" i="7"/>
  <c r="AL179" i="7"/>
  <c r="AL202" i="7"/>
  <c r="AL225" i="7"/>
  <c r="AL243" i="7"/>
  <c r="AL266" i="7"/>
  <c r="AL289" i="7"/>
  <c r="AL307" i="7"/>
  <c r="AL330" i="7"/>
  <c r="AL350" i="7"/>
  <c r="AL366" i="7"/>
  <c r="AL382" i="7"/>
  <c r="AL398" i="7"/>
  <c r="AL414" i="7"/>
  <c r="AL430" i="7"/>
  <c r="AL446" i="7"/>
  <c r="AL462" i="7"/>
  <c r="AL474" i="7"/>
  <c r="AL5" i="7"/>
  <c r="AN298" i="7"/>
  <c r="AM418" i="7"/>
  <c r="AL48" i="7"/>
  <c r="AL185" i="7"/>
  <c r="AL249" i="7"/>
  <c r="AL353" i="7"/>
  <c r="AL449" i="7"/>
  <c r="AN301" i="7"/>
  <c r="AM293" i="7"/>
  <c r="AM420" i="7"/>
  <c r="AL80" i="7"/>
  <c r="AL209" i="7"/>
  <c r="AL273" i="7"/>
  <c r="AL354" i="7"/>
  <c r="AL402" i="7"/>
  <c r="AL478" i="7"/>
  <c r="AN345" i="7"/>
  <c r="AM296" i="7"/>
  <c r="AM482" i="7"/>
  <c r="AL112" i="7"/>
  <c r="AL187" i="7"/>
  <c r="AL297" i="7"/>
  <c r="AL387" i="7"/>
  <c r="AL467" i="7"/>
  <c r="AK6" i="7"/>
  <c r="AK14" i="7"/>
  <c r="AK22" i="7"/>
  <c r="AK30" i="7"/>
  <c r="AK38" i="7"/>
  <c r="AK46" i="7"/>
  <c r="AK54" i="7"/>
  <c r="AK62" i="7"/>
  <c r="AK70" i="7"/>
  <c r="AK78" i="7"/>
  <c r="AK86" i="7"/>
  <c r="AK94" i="7"/>
  <c r="AK102" i="7"/>
  <c r="AK110" i="7"/>
  <c r="AK118" i="7"/>
  <c r="AK126" i="7"/>
  <c r="AK134" i="7"/>
  <c r="AK142" i="7"/>
  <c r="AK150" i="7"/>
  <c r="AK158" i="7"/>
  <c r="AK166" i="7"/>
  <c r="AK174" i="7"/>
  <c r="AK182" i="7"/>
  <c r="AK190" i="7"/>
  <c r="AK198" i="7"/>
  <c r="AK206" i="7"/>
  <c r="AK214" i="7"/>
  <c r="AK222" i="7"/>
  <c r="AK230" i="7"/>
  <c r="AK238" i="7"/>
  <c r="AK246" i="7"/>
  <c r="AK254" i="7"/>
  <c r="AK262" i="7"/>
  <c r="AK270" i="7"/>
  <c r="AK278" i="7"/>
  <c r="AK286" i="7"/>
  <c r="AK294" i="7"/>
  <c r="AK302" i="7"/>
  <c r="AK310" i="7"/>
  <c r="AK318" i="7"/>
  <c r="AK326" i="7"/>
  <c r="AK334" i="7"/>
  <c r="AK342" i="7"/>
  <c r="AK350" i="7"/>
  <c r="AK358" i="7"/>
  <c r="AK366" i="7"/>
  <c r="AK374" i="7"/>
  <c r="AK382" i="7"/>
  <c r="AK390" i="7"/>
  <c r="AK398" i="7"/>
  <c r="AK406" i="7"/>
  <c r="AK414" i="7"/>
  <c r="AK422" i="7"/>
  <c r="AK430" i="7"/>
  <c r="AK438" i="7"/>
  <c r="AK446" i="7"/>
  <c r="AK454" i="7"/>
  <c r="AK462" i="7"/>
  <c r="AK470" i="7"/>
  <c r="AK478" i="7"/>
  <c r="AJ484" i="7"/>
  <c r="AJ476" i="7"/>
  <c r="AJ468" i="7"/>
  <c r="AJ460" i="7"/>
  <c r="AJ452" i="7"/>
  <c r="AJ444" i="7"/>
  <c r="AJ436" i="7"/>
  <c r="AJ428" i="7"/>
  <c r="AJ420" i="7"/>
  <c r="AJ412" i="7"/>
  <c r="AJ404" i="7"/>
  <c r="AJ396" i="7"/>
  <c r="AJ388" i="7"/>
  <c r="AJ380" i="7"/>
  <c r="AJ372" i="7"/>
  <c r="AJ364" i="7"/>
  <c r="AJ356" i="7"/>
  <c r="AJ348" i="7"/>
  <c r="AJ340" i="7"/>
  <c r="AJ332" i="7"/>
  <c r="AJ324" i="7"/>
  <c r="AJ316" i="7"/>
  <c r="AJ308" i="7"/>
  <c r="AJ300" i="7"/>
  <c r="AJ292" i="7"/>
  <c r="AK7" i="7"/>
  <c r="AK15" i="7"/>
  <c r="AK23" i="7"/>
  <c r="AK31" i="7"/>
  <c r="AK39" i="7"/>
  <c r="AK47" i="7"/>
  <c r="AK55" i="7"/>
  <c r="AK63" i="7"/>
  <c r="AK71" i="7"/>
  <c r="AK79" i="7"/>
  <c r="AK87" i="7"/>
  <c r="AK95" i="7"/>
  <c r="AK103" i="7"/>
  <c r="AK111" i="7"/>
  <c r="AK119" i="7"/>
  <c r="AK127" i="7"/>
  <c r="AK135" i="7"/>
  <c r="AK143" i="7"/>
  <c r="AK151" i="7"/>
  <c r="AK159" i="7"/>
  <c r="AK167" i="7"/>
  <c r="AK175" i="7"/>
  <c r="AK183" i="7"/>
  <c r="AK191" i="7"/>
  <c r="AK199" i="7"/>
  <c r="AK207" i="7"/>
  <c r="AK215" i="7"/>
  <c r="AK223" i="7"/>
  <c r="AK231" i="7"/>
  <c r="AK239" i="7"/>
  <c r="AK247" i="7"/>
  <c r="AK255" i="7"/>
  <c r="AK263" i="7"/>
  <c r="AK271" i="7"/>
  <c r="AK279" i="7"/>
  <c r="AK287" i="7"/>
  <c r="AK295" i="7"/>
  <c r="AK303" i="7"/>
  <c r="AK311" i="7"/>
  <c r="AK319" i="7"/>
  <c r="AK327" i="7"/>
  <c r="AK335" i="7"/>
  <c r="AK343" i="7"/>
  <c r="AK351" i="7"/>
  <c r="AK359" i="7"/>
  <c r="AK367" i="7"/>
  <c r="AK375" i="7"/>
  <c r="AK383" i="7"/>
  <c r="AK391" i="7"/>
  <c r="AK399" i="7"/>
  <c r="AK407" i="7"/>
  <c r="AK415" i="7"/>
  <c r="AK423" i="7"/>
  <c r="AK431" i="7"/>
  <c r="AK439" i="7"/>
  <c r="AK447" i="7"/>
  <c r="AK455" i="7"/>
  <c r="AK463" i="7"/>
  <c r="AK471" i="7"/>
  <c r="AK479" i="7"/>
  <c r="AJ483" i="7"/>
  <c r="AJ475" i="7"/>
  <c r="AJ467" i="7"/>
  <c r="AJ459" i="7"/>
  <c r="AJ451" i="7"/>
  <c r="AJ443" i="7"/>
  <c r="AJ435" i="7"/>
  <c r="AJ427" i="7"/>
  <c r="AJ419" i="7"/>
  <c r="AJ411" i="7"/>
  <c r="AJ403" i="7"/>
  <c r="AJ395" i="7"/>
  <c r="AJ387" i="7"/>
  <c r="AJ379" i="7"/>
  <c r="AJ371" i="7"/>
  <c r="AJ363" i="7"/>
  <c r="AJ355" i="7"/>
  <c r="AJ347" i="7"/>
  <c r="AJ339" i="7"/>
  <c r="AJ331" i="7"/>
  <c r="AJ323" i="7"/>
  <c r="AK8" i="7"/>
  <c r="AK16" i="7"/>
  <c r="AK24" i="7"/>
  <c r="AK32" i="7"/>
  <c r="AK40" i="7"/>
  <c r="AK48" i="7"/>
  <c r="AK56" i="7"/>
  <c r="AK64" i="7"/>
  <c r="AK72" i="7"/>
  <c r="AK80" i="7"/>
  <c r="AK88" i="7"/>
  <c r="AK96" i="7"/>
  <c r="AK104" i="7"/>
  <c r="AK112" i="7"/>
  <c r="AK120" i="7"/>
  <c r="AK128" i="7"/>
  <c r="AK136" i="7"/>
  <c r="AK144" i="7"/>
  <c r="AK152" i="7"/>
  <c r="AK160" i="7"/>
  <c r="AK168" i="7"/>
  <c r="AK176" i="7"/>
  <c r="AK184" i="7"/>
  <c r="AK192" i="7"/>
  <c r="AK200" i="7"/>
  <c r="AK208" i="7"/>
  <c r="AK216" i="7"/>
  <c r="AK224" i="7"/>
  <c r="AK232" i="7"/>
  <c r="AK240" i="7"/>
  <c r="AK248" i="7"/>
  <c r="AK256" i="7"/>
  <c r="AK264" i="7"/>
  <c r="AK272" i="7"/>
  <c r="AK280" i="7"/>
  <c r="AK288" i="7"/>
  <c r="AK296" i="7"/>
  <c r="AK304" i="7"/>
  <c r="AK312" i="7"/>
  <c r="AK320" i="7"/>
  <c r="AK328" i="7"/>
  <c r="AK336" i="7"/>
  <c r="AK344" i="7"/>
  <c r="AK352" i="7"/>
  <c r="AK360" i="7"/>
  <c r="AK368" i="7"/>
  <c r="AK376" i="7"/>
  <c r="AK384" i="7"/>
  <c r="AK392" i="7"/>
  <c r="AK400" i="7"/>
  <c r="AK408" i="7"/>
  <c r="AK416" i="7"/>
  <c r="AK424" i="7"/>
  <c r="AK432" i="7"/>
  <c r="AK440" i="7"/>
  <c r="AK448" i="7"/>
  <c r="AK456" i="7"/>
  <c r="AK464" i="7"/>
  <c r="AK472" i="7"/>
  <c r="AK480" i="7"/>
  <c r="AJ482" i="7"/>
  <c r="AJ474" i="7"/>
  <c r="AJ466" i="7"/>
  <c r="AJ458" i="7"/>
  <c r="AJ450" i="7"/>
  <c r="AJ442" i="7"/>
  <c r="AJ434" i="7"/>
  <c r="AJ426" i="7"/>
  <c r="AJ418" i="7"/>
  <c r="AJ410" i="7"/>
  <c r="AJ402" i="7"/>
  <c r="AJ394" i="7"/>
  <c r="AJ386" i="7"/>
  <c r="AJ378" i="7"/>
  <c r="AJ370" i="7"/>
  <c r="AJ362" i="7"/>
  <c r="AJ354" i="7"/>
  <c r="AJ346" i="7"/>
  <c r="AJ338" i="7"/>
  <c r="AJ330" i="7"/>
  <c r="AJ322" i="7"/>
  <c r="AK9" i="7"/>
  <c r="AK17" i="7"/>
  <c r="AK25" i="7"/>
  <c r="AK33" i="7"/>
  <c r="AK41" i="7"/>
  <c r="AK49" i="7"/>
  <c r="AK57" i="7"/>
  <c r="AK65" i="7"/>
  <c r="AK73" i="7"/>
  <c r="AK81" i="7"/>
  <c r="AK89" i="7"/>
  <c r="AK97" i="7"/>
  <c r="AK105" i="7"/>
  <c r="AK113" i="7"/>
  <c r="AK121" i="7"/>
  <c r="AK129" i="7"/>
  <c r="AK137" i="7"/>
  <c r="AK145" i="7"/>
  <c r="AK153" i="7"/>
  <c r="AK161" i="7"/>
  <c r="AK169" i="7"/>
  <c r="AK177" i="7"/>
  <c r="AK185" i="7"/>
  <c r="AK193" i="7"/>
  <c r="AK201" i="7"/>
  <c r="AK209" i="7"/>
  <c r="AK217" i="7"/>
  <c r="AK225" i="7"/>
  <c r="AK233" i="7"/>
  <c r="AK241" i="7"/>
  <c r="AK249" i="7"/>
  <c r="AK257" i="7"/>
  <c r="AK265" i="7"/>
  <c r="AK273" i="7"/>
  <c r="AK281" i="7"/>
  <c r="AK289" i="7"/>
  <c r="AK297" i="7"/>
  <c r="AK305" i="7"/>
  <c r="AK313" i="7"/>
  <c r="AK321" i="7"/>
  <c r="AK329" i="7"/>
  <c r="AK337" i="7"/>
  <c r="AK345" i="7"/>
  <c r="AK353" i="7"/>
  <c r="AK361" i="7"/>
  <c r="AK369" i="7"/>
  <c r="AK377" i="7"/>
  <c r="AK385" i="7"/>
  <c r="AK393" i="7"/>
  <c r="AK401" i="7"/>
  <c r="AK409" i="7"/>
  <c r="AK417" i="7"/>
  <c r="AK425" i="7"/>
  <c r="AK433" i="7"/>
  <c r="AK441" i="7"/>
  <c r="AK449" i="7"/>
  <c r="AK457" i="7"/>
  <c r="AK465" i="7"/>
  <c r="AK473" i="7"/>
  <c r="AK481" i="7"/>
  <c r="AJ481" i="7"/>
  <c r="AJ473" i="7"/>
  <c r="AJ465" i="7"/>
  <c r="AJ457" i="7"/>
  <c r="AJ449" i="7"/>
  <c r="AJ441" i="7"/>
  <c r="AJ433" i="7"/>
  <c r="AJ425" i="7"/>
  <c r="AJ417" i="7"/>
  <c r="AJ409" i="7"/>
  <c r="AJ401" i="7"/>
  <c r="AJ393" i="7"/>
  <c r="AJ385" i="7"/>
  <c r="AJ377" i="7"/>
  <c r="AJ369" i="7"/>
  <c r="AJ361" i="7"/>
  <c r="AJ353" i="7"/>
  <c r="AJ345" i="7"/>
  <c r="AK10" i="7"/>
  <c r="AK18" i="7"/>
  <c r="AK26" i="7"/>
  <c r="AK34" i="7"/>
  <c r="AK42" i="7"/>
  <c r="AK50" i="7"/>
  <c r="AK58" i="7"/>
  <c r="AK66" i="7"/>
  <c r="AK74" i="7"/>
  <c r="AK82" i="7"/>
  <c r="AK90" i="7"/>
  <c r="AK98" i="7"/>
  <c r="AK106" i="7"/>
  <c r="AK114" i="7"/>
  <c r="AK122" i="7"/>
  <c r="AK130" i="7"/>
  <c r="AK138" i="7"/>
  <c r="AK146" i="7"/>
  <c r="AK154" i="7"/>
  <c r="AK162" i="7"/>
  <c r="AK170" i="7"/>
  <c r="AK178" i="7"/>
  <c r="AK186" i="7"/>
  <c r="AK194" i="7"/>
  <c r="AK202" i="7"/>
  <c r="AK210" i="7"/>
  <c r="AK218" i="7"/>
  <c r="AK226" i="7"/>
  <c r="AK234" i="7"/>
  <c r="AK242" i="7"/>
  <c r="AK250" i="7"/>
  <c r="AK258" i="7"/>
  <c r="AK266" i="7"/>
  <c r="AK274" i="7"/>
  <c r="AK282" i="7"/>
  <c r="AK290" i="7"/>
  <c r="AK298" i="7"/>
  <c r="AK306" i="7"/>
  <c r="AK314" i="7"/>
  <c r="AK322" i="7"/>
  <c r="AK330" i="7"/>
  <c r="AK338" i="7"/>
  <c r="AK346" i="7"/>
  <c r="AK354" i="7"/>
  <c r="AK362" i="7"/>
  <c r="AK370" i="7"/>
  <c r="AK378" i="7"/>
  <c r="AK386" i="7"/>
  <c r="AK394" i="7"/>
  <c r="AK402" i="7"/>
  <c r="AK410" i="7"/>
  <c r="AK418" i="7"/>
  <c r="AK426" i="7"/>
  <c r="AK434" i="7"/>
  <c r="AK442" i="7"/>
  <c r="AK450" i="7"/>
  <c r="AK458" i="7"/>
  <c r="AK466" i="7"/>
  <c r="AK474" i="7"/>
  <c r="AK482" i="7"/>
  <c r="AJ480" i="7"/>
  <c r="AJ472" i="7"/>
  <c r="AJ464" i="7"/>
  <c r="AJ456" i="7"/>
  <c r="AJ448" i="7"/>
  <c r="AJ440" i="7"/>
  <c r="AJ432" i="7"/>
  <c r="AJ424" i="7"/>
  <c r="AJ416" i="7"/>
  <c r="AJ408" i="7"/>
  <c r="AJ400" i="7"/>
  <c r="AJ392" i="7"/>
  <c r="AJ384" i="7"/>
  <c r="AJ376" i="7"/>
  <c r="AJ368" i="7"/>
  <c r="AJ360" i="7"/>
  <c r="AJ352" i="7"/>
  <c r="AJ344" i="7"/>
  <c r="AJ336" i="7"/>
  <c r="AJ328" i="7"/>
  <c r="AJ320" i="7"/>
  <c r="AJ312" i="7"/>
  <c r="AJ304" i="7"/>
  <c r="AJ296" i="7"/>
  <c r="AJ288" i="7"/>
  <c r="AK11" i="7"/>
  <c r="AK19" i="7"/>
  <c r="AK27" i="7"/>
  <c r="AK35" i="7"/>
  <c r="AK43" i="7"/>
  <c r="AK51" i="7"/>
  <c r="AK59" i="7"/>
  <c r="AK67" i="7"/>
  <c r="AK75" i="7"/>
  <c r="AK83" i="7"/>
  <c r="AK91" i="7"/>
  <c r="AK99" i="7"/>
  <c r="AK107" i="7"/>
  <c r="AK115" i="7"/>
  <c r="AK123" i="7"/>
  <c r="AK131" i="7"/>
  <c r="AK139" i="7"/>
  <c r="AK147" i="7"/>
  <c r="AK155" i="7"/>
  <c r="AK163" i="7"/>
  <c r="AK171" i="7"/>
  <c r="AK179" i="7"/>
  <c r="AK187" i="7"/>
  <c r="AK195" i="7"/>
  <c r="AK203" i="7"/>
  <c r="AK211" i="7"/>
  <c r="AK219" i="7"/>
  <c r="AK227" i="7"/>
  <c r="AK235" i="7"/>
  <c r="AK243" i="7"/>
  <c r="AK251" i="7"/>
  <c r="AK259" i="7"/>
  <c r="AK267" i="7"/>
  <c r="AK275" i="7"/>
  <c r="AK283" i="7"/>
  <c r="AK291" i="7"/>
  <c r="AK299" i="7"/>
  <c r="AK307" i="7"/>
  <c r="AK315" i="7"/>
  <c r="AK323" i="7"/>
  <c r="AK331" i="7"/>
  <c r="AK339" i="7"/>
  <c r="AK347" i="7"/>
  <c r="AK355" i="7"/>
  <c r="AK363" i="7"/>
  <c r="AK371" i="7"/>
  <c r="AK379" i="7"/>
  <c r="AK387" i="7"/>
  <c r="AK395" i="7"/>
  <c r="AK403" i="7"/>
  <c r="AK411" i="7"/>
  <c r="AK419" i="7"/>
  <c r="AK427" i="7"/>
  <c r="AK435" i="7"/>
  <c r="AK443" i="7"/>
  <c r="AK451" i="7"/>
  <c r="AK459" i="7"/>
  <c r="AK467" i="7"/>
  <c r="AK475" i="7"/>
  <c r="AK483" i="7"/>
  <c r="AJ479" i="7"/>
  <c r="AJ471" i="7"/>
  <c r="AJ463" i="7"/>
  <c r="AJ455" i="7"/>
  <c r="AJ447" i="7"/>
  <c r="AJ439" i="7"/>
  <c r="AJ431" i="7"/>
  <c r="AJ423" i="7"/>
  <c r="AJ415" i="7"/>
  <c r="AJ407" i="7"/>
  <c r="AJ399" i="7"/>
  <c r="AJ391" i="7"/>
  <c r="AJ383" i="7"/>
  <c r="AJ375" i="7"/>
  <c r="AJ367" i="7"/>
  <c r="AJ359" i="7"/>
  <c r="AJ351" i="7"/>
  <c r="AJ343" i="7"/>
  <c r="AJ335" i="7"/>
  <c r="AJ327" i="7"/>
  <c r="AK12" i="7"/>
  <c r="AK20" i="7"/>
  <c r="AK28" i="7"/>
  <c r="AK36" i="7"/>
  <c r="AK44" i="7"/>
  <c r="AK52" i="7"/>
  <c r="AK60" i="7"/>
  <c r="AK68" i="7"/>
  <c r="AK76" i="7"/>
  <c r="AK84" i="7"/>
  <c r="AK92" i="7"/>
  <c r="AK100" i="7"/>
  <c r="AK108" i="7"/>
  <c r="AK116" i="7"/>
  <c r="AK124" i="7"/>
  <c r="AK132" i="7"/>
  <c r="AK140" i="7"/>
  <c r="AK148" i="7"/>
  <c r="AK156" i="7"/>
  <c r="AK164" i="7"/>
  <c r="AK172" i="7"/>
  <c r="AK180" i="7"/>
  <c r="AK188" i="7"/>
  <c r="AK196" i="7"/>
  <c r="AK204" i="7"/>
  <c r="AK212" i="7"/>
  <c r="AK220" i="7"/>
  <c r="AK228" i="7"/>
  <c r="AK236" i="7"/>
  <c r="AK244" i="7"/>
  <c r="AK252" i="7"/>
  <c r="AK260" i="7"/>
  <c r="AK268" i="7"/>
  <c r="AK276" i="7"/>
  <c r="AK284" i="7"/>
  <c r="AK292" i="7"/>
  <c r="AK300" i="7"/>
  <c r="AK308" i="7"/>
  <c r="AK316" i="7"/>
  <c r="AK324" i="7"/>
  <c r="AK332" i="7"/>
  <c r="AK340" i="7"/>
  <c r="AK348" i="7"/>
  <c r="AK356" i="7"/>
  <c r="AK364" i="7"/>
  <c r="AK372" i="7"/>
  <c r="AK380" i="7"/>
  <c r="AK13" i="7"/>
  <c r="AK77" i="7"/>
  <c r="AK141" i="7"/>
  <c r="AK205" i="7"/>
  <c r="AK269" i="7"/>
  <c r="AK333" i="7"/>
  <c r="AK389" i="7"/>
  <c r="AK421" i="7"/>
  <c r="AK453" i="7"/>
  <c r="AK5" i="7"/>
  <c r="AJ453" i="7"/>
  <c r="AJ421" i="7"/>
  <c r="AJ389" i="7"/>
  <c r="AJ357" i="7"/>
  <c r="AJ329" i="7"/>
  <c r="AJ314" i="7"/>
  <c r="AJ303" i="7"/>
  <c r="AJ293" i="7"/>
  <c r="AJ283" i="7"/>
  <c r="AJ275" i="7"/>
  <c r="AJ267" i="7"/>
  <c r="AJ259" i="7"/>
  <c r="AJ251" i="7"/>
  <c r="AJ243" i="7"/>
  <c r="AJ235" i="7"/>
  <c r="AJ227" i="7"/>
  <c r="AJ219" i="7"/>
  <c r="AJ211" i="7"/>
  <c r="AJ203" i="7"/>
  <c r="AJ195" i="7"/>
  <c r="AJ187" i="7"/>
  <c r="AJ179" i="7"/>
  <c r="AJ171" i="7"/>
  <c r="AJ163" i="7"/>
  <c r="AJ155" i="7"/>
  <c r="AJ147" i="7"/>
  <c r="AJ139" i="7"/>
  <c r="AJ131" i="7"/>
  <c r="AJ123" i="7"/>
  <c r="AJ115" i="7"/>
  <c r="AJ107" i="7"/>
  <c r="AJ99" i="7"/>
  <c r="AJ91" i="7"/>
  <c r="AJ83" i="7"/>
  <c r="AJ75" i="7"/>
  <c r="AJ67" i="7"/>
  <c r="AJ59" i="7"/>
  <c r="AJ51" i="7"/>
  <c r="AJ43" i="7"/>
  <c r="AJ35" i="7"/>
  <c r="AJ27" i="7"/>
  <c r="AJ19" i="7"/>
  <c r="AJ11" i="7"/>
  <c r="AJ10" i="7"/>
  <c r="AJ32" i="7"/>
  <c r="AK61" i="7"/>
  <c r="AJ334" i="7"/>
  <c r="AJ261" i="7"/>
  <c r="AJ205" i="7"/>
  <c r="AJ149" i="7"/>
  <c r="AJ101" i="7"/>
  <c r="AJ45" i="7"/>
  <c r="AK21" i="7"/>
  <c r="AK85" i="7"/>
  <c r="AK149" i="7"/>
  <c r="AK213" i="7"/>
  <c r="AK277" i="7"/>
  <c r="AK341" i="7"/>
  <c r="AK396" i="7"/>
  <c r="AK428" i="7"/>
  <c r="AK460" i="7"/>
  <c r="AJ478" i="7"/>
  <c r="AJ446" i="7"/>
  <c r="AJ414" i="7"/>
  <c r="AJ382" i="7"/>
  <c r="AJ350" i="7"/>
  <c r="AJ326" i="7"/>
  <c r="AJ313" i="7"/>
  <c r="AJ302" i="7"/>
  <c r="AJ291" i="7"/>
  <c r="AJ282" i="7"/>
  <c r="AJ274" i="7"/>
  <c r="AJ266" i="7"/>
  <c r="AJ258" i="7"/>
  <c r="AJ250" i="7"/>
  <c r="AJ242" i="7"/>
  <c r="AJ234" i="7"/>
  <c r="AJ226" i="7"/>
  <c r="AJ218" i="7"/>
  <c r="AJ210" i="7"/>
  <c r="AJ202" i="7"/>
  <c r="AJ194" i="7"/>
  <c r="AJ186" i="7"/>
  <c r="AJ178" i="7"/>
  <c r="AJ170" i="7"/>
  <c r="AJ162" i="7"/>
  <c r="AJ154" i="7"/>
  <c r="AJ146" i="7"/>
  <c r="AJ138" i="7"/>
  <c r="AJ130" i="7"/>
  <c r="AJ122" i="7"/>
  <c r="AJ114" i="7"/>
  <c r="AJ106" i="7"/>
  <c r="AJ98" i="7"/>
  <c r="AJ90" i="7"/>
  <c r="AJ82" i="7"/>
  <c r="AJ74" i="7"/>
  <c r="AJ66" i="7"/>
  <c r="AJ58" i="7"/>
  <c r="AJ50" i="7"/>
  <c r="AJ42" i="7"/>
  <c r="AJ34" i="7"/>
  <c r="AJ26" i="7"/>
  <c r="AJ18" i="7"/>
  <c r="AJ48" i="7"/>
  <c r="AJ8" i="7"/>
  <c r="AK189" i="7"/>
  <c r="AJ317" i="7"/>
  <c r="AJ245" i="7"/>
  <c r="AJ181" i="7"/>
  <c r="AJ133" i="7"/>
  <c r="AJ93" i="7"/>
  <c r="AJ29" i="7"/>
  <c r="AK29" i="7"/>
  <c r="AK93" i="7"/>
  <c r="AK157" i="7"/>
  <c r="AK221" i="7"/>
  <c r="AK285" i="7"/>
  <c r="AK349" i="7"/>
  <c r="AK397" i="7"/>
  <c r="AK429" i="7"/>
  <c r="AK461" i="7"/>
  <c r="AJ477" i="7"/>
  <c r="AJ445" i="7"/>
  <c r="AJ413" i="7"/>
  <c r="AJ381" i="7"/>
  <c r="AJ349" i="7"/>
  <c r="AJ325" i="7"/>
  <c r="AJ311" i="7"/>
  <c r="AJ301" i="7"/>
  <c r="AJ290" i="7"/>
  <c r="AJ281" i="7"/>
  <c r="AJ273" i="7"/>
  <c r="AJ265" i="7"/>
  <c r="AJ257" i="7"/>
  <c r="AJ249" i="7"/>
  <c r="AJ241" i="7"/>
  <c r="AJ233" i="7"/>
  <c r="AJ225" i="7"/>
  <c r="AJ217" i="7"/>
  <c r="AJ209" i="7"/>
  <c r="AJ201" i="7"/>
  <c r="AJ193" i="7"/>
  <c r="AJ185" i="7"/>
  <c r="AJ177" i="7"/>
  <c r="AJ169" i="7"/>
  <c r="AJ161" i="7"/>
  <c r="AJ153" i="7"/>
  <c r="AJ145" i="7"/>
  <c r="AJ137" i="7"/>
  <c r="AJ129" i="7"/>
  <c r="AJ121" i="7"/>
  <c r="AJ113" i="7"/>
  <c r="AJ105" i="7"/>
  <c r="AJ97" i="7"/>
  <c r="AJ89" i="7"/>
  <c r="AJ81" i="7"/>
  <c r="AJ73" i="7"/>
  <c r="AJ65" i="7"/>
  <c r="AJ57" i="7"/>
  <c r="AJ49" i="7"/>
  <c r="AJ41" i="7"/>
  <c r="AJ33" i="7"/>
  <c r="AJ25" i="7"/>
  <c r="AJ17" i="7"/>
  <c r="AJ9" i="7"/>
  <c r="AJ24" i="7"/>
  <c r="AJ7" i="7"/>
  <c r="AK317" i="7"/>
  <c r="AJ429" i="7"/>
  <c r="AJ285" i="7"/>
  <c r="AJ237" i="7"/>
  <c r="AJ189" i="7"/>
  <c r="AJ125" i="7"/>
  <c r="AJ77" i="7"/>
  <c r="AJ21" i="7"/>
  <c r="AK37" i="7"/>
  <c r="AK101" i="7"/>
  <c r="AK165" i="7"/>
  <c r="AK229" i="7"/>
  <c r="AK293" i="7"/>
  <c r="AK357" i="7"/>
  <c r="AK404" i="7"/>
  <c r="AK436" i="7"/>
  <c r="AK468" i="7"/>
  <c r="AJ470" i="7"/>
  <c r="AJ438" i="7"/>
  <c r="AJ406" i="7"/>
  <c r="AJ374" i="7"/>
  <c r="AJ342" i="7"/>
  <c r="AJ321" i="7"/>
  <c r="AJ310" i="7"/>
  <c r="AJ299" i="7"/>
  <c r="AJ289" i="7"/>
  <c r="AJ280" i="7"/>
  <c r="AJ272" i="7"/>
  <c r="AJ264" i="7"/>
  <c r="AJ256" i="7"/>
  <c r="AJ248" i="7"/>
  <c r="AJ240" i="7"/>
  <c r="AJ232" i="7"/>
  <c r="AJ224" i="7"/>
  <c r="AJ216" i="7"/>
  <c r="AJ208" i="7"/>
  <c r="AJ200" i="7"/>
  <c r="AJ192" i="7"/>
  <c r="AJ184" i="7"/>
  <c r="AJ176" i="7"/>
  <c r="AJ168" i="7"/>
  <c r="AJ160" i="7"/>
  <c r="AJ152" i="7"/>
  <c r="AJ144" i="7"/>
  <c r="AJ136" i="7"/>
  <c r="AJ128" i="7"/>
  <c r="AJ120" i="7"/>
  <c r="AJ112" i="7"/>
  <c r="AJ104" i="7"/>
  <c r="AJ96" i="7"/>
  <c r="AJ88" i="7"/>
  <c r="AJ80" i="7"/>
  <c r="AJ72" i="7"/>
  <c r="AJ64" i="7"/>
  <c r="AJ56" i="7"/>
  <c r="AJ40" i="7"/>
  <c r="AJ16" i="7"/>
  <c r="AK253" i="7"/>
  <c r="AJ461" i="7"/>
  <c r="AJ295" i="7"/>
  <c r="AJ221" i="7"/>
  <c r="AJ157" i="7"/>
  <c r="AJ69" i="7"/>
  <c r="AJ13" i="7"/>
  <c r="AK45" i="7"/>
  <c r="AK109" i="7"/>
  <c r="AK173" i="7"/>
  <c r="AK237" i="7"/>
  <c r="AK301" i="7"/>
  <c r="AK365" i="7"/>
  <c r="AK405" i="7"/>
  <c r="AK437" i="7"/>
  <c r="AK469" i="7"/>
  <c r="AJ469" i="7"/>
  <c r="AJ437" i="7"/>
  <c r="AJ405" i="7"/>
  <c r="AJ373" i="7"/>
  <c r="AJ341" i="7"/>
  <c r="AJ319" i="7"/>
  <c r="AJ309" i="7"/>
  <c r="AJ298" i="7"/>
  <c r="AJ287" i="7"/>
  <c r="AJ279" i="7"/>
  <c r="AJ271" i="7"/>
  <c r="AJ263" i="7"/>
  <c r="AJ255" i="7"/>
  <c r="AJ247" i="7"/>
  <c r="AJ239" i="7"/>
  <c r="AJ231" i="7"/>
  <c r="AJ223" i="7"/>
  <c r="AJ215" i="7"/>
  <c r="AJ207" i="7"/>
  <c r="AJ199" i="7"/>
  <c r="AJ191" i="7"/>
  <c r="AJ183" i="7"/>
  <c r="AJ175" i="7"/>
  <c r="AJ167" i="7"/>
  <c r="AJ159" i="7"/>
  <c r="AJ151" i="7"/>
  <c r="AJ143" i="7"/>
  <c r="AJ135" i="7"/>
  <c r="AJ127" i="7"/>
  <c r="AJ119" i="7"/>
  <c r="AJ111" i="7"/>
  <c r="AJ103" i="7"/>
  <c r="AJ95" i="7"/>
  <c r="AJ87" i="7"/>
  <c r="AJ79" i="7"/>
  <c r="AJ71" i="7"/>
  <c r="AJ63" i="7"/>
  <c r="AJ55" i="7"/>
  <c r="AJ47" i="7"/>
  <c r="AJ39" i="7"/>
  <c r="AJ31" i="7"/>
  <c r="AJ23" i="7"/>
  <c r="AJ15" i="7"/>
  <c r="AK381" i="7"/>
  <c r="AK477" i="7"/>
  <c r="AJ306" i="7"/>
  <c r="AJ253" i="7"/>
  <c r="AJ213" i="7"/>
  <c r="AJ165" i="7"/>
  <c r="AJ117" i="7"/>
  <c r="AJ61" i="7"/>
  <c r="AJ5" i="7"/>
  <c r="AK53" i="7"/>
  <c r="AK117" i="7"/>
  <c r="AK181" i="7"/>
  <c r="AK245" i="7"/>
  <c r="AK309" i="7"/>
  <c r="AK373" i="7"/>
  <c r="AK412" i="7"/>
  <c r="AK444" i="7"/>
  <c r="AK476" i="7"/>
  <c r="AJ462" i="7"/>
  <c r="AJ430" i="7"/>
  <c r="AJ398" i="7"/>
  <c r="AJ366" i="7"/>
  <c r="AJ337" i="7"/>
  <c r="AJ318" i="7"/>
  <c r="AJ307" i="7"/>
  <c r="AJ297" i="7"/>
  <c r="AJ286" i="7"/>
  <c r="AJ278" i="7"/>
  <c r="AJ270" i="7"/>
  <c r="AJ262" i="7"/>
  <c r="AJ254" i="7"/>
  <c r="AJ246" i="7"/>
  <c r="AJ238" i="7"/>
  <c r="AJ230" i="7"/>
  <c r="AJ222" i="7"/>
  <c r="AJ214" i="7"/>
  <c r="AJ206" i="7"/>
  <c r="AJ198" i="7"/>
  <c r="AJ190" i="7"/>
  <c r="AJ182" i="7"/>
  <c r="AJ174" i="7"/>
  <c r="AJ166" i="7"/>
  <c r="AJ158" i="7"/>
  <c r="AJ150" i="7"/>
  <c r="AJ142" i="7"/>
  <c r="AJ134" i="7"/>
  <c r="AJ126" i="7"/>
  <c r="AJ118" i="7"/>
  <c r="AJ110" i="7"/>
  <c r="AJ102" i="7"/>
  <c r="AJ94" i="7"/>
  <c r="AJ86" i="7"/>
  <c r="AJ78" i="7"/>
  <c r="AJ70" i="7"/>
  <c r="AJ62" i="7"/>
  <c r="AJ54" i="7"/>
  <c r="AJ46" i="7"/>
  <c r="AJ38" i="7"/>
  <c r="AJ30" i="7"/>
  <c r="AJ22" i="7"/>
  <c r="AJ14" i="7"/>
  <c r="AJ6" i="7"/>
  <c r="AK125" i="7"/>
  <c r="AJ397" i="7"/>
  <c r="AJ269" i="7"/>
  <c r="AJ197" i="7"/>
  <c r="AJ141" i="7"/>
  <c r="AJ85" i="7"/>
  <c r="AJ37" i="7"/>
  <c r="AK69" i="7"/>
  <c r="AK133" i="7"/>
  <c r="AK197" i="7"/>
  <c r="AK261" i="7"/>
  <c r="AK325" i="7"/>
  <c r="AK388" i="7"/>
  <c r="AK420" i="7"/>
  <c r="AK452" i="7"/>
  <c r="AK484" i="7"/>
  <c r="AJ454" i="7"/>
  <c r="AJ422" i="7"/>
  <c r="AJ390" i="7"/>
  <c r="AJ358" i="7"/>
  <c r="AJ333" i="7"/>
  <c r="AJ315" i="7"/>
  <c r="AJ305" i="7"/>
  <c r="AJ294" i="7"/>
  <c r="AJ284" i="7"/>
  <c r="AJ276" i="7"/>
  <c r="AJ268" i="7"/>
  <c r="AJ260" i="7"/>
  <c r="AJ252" i="7"/>
  <c r="AJ244" i="7"/>
  <c r="AJ236" i="7"/>
  <c r="AJ228" i="7"/>
  <c r="AJ220" i="7"/>
  <c r="AJ212" i="7"/>
  <c r="AJ204" i="7"/>
  <c r="AJ196" i="7"/>
  <c r="AJ188" i="7"/>
  <c r="AJ180" i="7"/>
  <c r="AJ172" i="7"/>
  <c r="AJ164" i="7"/>
  <c r="AJ156" i="7"/>
  <c r="AJ148" i="7"/>
  <c r="AJ140" i="7"/>
  <c r="AJ132" i="7"/>
  <c r="AJ124" i="7"/>
  <c r="AJ116" i="7"/>
  <c r="AJ108" i="7"/>
  <c r="AJ100" i="7"/>
  <c r="AJ92" i="7"/>
  <c r="AJ84" i="7"/>
  <c r="AJ76" i="7"/>
  <c r="AJ68" i="7"/>
  <c r="AJ60" i="7"/>
  <c r="AJ52" i="7"/>
  <c r="AJ44" i="7"/>
  <c r="AJ36" i="7"/>
  <c r="AJ28" i="7"/>
  <c r="AJ20" i="7"/>
  <c r="AJ12" i="7"/>
  <c r="AK413" i="7"/>
  <c r="AK445" i="7"/>
  <c r="AJ365" i="7"/>
  <c r="AJ277" i="7"/>
  <c r="AJ229" i="7"/>
  <c r="AJ173" i="7"/>
  <c r="AJ109" i="7"/>
  <c r="AJ53" i="7"/>
  <c r="BT13" i="7"/>
  <c r="BT21" i="7"/>
  <c r="BT29" i="7"/>
  <c r="BT37" i="7"/>
  <c r="BT45" i="7"/>
  <c r="BT53" i="7"/>
  <c r="BT61" i="7"/>
  <c r="BT70" i="7"/>
  <c r="BT78" i="7"/>
  <c r="BT86" i="7"/>
  <c r="BT94" i="7"/>
  <c r="BT102" i="7"/>
  <c r="BT110" i="7"/>
  <c r="BT118" i="7"/>
  <c r="BT126" i="7"/>
  <c r="BT134" i="7"/>
  <c r="BT142" i="7"/>
  <c r="BT150" i="7"/>
  <c r="BT158" i="7"/>
  <c r="BT166" i="7"/>
  <c r="BT174" i="7"/>
  <c r="BT182" i="7"/>
  <c r="BT190" i="7"/>
  <c r="BT198" i="7"/>
  <c r="BT206" i="7"/>
  <c r="BT214" i="7"/>
  <c r="BT222" i="7"/>
  <c r="BT230" i="7"/>
  <c r="BT238" i="7"/>
  <c r="BT246" i="7"/>
  <c r="BT254" i="7"/>
  <c r="BT262" i="7"/>
  <c r="BT270" i="7"/>
  <c r="BT278" i="7"/>
  <c r="BT286" i="7"/>
  <c r="BT294" i="7"/>
  <c r="BT302" i="7"/>
  <c r="BT310" i="7"/>
  <c r="BT318" i="7"/>
  <c r="BT326" i="7"/>
  <c r="BT334" i="7"/>
  <c r="BT342" i="7"/>
  <c r="BT350" i="7"/>
  <c r="BT358" i="7"/>
  <c r="BT366" i="7"/>
  <c r="BT374" i="7"/>
  <c r="BT382" i="7"/>
  <c r="BT390" i="7"/>
  <c r="BT398" i="7"/>
  <c r="BT406" i="7"/>
  <c r="BT414" i="7"/>
  <c r="BT422" i="7"/>
  <c r="BT430" i="7"/>
  <c r="BT438" i="7"/>
  <c r="BT446" i="7"/>
  <c r="BT454" i="7"/>
  <c r="BT462" i="7"/>
  <c r="BT470" i="7"/>
  <c r="BT478" i="7"/>
  <c r="BS6" i="7"/>
  <c r="BS14" i="7"/>
  <c r="BS22" i="7"/>
  <c r="BS30" i="7"/>
  <c r="BS38" i="7"/>
  <c r="BS46" i="7"/>
  <c r="BS55" i="7"/>
  <c r="BS63" i="7"/>
  <c r="BS71" i="7"/>
  <c r="BS79" i="7"/>
  <c r="BS87" i="7"/>
  <c r="BS95" i="7"/>
  <c r="BS103" i="7"/>
  <c r="BS111" i="7"/>
  <c r="BS119" i="7"/>
  <c r="BS127" i="7"/>
  <c r="BS135" i="7"/>
  <c r="BS143" i="7"/>
  <c r="BS151" i="7"/>
  <c r="BS159" i="7"/>
  <c r="BS167" i="7"/>
  <c r="BS175" i="7"/>
  <c r="BS183" i="7"/>
  <c r="BS191" i="7"/>
  <c r="BS199" i="7"/>
  <c r="BS207" i="7"/>
  <c r="BT6" i="7"/>
  <c r="BT14" i="7"/>
  <c r="BT22" i="7"/>
  <c r="BT30" i="7"/>
  <c r="BT38" i="7"/>
  <c r="BT46" i="7"/>
  <c r="BT54" i="7"/>
  <c r="BT62" i="7"/>
  <c r="BT71" i="7"/>
  <c r="BT79" i="7"/>
  <c r="BT87" i="7"/>
  <c r="BT95" i="7"/>
  <c r="BT103" i="7"/>
  <c r="BT111" i="7"/>
  <c r="BT119" i="7"/>
  <c r="BT127" i="7"/>
  <c r="BT135" i="7"/>
  <c r="BT143" i="7"/>
  <c r="BT151" i="7"/>
  <c r="BT159" i="7"/>
  <c r="BT167" i="7"/>
  <c r="BT175" i="7"/>
  <c r="BT183" i="7"/>
  <c r="BT191" i="7"/>
  <c r="BT199" i="7"/>
  <c r="BT207" i="7"/>
  <c r="BT215" i="7"/>
  <c r="BT223" i="7"/>
  <c r="BT231" i="7"/>
  <c r="BT239" i="7"/>
  <c r="BT247" i="7"/>
  <c r="BT255" i="7"/>
  <c r="BT263" i="7"/>
  <c r="BT271" i="7"/>
  <c r="BT279" i="7"/>
  <c r="BT287" i="7"/>
  <c r="BT295" i="7"/>
  <c r="BT303" i="7"/>
  <c r="BT311" i="7"/>
  <c r="BT319" i="7"/>
  <c r="BT327" i="7"/>
  <c r="BT335" i="7"/>
  <c r="BT343" i="7"/>
  <c r="BT351" i="7"/>
  <c r="BT359" i="7"/>
  <c r="BT367" i="7"/>
  <c r="BT375" i="7"/>
  <c r="BT383" i="7"/>
  <c r="BT391" i="7"/>
  <c r="BT399" i="7"/>
  <c r="BT407" i="7"/>
  <c r="BT415" i="7"/>
  <c r="BT423" i="7"/>
  <c r="BT431" i="7"/>
  <c r="BT439" i="7"/>
  <c r="BT447" i="7"/>
  <c r="BT455" i="7"/>
  <c r="BT463" i="7"/>
  <c r="BT471" i="7"/>
  <c r="BT479" i="7"/>
  <c r="BS7" i="7"/>
  <c r="BS15" i="7"/>
  <c r="BS23" i="7"/>
  <c r="BS31" i="7"/>
  <c r="BS39" i="7"/>
  <c r="BS47" i="7"/>
  <c r="BS56" i="7"/>
  <c r="BS64" i="7"/>
  <c r="BS72" i="7"/>
  <c r="BS80" i="7"/>
  <c r="BS88" i="7"/>
  <c r="BS96" i="7"/>
  <c r="BS104" i="7"/>
  <c r="BS112" i="7"/>
  <c r="BS120" i="7"/>
  <c r="BS128" i="7"/>
  <c r="BS136" i="7"/>
  <c r="BS144" i="7"/>
  <c r="BS152" i="7"/>
  <c r="BS160" i="7"/>
  <c r="BS168" i="7"/>
  <c r="BS176" i="7"/>
  <c r="BS184" i="7"/>
  <c r="BT7" i="7"/>
  <c r="BT15" i="7"/>
  <c r="BT23" i="7"/>
  <c r="BT31" i="7"/>
  <c r="BT39" i="7"/>
  <c r="BT47" i="7"/>
  <c r="BT55" i="7"/>
  <c r="BT63" i="7"/>
  <c r="BT72" i="7"/>
  <c r="BT80" i="7"/>
  <c r="BT88" i="7"/>
  <c r="BT96" i="7"/>
  <c r="BT104" i="7"/>
  <c r="BT112" i="7"/>
  <c r="BT120" i="7"/>
  <c r="BT128" i="7"/>
  <c r="BT136" i="7"/>
  <c r="BT144" i="7"/>
  <c r="BT152" i="7"/>
  <c r="BT160" i="7"/>
  <c r="BT168" i="7"/>
  <c r="BT176" i="7"/>
  <c r="BT184" i="7"/>
  <c r="BT192" i="7"/>
  <c r="BT200" i="7"/>
  <c r="BT208" i="7"/>
  <c r="BT216" i="7"/>
  <c r="BT224" i="7"/>
  <c r="BT232" i="7"/>
  <c r="BT240" i="7"/>
  <c r="BT248" i="7"/>
  <c r="BT256" i="7"/>
  <c r="BT264" i="7"/>
  <c r="BT272" i="7"/>
  <c r="BT280" i="7"/>
  <c r="BT288" i="7"/>
  <c r="BT296" i="7"/>
  <c r="BT312" i="7"/>
  <c r="BT320" i="7"/>
  <c r="BT328" i="7"/>
  <c r="BT336" i="7"/>
  <c r="BT344" i="7"/>
  <c r="BT352" i="7"/>
  <c r="BT360" i="7"/>
  <c r="BT368" i="7"/>
  <c r="BT376" i="7"/>
  <c r="BT384" i="7"/>
  <c r="BT392" i="7"/>
  <c r="BT400" i="7"/>
  <c r="BT408" i="7"/>
  <c r="BT416" i="7"/>
  <c r="BT424" i="7"/>
  <c r="BT432" i="7"/>
  <c r="BT440" i="7"/>
  <c r="BT448" i="7"/>
  <c r="BT456" i="7"/>
  <c r="BT464" i="7"/>
  <c r="BT472" i="7"/>
  <c r="BT480" i="7"/>
  <c r="BS8" i="7"/>
  <c r="BS16" i="7"/>
  <c r="BS24" i="7"/>
  <c r="BS32" i="7"/>
  <c r="BS40" i="7"/>
  <c r="BS48" i="7"/>
  <c r="BS57" i="7"/>
  <c r="BS65" i="7"/>
  <c r="BS73" i="7"/>
  <c r="BS81" i="7"/>
  <c r="BS89" i="7"/>
  <c r="BS97" i="7"/>
  <c r="BS105" i="7"/>
  <c r="BS113" i="7"/>
  <c r="BS121" i="7"/>
  <c r="BS129" i="7"/>
  <c r="BS137" i="7"/>
  <c r="BS145" i="7"/>
  <c r="BS153" i="7"/>
  <c r="BS161" i="7"/>
  <c r="BS169" i="7"/>
  <c r="BS177" i="7"/>
  <c r="BS185" i="7"/>
  <c r="BS193" i="7"/>
  <c r="BS201" i="7"/>
  <c r="BT8" i="7"/>
  <c r="BT16" i="7"/>
  <c r="BT24" i="7"/>
  <c r="BT32" i="7"/>
  <c r="BT40" i="7"/>
  <c r="BT48" i="7"/>
  <c r="BT56" i="7"/>
  <c r="BT65" i="7"/>
  <c r="BT73" i="7"/>
  <c r="BT81" i="7"/>
  <c r="BT89" i="7"/>
  <c r="BT97" i="7"/>
  <c r="BT105" i="7"/>
  <c r="BT113" i="7"/>
  <c r="BT121" i="7"/>
  <c r="BT129" i="7"/>
  <c r="BT137" i="7"/>
  <c r="BT145" i="7"/>
  <c r="BT153" i="7"/>
  <c r="BT161" i="7"/>
  <c r="BT169" i="7"/>
  <c r="BT177" i="7"/>
  <c r="BT185" i="7"/>
  <c r="BT193" i="7"/>
  <c r="BT201" i="7"/>
  <c r="BT209" i="7"/>
  <c r="BT217" i="7"/>
  <c r="BT225" i="7"/>
  <c r="BT233" i="7"/>
  <c r="BT241" i="7"/>
  <c r="BT249" i="7"/>
  <c r="BT257" i="7"/>
  <c r="BT265" i="7"/>
  <c r="BT273" i="7"/>
  <c r="BT281" i="7"/>
  <c r="BT289" i="7"/>
  <c r="BT297" i="7"/>
  <c r="BT305" i="7"/>
  <c r="BT313" i="7"/>
  <c r="BT321" i="7"/>
  <c r="BT329" i="7"/>
  <c r="BT337" i="7"/>
  <c r="BT345" i="7"/>
  <c r="BT353" i="7"/>
  <c r="BT361" i="7"/>
  <c r="BT369" i="7"/>
  <c r="BT377" i="7"/>
  <c r="BT385" i="7"/>
  <c r="BT393" i="7"/>
  <c r="BT401" i="7"/>
  <c r="BT409" i="7"/>
  <c r="BT417" i="7"/>
  <c r="BT425" i="7"/>
  <c r="BT433" i="7"/>
  <c r="BT441" i="7"/>
  <c r="BT449" i="7"/>
  <c r="BT457" i="7"/>
  <c r="BT465" i="7"/>
  <c r="BT473" i="7"/>
  <c r="BT481" i="7"/>
  <c r="BS9" i="7"/>
  <c r="BS17" i="7"/>
  <c r="BS25" i="7"/>
  <c r="BS33" i="7"/>
  <c r="BS41" i="7"/>
  <c r="BS49" i="7"/>
  <c r="BS58" i="7"/>
  <c r="BS66" i="7"/>
  <c r="BS74" i="7"/>
  <c r="BS82" i="7"/>
  <c r="BS90" i="7"/>
  <c r="BS98" i="7"/>
  <c r="BS106" i="7"/>
  <c r="BS114" i="7"/>
  <c r="BS122" i="7"/>
  <c r="BS130" i="7"/>
  <c r="BS138" i="7"/>
  <c r="BS146" i="7"/>
  <c r="BS154" i="7"/>
  <c r="BT9" i="7"/>
  <c r="BT17" i="7"/>
  <c r="BT25" i="7"/>
  <c r="BT33" i="7"/>
  <c r="BT41" i="7"/>
  <c r="BT49" i="7"/>
  <c r="BT57" i="7"/>
  <c r="BT66" i="7"/>
  <c r="BT74" i="7"/>
  <c r="BT82" i="7"/>
  <c r="BT90" i="7"/>
  <c r="BT98" i="7"/>
  <c r="BT106" i="7"/>
  <c r="BT114" i="7"/>
  <c r="BT122" i="7"/>
  <c r="BT130" i="7"/>
  <c r="BT138" i="7"/>
  <c r="BT146" i="7"/>
  <c r="BT154" i="7"/>
  <c r="BT162" i="7"/>
  <c r="BT170" i="7"/>
  <c r="BT178" i="7"/>
  <c r="BT186" i="7"/>
  <c r="BT194" i="7"/>
  <c r="BT202" i="7"/>
  <c r="BT210" i="7"/>
  <c r="BT218" i="7"/>
  <c r="BT226" i="7"/>
  <c r="BT234" i="7"/>
  <c r="BT242" i="7"/>
  <c r="BT250" i="7"/>
  <c r="BT258" i="7"/>
  <c r="BT266" i="7"/>
  <c r="BT274" i="7"/>
  <c r="BT282" i="7"/>
  <c r="BT290" i="7"/>
  <c r="BT298" i="7"/>
  <c r="BT306" i="7"/>
  <c r="BT314" i="7"/>
  <c r="BT322" i="7"/>
  <c r="BT330" i="7"/>
  <c r="BT338" i="7"/>
  <c r="BT346" i="7"/>
  <c r="BT354" i="7"/>
  <c r="BT362" i="7"/>
  <c r="BT370" i="7"/>
  <c r="BT378" i="7"/>
  <c r="BT386" i="7"/>
  <c r="BT394" i="7"/>
  <c r="BT402" i="7"/>
  <c r="BT410" i="7"/>
  <c r="BT418" i="7"/>
  <c r="BT426" i="7"/>
  <c r="BT434" i="7"/>
  <c r="BT442" i="7"/>
  <c r="BT450" i="7"/>
  <c r="BT458" i="7"/>
  <c r="BT466" i="7"/>
  <c r="BT474" i="7"/>
  <c r="BT482" i="7"/>
  <c r="BS10" i="7"/>
  <c r="BS18" i="7"/>
  <c r="BS26" i="7"/>
  <c r="BS34" i="7"/>
  <c r="BS42" i="7"/>
  <c r="BS50" i="7"/>
  <c r="BS59" i="7"/>
  <c r="BS67" i="7"/>
  <c r="BS75" i="7"/>
  <c r="BS83" i="7"/>
  <c r="BS91" i="7"/>
  <c r="BS99" i="7"/>
  <c r="BS107" i="7"/>
  <c r="BS115" i="7"/>
  <c r="BS123" i="7"/>
  <c r="BS131" i="7"/>
  <c r="BS139" i="7"/>
  <c r="BS147" i="7"/>
  <c r="BS155" i="7"/>
  <c r="BS163" i="7"/>
  <c r="BS171" i="7"/>
  <c r="BS179" i="7"/>
  <c r="BS187" i="7"/>
  <c r="BT10" i="7"/>
  <c r="BT18" i="7"/>
  <c r="BT26" i="7"/>
  <c r="BT34" i="7"/>
  <c r="BT42" i="7"/>
  <c r="BT50" i="7"/>
  <c r="BT58" i="7"/>
  <c r="BT67" i="7"/>
  <c r="BT75" i="7"/>
  <c r="BT83" i="7"/>
  <c r="BT91" i="7"/>
  <c r="BT99" i="7"/>
  <c r="BT107" i="7"/>
  <c r="BT115" i="7"/>
  <c r="BT123" i="7"/>
  <c r="BT131" i="7"/>
  <c r="BT139" i="7"/>
  <c r="BT147" i="7"/>
  <c r="BT155" i="7"/>
  <c r="BT163" i="7"/>
  <c r="BT171" i="7"/>
  <c r="BT179" i="7"/>
  <c r="BT187" i="7"/>
  <c r="BT195" i="7"/>
  <c r="BT203" i="7"/>
  <c r="BT211" i="7"/>
  <c r="BT219" i="7"/>
  <c r="BT227" i="7"/>
  <c r="BT235" i="7"/>
  <c r="BT243" i="7"/>
  <c r="BT251" i="7"/>
  <c r="BT259" i="7"/>
  <c r="BT267" i="7"/>
  <c r="BT275" i="7"/>
  <c r="BT283" i="7"/>
  <c r="BT291" i="7"/>
  <c r="BT299" i="7"/>
  <c r="BT307" i="7"/>
  <c r="BT315" i="7"/>
  <c r="BT323" i="7"/>
  <c r="BT331" i="7"/>
  <c r="BT339" i="7"/>
  <c r="BT347" i="7"/>
  <c r="BT355" i="7"/>
  <c r="BT363" i="7"/>
  <c r="BT371" i="7"/>
  <c r="BT379" i="7"/>
  <c r="BT387" i="7"/>
  <c r="BT395" i="7"/>
  <c r="BT403" i="7"/>
  <c r="BT411" i="7"/>
  <c r="BT419" i="7"/>
  <c r="BT427" i="7"/>
  <c r="BT435" i="7"/>
  <c r="BT443" i="7"/>
  <c r="BT451" i="7"/>
  <c r="BT459" i="7"/>
  <c r="BT467" i="7"/>
  <c r="BT475" i="7"/>
  <c r="BT483" i="7"/>
  <c r="BS11" i="7"/>
  <c r="BS19" i="7"/>
  <c r="BS27" i="7"/>
  <c r="BS35" i="7"/>
  <c r="BS43" i="7"/>
  <c r="BS51" i="7"/>
  <c r="BS60" i="7"/>
  <c r="BS68" i="7"/>
  <c r="BS76" i="7"/>
  <c r="BS84" i="7"/>
  <c r="BS92" i="7"/>
  <c r="BS100" i="7"/>
  <c r="BS108" i="7"/>
  <c r="BS116" i="7"/>
  <c r="BS124" i="7"/>
  <c r="BS132" i="7"/>
  <c r="BS140" i="7"/>
  <c r="BS148" i="7"/>
  <c r="BS156" i="7"/>
  <c r="BS164" i="7"/>
  <c r="BS172" i="7"/>
  <c r="BT11" i="7"/>
  <c r="BT19" i="7"/>
  <c r="BT27" i="7"/>
  <c r="BT35" i="7"/>
  <c r="BT43" i="7"/>
  <c r="BT51" i="7"/>
  <c r="BT59" i="7"/>
  <c r="BT68" i="7"/>
  <c r="BT76" i="7"/>
  <c r="BT84" i="7"/>
  <c r="BT92" i="7"/>
  <c r="BT100" i="7"/>
  <c r="BT108" i="7"/>
  <c r="BT116" i="7"/>
  <c r="BT124" i="7"/>
  <c r="BT132" i="7"/>
  <c r="BT140" i="7"/>
  <c r="BT148" i="7"/>
  <c r="BT156" i="7"/>
  <c r="BT164" i="7"/>
  <c r="BT172" i="7"/>
  <c r="BT180" i="7"/>
  <c r="BT188" i="7"/>
  <c r="BT196" i="7"/>
  <c r="BT204" i="7"/>
  <c r="BT212" i="7"/>
  <c r="BT220" i="7"/>
  <c r="BT228" i="7"/>
  <c r="BT236" i="7"/>
  <c r="BT244" i="7"/>
  <c r="BT252" i="7"/>
  <c r="BT260" i="7"/>
  <c r="BT268" i="7"/>
  <c r="BT276" i="7"/>
  <c r="BT284" i="7"/>
  <c r="BT292" i="7"/>
  <c r="BT300" i="7"/>
  <c r="BT308" i="7"/>
  <c r="BT316" i="7"/>
  <c r="BT324" i="7"/>
  <c r="BT332" i="7"/>
  <c r="BT340" i="7"/>
  <c r="BT348" i="7"/>
  <c r="BT356" i="7"/>
  <c r="BT364" i="7"/>
  <c r="BT372" i="7"/>
  <c r="BT380" i="7"/>
  <c r="BT388" i="7"/>
  <c r="BT396" i="7"/>
  <c r="BT404" i="7"/>
  <c r="BT412" i="7"/>
  <c r="BT69" i="7"/>
  <c r="BT133" i="7"/>
  <c r="BT197" i="7"/>
  <c r="BT261" i="7"/>
  <c r="BT325" i="7"/>
  <c r="BT389" i="7"/>
  <c r="BT436" i="7"/>
  <c r="BT468" i="7"/>
  <c r="BS20" i="7"/>
  <c r="BS53" i="7"/>
  <c r="BS85" i="7"/>
  <c r="BS117" i="7"/>
  <c r="BS149" i="7"/>
  <c r="BS173" i="7"/>
  <c r="BS189" i="7"/>
  <c r="BS200" i="7"/>
  <c r="BS210" i="7"/>
  <c r="BS218" i="7"/>
  <c r="BS226" i="7"/>
  <c r="BS234" i="7"/>
  <c r="BS242" i="7"/>
  <c r="BS250" i="7"/>
  <c r="BS258" i="7"/>
  <c r="BS266" i="7"/>
  <c r="BS274" i="7"/>
  <c r="BS282" i="7"/>
  <c r="BS290" i="7"/>
  <c r="BS298" i="7"/>
  <c r="BS306" i="7"/>
  <c r="BS314" i="7"/>
  <c r="BS322" i="7"/>
  <c r="BS330" i="7"/>
  <c r="BS338" i="7"/>
  <c r="BS346" i="7"/>
  <c r="BS354" i="7"/>
  <c r="BS362" i="7"/>
  <c r="BS370" i="7"/>
  <c r="BS378" i="7"/>
  <c r="BS386" i="7"/>
  <c r="BS394" i="7"/>
  <c r="BS402" i="7"/>
  <c r="BS410" i="7"/>
  <c r="BS418" i="7"/>
  <c r="BS426" i="7"/>
  <c r="BS434" i="7"/>
  <c r="BS442" i="7"/>
  <c r="BS450" i="7"/>
  <c r="BS458" i="7"/>
  <c r="BS466" i="7"/>
  <c r="BS474" i="7"/>
  <c r="BS482" i="7"/>
  <c r="BR10" i="7"/>
  <c r="BR18" i="7"/>
  <c r="BR26" i="7"/>
  <c r="BR34" i="7"/>
  <c r="BR43" i="7"/>
  <c r="BR51" i="7"/>
  <c r="BR59" i="7"/>
  <c r="BR67" i="7"/>
  <c r="BR75" i="7"/>
  <c r="BR83" i="7"/>
  <c r="BR91" i="7"/>
  <c r="BR99" i="7"/>
  <c r="BR107" i="7"/>
  <c r="BR115" i="7"/>
  <c r="BR123" i="7"/>
  <c r="BR131" i="7"/>
  <c r="BR139" i="7"/>
  <c r="BR147" i="7"/>
  <c r="BR155" i="7"/>
  <c r="BR163" i="7"/>
  <c r="BR171" i="7"/>
  <c r="BR179" i="7"/>
  <c r="BR187" i="7"/>
  <c r="BR195" i="7"/>
  <c r="BR203" i="7"/>
  <c r="BR211" i="7"/>
  <c r="BR219" i="7"/>
  <c r="BR227" i="7"/>
  <c r="BR235" i="7"/>
  <c r="BR243" i="7"/>
  <c r="BR251" i="7"/>
  <c r="BR259" i="7"/>
  <c r="BT12" i="7"/>
  <c r="BT77" i="7"/>
  <c r="BT141" i="7"/>
  <c r="BT205" i="7"/>
  <c r="BT269" i="7"/>
  <c r="BT333" i="7"/>
  <c r="BT397" i="7"/>
  <c r="BT437" i="7"/>
  <c r="BT469" i="7"/>
  <c r="BS21" i="7"/>
  <c r="BS54" i="7"/>
  <c r="BS86" i="7"/>
  <c r="BS118" i="7"/>
  <c r="BS150" i="7"/>
  <c r="BS174" i="7"/>
  <c r="BS190" i="7"/>
  <c r="BS202" i="7"/>
  <c r="BS211" i="7"/>
  <c r="BS219" i="7"/>
  <c r="BS227" i="7"/>
  <c r="BS235" i="7"/>
  <c r="BS243" i="7"/>
  <c r="BS251" i="7"/>
  <c r="BS259" i="7"/>
  <c r="BS267" i="7"/>
  <c r="BS275" i="7"/>
  <c r="BS283" i="7"/>
  <c r="BS291" i="7"/>
  <c r="BS299" i="7"/>
  <c r="BS307" i="7"/>
  <c r="BS315" i="7"/>
  <c r="BS323" i="7"/>
  <c r="BS331" i="7"/>
  <c r="BS339" i="7"/>
  <c r="BS347" i="7"/>
  <c r="BS355" i="7"/>
  <c r="BS363" i="7"/>
  <c r="BS371" i="7"/>
  <c r="BS379" i="7"/>
  <c r="BS387" i="7"/>
  <c r="BS395" i="7"/>
  <c r="BS403" i="7"/>
  <c r="BS411" i="7"/>
  <c r="BS419" i="7"/>
  <c r="BS427" i="7"/>
  <c r="BS435" i="7"/>
  <c r="BS443" i="7"/>
  <c r="BS451" i="7"/>
  <c r="BS459" i="7"/>
  <c r="BS467" i="7"/>
  <c r="BS475" i="7"/>
  <c r="BS483" i="7"/>
  <c r="BR11" i="7"/>
  <c r="BR19" i="7"/>
  <c r="BR27" i="7"/>
  <c r="BR35" i="7"/>
  <c r="BR44" i="7"/>
  <c r="BR52" i="7"/>
  <c r="BR60" i="7"/>
  <c r="BR68" i="7"/>
  <c r="BR76" i="7"/>
  <c r="BR84" i="7"/>
  <c r="BR92" i="7"/>
  <c r="BR100" i="7"/>
  <c r="BR108" i="7"/>
  <c r="BR116" i="7"/>
  <c r="BR124" i="7"/>
  <c r="BR132" i="7"/>
  <c r="BR140" i="7"/>
  <c r="BR148" i="7"/>
  <c r="BR156" i="7"/>
  <c r="BR164" i="7"/>
  <c r="BR172" i="7"/>
  <c r="BR180" i="7"/>
  <c r="BR188" i="7"/>
  <c r="BR196" i="7"/>
  <c r="BR204" i="7"/>
  <c r="BR212" i="7"/>
  <c r="BR220" i="7"/>
  <c r="BR228" i="7"/>
  <c r="BR236" i="7"/>
  <c r="BR244" i="7"/>
  <c r="BR252" i="7"/>
  <c r="BR260" i="7"/>
  <c r="BR268" i="7"/>
  <c r="BT20" i="7"/>
  <c r="BT85" i="7"/>
  <c r="BT149" i="7"/>
  <c r="BT213" i="7"/>
  <c r="BT277" i="7"/>
  <c r="BT341" i="7"/>
  <c r="BT405" i="7"/>
  <c r="BT444" i="7"/>
  <c r="BT476" i="7"/>
  <c r="BS28" i="7"/>
  <c r="BS61" i="7"/>
  <c r="BS93" i="7"/>
  <c r="BS125" i="7"/>
  <c r="BS157" i="7"/>
  <c r="BS178" i="7"/>
  <c r="BS192" i="7"/>
  <c r="BS203" i="7"/>
  <c r="BS212" i="7"/>
  <c r="BS220" i="7"/>
  <c r="BS228" i="7"/>
  <c r="BS236" i="7"/>
  <c r="BS252" i="7"/>
  <c r="BS260" i="7"/>
  <c r="BS268" i="7"/>
  <c r="BS276" i="7"/>
  <c r="BS284" i="7"/>
  <c r="BS292" i="7"/>
  <c r="BS300" i="7"/>
  <c r="BS308" i="7"/>
  <c r="BS316" i="7"/>
  <c r="BS324" i="7"/>
  <c r="BS332" i="7"/>
  <c r="BS340" i="7"/>
  <c r="BS348" i="7"/>
  <c r="BS356" i="7"/>
  <c r="BS364" i="7"/>
  <c r="BS372" i="7"/>
  <c r="BS380" i="7"/>
  <c r="BS388" i="7"/>
  <c r="BS396" i="7"/>
  <c r="BS404" i="7"/>
  <c r="BS412" i="7"/>
  <c r="BS420" i="7"/>
  <c r="BS428" i="7"/>
  <c r="BS436" i="7"/>
  <c r="BS444" i="7"/>
  <c r="BS452" i="7"/>
  <c r="BS460" i="7"/>
  <c r="BS468" i="7"/>
  <c r="BS476" i="7"/>
  <c r="BS484" i="7"/>
  <c r="BR12" i="7"/>
  <c r="BR20" i="7"/>
  <c r="BR28" i="7"/>
  <c r="BR36" i="7"/>
  <c r="BR45" i="7"/>
  <c r="BR53" i="7"/>
  <c r="BR61" i="7"/>
  <c r="BR69" i="7"/>
  <c r="BR77" i="7"/>
  <c r="BR85" i="7"/>
  <c r="BR93" i="7"/>
  <c r="BR101" i="7"/>
  <c r="BR109" i="7"/>
  <c r="BR117" i="7"/>
  <c r="BR125" i="7"/>
  <c r="BR133" i="7"/>
  <c r="BR141" i="7"/>
  <c r="BR149" i="7"/>
  <c r="BR157" i="7"/>
  <c r="BR165" i="7"/>
  <c r="BR173" i="7"/>
  <c r="BR181" i="7"/>
  <c r="BR189" i="7"/>
  <c r="BR197" i="7"/>
  <c r="BR205" i="7"/>
  <c r="BR213" i="7"/>
  <c r="BR221" i="7"/>
  <c r="BR229" i="7"/>
  <c r="BR237" i="7"/>
  <c r="BR245" i="7"/>
  <c r="BR253" i="7"/>
  <c r="BT28" i="7"/>
  <c r="BT93" i="7"/>
  <c r="BT157" i="7"/>
  <c r="BT221" i="7"/>
  <c r="BT285" i="7"/>
  <c r="BT349" i="7"/>
  <c r="BT413" i="7"/>
  <c r="BT445" i="7"/>
  <c r="BT477" i="7"/>
  <c r="BS29" i="7"/>
  <c r="BS62" i="7"/>
  <c r="BS94" i="7"/>
  <c r="BS126" i="7"/>
  <c r="BS158" i="7"/>
  <c r="BS180" i="7"/>
  <c r="BS194" i="7"/>
  <c r="BS204" i="7"/>
  <c r="BS213" i="7"/>
  <c r="BS221" i="7"/>
  <c r="BS229" i="7"/>
  <c r="BS237" i="7"/>
  <c r="BS245" i="7"/>
  <c r="BS253" i="7"/>
  <c r="BS261" i="7"/>
  <c r="BS269" i="7"/>
  <c r="BS277" i="7"/>
  <c r="BS285" i="7"/>
  <c r="BS293" i="7"/>
  <c r="BS301" i="7"/>
  <c r="BS309" i="7"/>
  <c r="BS317" i="7"/>
  <c r="BS325" i="7"/>
  <c r="BS333" i="7"/>
  <c r="BS341" i="7"/>
  <c r="BS349" i="7"/>
  <c r="BS357" i="7"/>
  <c r="BS365" i="7"/>
  <c r="BS373" i="7"/>
  <c r="BS381" i="7"/>
  <c r="BS389" i="7"/>
  <c r="BS397" i="7"/>
  <c r="BS405" i="7"/>
  <c r="BS413" i="7"/>
  <c r="BS421" i="7"/>
  <c r="BS429" i="7"/>
  <c r="BS437" i="7"/>
  <c r="BS445" i="7"/>
  <c r="BS453" i="7"/>
  <c r="BS461" i="7"/>
  <c r="BS469" i="7"/>
  <c r="BS477" i="7"/>
  <c r="BS5" i="7"/>
  <c r="BR13" i="7"/>
  <c r="BR21" i="7"/>
  <c r="BR29" i="7"/>
  <c r="BR37" i="7"/>
  <c r="BR46" i="7"/>
  <c r="BR54" i="7"/>
  <c r="BR62" i="7"/>
  <c r="BR70" i="7"/>
  <c r="BR78" i="7"/>
  <c r="BR86" i="7"/>
  <c r="BR94" i="7"/>
  <c r="BR102" i="7"/>
  <c r="BR110" i="7"/>
  <c r="BR118" i="7"/>
  <c r="BR126" i="7"/>
  <c r="BR134" i="7"/>
  <c r="BR142" i="7"/>
  <c r="BR150" i="7"/>
  <c r="BR158" i="7"/>
  <c r="BR166" i="7"/>
  <c r="BR174" i="7"/>
  <c r="BR182" i="7"/>
  <c r="BR190" i="7"/>
  <c r="BT36" i="7"/>
  <c r="BT101" i="7"/>
  <c r="BT165" i="7"/>
  <c r="BT229" i="7"/>
  <c r="BT293" i="7"/>
  <c r="BT357" i="7"/>
  <c r="BT420" i="7"/>
  <c r="BT452" i="7"/>
  <c r="BT484" i="7"/>
  <c r="BS36" i="7"/>
  <c r="BS69" i="7"/>
  <c r="BS101" i="7"/>
  <c r="BS133" i="7"/>
  <c r="BS162" i="7"/>
  <c r="BS181" i="7"/>
  <c r="BS195" i="7"/>
  <c r="BS205" i="7"/>
  <c r="BS214" i="7"/>
  <c r="BS222" i="7"/>
  <c r="BS230" i="7"/>
  <c r="BS238" i="7"/>
  <c r="BS246" i="7"/>
  <c r="BS254" i="7"/>
  <c r="BS262" i="7"/>
  <c r="BS270" i="7"/>
  <c r="BS278" i="7"/>
  <c r="BS286" i="7"/>
  <c r="BS294" i="7"/>
  <c r="BS302" i="7"/>
  <c r="BS310" i="7"/>
  <c r="BS318" i="7"/>
  <c r="BS326" i="7"/>
  <c r="BS334" i="7"/>
  <c r="BS342" i="7"/>
  <c r="BS350" i="7"/>
  <c r="BS358" i="7"/>
  <c r="BS366" i="7"/>
  <c r="BS374" i="7"/>
  <c r="BS382" i="7"/>
  <c r="BS390" i="7"/>
  <c r="BS398" i="7"/>
  <c r="BS406" i="7"/>
  <c r="BS414" i="7"/>
  <c r="BS422" i="7"/>
  <c r="BS430" i="7"/>
  <c r="BS438" i="7"/>
  <c r="BS446" i="7"/>
  <c r="BS454" i="7"/>
  <c r="BS462" i="7"/>
  <c r="BS470" i="7"/>
  <c r="BS478" i="7"/>
  <c r="BR6" i="7"/>
  <c r="BR14" i="7"/>
  <c r="BR22" i="7"/>
  <c r="BR30" i="7"/>
  <c r="BR38" i="7"/>
  <c r="BR47" i="7"/>
  <c r="BR55" i="7"/>
  <c r="BR63" i="7"/>
  <c r="BR71" i="7"/>
  <c r="BR79" i="7"/>
  <c r="BR87" i="7"/>
  <c r="BR95" i="7"/>
  <c r="BR103" i="7"/>
  <c r="BR111" i="7"/>
  <c r="BR119" i="7"/>
  <c r="BR127" i="7"/>
  <c r="BR135" i="7"/>
  <c r="BR143" i="7"/>
  <c r="BR151" i="7"/>
  <c r="BR159" i="7"/>
  <c r="BR167" i="7"/>
  <c r="BR175" i="7"/>
  <c r="BR183" i="7"/>
  <c r="BR191" i="7"/>
  <c r="BR199" i="7"/>
  <c r="BR207" i="7"/>
  <c r="BR215" i="7"/>
  <c r="BR223" i="7"/>
  <c r="BT44" i="7"/>
  <c r="BT109" i="7"/>
  <c r="BT173" i="7"/>
  <c r="BT237" i="7"/>
  <c r="BT301" i="7"/>
  <c r="BT365" i="7"/>
  <c r="BT421" i="7"/>
  <c r="BT453" i="7"/>
  <c r="BT5" i="7"/>
  <c r="BS37" i="7"/>
  <c r="BS70" i="7"/>
  <c r="BS102" i="7"/>
  <c r="BS134" i="7"/>
  <c r="BS165" i="7"/>
  <c r="BS182" i="7"/>
  <c r="BS196" i="7"/>
  <c r="BS206" i="7"/>
  <c r="BS215" i="7"/>
  <c r="BS223" i="7"/>
  <c r="BS231" i="7"/>
  <c r="BS239" i="7"/>
  <c r="BS247" i="7"/>
  <c r="BS255" i="7"/>
  <c r="BS263" i="7"/>
  <c r="BS271" i="7"/>
  <c r="BS279" i="7"/>
  <c r="BS287" i="7"/>
  <c r="BS295" i="7"/>
  <c r="BS303" i="7"/>
  <c r="BS311" i="7"/>
  <c r="BS319" i="7"/>
  <c r="BS327" i="7"/>
  <c r="BS335" i="7"/>
  <c r="BS343" i="7"/>
  <c r="BS351" i="7"/>
  <c r="BS359" i="7"/>
  <c r="BS367" i="7"/>
  <c r="BS375" i="7"/>
  <c r="BS383" i="7"/>
  <c r="BS391" i="7"/>
  <c r="BS399" i="7"/>
  <c r="BS407" i="7"/>
  <c r="BS415" i="7"/>
  <c r="BS423" i="7"/>
  <c r="BS431" i="7"/>
  <c r="BS439" i="7"/>
  <c r="BS447" i="7"/>
  <c r="BS455" i="7"/>
  <c r="BS463" i="7"/>
  <c r="BS471" i="7"/>
  <c r="BS479" i="7"/>
  <c r="BR7" i="7"/>
  <c r="BR15" i="7"/>
  <c r="BR23" i="7"/>
  <c r="BR31" i="7"/>
  <c r="BR39" i="7"/>
  <c r="BR48" i="7"/>
  <c r="BR56" i="7"/>
  <c r="BR64" i="7"/>
  <c r="BR72" i="7"/>
  <c r="BR80" i="7"/>
  <c r="BR88" i="7"/>
  <c r="BR96" i="7"/>
  <c r="BR104" i="7"/>
  <c r="BR112" i="7"/>
  <c r="BR120" i="7"/>
  <c r="BR128" i="7"/>
  <c r="BR136" i="7"/>
  <c r="BR144" i="7"/>
  <c r="BR152" i="7"/>
  <c r="BR160" i="7"/>
  <c r="BR168" i="7"/>
  <c r="BR176" i="7"/>
  <c r="BR192" i="7"/>
  <c r="BR200" i="7"/>
  <c r="BR208" i="7"/>
  <c r="BR216" i="7"/>
  <c r="BR224" i="7"/>
  <c r="BR232" i="7"/>
  <c r="BR240" i="7"/>
  <c r="BR248" i="7"/>
  <c r="BR256" i="7"/>
  <c r="BR264" i="7"/>
  <c r="BR272" i="7"/>
  <c r="BT52" i="7"/>
  <c r="BT117" i="7"/>
  <c r="BT181" i="7"/>
  <c r="BT245" i="7"/>
  <c r="BT309" i="7"/>
  <c r="BT373" i="7"/>
  <c r="BT428" i="7"/>
  <c r="BT460" i="7"/>
  <c r="BS12" i="7"/>
  <c r="BS44" i="7"/>
  <c r="BS77" i="7"/>
  <c r="BS109" i="7"/>
  <c r="BS141" i="7"/>
  <c r="BS166" i="7"/>
  <c r="BS186" i="7"/>
  <c r="BS197" i="7"/>
  <c r="BS208" i="7"/>
  <c r="BS216" i="7"/>
  <c r="BS224" i="7"/>
  <c r="BS232" i="7"/>
  <c r="BS240" i="7"/>
  <c r="BS248" i="7"/>
  <c r="BS256" i="7"/>
  <c r="BS264" i="7"/>
  <c r="BS272" i="7"/>
  <c r="BS280" i="7"/>
  <c r="BS288" i="7"/>
  <c r="BS296" i="7"/>
  <c r="BS304" i="7"/>
  <c r="BS312" i="7"/>
  <c r="BS320" i="7"/>
  <c r="BS328" i="7"/>
  <c r="BS336" i="7"/>
  <c r="BS344" i="7"/>
  <c r="BS352" i="7"/>
  <c r="BS360" i="7"/>
  <c r="BS368" i="7"/>
  <c r="BS376" i="7"/>
  <c r="BS384" i="7"/>
  <c r="BS392" i="7"/>
  <c r="BS400" i="7"/>
  <c r="BS408" i="7"/>
  <c r="BS416" i="7"/>
  <c r="BS424" i="7"/>
  <c r="BS432" i="7"/>
  <c r="BS440" i="7"/>
  <c r="BS448" i="7"/>
  <c r="BS456" i="7"/>
  <c r="BS464" i="7"/>
  <c r="BS472" i="7"/>
  <c r="BS480" i="7"/>
  <c r="BR8" i="7"/>
  <c r="BR16" i="7"/>
  <c r="BR24" i="7"/>
  <c r="BR32" i="7"/>
  <c r="BR41" i="7"/>
  <c r="BR49" i="7"/>
  <c r="BR57" i="7"/>
  <c r="BR65" i="7"/>
  <c r="BR73" i="7"/>
  <c r="BR81" i="7"/>
  <c r="BR89" i="7"/>
  <c r="BR97" i="7"/>
  <c r="BR105" i="7"/>
  <c r="BR113" i="7"/>
  <c r="BR121" i="7"/>
  <c r="BR129" i="7"/>
  <c r="BR137" i="7"/>
  <c r="BR145" i="7"/>
  <c r="BR153" i="7"/>
  <c r="BR161" i="7"/>
  <c r="BR169" i="7"/>
  <c r="BR177" i="7"/>
  <c r="BR185" i="7"/>
  <c r="BR193" i="7"/>
  <c r="BR201" i="7"/>
  <c r="BR209" i="7"/>
  <c r="BR217" i="7"/>
  <c r="BR225" i="7"/>
  <c r="BR233" i="7"/>
  <c r="BR241" i="7"/>
  <c r="BR249" i="7"/>
  <c r="BR257" i="7"/>
  <c r="BT461" i="7"/>
  <c r="BS198" i="7"/>
  <c r="BS265" i="7"/>
  <c r="BS329" i="7"/>
  <c r="BS393" i="7"/>
  <c r="BS457" i="7"/>
  <c r="BR42" i="7"/>
  <c r="BR106" i="7"/>
  <c r="BR170" i="7"/>
  <c r="BR214" i="7"/>
  <c r="BR239" i="7"/>
  <c r="BR261" i="7"/>
  <c r="BR271" i="7"/>
  <c r="BR280" i="7"/>
  <c r="BR288" i="7"/>
  <c r="BR296" i="7"/>
  <c r="BR304" i="7"/>
  <c r="BR312" i="7"/>
  <c r="BR320" i="7"/>
  <c r="BR328" i="7"/>
  <c r="BR336" i="7"/>
  <c r="BR344" i="7"/>
  <c r="BR352" i="7"/>
  <c r="BR360" i="7"/>
  <c r="BR368" i="7"/>
  <c r="BR376" i="7"/>
  <c r="BR384" i="7"/>
  <c r="BR392" i="7"/>
  <c r="BR400" i="7"/>
  <c r="BR408" i="7"/>
  <c r="BR416" i="7"/>
  <c r="BR424" i="7"/>
  <c r="BR432" i="7"/>
  <c r="BR440" i="7"/>
  <c r="BR448" i="7"/>
  <c r="BR456" i="7"/>
  <c r="BR464" i="7"/>
  <c r="BR472" i="7"/>
  <c r="BR480" i="7"/>
  <c r="BQ8" i="7"/>
  <c r="BQ16" i="7"/>
  <c r="BQ24" i="7"/>
  <c r="BQ33" i="7"/>
  <c r="BQ41" i="7"/>
  <c r="BQ49" i="7"/>
  <c r="BQ57" i="7"/>
  <c r="BQ65" i="7"/>
  <c r="BQ73" i="7"/>
  <c r="BQ81" i="7"/>
  <c r="BQ89" i="7"/>
  <c r="BQ97" i="7"/>
  <c r="BQ105" i="7"/>
  <c r="BQ113" i="7"/>
  <c r="BQ121" i="7"/>
  <c r="BQ130" i="7"/>
  <c r="BQ138" i="7"/>
  <c r="BQ146" i="7"/>
  <c r="BQ154" i="7"/>
  <c r="BQ162" i="7"/>
  <c r="BQ170" i="7"/>
  <c r="BQ178" i="7"/>
  <c r="BQ186" i="7"/>
  <c r="BQ194" i="7"/>
  <c r="BQ202" i="7"/>
  <c r="BQ210" i="7"/>
  <c r="BQ218" i="7"/>
  <c r="BQ226" i="7"/>
  <c r="BQ234" i="7"/>
  <c r="BQ242" i="7"/>
  <c r="BQ250" i="7"/>
  <c r="BQ258" i="7"/>
  <c r="BQ266" i="7"/>
  <c r="BQ274" i="7"/>
  <c r="BQ282" i="7"/>
  <c r="BQ290" i="7"/>
  <c r="BQ298" i="7"/>
  <c r="BQ306" i="7"/>
  <c r="BQ314" i="7"/>
  <c r="BQ322" i="7"/>
  <c r="BQ330" i="7"/>
  <c r="BQ338" i="7"/>
  <c r="BQ346" i="7"/>
  <c r="BQ354" i="7"/>
  <c r="BQ362" i="7"/>
  <c r="BQ370" i="7"/>
  <c r="BT60" i="7"/>
  <c r="BS13" i="7"/>
  <c r="BS209" i="7"/>
  <c r="BS273" i="7"/>
  <c r="BS337" i="7"/>
  <c r="BS401" i="7"/>
  <c r="BS465" i="7"/>
  <c r="BR50" i="7"/>
  <c r="BR114" i="7"/>
  <c r="BR178" i="7"/>
  <c r="BR218" i="7"/>
  <c r="BR242" i="7"/>
  <c r="BR262" i="7"/>
  <c r="BR273" i="7"/>
  <c r="BR281" i="7"/>
  <c r="BR289" i="7"/>
  <c r="BR297" i="7"/>
  <c r="BR305" i="7"/>
  <c r="BR313" i="7"/>
  <c r="BR321" i="7"/>
  <c r="BR329" i="7"/>
  <c r="BR337" i="7"/>
  <c r="BR345" i="7"/>
  <c r="BR353" i="7"/>
  <c r="BR361" i="7"/>
  <c r="BR369" i="7"/>
  <c r="BR377" i="7"/>
  <c r="BR385" i="7"/>
  <c r="BR393" i="7"/>
  <c r="BR401" i="7"/>
  <c r="BR409" i="7"/>
  <c r="BR417" i="7"/>
  <c r="BR425" i="7"/>
  <c r="BR433" i="7"/>
  <c r="BR441" i="7"/>
  <c r="BR449" i="7"/>
  <c r="BR457" i="7"/>
  <c r="BR465" i="7"/>
  <c r="BR473" i="7"/>
  <c r="BR481" i="7"/>
  <c r="BQ9" i="7"/>
  <c r="BQ17" i="7"/>
  <c r="BQ25" i="7"/>
  <c r="BQ34" i="7"/>
  <c r="BQ42" i="7"/>
  <c r="BQ50" i="7"/>
  <c r="BQ58" i="7"/>
  <c r="BQ66" i="7"/>
  <c r="BQ74" i="7"/>
  <c r="BQ82" i="7"/>
  <c r="BQ90" i="7"/>
  <c r="BQ98" i="7"/>
  <c r="BQ106" i="7"/>
  <c r="BQ114" i="7"/>
  <c r="BQ122" i="7"/>
  <c r="BQ131" i="7"/>
  <c r="BQ139" i="7"/>
  <c r="BQ147" i="7"/>
  <c r="BQ155" i="7"/>
  <c r="BQ163" i="7"/>
  <c r="BQ171" i="7"/>
  <c r="BQ179" i="7"/>
  <c r="BQ187" i="7"/>
  <c r="BQ195" i="7"/>
  <c r="BQ203" i="7"/>
  <c r="BQ211" i="7"/>
  <c r="BQ219" i="7"/>
  <c r="BQ227" i="7"/>
  <c r="BQ235" i="7"/>
  <c r="BQ243" i="7"/>
  <c r="BQ251" i="7"/>
  <c r="BQ259" i="7"/>
  <c r="BQ267" i="7"/>
  <c r="BQ275" i="7"/>
  <c r="BT125" i="7"/>
  <c r="BS45" i="7"/>
  <c r="BS217" i="7"/>
  <c r="BS281" i="7"/>
  <c r="BS345" i="7"/>
  <c r="BS409" i="7"/>
  <c r="BS473" i="7"/>
  <c r="BR58" i="7"/>
  <c r="BR122" i="7"/>
  <c r="BR186" i="7"/>
  <c r="BR222" i="7"/>
  <c r="BR246" i="7"/>
  <c r="BR263" i="7"/>
  <c r="BR274" i="7"/>
  <c r="BR282" i="7"/>
  <c r="BR290" i="7"/>
  <c r="BR298" i="7"/>
  <c r="BR306" i="7"/>
  <c r="BR314" i="7"/>
  <c r="BR322" i="7"/>
  <c r="BR330" i="7"/>
  <c r="BR338" i="7"/>
  <c r="BR346" i="7"/>
  <c r="BR354" i="7"/>
  <c r="BR362" i="7"/>
  <c r="BR370" i="7"/>
  <c r="BR378" i="7"/>
  <c r="BR386" i="7"/>
  <c r="BR394" i="7"/>
  <c r="BR402" i="7"/>
  <c r="BR410" i="7"/>
  <c r="BR418" i="7"/>
  <c r="BR426" i="7"/>
  <c r="BR434" i="7"/>
  <c r="BR442" i="7"/>
  <c r="BR450" i="7"/>
  <c r="BR458" i="7"/>
  <c r="BR466" i="7"/>
  <c r="BR474" i="7"/>
  <c r="BR482" i="7"/>
  <c r="BQ10" i="7"/>
  <c r="BQ18" i="7"/>
  <c r="BQ26" i="7"/>
  <c r="BQ35" i="7"/>
  <c r="BQ43" i="7"/>
  <c r="BQ51" i="7"/>
  <c r="BQ59" i="7"/>
  <c r="BQ67" i="7"/>
  <c r="BQ75" i="7"/>
  <c r="BQ83" i="7"/>
  <c r="BQ91" i="7"/>
  <c r="BQ99" i="7"/>
  <c r="BQ107" i="7"/>
  <c r="BQ115" i="7"/>
  <c r="BQ123" i="7"/>
  <c r="BQ132" i="7"/>
  <c r="BQ140" i="7"/>
  <c r="BQ148" i="7"/>
  <c r="BQ156" i="7"/>
  <c r="BQ164" i="7"/>
  <c r="BQ172" i="7"/>
  <c r="BQ180" i="7"/>
  <c r="BQ188" i="7"/>
  <c r="BQ196" i="7"/>
  <c r="BQ204" i="7"/>
  <c r="BQ212" i="7"/>
  <c r="BQ220" i="7"/>
  <c r="BQ228" i="7"/>
  <c r="BQ236" i="7"/>
  <c r="BQ244" i="7"/>
  <c r="BQ252" i="7"/>
  <c r="BQ260" i="7"/>
  <c r="BQ268" i="7"/>
  <c r="BQ276" i="7"/>
  <c r="BQ284" i="7"/>
  <c r="BT189" i="7"/>
  <c r="BS78" i="7"/>
  <c r="BS225" i="7"/>
  <c r="BS289" i="7"/>
  <c r="BS353" i="7"/>
  <c r="BS417" i="7"/>
  <c r="BS481" i="7"/>
  <c r="BR66" i="7"/>
  <c r="BR130" i="7"/>
  <c r="BR194" i="7"/>
  <c r="BR226" i="7"/>
  <c r="BR247" i="7"/>
  <c r="BR265" i="7"/>
  <c r="BR275" i="7"/>
  <c r="BR283" i="7"/>
  <c r="BR291" i="7"/>
  <c r="BR299" i="7"/>
  <c r="BR307" i="7"/>
  <c r="BR315" i="7"/>
  <c r="BR323" i="7"/>
  <c r="BR331" i="7"/>
  <c r="BR339" i="7"/>
  <c r="BR347" i="7"/>
  <c r="BR355" i="7"/>
  <c r="BR363" i="7"/>
  <c r="BR371" i="7"/>
  <c r="BR379" i="7"/>
  <c r="BR387" i="7"/>
  <c r="BR395" i="7"/>
  <c r="BR403" i="7"/>
  <c r="BR411" i="7"/>
  <c r="BR419" i="7"/>
  <c r="BR427" i="7"/>
  <c r="BR435" i="7"/>
  <c r="BR443" i="7"/>
  <c r="BR451" i="7"/>
  <c r="BR459" i="7"/>
  <c r="BR467" i="7"/>
  <c r="BR475" i="7"/>
  <c r="BR483" i="7"/>
  <c r="BQ11" i="7"/>
  <c r="BQ19" i="7"/>
  <c r="BQ27" i="7"/>
  <c r="BQ36" i="7"/>
  <c r="BQ44" i="7"/>
  <c r="BQ52" i="7"/>
  <c r="BQ60" i="7"/>
  <c r="BQ68" i="7"/>
  <c r="BQ76" i="7"/>
  <c r="BQ84" i="7"/>
  <c r="BQ92" i="7"/>
  <c r="BQ100" i="7"/>
  <c r="BQ108" i="7"/>
  <c r="BQ116" i="7"/>
  <c r="BQ125" i="7"/>
  <c r="BQ133" i="7"/>
  <c r="BQ141" i="7"/>
  <c r="BQ149" i="7"/>
  <c r="BQ157" i="7"/>
  <c r="BQ165" i="7"/>
  <c r="BQ173" i="7"/>
  <c r="BQ181" i="7"/>
  <c r="BQ189" i="7"/>
  <c r="BQ197" i="7"/>
  <c r="BQ205" i="7"/>
  <c r="BQ213" i="7"/>
  <c r="BQ221" i="7"/>
  <c r="BQ229" i="7"/>
  <c r="BQ237" i="7"/>
  <c r="BQ245" i="7"/>
  <c r="BT253" i="7"/>
  <c r="BS110" i="7"/>
  <c r="BS233" i="7"/>
  <c r="BS297" i="7"/>
  <c r="BS361" i="7"/>
  <c r="BS425" i="7"/>
  <c r="BR9" i="7"/>
  <c r="BR74" i="7"/>
  <c r="BR138" i="7"/>
  <c r="BR198" i="7"/>
  <c r="BR230" i="7"/>
  <c r="BR250" i="7"/>
  <c r="BR266" i="7"/>
  <c r="BR276" i="7"/>
  <c r="BR284" i="7"/>
  <c r="BR292" i="7"/>
  <c r="BR300" i="7"/>
  <c r="BR308" i="7"/>
  <c r="BR316" i="7"/>
  <c r="BR324" i="7"/>
  <c r="BR332" i="7"/>
  <c r="BR340" i="7"/>
  <c r="BR348" i="7"/>
  <c r="BR356" i="7"/>
  <c r="BR364" i="7"/>
  <c r="BR372" i="7"/>
  <c r="BR380" i="7"/>
  <c r="BR388" i="7"/>
  <c r="BR396" i="7"/>
  <c r="BR404" i="7"/>
  <c r="BR412" i="7"/>
  <c r="BR420" i="7"/>
  <c r="BR428" i="7"/>
  <c r="BR436" i="7"/>
  <c r="BR444" i="7"/>
  <c r="BR452" i="7"/>
  <c r="BR460" i="7"/>
  <c r="BR468" i="7"/>
  <c r="BR476" i="7"/>
  <c r="BR484" i="7"/>
  <c r="BQ12" i="7"/>
  <c r="BQ20" i="7"/>
  <c r="BQ29" i="7"/>
  <c r="BQ37" i="7"/>
  <c r="BQ45" i="7"/>
  <c r="BQ53" i="7"/>
  <c r="BQ61" i="7"/>
  <c r="BQ69" i="7"/>
  <c r="BQ77" i="7"/>
  <c r="BQ85" i="7"/>
  <c r="BQ93" i="7"/>
  <c r="BQ101" i="7"/>
  <c r="BQ109" i="7"/>
  <c r="BQ117" i="7"/>
  <c r="BQ126" i="7"/>
  <c r="BQ134" i="7"/>
  <c r="BQ142" i="7"/>
  <c r="BQ150" i="7"/>
  <c r="BQ158" i="7"/>
  <c r="BQ166" i="7"/>
  <c r="BQ174" i="7"/>
  <c r="BQ182" i="7"/>
  <c r="BQ190" i="7"/>
  <c r="BQ198" i="7"/>
  <c r="BQ206" i="7"/>
  <c r="BQ214" i="7"/>
  <c r="BQ222" i="7"/>
  <c r="BQ230" i="7"/>
  <c r="BQ238" i="7"/>
  <c r="BQ246" i="7"/>
  <c r="BQ254" i="7"/>
  <c r="BQ262" i="7"/>
  <c r="BT317" i="7"/>
  <c r="BS142" i="7"/>
  <c r="BS241" i="7"/>
  <c r="BS305" i="7"/>
  <c r="BS369" i="7"/>
  <c r="BS433" i="7"/>
  <c r="BR17" i="7"/>
  <c r="BR82" i="7"/>
  <c r="BR146" i="7"/>
  <c r="BR202" i="7"/>
  <c r="BR231" i="7"/>
  <c r="BR254" i="7"/>
  <c r="BR267" i="7"/>
  <c r="BR277" i="7"/>
  <c r="BR285" i="7"/>
  <c r="BR293" i="7"/>
  <c r="BR301" i="7"/>
  <c r="BR309" i="7"/>
  <c r="BR317" i="7"/>
  <c r="BR325" i="7"/>
  <c r="BR333" i="7"/>
  <c r="BR341" i="7"/>
  <c r="BR349" i="7"/>
  <c r="BR357" i="7"/>
  <c r="BR365" i="7"/>
  <c r="BR373" i="7"/>
  <c r="BR381" i="7"/>
  <c r="BR389" i="7"/>
  <c r="BR397" i="7"/>
  <c r="BR405" i="7"/>
  <c r="BR413" i="7"/>
  <c r="BR421" i="7"/>
  <c r="BR429" i="7"/>
  <c r="BR437" i="7"/>
  <c r="BR445" i="7"/>
  <c r="BR453" i="7"/>
  <c r="BR461" i="7"/>
  <c r="BR469" i="7"/>
  <c r="BR477" i="7"/>
  <c r="BR5" i="7"/>
  <c r="BQ13" i="7"/>
  <c r="BQ21" i="7"/>
  <c r="BQ30" i="7"/>
  <c r="BQ38" i="7"/>
  <c r="BQ46" i="7"/>
  <c r="BQ54" i="7"/>
  <c r="BQ62" i="7"/>
  <c r="BQ70" i="7"/>
  <c r="BQ78" i="7"/>
  <c r="BQ86" i="7"/>
  <c r="BQ94" i="7"/>
  <c r="BQ102" i="7"/>
  <c r="BQ110" i="7"/>
  <c r="BQ118" i="7"/>
  <c r="BQ127" i="7"/>
  <c r="BQ135" i="7"/>
  <c r="BQ143" i="7"/>
  <c r="BQ151" i="7"/>
  <c r="BQ159" i="7"/>
  <c r="BQ167" i="7"/>
  <c r="BQ175" i="7"/>
  <c r="BQ183" i="7"/>
  <c r="BQ191" i="7"/>
  <c r="BQ199" i="7"/>
  <c r="BQ207" i="7"/>
  <c r="BQ215" i="7"/>
  <c r="BQ223" i="7"/>
  <c r="BQ231" i="7"/>
  <c r="BQ239" i="7"/>
  <c r="BQ247" i="7"/>
  <c r="BT429" i="7"/>
  <c r="BS188" i="7"/>
  <c r="BS257" i="7"/>
  <c r="BS321" i="7"/>
  <c r="BS385" i="7"/>
  <c r="BS449" i="7"/>
  <c r="BR33" i="7"/>
  <c r="BR98" i="7"/>
  <c r="BR162" i="7"/>
  <c r="BR210" i="7"/>
  <c r="BR238" i="7"/>
  <c r="BR258" i="7"/>
  <c r="BR270" i="7"/>
  <c r="BR279" i="7"/>
  <c r="BR287" i="7"/>
  <c r="BR295" i="7"/>
  <c r="BR303" i="7"/>
  <c r="BR311" i="7"/>
  <c r="BR319" i="7"/>
  <c r="BR327" i="7"/>
  <c r="BR335" i="7"/>
  <c r="BR343" i="7"/>
  <c r="BR351" i="7"/>
  <c r="BR359" i="7"/>
  <c r="BR367" i="7"/>
  <c r="BR375" i="7"/>
  <c r="BR383" i="7"/>
  <c r="BR391" i="7"/>
  <c r="BR399" i="7"/>
  <c r="BR407" i="7"/>
  <c r="BR415" i="7"/>
  <c r="BR423" i="7"/>
  <c r="BR431" i="7"/>
  <c r="BR439" i="7"/>
  <c r="BR447" i="7"/>
  <c r="BR455" i="7"/>
  <c r="BR463" i="7"/>
  <c r="BR471" i="7"/>
  <c r="BR479" i="7"/>
  <c r="BQ7" i="7"/>
  <c r="BQ15" i="7"/>
  <c r="BQ23" i="7"/>
  <c r="BQ32" i="7"/>
  <c r="BQ40" i="7"/>
  <c r="BQ48" i="7"/>
  <c r="BQ56" i="7"/>
  <c r="BQ64" i="7"/>
  <c r="BQ72" i="7"/>
  <c r="BQ80" i="7"/>
  <c r="BQ88" i="7"/>
  <c r="BQ96" i="7"/>
  <c r="BQ104" i="7"/>
  <c r="BQ112" i="7"/>
  <c r="BQ120" i="7"/>
  <c r="BQ129" i="7"/>
  <c r="BQ137" i="7"/>
  <c r="BQ145" i="7"/>
  <c r="BQ153" i="7"/>
  <c r="BQ161" i="7"/>
  <c r="BQ169" i="7"/>
  <c r="BQ177" i="7"/>
  <c r="BQ185" i="7"/>
  <c r="BQ193" i="7"/>
  <c r="BQ201" i="7"/>
  <c r="BQ209" i="7"/>
  <c r="BQ217" i="7"/>
  <c r="BQ225" i="7"/>
  <c r="BQ233" i="7"/>
  <c r="BQ241" i="7"/>
  <c r="BQ249" i="7"/>
  <c r="BQ257" i="7"/>
  <c r="BR90" i="7"/>
  <c r="BR294" i="7"/>
  <c r="BR358" i="7"/>
  <c r="BR422" i="7"/>
  <c r="BQ6" i="7"/>
  <c r="BQ71" i="7"/>
  <c r="BQ136" i="7"/>
  <c r="BQ200" i="7"/>
  <c r="BQ255" i="7"/>
  <c r="BQ271" i="7"/>
  <c r="BQ283" i="7"/>
  <c r="BQ293" i="7"/>
  <c r="BQ302" i="7"/>
  <c r="BQ311" i="7"/>
  <c r="BQ320" i="7"/>
  <c r="BQ329" i="7"/>
  <c r="BQ339" i="7"/>
  <c r="BQ348" i="7"/>
  <c r="BQ357" i="7"/>
  <c r="BQ366" i="7"/>
  <c r="BQ375" i="7"/>
  <c r="BQ383" i="7"/>
  <c r="BQ391" i="7"/>
  <c r="BQ399" i="7"/>
  <c r="BQ407" i="7"/>
  <c r="BQ415" i="7"/>
  <c r="BQ423" i="7"/>
  <c r="BQ431" i="7"/>
  <c r="BQ439" i="7"/>
  <c r="BQ447" i="7"/>
  <c r="BQ455" i="7"/>
  <c r="BQ463" i="7"/>
  <c r="BQ471" i="7"/>
  <c r="BQ479" i="7"/>
  <c r="BP483" i="7"/>
  <c r="BP475" i="7"/>
  <c r="BP467" i="7"/>
  <c r="BP459" i="7"/>
  <c r="BP451" i="7"/>
  <c r="BP443" i="7"/>
  <c r="BP435" i="7"/>
  <c r="BP427" i="7"/>
  <c r="BP419" i="7"/>
  <c r="BP411" i="7"/>
  <c r="BP403" i="7"/>
  <c r="BP395" i="7"/>
  <c r="BP387" i="7"/>
  <c r="BP379" i="7"/>
  <c r="BP371" i="7"/>
  <c r="BP363" i="7"/>
  <c r="BP355" i="7"/>
  <c r="BP347" i="7"/>
  <c r="BP339" i="7"/>
  <c r="BP331" i="7"/>
  <c r="BP323" i="7"/>
  <c r="BP315" i="7"/>
  <c r="BP307" i="7"/>
  <c r="BP299" i="7"/>
  <c r="BP291" i="7"/>
  <c r="BP283" i="7"/>
  <c r="BP275" i="7"/>
  <c r="BP267" i="7"/>
  <c r="BP259" i="7"/>
  <c r="BP251" i="7"/>
  <c r="BP243" i="7"/>
  <c r="BP235" i="7"/>
  <c r="BP227" i="7"/>
  <c r="BP219" i="7"/>
  <c r="BP211" i="7"/>
  <c r="BP203" i="7"/>
  <c r="BP195" i="7"/>
  <c r="BP187" i="7"/>
  <c r="BP179" i="7"/>
  <c r="BP171" i="7"/>
  <c r="BP163" i="7"/>
  <c r="BP155" i="7"/>
  <c r="BP147" i="7"/>
  <c r="BP139" i="7"/>
  <c r="BP131" i="7"/>
  <c r="BP123" i="7"/>
  <c r="BP115" i="7"/>
  <c r="BP107" i="7"/>
  <c r="BP99" i="7"/>
  <c r="BP91" i="7"/>
  <c r="BP83" i="7"/>
  <c r="BP75" i="7"/>
  <c r="BP67" i="7"/>
  <c r="BP59" i="7"/>
  <c r="BP51" i="7"/>
  <c r="BP43" i="7"/>
  <c r="BP35" i="7"/>
  <c r="BP27" i="7"/>
  <c r="BP19" i="7"/>
  <c r="BT381" i="7"/>
  <c r="BR154" i="7"/>
  <c r="BR302" i="7"/>
  <c r="BR366" i="7"/>
  <c r="BR430" i="7"/>
  <c r="BQ14" i="7"/>
  <c r="BQ79" i="7"/>
  <c r="BQ144" i="7"/>
  <c r="BQ208" i="7"/>
  <c r="BQ256" i="7"/>
  <c r="BQ272" i="7"/>
  <c r="BQ285" i="7"/>
  <c r="BQ294" i="7"/>
  <c r="BQ303" i="7"/>
  <c r="BQ312" i="7"/>
  <c r="BQ321" i="7"/>
  <c r="BQ331" i="7"/>
  <c r="BQ340" i="7"/>
  <c r="BQ349" i="7"/>
  <c r="BQ358" i="7"/>
  <c r="BQ367" i="7"/>
  <c r="BQ376" i="7"/>
  <c r="BQ384" i="7"/>
  <c r="BQ392" i="7"/>
  <c r="BQ400" i="7"/>
  <c r="BQ408" i="7"/>
  <c r="BQ416" i="7"/>
  <c r="BQ424" i="7"/>
  <c r="BQ432" i="7"/>
  <c r="BQ440" i="7"/>
  <c r="BQ448" i="7"/>
  <c r="BQ456" i="7"/>
  <c r="BQ464" i="7"/>
  <c r="BQ472" i="7"/>
  <c r="BQ480" i="7"/>
  <c r="BP482" i="7"/>
  <c r="BP474" i="7"/>
  <c r="BP466" i="7"/>
  <c r="BP458" i="7"/>
  <c r="BP450" i="7"/>
  <c r="BP442" i="7"/>
  <c r="BP434" i="7"/>
  <c r="BP426" i="7"/>
  <c r="BP418" i="7"/>
  <c r="BP410" i="7"/>
  <c r="BP402" i="7"/>
  <c r="BP394" i="7"/>
  <c r="BP386" i="7"/>
  <c r="BP378" i="7"/>
  <c r="BP370" i="7"/>
  <c r="BP362" i="7"/>
  <c r="BP354" i="7"/>
  <c r="BP346" i="7"/>
  <c r="BP338" i="7"/>
  <c r="BP330" i="7"/>
  <c r="BP322" i="7"/>
  <c r="BP314" i="7"/>
  <c r="BP306" i="7"/>
  <c r="BP298" i="7"/>
  <c r="BP290" i="7"/>
  <c r="BP282" i="7"/>
  <c r="BP274" i="7"/>
  <c r="BP266" i="7"/>
  <c r="BP258" i="7"/>
  <c r="BP250" i="7"/>
  <c r="BP242" i="7"/>
  <c r="BP234" i="7"/>
  <c r="BP226" i="7"/>
  <c r="BP218" i="7"/>
  <c r="BP210" i="7"/>
  <c r="BP202" i="7"/>
  <c r="BP194" i="7"/>
  <c r="BP186" i="7"/>
  <c r="BP178" i="7"/>
  <c r="BP170" i="7"/>
  <c r="BS170" i="7"/>
  <c r="BR206" i="7"/>
  <c r="BR310" i="7"/>
  <c r="BR374" i="7"/>
  <c r="BR438" i="7"/>
  <c r="BQ22" i="7"/>
  <c r="BQ87" i="7"/>
  <c r="BQ152" i="7"/>
  <c r="BQ216" i="7"/>
  <c r="BQ261" i="7"/>
  <c r="BQ273" i="7"/>
  <c r="BQ286" i="7"/>
  <c r="BQ295" i="7"/>
  <c r="BQ304" i="7"/>
  <c r="BQ313" i="7"/>
  <c r="BQ323" i="7"/>
  <c r="BQ332" i="7"/>
  <c r="BQ341" i="7"/>
  <c r="BQ350" i="7"/>
  <c r="BQ359" i="7"/>
  <c r="BQ368" i="7"/>
  <c r="BQ377" i="7"/>
  <c r="BQ385" i="7"/>
  <c r="BQ393" i="7"/>
  <c r="BQ401" i="7"/>
  <c r="BQ409" i="7"/>
  <c r="BQ417" i="7"/>
  <c r="BQ425" i="7"/>
  <c r="BQ433" i="7"/>
  <c r="BQ441" i="7"/>
  <c r="BQ449" i="7"/>
  <c r="BQ457" i="7"/>
  <c r="BQ465" i="7"/>
  <c r="BQ473" i="7"/>
  <c r="BQ481" i="7"/>
  <c r="BP481" i="7"/>
  <c r="BP473" i="7"/>
  <c r="BP465" i="7"/>
  <c r="BP457" i="7"/>
  <c r="BP449" i="7"/>
  <c r="BP441" i="7"/>
  <c r="BP433" i="7"/>
  <c r="BP425" i="7"/>
  <c r="BP417" i="7"/>
  <c r="BP409" i="7"/>
  <c r="BP401" i="7"/>
  <c r="BP393" i="7"/>
  <c r="BP385" i="7"/>
  <c r="BP377" i="7"/>
  <c r="BP369" i="7"/>
  <c r="BP361" i="7"/>
  <c r="BP353" i="7"/>
  <c r="BP345" i="7"/>
  <c r="BP337" i="7"/>
  <c r="BP329" i="7"/>
  <c r="BP321" i="7"/>
  <c r="BP313" i="7"/>
  <c r="BP305" i="7"/>
  <c r="BP297" i="7"/>
  <c r="BP289" i="7"/>
  <c r="BP281" i="7"/>
  <c r="BP273" i="7"/>
  <c r="BP265" i="7"/>
  <c r="BP257" i="7"/>
  <c r="BP249" i="7"/>
  <c r="BP241" i="7"/>
  <c r="BP233" i="7"/>
  <c r="BP225" i="7"/>
  <c r="BP217" i="7"/>
  <c r="BP209" i="7"/>
  <c r="BP201" i="7"/>
  <c r="BP193" i="7"/>
  <c r="BP185" i="7"/>
  <c r="BP177" i="7"/>
  <c r="BP169" i="7"/>
  <c r="BS249" i="7"/>
  <c r="BR234" i="7"/>
  <c r="BR318" i="7"/>
  <c r="BR382" i="7"/>
  <c r="BR446" i="7"/>
  <c r="BQ31" i="7"/>
  <c r="BQ95" i="7"/>
  <c r="BQ160" i="7"/>
  <c r="BQ224" i="7"/>
  <c r="BQ263" i="7"/>
  <c r="BQ277" i="7"/>
  <c r="BQ287" i="7"/>
  <c r="BQ296" i="7"/>
  <c r="BQ305" i="7"/>
  <c r="BQ315" i="7"/>
  <c r="BQ324" i="7"/>
  <c r="BQ333" i="7"/>
  <c r="BQ342" i="7"/>
  <c r="BQ351" i="7"/>
  <c r="BQ360" i="7"/>
  <c r="BQ369" i="7"/>
  <c r="BQ378" i="7"/>
  <c r="BQ386" i="7"/>
  <c r="BQ394" i="7"/>
  <c r="BQ402" i="7"/>
  <c r="BQ410" i="7"/>
  <c r="BQ418" i="7"/>
  <c r="BQ426" i="7"/>
  <c r="BQ434" i="7"/>
  <c r="BQ442" i="7"/>
  <c r="BQ450" i="7"/>
  <c r="BQ458" i="7"/>
  <c r="BQ466" i="7"/>
  <c r="BQ474" i="7"/>
  <c r="BQ482" i="7"/>
  <c r="BP480" i="7"/>
  <c r="BP472" i="7"/>
  <c r="BP464" i="7"/>
  <c r="BP456" i="7"/>
  <c r="BP448" i="7"/>
  <c r="BP440" i="7"/>
  <c r="BP432" i="7"/>
  <c r="BP424" i="7"/>
  <c r="BP416" i="7"/>
  <c r="BP408" i="7"/>
  <c r="BP400" i="7"/>
  <c r="BP392" i="7"/>
  <c r="BP384" i="7"/>
  <c r="BP376" i="7"/>
  <c r="BP368" i="7"/>
  <c r="BP360" i="7"/>
  <c r="BP352" i="7"/>
  <c r="BP344" i="7"/>
  <c r="BP336" i="7"/>
  <c r="BP328" i="7"/>
  <c r="BP320" i="7"/>
  <c r="BP312" i="7"/>
  <c r="BP304" i="7"/>
  <c r="BP296" i="7"/>
  <c r="BP288" i="7"/>
  <c r="BP280" i="7"/>
  <c r="BP272" i="7"/>
  <c r="BP264" i="7"/>
  <c r="BP256" i="7"/>
  <c r="BP248" i="7"/>
  <c r="BP240" i="7"/>
  <c r="BP232" i="7"/>
  <c r="BP224" i="7"/>
  <c r="BP216" i="7"/>
  <c r="BP208" i="7"/>
  <c r="BP200" i="7"/>
  <c r="BP192" i="7"/>
  <c r="BP184" i="7"/>
  <c r="BP176" i="7"/>
  <c r="BP168" i="7"/>
  <c r="BP160" i="7"/>
  <c r="BP152" i="7"/>
  <c r="BP144" i="7"/>
  <c r="BP136" i="7"/>
  <c r="BP128" i="7"/>
  <c r="BS313" i="7"/>
  <c r="BR255" i="7"/>
  <c r="BR326" i="7"/>
  <c r="BR390" i="7"/>
  <c r="BR454" i="7"/>
  <c r="BQ39" i="7"/>
  <c r="BQ103" i="7"/>
  <c r="BQ168" i="7"/>
  <c r="BQ232" i="7"/>
  <c r="BQ264" i="7"/>
  <c r="BQ278" i="7"/>
  <c r="BQ288" i="7"/>
  <c r="BQ297" i="7"/>
  <c r="BQ307" i="7"/>
  <c r="BQ316" i="7"/>
  <c r="BQ325" i="7"/>
  <c r="BQ334" i="7"/>
  <c r="BQ343" i="7"/>
  <c r="BQ352" i="7"/>
  <c r="BQ361" i="7"/>
  <c r="BQ371" i="7"/>
  <c r="BQ379" i="7"/>
  <c r="BQ387" i="7"/>
  <c r="BQ395" i="7"/>
  <c r="BQ403" i="7"/>
  <c r="BQ411" i="7"/>
  <c r="BQ419" i="7"/>
  <c r="BQ427" i="7"/>
  <c r="BQ435" i="7"/>
  <c r="BQ443" i="7"/>
  <c r="BQ451" i="7"/>
  <c r="BQ459" i="7"/>
  <c r="BQ467" i="7"/>
  <c r="BQ475" i="7"/>
  <c r="BQ483" i="7"/>
  <c r="BP479" i="7"/>
  <c r="BP471" i="7"/>
  <c r="BP463" i="7"/>
  <c r="BP455" i="7"/>
  <c r="BP447" i="7"/>
  <c r="BP439" i="7"/>
  <c r="BP431" i="7"/>
  <c r="BP423" i="7"/>
  <c r="BP415" i="7"/>
  <c r="BP407" i="7"/>
  <c r="BP399" i="7"/>
  <c r="BP391" i="7"/>
  <c r="BP383" i="7"/>
  <c r="BP375" i="7"/>
  <c r="BP367" i="7"/>
  <c r="BP359" i="7"/>
  <c r="BP351" i="7"/>
  <c r="BP343" i="7"/>
  <c r="BP335" i="7"/>
  <c r="BP327" i="7"/>
  <c r="BP319" i="7"/>
  <c r="BP311" i="7"/>
  <c r="BP303" i="7"/>
  <c r="BP295" i="7"/>
  <c r="BP287" i="7"/>
  <c r="BP279" i="7"/>
  <c r="BP271" i="7"/>
  <c r="BP263" i="7"/>
  <c r="BP255" i="7"/>
  <c r="BP247" i="7"/>
  <c r="BP239" i="7"/>
  <c r="BP231" i="7"/>
  <c r="BP223" i="7"/>
  <c r="BP215" i="7"/>
  <c r="BP207" i="7"/>
  <c r="BP199" i="7"/>
  <c r="BP191" i="7"/>
  <c r="BP183" i="7"/>
  <c r="BP175" i="7"/>
  <c r="BP167" i="7"/>
  <c r="BP159" i="7"/>
  <c r="BP151" i="7"/>
  <c r="BP143" i="7"/>
  <c r="BP135" i="7"/>
  <c r="BP127" i="7"/>
  <c r="BP119" i="7"/>
  <c r="BP111" i="7"/>
  <c r="BP103" i="7"/>
  <c r="BP95" i="7"/>
  <c r="BP87" i="7"/>
  <c r="BS377" i="7"/>
  <c r="BR269" i="7"/>
  <c r="BR334" i="7"/>
  <c r="BR398" i="7"/>
  <c r="BR462" i="7"/>
  <c r="BQ47" i="7"/>
  <c r="BQ111" i="7"/>
  <c r="BQ176" i="7"/>
  <c r="BQ240" i="7"/>
  <c r="BQ265" i="7"/>
  <c r="BQ279" i="7"/>
  <c r="BQ289" i="7"/>
  <c r="BQ299" i="7"/>
  <c r="BQ308" i="7"/>
  <c r="BQ317" i="7"/>
  <c r="BQ326" i="7"/>
  <c r="BQ335" i="7"/>
  <c r="BQ344" i="7"/>
  <c r="BQ353" i="7"/>
  <c r="BQ363" i="7"/>
  <c r="BQ372" i="7"/>
  <c r="BQ380" i="7"/>
  <c r="BQ388" i="7"/>
  <c r="BQ396" i="7"/>
  <c r="BQ404" i="7"/>
  <c r="BQ412" i="7"/>
  <c r="BQ420" i="7"/>
  <c r="BQ428" i="7"/>
  <c r="BQ436" i="7"/>
  <c r="BQ444" i="7"/>
  <c r="BQ452" i="7"/>
  <c r="BQ460" i="7"/>
  <c r="BQ468" i="7"/>
  <c r="BQ476" i="7"/>
  <c r="BQ484" i="7"/>
  <c r="BP478" i="7"/>
  <c r="BP470" i="7"/>
  <c r="BP462" i="7"/>
  <c r="BP454" i="7"/>
  <c r="BP446" i="7"/>
  <c r="BP438" i="7"/>
  <c r="BP430" i="7"/>
  <c r="BP422" i="7"/>
  <c r="BP414" i="7"/>
  <c r="BP406" i="7"/>
  <c r="BP398" i="7"/>
  <c r="BP390" i="7"/>
  <c r="BP382" i="7"/>
  <c r="BP374" i="7"/>
  <c r="BP366" i="7"/>
  <c r="BP358" i="7"/>
  <c r="BP350" i="7"/>
  <c r="BP342" i="7"/>
  <c r="BP334" i="7"/>
  <c r="BP326" i="7"/>
  <c r="BP318" i="7"/>
  <c r="BP310" i="7"/>
  <c r="BP302" i="7"/>
  <c r="BP294" i="7"/>
  <c r="BP286" i="7"/>
  <c r="BP278" i="7"/>
  <c r="BP270" i="7"/>
  <c r="BP262" i="7"/>
  <c r="BP254" i="7"/>
  <c r="BP246" i="7"/>
  <c r="BP238" i="7"/>
  <c r="BP230" i="7"/>
  <c r="BP222" i="7"/>
  <c r="BP214" i="7"/>
  <c r="BP206" i="7"/>
  <c r="BP198" i="7"/>
  <c r="BP190" i="7"/>
  <c r="BP182" i="7"/>
  <c r="BP174" i="7"/>
  <c r="BP166" i="7"/>
  <c r="BP158" i="7"/>
  <c r="BP150" i="7"/>
  <c r="BP142" i="7"/>
  <c r="BP134" i="7"/>
  <c r="BP126" i="7"/>
  <c r="BP118" i="7"/>
  <c r="BP110" i="7"/>
  <c r="BP102" i="7"/>
  <c r="BP94" i="7"/>
  <c r="BP86" i="7"/>
  <c r="BP78" i="7"/>
  <c r="BP70" i="7"/>
  <c r="BP62" i="7"/>
  <c r="BP54" i="7"/>
  <c r="BP46" i="7"/>
  <c r="BP38" i="7"/>
  <c r="BP30" i="7"/>
  <c r="BS441" i="7"/>
  <c r="BR278" i="7"/>
  <c r="BR342" i="7"/>
  <c r="BR406" i="7"/>
  <c r="BR470" i="7"/>
  <c r="BQ55" i="7"/>
  <c r="BQ119" i="7"/>
  <c r="BQ184" i="7"/>
  <c r="BQ248" i="7"/>
  <c r="BQ269" i="7"/>
  <c r="BQ280" i="7"/>
  <c r="BQ291" i="7"/>
  <c r="BQ300" i="7"/>
  <c r="BQ309" i="7"/>
  <c r="BQ318" i="7"/>
  <c r="BQ327" i="7"/>
  <c r="BQ336" i="7"/>
  <c r="BQ345" i="7"/>
  <c r="BQ355" i="7"/>
  <c r="BQ364" i="7"/>
  <c r="BQ373" i="7"/>
  <c r="BQ381" i="7"/>
  <c r="BQ389" i="7"/>
  <c r="BQ397" i="7"/>
  <c r="BQ405" i="7"/>
  <c r="BQ413" i="7"/>
  <c r="BQ421" i="7"/>
  <c r="BQ429" i="7"/>
  <c r="BQ437" i="7"/>
  <c r="BQ445" i="7"/>
  <c r="BQ453" i="7"/>
  <c r="BQ461" i="7"/>
  <c r="BQ469" i="7"/>
  <c r="BQ477" i="7"/>
  <c r="BQ5" i="7"/>
  <c r="BP477" i="7"/>
  <c r="BP469" i="7"/>
  <c r="BP461" i="7"/>
  <c r="BP453" i="7"/>
  <c r="BP445" i="7"/>
  <c r="BP437" i="7"/>
  <c r="BP429" i="7"/>
  <c r="BP421" i="7"/>
  <c r="BP413" i="7"/>
  <c r="BP405" i="7"/>
  <c r="BP397" i="7"/>
  <c r="BP389" i="7"/>
  <c r="BP381" i="7"/>
  <c r="BP373" i="7"/>
  <c r="BP365" i="7"/>
  <c r="BP357" i="7"/>
  <c r="BP349" i="7"/>
  <c r="BP341" i="7"/>
  <c r="BP333" i="7"/>
  <c r="BP325" i="7"/>
  <c r="BP317" i="7"/>
  <c r="BP309" i="7"/>
  <c r="BP301" i="7"/>
  <c r="BP293" i="7"/>
  <c r="BP285" i="7"/>
  <c r="BP277" i="7"/>
  <c r="BP269" i="7"/>
  <c r="BP261" i="7"/>
  <c r="BP253" i="7"/>
  <c r="BP245" i="7"/>
  <c r="BP237" i="7"/>
  <c r="BP229" i="7"/>
  <c r="BP221" i="7"/>
  <c r="BP213" i="7"/>
  <c r="BP205" i="7"/>
  <c r="BP197" i="7"/>
  <c r="BP189" i="7"/>
  <c r="BP181" i="7"/>
  <c r="BP173" i="7"/>
  <c r="BP165" i="7"/>
  <c r="BP157" i="7"/>
  <c r="BP149" i="7"/>
  <c r="BP141" i="7"/>
  <c r="BP133" i="7"/>
  <c r="BP125" i="7"/>
  <c r="BP117" i="7"/>
  <c r="BP109" i="7"/>
  <c r="BP101" i="7"/>
  <c r="BP93" i="7"/>
  <c r="BP85" i="7"/>
  <c r="BQ192" i="7"/>
  <c r="BQ328" i="7"/>
  <c r="BQ398" i="7"/>
  <c r="BQ462" i="7"/>
  <c r="BP444" i="7"/>
  <c r="BP380" i="7"/>
  <c r="BP316" i="7"/>
  <c r="BP252" i="7"/>
  <c r="BP188" i="7"/>
  <c r="BP153" i="7"/>
  <c r="BP130" i="7"/>
  <c r="BP113" i="7"/>
  <c r="BP97" i="7"/>
  <c r="BP81" i="7"/>
  <c r="BP71" i="7"/>
  <c r="BP60" i="7"/>
  <c r="BP49" i="7"/>
  <c r="BP39" i="7"/>
  <c r="BP28" i="7"/>
  <c r="BP18" i="7"/>
  <c r="BP9" i="7"/>
  <c r="BP26" i="7"/>
  <c r="BP17" i="7"/>
  <c r="BP7" i="7"/>
  <c r="BP14" i="7"/>
  <c r="BP32" i="7"/>
  <c r="BQ446" i="7"/>
  <c r="BP156" i="7"/>
  <c r="BP52" i="7"/>
  <c r="BR25" i="7"/>
  <c r="BQ253" i="7"/>
  <c r="BQ337" i="7"/>
  <c r="BQ406" i="7"/>
  <c r="BQ470" i="7"/>
  <c r="BP436" i="7"/>
  <c r="BP372" i="7"/>
  <c r="BP308" i="7"/>
  <c r="BP244" i="7"/>
  <c r="BP180" i="7"/>
  <c r="BP148" i="7"/>
  <c r="BP129" i="7"/>
  <c r="BP112" i="7"/>
  <c r="BP96" i="7"/>
  <c r="BP80" i="7"/>
  <c r="BP69" i="7"/>
  <c r="BP58" i="7"/>
  <c r="BP48" i="7"/>
  <c r="BP37" i="7"/>
  <c r="BP8" i="7"/>
  <c r="BP34" i="7"/>
  <c r="BP42" i="7"/>
  <c r="BQ382" i="7"/>
  <c r="BP268" i="7"/>
  <c r="BP84" i="7"/>
  <c r="BR286" i="7"/>
  <c r="BQ270" i="7"/>
  <c r="BQ347" i="7"/>
  <c r="BQ414" i="7"/>
  <c r="BQ478" i="7"/>
  <c r="BP428" i="7"/>
  <c r="BP364" i="7"/>
  <c r="BP300" i="7"/>
  <c r="BP236" i="7"/>
  <c r="BP172" i="7"/>
  <c r="BP146" i="7"/>
  <c r="BP124" i="7"/>
  <c r="BP108" i="7"/>
  <c r="BP92" i="7"/>
  <c r="BP79" i="7"/>
  <c r="BP68" i="7"/>
  <c r="BP57" i="7"/>
  <c r="BP47" i="7"/>
  <c r="BP36" i="7"/>
  <c r="BP25" i="7"/>
  <c r="BP15" i="7"/>
  <c r="BP6" i="7"/>
  <c r="BP13" i="7"/>
  <c r="BP12" i="7"/>
  <c r="BP460" i="7"/>
  <c r="AJ460" i="11" s="1"/>
  <c r="BP100" i="7"/>
  <c r="BP41" i="7"/>
  <c r="BR350" i="7"/>
  <c r="BQ281" i="7"/>
  <c r="BQ356" i="7"/>
  <c r="BQ422" i="7"/>
  <c r="BP484" i="7"/>
  <c r="BP420" i="7"/>
  <c r="BP356" i="7"/>
  <c r="BP292" i="7"/>
  <c r="BP228" i="7"/>
  <c r="BP164" i="7"/>
  <c r="BP145" i="7"/>
  <c r="BP122" i="7"/>
  <c r="BP106" i="7"/>
  <c r="BP90" i="7"/>
  <c r="BP77" i="7"/>
  <c r="BP66" i="7"/>
  <c r="BP56" i="7"/>
  <c r="BP45" i="7"/>
  <c r="BP24" i="7"/>
  <c r="BP5" i="7"/>
  <c r="BQ63" i="7"/>
  <c r="BP116" i="7"/>
  <c r="BP21" i="7"/>
  <c r="BR414" i="7"/>
  <c r="BQ292" i="7"/>
  <c r="BQ365" i="7"/>
  <c r="BQ430" i="7"/>
  <c r="BP476" i="7"/>
  <c r="BP412" i="7"/>
  <c r="BP348" i="7"/>
  <c r="BP284" i="7"/>
  <c r="BP220" i="7"/>
  <c r="BP162" i="7"/>
  <c r="BP140" i="7"/>
  <c r="BP121" i="7"/>
  <c r="BP105" i="7"/>
  <c r="BP89" i="7"/>
  <c r="BP76" i="7"/>
  <c r="BP65" i="7"/>
  <c r="BP55" i="7"/>
  <c r="BP44" i="7"/>
  <c r="BP33" i="7"/>
  <c r="BP23" i="7"/>
  <c r="BQ310" i="7"/>
  <c r="BP332" i="7"/>
  <c r="BP73" i="7"/>
  <c r="BR478" i="7"/>
  <c r="BQ301" i="7"/>
  <c r="BQ374" i="7"/>
  <c r="BQ438" i="7"/>
  <c r="BP468" i="7"/>
  <c r="BP404" i="7"/>
  <c r="BP340" i="7"/>
  <c r="BP276" i="7"/>
  <c r="BP212" i="7"/>
  <c r="BP161" i="7"/>
  <c r="BP138" i="7"/>
  <c r="BP120" i="7"/>
  <c r="BP104" i="7"/>
  <c r="BP88" i="7"/>
  <c r="BP74" i="7"/>
  <c r="BP64" i="7"/>
  <c r="BP53" i="7"/>
  <c r="BP22" i="7"/>
  <c r="BP396" i="7"/>
  <c r="BP204" i="7"/>
  <c r="BP63" i="7"/>
  <c r="BP11" i="7"/>
  <c r="BQ128" i="7"/>
  <c r="BQ319" i="7"/>
  <c r="BQ390" i="7"/>
  <c r="BQ454" i="7"/>
  <c r="BP452" i="7"/>
  <c r="BP388" i="7"/>
  <c r="BP324" i="7"/>
  <c r="BP260" i="7"/>
  <c r="BP196" i="7"/>
  <c r="BP154" i="7"/>
  <c r="BP132" i="7"/>
  <c r="BP114" i="7"/>
  <c r="BP98" i="7"/>
  <c r="BP82" i="7"/>
  <c r="BP72" i="7"/>
  <c r="BP61" i="7"/>
  <c r="BP50" i="7"/>
  <c r="BP40" i="7"/>
  <c r="BP29" i="7"/>
  <c r="BP20" i="7"/>
  <c r="BP10" i="7"/>
  <c r="BP137" i="7"/>
  <c r="BP31" i="7"/>
  <c r="R43" i="5"/>
  <c r="Q44" i="5"/>
  <c r="D28" i="15"/>
  <c r="E8" i="6"/>
  <c r="E9" i="6"/>
  <c r="E7" i="6"/>
  <c r="G10" i="1"/>
  <c r="AJ444" i="11" l="1"/>
  <c r="AJ428" i="11"/>
  <c r="U39" i="5"/>
  <c r="AJ340" i="11"/>
  <c r="AJ448" i="11"/>
  <c r="AJ384" i="11"/>
  <c r="AJ407" i="11"/>
  <c r="AJ471" i="11"/>
  <c r="AJ346" i="11"/>
  <c r="AJ312" i="11"/>
  <c r="AJ383" i="11"/>
  <c r="AJ447" i="11"/>
  <c r="AJ380" i="11"/>
  <c r="AJ425" i="11"/>
  <c r="AJ404" i="11"/>
  <c r="AJ359" i="11"/>
  <c r="AJ468" i="11"/>
  <c r="AJ391" i="11"/>
  <c r="AJ455" i="11"/>
  <c r="AJ392" i="11"/>
  <c r="AJ456" i="11"/>
  <c r="AJ400" i="11"/>
  <c r="AJ464" i="11"/>
  <c r="AJ306" i="11"/>
  <c r="AJ370" i="11"/>
  <c r="AJ332" i="11"/>
  <c r="AJ351" i="11"/>
  <c r="AJ327" i="11"/>
  <c r="AJ305" i="11"/>
  <c r="AJ433" i="11"/>
  <c r="AJ343" i="11"/>
  <c r="AJ452" i="11"/>
  <c r="AJ396" i="11"/>
  <c r="AJ320" i="11"/>
  <c r="AJ338" i="11"/>
  <c r="AJ369" i="11"/>
  <c r="AJ474" i="11"/>
  <c r="AJ410" i="11"/>
  <c r="AJ405" i="11"/>
  <c r="AJ469" i="11"/>
  <c r="AJ399" i="11"/>
  <c r="AJ463" i="11"/>
  <c r="AJ326" i="11"/>
  <c r="AJ314" i="11"/>
  <c r="AJ388" i="11"/>
  <c r="AJ436" i="11"/>
  <c r="AJ397" i="11"/>
  <c r="AJ366" i="11"/>
  <c r="AJ430" i="11"/>
  <c r="AJ328" i="11"/>
  <c r="AJ363" i="11"/>
  <c r="AJ427" i="11"/>
  <c r="AJ420" i="11"/>
  <c r="AJ362" i="11"/>
  <c r="AJ484" i="11"/>
  <c r="AJ357" i="11"/>
  <c r="AJ421" i="11"/>
  <c r="AJ329" i="11"/>
  <c r="AJ393" i="11"/>
  <c r="AJ457" i="11"/>
  <c r="AJ434" i="11"/>
  <c r="AJ323" i="11"/>
  <c r="AJ308" i="11"/>
  <c r="AJ334" i="11"/>
  <c r="AJ423" i="11"/>
  <c r="AJ401" i="11"/>
  <c r="AJ465" i="11"/>
  <c r="AJ461" i="11"/>
  <c r="AJ324" i="11"/>
  <c r="AJ372" i="11"/>
  <c r="AJ373" i="11"/>
  <c r="AJ437" i="11"/>
  <c r="AJ368" i="11"/>
  <c r="AJ339" i="11"/>
  <c r="AJ333" i="11"/>
  <c r="AJ356" i="11"/>
  <c r="AJ376" i="11"/>
  <c r="AJ440" i="11"/>
  <c r="AJ417" i="11"/>
  <c r="AJ481" i="11"/>
  <c r="AJ325" i="11"/>
  <c r="AJ389" i="11"/>
  <c r="AJ453" i="11"/>
  <c r="AJ358" i="11"/>
  <c r="AJ422" i="11"/>
  <c r="AJ319" i="11"/>
  <c r="AJ361" i="11"/>
  <c r="AJ402" i="11"/>
  <c r="AJ466" i="11"/>
  <c r="AJ355" i="11"/>
  <c r="AJ419" i="11"/>
  <c r="AJ483" i="11"/>
  <c r="AJ341" i="11"/>
  <c r="AJ310" i="11"/>
  <c r="AJ374" i="11"/>
  <c r="AJ438" i="11"/>
  <c r="AJ335" i="11"/>
  <c r="AJ336" i="11"/>
  <c r="AJ313" i="11"/>
  <c r="AJ377" i="11"/>
  <c r="AJ441" i="11"/>
  <c r="AJ354" i="11"/>
  <c r="AJ418" i="11"/>
  <c r="AJ482" i="11"/>
  <c r="AJ307" i="11"/>
  <c r="AJ371" i="11"/>
  <c r="AJ435" i="11"/>
  <c r="AJ348" i="11"/>
  <c r="AJ316" i="11"/>
  <c r="AJ349" i="11"/>
  <c r="AJ413" i="11"/>
  <c r="AJ477" i="11"/>
  <c r="AJ318" i="11"/>
  <c r="AJ382" i="11"/>
  <c r="AJ446" i="11"/>
  <c r="AJ344" i="11"/>
  <c r="AJ408" i="11"/>
  <c r="AJ472" i="11"/>
  <c r="AJ321" i="11"/>
  <c r="AJ385" i="11"/>
  <c r="AJ449" i="11"/>
  <c r="AJ426" i="11"/>
  <c r="AJ315" i="11"/>
  <c r="AJ379" i="11"/>
  <c r="AJ443" i="11"/>
  <c r="AJ390" i="11"/>
  <c r="AJ454" i="11"/>
  <c r="AJ415" i="11"/>
  <c r="AJ479" i="11"/>
  <c r="AJ352" i="11"/>
  <c r="AJ416" i="11"/>
  <c r="AJ480" i="11"/>
  <c r="AJ387" i="11"/>
  <c r="AJ451" i="11"/>
  <c r="AJ476" i="11"/>
  <c r="AJ364" i="11"/>
  <c r="AJ365" i="11"/>
  <c r="AJ429" i="11"/>
  <c r="AJ398" i="11"/>
  <c r="AJ462" i="11"/>
  <c r="AJ360" i="11"/>
  <c r="AJ424" i="11"/>
  <c r="AJ337" i="11"/>
  <c r="AJ378" i="11"/>
  <c r="AJ442" i="11"/>
  <c r="AJ331" i="11"/>
  <c r="AJ395" i="11"/>
  <c r="AJ459" i="11"/>
  <c r="AJ309" i="11"/>
  <c r="AJ342" i="11"/>
  <c r="AJ406" i="11"/>
  <c r="AJ470" i="11"/>
  <c r="AJ367" i="11"/>
  <c r="AJ431" i="11"/>
  <c r="AJ432" i="11"/>
  <c r="AJ345" i="11"/>
  <c r="AJ409" i="11"/>
  <c r="AJ473" i="11"/>
  <c r="AJ322" i="11"/>
  <c r="AJ386" i="11"/>
  <c r="AJ450" i="11"/>
  <c r="AJ403" i="11"/>
  <c r="AJ467" i="11"/>
  <c r="AJ412" i="11"/>
  <c r="AJ317" i="11"/>
  <c r="AJ381" i="11"/>
  <c r="AJ445" i="11"/>
  <c r="AJ350" i="11"/>
  <c r="AJ414" i="11"/>
  <c r="AJ478" i="11"/>
  <c r="AJ311" i="11"/>
  <c r="AJ375" i="11"/>
  <c r="AJ439" i="11"/>
  <c r="AJ353" i="11"/>
  <c r="AJ330" i="11"/>
  <c r="AJ394" i="11"/>
  <c r="AJ458" i="11"/>
  <c r="AJ347" i="11"/>
  <c r="AJ411" i="11"/>
  <c r="AJ475" i="11"/>
  <c r="B400" i="11"/>
  <c r="AM3" i="20"/>
  <c r="S43" i="5"/>
  <c r="U40" i="5" s="1"/>
  <c r="AL487" i="7"/>
  <c r="AN487" i="7"/>
  <c r="AM487" i="7"/>
  <c r="AK487" i="7"/>
  <c r="R44" i="5"/>
  <c r="Q45" i="5"/>
  <c r="L26" i="19"/>
  <c r="L122" i="19"/>
  <c r="L218" i="19"/>
  <c r="J98" i="19"/>
  <c r="J194" i="19"/>
  <c r="J290" i="19"/>
  <c r="I74" i="19"/>
  <c r="I170" i="19"/>
  <c r="I266" i="19"/>
  <c r="H50" i="19"/>
  <c r="H146" i="19"/>
  <c r="H242" i="19"/>
  <c r="G26" i="19"/>
  <c r="G122" i="19"/>
  <c r="G218" i="19"/>
  <c r="G14" i="19"/>
  <c r="F98" i="19"/>
  <c r="F194" i="19"/>
  <c r="F290" i="19"/>
  <c r="E182" i="19"/>
  <c r="E278" i="19"/>
  <c r="D182" i="19"/>
  <c r="D278" i="19"/>
  <c r="E302" i="19"/>
  <c r="J254" i="19"/>
  <c r="H110" i="19"/>
  <c r="G86" i="19"/>
  <c r="F62" i="19"/>
  <c r="D146" i="19"/>
  <c r="G206" i="19"/>
  <c r="E266" i="19"/>
  <c r="L38" i="19"/>
  <c r="L134" i="19"/>
  <c r="L230" i="19"/>
  <c r="J110" i="19"/>
  <c r="J206" i="19"/>
  <c r="J302" i="19"/>
  <c r="I86" i="19"/>
  <c r="I182" i="19"/>
  <c r="I278" i="19"/>
  <c r="H62" i="19"/>
  <c r="H158" i="19"/>
  <c r="H254" i="19"/>
  <c r="G38" i="19"/>
  <c r="G134" i="19"/>
  <c r="G230" i="19"/>
  <c r="F110" i="19"/>
  <c r="F206" i="19"/>
  <c r="F302" i="19"/>
  <c r="E194" i="19"/>
  <c r="E290" i="19"/>
  <c r="D194" i="19"/>
  <c r="D290" i="19"/>
  <c r="D206" i="19"/>
  <c r="D218" i="19"/>
  <c r="I134" i="19"/>
  <c r="H302" i="19"/>
  <c r="G278" i="19"/>
  <c r="E146" i="19"/>
  <c r="D266" i="19"/>
  <c r="L50" i="19"/>
  <c r="L146" i="19"/>
  <c r="L242" i="19"/>
  <c r="J26" i="19"/>
  <c r="J122" i="19"/>
  <c r="J218" i="19"/>
  <c r="J14" i="19"/>
  <c r="I98" i="19"/>
  <c r="I194" i="19"/>
  <c r="I290" i="19"/>
  <c r="H74" i="19"/>
  <c r="H170" i="19"/>
  <c r="H266" i="19"/>
  <c r="G50" i="19"/>
  <c r="G146" i="19"/>
  <c r="G242" i="19"/>
  <c r="F26" i="19"/>
  <c r="F122" i="19"/>
  <c r="F218" i="19"/>
  <c r="F14" i="19"/>
  <c r="E206" i="19"/>
  <c r="D302" i="19"/>
  <c r="I230" i="19"/>
  <c r="F158" i="19"/>
  <c r="F182" i="19"/>
  <c r="L62" i="19"/>
  <c r="L158" i="19"/>
  <c r="L254" i="19"/>
  <c r="J38" i="19"/>
  <c r="J134" i="19"/>
  <c r="J230" i="19"/>
  <c r="I110" i="19"/>
  <c r="I206" i="19"/>
  <c r="I302" i="19"/>
  <c r="H86" i="19"/>
  <c r="H182" i="19"/>
  <c r="H278" i="19"/>
  <c r="G62" i="19"/>
  <c r="G158" i="19"/>
  <c r="G254" i="19"/>
  <c r="F38" i="19"/>
  <c r="F134" i="19"/>
  <c r="F230" i="19"/>
  <c r="E218" i="19"/>
  <c r="J62" i="19"/>
  <c r="H206" i="19"/>
  <c r="G182" i="19"/>
  <c r="F254" i="19"/>
  <c r="D242" i="19"/>
  <c r="G110" i="19"/>
  <c r="D170" i="19"/>
  <c r="L74" i="19"/>
  <c r="L170" i="19"/>
  <c r="L266" i="19"/>
  <c r="J50" i="19"/>
  <c r="J146" i="19"/>
  <c r="J242" i="19"/>
  <c r="I26" i="19"/>
  <c r="I122" i="19"/>
  <c r="I218" i="19"/>
  <c r="I14" i="19"/>
  <c r="H98" i="19"/>
  <c r="H194" i="19"/>
  <c r="H290" i="19"/>
  <c r="G74" i="19"/>
  <c r="G170" i="19"/>
  <c r="G266" i="19"/>
  <c r="F50" i="19"/>
  <c r="F146" i="19"/>
  <c r="F242" i="19"/>
  <c r="E134" i="19"/>
  <c r="E230" i="19"/>
  <c r="D134" i="19"/>
  <c r="D230" i="19"/>
  <c r="L86" i="19"/>
  <c r="L182" i="19"/>
  <c r="L278" i="19"/>
  <c r="J158" i="19"/>
  <c r="I38" i="19"/>
  <c r="E242" i="19"/>
  <c r="F86" i="19"/>
  <c r="E170" i="19"/>
  <c r="L98" i="19"/>
  <c r="L194" i="19"/>
  <c r="L290" i="19"/>
  <c r="J74" i="19"/>
  <c r="J170" i="19"/>
  <c r="J266" i="19"/>
  <c r="I50" i="19"/>
  <c r="I146" i="19"/>
  <c r="I242" i="19"/>
  <c r="H26" i="19"/>
  <c r="H122" i="19"/>
  <c r="H218" i="19"/>
  <c r="H14" i="19"/>
  <c r="G98" i="19"/>
  <c r="G194" i="19"/>
  <c r="G290" i="19"/>
  <c r="F74" i="19"/>
  <c r="F170" i="19"/>
  <c r="F266" i="19"/>
  <c r="E158" i="19"/>
  <c r="E254" i="19"/>
  <c r="D158" i="19"/>
  <c r="D254" i="19"/>
  <c r="L110" i="19"/>
  <c r="L206" i="19"/>
  <c r="L302" i="19"/>
  <c r="J86" i="19"/>
  <c r="J182" i="19"/>
  <c r="J278" i="19"/>
  <c r="I62" i="19"/>
  <c r="I158" i="19"/>
  <c r="I254" i="19"/>
  <c r="H38" i="19"/>
  <c r="H134" i="19"/>
  <c r="H230" i="19"/>
  <c r="G302" i="19"/>
  <c r="F278" i="19"/>
  <c r="D110" i="19"/>
  <c r="D26" i="19"/>
  <c r="D86" i="19"/>
  <c r="D14" i="19"/>
  <c r="D62" i="19"/>
  <c r="D38" i="19"/>
  <c r="D122" i="19"/>
  <c r="D98" i="19"/>
  <c r="D50" i="19"/>
  <c r="D74" i="19"/>
  <c r="E86" i="19"/>
  <c r="E122" i="19"/>
  <c r="E110" i="19"/>
  <c r="E98" i="19"/>
  <c r="E74" i="19"/>
  <c r="E50" i="19"/>
  <c r="E26" i="19"/>
  <c r="E38" i="19"/>
  <c r="E62" i="19"/>
  <c r="E5" i="6"/>
  <c r="M36" i="6"/>
  <c r="B412" i="11" l="1"/>
  <c r="AN3" i="20"/>
  <c r="BS400" i="11"/>
  <c r="AN26" i="20" s="1"/>
  <c r="BS328" i="11"/>
  <c r="AH26" i="20" s="1"/>
  <c r="BS376" i="11"/>
  <c r="AL26" i="20" s="1"/>
  <c r="BS424" i="11"/>
  <c r="AP26" i="20" s="1"/>
  <c r="BS388" i="11"/>
  <c r="AM26" i="20" s="1"/>
  <c r="BS472" i="11"/>
  <c r="AT26" i="20" s="1"/>
  <c r="BS364" i="11"/>
  <c r="AK26" i="20" s="1"/>
  <c r="BS484" i="11"/>
  <c r="AU26" i="20" s="1"/>
  <c r="BS352" i="11"/>
  <c r="AJ26" i="20" s="1"/>
  <c r="BS436" i="11"/>
  <c r="AQ26" i="20" s="1"/>
  <c r="BS340" i="11"/>
  <c r="AI26" i="20" s="1"/>
  <c r="BS460" i="11"/>
  <c r="AS26" i="20" s="1"/>
  <c r="BS412" i="11"/>
  <c r="AO26" i="20" s="1"/>
  <c r="BS316" i="11"/>
  <c r="AG26" i="20" s="1"/>
  <c r="BS448" i="11"/>
  <c r="AR26" i="20" s="1"/>
  <c r="S44" i="5"/>
  <c r="U41" i="5" s="1"/>
  <c r="R45" i="5"/>
  <c r="Q46" i="5"/>
  <c r="V5" i="2"/>
  <c r="G304" i="2"/>
  <c r="T304" i="11" s="1"/>
  <c r="G303" i="2"/>
  <c r="T303" i="11" s="1"/>
  <c r="G302" i="2"/>
  <c r="T302" i="11" s="1"/>
  <c r="G301" i="2"/>
  <c r="T301" i="11" s="1"/>
  <c r="G300" i="2"/>
  <c r="T300" i="11" s="1"/>
  <c r="G299" i="2"/>
  <c r="T299" i="11" s="1"/>
  <c r="G298" i="2"/>
  <c r="T298" i="11" s="1"/>
  <c r="G297" i="2"/>
  <c r="T297" i="11" s="1"/>
  <c r="G296" i="2"/>
  <c r="T296" i="11" s="1"/>
  <c r="G295" i="2"/>
  <c r="T295" i="11" s="1"/>
  <c r="G294" i="2"/>
  <c r="T294" i="11" s="1"/>
  <c r="G293" i="2"/>
  <c r="T293" i="11" s="1"/>
  <c r="G292" i="2"/>
  <c r="T292" i="11" s="1"/>
  <c r="G291" i="2"/>
  <c r="T291" i="11" s="1"/>
  <c r="G290" i="2"/>
  <c r="T290" i="11" s="1"/>
  <c r="G289" i="2"/>
  <c r="T289" i="11" s="1"/>
  <c r="G288" i="2"/>
  <c r="T288" i="11" s="1"/>
  <c r="G287" i="2"/>
  <c r="T287" i="11" s="1"/>
  <c r="G286" i="2"/>
  <c r="T286" i="11" s="1"/>
  <c r="G285" i="2"/>
  <c r="T285" i="11" s="1"/>
  <c r="G284" i="2"/>
  <c r="T284" i="11" s="1"/>
  <c r="G283" i="2"/>
  <c r="T283" i="11" s="1"/>
  <c r="G282" i="2"/>
  <c r="T282" i="11" s="1"/>
  <c r="G281" i="2"/>
  <c r="T281" i="11" s="1"/>
  <c r="G280" i="2"/>
  <c r="T280" i="11" s="1"/>
  <c r="G279" i="2"/>
  <c r="T279" i="11" s="1"/>
  <c r="G278" i="2"/>
  <c r="T278" i="11" s="1"/>
  <c r="G277" i="2"/>
  <c r="T277" i="11" s="1"/>
  <c r="G276" i="2"/>
  <c r="T276" i="11" s="1"/>
  <c r="G275" i="2"/>
  <c r="T275" i="11" s="1"/>
  <c r="G274" i="2"/>
  <c r="T274" i="11" s="1"/>
  <c r="G273" i="2"/>
  <c r="T273" i="11" s="1"/>
  <c r="G272" i="2"/>
  <c r="T272" i="11" s="1"/>
  <c r="G271" i="2"/>
  <c r="T271" i="11" s="1"/>
  <c r="G270" i="2"/>
  <c r="T270" i="11" s="1"/>
  <c r="G269" i="2"/>
  <c r="T269" i="11" s="1"/>
  <c r="G268" i="2"/>
  <c r="T268" i="11" s="1"/>
  <c r="G267" i="2"/>
  <c r="T267" i="11" s="1"/>
  <c r="G266" i="2"/>
  <c r="T266" i="11" s="1"/>
  <c r="G265" i="2"/>
  <c r="T265" i="11" s="1"/>
  <c r="G264" i="2"/>
  <c r="T264" i="11" s="1"/>
  <c r="G263" i="2"/>
  <c r="T263" i="11" s="1"/>
  <c r="G262" i="2"/>
  <c r="T262" i="11" s="1"/>
  <c r="G261" i="2"/>
  <c r="T261" i="11" s="1"/>
  <c r="G260" i="2"/>
  <c r="T260" i="11" s="1"/>
  <c r="G259" i="2"/>
  <c r="T259" i="11" s="1"/>
  <c r="G258" i="2"/>
  <c r="T258" i="11" s="1"/>
  <c r="G257" i="2"/>
  <c r="T257" i="11" s="1"/>
  <c r="G256" i="2"/>
  <c r="T256" i="11" s="1"/>
  <c r="G255" i="2"/>
  <c r="T255" i="11" s="1"/>
  <c r="G254" i="2"/>
  <c r="T254" i="11" s="1"/>
  <c r="G253" i="2"/>
  <c r="T253" i="11" s="1"/>
  <c r="G252" i="2"/>
  <c r="T252" i="11" s="1"/>
  <c r="G251" i="2"/>
  <c r="T251" i="11" s="1"/>
  <c r="G250" i="2"/>
  <c r="T250" i="11" s="1"/>
  <c r="G249" i="2"/>
  <c r="T249" i="11" s="1"/>
  <c r="G248" i="2"/>
  <c r="T248" i="11" s="1"/>
  <c r="G247" i="2"/>
  <c r="T247" i="11" s="1"/>
  <c r="G246" i="2"/>
  <c r="T246" i="11" s="1"/>
  <c r="G245" i="2"/>
  <c r="T245" i="11" s="1"/>
  <c r="G244" i="2"/>
  <c r="T244" i="11" s="1"/>
  <c r="G243" i="2"/>
  <c r="T243" i="11" s="1"/>
  <c r="G242" i="2"/>
  <c r="T242" i="11" s="1"/>
  <c r="G241" i="2"/>
  <c r="T241" i="11" s="1"/>
  <c r="G240" i="2"/>
  <c r="T240" i="11" s="1"/>
  <c r="G239" i="2"/>
  <c r="T239" i="11" s="1"/>
  <c r="G238" i="2"/>
  <c r="T238" i="11" s="1"/>
  <c r="G237" i="2"/>
  <c r="T237" i="11" s="1"/>
  <c r="G236" i="2"/>
  <c r="T236" i="11" s="1"/>
  <c r="G235" i="2"/>
  <c r="T235" i="11" s="1"/>
  <c r="G234" i="2"/>
  <c r="T234" i="11" s="1"/>
  <c r="G233" i="2"/>
  <c r="T233" i="11" s="1"/>
  <c r="G232" i="2"/>
  <c r="T232" i="11" s="1"/>
  <c r="G231" i="2"/>
  <c r="T231" i="11" s="1"/>
  <c r="G230" i="2"/>
  <c r="T230" i="11" s="1"/>
  <c r="G229" i="2"/>
  <c r="T229" i="11" s="1"/>
  <c r="G228" i="2"/>
  <c r="T228" i="11" s="1"/>
  <c r="G227" i="2"/>
  <c r="T227" i="11" s="1"/>
  <c r="G226" i="2"/>
  <c r="T226" i="11" s="1"/>
  <c r="G225" i="2"/>
  <c r="T225" i="11" s="1"/>
  <c r="G224" i="2"/>
  <c r="T224" i="11" s="1"/>
  <c r="G223" i="2"/>
  <c r="T223" i="11" s="1"/>
  <c r="G222" i="2"/>
  <c r="T222" i="11" s="1"/>
  <c r="G221" i="2"/>
  <c r="T221" i="11" s="1"/>
  <c r="G220" i="2"/>
  <c r="T220" i="11" s="1"/>
  <c r="G219" i="2"/>
  <c r="T219" i="11" s="1"/>
  <c r="G218" i="2"/>
  <c r="T218" i="11" s="1"/>
  <c r="G217" i="2"/>
  <c r="T217" i="11" s="1"/>
  <c r="G216" i="2"/>
  <c r="T216" i="11" s="1"/>
  <c r="G215" i="2"/>
  <c r="T215" i="11" s="1"/>
  <c r="G214" i="2"/>
  <c r="T214" i="11" s="1"/>
  <c r="G213" i="2"/>
  <c r="T213" i="11" s="1"/>
  <c r="G212" i="2"/>
  <c r="T212" i="11" s="1"/>
  <c r="G211" i="2"/>
  <c r="T211" i="11" s="1"/>
  <c r="G210" i="2"/>
  <c r="T210" i="11" s="1"/>
  <c r="G209" i="2"/>
  <c r="G208" i="2"/>
  <c r="T208" i="11" s="1"/>
  <c r="G207" i="2"/>
  <c r="T207" i="11" s="1"/>
  <c r="G206" i="2"/>
  <c r="T206" i="11" s="1"/>
  <c r="G205" i="2"/>
  <c r="T205" i="11" s="1"/>
  <c r="G204" i="2"/>
  <c r="T204" i="11" s="1"/>
  <c r="G203" i="2"/>
  <c r="T203" i="11" s="1"/>
  <c r="G202" i="2"/>
  <c r="T202" i="11" s="1"/>
  <c r="G201" i="2"/>
  <c r="T201" i="11" s="1"/>
  <c r="G200" i="2"/>
  <c r="T200" i="11" s="1"/>
  <c r="G199" i="2"/>
  <c r="T199" i="11" s="1"/>
  <c r="G198" i="2"/>
  <c r="T198" i="11" s="1"/>
  <c r="G197" i="2"/>
  <c r="T197" i="11" s="1"/>
  <c r="G196" i="2"/>
  <c r="T196" i="11" s="1"/>
  <c r="G195" i="2"/>
  <c r="T195" i="11" s="1"/>
  <c r="G194" i="2"/>
  <c r="T194" i="11" s="1"/>
  <c r="G193" i="2"/>
  <c r="T193" i="11" s="1"/>
  <c r="G192" i="2"/>
  <c r="T192" i="11" s="1"/>
  <c r="G191" i="2"/>
  <c r="T191" i="11" s="1"/>
  <c r="G190" i="2"/>
  <c r="T190" i="11" s="1"/>
  <c r="G189" i="2"/>
  <c r="T189" i="11" s="1"/>
  <c r="G188" i="2"/>
  <c r="T188" i="11" s="1"/>
  <c r="G187" i="2"/>
  <c r="T187" i="11" s="1"/>
  <c r="G186" i="2"/>
  <c r="T186" i="11" s="1"/>
  <c r="G185" i="2"/>
  <c r="G184" i="2"/>
  <c r="T184" i="11" s="1"/>
  <c r="G183" i="2"/>
  <c r="T183" i="11" s="1"/>
  <c r="G182" i="2"/>
  <c r="T182" i="11" s="1"/>
  <c r="G181" i="2"/>
  <c r="T181" i="11" s="1"/>
  <c r="G180" i="2"/>
  <c r="T180" i="11" s="1"/>
  <c r="G179" i="2"/>
  <c r="T179" i="11" s="1"/>
  <c r="G178" i="2"/>
  <c r="T178" i="11" s="1"/>
  <c r="G177" i="2"/>
  <c r="T177" i="11" s="1"/>
  <c r="G176" i="2"/>
  <c r="T176" i="11" s="1"/>
  <c r="G175" i="2"/>
  <c r="T175" i="11" s="1"/>
  <c r="G174" i="2"/>
  <c r="T174" i="11" s="1"/>
  <c r="G173" i="2"/>
  <c r="T173" i="11" s="1"/>
  <c r="G172" i="2"/>
  <c r="T172" i="11" s="1"/>
  <c r="G171" i="2"/>
  <c r="T171" i="11" s="1"/>
  <c r="G170" i="2"/>
  <c r="T170" i="11" s="1"/>
  <c r="G169" i="2"/>
  <c r="T169" i="11" s="1"/>
  <c r="G168" i="2"/>
  <c r="T168" i="11" s="1"/>
  <c r="G167" i="2"/>
  <c r="T167" i="11" s="1"/>
  <c r="G166" i="2"/>
  <c r="T166" i="11" s="1"/>
  <c r="G165" i="2"/>
  <c r="T165" i="11" s="1"/>
  <c r="G164" i="2"/>
  <c r="T164" i="11" s="1"/>
  <c r="G163" i="2"/>
  <c r="T163" i="11" s="1"/>
  <c r="G162" i="2"/>
  <c r="T162" i="11" s="1"/>
  <c r="G161" i="2"/>
  <c r="T161" i="11" s="1"/>
  <c r="G160" i="2"/>
  <c r="T160" i="11" s="1"/>
  <c r="G159" i="2"/>
  <c r="T159" i="11" s="1"/>
  <c r="G158" i="2"/>
  <c r="T158" i="11" s="1"/>
  <c r="G157" i="2"/>
  <c r="T157" i="11" s="1"/>
  <c r="G156" i="2"/>
  <c r="T156" i="11" s="1"/>
  <c r="G155" i="2"/>
  <c r="T155" i="11" s="1"/>
  <c r="G154" i="2"/>
  <c r="T154" i="11" s="1"/>
  <c r="G153" i="2"/>
  <c r="T153" i="11" s="1"/>
  <c r="G152" i="2"/>
  <c r="T152" i="11" s="1"/>
  <c r="G151" i="2"/>
  <c r="T151" i="11" s="1"/>
  <c r="G150" i="2"/>
  <c r="T150" i="11" s="1"/>
  <c r="G149" i="2"/>
  <c r="T149" i="11" s="1"/>
  <c r="G148" i="2"/>
  <c r="T148" i="11" s="1"/>
  <c r="G147" i="2"/>
  <c r="T147" i="11" s="1"/>
  <c r="G146" i="2"/>
  <c r="T146" i="11" s="1"/>
  <c r="G145" i="2"/>
  <c r="T145" i="11" s="1"/>
  <c r="G144" i="2"/>
  <c r="T144" i="11" s="1"/>
  <c r="G143" i="2"/>
  <c r="T143" i="11" s="1"/>
  <c r="G142" i="2"/>
  <c r="T142" i="11" s="1"/>
  <c r="G141" i="2"/>
  <c r="T141" i="11" s="1"/>
  <c r="G140" i="2"/>
  <c r="T140" i="11" s="1"/>
  <c r="G139" i="2"/>
  <c r="T139" i="11" s="1"/>
  <c r="G138" i="2"/>
  <c r="T138" i="11" s="1"/>
  <c r="G137" i="2"/>
  <c r="T137" i="11" s="1"/>
  <c r="G136" i="2"/>
  <c r="T136" i="11" s="1"/>
  <c r="G135" i="2"/>
  <c r="T135" i="11" s="1"/>
  <c r="G134" i="2"/>
  <c r="T134" i="11" s="1"/>
  <c r="G133" i="2"/>
  <c r="T133" i="11" s="1"/>
  <c r="G132" i="2"/>
  <c r="T132" i="11" s="1"/>
  <c r="G131" i="2"/>
  <c r="T131" i="11" s="1"/>
  <c r="G130" i="2"/>
  <c r="T130" i="11" s="1"/>
  <c r="G129" i="2"/>
  <c r="T129" i="11" s="1"/>
  <c r="G128" i="2"/>
  <c r="T128" i="11" s="1"/>
  <c r="G127" i="2"/>
  <c r="T127" i="11" s="1"/>
  <c r="G126" i="2"/>
  <c r="T126" i="11" s="1"/>
  <c r="G125" i="2"/>
  <c r="T125" i="11" s="1"/>
  <c r="G124" i="2"/>
  <c r="T124" i="11" s="1"/>
  <c r="G123" i="2"/>
  <c r="T123" i="11" s="1"/>
  <c r="G122" i="2"/>
  <c r="T122" i="11" s="1"/>
  <c r="G121" i="2"/>
  <c r="T121" i="11" s="1"/>
  <c r="G120" i="2"/>
  <c r="T120" i="11" s="1"/>
  <c r="G119" i="2"/>
  <c r="T119" i="11" s="1"/>
  <c r="G118" i="2"/>
  <c r="T118" i="11" s="1"/>
  <c r="G117" i="2"/>
  <c r="T117" i="11" s="1"/>
  <c r="G116" i="2"/>
  <c r="T116" i="11" s="1"/>
  <c r="G115" i="2"/>
  <c r="T115" i="11" s="1"/>
  <c r="G114" i="2"/>
  <c r="T114" i="11" s="1"/>
  <c r="G113" i="2"/>
  <c r="G112" i="2"/>
  <c r="T112" i="11" s="1"/>
  <c r="G111" i="2"/>
  <c r="T111" i="11" s="1"/>
  <c r="G110" i="2"/>
  <c r="T110" i="11" s="1"/>
  <c r="G109" i="2"/>
  <c r="T109" i="11" s="1"/>
  <c r="G108" i="2"/>
  <c r="T108" i="11" s="1"/>
  <c r="G107" i="2"/>
  <c r="T107" i="11" s="1"/>
  <c r="G106" i="2"/>
  <c r="T106" i="11" s="1"/>
  <c r="G105" i="2"/>
  <c r="T105" i="11" s="1"/>
  <c r="G104" i="2"/>
  <c r="T104" i="11" s="1"/>
  <c r="G103" i="2"/>
  <c r="T103" i="11" s="1"/>
  <c r="G102" i="2"/>
  <c r="T102" i="11" s="1"/>
  <c r="G101" i="2"/>
  <c r="T101" i="11" s="1"/>
  <c r="G100" i="2"/>
  <c r="T100" i="11" s="1"/>
  <c r="G99" i="2"/>
  <c r="T99" i="11" s="1"/>
  <c r="G98" i="2"/>
  <c r="T98" i="11" s="1"/>
  <c r="G97" i="2"/>
  <c r="T97" i="11" s="1"/>
  <c r="G96" i="2"/>
  <c r="T96" i="11" s="1"/>
  <c r="G95" i="2"/>
  <c r="T95" i="11" s="1"/>
  <c r="G94" i="2"/>
  <c r="T94" i="11" s="1"/>
  <c r="G93" i="2"/>
  <c r="T93" i="11" s="1"/>
  <c r="G92" i="2"/>
  <c r="T92" i="11" s="1"/>
  <c r="G91" i="2"/>
  <c r="T91" i="11" s="1"/>
  <c r="G90" i="2"/>
  <c r="T90" i="11" s="1"/>
  <c r="G89" i="2"/>
  <c r="G88" i="2"/>
  <c r="T88" i="11" s="1"/>
  <c r="G87" i="2"/>
  <c r="T87" i="11" s="1"/>
  <c r="G86" i="2"/>
  <c r="T86" i="11" s="1"/>
  <c r="G85" i="2"/>
  <c r="T85" i="11" s="1"/>
  <c r="G84" i="2"/>
  <c r="T84" i="11" s="1"/>
  <c r="G83" i="2"/>
  <c r="T83" i="11" s="1"/>
  <c r="G82" i="2"/>
  <c r="T82" i="11" s="1"/>
  <c r="G81" i="2"/>
  <c r="T81" i="11" s="1"/>
  <c r="G80" i="2"/>
  <c r="T80" i="11" s="1"/>
  <c r="G79" i="2"/>
  <c r="T79" i="11" s="1"/>
  <c r="G78" i="2"/>
  <c r="T78" i="11" s="1"/>
  <c r="G77" i="2"/>
  <c r="T77" i="11" s="1"/>
  <c r="G76" i="2"/>
  <c r="T76" i="11" s="1"/>
  <c r="G75" i="2"/>
  <c r="T75" i="11" s="1"/>
  <c r="G74" i="2"/>
  <c r="T74" i="11" s="1"/>
  <c r="G73" i="2"/>
  <c r="T73" i="11" s="1"/>
  <c r="G72" i="2"/>
  <c r="T72" i="11" s="1"/>
  <c r="G71" i="2"/>
  <c r="T71" i="11" s="1"/>
  <c r="G70" i="2"/>
  <c r="T70" i="11" s="1"/>
  <c r="G69" i="2"/>
  <c r="T69" i="11" s="1"/>
  <c r="G68" i="2"/>
  <c r="T68" i="11" s="1"/>
  <c r="G67" i="2"/>
  <c r="T67" i="11" s="1"/>
  <c r="G66" i="2"/>
  <c r="T66" i="11" s="1"/>
  <c r="G65" i="2"/>
  <c r="G64" i="2"/>
  <c r="T64" i="11" s="1"/>
  <c r="G63" i="2"/>
  <c r="T63" i="11" s="1"/>
  <c r="G62" i="2"/>
  <c r="T62" i="11" s="1"/>
  <c r="G61" i="2"/>
  <c r="T61" i="11" s="1"/>
  <c r="G60" i="2"/>
  <c r="T60" i="11" s="1"/>
  <c r="G59" i="2"/>
  <c r="T59" i="11" s="1"/>
  <c r="G58" i="2"/>
  <c r="T58" i="11" s="1"/>
  <c r="G57" i="2"/>
  <c r="T57" i="11" s="1"/>
  <c r="G56" i="2"/>
  <c r="T56" i="11" s="1"/>
  <c r="G55" i="2"/>
  <c r="T55" i="11" s="1"/>
  <c r="G54" i="2"/>
  <c r="T54" i="11" s="1"/>
  <c r="G53" i="2"/>
  <c r="T53" i="11" s="1"/>
  <c r="G52" i="2"/>
  <c r="T52" i="11" s="1"/>
  <c r="G51" i="2"/>
  <c r="T51" i="11" s="1"/>
  <c r="G50" i="2"/>
  <c r="T50" i="11" s="1"/>
  <c r="G49" i="2"/>
  <c r="T49" i="11" s="1"/>
  <c r="G48" i="2"/>
  <c r="T48" i="11" s="1"/>
  <c r="G47" i="2"/>
  <c r="T47" i="11" s="1"/>
  <c r="G46" i="2"/>
  <c r="T46" i="11" s="1"/>
  <c r="G45" i="2"/>
  <c r="T45" i="11" s="1"/>
  <c r="G44" i="2"/>
  <c r="T44" i="11" s="1"/>
  <c r="G43" i="2"/>
  <c r="T43" i="11" s="1"/>
  <c r="G42" i="2"/>
  <c r="T42" i="11" s="1"/>
  <c r="G41" i="2"/>
  <c r="G40" i="2"/>
  <c r="T40" i="11" s="1"/>
  <c r="G39" i="2"/>
  <c r="T39" i="11" s="1"/>
  <c r="G38" i="2"/>
  <c r="T38" i="11" s="1"/>
  <c r="G37" i="2"/>
  <c r="T37" i="11" s="1"/>
  <c r="G36" i="2"/>
  <c r="T36" i="11" s="1"/>
  <c r="G35" i="2"/>
  <c r="T35" i="11" s="1"/>
  <c r="G34" i="2"/>
  <c r="T34" i="11" s="1"/>
  <c r="G33" i="2"/>
  <c r="T33" i="11" s="1"/>
  <c r="G32" i="2"/>
  <c r="T32" i="11" s="1"/>
  <c r="G31" i="2"/>
  <c r="T31" i="11" s="1"/>
  <c r="G30" i="2"/>
  <c r="T30" i="11" s="1"/>
  <c r="G29" i="2"/>
  <c r="T29" i="11" s="1"/>
  <c r="G28" i="2"/>
  <c r="T28" i="11" s="1"/>
  <c r="G27" i="2"/>
  <c r="T27" i="11" s="1"/>
  <c r="G26" i="2"/>
  <c r="T26" i="11" s="1"/>
  <c r="G25" i="2"/>
  <c r="T25" i="11" s="1"/>
  <c r="G24" i="2"/>
  <c r="T24" i="11" s="1"/>
  <c r="G23" i="2"/>
  <c r="T23" i="11" s="1"/>
  <c r="G22" i="2"/>
  <c r="T22" i="11" s="1"/>
  <c r="G21" i="2"/>
  <c r="T21" i="11" s="1"/>
  <c r="G20" i="2"/>
  <c r="T20" i="11" s="1"/>
  <c r="G19" i="2"/>
  <c r="T19" i="11" s="1"/>
  <c r="G18" i="2"/>
  <c r="T18" i="11" s="1"/>
  <c r="G17" i="2"/>
  <c r="G16" i="2"/>
  <c r="T16" i="11" s="1"/>
  <c r="G15" i="2"/>
  <c r="T15" i="11" s="1"/>
  <c r="G14" i="2"/>
  <c r="T14" i="11" s="1"/>
  <c r="G13" i="2"/>
  <c r="T13" i="11" s="1"/>
  <c r="G12" i="2"/>
  <c r="T12" i="11" s="1"/>
  <c r="G11" i="2"/>
  <c r="T11" i="11" s="1"/>
  <c r="G10" i="2"/>
  <c r="T10" i="11" s="1"/>
  <c r="G9" i="2"/>
  <c r="T9" i="11" s="1"/>
  <c r="G8" i="2"/>
  <c r="T8" i="11" s="1"/>
  <c r="G7" i="2"/>
  <c r="T7" i="11" s="1"/>
  <c r="G6" i="2"/>
  <c r="T6" i="11" s="1"/>
  <c r="G5" i="2"/>
  <c r="T5" i="11" s="1"/>
  <c r="T17" i="11" l="1"/>
  <c r="BC28" i="11" s="1"/>
  <c r="I33" i="20" s="1"/>
  <c r="T41" i="11"/>
  <c r="BC52" i="11" s="1"/>
  <c r="K33" i="20" s="1"/>
  <c r="T65" i="11"/>
  <c r="BC76" i="11" s="1"/>
  <c r="M33" i="20" s="1"/>
  <c r="T89" i="11"/>
  <c r="BC100" i="11" s="1"/>
  <c r="O33" i="20" s="1"/>
  <c r="T113" i="11"/>
  <c r="BC124" i="11" s="1"/>
  <c r="Q33" i="20" s="1"/>
  <c r="T185" i="11"/>
  <c r="BC196" i="11" s="1"/>
  <c r="W33" i="20" s="1"/>
  <c r="T209" i="11"/>
  <c r="BC220" i="11" s="1"/>
  <c r="Y33" i="20" s="1"/>
  <c r="B424" i="11"/>
  <c r="AO3" i="20"/>
  <c r="BC16" i="11"/>
  <c r="H33" i="20" s="1"/>
  <c r="BC244" i="11"/>
  <c r="AA33" i="20" s="1"/>
  <c r="BC268" i="11"/>
  <c r="AC33" i="20" s="1"/>
  <c r="BC292" i="11"/>
  <c r="AE33" i="20" s="1"/>
  <c r="BC64" i="11"/>
  <c r="L33" i="20" s="1"/>
  <c r="BC88" i="11"/>
  <c r="N33" i="20" s="1"/>
  <c r="BC112" i="11"/>
  <c r="P33" i="20" s="1"/>
  <c r="BC208" i="11"/>
  <c r="X33" i="20" s="1"/>
  <c r="BC232" i="11"/>
  <c r="Z33" i="20" s="1"/>
  <c r="BC256" i="11"/>
  <c r="AB33" i="20" s="1"/>
  <c r="BC280" i="11"/>
  <c r="AD33" i="20" s="1"/>
  <c r="BC304" i="11"/>
  <c r="AF33" i="20" s="1"/>
  <c r="P126" i="2"/>
  <c r="P158" i="2"/>
  <c r="O31" i="2"/>
  <c r="P143" i="2"/>
  <c r="P167" i="2"/>
  <c r="O32" i="2"/>
  <c r="P136" i="2"/>
  <c r="P144" i="2"/>
  <c r="P176" i="2"/>
  <c r="O33" i="2"/>
  <c r="P145" i="2"/>
  <c r="P177" i="2"/>
  <c r="O34" i="2"/>
  <c r="P130" i="2"/>
  <c r="P138" i="2"/>
  <c r="P146" i="2"/>
  <c r="P154" i="2"/>
  <c r="P162" i="2"/>
  <c r="P170" i="2"/>
  <c r="P178" i="2"/>
  <c r="O38" i="2"/>
  <c r="P142" i="2"/>
  <c r="P174" i="2"/>
  <c r="O39" i="2"/>
  <c r="P151" i="2"/>
  <c r="P131" i="2"/>
  <c r="P139" i="2"/>
  <c r="P147" i="2"/>
  <c r="P155" i="2"/>
  <c r="P163" i="2"/>
  <c r="P171" i="2"/>
  <c r="P179" i="2"/>
  <c r="P150" i="2"/>
  <c r="P135" i="2"/>
  <c r="P175" i="2"/>
  <c r="P160" i="2"/>
  <c r="P184" i="2"/>
  <c r="P137" i="2"/>
  <c r="P161" i="2"/>
  <c r="O35" i="2"/>
  <c r="O36" i="2"/>
  <c r="P132" i="2"/>
  <c r="P140" i="2"/>
  <c r="P148" i="2"/>
  <c r="P156" i="2"/>
  <c r="P164" i="2"/>
  <c r="P172" i="2"/>
  <c r="P180" i="2"/>
  <c r="O30" i="2"/>
  <c r="P134" i="2"/>
  <c r="P166" i="2"/>
  <c r="P182" i="2"/>
  <c r="P127" i="2"/>
  <c r="P159" i="2"/>
  <c r="P183" i="2"/>
  <c r="O40" i="2"/>
  <c r="P128" i="2"/>
  <c r="P152" i="2"/>
  <c r="P168" i="2"/>
  <c r="P129" i="2"/>
  <c r="P153" i="2"/>
  <c r="P169" i="2"/>
  <c r="O29" i="2"/>
  <c r="O37" i="2"/>
  <c r="P125" i="2"/>
  <c r="P133" i="2"/>
  <c r="P141" i="2"/>
  <c r="P149" i="2"/>
  <c r="P157" i="2"/>
  <c r="P165" i="2"/>
  <c r="P173" i="2"/>
  <c r="BC184" i="11"/>
  <c r="V33" i="20" s="1"/>
  <c r="P181" i="2"/>
  <c r="S45" i="5"/>
  <c r="U42" i="5" s="1"/>
  <c r="R46" i="5"/>
  <c r="N5" i="2"/>
  <c r="Q47" i="5"/>
  <c r="O51" i="2"/>
  <c r="O107" i="2"/>
  <c r="O163" i="2"/>
  <c r="O219" i="2"/>
  <c r="P291" i="2"/>
  <c r="N12" i="2"/>
  <c r="N20" i="2"/>
  <c r="N28" i="2"/>
  <c r="N36" i="2"/>
  <c r="O44" i="2"/>
  <c r="O52" i="2"/>
  <c r="O60" i="2"/>
  <c r="O68" i="2"/>
  <c r="O76" i="2"/>
  <c r="O84" i="2"/>
  <c r="O92" i="2"/>
  <c r="O100" i="2"/>
  <c r="O108" i="2"/>
  <c r="O116" i="2"/>
  <c r="O124" i="2"/>
  <c r="O132" i="2"/>
  <c r="O140" i="2"/>
  <c r="O148" i="2"/>
  <c r="O156" i="2"/>
  <c r="O164" i="2"/>
  <c r="O172" i="2"/>
  <c r="O180" i="2"/>
  <c r="O188" i="2"/>
  <c r="O196" i="2"/>
  <c r="O204" i="2"/>
  <c r="O212" i="2"/>
  <c r="O220" i="2"/>
  <c r="P228" i="2"/>
  <c r="P236" i="2"/>
  <c r="P244" i="2"/>
  <c r="P252" i="2"/>
  <c r="P260" i="2"/>
  <c r="P268" i="2"/>
  <c r="P276" i="2"/>
  <c r="P284" i="2"/>
  <c r="P292" i="2"/>
  <c r="P300" i="2"/>
  <c r="N19" i="2"/>
  <c r="O83" i="2"/>
  <c r="O155" i="2"/>
  <c r="O211" i="2"/>
  <c r="P299" i="2"/>
  <c r="N13" i="2"/>
  <c r="N21" i="2"/>
  <c r="N29" i="2"/>
  <c r="N37" i="2"/>
  <c r="O45" i="2"/>
  <c r="O53" i="2"/>
  <c r="O61" i="2"/>
  <c r="O69" i="2"/>
  <c r="O77" i="2"/>
  <c r="O85" i="2"/>
  <c r="O93" i="2"/>
  <c r="O101" i="2"/>
  <c r="O109" i="2"/>
  <c r="O117" i="2"/>
  <c r="O125" i="2"/>
  <c r="O133" i="2"/>
  <c r="O141" i="2"/>
  <c r="O149" i="2"/>
  <c r="O157" i="2"/>
  <c r="O165" i="2"/>
  <c r="O173" i="2"/>
  <c r="O181" i="2"/>
  <c r="O189" i="2"/>
  <c r="O197" i="2"/>
  <c r="O205" i="2"/>
  <c r="O213" i="2"/>
  <c r="P221" i="2"/>
  <c r="P229" i="2"/>
  <c r="P237" i="2"/>
  <c r="P245" i="2"/>
  <c r="P253" i="2"/>
  <c r="P261" i="2"/>
  <c r="P269" i="2"/>
  <c r="P277" i="2"/>
  <c r="P285" i="2"/>
  <c r="P293" i="2"/>
  <c r="P301" i="2"/>
  <c r="O67" i="2"/>
  <c r="O123" i="2"/>
  <c r="O179" i="2"/>
  <c r="P235" i="2"/>
  <c r="P259" i="2"/>
  <c r="N30" i="2"/>
  <c r="N38" i="2"/>
  <c r="O54" i="2"/>
  <c r="O62" i="2"/>
  <c r="O70" i="2"/>
  <c r="O78" i="2"/>
  <c r="O86" i="2"/>
  <c r="O94" i="2"/>
  <c r="O102" i="2"/>
  <c r="O110" i="2"/>
  <c r="O118" i="2"/>
  <c r="O126" i="2"/>
  <c r="O134" i="2"/>
  <c r="O142" i="2"/>
  <c r="O150" i="2"/>
  <c r="O158" i="2"/>
  <c r="O166" i="2"/>
  <c r="O174" i="2"/>
  <c r="O182" i="2"/>
  <c r="O190" i="2"/>
  <c r="O198" i="2"/>
  <c r="O206" i="2"/>
  <c r="O214" i="2"/>
  <c r="P222" i="2"/>
  <c r="P230" i="2"/>
  <c r="P238" i="2"/>
  <c r="P246" i="2"/>
  <c r="P254" i="2"/>
  <c r="P262" i="2"/>
  <c r="P270" i="2"/>
  <c r="P278" i="2"/>
  <c r="P286" i="2"/>
  <c r="P294" i="2"/>
  <c r="P302" i="2"/>
  <c r="O43" i="2"/>
  <c r="O99" i="2"/>
  <c r="O147" i="2"/>
  <c r="O195" i="2"/>
  <c r="P283" i="2"/>
  <c r="N22" i="2"/>
  <c r="O46" i="2"/>
  <c r="N7" i="2"/>
  <c r="N15" i="2"/>
  <c r="N23" i="2"/>
  <c r="N31" i="2"/>
  <c r="N39" i="2"/>
  <c r="O47" i="2"/>
  <c r="O55" i="2"/>
  <c r="O63" i="2"/>
  <c r="O71" i="2"/>
  <c r="O79" i="2"/>
  <c r="O87" i="2"/>
  <c r="O95" i="2"/>
  <c r="O103" i="2"/>
  <c r="O111" i="2"/>
  <c r="O119" i="2"/>
  <c r="O127" i="2"/>
  <c r="O135" i="2"/>
  <c r="O143" i="2"/>
  <c r="O151" i="2"/>
  <c r="O159" i="2"/>
  <c r="O167" i="2"/>
  <c r="O175" i="2"/>
  <c r="O183" i="2"/>
  <c r="O191" i="2"/>
  <c r="O199" i="2"/>
  <c r="O207" i="2"/>
  <c r="O215" i="2"/>
  <c r="P223" i="2"/>
  <c r="P231" i="2"/>
  <c r="P239" i="2"/>
  <c r="P247" i="2"/>
  <c r="P255" i="2"/>
  <c r="P263" i="2"/>
  <c r="P271" i="2"/>
  <c r="P279" i="2"/>
  <c r="P287" i="2"/>
  <c r="P295" i="2"/>
  <c r="P303" i="2"/>
  <c r="N11" i="2"/>
  <c r="O59" i="2"/>
  <c r="O115" i="2"/>
  <c r="O171" i="2"/>
  <c r="P227" i="2"/>
  <c r="P267" i="2"/>
  <c r="N14" i="2"/>
  <c r="N16" i="2"/>
  <c r="N24" i="2"/>
  <c r="N32" i="2"/>
  <c r="N40" i="2"/>
  <c r="O48" i="2"/>
  <c r="O56" i="2"/>
  <c r="O64" i="2"/>
  <c r="O72" i="2"/>
  <c r="O80" i="2"/>
  <c r="O88" i="2"/>
  <c r="O96" i="2"/>
  <c r="O104" i="2"/>
  <c r="O112" i="2"/>
  <c r="O120" i="2"/>
  <c r="O128" i="2"/>
  <c r="O136" i="2"/>
  <c r="O144" i="2"/>
  <c r="O152" i="2"/>
  <c r="O160" i="2"/>
  <c r="O168" i="2"/>
  <c r="O176" i="2"/>
  <c r="O184" i="2"/>
  <c r="O192" i="2"/>
  <c r="O200" i="2"/>
  <c r="O208" i="2"/>
  <c r="O216" i="2"/>
  <c r="P224" i="2"/>
  <c r="P232" i="2"/>
  <c r="P240" i="2"/>
  <c r="P248" i="2"/>
  <c r="P256" i="2"/>
  <c r="P264" i="2"/>
  <c r="P272" i="2"/>
  <c r="P280" i="2"/>
  <c r="P288" i="2"/>
  <c r="P296" i="2"/>
  <c r="P304" i="2"/>
  <c r="N27" i="2"/>
  <c r="O75" i="2"/>
  <c r="O131" i="2"/>
  <c r="O187" i="2"/>
  <c r="P243" i="2"/>
  <c r="P251" i="2"/>
  <c r="N9" i="2"/>
  <c r="N25" i="2"/>
  <c r="N33" i="2"/>
  <c r="O41" i="2"/>
  <c r="O49" i="2"/>
  <c r="O57" i="2"/>
  <c r="O65" i="2"/>
  <c r="O73" i="2"/>
  <c r="O81" i="2"/>
  <c r="O89" i="2"/>
  <c r="O97" i="2"/>
  <c r="O105" i="2"/>
  <c r="O113" i="2"/>
  <c r="O121" i="2"/>
  <c r="O129" i="2"/>
  <c r="O137" i="2"/>
  <c r="O145" i="2"/>
  <c r="O153" i="2"/>
  <c r="O161" i="2"/>
  <c r="O169" i="2"/>
  <c r="O177" i="2"/>
  <c r="O185" i="2"/>
  <c r="O193" i="2"/>
  <c r="O201" i="2"/>
  <c r="O209" i="2"/>
  <c r="O217" i="2"/>
  <c r="P225" i="2"/>
  <c r="P233" i="2"/>
  <c r="P241" i="2"/>
  <c r="P249" i="2"/>
  <c r="P257" i="2"/>
  <c r="P265" i="2"/>
  <c r="P273" i="2"/>
  <c r="P281" i="2"/>
  <c r="P289" i="2"/>
  <c r="P297" i="2"/>
  <c r="N35" i="2"/>
  <c r="O91" i="2"/>
  <c r="O139" i="2"/>
  <c r="O203" i="2"/>
  <c r="P275" i="2"/>
  <c r="N6" i="2"/>
  <c r="N8" i="2"/>
  <c r="N17" i="2"/>
  <c r="N10" i="2"/>
  <c r="N18" i="2"/>
  <c r="N26" i="2"/>
  <c r="N34" i="2"/>
  <c r="O42" i="2"/>
  <c r="O50" i="2"/>
  <c r="O58" i="2"/>
  <c r="O66" i="2"/>
  <c r="O74" i="2"/>
  <c r="O82" i="2"/>
  <c r="O90" i="2"/>
  <c r="O98" i="2"/>
  <c r="O106" i="2"/>
  <c r="O114" i="2"/>
  <c r="O122" i="2"/>
  <c r="O130" i="2"/>
  <c r="O138" i="2"/>
  <c r="O146" i="2"/>
  <c r="O154" i="2"/>
  <c r="O162" i="2"/>
  <c r="O170" i="2"/>
  <c r="O178" i="2"/>
  <c r="O186" i="2"/>
  <c r="O194" i="2"/>
  <c r="O202" i="2"/>
  <c r="O210" i="2"/>
  <c r="O218" i="2"/>
  <c r="P226" i="2"/>
  <c r="P234" i="2"/>
  <c r="P242" i="2"/>
  <c r="P250" i="2"/>
  <c r="P258" i="2"/>
  <c r="P266" i="2"/>
  <c r="P274" i="2"/>
  <c r="P282" i="2"/>
  <c r="P290" i="2"/>
  <c r="P298" i="2"/>
  <c r="P4" i="6"/>
  <c r="E4" i="6"/>
  <c r="D20" i="17" s="1" a="1"/>
  <c r="D20" i="17" s="1"/>
  <c r="B436" i="11" l="1"/>
  <c r="AP3" i="20"/>
  <c r="BC136" i="11"/>
  <c r="R33" i="20" s="1"/>
  <c r="BC40" i="11"/>
  <c r="J33" i="20" s="1"/>
  <c r="BC172" i="11"/>
  <c r="U33" i="20" s="1"/>
  <c r="BC148" i="11"/>
  <c r="S33" i="20" s="1"/>
  <c r="BC160" i="11"/>
  <c r="T33" i="20" s="1"/>
  <c r="S46" i="5"/>
  <c r="U43" i="5" s="1"/>
  <c r="R47" i="5"/>
  <c r="E20" i="17"/>
  <c r="Q48" i="5"/>
  <c r="E45" i="1"/>
  <c r="B448" i="11" l="1"/>
  <c r="AQ3" i="20"/>
  <c r="S47" i="5"/>
  <c r="U44" i="5" s="1"/>
  <c r="R48" i="5"/>
  <c r="E21" i="17"/>
  <c r="Q49" i="5"/>
  <c r="F40" i="1"/>
  <c r="W16" i="2" l="1"/>
  <c r="W4" i="2"/>
  <c r="F42" i="1"/>
  <c r="AA16" i="2"/>
  <c r="B460" i="11"/>
  <c r="AR3" i="20"/>
  <c r="O18" i="1"/>
  <c r="S48" i="5"/>
  <c r="U45" i="5" s="1"/>
  <c r="R49" i="5"/>
  <c r="E22" i="17"/>
  <c r="Q50" i="5"/>
  <c r="G18" i="15"/>
  <c r="G25" i="15"/>
  <c r="J21" i="15"/>
  <c r="J22" i="15"/>
  <c r="J23" i="15"/>
  <c r="J24" i="15"/>
  <c r="J20" i="15"/>
  <c r="J49" i="15"/>
  <c r="J50" i="15"/>
  <c r="J51" i="15"/>
  <c r="J52" i="15"/>
  <c r="J48" i="15"/>
  <c r="AK4" i="2" l="1"/>
  <c r="BA4" i="2" s="1"/>
  <c r="AE4" i="11"/>
  <c r="BN4" i="11" s="1"/>
  <c r="B472" i="11"/>
  <c r="AS3" i="20"/>
  <c r="S49" i="5"/>
  <c r="U46" i="5" s="1"/>
  <c r="R50" i="5"/>
  <c r="E23" i="17"/>
  <c r="Q51" i="5"/>
  <c r="J25" i="15"/>
  <c r="G26" i="15"/>
  <c r="J53" i="15"/>
  <c r="G53" i="15"/>
  <c r="B484" i="11" l="1"/>
  <c r="AU3" i="20" s="1"/>
  <c r="AT3" i="20"/>
  <c r="S50" i="5"/>
  <c r="U47" i="5" s="1"/>
  <c r="R51" i="5"/>
  <c r="E24" i="17"/>
  <c r="Q52" i="5"/>
  <c r="M28" i="1"/>
  <c r="S51" i="5" l="1"/>
  <c r="U48" i="5" s="1"/>
  <c r="R52" i="5"/>
  <c r="E25" i="17"/>
  <c r="Q53" i="5"/>
  <c r="R53" i="5" s="1"/>
  <c r="S52" i="5" l="1"/>
  <c r="Q54" i="5"/>
  <c r="E328" i="2"/>
  <c r="E320" i="2"/>
  <c r="E321" i="2"/>
  <c r="E327" i="2"/>
  <c r="E322" i="2"/>
  <c r="E323" i="2"/>
  <c r="E318" i="2"/>
  <c r="E325" i="2"/>
  <c r="E326" i="2"/>
  <c r="E319" i="2"/>
  <c r="E324" i="2"/>
  <c r="E317" i="2"/>
  <c r="E334" i="2"/>
  <c r="E26" i="17"/>
  <c r="M35" i="6"/>
  <c r="M27" i="1" s="1"/>
  <c r="M34" i="6"/>
  <c r="M26" i="1" s="1"/>
  <c r="S53" i="5" l="1"/>
  <c r="U50" i="5" s="1"/>
  <c r="U49" i="5"/>
  <c r="AD365" i="2"/>
  <c r="AD375" i="2"/>
  <c r="AD417" i="2"/>
  <c r="AD404" i="2"/>
  <c r="AD461" i="2"/>
  <c r="AD407" i="2"/>
  <c r="AD401" i="2"/>
  <c r="AD480" i="2"/>
  <c r="AD411" i="2"/>
  <c r="AD421" i="2"/>
  <c r="AD413" i="2"/>
  <c r="AD394" i="2"/>
  <c r="AD387" i="2"/>
  <c r="AD459" i="2"/>
  <c r="AD471" i="2"/>
  <c r="AD373" i="2"/>
  <c r="AD456" i="2"/>
  <c r="AD433" i="2"/>
  <c r="AD445" i="2"/>
  <c r="AD385" i="2"/>
  <c r="AD452" i="2"/>
  <c r="AD466" i="2"/>
  <c r="AD396" i="2"/>
  <c r="AD386" i="2"/>
  <c r="AD458" i="2"/>
  <c r="AD476" i="2"/>
  <c r="AD464" i="2"/>
  <c r="AD397" i="2"/>
  <c r="AD429" i="2"/>
  <c r="AD438" i="2"/>
  <c r="AD430" i="2"/>
  <c r="AD378" i="2"/>
  <c r="AD457" i="2"/>
  <c r="AD419" i="2"/>
  <c r="AD467" i="2"/>
  <c r="AD377" i="2"/>
  <c r="AD484" i="2"/>
  <c r="AD390" i="2"/>
  <c r="AD474" i="2"/>
  <c r="AD448" i="2"/>
  <c r="AD455" i="2"/>
  <c r="AD443" i="2"/>
  <c r="AD368" i="2"/>
  <c r="AD432" i="2"/>
  <c r="AD422" i="2"/>
  <c r="AD416" i="2"/>
  <c r="AD393" i="2"/>
  <c r="AD366" i="2"/>
  <c r="AD392" i="2"/>
  <c r="AD384" i="2"/>
  <c r="AD440" i="2"/>
  <c r="AD399" i="2"/>
  <c r="AD453" i="2"/>
  <c r="AD403" i="2"/>
  <c r="AD380" i="2"/>
  <c r="AD434" i="2"/>
  <c r="AD444" i="2"/>
  <c r="AD425" i="2"/>
  <c r="AD470" i="2"/>
  <c r="AD406" i="2"/>
  <c r="AD391" i="2"/>
  <c r="AD423" i="2"/>
  <c r="AD436" i="2"/>
  <c r="AD372" i="2"/>
  <c r="AD405" i="2"/>
  <c r="AD398" i="2"/>
  <c r="AD424" i="2"/>
  <c r="AD447" i="2"/>
  <c r="AD379" i="2"/>
  <c r="AD369" i="2"/>
  <c r="AD439" i="2"/>
  <c r="AD469" i="2"/>
  <c r="AD427" i="2"/>
  <c r="AD388" i="2"/>
  <c r="AD482" i="2"/>
  <c r="AD428" i="2"/>
  <c r="AD412" i="2"/>
  <c r="AD383" i="2"/>
  <c r="AD463" i="2"/>
  <c r="AD479" i="2"/>
  <c r="AD468" i="2"/>
  <c r="AD475" i="2"/>
  <c r="AD402" i="2"/>
  <c r="AD435" i="2"/>
  <c r="AD408" i="2"/>
  <c r="AD418" i="2"/>
  <c r="AD442" i="2"/>
  <c r="AD409" i="2"/>
  <c r="AD400" i="2"/>
  <c r="AD415" i="2"/>
  <c r="AD371" i="2"/>
  <c r="AD465" i="2"/>
  <c r="AD367" i="2"/>
  <c r="AD449" i="2"/>
  <c r="AD431" i="2"/>
  <c r="AD376" i="2"/>
  <c r="AD420" i="2"/>
  <c r="AD395" i="2"/>
  <c r="AD450" i="2"/>
  <c r="AD410" i="2"/>
  <c r="AD370" i="2"/>
  <c r="AD374" i="2"/>
  <c r="AD451" i="2"/>
  <c r="AD389" i="2"/>
  <c r="AD426" i="2"/>
  <c r="AD473" i="2"/>
  <c r="AD454" i="2"/>
  <c r="AD462" i="2"/>
  <c r="AD381" i="2"/>
  <c r="AD483" i="2"/>
  <c r="AD477" i="2"/>
  <c r="AD382" i="2"/>
  <c r="AD437" i="2"/>
  <c r="AD478" i="2"/>
  <c r="AD481" i="2"/>
  <c r="AD460" i="2"/>
  <c r="AD414" i="2"/>
  <c r="AD441" i="2"/>
  <c r="AD446" i="2"/>
  <c r="AD472" i="2"/>
  <c r="Q55" i="5"/>
  <c r="R54" i="5"/>
  <c r="E336" i="2"/>
  <c r="E329" i="2"/>
  <c r="E330" i="2"/>
  <c r="E333" i="2"/>
  <c r="E331" i="2"/>
  <c r="E339" i="2"/>
  <c r="E332" i="2"/>
  <c r="E340" i="2"/>
  <c r="E337" i="2"/>
  <c r="E338" i="2"/>
  <c r="E335" i="2"/>
  <c r="E316" i="2"/>
  <c r="E315" i="2"/>
  <c r="E309" i="2"/>
  <c r="E314" i="2"/>
  <c r="E312" i="2"/>
  <c r="E308" i="2"/>
  <c r="E307" i="2"/>
  <c r="E313" i="2"/>
  <c r="E310" i="2"/>
  <c r="E306" i="2"/>
  <c r="E311" i="2"/>
  <c r="E305" i="2"/>
  <c r="E372" i="2" l="1"/>
  <c r="F372" i="2" s="1"/>
  <c r="E367" i="2"/>
  <c r="F367" i="2" s="1"/>
  <c r="E388" i="2"/>
  <c r="F388" i="2" s="1"/>
  <c r="E430" i="2"/>
  <c r="F430" i="2" s="1"/>
  <c r="E480" i="2"/>
  <c r="F480" i="2" s="1"/>
  <c r="E431" i="2"/>
  <c r="F431" i="2" s="1"/>
  <c r="E460" i="2"/>
  <c r="F460" i="2" s="1"/>
  <c r="E445" i="2"/>
  <c r="F445" i="2" s="1"/>
  <c r="E405" i="2"/>
  <c r="F405" i="2" s="1"/>
  <c r="E421" i="2"/>
  <c r="F421" i="2" s="1"/>
  <c r="E392" i="2"/>
  <c r="F392" i="2" s="1"/>
  <c r="E450" i="2"/>
  <c r="F450" i="2" s="1"/>
  <c r="E469" i="2"/>
  <c r="F469" i="2" s="1"/>
  <c r="E396" i="2"/>
  <c r="F396" i="2" s="1"/>
  <c r="E470" i="2"/>
  <c r="F470" i="2" s="1"/>
  <c r="E474" i="2"/>
  <c r="F474" i="2" s="1"/>
  <c r="E481" i="2"/>
  <c r="F481" i="2" s="1"/>
  <c r="E373" i="2"/>
  <c r="F373" i="2" s="1"/>
  <c r="E368" i="2"/>
  <c r="F368" i="2" s="1"/>
  <c r="E398" i="2"/>
  <c r="F398" i="2" s="1"/>
  <c r="E441" i="2"/>
  <c r="F441" i="2" s="1"/>
  <c r="E456" i="2"/>
  <c r="F456" i="2" s="1"/>
  <c r="E432" i="2"/>
  <c r="F432" i="2" s="1"/>
  <c r="E475" i="2"/>
  <c r="F475" i="2" s="1"/>
  <c r="E446" i="2"/>
  <c r="F446" i="2" s="1"/>
  <c r="E418" i="2"/>
  <c r="F418" i="2" s="1"/>
  <c r="E422" i="2"/>
  <c r="F422" i="2" s="1"/>
  <c r="E402" i="2"/>
  <c r="F402" i="2" s="1"/>
  <c r="E472" i="2"/>
  <c r="F472" i="2" s="1"/>
  <c r="E397" i="2"/>
  <c r="F397" i="2" s="1"/>
  <c r="E404" i="2"/>
  <c r="F404" i="2" s="1"/>
  <c r="E482" i="2"/>
  <c r="F482" i="2" s="1"/>
  <c r="E424" i="2"/>
  <c r="F424" i="2" s="1"/>
  <c r="E436" i="2"/>
  <c r="F436" i="2" s="1"/>
  <c r="E374" i="2"/>
  <c r="F374" i="2" s="1"/>
  <c r="E378" i="2"/>
  <c r="F378" i="2" s="1"/>
  <c r="E399" i="2"/>
  <c r="F399" i="2" s="1"/>
  <c r="E453" i="2"/>
  <c r="F453" i="2" s="1"/>
  <c r="E389" i="2"/>
  <c r="F389" i="2" s="1"/>
  <c r="E433" i="2"/>
  <c r="F433" i="2" s="1"/>
  <c r="E484" i="2"/>
  <c r="F484" i="2" s="1"/>
  <c r="E447" i="2"/>
  <c r="F447" i="2" s="1"/>
  <c r="E426" i="2"/>
  <c r="F426" i="2" s="1"/>
  <c r="E435" i="2"/>
  <c r="F435" i="2" s="1"/>
  <c r="E409" i="2"/>
  <c r="F409" i="2" s="1"/>
  <c r="E403" i="2"/>
  <c r="F403" i="2" s="1"/>
  <c r="E451" i="2"/>
  <c r="F451" i="2" s="1"/>
  <c r="E417" i="2"/>
  <c r="F417" i="2" s="1"/>
  <c r="E410" i="2"/>
  <c r="F410" i="2" s="1"/>
  <c r="E454" i="2"/>
  <c r="F454" i="2" s="1"/>
  <c r="E476" i="2"/>
  <c r="F476" i="2" s="1"/>
  <c r="E384" i="2"/>
  <c r="F384" i="2" s="1"/>
  <c r="E379" i="2"/>
  <c r="F379" i="2" s="1"/>
  <c r="E400" i="2"/>
  <c r="F400" i="2" s="1"/>
  <c r="E457" i="2"/>
  <c r="F457" i="2" s="1"/>
  <c r="E390" i="2"/>
  <c r="F390" i="2" s="1"/>
  <c r="E434" i="2"/>
  <c r="F434" i="2" s="1"/>
  <c r="E473" i="2"/>
  <c r="F473" i="2" s="1"/>
  <c r="E461" i="2"/>
  <c r="F461" i="2" s="1"/>
  <c r="E377" i="2"/>
  <c r="F377" i="2" s="1"/>
  <c r="E444" i="2"/>
  <c r="F444" i="2" s="1"/>
  <c r="E415" i="2"/>
  <c r="F415" i="2" s="1"/>
  <c r="E425" i="2"/>
  <c r="F425" i="2" s="1"/>
  <c r="E371" i="2"/>
  <c r="F371" i="2" s="1"/>
  <c r="E375" i="2"/>
  <c r="F375" i="2" s="1"/>
  <c r="E370" i="2"/>
  <c r="F370" i="2" s="1"/>
  <c r="E406" i="2"/>
  <c r="F406" i="2" s="1"/>
  <c r="E465" i="2"/>
  <c r="F465" i="2" s="1"/>
  <c r="E407" i="2"/>
  <c r="F407" i="2" s="1"/>
  <c r="E442" i="2"/>
  <c r="F442" i="2" s="1"/>
  <c r="E369" i="2"/>
  <c r="F369" i="2" s="1"/>
  <c r="E462" i="2"/>
  <c r="F462" i="2" s="1"/>
  <c r="E401" i="2"/>
  <c r="F401" i="2" s="1"/>
  <c r="E448" i="2"/>
  <c r="F448" i="2" s="1"/>
  <c r="E416" i="2"/>
  <c r="F416" i="2" s="1"/>
  <c r="E439" i="2"/>
  <c r="F439" i="2" s="1"/>
  <c r="E380" i="2"/>
  <c r="F380" i="2" s="1"/>
  <c r="E440" i="2"/>
  <c r="F440" i="2" s="1"/>
  <c r="E381" i="2"/>
  <c r="F381" i="2" s="1"/>
  <c r="E365" i="2"/>
  <c r="F365" i="2" s="1"/>
  <c r="E385" i="2"/>
  <c r="F385" i="2" s="1"/>
  <c r="E427" i="2"/>
  <c r="F427" i="2" s="1"/>
  <c r="E483" i="2"/>
  <c r="F483" i="2" s="1"/>
  <c r="E411" i="2"/>
  <c r="F411" i="2" s="1"/>
  <c r="E452" i="2"/>
  <c r="F452" i="2" s="1"/>
  <c r="E391" i="2"/>
  <c r="F391" i="2" s="1"/>
  <c r="E477" i="2"/>
  <c r="F477" i="2" s="1"/>
  <c r="E408" i="2"/>
  <c r="F408" i="2" s="1"/>
  <c r="E466" i="2"/>
  <c r="F466" i="2" s="1"/>
  <c r="E423" i="2"/>
  <c r="F423" i="2" s="1"/>
  <c r="E449" i="2"/>
  <c r="F449" i="2" s="1"/>
  <c r="E393" i="2"/>
  <c r="F393" i="2" s="1"/>
  <c r="E455" i="2"/>
  <c r="F455" i="2" s="1"/>
  <c r="E478" i="2"/>
  <c r="F478" i="2" s="1"/>
  <c r="E394" i="2"/>
  <c r="F394" i="2" s="1"/>
  <c r="E382" i="2"/>
  <c r="F382" i="2" s="1"/>
  <c r="E366" i="2"/>
  <c r="F366" i="2" s="1"/>
  <c r="E386" i="2"/>
  <c r="F386" i="2" s="1"/>
  <c r="E428" i="2"/>
  <c r="F428" i="2" s="1"/>
  <c r="E437" i="2"/>
  <c r="F437" i="2" s="1"/>
  <c r="E419" i="2"/>
  <c r="F419" i="2" s="1"/>
  <c r="E458" i="2"/>
  <c r="F458" i="2" s="1"/>
  <c r="E412" i="2"/>
  <c r="F412" i="2" s="1"/>
  <c r="E413" i="2"/>
  <c r="F413" i="2" s="1"/>
  <c r="E464" i="2"/>
  <c r="F464" i="2" s="1"/>
  <c r="E383" i="2"/>
  <c r="F383" i="2" s="1"/>
  <c r="E376" i="2"/>
  <c r="F376" i="2" s="1"/>
  <c r="E387" i="2"/>
  <c r="F387" i="2" s="1"/>
  <c r="E429" i="2"/>
  <c r="F429" i="2" s="1"/>
  <c r="E463" i="2"/>
  <c r="F463" i="2" s="1"/>
  <c r="E420" i="2"/>
  <c r="F420" i="2" s="1"/>
  <c r="E459" i="2"/>
  <c r="F459" i="2" s="1"/>
  <c r="E443" i="2"/>
  <c r="F443" i="2" s="1"/>
  <c r="E479" i="2"/>
  <c r="F479" i="2" s="1"/>
  <c r="E414" i="2"/>
  <c r="F414" i="2" s="1"/>
  <c r="E471" i="2"/>
  <c r="F471" i="2" s="1"/>
  <c r="E438" i="2"/>
  <c r="F438" i="2" s="1"/>
  <c r="E468" i="2"/>
  <c r="F468" i="2" s="1"/>
  <c r="E395" i="2"/>
  <c r="F395" i="2" s="1"/>
  <c r="E467" i="2"/>
  <c r="F467" i="2" s="1"/>
  <c r="S54" i="5"/>
  <c r="U51" i="5" s="1"/>
  <c r="W51" i="5" s="1"/>
  <c r="Q56" i="5"/>
  <c r="R55" i="5"/>
  <c r="E347" i="2"/>
  <c r="E350" i="2"/>
  <c r="E349" i="2"/>
  <c r="E341" i="2"/>
  <c r="E346" i="2"/>
  <c r="E344" i="2"/>
  <c r="E345" i="2"/>
  <c r="E342" i="2"/>
  <c r="E348" i="2"/>
  <c r="E351" i="2"/>
  <c r="E352" i="2"/>
  <c r="E343"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5" i="2"/>
  <c r="BU468" i="7" l="1"/>
  <c r="AD468" i="11" s="1"/>
  <c r="W468" i="11"/>
  <c r="U468" i="2"/>
  <c r="AO468" i="11" s="1"/>
  <c r="W463" i="11"/>
  <c r="U463" i="2"/>
  <c r="AO463" i="11" s="1"/>
  <c r="BU463" i="7"/>
  <c r="AD463" i="11" s="1"/>
  <c r="BU458" i="7"/>
  <c r="AD458" i="11" s="1"/>
  <c r="W458" i="11"/>
  <c r="U458" i="2"/>
  <c r="AO458" i="11" s="1"/>
  <c r="W478" i="11"/>
  <c r="U478" i="2"/>
  <c r="AO478" i="11" s="1"/>
  <c r="BU478" i="7"/>
  <c r="AD478" i="11" s="1"/>
  <c r="W391" i="11"/>
  <c r="BU391" i="7"/>
  <c r="AD391" i="11" s="1"/>
  <c r="U391" i="2"/>
  <c r="AO391" i="11" s="1"/>
  <c r="W440" i="11"/>
  <c r="U440" i="2"/>
  <c r="AO440" i="11" s="1"/>
  <c r="BU440" i="7"/>
  <c r="AD440" i="11" s="1"/>
  <c r="W442" i="11"/>
  <c r="BU442" i="7"/>
  <c r="AD442" i="11" s="1"/>
  <c r="U442" i="2"/>
  <c r="AO442" i="11" s="1"/>
  <c r="BU415" i="7"/>
  <c r="AD415" i="11" s="1"/>
  <c r="W415" i="11"/>
  <c r="U415" i="2"/>
  <c r="AO415" i="11" s="1"/>
  <c r="BU400" i="7"/>
  <c r="AD400" i="11" s="1"/>
  <c r="W400" i="11"/>
  <c r="BF400" i="11" s="1"/>
  <c r="AN35" i="20" s="1"/>
  <c r="U400" i="2"/>
  <c r="AO400" i="11" s="1"/>
  <c r="W403" i="11"/>
  <c r="U403" i="2"/>
  <c r="AO403" i="11" s="1"/>
  <c r="BU403" i="7"/>
  <c r="AD403" i="11" s="1"/>
  <c r="BU453" i="7"/>
  <c r="AD453" i="11" s="1"/>
  <c r="W453" i="11"/>
  <c r="U453" i="2"/>
  <c r="AO453" i="11" s="1"/>
  <c r="BU397" i="7"/>
  <c r="AD397" i="11" s="1"/>
  <c r="W397" i="11"/>
  <c r="U397" i="2"/>
  <c r="AO397" i="11" s="1"/>
  <c r="BU456" i="7"/>
  <c r="AD456" i="11" s="1"/>
  <c r="W456" i="11"/>
  <c r="U456" i="2"/>
  <c r="AO456" i="11" s="1"/>
  <c r="W396" i="11"/>
  <c r="U396" i="2"/>
  <c r="AO396" i="11" s="1"/>
  <c r="BU396" i="7"/>
  <c r="AD396" i="11" s="1"/>
  <c r="W431" i="11"/>
  <c r="U431" i="2"/>
  <c r="AO431" i="11" s="1"/>
  <c r="BU431" i="7"/>
  <c r="AD431" i="11" s="1"/>
  <c r="BU438" i="7"/>
  <c r="AD438" i="11" s="1"/>
  <c r="W438" i="11"/>
  <c r="U438" i="2"/>
  <c r="AO438" i="11" s="1"/>
  <c r="W429" i="11"/>
  <c r="BU429" i="7"/>
  <c r="AD429" i="11" s="1"/>
  <c r="U429" i="2"/>
  <c r="AO429" i="11" s="1"/>
  <c r="BU419" i="7"/>
  <c r="AD419" i="11" s="1"/>
  <c r="W419" i="11"/>
  <c r="U419" i="2"/>
  <c r="AO419" i="11" s="1"/>
  <c r="W455" i="11"/>
  <c r="U455" i="2"/>
  <c r="AO455" i="11" s="1"/>
  <c r="BU455" i="7"/>
  <c r="AD455" i="11" s="1"/>
  <c r="BU452" i="7"/>
  <c r="AD452" i="11" s="1"/>
  <c r="W452" i="11"/>
  <c r="U452" i="2"/>
  <c r="AO452" i="11" s="1"/>
  <c r="BU380" i="7"/>
  <c r="AD380" i="11" s="1"/>
  <c r="W380" i="11"/>
  <c r="U380" i="2"/>
  <c r="AO380" i="11" s="1"/>
  <c r="BU407" i="7"/>
  <c r="AD407" i="11" s="1"/>
  <c r="W407" i="11"/>
  <c r="U407" i="2"/>
  <c r="AO407" i="11" s="1"/>
  <c r="W444" i="11"/>
  <c r="U444" i="2"/>
  <c r="AO444" i="11" s="1"/>
  <c r="BU444" i="7"/>
  <c r="AD444" i="11" s="1"/>
  <c r="W379" i="11"/>
  <c r="U379" i="2"/>
  <c r="AO379" i="11" s="1"/>
  <c r="BU379" i="7"/>
  <c r="AD379" i="11" s="1"/>
  <c r="BU409" i="7"/>
  <c r="AD409" i="11" s="1"/>
  <c r="W409" i="11"/>
  <c r="U409" i="2"/>
  <c r="AO409" i="11" s="1"/>
  <c r="BU399" i="7"/>
  <c r="AD399" i="11" s="1"/>
  <c r="W399" i="11"/>
  <c r="U399" i="2"/>
  <c r="AO399" i="11" s="1"/>
  <c r="W472" i="11"/>
  <c r="BF472" i="11" s="1"/>
  <c r="AT35" i="20" s="1"/>
  <c r="U472" i="2"/>
  <c r="AO472" i="11" s="1"/>
  <c r="BU472" i="7"/>
  <c r="AD472" i="11" s="1"/>
  <c r="W441" i="11"/>
  <c r="U441" i="2"/>
  <c r="AO441" i="11" s="1"/>
  <c r="BU441" i="7"/>
  <c r="AD441" i="11" s="1"/>
  <c r="BU469" i="7"/>
  <c r="AD469" i="11" s="1"/>
  <c r="W469" i="11"/>
  <c r="U469" i="2"/>
  <c r="AO469" i="11" s="1"/>
  <c r="W480" i="11"/>
  <c r="U480" i="2"/>
  <c r="AO480" i="11" s="1"/>
  <c r="BU480" i="7"/>
  <c r="AD480" i="11" s="1"/>
  <c r="BU471" i="7"/>
  <c r="AD471" i="11" s="1"/>
  <c r="W471" i="11"/>
  <c r="U471" i="2"/>
  <c r="AO471" i="11" s="1"/>
  <c r="W387" i="11"/>
  <c r="BU387" i="7"/>
  <c r="AD387" i="11" s="1"/>
  <c r="U387" i="2"/>
  <c r="AO387" i="11" s="1"/>
  <c r="W437" i="11"/>
  <c r="U437" i="2"/>
  <c r="AO437" i="11" s="1"/>
  <c r="BU437" i="7"/>
  <c r="AD437" i="11" s="1"/>
  <c r="BU393" i="7"/>
  <c r="AD393" i="11" s="1"/>
  <c r="W393" i="11"/>
  <c r="U393" i="2"/>
  <c r="AO393" i="11" s="1"/>
  <c r="BU411" i="7"/>
  <c r="AD411" i="11" s="1"/>
  <c r="W411" i="11"/>
  <c r="U411" i="2"/>
  <c r="AO411" i="11" s="1"/>
  <c r="BU439" i="7"/>
  <c r="AD439" i="11" s="1"/>
  <c r="W439" i="11"/>
  <c r="U439" i="2"/>
  <c r="AO439" i="11" s="1"/>
  <c r="BU465" i="7"/>
  <c r="AD465" i="11" s="1"/>
  <c r="W465" i="11"/>
  <c r="U465" i="2"/>
  <c r="AO465" i="11" s="1"/>
  <c r="W377" i="11"/>
  <c r="U377" i="2"/>
  <c r="AO377" i="11" s="1"/>
  <c r="BU377" i="7"/>
  <c r="AD377" i="11" s="1"/>
  <c r="W384" i="11"/>
  <c r="U384" i="2"/>
  <c r="AO384" i="11" s="1"/>
  <c r="BU384" i="7"/>
  <c r="AD384" i="11" s="1"/>
  <c r="BU435" i="7"/>
  <c r="AD435" i="11" s="1"/>
  <c r="W435" i="11"/>
  <c r="U435" i="2"/>
  <c r="AO435" i="11" s="1"/>
  <c r="BU378" i="7"/>
  <c r="AD378" i="11" s="1"/>
  <c r="W378" i="11"/>
  <c r="U378" i="2"/>
  <c r="AO378" i="11" s="1"/>
  <c r="W402" i="11"/>
  <c r="U402" i="2"/>
  <c r="AO402" i="11" s="1"/>
  <c r="BU402" i="7"/>
  <c r="AD402" i="11" s="1"/>
  <c r="W398" i="11"/>
  <c r="U398" i="2"/>
  <c r="AO398" i="11" s="1"/>
  <c r="BU398" i="7"/>
  <c r="AD398" i="11" s="1"/>
  <c r="BU450" i="7"/>
  <c r="AD450" i="11" s="1"/>
  <c r="W450" i="11"/>
  <c r="U450" i="2"/>
  <c r="AO450" i="11" s="1"/>
  <c r="W430" i="11"/>
  <c r="BU430" i="7"/>
  <c r="AD430" i="11" s="1"/>
  <c r="U430" i="2"/>
  <c r="AO430" i="11" s="1"/>
  <c r="W414" i="11"/>
  <c r="U414" i="2"/>
  <c r="AO414" i="11" s="1"/>
  <c r="BU414" i="7"/>
  <c r="AD414" i="11" s="1"/>
  <c r="W376" i="11"/>
  <c r="BF376" i="11" s="1"/>
  <c r="AL35" i="20" s="1"/>
  <c r="U376" i="2"/>
  <c r="AO376" i="11" s="1"/>
  <c r="BU376" i="7"/>
  <c r="AD376" i="11" s="1"/>
  <c r="W428" i="11"/>
  <c r="U428" i="2"/>
  <c r="AO428" i="11" s="1"/>
  <c r="BU428" i="7"/>
  <c r="AD428" i="11" s="1"/>
  <c r="BU449" i="7"/>
  <c r="AD449" i="11" s="1"/>
  <c r="W449" i="11"/>
  <c r="U449" i="2"/>
  <c r="AO449" i="11" s="1"/>
  <c r="BU483" i="7"/>
  <c r="AD483" i="11" s="1"/>
  <c r="W483" i="11"/>
  <c r="U483" i="2"/>
  <c r="AO483" i="11" s="1"/>
  <c r="BU416" i="7"/>
  <c r="AD416" i="11" s="1"/>
  <c r="W416" i="11"/>
  <c r="U416" i="2"/>
  <c r="AO416" i="11" s="1"/>
  <c r="BU406" i="7"/>
  <c r="AD406" i="11" s="1"/>
  <c r="W406" i="11"/>
  <c r="U406" i="2"/>
  <c r="AO406" i="11" s="1"/>
  <c r="W461" i="11"/>
  <c r="BU461" i="7"/>
  <c r="AD461" i="11" s="1"/>
  <c r="U461" i="2"/>
  <c r="AO461" i="11" s="1"/>
  <c r="W476" i="11"/>
  <c r="BU476" i="7"/>
  <c r="AD476" i="11" s="1"/>
  <c r="U476" i="2"/>
  <c r="AO476" i="11" s="1"/>
  <c r="W426" i="11"/>
  <c r="U426" i="2"/>
  <c r="AO426" i="11" s="1"/>
  <c r="BU426" i="7"/>
  <c r="AD426" i="11" s="1"/>
  <c r="W374" i="11"/>
  <c r="U374" i="2"/>
  <c r="AO374" i="11" s="1"/>
  <c r="BU374" i="7"/>
  <c r="AD374" i="11" s="1"/>
  <c r="W422" i="11"/>
  <c r="U422" i="2"/>
  <c r="AO422" i="11" s="1"/>
  <c r="BU422" i="7"/>
  <c r="AD422" i="11" s="1"/>
  <c r="BU368" i="7"/>
  <c r="AD368" i="11" s="1"/>
  <c r="W368" i="11"/>
  <c r="U368" i="2"/>
  <c r="AO368" i="11" s="1"/>
  <c r="W392" i="11"/>
  <c r="U392" i="2"/>
  <c r="AO392" i="11" s="1"/>
  <c r="BU392" i="7"/>
  <c r="AD392" i="11" s="1"/>
  <c r="W388" i="11"/>
  <c r="BF388" i="11" s="1"/>
  <c r="AM35" i="20" s="1"/>
  <c r="U388" i="2"/>
  <c r="AO388" i="11" s="1"/>
  <c r="BU388" i="7"/>
  <c r="AD388" i="11" s="1"/>
  <c r="W479" i="11"/>
  <c r="U479" i="2"/>
  <c r="AO479" i="11" s="1"/>
  <c r="BU479" i="7"/>
  <c r="AD479" i="11" s="1"/>
  <c r="BU383" i="7"/>
  <c r="AD383" i="11" s="1"/>
  <c r="W383" i="11"/>
  <c r="U383" i="2"/>
  <c r="AO383" i="11" s="1"/>
  <c r="W386" i="11"/>
  <c r="U386" i="2"/>
  <c r="AO386" i="11" s="1"/>
  <c r="BU386" i="7"/>
  <c r="AD386" i="11" s="1"/>
  <c r="W423" i="11"/>
  <c r="U423" i="2"/>
  <c r="AO423" i="11" s="1"/>
  <c r="BU423" i="7"/>
  <c r="AD423" i="11" s="1"/>
  <c r="W427" i="11"/>
  <c r="U427" i="2"/>
  <c r="AO427" i="11" s="1"/>
  <c r="BU427" i="7"/>
  <c r="AD427" i="11" s="1"/>
  <c r="W448" i="11"/>
  <c r="BF448" i="11" s="1"/>
  <c r="AR35" i="20" s="1"/>
  <c r="U448" i="2"/>
  <c r="AO448" i="11" s="1"/>
  <c r="BU448" i="7"/>
  <c r="AD448" i="11" s="1"/>
  <c r="W370" i="11"/>
  <c r="U370" i="2"/>
  <c r="AO370" i="11" s="1"/>
  <c r="BU370" i="7"/>
  <c r="AD370" i="11" s="1"/>
  <c r="W473" i="11"/>
  <c r="BU473" i="7"/>
  <c r="AD473" i="11" s="1"/>
  <c r="U473" i="2"/>
  <c r="AO473" i="11" s="1"/>
  <c r="BU454" i="7"/>
  <c r="AD454" i="11" s="1"/>
  <c r="W454" i="11"/>
  <c r="U454" i="2"/>
  <c r="AO454" i="11" s="1"/>
  <c r="W447" i="11"/>
  <c r="U447" i="2"/>
  <c r="AO447" i="11" s="1"/>
  <c r="BU447" i="7"/>
  <c r="AD447" i="11" s="1"/>
  <c r="W436" i="11"/>
  <c r="BF436" i="11" s="1"/>
  <c r="AQ35" i="20" s="1"/>
  <c r="BU436" i="7"/>
  <c r="AD436" i="11" s="1"/>
  <c r="U436" i="2"/>
  <c r="AO436" i="11" s="1"/>
  <c r="BU418" i="7"/>
  <c r="AD418" i="11" s="1"/>
  <c r="W418" i="11"/>
  <c r="U418" i="2"/>
  <c r="AO418" i="11" s="1"/>
  <c r="BU373" i="7"/>
  <c r="AD373" i="11" s="1"/>
  <c r="W373" i="11"/>
  <c r="U373" i="2"/>
  <c r="AO373" i="11" s="1"/>
  <c r="W421" i="11"/>
  <c r="U421" i="2"/>
  <c r="AO421" i="11" s="1"/>
  <c r="BU421" i="7"/>
  <c r="AD421" i="11" s="1"/>
  <c r="W367" i="11"/>
  <c r="U367" i="2"/>
  <c r="AO367" i="11" s="1"/>
  <c r="BU367" i="7"/>
  <c r="AD367" i="11" s="1"/>
  <c r="BU443" i="7"/>
  <c r="AD443" i="11" s="1"/>
  <c r="W443" i="11"/>
  <c r="U443" i="2"/>
  <c r="AO443" i="11" s="1"/>
  <c r="W464" i="11"/>
  <c r="U464" i="2"/>
  <c r="AO464" i="11" s="1"/>
  <c r="BU464" i="7"/>
  <c r="AD464" i="11" s="1"/>
  <c r="BU366" i="7"/>
  <c r="AD366" i="11" s="1"/>
  <c r="W366" i="11"/>
  <c r="U366" i="2"/>
  <c r="AO366" i="11" s="1"/>
  <c r="W466" i="11"/>
  <c r="U466" i="2"/>
  <c r="AO466" i="11" s="1"/>
  <c r="BU466" i="7"/>
  <c r="AD466" i="11" s="1"/>
  <c r="W385" i="11"/>
  <c r="U385" i="2"/>
  <c r="AO385" i="11" s="1"/>
  <c r="BU385" i="7"/>
  <c r="AD385" i="11" s="1"/>
  <c r="W401" i="11"/>
  <c r="U401" i="2"/>
  <c r="AO401" i="11" s="1"/>
  <c r="BU401" i="7"/>
  <c r="AD401" i="11" s="1"/>
  <c r="W375" i="11"/>
  <c r="U375" i="2"/>
  <c r="AO375" i="11" s="1"/>
  <c r="BU375" i="7"/>
  <c r="AD375" i="11" s="1"/>
  <c r="W434" i="11"/>
  <c r="U434" i="2"/>
  <c r="AO434" i="11" s="1"/>
  <c r="BU434" i="7"/>
  <c r="AD434" i="11" s="1"/>
  <c r="BU410" i="7"/>
  <c r="AD410" i="11" s="1"/>
  <c r="W410" i="11"/>
  <c r="U410" i="2"/>
  <c r="AO410" i="11" s="1"/>
  <c r="W484" i="11"/>
  <c r="BF484" i="11" s="1"/>
  <c r="AU35" i="20" s="1"/>
  <c r="BU484" i="7"/>
  <c r="AD484" i="11" s="1"/>
  <c r="U484" i="2"/>
  <c r="AO484" i="11" s="1"/>
  <c r="BU424" i="7"/>
  <c r="AD424" i="11" s="1"/>
  <c r="W424" i="11"/>
  <c r="BF424" i="11" s="1"/>
  <c r="AP35" i="20" s="1"/>
  <c r="U424" i="2"/>
  <c r="AO424" i="11" s="1"/>
  <c r="W446" i="11"/>
  <c r="U446" i="2"/>
  <c r="AO446" i="11" s="1"/>
  <c r="BU446" i="7"/>
  <c r="AD446" i="11" s="1"/>
  <c r="W481" i="11"/>
  <c r="U481" i="2"/>
  <c r="AO481" i="11" s="1"/>
  <c r="BU481" i="7"/>
  <c r="AD481" i="11" s="1"/>
  <c r="W405" i="11"/>
  <c r="BU405" i="7"/>
  <c r="AD405" i="11" s="1"/>
  <c r="U405" i="2"/>
  <c r="AO405" i="11" s="1"/>
  <c r="W372" i="11"/>
  <c r="BU372" i="7"/>
  <c r="AD372" i="11" s="1"/>
  <c r="U372" i="2"/>
  <c r="AO372" i="11" s="1"/>
  <c r="W467" i="11"/>
  <c r="U467" i="2"/>
  <c r="AO467" i="11" s="1"/>
  <c r="BU467" i="7"/>
  <c r="AD467" i="11" s="1"/>
  <c r="BU459" i="7"/>
  <c r="AD459" i="11" s="1"/>
  <c r="W459" i="11"/>
  <c r="U459" i="2"/>
  <c r="AO459" i="11" s="1"/>
  <c r="W413" i="11"/>
  <c r="BU413" i="7"/>
  <c r="AD413" i="11" s="1"/>
  <c r="U413" i="2"/>
  <c r="AO413" i="11" s="1"/>
  <c r="W382" i="11"/>
  <c r="U382" i="2"/>
  <c r="AO382" i="11" s="1"/>
  <c r="BU382" i="7"/>
  <c r="AD382" i="11" s="1"/>
  <c r="W408" i="11"/>
  <c r="U408" i="2"/>
  <c r="AO408" i="11" s="1"/>
  <c r="BU408" i="7"/>
  <c r="AD408" i="11" s="1"/>
  <c r="W365" i="11"/>
  <c r="U365" i="2"/>
  <c r="AO365" i="11" s="1"/>
  <c r="BU365" i="7"/>
  <c r="AD365" i="11" s="1"/>
  <c r="W462" i="11"/>
  <c r="U462" i="2"/>
  <c r="AO462" i="11" s="1"/>
  <c r="BU462" i="7"/>
  <c r="AD462" i="11" s="1"/>
  <c r="W371" i="11"/>
  <c r="U371" i="2"/>
  <c r="AO371" i="11" s="1"/>
  <c r="BU371" i="7"/>
  <c r="AD371" i="11" s="1"/>
  <c r="BU390" i="7"/>
  <c r="AD390" i="11" s="1"/>
  <c r="W390" i="11"/>
  <c r="U390" i="2"/>
  <c r="AO390" i="11" s="1"/>
  <c r="BU417" i="7"/>
  <c r="AD417" i="11" s="1"/>
  <c r="W417" i="11"/>
  <c r="U417" i="2"/>
  <c r="AO417" i="11" s="1"/>
  <c r="BU433" i="7"/>
  <c r="AD433" i="11" s="1"/>
  <c r="W433" i="11"/>
  <c r="U433" i="2"/>
  <c r="AO433" i="11" s="1"/>
  <c r="W482" i="11"/>
  <c r="BU482" i="7"/>
  <c r="AD482" i="11" s="1"/>
  <c r="U482" i="2"/>
  <c r="AO482" i="11" s="1"/>
  <c r="W475" i="11"/>
  <c r="BU475" i="7"/>
  <c r="AD475" i="11" s="1"/>
  <c r="U475" i="2"/>
  <c r="AO475" i="11" s="1"/>
  <c r="W474" i="11"/>
  <c r="U474" i="2"/>
  <c r="AO474" i="11" s="1"/>
  <c r="BU474" i="7"/>
  <c r="AD474" i="11" s="1"/>
  <c r="BU445" i="7"/>
  <c r="AD445" i="11" s="1"/>
  <c r="W445" i="11"/>
  <c r="U445" i="2"/>
  <c r="AO445" i="11" s="1"/>
  <c r="W395" i="11"/>
  <c r="BU395" i="7"/>
  <c r="AD395" i="11" s="1"/>
  <c r="U395" i="2"/>
  <c r="AO395" i="11" s="1"/>
  <c r="W420" i="11"/>
  <c r="U420" i="2"/>
  <c r="AO420" i="11" s="1"/>
  <c r="BU420" i="7"/>
  <c r="AD420" i="11" s="1"/>
  <c r="BU412" i="7"/>
  <c r="AD412" i="11" s="1"/>
  <c r="W412" i="11"/>
  <c r="BF412" i="11" s="1"/>
  <c r="AO35" i="20" s="1"/>
  <c r="U412" i="2"/>
  <c r="AO412" i="11" s="1"/>
  <c r="BU394" i="7"/>
  <c r="AD394" i="11" s="1"/>
  <c r="W394" i="11"/>
  <c r="U394" i="2"/>
  <c r="AO394" i="11" s="1"/>
  <c r="W477" i="11"/>
  <c r="U477" i="2"/>
  <c r="AO477" i="11" s="1"/>
  <c r="BU477" i="7"/>
  <c r="AD477" i="11" s="1"/>
  <c r="BU381" i="7"/>
  <c r="AD381" i="11" s="1"/>
  <c r="W381" i="11"/>
  <c r="U381" i="2"/>
  <c r="AO381" i="11" s="1"/>
  <c r="W369" i="11"/>
  <c r="U369" i="2"/>
  <c r="AO369" i="11" s="1"/>
  <c r="BU369" i="7"/>
  <c r="AD369" i="11" s="1"/>
  <c r="W425" i="11"/>
  <c r="U425" i="2"/>
  <c r="AO425" i="11" s="1"/>
  <c r="BU425" i="7"/>
  <c r="AD425" i="11" s="1"/>
  <c r="BU457" i="7"/>
  <c r="AD457" i="11" s="1"/>
  <c r="W457" i="11"/>
  <c r="U457" i="2"/>
  <c r="AO457" i="11" s="1"/>
  <c r="W451" i="11"/>
  <c r="U451" i="2"/>
  <c r="AO451" i="11" s="1"/>
  <c r="BU451" i="7"/>
  <c r="AD451" i="11" s="1"/>
  <c r="W389" i="11"/>
  <c r="U389" i="2"/>
  <c r="AO389" i="11" s="1"/>
  <c r="BU389" i="7"/>
  <c r="AD389" i="11" s="1"/>
  <c r="BU404" i="7"/>
  <c r="AD404" i="11" s="1"/>
  <c r="W404" i="11"/>
  <c r="U404" i="2"/>
  <c r="AO404" i="11" s="1"/>
  <c r="W432" i="11"/>
  <c r="BU432" i="7"/>
  <c r="AD432" i="11" s="1"/>
  <c r="U432" i="2"/>
  <c r="AO432" i="11" s="1"/>
  <c r="W470" i="11"/>
  <c r="U470" i="2"/>
  <c r="AO470" i="11" s="1"/>
  <c r="BU470" i="7"/>
  <c r="AD470" i="11" s="1"/>
  <c r="W460" i="11"/>
  <c r="BF460" i="11" s="1"/>
  <c r="AS35" i="20" s="1"/>
  <c r="U460" i="2"/>
  <c r="AO460" i="11" s="1"/>
  <c r="BU460" i="7"/>
  <c r="AD460" i="11" s="1"/>
  <c r="AO5" i="2"/>
  <c r="S55" i="5"/>
  <c r="U52" i="5" s="1"/>
  <c r="W52" i="5" s="1"/>
  <c r="Q57" i="5"/>
  <c r="R56" i="5"/>
  <c r="E364" i="2"/>
  <c r="E356" i="2"/>
  <c r="E353" i="2"/>
  <c r="E359" i="2"/>
  <c r="E358" i="2"/>
  <c r="E355" i="2"/>
  <c r="E363" i="2"/>
  <c r="E357" i="2"/>
  <c r="E354" i="2"/>
  <c r="E362" i="2"/>
  <c r="E361" i="2"/>
  <c r="E360" i="2"/>
  <c r="J17" i="15"/>
  <c r="J14" i="15"/>
  <c r="J15" i="15"/>
  <c r="J16" i="15"/>
  <c r="J13" i="15"/>
  <c r="J44" i="15"/>
  <c r="J45" i="15"/>
  <c r="J43" i="15"/>
  <c r="J38" i="15"/>
  <c r="J39" i="15"/>
  <c r="J40" i="15"/>
  <c r="J37" i="15"/>
  <c r="J31" i="15"/>
  <c r="J32" i="15"/>
  <c r="J33" i="15"/>
  <c r="J34" i="15"/>
  <c r="J30" i="15"/>
  <c r="BX400" i="11" l="1"/>
  <c r="AN36" i="20" s="1"/>
  <c r="AN40" i="20" s="1"/>
  <c r="BX376" i="11"/>
  <c r="AL36" i="20" s="1"/>
  <c r="AL40" i="20" s="1"/>
  <c r="BX424" i="11"/>
  <c r="AP36" i="20" s="1"/>
  <c r="AP40" i="20" s="1"/>
  <c r="BX472" i="11"/>
  <c r="AT36" i="20" s="1"/>
  <c r="AT40" i="20" s="1"/>
  <c r="BM424" i="11"/>
  <c r="AP14" i="20" s="1"/>
  <c r="AP15" i="20" s="1"/>
  <c r="AP19" i="20" s="1"/>
  <c r="AP67" i="20" s="1"/>
  <c r="BM472" i="11"/>
  <c r="AT14" i="20" s="1"/>
  <c r="AT15" i="20" s="1"/>
  <c r="AT19" i="20" s="1"/>
  <c r="AT67" i="20" s="1"/>
  <c r="BM400" i="11"/>
  <c r="AN14" i="20" s="1"/>
  <c r="AN15" i="20" s="1"/>
  <c r="AN19" i="20" s="1"/>
  <c r="AN67" i="20" s="1"/>
  <c r="BX484" i="11"/>
  <c r="AU36" i="20" s="1"/>
  <c r="AU40" i="20" s="1"/>
  <c r="BM436" i="11"/>
  <c r="AQ14" i="20" s="1"/>
  <c r="AQ15" i="20" s="1"/>
  <c r="AQ19" i="20" s="1"/>
  <c r="AQ67" i="20" s="1"/>
  <c r="BM412" i="11"/>
  <c r="AO14" i="20" s="1"/>
  <c r="AO15" i="20" s="1"/>
  <c r="AO19" i="20" s="1"/>
  <c r="AO67" i="20" s="1"/>
  <c r="BM484" i="11"/>
  <c r="AU14" i="20" s="1"/>
  <c r="AU15" i="20" s="1"/>
  <c r="AU19" i="20" s="1"/>
  <c r="AU67" i="20" s="1"/>
  <c r="BX460" i="11"/>
  <c r="AS36" i="20" s="1"/>
  <c r="AS40" i="20" s="1"/>
  <c r="BM448" i="11"/>
  <c r="AR14" i="20" s="1"/>
  <c r="AR15" i="20" s="1"/>
  <c r="AR19" i="20" s="1"/>
  <c r="AR67" i="20" s="1"/>
  <c r="BX436" i="11"/>
  <c r="AQ36" i="20" s="1"/>
  <c r="AQ40" i="20" s="1"/>
  <c r="BX412" i="11"/>
  <c r="AO36" i="20" s="1"/>
  <c r="AO40" i="20" s="1"/>
  <c r="BM388" i="11"/>
  <c r="AM14" i="20" s="1"/>
  <c r="AM15" i="20" s="1"/>
  <c r="AM19" i="20" s="1"/>
  <c r="AM67" i="20" s="1"/>
  <c r="BX448" i="11"/>
  <c r="AR36" i="20" s="1"/>
  <c r="AR40" i="20" s="1"/>
  <c r="BM460" i="11"/>
  <c r="AS14" i="20" s="1"/>
  <c r="AS15" i="20" s="1"/>
  <c r="AS19" i="20" s="1"/>
  <c r="AS67" i="20" s="1"/>
  <c r="BX388" i="11"/>
  <c r="AM36" i="20" s="1"/>
  <c r="AM40" i="20" s="1"/>
  <c r="BM376" i="11"/>
  <c r="AL14" i="20" s="1"/>
  <c r="AL15" i="20" s="1"/>
  <c r="AL19" i="20" s="1"/>
  <c r="AL67" i="20" s="1"/>
  <c r="S56" i="5"/>
  <c r="U53" i="5" s="1"/>
  <c r="W53" i="5" s="1"/>
  <c r="R57" i="5"/>
  <c r="Q58" i="5"/>
  <c r="E281" i="2"/>
  <c r="J18" i="15"/>
  <c r="J26" i="15" s="1"/>
  <c r="J35" i="15"/>
  <c r="G46" i="15"/>
  <c r="G41" i="15"/>
  <c r="S57" i="5" l="1"/>
  <c r="U54" i="5" s="1"/>
  <c r="W54" i="5" s="1"/>
  <c r="R58" i="5"/>
  <c r="Q59" i="5"/>
  <c r="E298" i="2"/>
  <c r="E302" i="2"/>
  <c r="E293" i="2"/>
  <c r="E296" i="2"/>
  <c r="E297" i="2"/>
  <c r="E299" i="2"/>
  <c r="E304" i="2"/>
  <c r="E294" i="2"/>
  <c r="E301" i="2"/>
  <c r="E300" i="2"/>
  <c r="E163" i="2"/>
  <c r="E169" i="2"/>
  <c r="E161" i="2"/>
  <c r="E164" i="2"/>
  <c r="E171" i="2"/>
  <c r="E172" i="2"/>
  <c r="E162" i="2"/>
  <c r="E166" i="2"/>
  <c r="E168" i="2"/>
  <c r="E170" i="2"/>
  <c r="E165" i="2"/>
  <c r="E167" i="2"/>
  <c r="E251" i="2"/>
  <c r="E249" i="2"/>
  <c r="E252" i="2"/>
  <c r="E254" i="2"/>
  <c r="E255" i="2"/>
  <c r="E246" i="2"/>
  <c r="E253" i="2"/>
  <c r="E250" i="2"/>
  <c r="E256" i="2"/>
  <c r="E247" i="2"/>
  <c r="E245" i="2"/>
  <c r="E248" i="2"/>
  <c r="E295" i="2"/>
  <c r="E104" i="2"/>
  <c r="E102" i="2"/>
  <c r="E106" i="2"/>
  <c r="E107" i="2"/>
  <c r="E101" i="2"/>
  <c r="E108" i="2"/>
  <c r="E103" i="2"/>
  <c r="E112" i="2"/>
  <c r="E111" i="2"/>
  <c r="E109" i="2"/>
  <c r="E105" i="2"/>
  <c r="E110" i="2"/>
  <c r="E303" i="2"/>
  <c r="E76" i="2"/>
  <c r="E74" i="2"/>
  <c r="E66" i="2"/>
  <c r="E75" i="2"/>
  <c r="E70" i="2"/>
  <c r="E68" i="2"/>
  <c r="E65" i="2"/>
  <c r="E69" i="2"/>
  <c r="E67" i="2"/>
  <c r="E72" i="2"/>
  <c r="E71" i="2"/>
  <c r="E73" i="2"/>
  <c r="E291" i="2"/>
  <c r="E193" i="2"/>
  <c r="E190" i="2"/>
  <c r="E186" i="2"/>
  <c r="E189" i="2"/>
  <c r="E188" i="2"/>
  <c r="E185" i="2"/>
  <c r="E191" i="2"/>
  <c r="E187" i="2"/>
  <c r="E195" i="2"/>
  <c r="E194" i="2"/>
  <c r="E196" i="2"/>
  <c r="E192" i="2"/>
  <c r="E283" i="2"/>
  <c r="E151" i="2"/>
  <c r="E160" i="2"/>
  <c r="E149" i="2"/>
  <c r="E152" i="2"/>
  <c r="E157" i="2"/>
  <c r="E154" i="2"/>
  <c r="E156" i="2"/>
  <c r="E158" i="2"/>
  <c r="E150" i="2"/>
  <c r="E159" i="2"/>
  <c r="E153" i="2"/>
  <c r="E155" i="2"/>
  <c r="E141" i="2"/>
  <c r="E139" i="2"/>
  <c r="E143" i="2"/>
  <c r="E145" i="2"/>
  <c r="E140" i="2"/>
  <c r="E138" i="2"/>
  <c r="E142" i="2"/>
  <c r="E144" i="2"/>
  <c r="E137" i="2"/>
  <c r="E148" i="2"/>
  <c r="E146" i="2"/>
  <c r="E147" i="2"/>
  <c r="E292" i="2"/>
  <c r="E275" i="2"/>
  <c r="E276" i="2"/>
  <c r="E271" i="2"/>
  <c r="E277" i="2"/>
  <c r="E274" i="2"/>
  <c r="E280" i="2"/>
  <c r="E278" i="2"/>
  <c r="E270" i="2"/>
  <c r="E269" i="2"/>
  <c r="E279" i="2"/>
  <c r="E273" i="2"/>
  <c r="E272" i="2"/>
  <c r="E282" i="2"/>
  <c r="E289" i="2"/>
  <c r="E288" i="2"/>
  <c r="E238" i="2"/>
  <c r="E240" i="2"/>
  <c r="E233" i="2"/>
  <c r="E239" i="2"/>
  <c r="E241" i="2"/>
  <c r="E234" i="2"/>
  <c r="E242" i="2"/>
  <c r="E237" i="2"/>
  <c r="E244" i="2"/>
  <c r="E235" i="2"/>
  <c r="E243" i="2"/>
  <c r="E236" i="2"/>
  <c r="E135" i="2"/>
  <c r="E133" i="2"/>
  <c r="E134" i="2"/>
  <c r="E125" i="2"/>
  <c r="E136" i="2"/>
  <c r="E129" i="2"/>
  <c r="E128" i="2"/>
  <c r="E126" i="2"/>
  <c r="E131" i="2"/>
  <c r="E130" i="2"/>
  <c r="E132" i="2"/>
  <c r="E127" i="2"/>
  <c r="E287" i="2"/>
  <c r="E223" i="2"/>
  <c r="E221" i="2"/>
  <c r="E232" i="2"/>
  <c r="E229" i="2"/>
  <c r="E222" i="2"/>
  <c r="E230" i="2"/>
  <c r="E226" i="2"/>
  <c r="E227" i="2"/>
  <c r="E225" i="2"/>
  <c r="E231" i="2"/>
  <c r="E224" i="2"/>
  <c r="E228" i="2"/>
  <c r="E122" i="2"/>
  <c r="E115" i="2"/>
  <c r="E119" i="2"/>
  <c r="E117" i="2"/>
  <c r="E123" i="2"/>
  <c r="E120" i="2"/>
  <c r="E114" i="2"/>
  <c r="E121" i="2"/>
  <c r="E116" i="2"/>
  <c r="E124" i="2"/>
  <c r="E113" i="2"/>
  <c r="E118" i="2"/>
  <c r="E181" i="2"/>
  <c r="E183" i="2"/>
  <c r="E173" i="2"/>
  <c r="E175" i="2"/>
  <c r="E176" i="2"/>
  <c r="E178" i="2"/>
  <c r="E179" i="2"/>
  <c r="E174" i="2"/>
  <c r="E184" i="2"/>
  <c r="E182" i="2"/>
  <c r="E180" i="2"/>
  <c r="E177" i="2"/>
  <c r="E290" i="2"/>
  <c r="E285" i="2"/>
  <c r="E284" i="2"/>
  <c r="E210" i="2"/>
  <c r="E216" i="2"/>
  <c r="E211" i="2"/>
  <c r="E218" i="2"/>
  <c r="E219" i="2"/>
  <c r="E215" i="2"/>
  <c r="E213" i="2"/>
  <c r="E212" i="2"/>
  <c r="E214" i="2"/>
  <c r="E220" i="2"/>
  <c r="E209" i="2"/>
  <c r="E217" i="2"/>
  <c r="E96" i="2"/>
  <c r="E95" i="2"/>
  <c r="E99" i="2"/>
  <c r="E90" i="2"/>
  <c r="E98" i="2"/>
  <c r="E89" i="2"/>
  <c r="E93" i="2"/>
  <c r="E91" i="2"/>
  <c r="E94" i="2"/>
  <c r="E97" i="2"/>
  <c r="E92" i="2"/>
  <c r="E100" i="2"/>
  <c r="E257" i="2"/>
  <c r="E258" i="2"/>
  <c r="E260" i="2"/>
  <c r="E261" i="2"/>
  <c r="E266" i="2"/>
  <c r="E263" i="2"/>
  <c r="E262" i="2"/>
  <c r="E268" i="2"/>
  <c r="E264" i="2"/>
  <c r="E259" i="2"/>
  <c r="E265" i="2"/>
  <c r="E267" i="2"/>
  <c r="E286" i="2"/>
  <c r="E201" i="2"/>
  <c r="E197" i="2"/>
  <c r="E204" i="2"/>
  <c r="E200" i="2"/>
  <c r="E198" i="2"/>
  <c r="E205" i="2"/>
  <c r="E202" i="2"/>
  <c r="E206" i="2"/>
  <c r="E207" i="2"/>
  <c r="E208" i="2"/>
  <c r="E203" i="2"/>
  <c r="E199" i="2"/>
  <c r="E84" i="2"/>
  <c r="E85" i="2"/>
  <c r="E81" i="2"/>
  <c r="E83" i="2"/>
  <c r="E86" i="2"/>
  <c r="E80" i="2"/>
  <c r="E87" i="2"/>
  <c r="E78" i="2"/>
  <c r="E79" i="2"/>
  <c r="E88" i="2"/>
  <c r="E77" i="2"/>
  <c r="E82" i="2"/>
  <c r="G35" i="15"/>
  <c r="G54" i="15" s="1"/>
  <c r="S58" i="5" l="1"/>
  <c r="U55" i="5" s="1"/>
  <c r="W55" i="5" s="1"/>
  <c r="R59" i="5"/>
  <c r="Q60" i="5"/>
  <c r="D3" i="15"/>
  <c r="D6" i="15"/>
  <c r="D5" i="15"/>
  <c r="S59" i="5" l="1"/>
  <c r="U56" i="5" s="1"/>
  <c r="W56" i="5" s="1"/>
  <c r="R60" i="5"/>
  <c r="Q61" i="5"/>
  <c r="U21" i="5" s="1"/>
  <c r="E21" i="15"/>
  <c r="E20" i="15"/>
  <c r="E16" i="15"/>
  <c r="E23" i="15"/>
  <c r="E14" i="15"/>
  <c r="E25" i="15"/>
  <c r="E24" i="15"/>
  <c r="E22" i="15"/>
  <c r="E18" i="15"/>
  <c r="E17" i="15"/>
  <c r="I17" i="15" s="1"/>
  <c r="E26" i="15"/>
  <c r="E13" i="15"/>
  <c r="E15" i="15"/>
  <c r="E33" i="15"/>
  <c r="E48" i="15"/>
  <c r="E43" i="15"/>
  <c r="E32" i="15"/>
  <c r="E45" i="15"/>
  <c r="I45" i="15" s="1"/>
  <c r="E30" i="15"/>
  <c r="E49" i="15"/>
  <c r="E46" i="15"/>
  <c r="E35" i="15"/>
  <c r="E31" i="15"/>
  <c r="E50" i="15"/>
  <c r="E34" i="15"/>
  <c r="K34" i="15" s="1"/>
  <c r="E44" i="15"/>
  <c r="E38" i="15"/>
  <c r="E39" i="15"/>
  <c r="E41" i="15"/>
  <c r="E37" i="15"/>
  <c r="E40" i="15"/>
  <c r="I40" i="15" s="1"/>
  <c r="E51" i="15"/>
  <c r="E52" i="15"/>
  <c r="E53" i="15"/>
  <c r="D11" i="15"/>
  <c r="U22" i="5" l="1"/>
  <c r="U23" i="5"/>
  <c r="U25" i="5"/>
  <c r="U24" i="5"/>
  <c r="S60" i="5"/>
  <c r="U57" i="5" s="1"/>
  <c r="W57" i="5" s="1"/>
  <c r="R61" i="5"/>
  <c r="K17" i="15"/>
  <c r="I34" i="15"/>
  <c r="I48" i="15"/>
  <c r="K48" i="15"/>
  <c r="I52" i="15"/>
  <c r="K52" i="15"/>
  <c r="I20" i="15"/>
  <c r="K20" i="15"/>
  <c r="K23" i="15"/>
  <c r="I23" i="15"/>
  <c r="I50" i="15"/>
  <c r="K50" i="15"/>
  <c r="I21" i="15"/>
  <c r="K21" i="15"/>
  <c r="I51" i="15"/>
  <c r="K51" i="15"/>
  <c r="I22" i="15"/>
  <c r="K22" i="15"/>
  <c r="I49" i="15"/>
  <c r="K49" i="15"/>
  <c r="I24" i="15"/>
  <c r="K24" i="15"/>
  <c r="K40" i="15"/>
  <c r="K45" i="15"/>
  <c r="E40" i="6"/>
  <c r="T11" i="15"/>
  <c r="E34" i="1" s="1"/>
  <c r="T7" i="15"/>
  <c r="E42" i="6" s="1"/>
  <c r="R11" i="15"/>
  <c r="I31" i="15"/>
  <c r="E46" i="2" l="1"/>
  <c r="E44" i="2"/>
  <c r="E47" i="2"/>
  <c r="E49" i="2"/>
  <c r="E42" i="2"/>
  <c r="E45" i="2"/>
  <c r="E52" i="2"/>
  <c r="E48" i="2"/>
  <c r="E51" i="2"/>
  <c r="E41" i="2"/>
  <c r="E43" i="2"/>
  <c r="E50" i="2"/>
  <c r="E64" i="2"/>
  <c r="E60" i="2"/>
  <c r="E63" i="2"/>
  <c r="E59" i="2"/>
  <c r="E61" i="2"/>
  <c r="E58" i="2"/>
  <c r="E62" i="2"/>
  <c r="E55" i="2"/>
  <c r="E57" i="2"/>
  <c r="E56" i="2"/>
  <c r="E53" i="2"/>
  <c r="E54" i="2"/>
  <c r="E38" i="2"/>
  <c r="E32" i="2"/>
  <c r="E29" i="2"/>
  <c r="E33" i="2"/>
  <c r="E34" i="2"/>
  <c r="E37" i="2"/>
  <c r="E30" i="2"/>
  <c r="E39" i="2"/>
  <c r="E31" i="2"/>
  <c r="E36" i="2"/>
  <c r="E40" i="2"/>
  <c r="E35" i="2"/>
  <c r="W21" i="5"/>
  <c r="E11" i="2"/>
  <c r="E13" i="2"/>
  <c r="E9" i="2"/>
  <c r="E5" i="2"/>
  <c r="E14" i="2"/>
  <c r="E12" i="2"/>
  <c r="E15" i="2"/>
  <c r="E16" i="2"/>
  <c r="E10" i="2"/>
  <c r="E6" i="2"/>
  <c r="E7" i="2"/>
  <c r="E8" i="2"/>
  <c r="W22" i="5"/>
  <c r="E28" i="2"/>
  <c r="E21" i="2"/>
  <c r="E26" i="2"/>
  <c r="E20" i="2"/>
  <c r="E25" i="2"/>
  <c r="E19" i="2"/>
  <c r="E18" i="2"/>
  <c r="E17" i="2"/>
  <c r="E27" i="2"/>
  <c r="E23" i="2"/>
  <c r="E22" i="2"/>
  <c r="E24" i="2"/>
  <c r="S61" i="5"/>
  <c r="U59" i="5" s="1"/>
  <c r="W59" i="5" s="1"/>
  <c r="BM365" i="7"/>
  <c r="AI365" i="11" s="1"/>
  <c r="BM366" i="7"/>
  <c r="AI366" i="11" s="1"/>
  <c r="BM417" i="7"/>
  <c r="AI417" i="11" s="1"/>
  <c r="BM418" i="7"/>
  <c r="AI418" i="11" s="1"/>
  <c r="BM419" i="7"/>
  <c r="AI419" i="11" s="1"/>
  <c r="BM402" i="7"/>
  <c r="AI402" i="11" s="1"/>
  <c r="BM409" i="7"/>
  <c r="AI409" i="11" s="1"/>
  <c r="BM420" i="7"/>
  <c r="AI420" i="11" s="1"/>
  <c r="BM421" i="7"/>
  <c r="AI421" i="11" s="1"/>
  <c r="BM369" i="7"/>
  <c r="AI369" i="11" s="1"/>
  <c r="BM370" i="7"/>
  <c r="AI370" i="11" s="1"/>
  <c r="BM371" i="7"/>
  <c r="AI371" i="11" s="1"/>
  <c r="BM372" i="7"/>
  <c r="AI372" i="11" s="1"/>
  <c r="BM378" i="7"/>
  <c r="AI378" i="11" s="1"/>
  <c r="BM400" i="7"/>
  <c r="AI400" i="11" s="1"/>
  <c r="BM401" i="7"/>
  <c r="AI401" i="11" s="1"/>
  <c r="BM407" i="7"/>
  <c r="AI407" i="11" s="1"/>
  <c r="BM408" i="7"/>
  <c r="AI408" i="11" s="1"/>
  <c r="BM368" i="7"/>
  <c r="AI368" i="11" s="1"/>
  <c r="BM373" i="7"/>
  <c r="AI373" i="11" s="1"/>
  <c r="BM377" i="7"/>
  <c r="AI377" i="11" s="1"/>
  <c r="BM379" i="7"/>
  <c r="AI379" i="11" s="1"/>
  <c r="BM395" i="7"/>
  <c r="AI395" i="11" s="1"/>
  <c r="BM396" i="7"/>
  <c r="AI396" i="11" s="1"/>
  <c r="BM397" i="7"/>
  <c r="AI397" i="11" s="1"/>
  <c r="BM398" i="7"/>
  <c r="AI398" i="11" s="1"/>
  <c r="BM399" i="7"/>
  <c r="AI399" i="11" s="1"/>
  <c r="BM406" i="7"/>
  <c r="AI406" i="11" s="1"/>
  <c r="BM367" i="7"/>
  <c r="AI367" i="11" s="1"/>
  <c r="BM374" i="7"/>
  <c r="AI374" i="11" s="1"/>
  <c r="BM375" i="7"/>
  <c r="AI375" i="11" s="1"/>
  <c r="BM376" i="7"/>
  <c r="AI376" i="11" s="1"/>
  <c r="BM394" i="7"/>
  <c r="AI394" i="11" s="1"/>
  <c r="BM405" i="7"/>
  <c r="AI405" i="11" s="1"/>
  <c r="BM380" i="7"/>
  <c r="AI380" i="11" s="1"/>
  <c r="BM381" i="7"/>
  <c r="AI381" i="11" s="1"/>
  <c r="BM382" i="7"/>
  <c r="AI382" i="11" s="1"/>
  <c r="BM383" i="7"/>
  <c r="AI383" i="11" s="1"/>
  <c r="BM384" i="7"/>
  <c r="AI384" i="11" s="1"/>
  <c r="BM385" i="7"/>
  <c r="AI385" i="11" s="1"/>
  <c r="BM386" i="7"/>
  <c r="AI386" i="11" s="1"/>
  <c r="BM387" i="7"/>
  <c r="AI387" i="11" s="1"/>
  <c r="BM388" i="7"/>
  <c r="AI388" i="11" s="1"/>
  <c r="BM389" i="7"/>
  <c r="AI389" i="11" s="1"/>
  <c r="BM390" i="7"/>
  <c r="AI390" i="11" s="1"/>
  <c r="BM393" i="7"/>
  <c r="AI393" i="11" s="1"/>
  <c r="BM404" i="7"/>
  <c r="AI404" i="11" s="1"/>
  <c r="BM392" i="7"/>
  <c r="AI392" i="11" s="1"/>
  <c r="BM391" i="7"/>
  <c r="AI391" i="11" s="1"/>
  <c r="BM403" i="7"/>
  <c r="AI403" i="11" s="1"/>
  <c r="BM410" i="7"/>
  <c r="AI410" i="11" s="1"/>
  <c r="BM411" i="7"/>
  <c r="AI411" i="11" s="1"/>
  <c r="BM412" i="7"/>
  <c r="AI412" i="11" s="1"/>
  <c r="BM413" i="7"/>
  <c r="AI413" i="11" s="1"/>
  <c r="BM414" i="7"/>
  <c r="AI414" i="11" s="1"/>
  <c r="BM415" i="7"/>
  <c r="AI415" i="11" s="1"/>
  <c r="BM416" i="7"/>
  <c r="AI416" i="11" s="1"/>
  <c r="BM453" i="7"/>
  <c r="AI453" i="11" s="1"/>
  <c r="BM441" i="7"/>
  <c r="AI441" i="11" s="1"/>
  <c r="BM446" i="7"/>
  <c r="AI446" i="11" s="1"/>
  <c r="BM450" i="7"/>
  <c r="AI450" i="11" s="1"/>
  <c r="BM454" i="7"/>
  <c r="AI454" i="11" s="1"/>
  <c r="BM460" i="7"/>
  <c r="AI460" i="11" s="1"/>
  <c r="BM423" i="7"/>
  <c r="AI423" i="11" s="1"/>
  <c r="BM435" i="7"/>
  <c r="AI435" i="11" s="1"/>
  <c r="BM436" i="7"/>
  <c r="AI436" i="11" s="1"/>
  <c r="BM437" i="7"/>
  <c r="AI437" i="11" s="1"/>
  <c r="BM442" i="7"/>
  <c r="AI442" i="11" s="1"/>
  <c r="BM455" i="7"/>
  <c r="AI455" i="11" s="1"/>
  <c r="BM422" i="7"/>
  <c r="AI422" i="11" s="1"/>
  <c r="BM432" i="7"/>
  <c r="AI432" i="11" s="1"/>
  <c r="BM438" i="7"/>
  <c r="AI438" i="11" s="1"/>
  <c r="BM439" i="7"/>
  <c r="AI439" i="11" s="1"/>
  <c r="BM440" i="7"/>
  <c r="AI440" i="11" s="1"/>
  <c r="BM443" i="7"/>
  <c r="AI443" i="11" s="1"/>
  <c r="BM447" i="7"/>
  <c r="AI447" i="11" s="1"/>
  <c r="BM451" i="7"/>
  <c r="AI451" i="11" s="1"/>
  <c r="BM427" i="7"/>
  <c r="AI427" i="11" s="1"/>
  <c r="BM429" i="7"/>
  <c r="AI429" i="11" s="1"/>
  <c r="BM430" i="7"/>
  <c r="AI430" i="11" s="1"/>
  <c r="BM431" i="7"/>
  <c r="AI431" i="11" s="1"/>
  <c r="BM433" i="7"/>
  <c r="AI433" i="11" s="1"/>
  <c r="BM434" i="7"/>
  <c r="AI434" i="11" s="1"/>
  <c r="BM461" i="7"/>
  <c r="AI461" i="11" s="1"/>
  <c r="BM462" i="7"/>
  <c r="AI462" i="11" s="1"/>
  <c r="BM463" i="7"/>
  <c r="AI463" i="11" s="1"/>
  <c r="BM464" i="7"/>
  <c r="AI464" i="11" s="1"/>
  <c r="BM465" i="7"/>
  <c r="AI465" i="11" s="1"/>
  <c r="BM466" i="7"/>
  <c r="AI466" i="11" s="1"/>
  <c r="BM467" i="7"/>
  <c r="AI467" i="11" s="1"/>
  <c r="BM424" i="7"/>
  <c r="AI424" i="11" s="1"/>
  <c r="BM425" i="7"/>
  <c r="AI425" i="11" s="1"/>
  <c r="BM426" i="7"/>
  <c r="AI426" i="11" s="1"/>
  <c r="BM428" i="7"/>
  <c r="AI428" i="11" s="1"/>
  <c r="BM444" i="7"/>
  <c r="AI444" i="11" s="1"/>
  <c r="BM448" i="7"/>
  <c r="AI448" i="11" s="1"/>
  <c r="BM456" i="7"/>
  <c r="AI456" i="11" s="1"/>
  <c r="BM468" i="7"/>
  <c r="AI468" i="11" s="1"/>
  <c r="BM469" i="7"/>
  <c r="AI469" i="11" s="1"/>
  <c r="BM470" i="7"/>
  <c r="AI470" i="11" s="1"/>
  <c r="BM452" i="7"/>
  <c r="AI452" i="11" s="1"/>
  <c r="BM457" i="7"/>
  <c r="AI457" i="11" s="1"/>
  <c r="BM458" i="7"/>
  <c r="AI458" i="11" s="1"/>
  <c r="BM459" i="7"/>
  <c r="AI459" i="11" s="1"/>
  <c r="BM471" i="7"/>
  <c r="AI471" i="11" s="1"/>
  <c r="BM472" i="7"/>
  <c r="AI472" i="11" s="1"/>
  <c r="BM445" i="7"/>
  <c r="AI445" i="11" s="1"/>
  <c r="BM449" i="7"/>
  <c r="AI449" i="11" s="1"/>
  <c r="BM473" i="7"/>
  <c r="AI473" i="11" s="1"/>
  <c r="BM483" i="7"/>
  <c r="AI483" i="11" s="1"/>
  <c r="BM478" i="7"/>
  <c r="AI478" i="11" s="1"/>
  <c r="BM479" i="7"/>
  <c r="AI479" i="11" s="1"/>
  <c r="BM484" i="7"/>
  <c r="AI484" i="11" s="1"/>
  <c r="BM477" i="7"/>
  <c r="AI477" i="11" s="1"/>
  <c r="BM480" i="7"/>
  <c r="AI480" i="11" s="1"/>
  <c r="BM475" i="7"/>
  <c r="AI475" i="11" s="1"/>
  <c r="BM476" i="7"/>
  <c r="AI476" i="11" s="1"/>
  <c r="BM481" i="7"/>
  <c r="AI481" i="11" s="1"/>
  <c r="BM474" i="7"/>
  <c r="AI474" i="11" s="1"/>
  <c r="BM482" i="7"/>
  <c r="AI482" i="11" s="1"/>
  <c r="AG366" i="2"/>
  <c r="AG366" i="11" s="1"/>
  <c r="AG375" i="2"/>
  <c r="AG375" i="11" s="1"/>
  <c r="AG385" i="2"/>
  <c r="AG385" i="11" s="1"/>
  <c r="AG388" i="2"/>
  <c r="AG388" i="11" s="1"/>
  <c r="AG392" i="2"/>
  <c r="AG392" i="11" s="1"/>
  <c r="AG396" i="2"/>
  <c r="AG396" i="11" s="1"/>
  <c r="AG398" i="2"/>
  <c r="AG398" i="11" s="1"/>
  <c r="AG407" i="2"/>
  <c r="AG407" i="11" s="1"/>
  <c r="AG422" i="2"/>
  <c r="AG422" i="11" s="1"/>
  <c r="AG425" i="2"/>
  <c r="AG425" i="11" s="1"/>
  <c r="AG429" i="2"/>
  <c r="AG429" i="11" s="1"/>
  <c r="AG433" i="2"/>
  <c r="AG433" i="11" s="1"/>
  <c r="AG447" i="2"/>
  <c r="AG447" i="11" s="1"/>
  <c r="AG461" i="2"/>
  <c r="AG461" i="11" s="1"/>
  <c r="AG463" i="2"/>
  <c r="AG463" i="11" s="1"/>
  <c r="AG475" i="2"/>
  <c r="AG475" i="11" s="1"/>
  <c r="AG365" i="2"/>
  <c r="AG365" i="11" s="1"/>
  <c r="AG369" i="2"/>
  <c r="AG369" i="11" s="1"/>
  <c r="AG377" i="2"/>
  <c r="AG377" i="11" s="1"/>
  <c r="AG394" i="2"/>
  <c r="AG394" i="11" s="1"/>
  <c r="AG400" i="2"/>
  <c r="AG400" i="11" s="1"/>
  <c r="AG412" i="2"/>
  <c r="AG412" i="11" s="1"/>
  <c r="AG439" i="2"/>
  <c r="AG439" i="11" s="1"/>
  <c r="AG470" i="2"/>
  <c r="AG470" i="11" s="1"/>
  <c r="AG477" i="2"/>
  <c r="AG477" i="11" s="1"/>
  <c r="AG481" i="2"/>
  <c r="AG481" i="11" s="1"/>
  <c r="AG484" i="2"/>
  <c r="AG484" i="11" s="1"/>
  <c r="AG374" i="2"/>
  <c r="AG374" i="11" s="1"/>
  <c r="AG382" i="2"/>
  <c r="AG382" i="11" s="1"/>
  <c r="AG387" i="2"/>
  <c r="AG387" i="11" s="1"/>
  <c r="AG389" i="2"/>
  <c r="AG389" i="11" s="1"/>
  <c r="AG391" i="2"/>
  <c r="AG391" i="11" s="1"/>
  <c r="AG404" i="2"/>
  <c r="AG404" i="11" s="1"/>
  <c r="AG406" i="2"/>
  <c r="AG406" i="11" s="1"/>
  <c r="AG416" i="2"/>
  <c r="AG416" i="11" s="1"/>
  <c r="AG418" i="2"/>
  <c r="AG418" i="11" s="1"/>
  <c r="AG432" i="2"/>
  <c r="AG432" i="11" s="1"/>
  <c r="AG437" i="2"/>
  <c r="AG437" i="11" s="1"/>
  <c r="AG441" i="2"/>
  <c r="AG441" i="11" s="1"/>
  <c r="AG445" i="2"/>
  <c r="AG445" i="11" s="1"/>
  <c r="AG449" i="2"/>
  <c r="AG449" i="11" s="1"/>
  <c r="AG451" i="2"/>
  <c r="AG451" i="11" s="1"/>
  <c r="AG455" i="2"/>
  <c r="AG455" i="11" s="1"/>
  <c r="AG457" i="2"/>
  <c r="AG457" i="11" s="1"/>
  <c r="AG466" i="2"/>
  <c r="AG466" i="11" s="1"/>
  <c r="AG472" i="2"/>
  <c r="AG472" i="11" s="1"/>
  <c r="AG474" i="2"/>
  <c r="AG474" i="11" s="1"/>
  <c r="AG483" i="2"/>
  <c r="AG483" i="11" s="1"/>
  <c r="AG368" i="2"/>
  <c r="AG368" i="11" s="1"/>
  <c r="AG380" i="2"/>
  <c r="AG380" i="11" s="1"/>
  <c r="AG384" i="2"/>
  <c r="AG384" i="11" s="1"/>
  <c r="AG395" i="2"/>
  <c r="AG395" i="11" s="1"/>
  <c r="AG402" i="2"/>
  <c r="AG402" i="11" s="1"/>
  <c r="AG409" i="2"/>
  <c r="AG409" i="11" s="1"/>
  <c r="AG411" i="2"/>
  <c r="AG411" i="11" s="1"/>
  <c r="AG420" i="2"/>
  <c r="AG420" i="11" s="1"/>
  <c r="AG424" i="2"/>
  <c r="AG424" i="11" s="1"/>
  <c r="AG428" i="2"/>
  <c r="AG428" i="11" s="1"/>
  <c r="AG435" i="2"/>
  <c r="AG435" i="11" s="1"/>
  <c r="AG465" i="2"/>
  <c r="AG465" i="11" s="1"/>
  <c r="AG468" i="2"/>
  <c r="AG468" i="11" s="1"/>
  <c r="AG372" i="2"/>
  <c r="AG372" i="11" s="1"/>
  <c r="AG376" i="2"/>
  <c r="AG376" i="11" s="1"/>
  <c r="AG379" i="2"/>
  <c r="AG379" i="11" s="1"/>
  <c r="AG386" i="2"/>
  <c r="AG386" i="11" s="1"/>
  <c r="AG397" i="2"/>
  <c r="AG397" i="11" s="1"/>
  <c r="AG399" i="2"/>
  <c r="AG399" i="11" s="1"/>
  <c r="AG413" i="2"/>
  <c r="AG413" i="11" s="1"/>
  <c r="AG415" i="2"/>
  <c r="AG415" i="11" s="1"/>
  <c r="AG426" i="2"/>
  <c r="AG426" i="11" s="1"/>
  <c r="AG440" i="2"/>
  <c r="AG440" i="11" s="1"/>
  <c r="AG443" i="2"/>
  <c r="AG443" i="11" s="1"/>
  <c r="AG448" i="2"/>
  <c r="AG448" i="11" s="1"/>
  <c r="AG453" i="2"/>
  <c r="AG453" i="11" s="1"/>
  <c r="AG460" i="2"/>
  <c r="AG460" i="11" s="1"/>
  <c r="AG462" i="2"/>
  <c r="AG462" i="11" s="1"/>
  <c r="AG471" i="2"/>
  <c r="AG471" i="11" s="1"/>
  <c r="AG478" i="2"/>
  <c r="AG478" i="11" s="1"/>
  <c r="AG482" i="2"/>
  <c r="AG482" i="11" s="1"/>
  <c r="AG367" i="2"/>
  <c r="AG367" i="11" s="1"/>
  <c r="AG378" i="2"/>
  <c r="AG378" i="11" s="1"/>
  <c r="AG390" i="2"/>
  <c r="AG390" i="11" s="1"/>
  <c r="AG393" i="2"/>
  <c r="AG393" i="11" s="1"/>
  <c r="AG408" i="2"/>
  <c r="AG408" i="11" s="1"/>
  <c r="AG421" i="2"/>
  <c r="AG421" i="11" s="1"/>
  <c r="AG423" i="2"/>
  <c r="AG423" i="11" s="1"/>
  <c r="AG430" i="2"/>
  <c r="AG430" i="11" s="1"/>
  <c r="AG436" i="2"/>
  <c r="AG436" i="11" s="1"/>
  <c r="AG446" i="2"/>
  <c r="AG446" i="11" s="1"/>
  <c r="AG456" i="2"/>
  <c r="AG456" i="11" s="1"/>
  <c r="AG476" i="2"/>
  <c r="AG476" i="11" s="1"/>
  <c r="AG480" i="2"/>
  <c r="AG480" i="11" s="1"/>
  <c r="AG371" i="2"/>
  <c r="AG371" i="11" s="1"/>
  <c r="AG381" i="2"/>
  <c r="AG381" i="11" s="1"/>
  <c r="AG383" i="2"/>
  <c r="AG383" i="11" s="1"/>
  <c r="AG401" i="2"/>
  <c r="AG401" i="11" s="1"/>
  <c r="AG403" i="2"/>
  <c r="AG403" i="11" s="1"/>
  <c r="AG419" i="2"/>
  <c r="AG419" i="11" s="1"/>
  <c r="AG434" i="2"/>
  <c r="AG434" i="11" s="1"/>
  <c r="AG438" i="2"/>
  <c r="AG438" i="11" s="1"/>
  <c r="AG452" i="2"/>
  <c r="AG452" i="11" s="1"/>
  <c r="AG458" i="2"/>
  <c r="AG458" i="11" s="1"/>
  <c r="AG464" i="2"/>
  <c r="AG464" i="11" s="1"/>
  <c r="AG469" i="2"/>
  <c r="AG469" i="11" s="1"/>
  <c r="AG473" i="2"/>
  <c r="AG473" i="11" s="1"/>
  <c r="AG370" i="2"/>
  <c r="AG370" i="11" s="1"/>
  <c r="AG373" i="2"/>
  <c r="AG373" i="11" s="1"/>
  <c r="AG405" i="2"/>
  <c r="AG405" i="11" s="1"/>
  <c r="AG410" i="2"/>
  <c r="AG410" i="11" s="1"/>
  <c r="AG414" i="2"/>
  <c r="AG414" i="11" s="1"/>
  <c r="AG417" i="2"/>
  <c r="AG417" i="11" s="1"/>
  <c r="AG427" i="2"/>
  <c r="AG427" i="11" s="1"/>
  <c r="AG431" i="2"/>
  <c r="AG431" i="11" s="1"/>
  <c r="AG442" i="2"/>
  <c r="AG442" i="11" s="1"/>
  <c r="AG444" i="2"/>
  <c r="AG444" i="11" s="1"/>
  <c r="AG450" i="2"/>
  <c r="AG450" i="11" s="1"/>
  <c r="AG454" i="2"/>
  <c r="AG454" i="11" s="1"/>
  <c r="AG459" i="2"/>
  <c r="AG459" i="11" s="1"/>
  <c r="AG467" i="2"/>
  <c r="AG467" i="11" s="1"/>
  <c r="AG479" i="2"/>
  <c r="AG479" i="11" s="1"/>
  <c r="BM306" i="7"/>
  <c r="AI306" i="11" s="1"/>
  <c r="BM316" i="7"/>
  <c r="AI316" i="11" s="1"/>
  <c r="BM321" i="7"/>
  <c r="AI321" i="11" s="1"/>
  <c r="BM327" i="7"/>
  <c r="AI327" i="11" s="1"/>
  <c r="BM332" i="7"/>
  <c r="AI332" i="11" s="1"/>
  <c r="BM349" i="7"/>
  <c r="AI349" i="11" s="1"/>
  <c r="BM358" i="7"/>
  <c r="AI358" i="11" s="1"/>
  <c r="BM363" i="7"/>
  <c r="AI363" i="11" s="1"/>
  <c r="BM347" i="7"/>
  <c r="AI347" i="11" s="1"/>
  <c r="BM305" i="7"/>
  <c r="AI305" i="11" s="1"/>
  <c r="BM311" i="7"/>
  <c r="AI311" i="11" s="1"/>
  <c r="BM315" i="7"/>
  <c r="AI315" i="11" s="1"/>
  <c r="BM326" i="7"/>
  <c r="AI326" i="11" s="1"/>
  <c r="BM338" i="7"/>
  <c r="AI338" i="11" s="1"/>
  <c r="BM343" i="7"/>
  <c r="AI343" i="11" s="1"/>
  <c r="BM348" i="7"/>
  <c r="AI348" i="11" s="1"/>
  <c r="BM353" i="7"/>
  <c r="AI353" i="11" s="1"/>
  <c r="BM362" i="7"/>
  <c r="AI362" i="11" s="1"/>
  <c r="BM314" i="7"/>
  <c r="AI314" i="11" s="1"/>
  <c r="BM342" i="7"/>
  <c r="AI342" i="11" s="1"/>
  <c r="BM361" i="7"/>
  <c r="AI361" i="11" s="1"/>
  <c r="BM320" i="7"/>
  <c r="AI320" i="11" s="1"/>
  <c r="BM325" i="7"/>
  <c r="AI325" i="11" s="1"/>
  <c r="BM331" i="7"/>
  <c r="AI331" i="11" s="1"/>
  <c r="BM337" i="7"/>
  <c r="AI337" i="11" s="1"/>
  <c r="BM352" i="7"/>
  <c r="AI352" i="11" s="1"/>
  <c r="BM357" i="7"/>
  <c r="AI357" i="11" s="1"/>
  <c r="BM310" i="7"/>
  <c r="AI310" i="11" s="1"/>
  <c r="BM309" i="7"/>
  <c r="AI309" i="11" s="1"/>
  <c r="BM319" i="7"/>
  <c r="AI319" i="11" s="1"/>
  <c r="BM324" i="7"/>
  <c r="AI324" i="11" s="1"/>
  <c r="BM330" i="7"/>
  <c r="AI330" i="11" s="1"/>
  <c r="BM336" i="7"/>
  <c r="AI336" i="11" s="1"/>
  <c r="BM341" i="7"/>
  <c r="AI341" i="11" s="1"/>
  <c r="BM346" i="7"/>
  <c r="AI346" i="11" s="1"/>
  <c r="BM351" i="7"/>
  <c r="AI351" i="11" s="1"/>
  <c r="BM356" i="7"/>
  <c r="AI356" i="11" s="1"/>
  <c r="BM354" i="7"/>
  <c r="AI354" i="11" s="1"/>
  <c r="BM308" i="7"/>
  <c r="AI308" i="11" s="1"/>
  <c r="BM313" i="7"/>
  <c r="AI313" i="11" s="1"/>
  <c r="BM318" i="7"/>
  <c r="AI318" i="11" s="1"/>
  <c r="BM323" i="7"/>
  <c r="AI323" i="11" s="1"/>
  <c r="BM329" i="7"/>
  <c r="AI329" i="11" s="1"/>
  <c r="BM335" i="7"/>
  <c r="AI335" i="11" s="1"/>
  <c r="BM340" i="7"/>
  <c r="AI340" i="11" s="1"/>
  <c r="BM360" i="7"/>
  <c r="AI360" i="11" s="1"/>
  <c r="BM333" i="7"/>
  <c r="AI333" i="11" s="1"/>
  <c r="BM344" i="7"/>
  <c r="AI344" i="11" s="1"/>
  <c r="BM359" i="7"/>
  <c r="AI359" i="11" s="1"/>
  <c r="BM322" i="7"/>
  <c r="AI322" i="11" s="1"/>
  <c r="BM328" i="7"/>
  <c r="AI328" i="11" s="1"/>
  <c r="BM334" i="7"/>
  <c r="AI334" i="11" s="1"/>
  <c r="BM345" i="7"/>
  <c r="AI345" i="11" s="1"/>
  <c r="BM350" i="7"/>
  <c r="AI350" i="11" s="1"/>
  <c r="BM355" i="7"/>
  <c r="AI355" i="11" s="1"/>
  <c r="BM364" i="7"/>
  <c r="AI364" i="11" s="1"/>
  <c r="BM312" i="7"/>
  <c r="AI312" i="11" s="1"/>
  <c r="BM339" i="7"/>
  <c r="AI339" i="11" s="1"/>
  <c r="BM307" i="7"/>
  <c r="AI307" i="11" s="1"/>
  <c r="BM317" i="7"/>
  <c r="AI317" i="11" s="1"/>
  <c r="AG348" i="2"/>
  <c r="AG348" i="11" s="1"/>
  <c r="AG350" i="2"/>
  <c r="AG350" i="11" s="1"/>
  <c r="AG352" i="2"/>
  <c r="AG352" i="11" s="1"/>
  <c r="AG356" i="2"/>
  <c r="AG356" i="11" s="1"/>
  <c r="AG359" i="2"/>
  <c r="AG359" i="11" s="1"/>
  <c r="AG362" i="2"/>
  <c r="AG362" i="11" s="1"/>
  <c r="AG342" i="2"/>
  <c r="AG342" i="11" s="1"/>
  <c r="AG347" i="2"/>
  <c r="AG347" i="11" s="1"/>
  <c r="AG349" i="2"/>
  <c r="AG349" i="11" s="1"/>
  <c r="AG351" i="2"/>
  <c r="AG351" i="11" s="1"/>
  <c r="AG355" i="2"/>
  <c r="AG355" i="11" s="1"/>
  <c r="AG358" i="2"/>
  <c r="AG358" i="11" s="1"/>
  <c r="AG361" i="2"/>
  <c r="AG361" i="11" s="1"/>
  <c r="AG364" i="2"/>
  <c r="AG364" i="11" s="1"/>
  <c r="AG305" i="2"/>
  <c r="AG305" i="11" s="1"/>
  <c r="AG306" i="2"/>
  <c r="AG306" i="11" s="1"/>
  <c r="AG307" i="2"/>
  <c r="AG307" i="11" s="1"/>
  <c r="AG308" i="2"/>
  <c r="AG308" i="11" s="1"/>
  <c r="AG309" i="2"/>
  <c r="AG309" i="11" s="1"/>
  <c r="AG310" i="2"/>
  <c r="AG310" i="11" s="1"/>
  <c r="AG311" i="2"/>
  <c r="AG311" i="11" s="1"/>
  <c r="AG312" i="2"/>
  <c r="AG312" i="11" s="1"/>
  <c r="AG313" i="2"/>
  <c r="AG313" i="11" s="1"/>
  <c r="AG314" i="2"/>
  <c r="AG314" i="11" s="1"/>
  <c r="AG315" i="2"/>
  <c r="AG315" i="11" s="1"/>
  <c r="AG316" i="2"/>
  <c r="AG316" i="11" s="1"/>
  <c r="AG317" i="2"/>
  <c r="AG317" i="11" s="1"/>
  <c r="AG318" i="2"/>
  <c r="AG318" i="11" s="1"/>
  <c r="AG319" i="2"/>
  <c r="AG319" i="11" s="1"/>
  <c r="AG320" i="2"/>
  <c r="AG320" i="11" s="1"/>
  <c r="AG321" i="2"/>
  <c r="AG321" i="11" s="1"/>
  <c r="AG322" i="2"/>
  <c r="AG322" i="11" s="1"/>
  <c r="AG323" i="2"/>
  <c r="AG323" i="11" s="1"/>
  <c r="AG324" i="2"/>
  <c r="AG324" i="11" s="1"/>
  <c r="AG325" i="2"/>
  <c r="AG325" i="11" s="1"/>
  <c r="AG326" i="2"/>
  <c r="AG326" i="11" s="1"/>
  <c r="AG327" i="2"/>
  <c r="AG327" i="11" s="1"/>
  <c r="AG328" i="2"/>
  <c r="AG328" i="11" s="1"/>
  <c r="AG329" i="2"/>
  <c r="AG329" i="11" s="1"/>
  <c r="AG330" i="2"/>
  <c r="AG330" i="11" s="1"/>
  <c r="AG331" i="2"/>
  <c r="AG331" i="11" s="1"/>
  <c r="AG332" i="2"/>
  <c r="AG332" i="11" s="1"/>
  <c r="AG333" i="2"/>
  <c r="AG333" i="11" s="1"/>
  <c r="AG334" i="2"/>
  <c r="AG334" i="11" s="1"/>
  <c r="AG335" i="2"/>
  <c r="AG335" i="11" s="1"/>
  <c r="AG336" i="2"/>
  <c r="AG336" i="11" s="1"/>
  <c r="AG337" i="2"/>
  <c r="AG337" i="11" s="1"/>
  <c r="AG338" i="2"/>
  <c r="AG338" i="11" s="1"/>
  <c r="AG339" i="2"/>
  <c r="AG339" i="11" s="1"/>
  <c r="AG340" i="2"/>
  <c r="AG340" i="11" s="1"/>
  <c r="AG341" i="2"/>
  <c r="AG341" i="11" s="1"/>
  <c r="AG343" i="2"/>
  <c r="AG343" i="11" s="1"/>
  <c r="AG344" i="2"/>
  <c r="AG344" i="11" s="1"/>
  <c r="AG345" i="2"/>
  <c r="AG345" i="11" s="1"/>
  <c r="AG346" i="2"/>
  <c r="AG346" i="11" s="1"/>
  <c r="AG353" i="2"/>
  <c r="AG353" i="11" s="1"/>
  <c r="AG354" i="2"/>
  <c r="AG354" i="11" s="1"/>
  <c r="AG357" i="2"/>
  <c r="AG357" i="11" s="1"/>
  <c r="AG360" i="2"/>
  <c r="AG360" i="11" s="1"/>
  <c r="AG363" i="2"/>
  <c r="AG363" i="11" s="1"/>
  <c r="I53" i="15"/>
  <c r="K25" i="15"/>
  <c r="K53" i="15"/>
  <c r="I25" i="15"/>
  <c r="J41" i="15"/>
  <c r="J46" i="15"/>
  <c r="K31" i="15"/>
  <c r="R6" i="15"/>
  <c r="U6" i="15" s="1"/>
  <c r="I30" i="15"/>
  <c r="I32" i="15"/>
  <c r="I35" i="15"/>
  <c r="I43" i="15"/>
  <c r="I44" i="15"/>
  <c r="R10" i="15"/>
  <c r="U10" i="15" s="1"/>
  <c r="E54" i="15"/>
  <c r="R5" i="15"/>
  <c r="U5" i="15" s="1"/>
  <c r="I33" i="15"/>
  <c r="R7" i="15"/>
  <c r="R9" i="15"/>
  <c r="U9" i="15" s="1"/>
  <c r="I37" i="15"/>
  <c r="I38" i="15"/>
  <c r="I39" i="15"/>
  <c r="I41" i="15"/>
  <c r="K43" i="15"/>
  <c r="I13" i="15"/>
  <c r="I14" i="15"/>
  <c r="I15" i="15"/>
  <c r="I16" i="15"/>
  <c r="U60" i="5" l="1"/>
  <c r="W60" i="5" s="1"/>
  <c r="U61" i="5"/>
  <c r="W61" i="5" s="1"/>
  <c r="U58" i="5"/>
  <c r="W58" i="5" s="1"/>
  <c r="BP352" i="11"/>
  <c r="AJ23" i="20" s="1"/>
  <c r="BP484" i="11"/>
  <c r="AU23" i="20" s="1"/>
  <c r="BP328" i="11"/>
  <c r="AH23" i="20" s="1"/>
  <c r="BP400" i="11"/>
  <c r="AN23" i="20" s="1"/>
  <c r="BP448" i="11"/>
  <c r="AR23" i="20" s="1"/>
  <c r="BP472" i="11"/>
  <c r="AT23" i="20" s="1"/>
  <c r="BP364" i="11"/>
  <c r="AK23" i="20" s="1"/>
  <c r="BP424" i="11"/>
  <c r="AP23" i="20" s="1"/>
  <c r="BP340" i="11"/>
  <c r="AI23" i="20" s="1"/>
  <c r="BP316" i="11"/>
  <c r="AG23" i="20" s="1"/>
  <c r="BP388" i="11"/>
  <c r="AM23" i="20" s="1"/>
  <c r="BP436" i="11"/>
  <c r="AQ23" i="20" s="1"/>
  <c r="BP460" i="11"/>
  <c r="AS23" i="20" s="1"/>
  <c r="BP376" i="11"/>
  <c r="AL23" i="20" s="1"/>
  <c r="BP412" i="11"/>
  <c r="AO23" i="20" s="1"/>
  <c r="BR328" i="11"/>
  <c r="AH25" i="20" s="1"/>
  <c r="BR340" i="11"/>
  <c r="AI25" i="20" s="1"/>
  <c r="BR352" i="11"/>
  <c r="AJ25" i="20" s="1"/>
  <c r="BR316" i="11"/>
  <c r="AG25" i="20" s="1"/>
  <c r="BR364" i="11"/>
  <c r="AK25" i="20" s="1"/>
  <c r="E39" i="6"/>
  <c r="J54" i="15"/>
  <c r="I18" i="15"/>
  <c r="I26" i="15" s="1"/>
  <c r="I46" i="15"/>
  <c r="I54" i="15" s="1"/>
  <c r="U7" i="15"/>
  <c r="U11" i="15"/>
  <c r="K26" i="15"/>
  <c r="E31" i="1"/>
  <c r="E32" i="1" s="1"/>
  <c r="K14" i="15"/>
  <c r="K44" i="15"/>
  <c r="K46" i="15" s="1"/>
  <c r="K32" i="15"/>
  <c r="K30" i="15"/>
  <c r="K13" i="15"/>
  <c r="K16" i="15"/>
  <c r="K39" i="15"/>
  <c r="K38" i="15"/>
  <c r="K15" i="15"/>
  <c r="K37" i="15"/>
  <c r="K33" i="15"/>
  <c r="AH31" i="20" l="1"/>
  <c r="AJ31" i="20"/>
  <c r="AK31" i="20"/>
  <c r="AI31" i="20"/>
  <c r="AG31" i="20"/>
  <c r="BR376" i="11"/>
  <c r="AL25" i="20" s="1"/>
  <c r="AL31" i="20" s="1"/>
  <c r="AL41" i="20" s="1"/>
  <c r="AL42" i="20" s="1"/>
  <c r="BR412" i="11"/>
  <c r="AO25" i="20" s="1"/>
  <c r="AO31" i="20" s="1"/>
  <c r="AO41" i="20" s="1"/>
  <c r="AO42" i="20" s="1"/>
  <c r="BR472" i="11"/>
  <c r="AT25" i="20" s="1"/>
  <c r="AT31" i="20" s="1"/>
  <c r="AT41" i="20" s="1"/>
  <c r="AT42" i="20" s="1"/>
  <c r="BR424" i="11"/>
  <c r="AP25" i="20" s="1"/>
  <c r="AP31" i="20" s="1"/>
  <c r="AP41" i="20" s="1"/>
  <c r="AP42" i="20" s="1"/>
  <c r="BR436" i="11"/>
  <c r="AQ25" i="20" s="1"/>
  <c r="AQ31" i="20" s="1"/>
  <c r="AQ41" i="20" s="1"/>
  <c r="AQ42" i="20" s="1"/>
  <c r="BR388" i="11"/>
  <c r="AM25" i="20" s="1"/>
  <c r="AM31" i="20" s="1"/>
  <c r="AM41" i="20" s="1"/>
  <c r="AM42" i="20" s="1"/>
  <c r="BR400" i="11"/>
  <c r="AN25" i="20" s="1"/>
  <c r="AN31" i="20" s="1"/>
  <c r="AN41" i="20" s="1"/>
  <c r="AN42" i="20" s="1"/>
  <c r="BR460" i="11"/>
  <c r="AS25" i="20" s="1"/>
  <c r="AS31" i="20" s="1"/>
  <c r="AS41" i="20" s="1"/>
  <c r="AS42" i="20" s="1"/>
  <c r="BR448" i="11"/>
  <c r="AR25" i="20" s="1"/>
  <c r="AR31" i="20" s="1"/>
  <c r="AR41" i="20" s="1"/>
  <c r="AR42" i="20" s="1"/>
  <c r="BR484" i="11"/>
  <c r="AU25" i="20" s="1"/>
  <c r="AU31" i="20" s="1"/>
  <c r="AU41" i="20" s="1"/>
  <c r="AU42" i="20" s="1"/>
  <c r="O14" i="1"/>
  <c r="O16" i="1" s="1"/>
  <c r="O5" i="1" s="1"/>
  <c r="K18" i="15"/>
  <c r="K41" i="15"/>
  <c r="K35" i="15"/>
  <c r="K54" i="15" l="1"/>
  <c r="O22" i="6" s="1"/>
  <c r="P14" i="1" l="1"/>
  <c r="D44" i="3" l="1"/>
  <c r="E6" i="3"/>
  <c r="E9"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E5" i="3"/>
  <c r="E8" i="3" s="1"/>
  <c r="D44" i="9"/>
  <c r="E6" i="9"/>
  <c r="E9" i="9" s="1"/>
  <c r="B33" i="9" s="1"/>
  <c r="E5" i="9"/>
  <c r="E8" i="9" s="1"/>
  <c r="AI304" i="2"/>
  <c r="AH304" i="11" s="1"/>
  <c r="AH304" i="2"/>
  <c r="AG304" i="2"/>
  <c r="AG304" i="11" s="1"/>
  <c r="S304" i="2"/>
  <c r="R304" i="2"/>
  <c r="AI303" i="2"/>
  <c r="AH303" i="11" s="1"/>
  <c r="AH303" i="2"/>
  <c r="AG303" i="2"/>
  <c r="AG303" i="11" s="1"/>
  <c r="S303" i="2"/>
  <c r="R303" i="2"/>
  <c r="AI302" i="2"/>
  <c r="AH302" i="11" s="1"/>
  <c r="AH302" i="2"/>
  <c r="AG302" i="2"/>
  <c r="AG302" i="11" s="1"/>
  <c r="S302" i="2"/>
  <c r="R302" i="2"/>
  <c r="AI301" i="2"/>
  <c r="AH301" i="11" s="1"/>
  <c r="AH301" i="2"/>
  <c r="AG301" i="2"/>
  <c r="AG301" i="11" s="1"/>
  <c r="S301" i="2"/>
  <c r="R301" i="2"/>
  <c r="AI300" i="2"/>
  <c r="AH300" i="11" s="1"/>
  <c r="AH300" i="2"/>
  <c r="AG300" i="2"/>
  <c r="AG300" i="11" s="1"/>
  <c r="S300" i="2"/>
  <c r="R300" i="2"/>
  <c r="AI299" i="2"/>
  <c r="AH299" i="11" s="1"/>
  <c r="AH299" i="2"/>
  <c r="AG299" i="2"/>
  <c r="AG299" i="11" s="1"/>
  <c r="S299" i="2"/>
  <c r="R299" i="2"/>
  <c r="AI298" i="2"/>
  <c r="AH298" i="11" s="1"/>
  <c r="AH298" i="2"/>
  <c r="AG298" i="2"/>
  <c r="AG298" i="11" s="1"/>
  <c r="S298" i="2"/>
  <c r="R298" i="2"/>
  <c r="AI297" i="2"/>
  <c r="AH297" i="11" s="1"/>
  <c r="AH297" i="2"/>
  <c r="AG297" i="2"/>
  <c r="AG297" i="11" s="1"/>
  <c r="S297" i="2"/>
  <c r="R297" i="2"/>
  <c r="AI296" i="2"/>
  <c r="AH296" i="11" s="1"/>
  <c r="AH296" i="2"/>
  <c r="AG296" i="2"/>
  <c r="AG296" i="11" s="1"/>
  <c r="S296" i="2"/>
  <c r="R296" i="2"/>
  <c r="AI295" i="2"/>
  <c r="AH295" i="11" s="1"/>
  <c r="AH295" i="2"/>
  <c r="AG295" i="2"/>
  <c r="AG295" i="11" s="1"/>
  <c r="S295" i="2"/>
  <c r="R295" i="2"/>
  <c r="AI294" i="2"/>
  <c r="AH294" i="11" s="1"/>
  <c r="AH294" i="2"/>
  <c r="AG294" i="2"/>
  <c r="AG294" i="11" s="1"/>
  <c r="S294" i="2"/>
  <c r="R294" i="2"/>
  <c r="AI293" i="2"/>
  <c r="AH293" i="11" s="1"/>
  <c r="AH293" i="2"/>
  <c r="AG293" i="2"/>
  <c r="AG293" i="11" s="1"/>
  <c r="S293" i="2"/>
  <c r="R293" i="2"/>
  <c r="AI292" i="2"/>
  <c r="AH292" i="11" s="1"/>
  <c r="AH292" i="2"/>
  <c r="AG292" i="2"/>
  <c r="AG292" i="11" s="1"/>
  <c r="S292" i="2"/>
  <c r="R292" i="2"/>
  <c r="AI291" i="2"/>
  <c r="AH291" i="11" s="1"/>
  <c r="AH291" i="2"/>
  <c r="AG291" i="2"/>
  <c r="AG291" i="11" s="1"/>
  <c r="S291" i="2"/>
  <c r="R291" i="2"/>
  <c r="AI290" i="2"/>
  <c r="AH290" i="11" s="1"/>
  <c r="AH290" i="2"/>
  <c r="AG290" i="2"/>
  <c r="AG290" i="11" s="1"/>
  <c r="S290" i="2"/>
  <c r="R290" i="2"/>
  <c r="AI289" i="2"/>
  <c r="AH289" i="11" s="1"/>
  <c r="AH289" i="2"/>
  <c r="AG289" i="2"/>
  <c r="AG289" i="11" s="1"/>
  <c r="S289" i="2"/>
  <c r="R289" i="2"/>
  <c r="AI288" i="2"/>
  <c r="AH288" i="11" s="1"/>
  <c r="AH288" i="2"/>
  <c r="AG288" i="2"/>
  <c r="AG288" i="11" s="1"/>
  <c r="S288" i="2"/>
  <c r="R288" i="2"/>
  <c r="AI287" i="2"/>
  <c r="AH287" i="11" s="1"/>
  <c r="AH287" i="2"/>
  <c r="AG287" i="2"/>
  <c r="AG287" i="11" s="1"/>
  <c r="S287" i="2"/>
  <c r="R287" i="2"/>
  <c r="AI286" i="2"/>
  <c r="AH286" i="11" s="1"/>
  <c r="AH286" i="2"/>
  <c r="AG286" i="2"/>
  <c r="AG286" i="11" s="1"/>
  <c r="S286" i="2"/>
  <c r="R286" i="2"/>
  <c r="AI285" i="2"/>
  <c r="AH285" i="11" s="1"/>
  <c r="AH285" i="2"/>
  <c r="AG285" i="2"/>
  <c r="AG285" i="11" s="1"/>
  <c r="S285" i="2"/>
  <c r="R285" i="2"/>
  <c r="AI284" i="2"/>
  <c r="AH284" i="11" s="1"/>
  <c r="AH284" i="2"/>
  <c r="AG284" i="2"/>
  <c r="AG284" i="11" s="1"/>
  <c r="S284" i="2"/>
  <c r="R284" i="2"/>
  <c r="AI283" i="2"/>
  <c r="AH283" i="11" s="1"/>
  <c r="AH283" i="2"/>
  <c r="AG283" i="2"/>
  <c r="AG283" i="11" s="1"/>
  <c r="S283" i="2"/>
  <c r="R283" i="2"/>
  <c r="AI282" i="2"/>
  <c r="AH282" i="11" s="1"/>
  <c r="AH282" i="2"/>
  <c r="AG282" i="2"/>
  <c r="AG282" i="11" s="1"/>
  <c r="S282" i="2"/>
  <c r="R282" i="2"/>
  <c r="AI281" i="2"/>
  <c r="AH281" i="11" s="1"/>
  <c r="AH281" i="2"/>
  <c r="AG281" i="2"/>
  <c r="AG281" i="11" s="1"/>
  <c r="S281" i="2"/>
  <c r="R281" i="2"/>
  <c r="AI280" i="2"/>
  <c r="AH280" i="11" s="1"/>
  <c r="AH280" i="2"/>
  <c r="AG280" i="2"/>
  <c r="AG280" i="11" s="1"/>
  <c r="S280" i="2"/>
  <c r="R280" i="2"/>
  <c r="AI279" i="2"/>
  <c r="AH279" i="11" s="1"/>
  <c r="AH279" i="2"/>
  <c r="AG279" i="2"/>
  <c r="AG279" i="11" s="1"/>
  <c r="S279" i="2"/>
  <c r="R279" i="2"/>
  <c r="AI278" i="2"/>
  <c r="AH278" i="11" s="1"/>
  <c r="AH278" i="2"/>
  <c r="AG278" i="2"/>
  <c r="AG278" i="11" s="1"/>
  <c r="S278" i="2"/>
  <c r="R278" i="2"/>
  <c r="AI277" i="2"/>
  <c r="AH277" i="11" s="1"/>
  <c r="AH277" i="2"/>
  <c r="AG277" i="2"/>
  <c r="AG277" i="11" s="1"/>
  <c r="S277" i="2"/>
  <c r="R277" i="2"/>
  <c r="AI276" i="2"/>
  <c r="AH276" i="11" s="1"/>
  <c r="AH276" i="2"/>
  <c r="AG276" i="2"/>
  <c r="AG276" i="11" s="1"/>
  <c r="S276" i="2"/>
  <c r="R276" i="2"/>
  <c r="AI275" i="2"/>
  <c r="AH275" i="11" s="1"/>
  <c r="AH275" i="2"/>
  <c r="AG275" i="2"/>
  <c r="AG275" i="11" s="1"/>
  <c r="S275" i="2"/>
  <c r="R275" i="2"/>
  <c r="AI274" i="2"/>
  <c r="AH274" i="11" s="1"/>
  <c r="AH274" i="2"/>
  <c r="AG274" i="2"/>
  <c r="AG274" i="11" s="1"/>
  <c r="S274" i="2"/>
  <c r="R274" i="2"/>
  <c r="AI273" i="2"/>
  <c r="AH273" i="11" s="1"/>
  <c r="AH273" i="2"/>
  <c r="AG273" i="2"/>
  <c r="AG273" i="11" s="1"/>
  <c r="S273" i="2"/>
  <c r="R273" i="2"/>
  <c r="AI272" i="2"/>
  <c r="AH272" i="11" s="1"/>
  <c r="AH272" i="2"/>
  <c r="AG272" i="2"/>
  <c r="AG272" i="11" s="1"/>
  <c r="S272" i="2"/>
  <c r="R272" i="2"/>
  <c r="AI271" i="2"/>
  <c r="AH271" i="11" s="1"/>
  <c r="AH271" i="2"/>
  <c r="AG271" i="2"/>
  <c r="AG271" i="11" s="1"/>
  <c r="S271" i="2"/>
  <c r="R271" i="2"/>
  <c r="AI270" i="2"/>
  <c r="AH270" i="11" s="1"/>
  <c r="AH270" i="2"/>
  <c r="AG270" i="2"/>
  <c r="AG270" i="11" s="1"/>
  <c r="S270" i="2"/>
  <c r="R270" i="2"/>
  <c r="AI269" i="2"/>
  <c r="AH269" i="11" s="1"/>
  <c r="AH269" i="2"/>
  <c r="AG269" i="2"/>
  <c r="AG269" i="11" s="1"/>
  <c r="S269" i="2"/>
  <c r="R269" i="2"/>
  <c r="AI268" i="2"/>
  <c r="AH268" i="11" s="1"/>
  <c r="AH268" i="2"/>
  <c r="AG268" i="2"/>
  <c r="AG268" i="11" s="1"/>
  <c r="S268" i="2"/>
  <c r="R268" i="2"/>
  <c r="AI267" i="2"/>
  <c r="AH267" i="11" s="1"/>
  <c r="AH267" i="2"/>
  <c r="AG267" i="2"/>
  <c r="AG267" i="11" s="1"/>
  <c r="S267" i="2"/>
  <c r="R267" i="2"/>
  <c r="AI266" i="2"/>
  <c r="AH266" i="11" s="1"/>
  <c r="AH266" i="2"/>
  <c r="AG266" i="2"/>
  <c r="AG266" i="11" s="1"/>
  <c r="S266" i="2"/>
  <c r="R266" i="2"/>
  <c r="AI265" i="2"/>
  <c r="AH265" i="11" s="1"/>
  <c r="AH265" i="2"/>
  <c r="AG265" i="2"/>
  <c r="AG265" i="11" s="1"/>
  <c r="S265" i="2"/>
  <c r="R265" i="2"/>
  <c r="AI264" i="2"/>
  <c r="AH264" i="11" s="1"/>
  <c r="AH264" i="2"/>
  <c r="AG264" i="2"/>
  <c r="AG264" i="11" s="1"/>
  <c r="S264" i="2"/>
  <c r="R264" i="2"/>
  <c r="AI263" i="2"/>
  <c r="AH263" i="11" s="1"/>
  <c r="AH263" i="2"/>
  <c r="AG263" i="2"/>
  <c r="AG263" i="11" s="1"/>
  <c r="S263" i="2"/>
  <c r="R263" i="2"/>
  <c r="AI262" i="2"/>
  <c r="AH262" i="11" s="1"/>
  <c r="AH262" i="2"/>
  <c r="AG262" i="2"/>
  <c r="AG262" i="11" s="1"/>
  <c r="S262" i="2"/>
  <c r="R262" i="2"/>
  <c r="AI261" i="2"/>
  <c r="AH261" i="11" s="1"/>
  <c r="AH261" i="2"/>
  <c r="AG261" i="2"/>
  <c r="AG261" i="11" s="1"/>
  <c r="S261" i="2"/>
  <c r="R261" i="2"/>
  <c r="AI260" i="2"/>
  <c r="AH260" i="11" s="1"/>
  <c r="AH260" i="2"/>
  <c r="AG260" i="2"/>
  <c r="AG260" i="11" s="1"/>
  <c r="S260" i="2"/>
  <c r="R260" i="2"/>
  <c r="AI259" i="2"/>
  <c r="AH259" i="11" s="1"/>
  <c r="AH259" i="2"/>
  <c r="AG259" i="2"/>
  <c r="AG259" i="11" s="1"/>
  <c r="S259" i="2"/>
  <c r="R259" i="2"/>
  <c r="AI258" i="2"/>
  <c r="AH258" i="11" s="1"/>
  <c r="AH258" i="2"/>
  <c r="AG258" i="2"/>
  <c r="AG258" i="11" s="1"/>
  <c r="S258" i="2"/>
  <c r="R258" i="2"/>
  <c r="AI257" i="2"/>
  <c r="AH257" i="11" s="1"/>
  <c r="AH257" i="2"/>
  <c r="AG257" i="2"/>
  <c r="AG257" i="11" s="1"/>
  <c r="S257" i="2"/>
  <c r="R257" i="2"/>
  <c r="AI256" i="2"/>
  <c r="AH256" i="11" s="1"/>
  <c r="AH256" i="2"/>
  <c r="AG256" i="2"/>
  <c r="AG256" i="11" s="1"/>
  <c r="S256" i="2"/>
  <c r="R256" i="2"/>
  <c r="AI255" i="2"/>
  <c r="AH255" i="11" s="1"/>
  <c r="AH255" i="2"/>
  <c r="AG255" i="2"/>
  <c r="AG255" i="11" s="1"/>
  <c r="S255" i="2"/>
  <c r="R255" i="2"/>
  <c r="AI254" i="2"/>
  <c r="AH254" i="11" s="1"/>
  <c r="AH254" i="2"/>
  <c r="AG254" i="2"/>
  <c r="AG254" i="11" s="1"/>
  <c r="S254" i="2"/>
  <c r="R254" i="2"/>
  <c r="AI253" i="2"/>
  <c r="AH253" i="11" s="1"/>
  <c r="AH253" i="2"/>
  <c r="AG253" i="2"/>
  <c r="AG253" i="11" s="1"/>
  <c r="S253" i="2"/>
  <c r="R253" i="2"/>
  <c r="AI252" i="2"/>
  <c r="AH252" i="11" s="1"/>
  <c r="AH252" i="2"/>
  <c r="AG252" i="2"/>
  <c r="AG252" i="11" s="1"/>
  <c r="S252" i="2"/>
  <c r="R252" i="2"/>
  <c r="AI251" i="2"/>
  <c r="AH251" i="11" s="1"/>
  <c r="AH251" i="2"/>
  <c r="AG251" i="2"/>
  <c r="AG251" i="11" s="1"/>
  <c r="S251" i="2"/>
  <c r="R251" i="2"/>
  <c r="AI250" i="2"/>
  <c r="AH250" i="11" s="1"/>
  <c r="AH250" i="2"/>
  <c r="AG250" i="2"/>
  <c r="AG250" i="11" s="1"/>
  <c r="S250" i="2"/>
  <c r="R250" i="2"/>
  <c r="AI249" i="2"/>
  <c r="AH249" i="11" s="1"/>
  <c r="AH249" i="2"/>
  <c r="AG249" i="2"/>
  <c r="AG249" i="11" s="1"/>
  <c r="S249" i="2"/>
  <c r="R249" i="2"/>
  <c r="AI248" i="2"/>
  <c r="AH248" i="11" s="1"/>
  <c r="AH248" i="2"/>
  <c r="AG248" i="2"/>
  <c r="AG248" i="11" s="1"/>
  <c r="S248" i="2"/>
  <c r="R248" i="2"/>
  <c r="AI247" i="2"/>
  <c r="AH247" i="11" s="1"/>
  <c r="AH247" i="2"/>
  <c r="AG247" i="2"/>
  <c r="AG247" i="11" s="1"/>
  <c r="S247" i="2"/>
  <c r="R247" i="2"/>
  <c r="AI246" i="2"/>
  <c r="AH246" i="11" s="1"/>
  <c r="AH246" i="2"/>
  <c r="AG246" i="2"/>
  <c r="AG246" i="11" s="1"/>
  <c r="S246" i="2"/>
  <c r="R246" i="2"/>
  <c r="AI245" i="2"/>
  <c r="AH245" i="11" s="1"/>
  <c r="AH245" i="2"/>
  <c r="AG245" i="2"/>
  <c r="AG245" i="11" s="1"/>
  <c r="S245" i="2"/>
  <c r="R245" i="2"/>
  <c r="AI244" i="2"/>
  <c r="AH244" i="11" s="1"/>
  <c r="AH244" i="2"/>
  <c r="AG244" i="2"/>
  <c r="AG244" i="11" s="1"/>
  <c r="S244" i="2"/>
  <c r="R244" i="2"/>
  <c r="AI243" i="2"/>
  <c r="AH243" i="11" s="1"/>
  <c r="AH243" i="2"/>
  <c r="AG243" i="2"/>
  <c r="AG243" i="11" s="1"/>
  <c r="S243" i="2"/>
  <c r="R243" i="2"/>
  <c r="AI242" i="2"/>
  <c r="AH242" i="11" s="1"/>
  <c r="AH242" i="2"/>
  <c r="AG242" i="2"/>
  <c r="AG242" i="11" s="1"/>
  <c r="S242" i="2"/>
  <c r="R242" i="2"/>
  <c r="AI241" i="2"/>
  <c r="AH241" i="11" s="1"/>
  <c r="AH241" i="2"/>
  <c r="AG241" i="2"/>
  <c r="AG241" i="11" s="1"/>
  <c r="S241" i="2"/>
  <c r="R241" i="2"/>
  <c r="AI240" i="2"/>
  <c r="AH240" i="11" s="1"/>
  <c r="AH240" i="2"/>
  <c r="AG240" i="2"/>
  <c r="AG240" i="11" s="1"/>
  <c r="S240" i="2"/>
  <c r="R240" i="2"/>
  <c r="AI239" i="2"/>
  <c r="AH239" i="11" s="1"/>
  <c r="AH239" i="2"/>
  <c r="AG239" i="2"/>
  <c r="AG239" i="11" s="1"/>
  <c r="S239" i="2"/>
  <c r="R239" i="2"/>
  <c r="AI238" i="2"/>
  <c r="AH238" i="11" s="1"/>
  <c r="AH238" i="2"/>
  <c r="AG238" i="2"/>
  <c r="AG238" i="11" s="1"/>
  <c r="S238" i="2"/>
  <c r="R238" i="2"/>
  <c r="AI237" i="2"/>
  <c r="AH237" i="11" s="1"/>
  <c r="AH237" i="2"/>
  <c r="AG237" i="2"/>
  <c r="AG237" i="11" s="1"/>
  <c r="S237" i="2"/>
  <c r="R237" i="2"/>
  <c r="AI236" i="2"/>
  <c r="AH236" i="11" s="1"/>
  <c r="AH236" i="2"/>
  <c r="AG236" i="2"/>
  <c r="AG236" i="11" s="1"/>
  <c r="S236" i="2"/>
  <c r="R236" i="2"/>
  <c r="AI235" i="2"/>
  <c r="AH235" i="11" s="1"/>
  <c r="AH235" i="2"/>
  <c r="AG235" i="2"/>
  <c r="AG235" i="11" s="1"/>
  <c r="S235" i="2"/>
  <c r="R235" i="2"/>
  <c r="AI234" i="2"/>
  <c r="AH234" i="11" s="1"/>
  <c r="AH234" i="2"/>
  <c r="AG234" i="2"/>
  <c r="AG234" i="11" s="1"/>
  <c r="S234" i="2"/>
  <c r="R234" i="2"/>
  <c r="AI233" i="2"/>
  <c r="AH233" i="11" s="1"/>
  <c r="AH233" i="2"/>
  <c r="AG233" i="2"/>
  <c r="AG233" i="11" s="1"/>
  <c r="S233" i="2"/>
  <c r="R233" i="2"/>
  <c r="AI232" i="2"/>
  <c r="AH232" i="11" s="1"/>
  <c r="AH232" i="2"/>
  <c r="AG232" i="2"/>
  <c r="AG232" i="11" s="1"/>
  <c r="S232" i="2"/>
  <c r="R232" i="2"/>
  <c r="AI231" i="2"/>
  <c r="AH231" i="11" s="1"/>
  <c r="AH231" i="2"/>
  <c r="AG231" i="2"/>
  <c r="AG231" i="11" s="1"/>
  <c r="S231" i="2"/>
  <c r="R231" i="2"/>
  <c r="AI230" i="2"/>
  <c r="AH230" i="11" s="1"/>
  <c r="AH230" i="2"/>
  <c r="AG230" i="2"/>
  <c r="AG230" i="11" s="1"/>
  <c r="S230" i="2"/>
  <c r="R230" i="2"/>
  <c r="AI229" i="2"/>
  <c r="AH229" i="11" s="1"/>
  <c r="AH229" i="2"/>
  <c r="AG229" i="2"/>
  <c r="AG229" i="11" s="1"/>
  <c r="S229" i="2"/>
  <c r="R229" i="2"/>
  <c r="AI228" i="2"/>
  <c r="AH228" i="11" s="1"/>
  <c r="AH228" i="2"/>
  <c r="AG228" i="2"/>
  <c r="AG228" i="11" s="1"/>
  <c r="S228" i="2"/>
  <c r="R228" i="2"/>
  <c r="AI227" i="2"/>
  <c r="AH227" i="11" s="1"/>
  <c r="AH227" i="2"/>
  <c r="AG227" i="2"/>
  <c r="AG227" i="11" s="1"/>
  <c r="S227" i="2"/>
  <c r="R227" i="2"/>
  <c r="AI226" i="2"/>
  <c r="AH226" i="11" s="1"/>
  <c r="AH226" i="2"/>
  <c r="AG226" i="2"/>
  <c r="AG226" i="11" s="1"/>
  <c r="S226" i="2"/>
  <c r="R226" i="2"/>
  <c r="AI225" i="2"/>
  <c r="AH225" i="11" s="1"/>
  <c r="AH225" i="2"/>
  <c r="AG225" i="2"/>
  <c r="AG225" i="11" s="1"/>
  <c r="S225" i="2"/>
  <c r="R225" i="2"/>
  <c r="AI224" i="2"/>
  <c r="AH224" i="11" s="1"/>
  <c r="AH224" i="2"/>
  <c r="AG224" i="2"/>
  <c r="AG224" i="11" s="1"/>
  <c r="S224" i="2"/>
  <c r="R224" i="2"/>
  <c r="AI223" i="2"/>
  <c r="AH223" i="11" s="1"/>
  <c r="AH223" i="2"/>
  <c r="AG223" i="2"/>
  <c r="AG223" i="11" s="1"/>
  <c r="S223" i="2"/>
  <c r="R223" i="2"/>
  <c r="AI222" i="2"/>
  <c r="AH222" i="11" s="1"/>
  <c r="AH222" i="2"/>
  <c r="AG222" i="2"/>
  <c r="AG222" i="11" s="1"/>
  <c r="S222" i="2"/>
  <c r="R222" i="2"/>
  <c r="AI221" i="2"/>
  <c r="AH221" i="11" s="1"/>
  <c r="AH221" i="2"/>
  <c r="AG221" i="2"/>
  <c r="AG221" i="11" s="1"/>
  <c r="S221" i="2"/>
  <c r="R221" i="2"/>
  <c r="AI220" i="2"/>
  <c r="AH220" i="11" s="1"/>
  <c r="AH220" i="2"/>
  <c r="AG220" i="2"/>
  <c r="AG220" i="11" s="1"/>
  <c r="S220" i="2"/>
  <c r="R220" i="2"/>
  <c r="AI219" i="2"/>
  <c r="AH219" i="11" s="1"/>
  <c r="AH219" i="2"/>
  <c r="AG219" i="2"/>
  <c r="AG219" i="11" s="1"/>
  <c r="S219" i="2"/>
  <c r="R219" i="2"/>
  <c r="AI218" i="2"/>
  <c r="AH218" i="11" s="1"/>
  <c r="AH218" i="2"/>
  <c r="AG218" i="2"/>
  <c r="AG218" i="11" s="1"/>
  <c r="S218" i="2"/>
  <c r="R218" i="2"/>
  <c r="AI217" i="2"/>
  <c r="AH217" i="11" s="1"/>
  <c r="AH217" i="2"/>
  <c r="AG217" i="2"/>
  <c r="AG217" i="11" s="1"/>
  <c r="S217" i="2"/>
  <c r="R217" i="2"/>
  <c r="AI216" i="2"/>
  <c r="AH216" i="11" s="1"/>
  <c r="AH216" i="2"/>
  <c r="AG216" i="2"/>
  <c r="AG216" i="11" s="1"/>
  <c r="S216" i="2"/>
  <c r="R216" i="2"/>
  <c r="AI215" i="2"/>
  <c r="AH215" i="11" s="1"/>
  <c r="AH215" i="2"/>
  <c r="AG215" i="2"/>
  <c r="AG215" i="11" s="1"/>
  <c r="S215" i="2"/>
  <c r="R215" i="2"/>
  <c r="AI214" i="2"/>
  <c r="AH214" i="11" s="1"/>
  <c r="AH214" i="2"/>
  <c r="AG214" i="2"/>
  <c r="AG214" i="11" s="1"/>
  <c r="S214" i="2"/>
  <c r="R214" i="2"/>
  <c r="AI213" i="2"/>
  <c r="AH213" i="11" s="1"/>
  <c r="AH213" i="2"/>
  <c r="AG213" i="2"/>
  <c r="AG213" i="11" s="1"/>
  <c r="S213" i="2"/>
  <c r="R213" i="2"/>
  <c r="AI212" i="2"/>
  <c r="AH212" i="11" s="1"/>
  <c r="AH212" i="2"/>
  <c r="AG212" i="2"/>
  <c r="AG212" i="11" s="1"/>
  <c r="S212" i="2"/>
  <c r="R212" i="2"/>
  <c r="AI211" i="2"/>
  <c r="AH211" i="11" s="1"/>
  <c r="AH211" i="2"/>
  <c r="AG211" i="2"/>
  <c r="AG211" i="11" s="1"/>
  <c r="S211" i="2"/>
  <c r="R211" i="2"/>
  <c r="AI210" i="2"/>
  <c r="AH210" i="11" s="1"/>
  <c r="AH210" i="2"/>
  <c r="AG210" i="2"/>
  <c r="AG210" i="11" s="1"/>
  <c r="S210" i="2"/>
  <c r="R210" i="2"/>
  <c r="AI209" i="2"/>
  <c r="AH209" i="11" s="1"/>
  <c r="AH209" i="2"/>
  <c r="AG209" i="2"/>
  <c r="AG209" i="11" s="1"/>
  <c r="S209" i="2"/>
  <c r="R209" i="2"/>
  <c r="AI208" i="2"/>
  <c r="AH208" i="11" s="1"/>
  <c r="AH208" i="2"/>
  <c r="AG208" i="2"/>
  <c r="AG208" i="11" s="1"/>
  <c r="S208" i="2"/>
  <c r="R208" i="2"/>
  <c r="AI207" i="2"/>
  <c r="AH207" i="11" s="1"/>
  <c r="AH207" i="2"/>
  <c r="AG207" i="2"/>
  <c r="AG207" i="11" s="1"/>
  <c r="S207" i="2"/>
  <c r="R207" i="2"/>
  <c r="AI206" i="2"/>
  <c r="AH206" i="11" s="1"/>
  <c r="AH206" i="2"/>
  <c r="AG206" i="2"/>
  <c r="AG206" i="11" s="1"/>
  <c r="S206" i="2"/>
  <c r="R206" i="2"/>
  <c r="AI205" i="2"/>
  <c r="AH205" i="11" s="1"/>
  <c r="AH205" i="2"/>
  <c r="AG205" i="2"/>
  <c r="AG205" i="11" s="1"/>
  <c r="S205" i="2"/>
  <c r="R205" i="2"/>
  <c r="AI204" i="2"/>
  <c r="AH204" i="11" s="1"/>
  <c r="AH204" i="2"/>
  <c r="AG204" i="2"/>
  <c r="AG204" i="11" s="1"/>
  <c r="S204" i="2"/>
  <c r="R204" i="2"/>
  <c r="AI203" i="2"/>
  <c r="AH203" i="11" s="1"/>
  <c r="AH203" i="2"/>
  <c r="AG203" i="2"/>
  <c r="AG203" i="11" s="1"/>
  <c r="S203" i="2"/>
  <c r="R203" i="2"/>
  <c r="AI202" i="2"/>
  <c r="AH202" i="11" s="1"/>
  <c r="AH202" i="2"/>
  <c r="AG202" i="2"/>
  <c r="AG202" i="11" s="1"/>
  <c r="S202" i="2"/>
  <c r="R202" i="2"/>
  <c r="AI201" i="2"/>
  <c r="AH201" i="11" s="1"/>
  <c r="AH201" i="2"/>
  <c r="AG201" i="2"/>
  <c r="AG201" i="11" s="1"/>
  <c r="S201" i="2"/>
  <c r="R201" i="2"/>
  <c r="AI200" i="2"/>
  <c r="AH200" i="11" s="1"/>
  <c r="AH200" i="2"/>
  <c r="AG200" i="2"/>
  <c r="AG200" i="11" s="1"/>
  <c r="S200" i="2"/>
  <c r="R200" i="2"/>
  <c r="AI199" i="2"/>
  <c r="AH199" i="11" s="1"/>
  <c r="AH199" i="2"/>
  <c r="AG199" i="2"/>
  <c r="AG199" i="11" s="1"/>
  <c r="S199" i="2"/>
  <c r="R199" i="2"/>
  <c r="AI198" i="2"/>
  <c r="AH198" i="11" s="1"/>
  <c r="AH198" i="2"/>
  <c r="AG198" i="2"/>
  <c r="AG198" i="11" s="1"/>
  <c r="S198" i="2"/>
  <c r="R198" i="2"/>
  <c r="AI197" i="2"/>
  <c r="AH197" i="11" s="1"/>
  <c r="AH197" i="2"/>
  <c r="AG197" i="2"/>
  <c r="AG197" i="11" s="1"/>
  <c r="S197" i="2"/>
  <c r="R197" i="2"/>
  <c r="AI196" i="2"/>
  <c r="AH196" i="11" s="1"/>
  <c r="AH196" i="2"/>
  <c r="AG196" i="2"/>
  <c r="AG196" i="11" s="1"/>
  <c r="S196" i="2"/>
  <c r="R196" i="2"/>
  <c r="AI195" i="2"/>
  <c r="AH195" i="11" s="1"/>
  <c r="AH195" i="2"/>
  <c r="AG195" i="2"/>
  <c r="AG195" i="11" s="1"/>
  <c r="S195" i="2"/>
  <c r="R195" i="2"/>
  <c r="AI194" i="2"/>
  <c r="AH194" i="11" s="1"/>
  <c r="AH194" i="2"/>
  <c r="AG194" i="2"/>
  <c r="AG194" i="11" s="1"/>
  <c r="S194" i="2"/>
  <c r="R194" i="2"/>
  <c r="AI193" i="2"/>
  <c r="AH193" i="11" s="1"/>
  <c r="AH193" i="2"/>
  <c r="AG193" i="2"/>
  <c r="AG193" i="11" s="1"/>
  <c r="S193" i="2"/>
  <c r="R193" i="2"/>
  <c r="AI192" i="2"/>
  <c r="AH192" i="11" s="1"/>
  <c r="AH192" i="2"/>
  <c r="AG192" i="2"/>
  <c r="AG192" i="11" s="1"/>
  <c r="S192" i="2"/>
  <c r="R192" i="2"/>
  <c r="AI191" i="2"/>
  <c r="AH191" i="11" s="1"/>
  <c r="AH191" i="2"/>
  <c r="AG191" i="2"/>
  <c r="AG191" i="11" s="1"/>
  <c r="S191" i="2"/>
  <c r="R191" i="2"/>
  <c r="AI190" i="2"/>
  <c r="AH190" i="11" s="1"/>
  <c r="AH190" i="2"/>
  <c r="AG190" i="2"/>
  <c r="AG190" i="11" s="1"/>
  <c r="S190" i="2"/>
  <c r="R190" i="2"/>
  <c r="AI189" i="2"/>
  <c r="AH189" i="11" s="1"/>
  <c r="AH189" i="2"/>
  <c r="AG189" i="2"/>
  <c r="AG189" i="11" s="1"/>
  <c r="S189" i="2"/>
  <c r="R189" i="2"/>
  <c r="AI188" i="2"/>
  <c r="AH188" i="11" s="1"/>
  <c r="AH188" i="2"/>
  <c r="AG188" i="2"/>
  <c r="AG188" i="11" s="1"/>
  <c r="S188" i="2"/>
  <c r="R188" i="2"/>
  <c r="AI187" i="2"/>
  <c r="AH187" i="11" s="1"/>
  <c r="AH187" i="2"/>
  <c r="AG187" i="2"/>
  <c r="AG187" i="11" s="1"/>
  <c r="S187" i="2"/>
  <c r="R187" i="2"/>
  <c r="AI186" i="2"/>
  <c r="AH186" i="11" s="1"/>
  <c r="AH186" i="2"/>
  <c r="AG186" i="2"/>
  <c r="AG186" i="11" s="1"/>
  <c r="S186" i="2"/>
  <c r="R186" i="2"/>
  <c r="AI185" i="2"/>
  <c r="AH185" i="11" s="1"/>
  <c r="AH185" i="2"/>
  <c r="AG185" i="2"/>
  <c r="AG185" i="11" s="1"/>
  <c r="S185" i="2"/>
  <c r="R185" i="2"/>
  <c r="AI184" i="2"/>
  <c r="AH184" i="11" s="1"/>
  <c r="AH184" i="2"/>
  <c r="AG184" i="2"/>
  <c r="AG184" i="11" s="1"/>
  <c r="S184" i="2"/>
  <c r="R184" i="2"/>
  <c r="AI183" i="2"/>
  <c r="AH183" i="11" s="1"/>
  <c r="AH183" i="2"/>
  <c r="AG183" i="2"/>
  <c r="AG183" i="11" s="1"/>
  <c r="S183" i="2"/>
  <c r="R183" i="2"/>
  <c r="AI182" i="2"/>
  <c r="AH182" i="11" s="1"/>
  <c r="AH182" i="2"/>
  <c r="AG182" i="2"/>
  <c r="AG182" i="11" s="1"/>
  <c r="S182" i="2"/>
  <c r="R182" i="2"/>
  <c r="AI181" i="2"/>
  <c r="AH181" i="11" s="1"/>
  <c r="AH181" i="2"/>
  <c r="AG181" i="2"/>
  <c r="AG181" i="11" s="1"/>
  <c r="S181" i="2"/>
  <c r="R181" i="2"/>
  <c r="AI180" i="2"/>
  <c r="AH180" i="11" s="1"/>
  <c r="AH180" i="2"/>
  <c r="AG180" i="2"/>
  <c r="AG180" i="11" s="1"/>
  <c r="S180" i="2"/>
  <c r="R180" i="2"/>
  <c r="AI179" i="2"/>
  <c r="AH179" i="11" s="1"/>
  <c r="AH179" i="2"/>
  <c r="AG179" i="2"/>
  <c r="AG179" i="11" s="1"/>
  <c r="S179" i="2"/>
  <c r="R179" i="2"/>
  <c r="AI178" i="2"/>
  <c r="AH178" i="11" s="1"/>
  <c r="AH178" i="2"/>
  <c r="AG178" i="2"/>
  <c r="AG178" i="11" s="1"/>
  <c r="S178" i="2"/>
  <c r="R178" i="2"/>
  <c r="AI177" i="2"/>
  <c r="AH177" i="11" s="1"/>
  <c r="AH177" i="2"/>
  <c r="AG177" i="2"/>
  <c r="AG177" i="11" s="1"/>
  <c r="S177" i="2"/>
  <c r="R177" i="2"/>
  <c r="AI176" i="2"/>
  <c r="AH176" i="11" s="1"/>
  <c r="AH176" i="2"/>
  <c r="AG176" i="2"/>
  <c r="AG176" i="11" s="1"/>
  <c r="S176" i="2"/>
  <c r="R176" i="2"/>
  <c r="AI175" i="2"/>
  <c r="AH175" i="11" s="1"/>
  <c r="AH175" i="2"/>
  <c r="AG175" i="2"/>
  <c r="AG175" i="11" s="1"/>
  <c r="S175" i="2"/>
  <c r="R175" i="2"/>
  <c r="AI174" i="2"/>
  <c r="AH174" i="11" s="1"/>
  <c r="AH174" i="2"/>
  <c r="AG174" i="2"/>
  <c r="AG174" i="11" s="1"/>
  <c r="S174" i="2"/>
  <c r="R174" i="2"/>
  <c r="AI173" i="2"/>
  <c r="AH173" i="11" s="1"/>
  <c r="AH173" i="2"/>
  <c r="AG173" i="2"/>
  <c r="AG173" i="11" s="1"/>
  <c r="S173" i="2"/>
  <c r="R173" i="2"/>
  <c r="AI172" i="2"/>
  <c r="AH172" i="11" s="1"/>
  <c r="AH172" i="2"/>
  <c r="AG172" i="2"/>
  <c r="AG172" i="11" s="1"/>
  <c r="S172" i="2"/>
  <c r="R172" i="2"/>
  <c r="AI171" i="2"/>
  <c r="AH171" i="11" s="1"/>
  <c r="AH171" i="2"/>
  <c r="AG171" i="2"/>
  <c r="AG171" i="11" s="1"/>
  <c r="S171" i="2"/>
  <c r="R171" i="2"/>
  <c r="AI170" i="2"/>
  <c r="AH170" i="11" s="1"/>
  <c r="AH170" i="2"/>
  <c r="AG170" i="2"/>
  <c r="AG170" i="11" s="1"/>
  <c r="S170" i="2"/>
  <c r="R170" i="2"/>
  <c r="AI169" i="2"/>
  <c r="AH169" i="11" s="1"/>
  <c r="AH169" i="2"/>
  <c r="AG169" i="2"/>
  <c r="AG169" i="11" s="1"/>
  <c r="S169" i="2"/>
  <c r="R169" i="2"/>
  <c r="AI168" i="2"/>
  <c r="AH168" i="11" s="1"/>
  <c r="AH168" i="2"/>
  <c r="AG168" i="2"/>
  <c r="AG168" i="11" s="1"/>
  <c r="S168" i="2"/>
  <c r="R168" i="2"/>
  <c r="AI167" i="2"/>
  <c r="AH167" i="11" s="1"/>
  <c r="AH167" i="2"/>
  <c r="AG167" i="2"/>
  <c r="AG167" i="11" s="1"/>
  <c r="S167" i="2"/>
  <c r="R167" i="2"/>
  <c r="AI166" i="2"/>
  <c r="AH166" i="11" s="1"/>
  <c r="AH166" i="2"/>
  <c r="AG166" i="2"/>
  <c r="AG166" i="11" s="1"/>
  <c r="S166" i="2"/>
  <c r="R166" i="2"/>
  <c r="AI165" i="2"/>
  <c r="AH165" i="11" s="1"/>
  <c r="AH165" i="2"/>
  <c r="AG165" i="2"/>
  <c r="AG165" i="11" s="1"/>
  <c r="S165" i="2"/>
  <c r="R165" i="2"/>
  <c r="AI164" i="2"/>
  <c r="AH164" i="11" s="1"/>
  <c r="AH164" i="2"/>
  <c r="AG164" i="2"/>
  <c r="AG164" i="11" s="1"/>
  <c r="S164" i="2"/>
  <c r="R164" i="2"/>
  <c r="AI163" i="2"/>
  <c r="AH163" i="11" s="1"/>
  <c r="AH163" i="2"/>
  <c r="AG163" i="2"/>
  <c r="AG163" i="11" s="1"/>
  <c r="S163" i="2"/>
  <c r="R163" i="2"/>
  <c r="AI162" i="2"/>
  <c r="AH162" i="11" s="1"/>
  <c r="AH162" i="2"/>
  <c r="AG162" i="2"/>
  <c r="AG162" i="11" s="1"/>
  <c r="S162" i="2"/>
  <c r="R162" i="2"/>
  <c r="AI161" i="2"/>
  <c r="AH161" i="11" s="1"/>
  <c r="AH161" i="2"/>
  <c r="AG161" i="2"/>
  <c r="AG161" i="11" s="1"/>
  <c r="S161" i="2"/>
  <c r="R161" i="2"/>
  <c r="AI160" i="2"/>
  <c r="AH160" i="11" s="1"/>
  <c r="AH160" i="2"/>
  <c r="AG160" i="2"/>
  <c r="AG160" i="11" s="1"/>
  <c r="S160" i="2"/>
  <c r="R160" i="2"/>
  <c r="AI159" i="2"/>
  <c r="AH159" i="11" s="1"/>
  <c r="AH159" i="2"/>
  <c r="AG159" i="2"/>
  <c r="AG159" i="11" s="1"/>
  <c r="S159" i="2"/>
  <c r="R159" i="2"/>
  <c r="AI158" i="2"/>
  <c r="AH158" i="11" s="1"/>
  <c r="AH158" i="2"/>
  <c r="AG158" i="2"/>
  <c r="AG158" i="11" s="1"/>
  <c r="S158" i="2"/>
  <c r="R158" i="2"/>
  <c r="AI157" i="2"/>
  <c r="AH157" i="11" s="1"/>
  <c r="AH157" i="2"/>
  <c r="AG157" i="2"/>
  <c r="AG157" i="11" s="1"/>
  <c r="S157" i="2"/>
  <c r="R157" i="2"/>
  <c r="AI156" i="2"/>
  <c r="AH156" i="11" s="1"/>
  <c r="AH156" i="2"/>
  <c r="AG156" i="2"/>
  <c r="AG156" i="11" s="1"/>
  <c r="S156" i="2"/>
  <c r="R156" i="2"/>
  <c r="AI155" i="2"/>
  <c r="AH155" i="11" s="1"/>
  <c r="AH155" i="2"/>
  <c r="AG155" i="2"/>
  <c r="AG155" i="11" s="1"/>
  <c r="S155" i="2"/>
  <c r="R155" i="2"/>
  <c r="AI154" i="2"/>
  <c r="AH154" i="11" s="1"/>
  <c r="AH154" i="2"/>
  <c r="AG154" i="2"/>
  <c r="AG154" i="11" s="1"/>
  <c r="S154" i="2"/>
  <c r="R154" i="2"/>
  <c r="AI153" i="2"/>
  <c r="AH153" i="11" s="1"/>
  <c r="AH153" i="2"/>
  <c r="AG153" i="2"/>
  <c r="AG153" i="11" s="1"/>
  <c r="S153" i="2"/>
  <c r="R153" i="2"/>
  <c r="AI152" i="2"/>
  <c r="AH152" i="11" s="1"/>
  <c r="AH152" i="2"/>
  <c r="AG152" i="2"/>
  <c r="AG152" i="11" s="1"/>
  <c r="S152" i="2"/>
  <c r="R152" i="2"/>
  <c r="AI151" i="2"/>
  <c r="AH151" i="11" s="1"/>
  <c r="AH151" i="2"/>
  <c r="AG151" i="2"/>
  <c r="AG151" i="11" s="1"/>
  <c r="S151" i="2"/>
  <c r="R151" i="2"/>
  <c r="AI150" i="2"/>
  <c r="AH150" i="11" s="1"/>
  <c r="AH150" i="2"/>
  <c r="AG150" i="2"/>
  <c r="AG150" i="11" s="1"/>
  <c r="S150" i="2"/>
  <c r="R150" i="2"/>
  <c r="AI149" i="2"/>
  <c r="AH149" i="11" s="1"/>
  <c r="AH149" i="2"/>
  <c r="AG149" i="2"/>
  <c r="AG149" i="11" s="1"/>
  <c r="S149" i="2"/>
  <c r="R149" i="2"/>
  <c r="AI148" i="2"/>
  <c r="AH148" i="11" s="1"/>
  <c r="AH148" i="2"/>
  <c r="AG148" i="2"/>
  <c r="AG148" i="11" s="1"/>
  <c r="S148" i="2"/>
  <c r="R148" i="2"/>
  <c r="AI147" i="2"/>
  <c r="AH147" i="11" s="1"/>
  <c r="AH147" i="2"/>
  <c r="AG147" i="2"/>
  <c r="AG147" i="11" s="1"/>
  <c r="S147" i="2"/>
  <c r="R147" i="2"/>
  <c r="AI146" i="2"/>
  <c r="AH146" i="11" s="1"/>
  <c r="AH146" i="2"/>
  <c r="AG146" i="2"/>
  <c r="AG146" i="11" s="1"/>
  <c r="S146" i="2"/>
  <c r="R146" i="2"/>
  <c r="AI145" i="2"/>
  <c r="AH145" i="11" s="1"/>
  <c r="AH145" i="2"/>
  <c r="AG145" i="2"/>
  <c r="AG145" i="11" s="1"/>
  <c r="S145" i="2"/>
  <c r="R145" i="2"/>
  <c r="AI144" i="2"/>
  <c r="AH144" i="11" s="1"/>
  <c r="AH144" i="2"/>
  <c r="AG144" i="2"/>
  <c r="AG144" i="11" s="1"/>
  <c r="S144" i="2"/>
  <c r="R144" i="2"/>
  <c r="AI143" i="2"/>
  <c r="AH143" i="11" s="1"/>
  <c r="AH143" i="2"/>
  <c r="AG143" i="2"/>
  <c r="AG143" i="11" s="1"/>
  <c r="S143" i="2"/>
  <c r="R143" i="2"/>
  <c r="AI142" i="2"/>
  <c r="AH142" i="11" s="1"/>
  <c r="AH142" i="2"/>
  <c r="AG142" i="2"/>
  <c r="AG142" i="11" s="1"/>
  <c r="S142" i="2"/>
  <c r="R142" i="2"/>
  <c r="AI141" i="2"/>
  <c r="AH141" i="11" s="1"/>
  <c r="AH141" i="2"/>
  <c r="AG141" i="2"/>
  <c r="AG141" i="11" s="1"/>
  <c r="S141" i="2"/>
  <c r="R141" i="2"/>
  <c r="AI140" i="2"/>
  <c r="AH140" i="11" s="1"/>
  <c r="AH140" i="2"/>
  <c r="AG140" i="2"/>
  <c r="AG140" i="11" s="1"/>
  <c r="S140" i="2"/>
  <c r="R140" i="2"/>
  <c r="AI139" i="2"/>
  <c r="AH139" i="11" s="1"/>
  <c r="AH139" i="2"/>
  <c r="AG139" i="2"/>
  <c r="AG139" i="11" s="1"/>
  <c r="S139" i="2"/>
  <c r="R139" i="2"/>
  <c r="AI138" i="2"/>
  <c r="AH138" i="11" s="1"/>
  <c r="AH138" i="2"/>
  <c r="AG138" i="2"/>
  <c r="AG138" i="11" s="1"/>
  <c r="S138" i="2"/>
  <c r="R138" i="2"/>
  <c r="AI137" i="2"/>
  <c r="AH137" i="11" s="1"/>
  <c r="AH137" i="2"/>
  <c r="AG137" i="2"/>
  <c r="AG137" i="11" s="1"/>
  <c r="S137" i="2"/>
  <c r="R137" i="2"/>
  <c r="AI136" i="2"/>
  <c r="AH136" i="11" s="1"/>
  <c r="AH136" i="2"/>
  <c r="AG136" i="2"/>
  <c r="AG136" i="11" s="1"/>
  <c r="S136" i="2"/>
  <c r="R136" i="2"/>
  <c r="AI135" i="2"/>
  <c r="AH135" i="11" s="1"/>
  <c r="AH135" i="2"/>
  <c r="AG135" i="2"/>
  <c r="AG135" i="11" s="1"/>
  <c r="S135" i="2"/>
  <c r="R135" i="2"/>
  <c r="AI134" i="2"/>
  <c r="AH134" i="11" s="1"/>
  <c r="AH134" i="2"/>
  <c r="AG134" i="2"/>
  <c r="AG134" i="11" s="1"/>
  <c r="S134" i="2"/>
  <c r="R134" i="2"/>
  <c r="AI133" i="2"/>
  <c r="AH133" i="11" s="1"/>
  <c r="AH133" i="2"/>
  <c r="AG133" i="2"/>
  <c r="AG133" i="11" s="1"/>
  <c r="S133" i="2"/>
  <c r="R133" i="2"/>
  <c r="AI132" i="2"/>
  <c r="AH132" i="11" s="1"/>
  <c r="AH132" i="2"/>
  <c r="AG132" i="2"/>
  <c r="AG132" i="11" s="1"/>
  <c r="S132" i="2"/>
  <c r="R132" i="2"/>
  <c r="AI131" i="2"/>
  <c r="AH131" i="11" s="1"/>
  <c r="AH131" i="2"/>
  <c r="AG131" i="2"/>
  <c r="AG131" i="11" s="1"/>
  <c r="S131" i="2"/>
  <c r="R131" i="2"/>
  <c r="AI130" i="2"/>
  <c r="AH130" i="11" s="1"/>
  <c r="AH130" i="2"/>
  <c r="AG130" i="2"/>
  <c r="AG130" i="11" s="1"/>
  <c r="S130" i="2"/>
  <c r="R130" i="2"/>
  <c r="AI129" i="2"/>
  <c r="AH129" i="11" s="1"/>
  <c r="AH129" i="2"/>
  <c r="AG129" i="2"/>
  <c r="AG129" i="11" s="1"/>
  <c r="S129" i="2"/>
  <c r="R129" i="2"/>
  <c r="AI128" i="2"/>
  <c r="AH128" i="11" s="1"/>
  <c r="AH128" i="2"/>
  <c r="AG128" i="2"/>
  <c r="AG128" i="11" s="1"/>
  <c r="S128" i="2"/>
  <c r="R128" i="2"/>
  <c r="AI127" i="2"/>
  <c r="AH127" i="11" s="1"/>
  <c r="AH127" i="2"/>
  <c r="AG127" i="2"/>
  <c r="AG127" i="11" s="1"/>
  <c r="S127" i="2"/>
  <c r="R127" i="2"/>
  <c r="AI126" i="2"/>
  <c r="AH126" i="11" s="1"/>
  <c r="AH126" i="2"/>
  <c r="AG126" i="2"/>
  <c r="AG126" i="11" s="1"/>
  <c r="S126" i="2"/>
  <c r="R126" i="2"/>
  <c r="AI125" i="2"/>
  <c r="AH125" i="11" s="1"/>
  <c r="AH125" i="2"/>
  <c r="AG125" i="2"/>
  <c r="AG125" i="11" s="1"/>
  <c r="S125" i="2"/>
  <c r="R125" i="2"/>
  <c r="AI124" i="2"/>
  <c r="AH124" i="11" s="1"/>
  <c r="AH124" i="2"/>
  <c r="AG124" i="2"/>
  <c r="AG124" i="11" s="1"/>
  <c r="S124" i="2"/>
  <c r="R124" i="2"/>
  <c r="AI123" i="2"/>
  <c r="AH123" i="11" s="1"/>
  <c r="AH123" i="2"/>
  <c r="AG123" i="2"/>
  <c r="AG123" i="11" s="1"/>
  <c r="S123" i="2"/>
  <c r="R123" i="2"/>
  <c r="AI122" i="2"/>
  <c r="AH122" i="11" s="1"/>
  <c r="AH122" i="2"/>
  <c r="AG122" i="2"/>
  <c r="AG122" i="11" s="1"/>
  <c r="S122" i="2"/>
  <c r="R122" i="2"/>
  <c r="AI121" i="2"/>
  <c r="AH121" i="11" s="1"/>
  <c r="AH121" i="2"/>
  <c r="AG121" i="2"/>
  <c r="AG121" i="11" s="1"/>
  <c r="S121" i="2"/>
  <c r="R121" i="2"/>
  <c r="AI120" i="2"/>
  <c r="AH120" i="11" s="1"/>
  <c r="AH120" i="2"/>
  <c r="AG120" i="2"/>
  <c r="AG120" i="11" s="1"/>
  <c r="S120" i="2"/>
  <c r="R120" i="2"/>
  <c r="AI119" i="2"/>
  <c r="AH119" i="11" s="1"/>
  <c r="AH119" i="2"/>
  <c r="AG119" i="2"/>
  <c r="AG119" i="11" s="1"/>
  <c r="S119" i="2"/>
  <c r="R119" i="2"/>
  <c r="AI118" i="2"/>
  <c r="AH118" i="11" s="1"/>
  <c r="AH118" i="2"/>
  <c r="AG118" i="2"/>
  <c r="AG118" i="11" s="1"/>
  <c r="S118" i="2"/>
  <c r="R118" i="2"/>
  <c r="AI117" i="2"/>
  <c r="AH117" i="11" s="1"/>
  <c r="AH117" i="2"/>
  <c r="AG117" i="2"/>
  <c r="AG117" i="11" s="1"/>
  <c r="S117" i="2"/>
  <c r="R117" i="2"/>
  <c r="AI116" i="2"/>
  <c r="AH116" i="11" s="1"/>
  <c r="AH116" i="2"/>
  <c r="AG116" i="2"/>
  <c r="AG116" i="11" s="1"/>
  <c r="S116" i="2"/>
  <c r="R116" i="2"/>
  <c r="AI115" i="2"/>
  <c r="AH115" i="11" s="1"/>
  <c r="AH115" i="2"/>
  <c r="AG115" i="2"/>
  <c r="AG115" i="11" s="1"/>
  <c r="S115" i="2"/>
  <c r="R115" i="2"/>
  <c r="AI114" i="2"/>
  <c r="AH114" i="11" s="1"/>
  <c r="AH114" i="2"/>
  <c r="AG114" i="2"/>
  <c r="AG114" i="11" s="1"/>
  <c r="S114" i="2"/>
  <c r="R114" i="2"/>
  <c r="AI113" i="2"/>
  <c r="AH113" i="11" s="1"/>
  <c r="AH113" i="2"/>
  <c r="AG113" i="2"/>
  <c r="AG113" i="11" s="1"/>
  <c r="S113" i="2"/>
  <c r="R113" i="2"/>
  <c r="AI112" i="2"/>
  <c r="AH112" i="11" s="1"/>
  <c r="AH112" i="2"/>
  <c r="AG112" i="2"/>
  <c r="AG112" i="11" s="1"/>
  <c r="S112" i="2"/>
  <c r="R112" i="2"/>
  <c r="AI111" i="2"/>
  <c r="AH111" i="11" s="1"/>
  <c r="AH111" i="2"/>
  <c r="AG111" i="2"/>
  <c r="AG111" i="11" s="1"/>
  <c r="S111" i="2"/>
  <c r="R111" i="2"/>
  <c r="AI110" i="2"/>
  <c r="AH110" i="11" s="1"/>
  <c r="AH110" i="2"/>
  <c r="AG110" i="2"/>
  <c r="AG110" i="11" s="1"/>
  <c r="S110" i="2"/>
  <c r="R110" i="2"/>
  <c r="AI109" i="2"/>
  <c r="AH109" i="11" s="1"/>
  <c r="AH109" i="2"/>
  <c r="AG109" i="2"/>
  <c r="AG109" i="11" s="1"/>
  <c r="S109" i="2"/>
  <c r="R109" i="2"/>
  <c r="AI108" i="2"/>
  <c r="AH108" i="11" s="1"/>
  <c r="AH108" i="2"/>
  <c r="AG108" i="2"/>
  <c r="AG108" i="11" s="1"/>
  <c r="S108" i="2"/>
  <c r="R108" i="2"/>
  <c r="AI107" i="2"/>
  <c r="AH107" i="11" s="1"/>
  <c r="AH107" i="2"/>
  <c r="AG107" i="2"/>
  <c r="AG107" i="11" s="1"/>
  <c r="S107" i="2"/>
  <c r="R107" i="2"/>
  <c r="AI106" i="2"/>
  <c r="AH106" i="11" s="1"/>
  <c r="AH106" i="2"/>
  <c r="AG106" i="2"/>
  <c r="AG106" i="11" s="1"/>
  <c r="S106" i="2"/>
  <c r="R106" i="2"/>
  <c r="AI105" i="2"/>
  <c r="AH105" i="11" s="1"/>
  <c r="AH105" i="2"/>
  <c r="AG105" i="2"/>
  <c r="AG105" i="11" s="1"/>
  <c r="S105" i="2"/>
  <c r="R105" i="2"/>
  <c r="AI104" i="2"/>
  <c r="AH104" i="11" s="1"/>
  <c r="AH104" i="2"/>
  <c r="AG104" i="2"/>
  <c r="AG104" i="11" s="1"/>
  <c r="S104" i="2"/>
  <c r="R104" i="2"/>
  <c r="AI103" i="2"/>
  <c r="AH103" i="11" s="1"/>
  <c r="AH103" i="2"/>
  <c r="AG103" i="2"/>
  <c r="AG103" i="11" s="1"/>
  <c r="S103" i="2"/>
  <c r="R103" i="2"/>
  <c r="AI102" i="2"/>
  <c r="AH102" i="11" s="1"/>
  <c r="AH102" i="2"/>
  <c r="AG102" i="2"/>
  <c r="AG102" i="11" s="1"/>
  <c r="S102" i="2"/>
  <c r="R102" i="2"/>
  <c r="AI101" i="2"/>
  <c r="AH101" i="11" s="1"/>
  <c r="AH101" i="2"/>
  <c r="AG101" i="2"/>
  <c r="AG101" i="11" s="1"/>
  <c r="S101" i="2"/>
  <c r="R101" i="2"/>
  <c r="AI100" i="2"/>
  <c r="AH100" i="11" s="1"/>
  <c r="AH100" i="2"/>
  <c r="AG100" i="2"/>
  <c r="AG100" i="11" s="1"/>
  <c r="S100" i="2"/>
  <c r="R100" i="2"/>
  <c r="AI99" i="2"/>
  <c r="AH99" i="11" s="1"/>
  <c r="AH99" i="2"/>
  <c r="AG99" i="2"/>
  <c r="AG99" i="11" s="1"/>
  <c r="S99" i="2"/>
  <c r="R99" i="2"/>
  <c r="AI98" i="2"/>
  <c r="AH98" i="11" s="1"/>
  <c r="AH98" i="2"/>
  <c r="AG98" i="2"/>
  <c r="AG98" i="11" s="1"/>
  <c r="S98" i="2"/>
  <c r="R98" i="2"/>
  <c r="AI97" i="2"/>
  <c r="AH97" i="11" s="1"/>
  <c r="AH97" i="2"/>
  <c r="AG97" i="2"/>
  <c r="AG97" i="11" s="1"/>
  <c r="S97" i="2"/>
  <c r="R97" i="2"/>
  <c r="AI96" i="2"/>
  <c r="AH96" i="11" s="1"/>
  <c r="AH96" i="2"/>
  <c r="AG96" i="2"/>
  <c r="AG96" i="11" s="1"/>
  <c r="S96" i="2"/>
  <c r="R96" i="2"/>
  <c r="AI95" i="2"/>
  <c r="AH95" i="11" s="1"/>
  <c r="AH95" i="2"/>
  <c r="AG95" i="2"/>
  <c r="AG95" i="11" s="1"/>
  <c r="S95" i="2"/>
  <c r="R95" i="2"/>
  <c r="AI94" i="2"/>
  <c r="AH94" i="11" s="1"/>
  <c r="AH94" i="2"/>
  <c r="AG94" i="2"/>
  <c r="AG94" i="11" s="1"/>
  <c r="S94" i="2"/>
  <c r="R94" i="2"/>
  <c r="AI93" i="2"/>
  <c r="AH93" i="11" s="1"/>
  <c r="AH93" i="2"/>
  <c r="AG93" i="2"/>
  <c r="AG93" i="11" s="1"/>
  <c r="S93" i="2"/>
  <c r="R93" i="2"/>
  <c r="AI92" i="2"/>
  <c r="AH92" i="11" s="1"/>
  <c r="AH92" i="2"/>
  <c r="AG92" i="2"/>
  <c r="AG92" i="11" s="1"/>
  <c r="S92" i="2"/>
  <c r="R92" i="2"/>
  <c r="AI91" i="2"/>
  <c r="AH91" i="11" s="1"/>
  <c r="AH91" i="2"/>
  <c r="AG91" i="2"/>
  <c r="AG91" i="11" s="1"/>
  <c r="S91" i="2"/>
  <c r="R91" i="2"/>
  <c r="AI90" i="2"/>
  <c r="AH90" i="11" s="1"/>
  <c r="AH90" i="2"/>
  <c r="AG90" i="2"/>
  <c r="AG90" i="11" s="1"/>
  <c r="S90" i="2"/>
  <c r="R90" i="2"/>
  <c r="AI89" i="2"/>
  <c r="AH89" i="11" s="1"/>
  <c r="AH89" i="2"/>
  <c r="AG89" i="2"/>
  <c r="AG89" i="11" s="1"/>
  <c r="S89" i="2"/>
  <c r="R89" i="2"/>
  <c r="AI88" i="2"/>
  <c r="AH88" i="11" s="1"/>
  <c r="AH88" i="2"/>
  <c r="AG88" i="2"/>
  <c r="AG88" i="11" s="1"/>
  <c r="S88" i="2"/>
  <c r="R88" i="2"/>
  <c r="AI87" i="2"/>
  <c r="AH87" i="11" s="1"/>
  <c r="AH87" i="2"/>
  <c r="AG87" i="2"/>
  <c r="AG87" i="11" s="1"/>
  <c r="S87" i="2"/>
  <c r="R87" i="2"/>
  <c r="AI86" i="2"/>
  <c r="AH86" i="11" s="1"/>
  <c r="AH86" i="2"/>
  <c r="AG86" i="2"/>
  <c r="AG86" i="11" s="1"/>
  <c r="S86" i="2"/>
  <c r="R86" i="2"/>
  <c r="AI85" i="2"/>
  <c r="AH85" i="11" s="1"/>
  <c r="AH85" i="2"/>
  <c r="AG85" i="2"/>
  <c r="AG85" i="11" s="1"/>
  <c r="S85" i="2"/>
  <c r="R85" i="2"/>
  <c r="AI84" i="2"/>
  <c r="AH84" i="11" s="1"/>
  <c r="AH84" i="2"/>
  <c r="AG84" i="2"/>
  <c r="AG84" i="11" s="1"/>
  <c r="S84" i="2"/>
  <c r="R84" i="2"/>
  <c r="AI83" i="2"/>
  <c r="AH83" i="11" s="1"/>
  <c r="AH83" i="2"/>
  <c r="AG83" i="2"/>
  <c r="AG83" i="11" s="1"/>
  <c r="S83" i="2"/>
  <c r="R83" i="2"/>
  <c r="AI82" i="2"/>
  <c r="AH82" i="11" s="1"/>
  <c r="AH82" i="2"/>
  <c r="AG82" i="2"/>
  <c r="AG82" i="11" s="1"/>
  <c r="S82" i="2"/>
  <c r="R82" i="2"/>
  <c r="AI81" i="2"/>
  <c r="AH81" i="11" s="1"/>
  <c r="AH81" i="2"/>
  <c r="AG81" i="2"/>
  <c r="AG81" i="11" s="1"/>
  <c r="S81" i="2"/>
  <c r="R81" i="2"/>
  <c r="AI80" i="2"/>
  <c r="AH80" i="11" s="1"/>
  <c r="AH80" i="2"/>
  <c r="AG80" i="2"/>
  <c r="AG80" i="11" s="1"/>
  <c r="S80" i="2"/>
  <c r="R80" i="2"/>
  <c r="AI79" i="2"/>
  <c r="AH79" i="11" s="1"/>
  <c r="AH79" i="2"/>
  <c r="AG79" i="2"/>
  <c r="AG79" i="11" s="1"/>
  <c r="S79" i="2"/>
  <c r="R79" i="2"/>
  <c r="AI78" i="2"/>
  <c r="AH78" i="11" s="1"/>
  <c r="AH78" i="2"/>
  <c r="AG78" i="2"/>
  <c r="AG78" i="11" s="1"/>
  <c r="S78" i="2"/>
  <c r="R78" i="2"/>
  <c r="AI77" i="2"/>
  <c r="AH77" i="11" s="1"/>
  <c r="AH77" i="2"/>
  <c r="AG77" i="2"/>
  <c r="AG77" i="11" s="1"/>
  <c r="S77" i="2"/>
  <c r="R77" i="2"/>
  <c r="AI76" i="2"/>
  <c r="AH76" i="11" s="1"/>
  <c r="AH76" i="2"/>
  <c r="AG76" i="2"/>
  <c r="AG76" i="11" s="1"/>
  <c r="S76" i="2"/>
  <c r="R76" i="2"/>
  <c r="AI75" i="2"/>
  <c r="AH75" i="11" s="1"/>
  <c r="AH75" i="2"/>
  <c r="AG75" i="2"/>
  <c r="AG75" i="11" s="1"/>
  <c r="S75" i="2"/>
  <c r="R75" i="2"/>
  <c r="AI74" i="2"/>
  <c r="AH74" i="11" s="1"/>
  <c r="AH74" i="2"/>
  <c r="AG74" i="2"/>
  <c r="AG74" i="11" s="1"/>
  <c r="S74" i="2"/>
  <c r="R74" i="2"/>
  <c r="AI73" i="2"/>
  <c r="AH73" i="11" s="1"/>
  <c r="AH73" i="2"/>
  <c r="AG73" i="2"/>
  <c r="AG73" i="11" s="1"/>
  <c r="S73" i="2"/>
  <c r="R73" i="2"/>
  <c r="AI72" i="2"/>
  <c r="AH72" i="11" s="1"/>
  <c r="AH72" i="2"/>
  <c r="AG72" i="2"/>
  <c r="AG72" i="11" s="1"/>
  <c r="S72" i="2"/>
  <c r="R72" i="2"/>
  <c r="AI71" i="2"/>
  <c r="AH71" i="11" s="1"/>
  <c r="AH71" i="2"/>
  <c r="AG71" i="2"/>
  <c r="AG71" i="11" s="1"/>
  <c r="S71" i="2"/>
  <c r="R71" i="2"/>
  <c r="AI70" i="2"/>
  <c r="AH70" i="11" s="1"/>
  <c r="AH70" i="2"/>
  <c r="AG70" i="2"/>
  <c r="AG70" i="11" s="1"/>
  <c r="S70" i="2"/>
  <c r="R70" i="2"/>
  <c r="AI69" i="2"/>
  <c r="AH69" i="11" s="1"/>
  <c r="AH69" i="2"/>
  <c r="AG69" i="2"/>
  <c r="AG69" i="11" s="1"/>
  <c r="S69" i="2"/>
  <c r="R69" i="2"/>
  <c r="AI68" i="2"/>
  <c r="AH68" i="11" s="1"/>
  <c r="AH68" i="2"/>
  <c r="AG68" i="2"/>
  <c r="AG68" i="11" s="1"/>
  <c r="S68" i="2"/>
  <c r="R68" i="2"/>
  <c r="AI67" i="2"/>
  <c r="AH67" i="11" s="1"/>
  <c r="AH67" i="2"/>
  <c r="AG67" i="2"/>
  <c r="AG67" i="11" s="1"/>
  <c r="S67" i="2"/>
  <c r="R67" i="2"/>
  <c r="AI66" i="2"/>
  <c r="AH66" i="11" s="1"/>
  <c r="AH66" i="2"/>
  <c r="AG66" i="2"/>
  <c r="AG66" i="11" s="1"/>
  <c r="S66" i="2"/>
  <c r="R66" i="2"/>
  <c r="AI65" i="2"/>
  <c r="AH65" i="11" s="1"/>
  <c r="AH65" i="2"/>
  <c r="AG65" i="2"/>
  <c r="AG65" i="11" s="1"/>
  <c r="S65" i="2"/>
  <c r="R65" i="2"/>
  <c r="AI64" i="2"/>
  <c r="AH64" i="11" s="1"/>
  <c r="AH64" i="2"/>
  <c r="AG64" i="2"/>
  <c r="AG64" i="11" s="1"/>
  <c r="S64" i="2"/>
  <c r="R64" i="2"/>
  <c r="AI63" i="2"/>
  <c r="AH63" i="11" s="1"/>
  <c r="AH63" i="2"/>
  <c r="AG63" i="2"/>
  <c r="AG63" i="11" s="1"/>
  <c r="S63" i="2"/>
  <c r="R63" i="2"/>
  <c r="AI62" i="2"/>
  <c r="AH62" i="11" s="1"/>
  <c r="AH62" i="2"/>
  <c r="AG62" i="2"/>
  <c r="AG62" i="11" s="1"/>
  <c r="S62" i="2"/>
  <c r="R62" i="2"/>
  <c r="AI61" i="2"/>
  <c r="AH61" i="11" s="1"/>
  <c r="AH61" i="2"/>
  <c r="AG61" i="2"/>
  <c r="AG61" i="11" s="1"/>
  <c r="S61" i="2"/>
  <c r="R61" i="2"/>
  <c r="AI60" i="2"/>
  <c r="AH60" i="11" s="1"/>
  <c r="AH60" i="2"/>
  <c r="AG60" i="2"/>
  <c r="AG60" i="11" s="1"/>
  <c r="S60" i="2"/>
  <c r="R60" i="2"/>
  <c r="AI59" i="2"/>
  <c r="AH59" i="11" s="1"/>
  <c r="AH59" i="2"/>
  <c r="AG59" i="2"/>
  <c r="AG59" i="11" s="1"/>
  <c r="S59" i="2"/>
  <c r="R59" i="2"/>
  <c r="AI58" i="2"/>
  <c r="AH58" i="11" s="1"/>
  <c r="AH58" i="2"/>
  <c r="AG58" i="2"/>
  <c r="AG58" i="11" s="1"/>
  <c r="S58" i="2"/>
  <c r="R58" i="2"/>
  <c r="AI57" i="2"/>
  <c r="AH57" i="11" s="1"/>
  <c r="AH57" i="2"/>
  <c r="AG57" i="2"/>
  <c r="AG57" i="11" s="1"/>
  <c r="S57" i="2"/>
  <c r="R57" i="2"/>
  <c r="AI56" i="2"/>
  <c r="AH56" i="11" s="1"/>
  <c r="AH56" i="2"/>
  <c r="AG56" i="2"/>
  <c r="AG56" i="11" s="1"/>
  <c r="S56" i="2"/>
  <c r="R56" i="2"/>
  <c r="AI55" i="2"/>
  <c r="AH55" i="11" s="1"/>
  <c r="AH55" i="2"/>
  <c r="AG55" i="2"/>
  <c r="AG55" i="11" s="1"/>
  <c r="S55" i="2"/>
  <c r="R55" i="2"/>
  <c r="AI54" i="2"/>
  <c r="AH54" i="11" s="1"/>
  <c r="AH54" i="2"/>
  <c r="AG54" i="2"/>
  <c r="AG54" i="11" s="1"/>
  <c r="S54" i="2"/>
  <c r="R54" i="2"/>
  <c r="AI53" i="2"/>
  <c r="AH53" i="11" s="1"/>
  <c r="AH53" i="2"/>
  <c r="AG53" i="2"/>
  <c r="AG53" i="11" s="1"/>
  <c r="S53" i="2"/>
  <c r="R53" i="2"/>
  <c r="AI52" i="2"/>
  <c r="AH52" i="11" s="1"/>
  <c r="AH52" i="2"/>
  <c r="AG52" i="2"/>
  <c r="AG52" i="11" s="1"/>
  <c r="S52" i="2"/>
  <c r="R52" i="2"/>
  <c r="AI51" i="2"/>
  <c r="AH51" i="11" s="1"/>
  <c r="AH51" i="2"/>
  <c r="AG51" i="2"/>
  <c r="AG51" i="11" s="1"/>
  <c r="S51" i="2"/>
  <c r="R51" i="2"/>
  <c r="AI50" i="2"/>
  <c r="AH50" i="11" s="1"/>
  <c r="AH50" i="2"/>
  <c r="AG50" i="2"/>
  <c r="AG50" i="11" s="1"/>
  <c r="S50" i="2"/>
  <c r="R50" i="2"/>
  <c r="AI49" i="2"/>
  <c r="AH49" i="11" s="1"/>
  <c r="AH49" i="2"/>
  <c r="AG49" i="2"/>
  <c r="AG49" i="11" s="1"/>
  <c r="S49" i="2"/>
  <c r="R49" i="2"/>
  <c r="AI48" i="2"/>
  <c r="AH48" i="11" s="1"/>
  <c r="AH48" i="2"/>
  <c r="AG48" i="2"/>
  <c r="AG48" i="11" s="1"/>
  <c r="S48" i="2"/>
  <c r="R48" i="2"/>
  <c r="AI47" i="2"/>
  <c r="AH47" i="11" s="1"/>
  <c r="AH47" i="2"/>
  <c r="AG47" i="2"/>
  <c r="AG47" i="11" s="1"/>
  <c r="S47" i="2"/>
  <c r="R47" i="2"/>
  <c r="AI46" i="2"/>
  <c r="AH46" i="11" s="1"/>
  <c r="AH46" i="2"/>
  <c r="AG46" i="2"/>
  <c r="AG46" i="11" s="1"/>
  <c r="S46" i="2"/>
  <c r="R46" i="2"/>
  <c r="AI45" i="2"/>
  <c r="AH45" i="11" s="1"/>
  <c r="AH45" i="2"/>
  <c r="AG45" i="2"/>
  <c r="AG45" i="11" s="1"/>
  <c r="S45" i="2"/>
  <c r="R45" i="2"/>
  <c r="AI44" i="2"/>
  <c r="AH44" i="11" s="1"/>
  <c r="AH44" i="2"/>
  <c r="AG44" i="2"/>
  <c r="AG44" i="11" s="1"/>
  <c r="S44" i="2"/>
  <c r="R44" i="2"/>
  <c r="AI43" i="2"/>
  <c r="AH43" i="11" s="1"/>
  <c r="AH43" i="2"/>
  <c r="AG43" i="2"/>
  <c r="AG43" i="11" s="1"/>
  <c r="S43" i="2"/>
  <c r="R43" i="2"/>
  <c r="AI42" i="2"/>
  <c r="AH42" i="11" s="1"/>
  <c r="AH42" i="2"/>
  <c r="AG42" i="2"/>
  <c r="AG42" i="11" s="1"/>
  <c r="S42" i="2"/>
  <c r="R42" i="2"/>
  <c r="AI41" i="2"/>
  <c r="AH41" i="11" s="1"/>
  <c r="AH41" i="2"/>
  <c r="AG41" i="2"/>
  <c r="AG41" i="11" s="1"/>
  <c r="S41" i="2"/>
  <c r="R41" i="2"/>
  <c r="AI40" i="2"/>
  <c r="AH40" i="11" s="1"/>
  <c r="AH40" i="2"/>
  <c r="AG40" i="2"/>
  <c r="AG40" i="11" s="1"/>
  <c r="S40" i="2"/>
  <c r="R40" i="2"/>
  <c r="AI39" i="2"/>
  <c r="AH39" i="11" s="1"/>
  <c r="AH39" i="2"/>
  <c r="AG39" i="2"/>
  <c r="AG39" i="11" s="1"/>
  <c r="S39" i="2"/>
  <c r="R39" i="2"/>
  <c r="AI38" i="2"/>
  <c r="AH38" i="11" s="1"/>
  <c r="AH38" i="2"/>
  <c r="AG38" i="2"/>
  <c r="AG38" i="11" s="1"/>
  <c r="S38" i="2"/>
  <c r="R38" i="2"/>
  <c r="AI37" i="2"/>
  <c r="AH37" i="11" s="1"/>
  <c r="AH37" i="2"/>
  <c r="AG37" i="2"/>
  <c r="AG37" i="11" s="1"/>
  <c r="S37" i="2"/>
  <c r="R37" i="2"/>
  <c r="AI36" i="2"/>
  <c r="AH36" i="11" s="1"/>
  <c r="AH36" i="2"/>
  <c r="AG36" i="2"/>
  <c r="AG36" i="11" s="1"/>
  <c r="S36" i="2"/>
  <c r="R36" i="2"/>
  <c r="AI35" i="2"/>
  <c r="AH35" i="11" s="1"/>
  <c r="AH35" i="2"/>
  <c r="AG35" i="2"/>
  <c r="AG35" i="11" s="1"/>
  <c r="S35" i="2"/>
  <c r="R35" i="2"/>
  <c r="AI34" i="2"/>
  <c r="AH34" i="11" s="1"/>
  <c r="AH34" i="2"/>
  <c r="AG34" i="2"/>
  <c r="AG34" i="11" s="1"/>
  <c r="S34" i="2"/>
  <c r="R34" i="2"/>
  <c r="AI33" i="2"/>
  <c r="AH33" i="11" s="1"/>
  <c r="AH33" i="2"/>
  <c r="AG33" i="2"/>
  <c r="AG33" i="11" s="1"/>
  <c r="S33" i="2"/>
  <c r="R33" i="2"/>
  <c r="AI32" i="2"/>
  <c r="AH32" i="11" s="1"/>
  <c r="AH32" i="2"/>
  <c r="AG32" i="2"/>
  <c r="AG32" i="11" s="1"/>
  <c r="S32" i="2"/>
  <c r="R32" i="2"/>
  <c r="AI31" i="2"/>
  <c r="AH31" i="11" s="1"/>
  <c r="AH31" i="2"/>
  <c r="AG31" i="2"/>
  <c r="AG31" i="11" s="1"/>
  <c r="S31" i="2"/>
  <c r="R31" i="2"/>
  <c r="AI30" i="2"/>
  <c r="AH30" i="11" s="1"/>
  <c r="AH30" i="2"/>
  <c r="AG30" i="2"/>
  <c r="AG30" i="11" s="1"/>
  <c r="S30" i="2"/>
  <c r="R30" i="2"/>
  <c r="AI29" i="2"/>
  <c r="AH29" i="11" s="1"/>
  <c r="AH29" i="2"/>
  <c r="AG29" i="2"/>
  <c r="AG29" i="11" s="1"/>
  <c r="S29" i="2"/>
  <c r="R29" i="2"/>
  <c r="AI28" i="2"/>
  <c r="AH28" i="11" s="1"/>
  <c r="AH28" i="2"/>
  <c r="AG28" i="2"/>
  <c r="AG28" i="11" s="1"/>
  <c r="S28" i="2"/>
  <c r="R28" i="2"/>
  <c r="AI27" i="2"/>
  <c r="AH27" i="11" s="1"/>
  <c r="AH27" i="2"/>
  <c r="AG27" i="2"/>
  <c r="AG27" i="11" s="1"/>
  <c r="S27" i="2"/>
  <c r="R27" i="2"/>
  <c r="AI26" i="2"/>
  <c r="AH26" i="11" s="1"/>
  <c r="AH26" i="2"/>
  <c r="AG26" i="2"/>
  <c r="AG26" i="11" s="1"/>
  <c r="S26" i="2"/>
  <c r="R26" i="2"/>
  <c r="AI25" i="2"/>
  <c r="AH25" i="11" s="1"/>
  <c r="AH25" i="2"/>
  <c r="AG25" i="2"/>
  <c r="AG25" i="11" s="1"/>
  <c r="S25" i="2"/>
  <c r="R25" i="2"/>
  <c r="AI24" i="2"/>
  <c r="AH24" i="11" s="1"/>
  <c r="AH24" i="2"/>
  <c r="AG24" i="2"/>
  <c r="AG24" i="11" s="1"/>
  <c r="S24" i="2"/>
  <c r="R24" i="2"/>
  <c r="AI23" i="2"/>
  <c r="AH23" i="11" s="1"/>
  <c r="AH23" i="2"/>
  <c r="AG23" i="2"/>
  <c r="AG23" i="11" s="1"/>
  <c r="S23" i="2"/>
  <c r="R23" i="2"/>
  <c r="AI22" i="2"/>
  <c r="AH22" i="11" s="1"/>
  <c r="AH22" i="2"/>
  <c r="AG22" i="2"/>
  <c r="AG22" i="11" s="1"/>
  <c r="S22" i="2"/>
  <c r="R22" i="2"/>
  <c r="AI21" i="2"/>
  <c r="AH21" i="11" s="1"/>
  <c r="AH21" i="2"/>
  <c r="AG21" i="2"/>
  <c r="AG21" i="11" s="1"/>
  <c r="S21" i="2"/>
  <c r="R21" i="2"/>
  <c r="AI20" i="2"/>
  <c r="AH20" i="11" s="1"/>
  <c r="AH20" i="2"/>
  <c r="AG20" i="2"/>
  <c r="AG20" i="11" s="1"/>
  <c r="S20" i="2"/>
  <c r="R20" i="2"/>
  <c r="AI19" i="2"/>
  <c r="AH19" i="11" s="1"/>
  <c r="AH19" i="2"/>
  <c r="AG19" i="2"/>
  <c r="AG19" i="11" s="1"/>
  <c r="S19" i="2"/>
  <c r="R19" i="2"/>
  <c r="AI18" i="2"/>
  <c r="AH18" i="11" s="1"/>
  <c r="AH18" i="2"/>
  <c r="AG18" i="2"/>
  <c r="AG18" i="11" s="1"/>
  <c r="S18" i="2"/>
  <c r="R18" i="2"/>
  <c r="AI17" i="2"/>
  <c r="AH17" i="11" s="1"/>
  <c r="AH17" i="2"/>
  <c r="AG17" i="2"/>
  <c r="AG17" i="11" s="1"/>
  <c r="S17" i="2"/>
  <c r="R17" i="2"/>
  <c r="AI16" i="2"/>
  <c r="AH16" i="11" s="1"/>
  <c r="AH16" i="2"/>
  <c r="AG16" i="2"/>
  <c r="AG16" i="11" s="1"/>
  <c r="S16" i="2"/>
  <c r="R16" i="2"/>
  <c r="AI15" i="2"/>
  <c r="AH15" i="11" s="1"/>
  <c r="AH15" i="2"/>
  <c r="AG15" i="2"/>
  <c r="AG15" i="11" s="1"/>
  <c r="S15" i="2"/>
  <c r="R15" i="2"/>
  <c r="AI14" i="2"/>
  <c r="AH14" i="11" s="1"/>
  <c r="AH14" i="2"/>
  <c r="AG14" i="2"/>
  <c r="AG14" i="11" s="1"/>
  <c r="S14" i="2"/>
  <c r="R14" i="2"/>
  <c r="AI13" i="2"/>
  <c r="AH13" i="11" s="1"/>
  <c r="AH13" i="2"/>
  <c r="AG13" i="2"/>
  <c r="AG13" i="11" s="1"/>
  <c r="S13" i="2"/>
  <c r="R13" i="2"/>
  <c r="AI12" i="2"/>
  <c r="AH12" i="11" s="1"/>
  <c r="AH12" i="2"/>
  <c r="AG12" i="2"/>
  <c r="AG12" i="11" s="1"/>
  <c r="S12" i="2"/>
  <c r="R12" i="2"/>
  <c r="AI11" i="2"/>
  <c r="AH11" i="11" s="1"/>
  <c r="AH11" i="2"/>
  <c r="AG11" i="2"/>
  <c r="AG11" i="11" s="1"/>
  <c r="S11" i="2"/>
  <c r="R11" i="2"/>
  <c r="AI10" i="2"/>
  <c r="AH10" i="11" s="1"/>
  <c r="AH10" i="2"/>
  <c r="AG10" i="2"/>
  <c r="AG10" i="11" s="1"/>
  <c r="S10" i="2"/>
  <c r="R10" i="2"/>
  <c r="AI9" i="2"/>
  <c r="AH9" i="11" s="1"/>
  <c r="AH9" i="2"/>
  <c r="AG9" i="2"/>
  <c r="AG9" i="11" s="1"/>
  <c r="S9" i="2"/>
  <c r="R9" i="2"/>
  <c r="AI8" i="2"/>
  <c r="AH8" i="11" s="1"/>
  <c r="AH8" i="2"/>
  <c r="AG8" i="2"/>
  <c r="AG8" i="11" s="1"/>
  <c r="S8" i="2"/>
  <c r="R8" i="2"/>
  <c r="AI7" i="2"/>
  <c r="AH7" i="11" s="1"/>
  <c r="AH7" i="2"/>
  <c r="AG7" i="2"/>
  <c r="AG7" i="11" s="1"/>
  <c r="S7" i="2"/>
  <c r="R7" i="2"/>
  <c r="AI6" i="2"/>
  <c r="AH6" i="11" s="1"/>
  <c r="AH6" i="2"/>
  <c r="AG6" i="2"/>
  <c r="AG6" i="11" s="1"/>
  <c r="S6" i="2"/>
  <c r="R6" i="2"/>
  <c r="AI5" i="2"/>
  <c r="AH5" i="11" s="1"/>
  <c r="AH5" i="2"/>
  <c r="AG5" i="2"/>
  <c r="AG5" i="11" s="1"/>
  <c r="S5" i="2"/>
  <c r="R5" i="2"/>
  <c r="AE3" i="2"/>
  <c r="BW304" i="7"/>
  <c r="BV304" i="7"/>
  <c r="AL304" i="11" s="1"/>
  <c r="BO304" i="7"/>
  <c r="BN304" i="7"/>
  <c r="BM304" i="7"/>
  <c r="AI304" i="11" s="1"/>
  <c r="AP304" i="7"/>
  <c r="AO304" i="7"/>
  <c r="E304" i="7"/>
  <c r="BW303" i="7"/>
  <c r="BV303" i="7"/>
  <c r="AL303" i="11" s="1"/>
  <c r="BO303" i="7"/>
  <c r="AJ303" i="11" s="1"/>
  <c r="BN303" i="7"/>
  <c r="BM303" i="7"/>
  <c r="AI303" i="11" s="1"/>
  <c r="AP303" i="7"/>
  <c r="AO303" i="7"/>
  <c r="E303" i="7"/>
  <c r="BW302" i="7"/>
  <c r="BV302" i="7"/>
  <c r="AL302" i="11" s="1"/>
  <c r="BO302" i="7"/>
  <c r="AJ302" i="11" s="1"/>
  <c r="BN302" i="7"/>
  <c r="BM302" i="7"/>
  <c r="AI302" i="11" s="1"/>
  <c r="AP302" i="7"/>
  <c r="AO302" i="7"/>
  <c r="E302" i="7"/>
  <c r="BW301" i="7"/>
  <c r="BV301" i="7"/>
  <c r="AL301" i="11" s="1"/>
  <c r="BO301" i="7"/>
  <c r="AJ301" i="11" s="1"/>
  <c r="BN301" i="7"/>
  <c r="BM301" i="7"/>
  <c r="AI301" i="11" s="1"/>
  <c r="AP301" i="7"/>
  <c r="AO301" i="7"/>
  <c r="E301" i="7"/>
  <c r="BW300" i="7"/>
  <c r="BV300" i="7"/>
  <c r="AL300" i="11" s="1"/>
  <c r="BO300" i="7"/>
  <c r="AJ300" i="11" s="1"/>
  <c r="BN300" i="7"/>
  <c r="BM300" i="7"/>
  <c r="AI300" i="11" s="1"/>
  <c r="AP300" i="7"/>
  <c r="AO300" i="7"/>
  <c r="E300" i="7"/>
  <c r="BW299" i="7"/>
  <c r="BV299" i="7"/>
  <c r="AL299" i="11" s="1"/>
  <c r="BO299" i="7"/>
  <c r="AJ299" i="11" s="1"/>
  <c r="BN299" i="7"/>
  <c r="BM299" i="7"/>
  <c r="AI299" i="11" s="1"/>
  <c r="AP299" i="7"/>
  <c r="AO299" i="7"/>
  <c r="E299" i="7"/>
  <c r="BW298" i="7"/>
  <c r="BV298" i="7"/>
  <c r="AL298" i="11" s="1"/>
  <c r="BO298" i="7"/>
  <c r="AJ298" i="11" s="1"/>
  <c r="BN298" i="7"/>
  <c r="BM298" i="7"/>
  <c r="AI298" i="11" s="1"/>
  <c r="AP298" i="7"/>
  <c r="AO298" i="7"/>
  <c r="E298" i="7"/>
  <c r="BW297" i="7"/>
  <c r="BV297" i="7"/>
  <c r="AL297" i="11" s="1"/>
  <c r="BO297" i="7"/>
  <c r="AJ297" i="11" s="1"/>
  <c r="BN297" i="7"/>
  <c r="BM297" i="7"/>
  <c r="AI297" i="11" s="1"/>
  <c r="AP297" i="7"/>
  <c r="AO297" i="7"/>
  <c r="E297" i="7"/>
  <c r="BW296" i="7"/>
  <c r="BV296" i="7"/>
  <c r="AL296" i="11" s="1"/>
  <c r="BO296" i="7"/>
  <c r="AJ296" i="11" s="1"/>
  <c r="BN296" i="7"/>
  <c r="BM296" i="7"/>
  <c r="AI296" i="11" s="1"/>
  <c r="AP296" i="7"/>
  <c r="AO296" i="7"/>
  <c r="E296" i="7"/>
  <c r="BW295" i="7"/>
  <c r="BV295" i="7"/>
  <c r="AL295" i="11" s="1"/>
  <c r="BO295" i="7"/>
  <c r="AJ295" i="11" s="1"/>
  <c r="BN295" i="7"/>
  <c r="BM295" i="7"/>
  <c r="AI295" i="11" s="1"/>
  <c r="AP295" i="7"/>
  <c r="AO295" i="7"/>
  <c r="E295" i="7"/>
  <c r="BW294" i="7"/>
  <c r="BV294" i="7"/>
  <c r="AL294" i="11" s="1"/>
  <c r="BO294" i="7"/>
  <c r="AJ294" i="11" s="1"/>
  <c r="BN294" i="7"/>
  <c r="BM294" i="7"/>
  <c r="AI294" i="11" s="1"/>
  <c r="AP294" i="7"/>
  <c r="AO294" i="7"/>
  <c r="E294" i="7"/>
  <c r="BW293" i="7"/>
  <c r="BV293" i="7"/>
  <c r="BO293" i="7"/>
  <c r="AJ293" i="11" s="1"/>
  <c r="BN293" i="7"/>
  <c r="BM293" i="7"/>
  <c r="AP293" i="7"/>
  <c r="AO293" i="7"/>
  <c r="E293" i="7"/>
  <c r="BW292" i="7"/>
  <c r="BV292" i="7"/>
  <c r="AL292" i="11" s="1"/>
  <c r="BO292" i="7"/>
  <c r="AJ292" i="11" s="1"/>
  <c r="BN292" i="7"/>
  <c r="BM292" i="7"/>
  <c r="AI292" i="11" s="1"/>
  <c r="AP292" i="7"/>
  <c r="AO292" i="7"/>
  <c r="E292" i="7"/>
  <c r="BW291" i="7"/>
  <c r="BV291" i="7"/>
  <c r="AL291" i="11" s="1"/>
  <c r="BO291" i="7"/>
  <c r="AJ291" i="11" s="1"/>
  <c r="BN291" i="7"/>
  <c r="BM291" i="7"/>
  <c r="AI291" i="11" s="1"/>
  <c r="AP291" i="7"/>
  <c r="AO291" i="7"/>
  <c r="E291" i="7"/>
  <c r="BW290" i="7"/>
  <c r="BV290" i="7"/>
  <c r="AL290" i="11" s="1"/>
  <c r="BO290" i="7"/>
  <c r="AJ290" i="11" s="1"/>
  <c r="BN290" i="7"/>
  <c r="BM290" i="7"/>
  <c r="AI290" i="11" s="1"/>
  <c r="AP290" i="7"/>
  <c r="AO290" i="7"/>
  <c r="E290" i="7"/>
  <c r="BW289" i="7"/>
  <c r="BV289" i="7"/>
  <c r="AL289" i="11" s="1"/>
  <c r="BO289" i="7"/>
  <c r="AJ289" i="11" s="1"/>
  <c r="BN289" i="7"/>
  <c r="BM289" i="7"/>
  <c r="AI289" i="11" s="1"/>
  <c r="AP289" i="7"/>
  <c r="AO289" i="7"/>
  <c r="E289" i="7"/>
  <c r="BW288" i="7"/>
  <c r="BV288" i="7"/>
  <c r="AL288" i="11" s="1"/>
  <c r="BO288" i="7"/>
  <c r="AJ288" i="11" s="1"/>
  <c r="BN288" i="7"/>
  <c r="BM288" i="7"/>
  <c r="AI288" i="11" s="1"/>
  <c r="AP288" i="7"/>
  <c r="AO288" i="7"/>
  <c r="E288" i="7"/>
  <c r="BW287" i="7"/>
  <c r="BV287" i="7"/>
  <c r="AL287" i="11" s="1"/>
  <c r="BO287" i="7"/>
  <c r="AJ287" i="11" s="1"/>
  <c r="BN287" i="7"/>
  <c r="BM287" i="7"/>
  <c r="AI287" i="11" s="1"/>
  <c r="AP287" i="7"/>
  <c r="AO287" i="7"/>
  <c r="E287" i="7"/>
  <c r="BW286" i="7"/>
  <c r="BV286" i="7"/>
  <c r="AL286" i="11" s="1"/>
  <c r="BO286" i="7"/>
  <c r="AJ286" i="11" s="1"/>
  <c r="BN286" i="7"/>
  <c r="BM286" i="7"/>
  <c r="AI286" i="11" s="1"/>
  <c r="AP286" i="7"/>
  <c r="AO286" i="7"/>
  <c r="E286" i="7"/>
  <c r="BW285" i="7"/>
  <c r="BV285" i="7"/>
  <c r="AL285" i="11" s="1"/>
  <c r="BO285" i="7"/>
  <c r="AJ285" i="11" s="1"/>
  <c r="BN285" i="7"/>
  <c r="BM285" i="7"/>
  <c r="AI285" i="11" s="1"/>
  <c r="AP285" i="7"/>
  <c r="AO285" i="7"/>
  <c r="E285" i="7"/>
  <c r="BW284" i="7"/>
  <c r="BV284" i="7"/>
  <c r="AL284" i="11" s="1"/>
  <c r="BO284" i="7"/>
  <c r="AJ284" i="11" s="1"/>
  <c r="BN284" i="7"/>
  <c r="BM284" i="7"/>
  <c r="AI284" i="11" s="1"/>
  <c r="AP284" i="7"/>
  <c r="AO284" i="7"/>
  <c r="E284" i="7"/>
  <c r="BW283" i="7"/>
  <c r="BV283" i="7"/>
  <c r="AL283" i="11" s="1"/>
  <c r="BO283" i="7"/>
  <c r="AJ283" i="11" s="1"/>
  <c r="BN283" i="7"/>
  <c r="BM283" i="7"/>
  <c r="AI283" i="11" s="1"/>
  <c r="AP283" i="7"/>
  <c r="AO283" i="7"/>
  <c r="E283" i="7"/>
  <c r="BW282" i="7"/>
  <c r="BV282" i="7"/>
  <c r="AL282" i="11" s="1"/>
  <c r="BO282" i="7"/>
  <c r="AJ282" i="11" s="1"/>
  <c r="BN282" i="7"/>
  <c r="BM282" i="7"/>
  <c r="AI282" i="11" s="1"/>
  <c r="AP282" i="7"/>
  <c r="AO282" i="7"/>
  <c r="E282" i="7"/>
  <c r="BW281" i="7"/>
  <c r="BV281" i="7"/>
  <c r="BO281" i="7"/>
  <c r="BN281" i="7"/>
  <c r="BM281" i="7"/>
  <c r="AP281" i="7"/>
  <c r="AO281" i="7"/>
  <c r="E281" i="7"/>
  <c r="BW280" i="7"/>
  <c r="BV280" i="7"/>
  <c r="AL280" i="11" s="1"/>
  <c r="BO280" i="7"/>
  <c r="AJ280" i="11" s="1"/>
  <c r="BN280" i="7"/>
  <c r="BM280" i="7"/>
  <c r="AI280" i="11" s="1"/>
  <c r="AP280" i="7"/>
  <c r="AO280" i="7"/>
  <c r="E280" i="7"/>
  <c r="BW279" i="7"/>
  <c r="BV279" i="7"/>
  <c r="AL279" i="11" s="1"/>
  <c r="BO279" i="7"/>
  <c r="AJ279" i="11" s="1"/>
  <c r="BN279" i="7"/>
  <c r="BM279" i="7"/>
  <c r="AI279" i="11" s="1"/>
  <c r="AP279" i="7"/>
  <c r="AO279" i="7"/>
  <c r="E279" i="7"/>
  <c r="BW278" i="7"/>
  <c r="BV278" i="7"/>
  <c r="AL278" i="11" s="1"/>
  <c r="BO278" i="7"/>
  <c r="AJ278" i="11" s="1"/>
  <c r="BN278" i="7"/>
  <c r="BM278" i="7"/>
  <c r="AI278" i="11" s="1"/>
  <c r="AP278" i="7"/>
  <c r="AO278" i="7"/>
  <c r="E278" i="7"/>
  <c r="BW277" i="7"/>
  <c r="BV277" i="7"/>
  <c r="AL277" i="11" s="1"/>
  <c r="BO277" i="7"/>
  <c r="AJ277" i="11" s="1"/>
  <c r="BN277" i="7"/>
  <c r="BM277" i="7"/>
  <c r="AI277" i="11" s="1"/>
  <c r="AP277" i="7"/>
  <c r="AO277" i="7"/>
  <c r="E277" i="7"/>
  <c r="BW276" i="7"/>
  <c r="BV276" i="7"/>
  <c r="AL276" i="11" s="1"/>
  <c r="BO276" i="7"/>
  <c r="AJ276" i="11" s="1"/>
  <c r="BN276" i="7"/>
  <c r="BM276" i="7"/>
  <c r="AI276" i="11" s="1"/>
  <c r="AP276" i="7"/>
  <c r="AO276" i="7"/>
  <c r="E276" i="7"/>
  <c r="BW275" i="7"/>
  <c r="BV275" i="7"/>
  <c r="AL275" i="11" s="1"/>
  <c r="BO275" i="7"/>
  <c r="AJ275" i="11" s="1"/>
  <c r="BN275" i="7"/>
  <c r="BM275" i="7"/>
  <c r="AI275" i="11" s="1"/>
  <c r="AP275" i="7"/>
  <c r="AO275" i="7"/>
  <c r="E275" i="7"/>
  <c r="BW274" i="7"/>
  <c r="BV274" i="7"/>
  <c r="AL274" i="11" s="1"/>
  <c r="BO274" i="7"/>
  <c r="AJ274" i="11" s="1"/>
  <c r="BN274" i="7"/>
  <c r="BM274" i="7"/>
  <c r="AI274" i="11" s="1"/>
  <c r="AP274" i="7"/>
  <c r="AO274" i="7"/>
  <c r="E274" i="7"/>
  <c r="BW273" i="7"/>
  <c r="BV273" i="7"/>
  <c r="AL273" i="11" s="1"/>
  <c r="BO273" i="7"/>
  <c r="AJ273" i="11" s="1"/>
  <c r="BN273" i="7"/>
  <c r="BM273" i="7"/>
  <c r="AI273" i="11" s="1"/>
  <c r="AP273" i="7"/>
  <c r="AO273" i="7"/>
  <c r="E273" i="7"/>
  <c r="BW272" i="7"/>
  <c r="BV272" i="7"/>
  <c r="AL272" i="11" s="1"/>
  <c r="BO272" i="7"/>
  <c r="AJ272" i="11" s="1"/>
  <c r="BN272" i="7"/>
  <c r="BM272" i="7"/>
  <c r="AI272" i="11" s="1"/>
  <c r="AP272" i="7"/>
  <c r="AO272" i="7"/>
  <c r="E272" i="7"/>
  <c r="BW271" i="7"/>
  <c r="BV271" i="7"/>
  <c r="AL271" i="11" s="1"/>
  <c r="BO271" i="7"/>
  <c r="AJ271" i="11" s="1"/>
  <c r="BN271" i="7"/>
  <c r="BM271" i="7"/>
  <c r="AI271" i="11" s="1"/>
  <c r="AP271" i="7"/>
  <c r="AO271" i="7"/>
  <c r="E271" i="7"/>
  <c r="BW270" i="7"/>
  <c r="BV270" i="7"/>
  <c r="AL270" i="11" s="1"/>
  <c r="BO270" i="7"/>
  <c r="AJ270" i="11" s="1"/>
  <c r="BN270" i="7"/>
  <c r="BM270" i="7"/>
  <c r="AI270" i="11" s="1"/>
  <c r="AP270" i="7"/>
  <c r="AO270" i="7"/>
  <c r="E270" i="7"/>
  <c r="BW269" i="7"/>
  <c r="BV269" i="7"/>
  <c r="BO269" i="7"/>
  <c r="BN269" i="7"/>
  <c r="BM269" i="7"/>
  <c r="AP269" i="7"/>
  <c r="AO269" i="7"/>
  <c r="E269" i="7"/>
  <c r="BW268" i="7"/>
  <c r="BV268" i="7"/>
  <c r="AL268" i="11" s="1"/>
  <c r="BO268" i="7"/>
  <c r="AJ268" i="11" s="1"/>
  <c r="BN268" i="7"/>
  <c r="BM268" i="7"/>
  <c r="AI268" i="11" s="1"/>
  <c r="AP268" i="7"/>
  <c r="AO268" i="7"/>
  <c r="E268" i="7"/>
  <c r="BW267" i="7"/>
  <c r="BV267" i="7"/>
  <c r="AL267" i="11" s="1"/>
  <c r="BO267" i="7"/>
  <c r="AJ267" i="11" s="1"/>
  <c r="BN267" i="7"/>
  <c r="BM267" i="7"/>
  <c r="AI267" i="11" s="1"/>
  <c r="AP267" i="7"/>
  <c r="AO267" i="7"/>
  <c r="E267" i="7"/>
  <c r="BW266" i="7"/>
  <c r="BV266" i="7"/>
  <c r="AL266" i="11" s="1"/>
  <c r="BO266" i="7"/>
  <c r="AJ266" i="11" s="1"/>
  <c r="BN266" i="7"/>
  <c r="BM266" i="7"/>
  <c r="AI266" i="11" s="1"/>
  <c r="AP266" i="7"/>
  <c r="AO266" i="7"/>
  <c r="E266" i="7"/>
  <c r="BW265" i="7"/>
  <c r="BV265" i="7"/>
  <c r="AL265" i="11" s="1"/>
  <c r="BO265" i="7"/>
  <c r="AJ265" i="11" s="1"/>
  <c r="BN265" i="7"/>
  <c r="BM265" i="7"/>
  <c r="AI265" i="11" s="1"/>
  <c r="AP265" i="7"/>
  <c r="AO265" i="7"/>
  <c r="E265" i="7"/>
  <c r="BW264" i="7"/>
  <c r="BV264" i="7"/>
  <c r="AL264" i="11" s="1"/>
  <c r="BO264" i="7"/>
  <c r="AJ264" i="11" s="1"/>
  <c r="BN264" i="7"/>
  <c r="BM264" i="7"/>
  <c r="AI264" i="11" s="1"/>
  <c r="AP264" i="7"/>
  <c r="AO264" i="7"/>
  <c r="E264" i="7"/>
  <c r="BW263" i="7"/>
  <c r="BV263" i="7"/>
  <c r="AL263" i="11" s="1"/>
  <c r="BO263" i="7"/>
  <c r="AJ263" i="11" s="1"/>
  <c r="BN263" i="7"/>
  <c r="BM263" i="7"/>
  <c r="AI263" i="11" s="1"/>
  <c r="AP263" i="7"/>
  <c r="AO263" i="7"/>
  <c r="E263" i="7"/>
  <c r="BW262" i="7"/>
  <c r="BV262" i="7"/>
  <c r="AL262" i="11" s="1"/>
  <c r="BO262" i="7"/>
  <c r="AJ262" i="11" s="1"/>
  <c r="BN262" i="7"/>
  <c r="BM262" i="7"/>
  <c r="AI262" i="11" s="1"/>
  <c r="AP262" i="7"/>
  <c r="AO262" i="7"/>
  <c r="E262" i="7"/>
  <c r="BW261" i="7"/>
  <c r="BV261" i="7"/>
  <c r="AL261" i="11" s="1"/>
  <c r="BO261" i="7"/>
  <c r="AJ261" i="11" s="1"/>
  <c r="BN261" i="7"/>
  <c r="BM261" i="7"/>
  <c r="AI261" i="11" s="1"/>
  <c r="AP261" i="7"/>
  <c r="AO261" i="7"/>
  <c r="E261" i="7"/>
  <c r="BW260" i="7"/>
  <c r="BV260" i="7"/>
  <c r="AL260" i="11" s="1"/>
  <c r="BO260" i="7"/>
  <c r="AJ260" i="11" s="1"/>
  <c r="BN260" i="7"/>
  <c r="BM260" i="7"/>
  <c r="AI260" i="11" s="1"/>
  <c r="AP260" i="7"/>
  <c r="AO260" i="7"/>
  <c r="E260" i="7"/>
  <c r="BW259" i="7"/>
  <c r="BV259" i="7"/>
  <c r="AL259" i="11" s="1"/>
  <c r="BO259" i="7"/>
  <c r="AJ259" i="11" s="1"/>
  <c r="BN259" i="7"/>
  <c r="BM259" i="7"/>
  <c r="AI259" i="11" s="1"/>
  <c r="AP259" i="7"/>
  <c r="AO259" i="7"/>
  <c r="E259" i="7"/>
  <c r="BW258" i="7"/>
  <c r="BV258" i="7"/>
  <c r="AL258" i="11" s="1"/>
  <c r="BO258" i="7"/>
  <c r="AJ258" i="11" s="1"/>
  <c r="BN258" i="7"/>
  <c r="BM258" i="7"/>
  <c r="AI258" i="11" s="1"/>
  <c r="AP258" i="7"/>
  <c r="AO258" i="7"/>
  <c r="E258" i="7"/>
  <c r="BW257" i="7"/>
  <c r="BV257" i="7"/>
  <c r="BO257" i="7"/>
  <c r="BN257" i="7"/>
  <c r="BM257" i="7"/>
  <c r="AP257" i="7"/>
  <c r="AO257" i="7"/>
  <c r="E257" i="7"/>
  <c r="BW256" i="7"/>
  <c r="BV256" i="7"/>
  <c r="AL256" i="11" s="1"/>
  <c r="BO256" i="7"/>
  <c r="AJ256" i="11" s="1"/>
  <c r="BN256" i="7"/>
  <c r="BM256" i="7"/>
  <c r="AI256" i="11" s="1"/>
  <c r="AP256" i="7"/>
  <c r="AO256" i="7"/>
  <c r="E256" i="7"/>
  <c r="BW255" i="7"/>
  <c r="BV255" i="7"/>
  <c r="AL255" i="11" s="1"/>
  <c r="BO255" i="7"/>
  <c r="AJ255" i="11" s="1"/>
  <c r="BN255" i="7"/>
  <c r="BM255" i="7"/>
  <c r="AI255" i="11" s="1"/>
  <c r="AP255" i="7"/>
  <c r="AO255" i="7"/>
  <c r="E255" i="7"/>
  <c r="BW254" i="7"/>
  <c r="BV254" i="7"/>
  <c r="AL254" i="11" s="1"/>
  <c r="BO254" i="7"/>
  <c r="AJ254" i="11" s="1"/>
  <c r="BN254" i="7"/>
  <c r="BM254" i="7"/>
  <c r="AI254" i="11" s="1"/>
  <c r="AP254" i="7"/>
  <c r="AO254" i="7"/>
  <c r="E254" i="7"/>
  <c r="BW253" i="7"/>
  <c r="BV253" i="7"/>
  <c r="AL253" i="11" s="1"/>
  <c r="BO253" i="7"/>
  <c r="AJ253" i="11" s="1"/>
  <c r="BN253" i="7"/>
  <c r="BM253" i="7"/>
  <c r="AI253" i="11" s="1"/>
  <c r="AP253" i="7"/>
  <c r="AO253" i="7"/>
  <c r="E253" i="7"/>
  <c r="BW252" i="7"/>
  <c r="BV252" i="7"/>
  <c r="AL252" i="11" s="1"/>
  <c r="BO252" i="7"/>
  <c r="AJ252" i="11" s="1"/>
  <c r="BN252" i="7"/>
  <c r="BM252" i="7"/>
  <c r="AI252" i="11" s="1"/>
  <c r="AP252" i="7"/>
  <c r="AO252" i="7"/>
  <c r="E252" i="7"/>
  <c r="BW251" i="7"/>
  <c r="BV251" i="7"/>
  <c r="AL251" i="11" s="1"/>
  <c r="BO251" i="7"/>
  <c r="AJ251" i="11" s="1"/>
  <c r="BN251" i="7"/>
  <c r="BM251" i="7"/>
  <c r="AI251" i="11" s="1"/>
  <c r="AP251" i="7"/>
  <c r="AO251" i="7"/>
  <c r="E251" i="7"/>
  <c r="BW250" i="7"/>
  <c r="BV250" i="7"/>
  <c r="AL250" i="11" s="1"/>
  <c r="BO250" i="7"/>
  <c r="AJ250" i="11" s="1"/>
  <c r="BN250" i="7"/>
  <c r="BM250" i="7"/>
  <c r="AI250" i="11" s="1"/>
  <c r="AP250" i="7"/>
  <c r="AO250" i="7"/>
  <c r="E250" i="7"/>
  <c r="BW249" i="7"/>
  <c r="BV249" i="7"/>
  <c r="AL249" i="11" s="1"/>
  <c r="BO249" i="7"/>
  <c r="AJ249" i="11" s="1"/>
  <c r="BN249" i="7"/>
  <c r="BM249" i="7"/>
  <c r="AI249" i="11" s="1"/>
  <c r="AP249" i="7"/>
  <c r="AO249" i="7"/>
  <c r="E249" i="7"/>
  <c r="BW248" i="7"/>
  <c r="BV248" i="7"/>
  <c r="AL248" i="11" s="1"/>
  <c r="BO248" i="7"/>
  <c r="AJ248" i="11" s="1"/>
  <c r="BN248" i="7"/>
  <c r="BM248" i="7"/>
  <c r="AI248" i="11" s="1"/>
  <c r="AP248" i="7"/>
  <c r="AO248" i="7"/>
  <c r="E248" i="7"/>
  <c r="BW247" i="7"/>
  <c r="BV247" i="7"/>
  <c r="AL247" i="11" s="1"/>
  <c r="BO247" i="7"/>
  <c r="AJ247" i="11" s="1"/>
  <c r="BN247" i="7"/>
  <c r="BM247" i="7"/>
  <c r="AI247" i="11" s="1"/>
  <c r="AP247" i="7"/>
  <c r="AO247" i="7"/>
  <c r="E247" i="7"/>
  <c r="BW246" i="7"/>
  <c r="BV246" i="7"/>
  <c r="AL246" i="11" s="1"/>
  <c r="BO246" i="7"/>
  <c r="AJ246" i="11" s="1"/>
  <c r="BN246" i="7"/>
  <c r="BM246" i="7"/>
  <c r="AI246" i="11" s="1"/>
  <c r="AP246" i="7"/>
  <c r="AO246" i="7"/>
  <c r="E246" i="7"/>
  <c r="BW245" i="7"/>
  <c r="BV245" i="7"/>
  <c r="BO245" i="7"/>
  <c r="BN245" i="7"/>
  <c r="BM245" i="7"/>
  <c r="AP245" i="7"/>
  <c r="AO245" i="7"/>
  <c r="E245" i="7"/>
  <c r="BW244" i="7"/>
  <c r="BV244" i="7"/>
  <c r="AL244" i="11" s="1"/>
  <c r="BO244" i="7"/>
  <c r="BN244" i="7"/>
  <c r="BM244" i="7"/>
  <c r="AI244" i="11" s="1"/>
  <c r="AP244" i="7"/>
  <c r="AO244" i="7"/>
  <c r="E244" i="7"/>
  <c r="BW243" i="7"/>
  <c r="BV243" i="7"/>
  <c r="AL243" i="11" s="1"/>
  <c r="BO243" i="7"/>
  <c r="AJ243" i="11" s="1"/>
  <c r="BN243" i="7"/>
  <c r="BM243" i="7"/>
  <c r="AI243" i="11" s="1"/>
  <c r="AP243" i="7"/>
  <c r="AO243" i="7"/>
  <c r="E243" i="7"/>
  <c r="BW242" i="7"/>
  <c r="BV242" i="7"/>
  <c r="AL242" i="11" s="1"/>
  <c r="BO242" i="7"/>
  <c r="AJ242" i="11" s="1"/>
  <c r="BN242" i="7"/>
  <c r="BM242" i="7"/>
  <c r="AI242" i="11" s="1"/>
  <c r="AP242" i="7"/>
  <c r="AO242" i="7"/>
  <c r="E242" i="7"/>
  <c r="BW241" i="7"/>
  <c r="BV241" i="7"/>
  <c r="AL241" i="11" s="1"/>
  <c r="BO241" i="7"/>
  <c r="AJ241" i="11" s="1"/>
  <c r="BN241" i="7"/>
  <c r="BM241" i="7"/>
  <c r="AI241" i="11" s="1"/>
  <c r="AP241" i="7"/>
  <c r="AO241" i="7"/>
  <c r="E241" i="7"/>
  <c r="BW240" i="7"/>
  <c r="BV240" i="7"/>
  <c r="AL240" i="11" s="1"/>
  <c r="BO240" i="7"/>
  <c r="AJ240" i="11" s="1"/>
  <c r="BN240" i="7"/>
  <c r="BM240" i="7"/>
  <c r="AI240" i="11" s="1"/>
  <c r="AP240" i="7"/>
  <c r="AO240" i="7"/>
  <c r="E240" i="7"/>
  <c r="BW239" i="7"/>
  <c r="BV239" i="7"/>
  <c r="AL239" i="11" s="1"/>
  <c r="BO239" i="7"/>
  <c r="AJ239" i="11" s="1"/>
  <c r="BN239" i="7"/>
  <c r="BM239" i="7"/>
  <c r="AI239" i="11" s="1"/>
  <c r="AP239" i="7"/>
  <c r="AO239" i="7"/>
  <c r="E239" i="7"/>
  <c r="BW238" i="7"/>
  <c r="BV238" i="7"/>
  <c r="AL238" i="11" s="1"/>
  <c r="BO238" i="7"/>
  <c r="AJ238" i="11" s="1"/>
  <c r="BN238" i="7"/>
  <c r="BM238" i="7"/>
  <c r="AI238" i="11" s="1"/>
  <c r="AP238" i="7"/>
  <c r="AO238" i="7"/>
  <c r="E238" i="7"/>
  <c r="BW237" i="7"/>
  <c r="BV237" i="7"/>
  <c r="AL237" i="11" s="1"/>
  <c r="BO237" i="7"/>
  <c r="AJ237" i="11" s="1"/>
  <c r="BN237" i="7"/>
  <c r="BM237" i="7"/>
  <c r="AI237" i="11" s="1"/>
  <c r="AP237" i="7"/>
  <c r="AO237" i="7"/>
  <c r="E237" i="7"/>
  <c r="BW236" i="7"/>
  <c r="BV236" i="7"/>
  <c r="AL236" i="11" s="1"/>
  <c r="BO236" i="7"/>
  <c r="AJ236" i="11" s="1"/>
  <c r="BN236" i="7"/>
  <c r="BM236" i="7"/>
  <c r="AI236" i="11" s="1"/>
  <c r="AP236" i="7"/>
  <c r="AO236" i="7"/>
  <c r="E236" i="7"/>
  <c r="BW235" i="7"/>
  <c r="BV235" i="7"/>
  <c r="AL235" i="11" s="1"/>
  <c r="BO235" i="7"/>
  <c r="AJ235" i="11" s="1"/>
  <c r="BN235" i="7"/>
  <c r="BM235" i="7"/>
  <c r="AI235" i="11" s="1"/>
  <c r="AP235" i="7"/>
  <c r="AO235" i="7"/>
  <c r="E235" i="7"/>
  <c r="BW234" i="7"/>
  <c r="BV234" i="7"/>
  <c r="AL234" i="11" s="1"/>
  <c r="BO234" i="7"/>
  <c r="AJ234" i="11" s="1"/>
  <c r="BN234" i="7"/>
  <c r="BM234" i="7"/>
  <c r="AI234" i="11" s="1"/>
  <c r="AP234" i="7"/>
  <c r="AO234" i="7"/>
  <c r="E234" i="7"/>
  <c r="BW233" i="7"/>
  <c r="BV233" i="7"/>
  <c r="BO233" i="7"/>
  <c r="AJ233" i="11" s="1"/>
  <c r="BN233" i="7"/>
  <c r="BM233" i="7"/>
  <c r="AP233" i="7"/>
  <c r="AO233" i="7"/>
  <c r="E233" i="7"/>
  <c r="BW232" i="7"/>
  <c r="BV232" i="7"/>
  <c r="AL232" i="11" s="1"/>
  <c r="BO232" i="7"/>
  <c r="AJ232" i="11" s="1"/>
  <c r="BN232" i="7"/>
  <c r="BM232" i="7"/>
  <c r="AI232" i="11" s="1"/>
  <c r="AP232" i="7"/>
  <c r="AO232" i="7"/>
  <c r="E232" i="7"/>
  <c r="BW231" i="7"/>
  <c r="BV231" i="7"/>
  <c r="AL231" i="11" s="1"/>
  <c r="BO231" i="7"/>
  <c r="AJ231" i="11" s="1"/>
  <c r="BN231" i="7"/>
  <c r="BM231" i="7"/>
  <c r="AI231" i="11" s="1"/>
  <c r="AP231" i="7"/>
  <c r="AO231" i="7"/>
  <c r="E231" i="7"/>
  <c r="BW230" i="7"/>
  <c r="BV230" i="7"/>
  <c r="AL230" i="11" s="1"/>
  <c r="BO230" i="7"/>
  <c r="AJ230" i="11" s="1"/>
  <c r="BN230" i="7"/>
  <c r="BM230" i="7"/>
  <c r="AI230" i="11" s="1"/>
  <c r="AP230" i="7"/>
  <c r="AO230" i="7"/>
  <c r="E230" i="7"/>
  <c r="BW229" i="7"/>
  <c r="BV229" i="7"/>
  <c r="AL229" i="11" s="1"/>
  <c r="BO229" i="7"/>
  <c r="AJ229" i="11" s="1"/>
  <c r="BN229" i="7"/>
  <c r="BM229" i="7"/>
  <c r="AI229" i="11" s="1"/>
  <c r="AP229" i="7"/>
  <c r="AO229" i="7"/>
  <c r="E229" i="7"/>
  <c r="BW228" i="7"/>
  <c r="BV228" i="7"/>
  <c r="AL228" i="11" s="1"/>
  <c r="BO228" i="7"/>
  <c r="AJ228" i="11" s="1"/>
  <c r="BN228" i="7"/>
  <c r="BM228" i="7"/>
  <c r="AI228" i="11" s="1"/>
  <c r="AP228" i="7"/>
  <c r="AO228" i="7"/>
  <c r="E228" i="7"/>
  <c r="BW227" i="7"/>
  <c r="BV227" i="7"/>
  <c r="AL227" i="11" s="1"/>
  <c r="BO227" i="7"/>
  <c r="AJ227" i="11" s="1"/>
  <c r="BN227" i="7"/>
  <c r="BM227" i="7"/>
  <c r="AI227" i="11" s="1"/>
  <c r="AP227" i="7"/>
  <c r="AO227" i="7"/>
  <c r="E227" i="7"/>
  <c r="BW226" i="7"/>
  <c r="BV226" i="7"/>
  <c r="AL226" i="11" s="1"/>
  <c r="BO226" i="7"/>
  <c r="AJ226" i="11" s="1"/>
  <c r="BN226" i="7"/>
  <c r="BM226" i="7"/>
  <c r="AI226" i="11" s="1"/>
  <c r="AP226" i="7"/>
  <c r="AO226" i="7"/>
  <c r="E226" i="7"/>
  <c r="BW225" i="7"/>
  <c r="BV225" i="7"/>
  <c r="AL225" i="11" s="1"/>
  <c r="BO225" i="7"/>
  <c r="AJ225" i="11" s="1"/>
  <c r="BN225" i="7"/>
  <c r="BM225" i="7"/>
  <c r="AI225" i="11" s="1"/>
  <c r="AP225" i="7"/>
  <c r="AO225" i="7"/>
  <c r="E225" i="7"/>
  <c r="BW224" i="7"/>
  <c r="BV224" i="7"/>
  <c r="AL224" i="11" s="1"/>
  <c r="BO224" i="7"/>
  <c r="AJ224" i="11" s="1"/>
  <c r="BN224" i="7"/>
  <c r="BM224" i="7"/>
  <c r="AI224" i="11" s="1"/>
  <c r="AP224" i="7"/>
  <c r="AO224" i="7"/>
  <c r="E224" i="7"/>
  <c r="BW223" i="7"/>
  <c r="BV223" i="7"/>
  <c r="AL223" i="11" s="1"/>
  <c r="BO223" i="7"/>
  <c r="AJ223" i="11" s="1"/>
  <c r="BN223" i="7"/>
  <c r="BM223" i="7"/>
  <c r="AI223" i="11" s="1"/>
  <c r="AP223" i="7"/>
  <c r="AO223" i="7"/>
  <c r="E223" i="7"/>
  <c r="BW222" i="7"/>
  <c r="BV222" i="7"/>
  <c r="AL222" i="11" s="1"/>
  <c r="BO222" i="7"/>
  <c r="AJ222" i="11" s="1"/>
  <c r="BN222" i="7"/>
  <c r="BM222" i="7"/>
  <c r="AI222" i="11" s="1"/>
  <c r="AP222" i="7"/>
  <c r="AO222" i="7"/>
  <c r="E222" i="7"/>
  <c r="BW221" i="7"/>
  <c r="BV221" i="7"/>
  <c r="BO221" i="7"/>
  <c r="BN221" i="7"/>
  <c r="BM221" i="7"/>
  <c r="AP221" i="7"/>
  <c r="AO221" i="7"/>
  <c r="E221" i="7"/>
  <c r="BW220" i="7"/>
  <c r="BV220" i="7"/>
  <c r="AL220" i="11" s="1"/>
  <c r="BO220" i="7"/>
  <c r="AJ220" i="11" s="1"/>
  <c r="BN220" i="7"/>
  <c r="BM220" i="7"/>
  <c r="AI220" i="11" s="1"/>
  <c r="AP220" i="7"/>
  <c r="AO220" i="7"/>
  <c r="E220" i="7"/>
  <c r="BW219" i="7"/>
  <c r="BV219" i="7"/>
  <c r="AL219" i="11" s="1"/>
  <c r="BO219" i="7"/>
  <c r="AJ219" i="11" s="1"/>
  <c r="BN219" i="7"/>
  <c r="BM219" i="7"/>
  <c r="AI219" i="11" s="1"/>
  <c r="AP219" i="7"/>
  <c r="AO219" i="7"/>
  <c r="E219" i="7"/>
  <c r="BW218" i="7"/>
  <c r="BV218" i="7"/>
  <c r="AL218" i="11" s="1"/>
  <c r="BO218" i="7"/>
  <c r="AJ218" i="11" s="1"/>
  <c r="BN218" i="7"/>
  <c r="BM218" i="7"/>
  <c r="AI218" i="11" s="1"/>
  <c r="AP218" i="7"/>
  <c r="AO218" i="7"/>
  <c r="E218" i="7"/>
  <c r="BW217" i="7"/>
  <c r="BV217" i="7"/>
  <c r="AL217" i="11" s="1"/>
  <c r="BO217" i="7"/>
  <c r="AJ217" i="11" s="1"/>
  <c r="BN217" i="7"/>
  <c r="BM217" i="7"/>
  <c r="AI217" i="11" s="1"/>
  <c r="AP217" i="7"/>
  <c r="AO217" i="7"/>
  <c r="E217" i="7"/>
  <c r="BW216" i="7"/>
  <c r="BV216" i="7"/>
  <c r="AL216" i="11" s="1"/>
  <c r="BO216" i="7"/>
  <c r="AJ216" i="11" s="1"/>
  <c r="BN216" i="7"/>
  <c r="BM216" i="7"/>
  <c r="AI216" i="11" s="1"/>
  <c r="AP216" i="7"/>
  <c r="AO216" i="7"/>
  <c r="E216" i="7"/>
  <c r="BW215" i="7"/>
  <c r="BV215" i="7"/>
  <c r="AL215" i="11" s="1"/>
  <c r="BO215" i="7"/>
  <c r="AJ215" i="11" s="1"/>
  <c r="BN215" i="7"/>
  <c r="BM215" i="7"/>
  <c r="AI215" i="11" s="1"/>
  <c r="AP215" i="7"/>
  <c r="AO215" i="7"/>
  <c r="E215" i="7"/>
  <c r="BW214" i="7"/>
  <c r="BV214" i="7"/>
  <c r="AL214" i="11" s="1"/>
  <c r="BO214" i="7"/>
  <c r="AJ214" i="11" s="1"/>
  <c r="BN214" i="7"/>
  <c r="BM214" i="7"/>
  <c r="AI214" i="11" s="1"/>
  <c r="AP214" i="7"/>
  <c r="AO214" i="7"/>
  <c r="E214" i="7"/>
  <c r="BW213" i="7"/>
  <c r="BV213" i="7"/>
  <c r="AL213" i="11" s="1"/>
  <c r="BO213" i="7"/>
  <c r="AJ213" i="11" s="1"/>
  <c r="BN213" i="7"/>
  <c r="BM213" i="7"/>
  <c r="AI213" i="11" s="1"/>
  <c r="AP213" i="7"/>
  <c r="AO213" i="7"/>
  <c r="E213" i="7"/>
  <c r="BW212" i="7"/>
  <c r="BV212" i="7"/>
  <c r="AL212" i="11" s="1"/>
  <c r="BO212" i="7"/>
  <c r="AJ212" i="11" s="1"/>
  <c r="BN212" i="7"/>
  <c r="BM212" i="7"/>
  <c r="AI212" i="11" s="1"/>
  <c r="AP212" i="7"/>
  <c r="AO212" i="7"/>
  <c r="E212" i="7"/>
  <c r="BW211" i="7"/>
  <c r="BV211" i="7"/>
  <c r="AL211" i="11" s="1"/>
  <c r="BO211" i="7"/>
  <c r="AJ211" i="11" s="1"/>
  <c r="BN211" i="7"/>
  <c r="BM211" i="7"/>
  <c r="AI211" i="11" s="1"/>
  <c r="AP211" i="7"/>
  <c r="AO211" i="7"/>
  <c r="E211" i="7"/>
  <c r="BW210" i="7"/>
  <c r="BV210" i="7"/>
  <c r="AL210" i="11" s="1"/>
  <c r="BO210" i="7"/>
  <c r="AJ210" i="11" s="1"/>
  <c r="BN210" i="7"/>
  <c r="BM210" i="7"/>
  <c r="AI210" i="11" s="1"/>
  <c r="AP210" i="7"/>
  <c r="AO210" i="7"/>
  <c r="E210" i="7"/>
  <c r="BW209" i="7"/>
  <c r="BV209" i="7"/>
  <c r="BO209" i="7"/>
  <c r="BN209" i="7"/>
  <c r="BM209" i="7"/>
  <c r="AP209" i="7"/>
  <c r="AO209" i="7"/>
  <c r="E209" i="7"/>
  <c r="BW208" i="7"/>
  <c r="BV208" i="7"/>
  <c r="AL208" i="11" s="1"/>
  <c r="BO208" i="7"/>
  <c r="AJ208" i="11" s="1"/>
  <c r="BN208" i="7"/>
  <c r="BM208" i="7"/>
  <c r="AI208" i="11" s="1"/>
  <c r="AP208" i="7"/>
  <c r="AO208" i="7"/>
  <c r="E208" i="7"/>
  <c r="BW207" i="7"/>
  <c r="BV207" i="7"/>
  <c r="AL207" i="11" s="1"/>
  <c r="BO207" i="7"/>
  <c r="AJ207" i="11" s="1"/>
  <c r="BN207" i="7"/>
  <c r="BM207" i="7"/>
  <c r="AI207" i="11" s="1"/>
  <c r="AP207" i="7"/>
  <c r="AO207" i="7"/>
  <c r="E207" i="7"/>
  <c r="BW206" i="7"/>
  <c r="BV206" i="7"/>
  <c r="AL206" i="11" s="1"/>
  <c r="BO206" i="7"/>
  <c r="AJ206" i="11" s="1"/>
  <c r="BN206" i="7"/>
  <c r="BM206" i="7"/>
  <c r="AI206" i="11" s="1"/>
  <c r="AP206" i="7"/>
  <c r="AO206" i="7"/>
  <c r="E206" i="7"/>
  <c r="BW205" i="7"/>
  <c r="BV205" i="7"/>
  <c r="AL205" i="11" s="1"/>
  <c r="BO205" i="7"/>
  <c r="AJ205" i="11" s="1"/>
  <c r="BN205" i="7"/>
  <c r="BM205" i="7"/>
  <c r="AI205" i="11" s="1"/>
  <c r="AP205" i="7"/>
  <c r="AO205" i="7"/>
  <c r="E205" i="7"/>
  <c r="BW204" i="7"/>
  <c r="BV204" i="7"/>
  <c r="AL204" i="11" s="1"/>
  <c r="BO204" i="7"/>
  <c r="AJ204" i="11" s="1"/>
  <c r="BN204" i="7"/>
  <c r="BM204" i="7"/>
  <c r="AI204" i="11" s="1"/>
  <c r="AP204" i="7"/>
  <c r="AO204" i="7"/>
  <c r="E204" i="7"/>
  <c r="BW203" i="7"/>
  <c r="BV203" i="7"/>
  <c r="AL203" i="11" s="1"/>
  <c r="BO203" i="7"/>
  <c r="AJ203" i="11" s="1"/>
  <c r="BN203" i="7"/>
  <c r="BM203" i="7"/>
  <c r="AI203" i="11" s="1"/>
  <c r="AP203" i="7"/>
  <c r="AO203" i="7"/>
  <c r="E203" i="7"/>
  <c r="BW202" i="7"/>
  <c r="BV202" i="7"/>
  <c r="AL202" i="11" s="1"/>
  <c r="BO202" i="7"/>
  <c r="AJ202" i="11" s="1"/>
  <c r="BN202" i="7"/>
  <c r="BM202" i="7"/>
  <c r="AI202" i="11" s="1"/>
  <c r="AP202" i="7"/>
  <c r="AO202" i="7"/>
  <c r="E202" i="7"/>
  <c r="BW201" i="7"/>
  <c r="BV201" i="7"/>
  <c r="AL201" i="11" s="1"/>
  <c r="BO201" i="7"/>
  <c r="AJ201" i="11" s="1"/>
  <c r="BN201" i="7"/>
  <c r="BM201" i="7"/>
  <c r="AI201" i="11" s="1"/>
  <c r="AP201" i="7"/>
  <c r="AO201" i="7"/>
  <c r="E201" i="7"/>
  <c r="BW200" i="7"/>
  <c r="BV200" i="7"/>
  <c r="AL200" i="11" s="1"/>
  <c r="BO200" i="7"/>
  <c r="AJ200" i="11" s="1"/>
  <c r="BN200" i="7"/>
  <c r="BM200" i="7"/>
  <c r="AI200" i="11" s="1"/>
  <c r="AP200" i="7"/>
  <c r="AO200" i="7"/>
  <c r="E200" i="7"/>
  <c r="BW199" i="7"/>
  <c r="BV199" i="7"/>
  <c r="AL199" i="11" s="1"/>
  <c r="BO199" i="7"/>
  <c r="AJ199" i="11" s="1"/>
  <c r="BN199" i="7"/>
  <c r="BM199" i="7"/>
  <c r="AI199" i="11" s="1"/>
  <c r="AP199" i="7"/>
  <c r="AO199" i="7"/>
  <c r="E199" i="7"/>
  <c r="BW198" i="7"/>
  <c r="BV198" i="7"/>
  <c r="AL198" i="11" s="1"/>
  <c r="BO198" i="7"/>
  <c r="AJ198" i="11" s="1"/>
  <c r="BN198" i="7"/>
  <c r="BM198" i="7"/>
  <c r="AI198" i="11" s="1"/>
  <c r="AP198" i="7"/>
  <c r="AO198" i="7"/>
  <c r="E198" i="7"/>
  <c r="BW197" i="7"/>
  <c r="BV197" i="7"/>
  <c r="BO197" i="7"/>
  <c r="BN197" i="7"/>
  <c r="BM197" i="7"/>
  <c r="AP197" i="7"/>
  <c r="AO197" i="7"/>
  <c r="E197" i="7"/>
  <c r="BW196" i="7"/>
  <c r="BV196" i="7"/>
  <c r="AL196" i="11" s="1"/>
  <c r="BO196" i="7"/>
  <c r="AJ196" i="11" s="1"/>
  <c r="BN196" i="7"/>
  <c r="BM196" i="7"/>
  <c r="AI196" i="11" s="1"/>
  <c r="AP196" i="7"/>
  <c r="AO196" i="7"/>
  <c r="E196" i="7"/>
  <c r="BW195" i="7"/>
  <c r="BV195" i="7"/>
  <c r="AL195" i="11" s="1"/>
  <c r="BO195" i="7"/>
  <c r="AJ195" i="11" s="1"/>
  <c r="BN195" i="7"/>
  <c r="BM195" i="7"/>
  <c r="AI195" i="11" s="1"/>
  <c r="AP195" i="7"/>
  <c r="AO195" i="7"/>
  <c r="E195" i="7"/>
  <c r="BW194" i="7"/>
  <c r="BV194" i="7"/>
  <c r="AL194" i="11" s="1"/>
  <c r="BO194" i="7"/>
  <c r="AJ194" i="11" s="1"/>
  <c r="BN194" i="7"/>
  <c r="BM194" i="7"/>
  <c r="AI194" i="11" s="1"/>
  <c r="AP194" i="7"/>
  <c r="AO194" i="7"/>
  <c r="E194" i="7"/>
  <c r="BW193" i="7"/>
  <c r="BV193" i="7"/>
  <c r="AL193" i="11" s="1"/>
  <c r="BO193" i="7"/>
  <c r="AJ193" i="11" s="1"/>
  <c r="BN193" i="7"/>
  <c r="BM193" i="7"/>
  <c r="AI193" i="11" s="1"/>
  <c r="AP193" i="7"/>
  <c r="AO193" i="7"/>
  <c r="E193" i="7"/>
  <c r="BW192" i="7"/>
  <c r="BV192" i="7"/>
  <c r="AL192" i="11" s="1"/>
  <c r="BO192" i="7"/>
  <c r="AJ192" i="11" s="1"/>
  <c r="BN192" i="7"/>
  <c r="BM192" i="7"/>
  <c r="AI192" i="11" s="1"/>
  <c r="AP192" i="7"/>
  <c r="AO192" i="7"/>
  <c r="E192" i="7"/>
  <c r="BW191" i="7"/>
  <c r="BV191" i="7"/>
  <c r="AL191" i="11" s="1"/>
  <c r="BO191" i="7"/>
  <c r="AJ191" i="11" s="1"/>
  <c r="BN191" i="7"/>
  <c r="BM191" i="7"/>
  <c r="AI191" i="11" s="1"/>
  <c r="AP191" i="7"/>
  <c r="AO191" i="7"/>
  <c r="E191" i="7"/>
  <c r="BW190" i="7"/>
  <c r="BV190" i="7"/>
  <c r="AL190" i="11" s="1"/>
  <c r="BO190" i="7"/>
  <c r="AJ190" i="11" s="1"/>
  <c r="BN190" i="7"/>
  <c r="BM190" i="7"/>
  <c r="AI190" i="11" s="1"/>
  <c r="AP190" i="7"/>
  <c r="AO190" i="7"/>
  <c r="E190" i="7"/>
  <c r="BW189" i="7"/>
  <c r="BV189" i="7"/>
  <c r="AL189" i="11" s="1"/>
  <c r="BO189" i="7"/>
  <c r="AJ189" i="11" s="1"/>
  <c r="BN189" i="7"/>
  <c r="BM189" i="7"/>
  <c r="AI189" i="11" s="1"/>
  <c r="AP189" i="7"/>
  <c r="AO189" i="7"/>
  <c r="E189" i="7"/>
  <c r="BW188" i="7"/>
  <c r="BV188" i="7"/>
  <c r="AL188" i="11" s="1"/>
  <c r="BO188" i="7"/>
  <c r="AJ188" i="11" s="1"/>
  <c r="BN188" i="7"/>
  <c r="BM188" i="7"/>
  <c r="AI188" i="11" s="1"/>
  <c r="AP188" i="7"/>
  <c r="AO188" i="7"/>
  <c r="E188" i="7"/>
  <c r="BW187" i="7"/>
  <c r="BV187" i="7"/>
  <c r="AL187" i="11" s="1"/>
  <c r="BO187" i="7"/>
  <c r="AJ187" i="11" s="1"/>
  <c r="BN187" i="7"/>
  <c r="BM187" i="7"/>
  <c r="AI187" i="11" s="1"/>
  <c r="AP187" i="7"/>
  <c r="AO187" i="7"/>
  <c r="E187" i="7"/>
  <c r="BW186" i="7"/>
  <c r="BV186" i="7"/>
  <c r="AL186" i="11" s="1"/>
  <c r="BO186" i="7"/>
  <c r="AJ186" i="11" s="1"/>
  <c r="BN186" i="7"/>
  <c r="BM186" i="7"/>
  <c r="AI186" i="11" s="1"/>
  <c r="AP186" i="7"/>
  <c r="AO186" i="7"/>
  <c r="E186" i="7"/>
  <c r="BW185" i="7"/>
  <c r="BV185" i="7"/>
  <c r="BO185" i="7"/>
  <c r="BN185" i="7"/>
  <c r="BM185" i="7"/>
  <c r="AP185" i="7"/>
  <c r="AO185" i="7"/>
  <c r="E185" i="7"/>
  <c r="BW184" i="7"/>
  <c r="BV184" i="7"/>
  <c r="AL184" i="11" s="1"/>
  <c r="BO184" i="7"/>
  <c r="BN184" i="7"/>
  <c r="BM184" i="7"/>
  <c r="AI184" i="11" s="1"/>
  <c r="AP184" i="7"/>
  <c r="AO184" i="7"/>
  <c r="E184" i="7"/>
  <c r="BW183" i="7"/>
  <c r="BV183" i="7"/>
  <c r="AL183" i="11" s="1"/>
  <c r="BO183" i="7"/>
  <c r="AJ183" i="11" s="1"/>
  <c r="BN183" i="7"/>
  <c r="BM183" i="7"/>
  <c r="AI183" i="11" s="1"/>
  <c r="AP183" i="7"/>
  <c r="AO183" i="7"/>
  <c r="E183" i="7"/>
  <c r="BW182" i="7"/>
  <c r="BV182" i="7"/>
  <c r="AL182" i="11" s="1"/>
  <c r="BO182" i="7"/>
  <c r="AJ182" i="11" s="1"/>
  <c r="BN182" i="7"/>
  <c r="BM182" i="7"/>
  <c r="AI182" i="11" s="1"/>
  <c r="AP182" i="7"/>
  <c r="AO182" i="7"/>
  <c r="E182" i="7"/>
  <c r="BW181" i="7"/>
  <c r="BV181" i="7"/>
  <c r="AL181" i="11" s="1"/>
  <c r="BO181" i="7"/>
  <c r="AJ181" i="11" s="1"/>
  <c r="BN181" i="7"/>
  <c r="BM181" i="7"/>
  <c r="AI181" i="11" s="1"/>
  <c r="AP181" i="7"/>
  <c r="AO181" i="7"/>
  <c r="E181" i="7"/>
  <c r="BW180" i="7"/>
  <c r="BV180" i="7"/>
  <c r="AL180" i="11" s="1"/>
  <c r="BO180" i="7"/>
  <c r="AJ180" i="11" s="1"/>
  <c r="BN180" i="7"/>
  <c r="BM180" i="7"/>
  <c r="AI180" i="11" s="1"/>
  <c r="AP180" i="7"/>
  <c r="AO180" i="7"/>
  <c r="E180" i="7"/>
  <c r="BW179" i="7"/>
  <c r="BV179" i="7"/>
  <c r="AL179" i="11" s="1"/>
  <c r="BO179" i="7"/>
  <c r="AJ179" i="11" s="1"/>
  <c r="BN179" i="7"/>
  <c r="BM179" i="7"/>
  <c r="AI179" i="11" s="1"/>
  <c r="AP179" i="7"/>
  <c r="AO179" i="7"/>
  <c r="E179" i="7"/>
  <c r="BW178" i="7"/>
  <c r="BV178" i="7"/>
  <c r="AL178" i="11" s="1"/>
  <c r="BO178" i="7"/>
  <c r="AJ178" i="11" s="1"/>
  <c r="BN178" i="7"/>
  <c r="BM178" i="7"/>
  <c r="AI178" i="11" s="1"/>
  <c r="AP178" i="7"/>
  <c r="AO178" i="7"/>
  <c r="E178" i="7"/>
  <c r="BW177" i="7"/>
  <c r="BV177" i="7"/>
  <c r="AL177" i="11" s="1"/>
  <c r="BO177" i="7"/>
  <c r="AJ177" i="11" s="1"/>
  <c r="BN177" i="7"/>
  <c r="BM177" i="7"/>
  <c r="AI177" i="11" s="1"/>
  <c r="AP177" i="7"/>
  <c r="AO177" i="7"/>
  <c r="E177" i="7"/>
  <c r="BW176" i="7"/>
  <c r="BV176" i="7"/>
  <c r="AL176" i="11" s="1"/>
  <c r="BO176" i="7"/>
  <c r="AJ176" i="11" s="1"/>
  <c r="BN176" i="7"/>
  <c r="BM176" i="7"/>
  <c r="AI176" i="11" s="1"/>
  <c r="AP176" i="7"/>
  <c r="AO176" i="7"/>
  <c r="E176" i="7"/>
  <c r="BW175" i="7"/>
  <c r="BV175" i="7"/>
  <c r="AL175" i="11" s="1"/>
  <c r="BO175" i="7"/>
  <c r="AJ175" i="11" s="1"/>
  <c r="BN175" i="7"/>
  <c r="BM175" i="7"/>
  <c r="AI175" i="11" s="1"/>
  <c r="AP175" i="7"/>
  <c r="AO175" i="7"/>
  <c r="E175" i="7"/>
  <c r="BW174" i="7"/>
  <c r="BV174" i="7"/>
  <c r="AL174" i="11" s="1"/>
  <c r="BO174" i="7"/>
  <c r="AJ174" i="11" s="1"/>
  <c r="BN174" i="7"/>
  <c r="BM174" i="7"/>
  <c r="AI174" i="11" s="1"/>
  <c r="AP174" i="7"/>
  <c r="AO174" i="7"/>
  <c r="E174" i="7"/>
  <c r="BW173" i="7"/>
  <c r="BV173" i="7"/>
  <c r="BO173" i="7"/>
  <c r="AJ173" i="11" s="1"/>
  <c r="BN173" i="7"/>
  <c r="BM173" i="7"/>
  <c r="AP173" i="7"/>
  <c r="AO173" i="7"/>
  <c r="E173" i="7"/>
  <c r="BW172" i="7"/>
  <c r="BV172" i="7"/>
  <c r="AL172" i="11" s="1"/>
  <c r="BO172" i="7"/>
  <c r="AJ172" i="11" s="1"/>
  <c r="BN172" i="7"/>
  <c r="BM172" i="7"/>
  <c r="AI172" i="11" s="1"/>
  <c r="AP172" i="7"/>
  <c r="AO172" i="7"/>
  <c r="E172" i="7"/>
  <c r="BW171" i="7"/>
  <c r="BV171" i="7"/>
  <c r="AL171" i="11" s="1"/>
  <c r="BO171" i="7"/>
  <c r="AJ171" i="11" s="1"/>
  <c r="BN171" i="7"/>
  <c r="BM171" i="7"/>
  <c r="AI171" i="11" s="1"/>
  <c r="AP171" i="7"/>
  <c r="AO171" i="7"/>
  <c r="E171" i="7"/>
  <c r="BW170" i="7"/>
  <c r="BV170" i="7"/>
  <c r="AL170" i="11" s="1"/>
  <c r="BO170" i="7"/>
  <c r="AJ170" i="11" s="1"/>
  <c r="BN170" i="7"/>
  <c r="BM170" i="7"/>
  <c r="AI170" i="11" s="1"/>
  <c r="AP170" i="7"/>
  <c r="AO170" i="7"/>
  <c r="E170" i="7"/>
  <c r="BW169" i="7"/>
  <c r="BV169" i="7"/>
  <c r="AL169" i="11" s="1"/>
  <c r="BO169" i="7"/>
  <c r="AJ169" i="11" s="1"/>
  <c r="BN169" i="7"/>
  <c r="BM169" i="7"/>
  <c r="AI169" i="11" s="1"/>
  <c r="AP169" i="7"/>
  <c r="AO169" i="7"/>
  <c r="E169" i="7"/>
  <c r="BW168" i="7"/>
  <c r="BV168" i="7"/>
  <c r="AL168" i="11" s="1"/>
  <c r="BO168" i="7"/>
  <c r="AJ168" i="11" s="1"/>
  <c r="BN168" i="7"/>
  <c r="BM168" i="7"/>
  <c r="AI168" i="11" s="1"/>
  <c r="AP168" i="7"/>
  <c r="AO168" i="7"/>
  <c r="E168" i="7"/>
  <c r="BW167" i="7"/>
  <c r="BV167" i="7"/>
  <c r="AL167" i="11" s="1"/>
  <c r="BO167" i="7"/>
  <c r="AJ167" i="11" s="1"/>
  <c r="BN167" i="7"/>
  <c r="BM167" i="7"/>
  <c r="AI167" i="11" s="1"/>
  <c r="AP167" i="7"/>
  <c r="AO167" i="7"/>
  <c r="E167" i="7"/>
  <c r="BW166" i="7"/>
  <c r="BV166" i="7"/>
  <c r="AL166" i="11" s="1"/>
  <c r="BO166" i="7"/>
  <c r="AJ166" i="11" s="1"/>
  <c r="BN166" i="7"/>
  <c r="BM166" i="7"/>
  <c r="AI166" i="11" s="1"/>
  <c r="AP166" i="7"/>
  <c r="AO166" i="7"/>
  <c r="E166" i="7"/>
  <c r="BW165" i="7"/>
  <c r="BV165" i="7"/>
  <c r="AL165" i="11" s="1"/>
  <c r="BO165" i="7"/>
  <c r="AJ165" i="11" s="1"/>
  <c r="BN165" i="7"/>
  <c r="BM165" i="7"/>
  <c r="AI165" i="11" s="1"/>
  <c r="AP165" i="7"/>
  <c r="AO165" i="7"/>
  <c r="E165" i="7"/>
  <c r="BW164" i="7"/>
  <c r="BV164" i="7"/>
  <c r="AL164" i="11" s="1"/>
  <c r="BO164" i="7"/>
  <c r="AJ164" i="11" s="1"/>
  <c r="BN164" i="7"/>
  <c r="BM164" i="7"/>
  <c r="AI164" i="11" s="1"/>
  <c r="AP164" i="7"/>
  <c r="AO164" i="7"/>
  <c r="E164" i="7"/>
  <c r="BW163" i="7"/>
  <c r="BV163" i="7"/>
  <c r="AL163" i="11" s="1"/>
  <c r="BO163" i="7"/>
  <c r="AJ163" i="11" s="1"/>
  <c r="BN163" i="7"/>
  <c r="BM163" i="7"/>
  <c r="AI163" i="11" s="1"/>
  <c r="AP163" i="7"/>
  <c r="AO163" i="7"/>
  <c r="E163" i="7"/>
  <c r="BW162" i="7"/>
  <c r="BV162" i="7"/>
  <c r="AL162" i="11" s="1"/>
  <c r="BO162" i="7"/>
  <c r="AJ162" i="11" s="1"/>
  <c r="BN162" i="7"/>
  <c r="BM162" i="7"/>
  <c r="AI162" i="11" s="1"/>
  <c r="AP162" i="7"/>
  <c r="AO162" i="7"/>
  <c r="E162" i="7"/>
  <c r="BW161" i="7"/>
  <c r="BV161" i="7"/>
  <c r="BO161" i="7"/>
  <c r="BN161" i="7"/>
  <c r="BM161" i="7"/>
  <c r="AP161" i="7"/>
  <c r="AO161" i="7"/>
  <c r="E161" i="7"/>
  <c r="BW160" i="7"/>
  <c r="BV160" i="7"/>
  <c r="AL160" i="11" s="1"/>
  <c r="BO160" i="7"/>
  <c r="AJ160" i="11" s="1"/>
  <c r="BN160" i="7"/>
  <c r="BM160" i="7"/>
  <c r="AI160" i="11" s="1"/>
  <c r="AP160" i="7"/>
  <c r="AO160" i="7"/>
  <c r="E160" i="7"/>
  <c r="BW159" i="7"/>
  <c r="BV159" i="7"/>
  <c r="AL159" i="11" s="1"/>
  <c r="BO159" i="7"/>
  <c r="AJ159" i="11" s="1"/>
  <c r="BN159" i="7"/>
  <c r="BM159" i="7"/>
  <c r="AI159" i="11" s="1"/>
  <c r="AP159" i="7"/>
  <c r="AO159" i="7"/>
  <c r="E159" i="7"/>
  <c r="BW158" i="7"/>
  <c r="BV158" i="7"/>
  <c r="AL158" i="11" s="1"/>
  <c r="BO158" i="7"/>
  <c r="AJ158" i="11" s="1"/>
  <c r="BN158" i="7"/>
  <c r="BM158" i="7"/>
  <c r="AI158" i="11" s="1"/>
  <c r="AP158" i="7"/>
  <c r="AO158" i="7"/>
  <c r="E158" i="7"/>
  <c r="BW157" i="7"/>
  <c r="BV157" i="7"/>
  <c r="AL157" i="11" s="1"/>
  <c r="BO157" i="7"/>
  <c r="AJ157" i="11" s="1"/>
  <c r="BN157" i="7"/>
  <c r="BM157" i="7"/>
  <c r="AI157" i="11" s="1"/>
  <c r="AP157" i="7"/>
  <c r="AO157" i="7"/>
  <c r="E157" i="7"/>
  <c r="BW156" i="7"/>
  <c r="BV156" i="7"/>
  <c r="AL156" i="11" s="1"/>
  <c r="BO156" i="7"/>
  <c r="AJ156" i="11" s="1"/>
  <c r="BN156" i="7"/>
  <c r="BM156" i="7"/>
  <c r="AI156" i="11" s="1"/>
  <c r="AP156" i="7"/>
  <c r="AO156" i="7"/>
  <c r="E156" i="7"/>
  <c r="BW155" i="7"/>
  <c r="BV155" i="7"/>
  <c r="AL155" i="11" s="1"/>
  <c r="BO155" i="7"/>
  <c r="AJ155" i="11" s="1"/>
  <c r="BN155" i="7"/>
  <c r="BM155" i="7"/>
  <c r="AI155" i="11" s="1"/>
  <c r="AP155" i="7"/>
  <c r="AO155" i="7"/>
  <c r="E155" i="7"/>
  <c r="BW154" i="7"/>
  <c r="BV154" i="7"/>
  <c r="AL154" i="11" s="1"/>
  <c r="BO154" i="7"/>
  <c r="AJ154" i="11" s="1"/>
  <c r="BN154" i="7"/>
  <c r="BM154" i="7"/>
  <c r="AI154" i="11" s="1"/>
  <c r="AP154" i="7"/>
  <c r="AO154" i="7"/>
  <c r="E154" i="7"/>
  <c r="BW153" i="7"/>
  <c r="BV153" i="7"/>
  <c r="AL153" i="11" s="1"/>
  <c r="BO153" i="7"/>
  <c r="AJ153" i="11" s="1"/>
  <c r="BN153" i="7"/>
  <c r="BM153" i="7"/>
  <c r="AI153" i="11" s="1"/>
  <c r="AP153" i="7"/>
  <c r="AO153" i="7"/>
  <c r="E153" i="7"/>
  <c r="BW152" i="7"/>
  <c r="BV152" i="7"/>
  <c r="AL152" i="11" s="1"/>
  <c r="BO152" i="7"/>
  <c r="AJ152" i="11" s="1"/>
  <c r="BN152" i="7"/>
  <c r="BM152" i="7"/>
  <c r="AI152" i="11" s="1"/>
  <c r="AP152" i="7"/>
  <c r="AO152" i="7"/>
  <c r="E152" i="7"/>
  <c r="BW151" i="7"/>
  <c r="BV151" i="7"/>
  <c r="AL151" i="11" s="1"/>
  <c r="BO151" i="7"/>
  <c r="AJ151" i="11" s="1"/>
  <c r="BN151" i="7"/>
  <c r="BM151" i="7"/>
  <c r="AI151" i="11" s="1"/>
  <c r="AP151" i="7"/>
  <c r="AO151" i="7"/>
  <c r="E151" i="7"/>
  <c r="BW150" i="7"/>
  <c r="BV150" i="7"/>
  <c r="AL150" i="11" s="1"/>
  <c r="BO150" i="7"/>
  <c r="AJ150" i="11" s="1"/>
  <c r="BN150" i="7"/>
  <c r="BM150" i="7"/>
  <c r="AI150" i="11" s="1"/>
  <c r="AP150" i="7"/>
  <c r="AO150" i="7"/>
  <c r="E150" i="7"/>
  <c r="BW149" i="7"/>
  <c r="BV149" i="7"/>
  <c r="BO149" i="7"/>
  <c r="BN149" i="7"/>
  <c r="BM149" i="7"/>
  <c r="AP149" i="7"/>
  <c r="AO149" i="7"/>
  <c r="E149" i="7"/>
  <c r="BW148" i="7"/>
  <c r="BV148" i="7"/>
  <c r="AL148" i="11" s="1"/>
  <c r="BO148" i="7"/>
  <c r="AJ148" i="11" s="1"/>
  <c r="BN148" i="7"/>
  <c r="BM148" i="7"/>
  <c r="AI148" i="11" s="1"/>
  <c r="AP148" i="7"/>
  <c r="AO148" i="7"/>
  <c r="E148" i="7"/>
  <c r="BW147" i="7"/>
  <c r="BV147" i="7"/>
  <c r="AL147" i="11" s="1"/>
  <c r="BO147" i="7"/>
  <c r="AJ147" i="11" s="1"/>
  <c r="BN147" i="7"/>
  <c r="BM147" i="7"/>
  <c r="AI147" i="11" s="1"/>
  <c r="AP147" i="7"/>
  <c r="AO147" i="7"/>
  <c r="E147" i="7"/>
  <c r="BW146" i="7"/>
  <c r="BV146" i="7"/>
  <c r="AL146" i="11" s="1"/>
  <c r="BO146" i="7"/>
  <c r="AJ146" i="11" s="1"/>
  <c r="BN146" i="7"/>
  <c r="BM146" i="7"/>
  <c r="AI146" i="11" s="1"/>
  <c r="AP146" i="7"/>
  <c r="AO146" i="7"/>
  <c r="E146" i="7"/>
  <c r="BW145" i="7"/>
  <c r="BV145" i="7"/>
  <c r="AL145" i="11" s="1"/>
  <c r="BO145" i="7"/>
  <c r="AJ145" i="11" s="1"/>
  <c r="BN145" i="7"/>
  <c r="BM145" i="7"/>
  <c r="AI145" i="11" s="1"/>
  <c r="AP145" i="7"/>
  <c r="AO145" i="7"/>
  <c r="E145" i="7"/>
  <c r="BW144" i="7"/>
  <c r="BV144" i="7"/>
  <c r="AL144" i="11" s="1"/>
  <c r="BO144" i="7"/>
  <c r="AJ144" i="11" s="1"/>
  <c r="BN144" i="7"/>
  <c r="BM144" i="7"/>
  <c r="AI144" i="11" s="1"/>
  <c r="AP144" i="7"/>
  <c r="AO144" i="7"/>
  <c r="E144" i="7"/>
  <c r="BW143" i="7"/>
  <c r="BV143" i="7"/>
  <c r="AL143" i="11" s="1"/>
  <c r="BO143" i="7"/>
  <c r="AJ143" i="11" s="1"/>
  <c r="BN143" i="7"/>
  <c r="BM143" i="7"/>
  <c r="AI143" i="11" s="1"/>
  <c r="AP143" i="7"/>
  <c r="AO143" i="7"/>
  <c r="E143" i="7"/>
  <c r="BW142" i="7"/>
  <c r="BV142" i="7"/>
  <c r="AL142" i="11" s="1"/>
  <c r="BO142" i="7"/>
  <c r="AJ142" i="11" s="1"/>
  <c r="BN142" i="7"/>
  <c r="BM142" i="7"/>
  <c r="AI142" i="11" s="1"/>
  <c r="AP142" i="7"/>
  <c r="AO142" i="7"/>
  <c r="E142" i="7"/>
  <c r="BW141" i="7"/>
  <c r="BV141" i="7"/>
  <c r="AL141" i="11" s="1"/>
  <c r="BO141" i="7"/>
  <c r="AJ141" i="11" s="1"/>
  <c r="BN141" i="7"/>
  <c r="BM141" i="7"/>
  <c r="AI141" i="11" s="1"/>
  <c r="AP141" i="7"/>
  <c r="AO141" i="7"/>
  <c r="E141" i="7"/>
  <c r="BW140" i="7"/>
  <c r="BV140" i="7"/>
  <c r="AL140" i="11" s="1"/>
  <c r="BO140" i="7"/>
  <c r="AJ140" i="11" s="1"/>
  <c r="BN140" i="7"/>
  <c r="BM140" i="7"/>
  <c r="AI140" i="11" s="1"/>
  <c r="AP140" i="7"/>
  <c r="AO140" i="7"/>
  <c r="E140" i="7"/>
  <c r="BW139" i="7"/>
  <c r="BV139" i="7"/>
  <c r="AL139" i="11" s="1"/>
  <c r="BO139" i="7"/>
  <c r="AJ139" i="11" s="1"/>
  <c r="BN139" i="7"/>
  <c r="BM139" i="7"/>
  <c r="AI139" i="11" s="1"/>
  <c r="AP139" i="7"/>
  <c r="AO139" i="7"/>
  <c r="E139" i="7"/>
  <c r="BW138" i="7"/>
  <c r="BV138" i="7"/>
  <c r="AL138" i="11" s="1"/>
  <c r="BO138" i="7"/>
  <c r="AJ138" i="11" s="1"/>
  <c r="BN138" i="7"/>
  <c r="BM138" i="7"/>
  <c r="AI138" i="11" s="1"/>
  <c r="AP138" i="7"/>
  <c r="AO138" i="7"/>
  <c r="E138" i="7"/>
  <c r="BW137" i="7"/>
  <c r="BV137" i="7"/>
  <c r="BO137" i="7"/>
  <c r="BN137" i="7"/>
  <c r="BM137" i="7"/>
  <c r="AP137" i="7"/>
  <c r="AO137" i="7"/>
  <c r="E137" i="7"/>
  <c r="BW136" i="7"/>
  <c r="BV136" i="7"/>
  <c r="AL136" i="11" s="1"/>
  <c r="BO136" i="7"/>
  <c r="AJ136" i="11" s="1"/>
  <c r="BN136" i="7"/>
  <c r="BM136" i="7"/>
  <c r="AI136" i="11" s="1"/>
  <c r="AP136" i="7"/>
  <c r="AO136" i="7"/>
  <c r="E136" i="7"/>
  <c r="BW135" i="7"/>
  <c r="BV135" i="7"/>
  <c r="AL135" i="11" s="1"/>
  <c r="BO135" i="7"/>
  <c r="AJ135" i="11" s="1"/>
  <c r="BN135" i="7"/>
  <c r="BM135" i="7"/>
  <c r="AI135" i="11" s="1"/>
  <c r="AP135" i="7"/>
  <c r="AO135" i="7"/>
  <c r="E135" i="7"/>
  <c r="BW134" i="7"/>
  <c r="BV134" i="7"/>
  <c r="AL134" i="11" s="1"/>
  <c r="BO134" i="7"/>
  <c r="AJ134" i="11" s="1"/>
  <c r="BN134" i="7"/>
  <c r="BM134" i="7"/>
  <c r="AI134" i="11" s="1"/>
  <c r="AP134" i="7"/>
  <c r="AO134" i="7"/>
  <c r="E134" i="7"/>
  <c r="BW133" i="7"/>
  <c r="BV133" i="7"/>
  <c r="AL133" i="11" s="1"/>
  <c r="BO133" i="7"/>
  <c r="AJ133" i="11" s="1"/>
  <c r="BN133" i="7"/>
  <c r="BM133" i="7"/>
  <c r="AI133" i="11" s="1"/>
  <c r="AP133" i="7"/>
  <c r="AO133" i="7"/>
  <c r="E133" i="7"/>
  <c r="BW132" i="7"/>
  <c r="BV132" i="7"/>
  <c r="AL132" i="11" s="1"/>
  <c r="BO132" i="7"/>
  <c r="AJ132" i="11" s="1"/>
  <c r="BN132" i="7"/>
  <c r="BM132" i="7"/>
  <c r="AI132" i="11" s="1"/>
  <c r="AP132" i="7"/>
  <c r="AO132" i="7"/>
  <c r="E132" i="7"/>
  <c r="BW131" i="7"/>
  <c r="BV131" i="7"/>
  <c r="AL131" i="11" s="1"/>
  <c r="BO131" i="7"/>
  <c r="AJ131" i="11" s="1"/>
  <c r="BN131" i="7"/>
  <c r="BM131" i="7"/>
  <c r="AI131" i="11" s="1"/>
  <c r="AP131" i="7"/>
  <c r="AO131" i="7"/>
  <c r="E131" i="7"/>
  <c r="BW130" i="7"/>
  <c r="BV130" i="7"/>
  <c r="AL130" i="11" s="1"/>
  <c r="BO130" i="7"/>
  <c r="AJ130" i="11" s="1"/>
  <c r="BN130" i="7"/>
  <c r="BM130" i="7"/>
  <c r="AI130" i="11" s="1"/>
  <c r="AP130" i="7"/>
  <c r="AO130" i="7"/>
  <c r="E130" i="7"/>
  <c r="BW129" i="7"/>
  <c r="BV129" i="7"/>
  <c r="AL129" i="11" s="1"/>
  <c r="BO129" i="7"/>
  <c r="AJ129" i="11" s="1"/>
  <c r="BN129" i="7"/>
  <c r="BM129" i="7"/>
  <c r="AI129" i="11" s="1"/>
  <c r="AP129" i="7"/>
  <c r="AO129" i="7"/>
  <c r="E129" i="7"/>
  <c r="BW128" i="7"/>
  <c r="BV128" i="7"/>
  <c r="AL128" i="11" s="1"/>
  <c r="BO128" i="7"/>
  <c r="AJ128" i="11" s="1"/>
  <c r="BN128" i="7"/>
  <c r="BM128" i="7"/>
  <c r="AI128" i="11" s="1"/>
  <c r="AP128" i="7"/>
  <c r="AO128" i="7"/>
  <c r="E128" i="7"/>
  <c r="BW127" i="7"/>
  <c r="BV127" i="7"/>
  <c r="AL127" i="11" s="1"/>
  <c r="BO127" i="7"/>
  <c r="AJ127" i="11" s="1"/>
  <c r="BN127" i="7"/>
  <c r="BM127" i="7"/>
  <c r="AI127" i="11" s="1"/>
  <c r="AP127" i="7"/>
  <c r="AO127" i="7"/>
  <c r="E127" i="7"/>
  <c r="BW126" i="7"/>
  <c r="BV126" i="7"/>
  <c r="AL126" i="11" s="1"/>
  <c r="BO126" i="7"/>
  <c r="AJ126" i="11" s="1"/>
  <c r="BN126" i="7"/>
  <c r="BM126" i="7"/>
  <c r="AI126" i="11" s="1"/>
  <c r="AP126" i="7"/>
  <c r="AO126" i="7"/>
  <c r="E126" i="7"/>
  <c r="BW125" i="7"/>
  <c r="BV125" i="7"/>
  <c r="BO125" i="7"/>
  <c r="BN125" i="7"/>
  <c r="BM125" i="7"/>
  <c r="AP125" i="7"/>
  <c r="AO125" i="7"/>
  <c r="E125" i="7"/>
  <c r="BW124" i="7"/>
  <c r="BV124" i="7"/>
  <c r="AL124" i="11" s="1"/>
  <c r="BO124" i="7"/>
  <c r="BN124" i="7"/>
  <c r="BM124" i="7"/>
  <c r="AI124" i="11" s="1"/>
  <c r="AP124" i="7"/>
  <c r="AO124" i="7"/>
  <c r="E124" i="7"/>
  <c r="BW123" i="7"/>
  <c r="BV123" i="7"/>
  <c r="AL123" i="11" s="1"/>
  <c r="BO123" i="7"/>
  <c r="AJ123" i="11" s="1"/>
  <c r="BN123" i="7"/>
  <c r="BM123" i="7"/>
  <c r="AI123" i="11" s="1"/>
  <c r="AP123" i="7"/>
  <c r="AO123" i="7"/>
  <c r="E123" i="7"/>
  <c r="BW122" i="7"/>
  <c r="BV122" i="7"/>
  <c r="AL122" i="11" s="1"/>
  <c r="BO122" i="7"/>
  <c r="AJ122" i="11" s="1"/>
  <c r="BN122" i="7"/>
  <c r="BM122" i="7"/>
  <c r="AI122" i="11" s="1"/>
  <c r="AP122" i="7"/>
  <c r="AO122" i="7"/>
  <c r="E122" i="7"/>
  <c r="BW121" i="7"/>
  <c r="BV121" i="7"/>
  <c r="AL121" i="11" s="1"/>
  <c r="BO121" i="7"/>
  <c r="AJ121" i="11" s="1"/>
  <c r="BN121" i="7"/>
  <c r="BM121" i="7"/>
  <c r="AI121" i="11" s="1"/>
  <c r="AP121" i="7"/>
  <c r="AO121" i="7"/>
  <c r="E121" i="7"/>
  <c r="BW120" i="7"/>
  <c r="BV120" i="7"/>
  <c r="AL120" i="11" s="1"/>
  <c r="BO120" i="7"/>
  <c r="AJ120" i="11" s="1"/>
  <c r="BN120" i="7"/>
  <c r="BM120" i="7"/>
  <c r="AI120" i="11" s="1"/>
  <c r="AP120" i="7"/>
  <c r="AO120" i="7"/>
  <c r="E120" i="7"/>
  <c r="BW119" i="7"/>
  <c r="BV119" i="7"/>
  <c r="AL119" i="11" s="1"/>
  <c r="BO119" i="7"/>
  <c r="AJ119" i="11" s="1"/>
  <c r="BN119" i="7"/>
  <c r="BM119" i="7"/>
  <c r="AI119" i="11" s="1"/>
  <c r="AP119" i="7"/>
  <c r="AO119" i="7"/>
  <c r="E119" i="7"/>
  <c r="BW118" i="7"/>
  <c r="BV118" i="7"/>
  <c r="AL118" i="11" s="1"/>
  <c r="BO118" i="7"/>
  <c r="AJ118" i="11" s="1"/>
  <c r="BN118" i="7"/>
  <c r="BM118" i="7"/>
  <c r="AI118" i="11" s="1"/>
  <c r="AP118" i="7"/>
  <c r="AO118" i="7"/>
  <c r="E118" i="7"/>
  <c r="BW117" i="7"/>
  <c r="BV117" i="7"/>
  <c r="AL117" i="11" s="1"/>
  <c r="BO117" i="7"/>
  <c r="AJ117" i="11" s="1"/>
  <c r="BN117" i="7"/>
  <c r="BM117" i="7"/>
  <c r="AI117" i="11" s="1"/>
  <c r="AP117" i="7"/>
  <c r="AO117" i="7"/>
  <c r="E117" i="7"/>
  <c r="BW116" i="7"/>
  <c r="BV116" i="7"/>
  <c r="AL116" i="11" s="1"/>
  <c r="BO116" i="7"/>
  <c r="AJ116" i="11" s="1"/>
  <c r="BN116" i="7"/>
  <c r="BM116" i="7"/>
  <c r="AI116" i="11" s="1"/>
  <c r="AP116" i="7"/>
  <c r="AO116" i="7"/>
  <c r="E116" i="7"/>
  <c r="BW115" i="7"/>
  <c r="BV115" i="7"/>
  <c r="AL115" i="11" s="1"/>
  <c r="BO115" i="7"/>
  <c r="AJ115" i="11" s="1"/>
  <c r="BN115" i="7"/>
  <c r="BM115" i="7"/>
  <c r="AI115" i="11" s="1"/>
  <c r="AP115" i="7"/>
  <c r="AO115" i="7"/>
  <c r="E115" i="7"/>
  <c r="BW114" i="7"/>
  <c r="BV114" i="7"/>
  <c r="AL114" i="11" s="1"/>
  <c r="BO114" i="7"/>
  <c r="AJ114" i="11" s="1"/>
  <c r="BN114" i="7"/>
  <c r="BM114" i="7"/>
  <c r="AI114" i="11" s="1"/>
  <c r="AP114" i="7"/>
  <c r="AO114" i="7"/>
  <c r="E114" i="7"/>
  <c r="BW113" i="7"/>
  <c r="BV113" i="7"/>
  <c r="BO113" i="7"/>
  <c r="AJ113" i="11" s="1"/>
  <c r="BN113" i="7"/>
  <c r="BM113" i="7"/>
  <c r="AP113" i="7"/>
  <c r="AO113" i="7"/>
  <c r="E113" i="7"/>
  <c r="BW112" i="7"/>
  <c r="BV112" i="7"/>
  <c r="AL112" i="11" s="1"/>
  <c r="BO112" i="7"/>
  <c r="AJ112" i="11" s="1"/>
  <c r="BN112" i="7"/>
  <c r="BM112" i="7"/>
  <c r="AI112" i="11" s="1"/>
  <c r="AP112" i="7"/>
  <c r="AO112" i="7"/>
  <c r="E112" i="7"/>
  <c r="BW111" i="7"/>
  <c r="BV111" i="7"/>
  <c r="AL111" i="11" s="1"/>
  <c r="BO111" i="7"/>
  <c r="AJ111" i="11" s="1"/>
  <c r="BN111" i="7"/>
  <c r="BM111" i="7"/>
  <c r="AI111" i="11" s="1"/>
  <c r="AP111" i="7"/>
  <c r="AO111" i="7"/>
  <c r="E111" i="7"/>
  <c r="BW110" i="7"/>
  <c r="BV110" i="7"/>
  <c r="AL110" i="11" s="1"/>
  <c r="BO110" i="7"/>
  <c r="AJ110" i="11" s="1"/>
  <c r="BN110" i="7"/>
  <c r="BM110" i="7"/>
  <c r="AI110" i="11" s="1"/>
  <c r="AP110" i="7"/>
  <c r="AO110" i="7"/>
  <c r="E110" i="7"/>
  <c r="BW109" i="7"/>
  <c r="BV109" i="7"/>
  <c r="AL109" i="11" s="1"/>
  <c r="BO109" i="7"/>
  <c r="AJ109" i="11" s="1"/>
  <c r="BN109" i="7"/>
  <c r="BM109" i="7"/>
  <c r="AI109" i="11" s="1"/>
  <c r="AP109" i="7"/>
  <c r="AO109" i="7"/>
  <c r="E109" i="7"/>
  <c r="BW108" i="7"/>
  <c r="BV108" i="7"/>
  <c r="AL108" i="11" s="1"/>
  <c r="BO108" i="7"/>
  <c r="AJ108" i="11" s="1"/>
  <c r="BN108" i="7"/>
  <c r="BM108" i="7"/>
  <c r="AI108" i="11" s="1"/>
  <c r="AP108" i="7"/>
  <c r="AO108" i="7"/>
  <c r="E108" i="7"/>
  <c r="BW107" i="7"/>
  <c r="BV107" i="7"/>
  <c r="AL107" i="11" s="1"/>
  <c r="BO107" i="7"/>
  <c r="AJ107" i="11" s="1"/>
  <c r="BN107" i="7"/>
  <c r="BM107" i="7"/>
  <c r="AI107" i="11" s="1"/>
  <c r="AP107" i="7"/>
  <c r="AO107" i="7"/>
  <c r="E107" i="7"/>
  <c r="BW106" i="7"/>
  <c r="BV106" i="7"/>
  <c r="AL106" i="11" s="1"/>
  <c r="BO106" i="7"/>
  <c r="AJ106" i="11" s="1"/>
  <c r="BN106" i="7"/>
  <c r="BM106" i="7"/>
  <c r="AI106" i="11" s="1"/>
  <c r="AP106" i="7"/>
  <c r="AO106" i="7"/>
  <c r="E106" i="7"/>
  <c r="BW105" i="7"/>
  <c r="BV105" i="7"/>
  <c r="AL105" i="11" s="1"/>
  <c r="BO105" i="7"/>
  <c r="AJ105" i="11" s="1"/>
  <c r="BN105" i="7"/>
  <c r="BM105" i="7"/>
  <c r="AI105" i="11" s="1"/>
  <c r="AP105" i="7"/>
  <c r="AO105" i="7"/>
  <c r="E105" i="7"/>
  <c r="BW104" i="7"/>
  <c r="BV104" i="7"/>
  <c r="AL104" i="11" s="1"/>
  <c r="BO104" i="7"/>
  <c r="AJ104" i="11" s="1"/>
  <c r="BN104" i="7"/>
  <c r="BM104" i="7"/>
  <c r="AI104" i="11" s="1"/>
  <c r="AP104" i="7"/>
  <c r="AO104" i="7"/>
  <c r="E104" i="7"/>
  <c r="BW103" i="7"/>
  <c r="BV103" i="7"/>
  <c r="AL103" i="11" s="1"/>
  <c r="BO103" i="7"/>
  <c r="AJ103" i="11" s="1"/>
  <c r="BN103" i="7"/>
  <c r="BM103" i="7"/>
  <c r="AI103" i="11" s="1"/>
  <c r="AP103" i="7"/>
  <c r="AO103" i="7"/>
  <c r="E103" i="7"/>
  <c r="BW102" i="7"/>
  <c r="BV102" i="7"/>
  <c r="AL102" i="11" s="1"/>
  <c r="BO102" i="7"/>
  <c r="AJ102" i="11" s="1"/>
  <c r="BN102" i="7"/>
  <c r="BM102" i="7"/>
  <c r="AI102" i="11" s="1"/>
  <c r="AP102" i="7"/>
  <c r="AO102" i="7"/>
  <c r="E102" i="7"/>
  <c r="BW101" i="7"/>
  <c r="BV101" i="7"/>
  <c r="BO101" i="7"/>
  <c r="BN101" i="7"/>
  <c r="BM101" i="7"/>
  <c r="AP101" i="7"/>
  <c r="AO101" i="7"/>
  <c r="E101" i="7"/>
  <c r="BW100" i="7"/>
  <c r="BV100" i="7"/>
  <c r="AL100" i="11" s="1"/>
  <c r="BO100" i="7"/>
  <c r="AJ100" i="11" s="1"/>
  <c r="BN100" i="7"/>
  <c r="BM100" i="7"/>
  <c r="AI100" i="11" s="1"/>
  <c r="AP100" i="7"/>
  <c r="AO100" i="7"/>
  <c r="E100" i="7"/>
  <c r="BW99" i="7"/>
  <c r="BV99" i="7"/>
  <c r="AL99" i="11" s="1"/>
  <c r="BO99" i="7"/>
  <c r="AJ99" i="11" s="1"/>
  <c r="BN99" i="7"/>
  <c r="BM99" i="7"/>
  <c r="AI99" i="11" s="1"/>
  <c r="AP99" i="7"/>
  <c r="AO99" i="7"/>
  <c r="E99" i="7"/>
  <c r="BW98" i="7"/>
  <c r="BV98" i="7"/>
  <c r="AL98" i="11" s="1"/>
  <c r="BO98" i="7"/>
  <c r="AJ98" i="11" s="1"/>
  <c r="BN98" i="7"/>
  <c r="BM98" i="7"/>
  <c r="AI98" i="11" s="1"/>
  <c r="AP98" i="7"/>
  <c r="AO98" i="7"/>
  <c r="E98" i="7"/>
  <c r="BW97" i="7"/>
  <c r="BV97" i="7"/>
  <c r="AL97" i="11" s="1"/>
  <c r="BO97" i="7"/>
  <c r="AJ97" i="11" s="1"/>
  <c r="BN97" i="7"/>
  <c r="BM97" i="7"/>
  <c r="AI97" i="11" s="1"/>
  <c r="AP97" i="7"/>
  <c r="AO97" i="7"/>
  <c r="E97" i="7"/>
  <c r="BW96" i="7"/>
  <c r="BV96" i="7"/>
  <c r="AL96" i="11" s="1"/>
  <c r="BO96" i="7"/>
  <c r="AJ96" i="11" s="1"/>
  <c r="BN96" i="7"/>
  <c r="BM96" i="7"/>
  <c r="AI96" i="11" s="1"/>
  <c r="AP96" i="7"/>
  <c r="AO96" i="7"/>
  <c r="E96" i="7"/>
  <c r="BW95" i="7"/>
  <c r="BV95" i="7"/>
  <c r="AL95" i="11" s="1"/>
  <c r="BO95" i="7"/>
  <c r="AJ95" i="11" s="1"/>
  <c r="BN95" i="7"/>
  <c r="BM95" i="7"/>
  <c r="AI95" i="11" s="1"/>
  <c r="AP95" i="7"/>
  <c r="AO95" i="7"/>
  <c r="E95" i="7"/>
  <c r="BW94" i="7"/>
  <c r="BV94" i="7"/>
  <c r="AL94" i="11" s="1"/>
  <c r="BO94" i="7"/>
  <c r="AJ94" i="11" s="1"/>
  <c r="BN94" i="7"/>
  <c r="BM94" i="7"/>
  <c r="AI94" i="11" s="1"/>
  <c r="AP94" i="7"/>
  <c r="AO94" i="7"/>
  <c r="E94" i="7"/>
  <c r="BW93" i="7"/>
  <c r="BV93" i="7"/>
  <c r="AL93" i="11" s="1"/>
  <c r="BO93" i="7"/>
  <c r="AJ93" i="11" s="1"/>
  <c r="BN93" i="7"/>
  <c r="BM93" i="7"/>
  <c r="AI93" i="11" s="1"/>
  <c r="AP93" i="7"/>
  <c r="AO93" i="7"/>
  <c r="E93" i="7"/>
  <c r="BW92" i="7"/>
  <c r="BV92" i="7"/>
  <c r="AL92" i="11" s="1"/>
  <c r="BO92" i="7"/>
  <c r="AJ92" i="11" s="1"/>
  <c r="BN92" i="7"/>
  <c r="BM92" i="7"/>
  <c r="AI92" i="11" s="1"/>
  <c r="AP92" i="7"/>
  <c r="AO92" i="7"/>
  <c r="E92" i="7"/>
  <c r="BW91" i="7"/>
  <c r="BV91" i="7"/>
  <c r="AL91" i="11" s="1"/>
  <c r="BO91" i="7"/>
  <c r="AJ91" i="11" s="1"/>
  <c r="BN91" i="7"/>
  <c r="BM91" i="7"/>
  <c r="AI91" i="11" s="1"/>
  <c r="AP91" i="7"/>
  <c r="AO91" i="7"/>
  <c r="E91" i="7"/>
  <c r="BW90" i="7"/>
  <c r="BV90" i="7"/>
  <c r="AL90" i="11" s="1"/>
  <c r="BO90" i="7"/>
  <c r="AJ90" i="11" s="1"/>
  <c r="BN90" i="7"/>
  <c r="BM90" i="7"/>
  <c r="AI90" i="11" s="1"/>
  <c r="AP90" i="7"/>
  <c r="AO90" i="7"/>
  <c r="E90" i="7"/>
  <c r="BW89" i="7"/>
  <c r="BV89" i="7"/>
  <c r="BO89" i="7"/>
  <c r="BN89" i="7"/>
  <c r="BM89" i="7"/>
  <c r="AP89" i="7"/>
  <c r="AO89" i="7"/>
  <c r="E89" i="7"/>
  <c r="BW88" i="7"/>
  <c r="BV88" i="7"/>
  <c r="AL88" i="11" s="1"/>
  <c r="BO88" i="7"/>
  <c r="AJ88" i="11" s="1"/>
  <c r="BN88" i="7"/>
  <c r="BM88" i="7"/>
  <c r="AI88" i="11" s="1"/>
  <c r="AP88" i="7"/>
  <c r="AO88" i="7"/>
  <c r="E88" i="7"/>
  <c r="BW87" i="7"/>
  <c r="BV87" i="7"/>
  <c r="AL87" i="11" s="1"/>
  <c r="BO87" i="7"/>
  <c r="AJ87" i="11" s="1"/>
  <c r="BN87" i="7"/>
  <c r="BM87" i="7"/>
  <c r="AI87" i="11" s="1"/>
  <c r="AP87" i="7"/>
  <c r="AO87" i="7"/>
  <c r="E87" i="7"/>
  <c r="BW86" i="7"/>
  <c r="BV86" i="7"/>
  <c r="AL86" i="11" s="1"/>
  <c r="BO86" i="7"/>
  <c r="AJ86" i="11" s="1"/>
  <c r="BN86" i="7"/>
  <c r="BM86" i="7"/>
  <c r="AI86" i="11" s="1"/>
  <c r="AP86" i="7"/>
  <c r="AO86" i="7"/>
  <c r="E86" i="7"/>
  <c r="BW85" i="7"/>
  <c r="BV85" i="7"/>
  <c r="AL85" i="11" s="1"/>
  <c r="BO85" i="7"/>
  <c r="AJ85" i="11" s="1"/>
  <c r="BN85" i="7"/>
  <c r="BM85" i="7"/>
  <c r="AI85" i="11" s="1"/>
  <c r="AP85" i="7"/>
  <c r="AO85" i="7"/>
  <c r="E85" i="7"/>
  <c r="BW84" i="7"/>
  <c r="BV84" i="7"/>
  <c r="AL84" i="11" s="1"/>
  <c r="BO84" i="7"/>
  <c r="AJ84" i="11" s="1"/>
  <c r="BN84" i="7"/>
  <c r="BM84" i="7"/>
  <c r="AI84" i="11" s="1"/>
  <c r="AP84" i="7"/>
  <c r="AO84" i="7"/>
  <c r="E84" i="7"/>
  <c r="BW83" i="7"/>
  <c r="BV83" i="7"/>
  <c r="AL83" i="11" s="1"/>
  <c r="BO83" i="7"/>
  <c r="AJ83" i="11" s="1"/>
  <c r="BN83" i="7"/>
  <c r="BM83" i="7"/>
  <c r="AI83" i="11" s="1"/>
  <c r="AP83" i="7"/>
  <c r="AO83" i="7"/>
  <c r="E83" i="7"/>
  <c r="BW82" i="7"/>
  <c r="BV82" i="7"/>
  <c r="AL82" i="11" s="1"/>
  <c r="BO82" i="7"/>
  <c r="AJ82" i="11" s="1"/>
  <c r="BN82" i="7"/>
  <c r="BM82" i="7"/>
  <c r="AI82" i="11" s="1"/>
  <c r="AP82" i="7"/>
  <c r="AO82" i="7"/>
  <c r="E82" i="7"/>
  <c r="BW81" i="7"/>
  <c r="BV81" i="7"/>
  <c r="AL81" i="11" s="1"/>
  <c r="BO81" i="7"/>
  <c r="AJ81" i="11" s="1"/>
  <c r="BN81" i="7"/>
  <c r="BM81" i="7"/>
  <c r="AI81" i="11" s="1"/>
  <c r="AP81" i="7"/>
  <c r="AO81" i="7"/>
  <c r="E81" i="7"/>
  <c r="BW80" i="7"/>
  <c r="BV80" i="7"/>
  <c r="AL80" i="11" s="1"/>
  <c r="BO80" i="7"/>
  <c r="AJ80" i="11" s="1"/>
  <c r="BN80" i="7"/>
  <c r="BM80" i="7"/>
  <c r="AI80" i="11" s="1"/>
  <c r="AP80" i="7"/>
  <c r="AO80" i="7"/>
  <c r="E80" i="7"/>
  <c r="BW79" i="7"/>
  <c r="BV79" i="7"/>
  <c r="AL79" i="11" s="1"/>
  <c r="BO79" i="7"/>
  <c r="AJ79" i="11" s="1"/>
  <c r="BN79" i="7"/>
  <c r="BM79" i="7"/>
  <c r="AI79" i="11" s="1"/>
  <c r="AP79" i="7"/>
  <c r="AO79" i="7"/>
  <c r="E79" i="7"/>
  <c r="BW78" i="7"/>
  <c r="BV78" i="7"/>
  <c r="AL78" i="11" s="1"/>
  <c r="BO78" i="7"/>
  <c r="AJ78" i="11" s="1"/>
  <c r="BN78" i="7"/>
  <c r="BM78" i="7"/>
  <c r="AI78" i="11" s="1"/>
  <c r="AP78" i="7"/>
  <c r="AO78" i="7"/>
  <c r="E78" i="7"/>
  <c r="BW77" i="7"/>
  <c r="BV77" i="7"/>
  <c r="BO77" i="7"/>
  <c r="BN77" i="7"/>
  <c r="BM77" i="7"/>
  <c r="AP77" i="7"/>
  <c r="AO77" i="7"/>
  <c r="E77" i="7"/>
  <c r="BW76" i="7"/>
  <c r="BV76" i="7"/>
  <c r="AL76" i="11" s="1"/>
  <c r="BO76" i="7"/>
  <c r="AJ76" i="11" s="1"/>
  <c r="BN76" i="7"/>
  <c r="BM76" i="7"/>
  <c r="AI76" i="11" s="1"/>
  <c r="AP76" i="7"/>
  <c r="AO76" i="7"/>
  <c r="E76" i="7"/>
  <c r="BW75" i="7"/>
  <c r="BV75" i="7"/>
  <c r="AL75" i="11" s="1"/>
  <c r="BO75" i="7"/>
  <c r="AJ75" i="11" s="1"/>
  <c r="BN75" i="7"/>
  <c r="BM75" i="7"/>
  <c r="AI75" i="11" s="1"/>
  <c r="AP75" i="7"/>
  <c r="AO75" i="7"/>
  <c r="E75" i="7"/>
  <c r="BW74" i="7"/>
  <c r="BV74" i="7"/>
  <c r="AL74" i="11" s="1"/>
  <c r="BO74" i="7"/>
  <c r="AJ74" i="11" s="1"/>
  <c r="BN74" i="7"/>
  <c r="BM74" i="7"/>
  <c r="AI74" i="11" s="1"/>
  <c r="AP74" i="7"/>
  <c r="AO74" i="7"/>
  <c r="E74" i="7"/>
  <c r="BW73" i="7"/>
  <c r="BV73" i="7"/>
  <c r="AL73" i="11" s="1"/>
  <c r="BO73" i="7"/>
  <c r="AJ73" i="11" s="1"/>
  <c r="BN73" i="7"/>
  <c r="BM73" i="7"/>
  <c r="AI73" i="11" s="1"/>
  <c r="AP73" i="7"/>
  <c r="AO73" i="7"/>
  <c r="E73" i="7"/>
  <c r="BW72" i="7"/>
  <c r="BV72" i="7"/>
  <c r="AL72" i="11" s="1"/>
  <c r="BO72" i="7"/>
  <c r="AJ72" i="11" s="1"/>
  <c r="BN72" i="7"/>
  <c r="BM72" i="7"/>
  <c r="AI72" i="11" s="1"/>
  <c r="AP72" i="7"/>
  <c r="AO72" i="7"/>
  <c r="E72" i="7"/>
  <c r="BW71" i="7"/>
  <c r="BV71" i="7"/>
  <c r="AL71" i="11" s="1"/>
  <c r="BO71" i="7"/>
  <c r="AJ71" i="11" s="1"/>
  <c r="BN71" i="7"/>
  <c r="BM71" i="7"/>
  <c r="AI71" i="11" s="1"/>
  <c r="AP71" i="7"/>
  <c r="AO71" i="7"/>
  <c r="E71" i="7"/>
  <c r="BW70" i="7"/>
  <c r="BV70" i="7"/>
  <c r="AL70" i="11" s="1"/>
  <c r="BO70" i="7"/>
  <c r="AJ70" i="11" s="1"/>
  <c r="BN70" i="7"/>
  <c r="BM70" i="7"/>
  <c r="AI70" i="11" s="1"/>
  <c r="AP70" i="7"/>
  <c r="AO70" i="7"/>
  <c r="E70" i="7"/>
  <c r="BW69" i="7"/>
  <c r="BV69" i="7"/>
  <c r="AL69" i="11" s="1"/>
  <c r="BO69" i="7"/>
  <c r="AJ69" i="11" s="1"/>
  <c r="BN69" i="7"/>
  <c r="BM69" i="7"/>
  <c r="AI69" i="11" s="1"/>
  <c r="AP69" i="7"/>
  <c r="AO69" i="7"/>
  <c r="E69" i="7"/>
  <c r="BW68" i="7"/>
  <c r="BV68" i="7"/>
  <c r="AL68" i="11" s="1"/>
  <c r="BO68" i="7"/>
  <c r="AJ68" i="11" s="1"/>
  <c r="BN68" i="7"/>
  <c r="BM68" i="7"/>
  <c r="AI68" i="11" s="1"/>
  <c r="AP68" i="7"/>
  <c r="AO68" i="7"/>
  <c r="E68" i="7"/>
  <c r="BW67" i="7"/>
  <c r="BV67" i="7"/>
  <c r="AL67" i="11" s="1"/>
  <c r="BO67" i="7"/>
  <c r="AJ67" i="11" s="1"/>
  <c r="BN67" i="7"/>
  <c r="BM67" i="7"/>
  <c r="AI67" i="11" s="1"/>
  <c r="AP67" i="7"/>
  <c r="AO67" i="7"/>
  <c r="E67" i="7"/>
  <c r="BW66" i="7"/>
  <c r="BV66" i="7"/>
  <c r="AL66" i="11" s="1"/>
  <c r="BO66" i="7"/>
  <c r="AJ66" i="11" s="1"/>
  <c r="BN66" i="7"/>
  <c r="BM66" i="7"/>
  <c r="AI66" i="11" s="1"/>
  <c r="AP66" i="7"/>
  <c r="AO66" i="7"/>
  <c r="E66" i="7"/>
  <c r="BW65" i="7"/>
  <c r="BV65" i="7"/>
  <c r="BO65" i="7"/>
  <c r="AJ65" i="11" s="1"/>
  <c r="BN65" i="7"/>
  <c r="BM65" i="7"/>
  <c r="AP65" i="7"/>
  <c r="AO65" i="7"/>
  <c r="E65" i="7"/>
  <c r="BW64" i="7"/>
  <c r="BV64" i="7"/>
  <c r="AL64" i="11" s="1"/>
  <c r="BO64" i="7"/>
  <c r="BN64" i="7"/>
  <c r="BM64" i="7"/>
  <c r="AI64" i="11" s="1"/>
  <c r="AP64" i="7"/>
  <c r="AO64" i="7"/>
  <c r="E64" i="7"/>
  <c r="BW63" i="7"/>
  <c r="BV63" i="7"/>
  <c r="AL63" i="11" s="1"/>
  <c r="BO63" i="7"/>
  <c r="AJ63" i="11" s="1"/>
  <c r="BN63" i="7"/>
  <c r="BM63" i="7"/>
  <c r="AI63" i="11" s="1"/>
  <c r="AP63" i="7"/>
  <c r="AO63" i="7"/>
  <c r="E63" i="7"/>
  <c r="BW62" i="7"/>
  <c r="BV62" i="7"/>
  <c r="AL62" i="11" s="1"/>
  <c r="BO62" i="7"/>
  <c r="AJ62" i="11" s="1"/>
  <c r="BN62" i="7"/>
  <c r="BM62" i="7"/>
  <c r="AI62" i="11" s="1"/>
  <c r="AP62" i="7"/>
  <c r="AO62" i="7"/>
  <c r="E62" i="7"/>
  <c r="BW61" i="7"/>
  <c r="BV61" i="7"/>
  <c r="AL61" i="11" s="1"/>
  <c r="BO61" i="7"/>
  <c r="AJ61" i="11" s="1"/>
  <c r="BN61" i="7"/>
  <c r="BM61" i="7"/>
  <c r="AI61" i="11" s="1"/>
  <c r="AP61" i="7"/>
  <c r="AO61" i="7"/>
  <c r="E61" i="7"/>
  <c r="BW60" i="7"/>
  <c r="BV60" i="7"/>
  <c r="AL60" i="11" s="1"/>
  <c r="BO60" i="7"/>
  <c r="AJ60" i="11" s="1"/>
  <c r="BN60" i="7"/>
  <c r="BM60" i="7"/>
  <c r="AI60" i="11" s="1"/>
  <c r="AP60" i="7"/>
  <c r="AO60" i="7"/>
  <c r="E60" i="7"/>
  <c r="BW59" i="7"/>
  <c r="BV59" i="7"/>
  <c r="AL59" i="11" s="1"/>
  <c r="BO59" i="7"/>
  <c r="AJ59" i="11" s="1"/>
  <c r="BN59" i="7"/>
  <c r="BM59" i="7"/>
  <c r="AI59" i="11" s="1"/>
  <c r="AP59" i="7"/>
  <c r="AO59" i="7"/>
  <c r="E59" i="7"/>
  <c r="BW58" i="7"/>
  <c r="BV58" i="7"/>
  <c r="AL58" i="11" s="1"/>
  <c r="BO58" i="7"/>
  <c r="AJ58" i="11" s="1"/>
  <c r="BN58" i="7"/>
  <c r="BM58" i="7"/>
  <c r="AI58" i="11" s="1"/>
  <c r="AP58" i="7"/>
  <c r="AO58" i="7"/>
  <c r="E58" i="7"/>
  <c r="BW57" i="7"/>
  <c r="BV57" i="7"/>
  <c r="AL57" i="11" s="1"/>
  <c r="BO57" i="7"/>
  <c r="AJ57" i="11" s="1"/>
  <c r="BN57" i="7"/>
  <c r="BM57" i="7"/>
  <c r="AI57" i="11" s="1"/>
  <c r="AP57" i="7"/>
  <c r="AO57" i="7"/>
  <c r="E57" i="7"/>
  <c r="BW56" i="7"/>
  <c r="BV56" i="7"/>
  <c r="AL56" i="11" s="1"/>
  <c r="BO56" i="7"/>
  <c r="AJ56" i="11" s="1"/>
  <c r="BN56" i="7"/>
  <c r="BM56" i="7"/>
  <c r="AI56" i="11" s="1"/>
  <c r="AP56" i="7"/>
  <c r="AO56" i="7"/>
  <c r="E56" i="7"/>
  <c r="BW55" i="7"/>
  <c r="BV55" i="7"/>
  <c r="AL55" i="11" s="1"/>
  <c r="BO55" i="7"/>
  <c r="AJ55" i="11" s="1"/>
  <c r="BN55" i="7"/>
  <c r="BM55" i="7"/>
  <c r="AI55" i="11" s="1"/>
  <c r="AP55" i="7"/>
  <c r="AO55" i="7"/>
  <c r="E55" i="7"/>
  <c r="BW54" i="7"/>
  <c r="BV54" i="7"/>
  <c r="AL54" i="11" s="1"/>
  <c r="BO54" i="7"/>
  <c r="AJ54" i="11" s="1"/>
  <c r="BN54" i="7"/>
  <c r="BM54" i="7"/>
  <c r="AI54" i="11" s="1"/>
  <c r="AP54" i="7"/>
  <c r="AO54" i="7"/>
  <c r="E54" i="7"/>
  <c r="BW53" i="7"/>
  <c r="BV53" i="7"/>
  <c r="BO53" i="7"/>
  <c r="AJ53" i="11" s="1"/>
  <c r="BN53" i="7"/>
  <c r="BM53" i="7"/>
  <c r="AP53" i="7"/>
  <c r="AO53" i="7"/>
  <c r="E53" i="7"/>
  <c r="BW52" i="7"/>
  <c r="BV52" i="7"/>
  <c r="AL52" i="11" s="1"/>
  <c r="BO52" i="7"/>
  <c r="BN52" i="7"/>
  <c r="BM52" i="7"/>
  <c r="AI52" i="11" s="1"/>
  <c r="AP52" i="7"/>
  <c r="AO52" i="7"/>
  <c r="E52" i="7"/>
  <c r="BW51" i="7"/>
  <c r="BV51" i="7"/>
  <c r="AL51" i="11" s="1"/>
  <c r="BO51" i="7"/>
  <c r="AJ51" i="11" s="1"/>
  <c r="BN51" i="7"/>
  <c r="BM51" i="7"/>
  <c r="AI51" i="11" s="1"/>
  <c r="AP51" i="7"/>
  <c r="AO51" i="7"/>
  <c r="E51" i="7"/>
  <c r="BW50" i="7"/>
  <c r="BV50" i="7"/>
  <c r="AL50" i="11" s="1"/>
  <c r="BO50" i="7"/>
  <c r="AJ50" i="11" s="1"/>
  <c r="BN50" i="7"/>
  <c r="BM50" i="7"/>
  <c r="AI50" i="11" s="1"/>
  <c r="AP50" i="7"/>
  <c r="AO50" i="7"/>
  <c r="E50" i="7"/>
  <c r="BW49" i="7"/>
  <c r="BV49" i="7"/>
  <c r="AL49" i="11" s="1"/>
  <c r="BO49" i="7"/>
  <c r="AJ49" i="11" s="1"/>
  <c r="BN49" i="7"/>
  <c r="BM49" i="7"/>
  <c r="AI49" i="11" s="1"/>
  <c r="AP49" i="7"/>
  <c r="AO49" i="7"/>
  <c r="E49" i="7"/>
  <c r="BW48" i="7"/>
  <c r="BV48" i="7"/>
  <c r="AL48" i="11" s="1"/>
  <c r="BO48" i="7"/>
  <c r="AJ48" i="11" s="1"/>
  <c r="BN48" i="7"/>
  <c r="BM48" i="7"/>
  <c r="AI48" i="11" s="1"/>
  <c r="AP48" i="7"/>
  <c r="AO48" i="7"/>
  <c r="E48" i="7"/>
  <c r="BW47" i="7"/>
  <c r="BV47" i="7"/>
  <c r="AL47" i="11" s="1"/>
  <c r="BO47" i="7"/>
  <c r="AJ47" i="11" s="1"/>
  <c r="BN47" i="7"/>
  <c r="BM47" i="7"/>
  <c r="AI47" i="11" s="1"/>
  <c r="AP47" i="7"/>
  <c r="AO47" i="7"/>
  <c r="E47" i="7"/>
  <c r="BW46" i="7"/>
  <c r="BV46" i="7"/>
  <c r="AL46" i="11" s="1"/>
  <c r="BO46" i="7"/>
  <c r="AJ46" i="11" s="1"/>
  <c r="BN46" i="7"/>
  <c r="BM46" i="7"/>
  <c r="AI46" i="11" s="1"/>
  <c r="AP46" i="7"/>
  <c r="AO46" i="7"/>
  <c r="E46" i="7"/>
  <c r="BW45" i="7"/>
  <c r="BV45" i="7"/>
  <c r="AL45" i="11" s="1"/>
  <c r="BO45" i="7"/>
  <c r="AJ45" i="11" s="1"/>
  <c r="BN45" i="7"/>
  <c r="BM45" i="7"/>
  <c r="AI45" i="11" s="1"/>
  <c r="AP45" i="7"/>
  <c r="AO45" i="7"/>
  <c r="E45" i="7"/>
  <c r="BW44" i="7"/>
  <c r="BV44" i="7"/>
  <c r="AL44" i="11" s="1"/>
  <c r="BO44" i="7"/>
  <c r="AJ44" i="11" s="1"/>
  <c r="BN44" i="7"/>
  <c r="BM44" i="7"/>
  <c r="AI44" i="11" s="1"/>
  <c r="AP44" i="7"/>
  <c r="AO44" i="7"/>
  <c r="E44" i="7"/>
  <c r="BW43" i="7"/>
  <c r="BV43" i="7"/>
  <c r="AL43" i="11" s="1"/>
  <c r="BO43" i="7"/>
  <c r="AJ43" i="11" s="1"/>
  <c r="BN43" i="7"/>
  <c r="BM43" i="7"/>
  <c r="AI43" i="11" s="1"/>
  <c r="AP43" i="7"/>
  <c r="AO43" i="7"/>
  <c r="E43" i="7"/>
  <c r="BW42" i="7"/>
  <c r="BV42" i="7"/>
  <c r="AL42" i="11" s="1"/>
  <c r="BO42" i="7"/>
  <c r="AJ42" i="11" s="1"/>
  <c r="BN42" i="7"/>
  <c r="BM42" i="7"/>
  <c r="AI42" i="11" s="1"/>
  <c r="AP42" i="7"/>
  <c r="AO42" i="7"/>
  <c r="E42" i="7"/>
  <c r="BW41" i="7"/>
  <c r="BV41" i="7"/>
  <c r="BO41" i="7"/>
  <c r="AJ41" i="11" s="1"/>
  <c r="BN41" i="7"/>
  <c r="BM41" i="7"/>
  <c r="AP41" i="7"/>
  <c r="AO41" i="7"/>
  <c r="E41" i="7"/>
  <c r="BW40" i="7"/>
  <c r="BV40" i="7"/>
  <c r="AL40" i="11" s="1"/>
  <c r="BO40" i="7"/>
  <c r="BN40" i="7"/>
  <c r="BM40" i="7"/>
  <c r="AI40" i="11" s="1"/>
  <c r="AP40" i="7"/>
  <c r="AO40" i="7"/>
  <c r="E40" i="7"/>
  <c r="BW39" i="7"/>
  <c r="BV39" i="7"/>
  <c r="AL39" i="11" s="1"/>
  <c r="BO39" i="7"/>
  <c r="AJ39" i="11" s="1"/>
  <c r="BN39" i="7"/>
  <c r="BM39" i="7"/>
  <c r="AI39" i="11" s="1"/>
  <c r="AP39" i="7"/>
  <c r="AO39" i="7"/>
  <c r="E39" i="7"/>
  <c r="BW38" i="7"/>
  <c r="BV38" i="7"/>
  <c r="AL38" i="11" s="1"/>
  <c r="BO38" i="7"/>
  <c r="AJ38" i="11" s="1"/>
  <c r="BN38" i="7"/>
  <c r="BM38" i="7"/>
  <c r="AI38" i="11" s="1"/>
  <c r="AP38" i="7"/>
  <c r="AO38" i="7"/>
  <c r="E38" i="7"/>
  <c r="BW37" i="7"/>
  <c r="BV37" i="7"/>
  <c r="AL37" i="11" s="1"/>
  <c r="BO37" i="7"/>
  <c r="AJ37" i="11" s="1"/>
  <c r="BN37" i="7"/>
  <c r="BM37" i="7"/>
  <c r="AI37" i="11" s="1"/>
  <c r="AP37" i="7"/>
  <c r="AO37" i="7"/>
  <c r="E37" i="7"/>
  <c r="BW36" i="7"/>
  <c r="BV36" i="7"/>
  <c r="AL36" i="11" s="1"/>
  <c r="BO36" i="7"/>
  <c r="AJ36" i="11" s="1"/>
  <c r="BN36" i="7"/>
  <c r="BM36" i="7"/>
  <c r="AI36" i="11" s="1"/>
  <c r="AP36" i="7"/>
  <c r="AO36" i="7"/>
  <c r="E36" i="7"/>
  <c r="BW35" i="7"/>
  <c r="BV35" i="7"/>
  <c r="AL35" i="11" s="1"/>
  <c r="BO35" i="7"/>
  <c r="AJ35" i="11" s="1"/>
  <c r="BN35" i="7"/>
  <c r="BM35" i="7"/>
  <c r="AI35" i="11" s="1"/>
  <c r="AP35" i="7"/>
  <c r="AO35" i="7"/>
  <c r="E35" i="7"/>
  <c r="BW34" i="7"/>
  <c r="BV34" i="7"/>
  <c r="AL34" i="11" s="1"/>
  <c r="BO34" i="7"/>
  <c r="AJ34" i="11" s="1"/>
  <c r="BN34" i="7"/>
  <c r="BM34" i="7"/>
  <c r="AI34" i="11" s="1"/>
  <c r="AP34" i="7"/>
  <c r="AO34" i="7"/>
  <c r="E34" i="7"/>
  <c r="BW33" i="7"/>
  <c r="BV33" i="7"/>
  <c r="AL33" i="11" s="1"/>
  <c r="BO33" i="7"/>
  <c r="AJ33" i="11" s="1"/>
  <c r="BN33" i="7"/>
  <c r="BM33" i="7"/>
  <c r="AI33" i="11" s="1"/>
  <c r="AP33" i="7"/>
  <c r="AO33" i="7"/>
  <c r="E33" i="7"/>
  <c r="BW32" i="7"/>
  <c r="BV32" i="7"/>
  <c r="AL32" i="11" s="1"/>
  <c r="BO32" i="7"/>
  <c r="AJ32" i="11" s="1"/>
  <c r="BN32" i="7"/>
  <c r="BM32" i="7"/>
  <c r="AI32" i="11" s="1"/>
  <c r="AP32" i="7"/>
  <c r="AO32" i="7"/>
  <c r="E32" i="7"/>
  <c r="BW31" i="7"/>
  <c r="BV31" i="7"/>
  <c r="AL31" i="11" s="1"/>
  <c r="BO31" i="7"/>
  <c r="AJ31" i="11" s="1"/>
  <c r="BN31" i="7"/>
  <c r="BM31" i="7"/>
  <c r="AI31" i="11" s="1"/>
  <c r="AP31" i="7"/>
  <c r="AO31" i="7"/>
  <c r="E31" i="7"/>
  <c r="BW30" i="7"/>
  <c r="BV30" i="7"/>
  <c r="AL30" i="11" s="1"/>
  <c r="BO30" i="7"/>
  <c r="AJ30" i="11" s="1"/>
  <c r="BN30" i="7"/>
  <c r="BM30" i="7"/>
  <c r="AI30" i="11" s="1"/>
  <c r="AP30" i="7"/>
  <c r="AO30" i="7"/>
  <c r="E30" i="7"/>
  <c r="BW29" i="7"/>
  <c r="BV29" i="7"/>
  <c r="AL29" i="11" s="1"/>
  <c r="BO29" i="7"/>
  <c r="AJ29" i="11" s="1"/>
  <c r="BN29" i="7"/>
  <c r="BM29" i="7"/>
  <c r="AP29" i="7"/>
  <c r="AO29" i="7"/>
  <c r="E29" i="7"/>
  <c r="BW28" i="7"/>
  <c r="BV28" i="7"/>
  <c r="AL28" i="11" s="1"/>
  <c r="BO28" i="7"/>
  <c r="BN28" i="7"/>
  <c r="BM28" i="7"/>
  <c r="AI28" i="11" s="1"/>
  <c r="AP28" i="7"/>
  <c r="AO28" i="7"/>
  <c r="E28" i="7"/>
  <c r="BW27" i="7"/>
  <c r="BV27" i="7"/>
  <c r="AL27" i="11" s="1"/>
  <c r="BO27" i="7"/>
  <c r="AJ27" i="11" s="1"/>
  <c r="BN27" i="7"/>
  <c r="BM27" i="7"/>
  <c r="AI27" i="11" s="1"/>
  <c r="AP27" i="7"/>
  <c r="AO27" i="7"/>
  <c r="E27" i="7"/>
  <c r="BW26" i="7"/>
  <c r="BV26" i="7"/>
  <c r="AL26" i="11" s="1"/>
  <c r="BO26" i="7"/>
  <c r="AJ26" i="11" s="1"/>
  <c r="BN26" i="7"/>
  <c r="BM26" i="7"/>
  <c r="AI26" i="11" s="1"/>
  <c r="AP26" i="7"/>
  <c r="AO26" i="7"/>
  <c r="E26" i="7"/>
  <c r="BW25" i="7"/>
  <c r="BV25" i="7"/>
  <c r="AL25" i="11" s="1"/>
  <c r="BO25" i="7"/>
  <c r="AJ25" i="11" s="1"/>
  <c r="BN25" i="7"/>
  <c r="BM25" i="7"/>
  <c r="AI25" i="11" s="1"/>
  <c r="AP25" i="7"/>
  <c r="AO25" i="7"/>
  <c r="E25" i="7"/>
  <c r="BW24" i="7"/>
  <c r="BV24" i="7"/>
  <c r="AL24" i="11" s="1"/>
  <c r="BO24" i="7"/>
  <c r="AJ24" i="11" s="1"/>
  <c r="BN24" i="7"/>
  <c r="BM24" i="7"/>
  <c r="AI24" i="11" s="1"/>
  <c r="AP24" i="7"/>
  <c r="AO24" i="7"/>
  <c r="E24" i="7"/>
  <c r="BW23" i="7"/>
  <c r="BV23" i="7"/>
  <c r="AL23" i="11" s="1"/>
  <c r="BO23" i="7"/>
  <c r="AJ23" i="11" s="1"/>
  <c r="BN23" i="7"/>
  <c r="BM23" i="7"/>
  <c r="AI23" i="11" s="1"/>
  <c r="AP23" i="7"/>
  <c r="AO23" i="7"/>
  <c r="E23" i="7"/>
  <c r="BW22" i="7"/>
  <c r="BV22" i="7"/>
  <c r="AL22" i="11" s="1"/>
  <c r="BO22" i="7"/>
  <c r="AJ22" i="11" s="1"/>
  <c r="BN22" i="7"/>
  <c r="BM22" i="7"/>
  <c r="AI22" i="11" s="1"/>
  <c r="AP22" i="7"/>
  <c r="AO22" i="7"/>
  <c r="E22" i="7"/>
  <c r="BW21" i="7"/>
  <c r="BV21" i="7"/>
  <c r="AL21" i="11" s="1"/>
  <c r="BO21" i="7"/>
  <c r="AJ21" i="11" s="1"/>
  <c r="BN21" i="7"/>
  <c r="BM21" i="7"/>
  <c r="AI21" i="11" s="1"/>
  <c r="AP21" i="7"/>
  <c r="AO21" i="7"/>
  <c r="E21" i="7"/>
  <c r="BW20" i="7"/>
  <c r="BV20" i="7"/>
  <c r="AL20" i="11" s="1"/>
  <c r="BO20" i="7"/>
  <c r="AJ20" i="11" s="1"/>
  <c r="BN20" i="7"/>
  <c r="BM20" i="7"/>
  <c r="AI20" i="11" s="1"/>
  <c r="AP20" i="7"/>
  <c r="AO20" i="7"/>
  <c r="E20" i="7"/>
  <c r="BW19" i="7"/>
  <c r="BV19" i="7"/>
  <c r="AL19" i="11" s="1"/>
  <c r="BO19" i="7"/>
  <c r="AJ19" i="11" s="1"/>
  <c r="BN19" i="7"/>
  <c r="BM19" i="7"/>
  <c r="AI19" i="11" s="1"/>
  <c r="AP19" i="7"/>
  <c r="AO19" i="7"/>
  <c r="E19" i="7"/>
  <c r="BW18" i="7"/>
  <c r="BV18" i="7"/>
  <c r="AL18" i="11" s="1"/>
  <c r="BO18" i="7"/>
  <c r="AJ18" i="11" s="1"/>
  <c r="BN18" i="7"/>
  <c r="BM18" i="7"/>
  <c r="AI18" i="11" s="1"/>
  <c r="AP18" i="7"/>
  <c r="AO18" i="7"/>
  <c r="E18" i="7"/>
  <c r="BW17" i="7"/>
  <c r="BV17" i="7"/>
  <c r="BO17" i="7"/>
  <c r="AJ17" i="11" s="1"/>
  <c r="BN17" i="7"/>
  <c r="BM17" i="7"/>
  <c r="AP17" i="7"/>
  <c r="AO17" i="7"/>
  <c r="E17" i="7"/>
  <c r="BW16" i="7"/>
  <c r="BV16" i="7"/>
  <c r="AL16" i="11" s="1"/>
  <c r="BO16" i="7"/>
  <c r="BN16" i="7"/>
  <c r="BM16" i="7"/>
  <c r="AI16" i="11" s="1"/>
  <c r="AP16" i="7"/>
  <c r="AO16" i="7"/>
  <c r="E16" i="7"/>
  <c r="BW15" i="7"/>
  <c r="BV15" i="7"/>
  <c r="AL15" i="11" s="1"/>
  <c r="BO15" i="7"/>
  <c r="AJ15" i="11" s="1"/>
  <c r="BN15" i="7"/>
  <c r="BM15" i="7"/>
  <c r="AI15" i="11" s="1"/>
  <c r="AP15" i="7"/>
  <c r="AO15" i="7"/>
  <c r="E15" i="7"/>
  <c r="BW14" i="7"/>
  <c r="BV14" i="7"/>
  <c r="AL14" i="11" s="1"/>
  <c r="BO14" i="7"/>
  <c r="AJ14" i="11" s="1"/>
  <c r="BN14" i="7"/>
  <c r="BM14" i="7"/>
  <c r="AI14" i="11" s="1"/>
  <c r="AP14" i="7"/>
  <c r="AO14" i="7"/>
  <c r="E14" i="7"/>
  <c r="BW13" i="7"/>
  <c r="BV13" i="7"/>
  <c r="AL13" i="11" s="1"/>
  <c r="BO13" i="7"/>
  <c r="AJ13" i="11" s="1"/>
  <c r="BN13" i="7"/>
  <c r="BM13" i="7"/>
  <c r="AI13" i="11" s="1"/>
  <c r="AP13" i="7"/>
  <c r="AO13" i="7"/>
  <c r="E13" i="7"/>
  <c r="BW12" i="7"/>
  <c r="BV12" i="7"/>
  <c r="AL12" i="11" s="1"/>
  <c r="BO12" i="7"/>
  <c r="AJ12" i="11" s="1"/>
  <c r="BN12" i="7"/>
  <c r="BM12" i="7"/>
  <c r="AI12" i="11" s="1"/>
  <c r="AP12" i="7"/>
  <c r="AO12" i="7"/>
  <c r="E12" i="7"/>
  <c r="BW11" i="7"/>
  <c r="BV11" i="7"/>
  <c r="AL11" i="11" s="1"/>
  <c r="BO11" i="7"/>
  <c r="AJ11" i="11" s="1"/>
  <c r="BN11" i="7"/>
  <c r="BM11" i="7"/>
  <c r="AI11" i="11" s="1"/>
  <c r="AP11" i="7"/>
  <c r="AO11" i="7"/>
  <c r="E11" i="7"/>
  <c r="BW10" i="7"/>
  <c r="BV10" i="7"/>
  <c r="AL10" i="11" s="1"/>
  <c r="BO10" i="7"/>
  <c r="AJ10" i="11" s="1"/>
  <c r="BN10" i="7"/>
  <c r="BM10" i="7"/>
  <c r="AI10" i="11" s="1"/>
  <c r="AP10" i="7"/>
  <c r="AO10" i="7"/>
  <c r="E10" i="7"/>
  <c r="BW9" i="7"/>
  <c r="BV9" i="7"/>
  <c r="AL9" i="11" s="1"/>
  <c r="BO9" i="7"/>
  <c r="AJ9" i="11" s="1"/>
  <c r="BN9" i="7"/>
  <c r="BM9" i="7"/>
  <c r="AI9" i="11" s="1"/>
  <c r="AP9" i="7"/>
  <c r="AO9" i="7"/>
  <c r="E9" i="7"/>
  <c r="BW8" i="7"/>
  <c r="BV8" i="7"/>
  <c r="AL8" i="11" s="1"/>
  <c r="BO8" i="7"/>
  <c r="AJ8" i="11" s="1"/>
  <c r="BN8" i="7"/>
  <c r="BM8" i="7"/>
  <c r="AI8" i="11" s="1"/>
  <c r="AP8" i="7"/>
  <c r="AO8" i="7"/>
  <c r="E8" i="7"/>
  <c r="BW7" i="7"/>
  <c r="BV7" i="7"/>
  <c r="AL7" i="11" s="1"/>
  <c r="BO7" i="7"/>
  <c r="AJ7" i="11" s="1"/>
  <c r="BN7" i="7"/>
  <c r="BM7" i="7"/>
  <c r="AI7" i="11" s="1"/>
  <c r="AP7" i="7"/>
  <c r="AO7" i="7"/>
  <c r="E7" i="7"/>
  <c r="BW6" i="7"/>
  <c r="BV6" i="7"/>
  <c r="AL6" i="11" s="1"/>
  <c r="BO6" i="7"/>
  <c r="AJ6" i="11" s="1"/>
  <c r="BN6" i="7"/>
  <c r="BM6" i="7"/>
  <c r="AI6" i="11" s="1"/>
  <c r="AP6" i="7"/>
  <c r="AO6" i="7"/>
  <c r="E6" i="7"/>
  <c r="BW5" i="7"/>
  <c r="BV5" i="7"/>
  <c r="BO5" i="7"/>
  <c r="AJ5" i="11" s="1"/>
  <c r="BN5" i="7"/>
  <c r="BM5" i="7"/>
  <c r="AR5" i="7"/>
  <c r="AP5" i="7"/>
  <c r="AO5" i="7"/>
  <c r="S5" i="7"/>
  <c r="E5" i="7"/>
  <c r="CA4" i="7"/>
  <c r="BK3" i="7"/>
  <c r="G36" i="1"/>
  <c r="G34" i="1"/>
  <c r="G31" i="1"/>
  <c r="G18" i="1"/>
  <c r="G45" i="6"/>
  <c r="G42" i="6"/>
  <c r="G40" i="6"/>
  <c r="G39" i="6"/>
  <c r="G27" i="6"/>
  <c r="F58" i="6"/>
  <c r="BT304" i="7" s="1"/>
  <c r="F57" i="6"/>
  <c r="BS244" i="7" s="1"/>
  <c r="F56" i="6"/>
  <c r="F55" i="6"/>
  <c r="BP16" i="7"/>
  <c r="G9" i="6"/>
  <c r="G8" i="6"/>
  <c r="G9" i="1" s="1"/>
  <c r="BE5" i="7" l="1"/>
  <c r="AZ5" i="7"/>
  <c r="AK224" i="11"/>
  <c r="AK232" i="11"/>
  <c r="AK240" i="11"/>
  <c r="AK248" i="11"/>
  <c r="AK256" i="11"/>
  <c r="AK264" i="11"/>
  <c r="AK272" i="11"/>
  <c r="AK280" i="11"/>
  <c r="AK288" i="11"/>
  <c r="AK296" i="11"/>
  <c r="AK304" i="11"/>
  <c r="AI41" i="11"/>
  <c r="BR52" i="11" s="1"/>
  <c r="K25" i="20" s="1"/>
  <c r="AI53" i="11"/>
  <c r="BR64" i="11" s="1"/>
  <c r="L25" i="20" s="1"/>
  <c r="AI89" i="11"/>
  <c r="BR100" i="11" s="1"/>
  <c r="O25" i="20" s="1"/>
  <c r="AI161" i="11"/>
  <c r="BR172" i="11" s="1"/>
  <c r="U25" i="20" s="1"/>
  <c r="AI173" i="11"/>
  <c r="BR184" i="11" s="1"/>
  <c r="V25" i="20" s="1"/>
  <c r="AI185" i="11"/>
  <c r="BR196" i="11" s="1"/>
  <c r="W25" i="20" s="1"/>
  <c r="AI197" i="11"/>
  <c r="BR208" i="11" s="1"/>
  <c r="X25" i="20" s="1"/>
  <c r="AI209" i="11"/>
  <c r="BR220" i="11" s="1"/>
  <c r="Y25" i="20" s="1"/>
  <c r="AI221" i="11"/>
  <c r="BR232" i="11" s="1"/>
  <c r="Z25" i="20" s="1"/>
  <c r="AI233" i="11"/>
  <c r="BR244" i="11" s="1"/>
  <c r="AA25" i="20" s="1"/>
  <c r="AI245" i="11"/>
  <c r="BR256" i="11" s="1"/>
  <c r="AB25" i="20" s="1"/>
  <c r="AI257" i="11"/>
  <c r="BR268" i="11" s="1"/>
  <c r="AC25" i="20" s="1"/>
  <c r="AI269" i="11"/>
  <c r="BR280" i="11" s="1"/>
  <c r="AD25" i="20" s="1"/>
  <c r="AI281" i="11"/>
  <c r="BR292" i="11" s="1"/>
  <c r="AE25" i="20" s="1"/>
  <c r="AI293" i="11"/>
  <c r="BR304" i="11" s="1"/>
  <c r="AF25" i="20" s="1"/>
  <c r="AK8" i="11"/>
  <c r="AK16" i="11"/>
  <c r="AK24" i="11"/>
  <c r="AK32" i="11"/>
  <c r="AK40" i="11"/>
  <c r="AK48" i="11"/>
  <c r="AK56" i="11"/>
  <c r="AK64" i="11"/>
  <c r="AK72" i="11"/>
  <c r="AK80" i="11"/>
  <c r="AK88" i="11"/>
  <c r="AK96" i="11"/>
  <c r="AK104" i="11"/>
  <c r="AK112" i="11"/>
  <c r="AK120" i="11"/>
  <c r="AK128" i="11"/>
  <c r="AK136" i="11"/>
  <c r="AK144" i="11"/>
  <c r="AK152" i="11"/>
  <c r="AK160" i="11"/>
  <c r="AK168" i="11"/>
  <c r="AK176" i="11"/>
  <c r="AK184" i="11"/>
  <c r="AK192" i="11"/>
  <c r="AK200" i="11"/>
  <c r="AK208" i="11"/>
  <c r="AK216" i="11"/>
  <c r="AI5" i="11"/>
  <c r="BR16" i="11" s="1"/>
  <c r="H25" i="20" s="1"/>
  <c r="AI137" i="11"/>
  <c r="BR148" i="11" s="1"/>
  <c r="S25" i="20" s="1"/>
  <c r="AI149" i="11"/>
  <c r="BR160" i="11" s="1"/>
  <c r="T25" i="20" s="1"/>
  <c r="AK5" i="11"/>
  <c r="AK13" i="11"/>
  <c r="AK21" i="11"/>
  <c r="AK29" i="11"/>
  <c r="AK37" i="11"/>
  <c r="AK45" i="11"/>
  <c r="AK53" i="11"/>
  <c r="AK61" i="11"/>
  <c r="AK69" i="11"/>
  <c r="AK77" i="11"/>
  <c r="AK85" i="11"/>
  <c r="AK93" i="11"/>
  <c r="AK101" i="11"/>
  <c r="AK109" i="11"/>
  <c r="AK117" i="11"/>
  <c r="AK125" i="11"/>
  <c r="AK133" i="11"/>
  <c r="AK141" i="11"/>
  <c r="AK149" i="11"/>
  <c r="AK157" i="11"/>
  <c r="AK165" i="11"/>
  <c r="AK173" i="11"/>
  <c r="AK181" i="11"/>
  <c r="AK189" i="11"/>
  <c r="AK197" i="11"/>
  <c r="AK205" i="11"/>
  <c r="AK213" i="11"/>
  <c r="AK221" i="11"/>
  <c r="AK229" i="11"/>
  <c r="AK237" i="11"/>
  <c r="AK245" i="11"/>
  <c r="AK253" i="11"/>
  <c r="AK261" i="11"/>
  <c r="AK269" i="11"/>
  <c r="AK277" i="11"/>
  <c r="AK285" i="11"/>
  <c r="AK293" i="11"/>
  <c r="AK301" i="11"/>
  <c r="AJ89" i="11"/>
  <c r="BS100" i="11" s="1"/>
  <c r="O26" i="20" s="1"/>
  <c r="AJ101" i="11"/>
  <c r="BS112" i="11" s="1"/>
  <c r="P26" i="20" s="1"/>
  <c r="AJ137" i="11"/>
  <c r="BS148" i="11" s="1"/>
  <c r="S26" i="20" s="1"/>
  <c r="AJ149" i="11"/>
  <c r="BS160" i="11" s="1"/>
  <c r="T26" i="20" s="1"/>
  <c r="AJ161" i="11"/>
  <c r="BS172" i="11" s="1"/>
  <c r="U26" i="20" s="1"/>
  <c r="AJ185" i="11"/>
  <c r="BS196" i="11" s="1"/>
  <c r="W26" i="20" s="1"/>
  <c r="AJ197" i="11"/>
  <c r="BS208" i="11" s="1"/>
  <c r="X26" i="20" s="1"/>
  <c r="AJ209" i="11"/>
  <c r="BS220" i="11" s="1"/>
  <c r="Y26" i="20" s="1"/>
  <c r="AJ221" i="11"/>
  <c r="BS232" i="11" s="1"/>
  <c r="Z26" i="20" s="1"/>
  <c r="AJ244" i="11"/>
  <c r="BS244" i="11" s="1"/>
  <c r="AA26" i="20" s="1"/>
  <c r="AJ245" i="11"/>
  <c r="BS256" i="11" s="1"/>
  <c r="AB26" i="20" s="1"/>
  <c r="AJ257" i="11"/>
  <c r="BS268" i="11" s="1"/>
  <c r="AC26" i="20" s="1"/>
  <c r="AJ269" i="11"/>
  <c r="BS280" i="11" s="1"/>
  <c r="AD26" i="20" s="1"/>
  <c r="AJ281" i="11"/>
  <c r="BS292" i="11" s="1"/>
  <c r="AE26" i="20" s="1"/>
  <c r="AJ304" i="11"/>
  <c r="BS304" i="11" s="1"/>
  <c r="AF26" i="20" s="1"/>
  <c r="AK10" i="11"/>
  <c r="AK18" i="11"/>
  <c r="AK26" i="11"/>
  <c r="AK34" i="11"/>
  <c r="AK42" i="11"/>
  <c r="AK50" i="11"/>
  <c r="AK58" i="11"/>
  <c r="AK66" i="11"/>
  <c r="AK74" i="11"/>
  <c r="AK82" i="11"/>
  <c r="AK90" i="11"/>
  <c r="AK98" i="11"/>
  <c r="AK106" i="11"/>
  <c r="AK114" i="11"/>
  <c r="AK122" i="11"/>
  <c r="AK130" i="11"/>
  <c r="AK138" i="11"/>
  <c r="AK146" i="11"/>
  <c r="AK154" i="11"/>
  <c r="AK162" i="11"/>
  <c r="AK170" i="11"/>
  <c r="AK178" i="11"/>
  <c r="AK186" i="11"/>
  <c r="AK194" i="11"/>
  <c r="AK202" i="11"/>
  <c r="AK210" i="11"/>
  <c r="AK218" i="11"/>
  <c r="AK226" i="11"/>
  <c r="AK234" i="11"/>
  <c r="AK242" i="11"/>
  <c r="AK250" i="11"/>
  <c r="AK258" i="11"/>
  <c r="AK266" i="11"/>
  <c r="AK274" i="11"/>
  <c r="AK282" i="11"/>
  <c r="AK290" i="11"/>
  <c r="AK298" i="11"/>
  <c r="AI65" i="11"/>
  <c r="BR76" i="11" s="1"/>
  <c r="M25" i="20" s="1"/>
  <c r="AI101" i="11"/>
  <c r="BR112" i="11" s="1"/>
  <c r="P25" i="20" s="1"/>
  <c r="AL5" i="11"/>
  <c r="BU16" i="11" s="1"/>
  <c r="H28" i="20" s="1"/>
  <c r="AL101" i="11"/>
  <c r="BU112" i="11" s="1"/>
  <c r="P28" i="20" s="1"/>
  <c r="AL125" i="11"/>
  <c r="BU136" i="11" s="1"/>
  <c r="R28" i="20" s="1"/>
  <c r="AL137" i="11"/>
  <c r="BU148" i="11" s="1"/>
  <c r="S28" i="20" s="1"/>
  <c r="AL149" i="11"/>
  <c r="BU160" i="11" s="1"/>
  <c r="T28" i="20" s="1"/>
  <c r="AL161" i="11"/>
  <c r="BU172" i="11" s="1"/>
  <c r="U28" i="20" s="1"/>
  <c r="AL173" i="11"/>
  <c r="BU184" i="11" s="1"/>
  <c r="V28" i="20" s="1"/>
  <c r="AL185" i="11"/>
  <c r="BU196" i="11" s="1"/>
  <c r="W28" i="20" s="1"/>
  <c r="AL197" i="11"/>
  <c r="BU208" i="11" s="1"/>
  <c r="X28" i="20" s="1"/>
  <c r="AL209" i="11"/>
  <c r="BU220" i="11" s="1"/>
  <c r="Y28" i="20" s="1"/>
  <c r="AL221" i="11"/>
  <c r="BU232" i="11" s="1"/>
  <c r="Z28" i="20" s="1"/>
  <c r="AL233" i="11"/>
  <c r="BU244" i="11" s="1"/>
  <c r="AA28" i="20" s="1"/>
  <c r="AL245" i="11"/>
  <c r="BU256" i="11" s="1"/>
  <c r="AB28" i="20" s="1"/>
  <c r="AL257" i="11"/>
  <c r="BU268" i="11" s="1"/>
  <c r="AC28" i="20" s="1"/>
  <c r="AL269" i="11"/>
  <c r="BU280" i="11" s="1"/>
  <c r="AD28" i="20" s="1"/>
  <c r="AL281" i="11"/>
  <c r="BU292" i="11" s="1"/>
  <c r="AE28" i="20" s="1"/>
  <c r="AL293" i="11"/>
  <c r="BU304" i="11" s="1"/>
  <c r="AF28" i="20" s="1"/>
  <c r="AK7" i="11"/>
  <c r="AK15" i="11"/>
  <c r="AK23" i="11"/>
  <c r="AK31" i="11"/>
  <c r="AK39" i="11"/>
  <c r="AK47" i="11"/>
  <c r="AK55" i="11"/>
  <c r="AK63" i="11"/>
  <c r="AK71" i="11"/>
  <c r="AK79" i="11"/>
  <c r="AK87" i="11"/>
  <c r="AK95" i="11"/>
  <c r="AK103" i="11"/>
  <c r="AK111" i="11"/>
  <c r="AK119" i="11"/>
  <c r="AK127" i="11"/>
  <c r="AK135" i="11"/>
  <c r="AK143" i="11"/>
  <c r="AK151" i="11"/>
  <c r="AK159" i="11"/>
  <c r="AK167" i="11"/>
  <c r="AK175" i="11"/>
  <c r="AK183" i="11"/>
  <c r="AK191" i="11"/>
  <c r="AK199" i="11"/>
  <c r="AK207" i="11"/>
  <c r="AK215" i="11"/>
  <c r="AK223" i="11"/>
  <c r="AK231" i="11"/>
  <c r="AK239" i="11"/>
  <c r="AK247" i="11"/>
  <c r="AK255" i="11"/>
  <c r="AK263" i="11"/>
  <c r="AK271" i="11"/>
  <c r="AK279" i="11"/>
  <c r="AK287" i="11"/>
  <c r="AK295" i="11"/>
  <c r="AK303" i="11"/>
  <c r="AI29" i="11"/>
  <c r="BR40" i="11" s="1"/>
  <c r="J25" i="20" s="1"/>
  <c r="AJ125" i="11"/>
  <c r="BS136" i="11" s="1"/>
  <c r="R26" i="20" s="1"/>
  <c r="AL41" i="11"/>
  <c r="BU52" i="11" s="1"/>
  <c r="K28" i="20" s="1"/>
  <c r="AL65" i="11"/>
  <c r="BU76" i="11" s="1"/>
  <c r="M28" i="20" s="1"/>
  <c r="AL89" i="11"/>
  <c r="BU100" i="11" s="1"/>
  <c r="O28" i="20" s="1"/>
  <c r="AK12" i="11"/>
  <c r="AK20" i="11"/>
  <c r="AK28" i="11"/>
  <c r="AK36" i="11"/>
  <c r="AK44" i="11"/>
  <c r="AK52" i="11"/>
  <c r="AK60" i="11"/>
  <c r="AK68" i="11"/>
  <c r="AK76" i="11"/>
  <c r="AK84" i="11"/>
  <c r="AK92" i="11"/>
  <c r="AK100" i="11"/>
  <c r="AK108" i="11"/>
  <c r="AK116" i="11"/>
  <c r="AK124" i="11"/>
  <c r="AK132" i="11"/>
  <c r="AK140" i="11"/>
  <c r="AK148" i="11"/>
  <c r="AK156" i="11"/>
  <c r="AK164" i="11"/>
  <c r="AK172" i="11"/>
  <c r="AK180" i="11"/>
  <c r="AK188" i="11"/>
  <c r="AK196" i="11"/>
  <c r="AK204" i="11"/>
  <c r="AK212" i="11"/>
  <c r="AK220" i="11"/>
  <c r="AK228" i="11"/>
  <c r="AK236" i="11"/>
  <c r="AK244" i="11"/>
  <c r="AK252" i="11"/>
  <c r="AK260" i="11"/>
  <c r="AK268" i="11"/>
  <c r="AK276" i="11"/>
  <c r="AK284" i="11"/>
  <c r="AK292" i="11"/>
  <c r="AK300" i="11"/>
  <c r="AI17" i="11"/>
  <c r="BR28" i="11" s="1"/>
  <c r="I25" i="20" s="1"/>
  <c r="AL17" i="11"/>
  <c r="BU28" i="11" s="1"/>
  <c r="I28" i="20" s="1"/>
  <c r="AL53" i="11"/>
  <c r="BU64" i="11" s="1"/>
  <c r="L28" i="20" s="1"/>
  <c r="AL77" i="11"/>
  <c r="BU88" i="11" s="1"/>
  <c r="N28" i="20" s="1"/>
  <c r="AL113" i="11"/>
  <c r="BU124" i="11" s="1"/>
  <c r="Q28" i="20" s="1"/>
  <c r="AK9" i="11"/>
  <c r="AK17" i="11"/>
  <c r="AK25" i="11"/>
  <c r="AK33" i="11"/>
  <c r="AK41" i="11"/>
  <c r="AK49" i="11"/>
  <c r="AK57" i="11"/>
  <c r="AK65" i="11"/>
  <c r="AK73" i="11"/>
  <c r="AK81" i="11"/>
  <c r="AK89" i="11"/>
  <c r="AK97" i="11"/>
  <c r="AK105" i="11"/>
  <c r="AK113" i="11"/>
  <c r="AK121" i="11"/>
  <c r="AK129" i="11"/>
  <c r="AK137" i="11"/>
  <c r="AK145" i="11"/>
  <c r="AK153" i="11"/>
  <c r="AK161" i="11"/>
  <c r="AK169" i="11"/>
  <c r="AK177" i="11"/>
  <c r="AK185" i="11"/>
  <c r="AK193" i="11"/>
  <c r="AK201" i="11"/>
  <c r="AK209" i="11"/>
  <c r="AK217" i="11"/>
  <c r="AK225" i="11"/>
  <c r="AK233" i="11"/>
  <c r="AK241" i="11"/>
  <c r="AK249" i="11"/>
  <c r="AK257" i="11"/>
  <c r="AK265" i="11"/>
  <c r="AK273" i="11"/>
  <c r="AK281" i="11"/>
  <c r="AK289" i="11"/>
  <c r="AK297" i="11"/>
  <c r="AI77" i="11"/>
  <c r="BR88" i="11" s="1"/>
  <c r="N25" i="20" s="1"/>
  <c r="AI125" i="11"/>
  <c r="BR136" i="11" s="1"/>
  <c r="R25" i="20" s="1"/>
  <c r="AJ77" i="11"/>
  <c r="BS88" i="11" s="1"/>
  <c r="N26" i="20" s="1"/>
  <c r="AK6" i="11"/>
  <c r="AK14" i="11"/>
  <c r="AK22" i="11"/>
  <c r="AK30" i="11"/>
  <c r="AK38" i="11"/>
  <c r="AK46" i="11"/>
  <c r="AK54" i="11"/>
  <c r="AK62" i="11"/>
  <c r="AK70" i="11"/>
  <c r="AK78" i="11"/>
  <c r="AK86" i="11"/>
  <c r="AK94" i="11"/>
  <c r="AK102" i="11"/>
  <c r="AK110" i="11"/>
  <c r="AK118" i="11"/>
  <c r="AK126" i="11"/>
  <c r="AK134" i="11"/>
  <c r="AK142" i="11"/>
  <c r="AK150" i="11"/>
  <c r="AK158" i="11"/>
  <c r="AK166" i="11"/>
  <c r="AK174" i="11"/>
  <c r="AK182" i="11"/>
  <c r="AK190" i="11"/>
  <c r="AK198" i="11"/>
  <c r="AK206" i="11"/>
  <c r="AK214" i="11"/>
  <c r="AK222" i="11"/>
  <c r="AK230" i="11"/>
  <c r="AK238" i="11"/>
  <c r="AK246" i="11"/>
  <c r="AK254" i="11"/>
  <c r="AK262" i="11"/>
  <c r="AK270" i="11"/>
  <c r="AK278" i="11"/>
  <c r="AK286" i="11"/>
  <c r="AK294" i="11"/>
  <c r="AK302" i="11"/>
  <c r="AI113" i="11"/>
  <c r="BR124" i="11" s="1"/>
  <c r="Q25" i="20" s="1"/>
  <c r="AJ16" i="11"/>
  <c r="BS16" i="11" s="1"/>
  <c r="H26" i="20" s="1"/>
  <c r="AK11" i="11"/>
  <c r="AK19" i="11"/>
  <c r="AK27" i="11"/>
  <c r="AK35" i="11"/>
  <c r="AK43" i="11"/>
  <c r="AK51" i="11"/>
  <c r="AK59" i="11"/>
  <c r="AK67" i="11"/>
  <c r="AK75" i="11"/>
  <c r="AK83" i="11"/>
  <c r="AK91" i="11"/>
  <c r="AK99" i="11"/>
  <c r="AK107" i="11"/>
  <c r="AK115" i="11"/>
  <c r="AK123" i="11"/>
  <c r="AK131" i="11"/>
  <c r="AK139" i="11"/>
  <c r="AK147" i="11"/>
  <c r="AK155" i="11"/>
  <c r="AK163" i="11"/>
  <c r="AK171" i="11"/>
  <c r="AK179" i="11"/>
  <c r="AK187" i="11"/>
  <c r="AK195" i="11"/>
  <c r="AK203" i="11"/>
  <c r="AK211" i="11"/>
  <c r="AK219" i="11"/>
  <c r="AK227" i="11"/>
  <c r="AK235" i="11"/>
  <c r="AK243" i="11"/>
  <c r="AK251" i="11"/>
  <c r="AK259" i="11"/>
  <c r="AK267" i="11"/>
  <c r="AK275" i="11"/>
  <c r="AK283" i="11"/>
  <c r="AK291" i="11"/>
  <c r="AK299" i="11"/>
  <c r="BQ28" i="11"/>
  <c r="I24" i="20" s="1"/>
  <c r="BQ52" i="11"/>
  <c r="K24" i="20" s="1"/>
  <c r="BQ76" i="11"/>
  <c r="M24" i="20" s="1"/>
  <c r="BQ100" i="11"/>
  <c r="O24" i="20" s="1"/>
  <c r="BQ124" i="11"/>
  <c r="Q24" i="20" s="1"/>
  <c r="BQ148" i="11"/>
  <c r="S24" i="20" s="1"/>
  <c r="BQ172" i="11"/>
  <c r="U24" i="20" s="1"/>
  <c r="BQ196" i="11"/>
  <c r="W24" i="20" s="1"/>
  <c r="BQ220" i="11"/>
  <c r="Y24" i="20" s="1"/>
  <c r="BQ244" i="11"/>
  <c r="AA24" i="20" s="1"/>
  <c r="BQ268" i="11"/>
  <c r="AC24" i="20" s="1"/>
  <c r="BQ292" i="11"/>
  <c r="AE24" i="20" s="1"/>
  <c r="BP16" i="11"/>
  <c r="H23" i="20" s="1"/>
  <c r="BP40" i="11"/>
  <c r="J23" i="20" s="1"/>
  <c r="BP64" i="11"/>
  <c r="L23" i="20" s="1"/>
  <c r="BP88" i="11"/>
  <c r="N23" i="20" s="1"/>
  <c r="BP112" i="11"/>
  <c r="P23" i="20" s="1"/>
  <c r="BP136" i="11"/>
  <c r="R23" i="20" s="1"/>
  <c r="BP160" i="11"/>
  <c r="T23" i="20" s="1"/>
  <c r="BQ16" i="11"/>
  <c r="H24" i="20" s="1"/>
  <c r="BQ40" i="11"/>
  <c r="J24" i="20" s="1"/>
  <c r="BQ64" i="11"/>
  <c r="L24" i="20" s="1"/>
  <c r="BQ88" i="11"/>
  <c r="N24" i="20" s="1"/>
  <c r="BQ112" i="11"/>
  <c r="P24" i="20" s="1"/>
  <c r="BQ136" i="11"/>
  <c r="R24" i="20" s="1"/>
  <c r="BQ160" i="11"/>
  <c r="T24" i="20" s="1"/>
  <c r="BQ184" i="11"/>
  <c r="V24" i="20" s="1"/>
  <c r="BQ208" i="11"/>
  <c r="X24" i="20" s="1"/>
  <c r="BQ232" i="11"/>
  <c r="Z24" i="20" s="1"/>
  <c r="BQ256" i="11"/>
  <c r="AB24" i="20" s="1"/>
  <c r="BQ280" i="11"/>
  <c r="AD24" i="20" s="1"/>
  <c r="BQ304" i="11"/>
  <c r="AF24" i="20" s="1"/>
  <c r="BP28" i="11"/>
  <c r="I23" i="20" s="1"/>
  <c r="BP52" i="11"/>
  <c r="K23" i="20" s="1"/>
  <c r="BP76" i="11"/>
  <c r="M23" i="20" s="1"/>
  <c r="BP100" i="11"/>
  <c r="O23" i="20" s="1"/>
  <c r="BP124" i="11"/>
  <c r="Q23" i="20" s="1"/>
  <c r="BP184" i="11"/>
  <c r="V23" i="20" s="1"/>
  <c r="BP208" i="11"/>
  <c r="X23" i="20" s="1"/>
  <c r="BP232" i="11"/>
  <c r="Z23" i="20" s="1"/>
  <c r="BP256" i="11"/>
  <c r="AB23" i="20" s="1"/>
  <c r="BP280" i="11"/>
  <c r="AD23" i="20" s="1"/>
  <c r="BP304" i="11"/>
  <c r="AF23" i="20" s="1"/>
  <c r="BP148" i="11"/>
  <c r="S23" i="20" s="1"/>
  <c r="BP172" i="11"/>
  <c r="U23" i="20" s="1"/>
  <c r="BP196" i="11"/>
  <c r="W23" i="20" s="1"/>
  <c r="BP220" i="11"/>
  <c r="Y23" i="20" s="1"/>
  <c r="BP244" i="11"/>
  <c r="AA23" i="20" s="1"/>
  <c r="BP268" i="11"/>
  <c r="AC23" i="20" s="1"/>
  <c r="BP292" i="11"/>
  <c r="AE23" i="20" s="1"/>
  <c r="BU40" i="11"/>
  <c r="J28" i="20" s="1"/>
  <c r="BS76" i="11"/>
  <c r="M26" i="20" s="1"/>
  <c r="R74" i="19"/>
  <c r="AP487" i="7"/>
  <c r="BR40" i="7"/>
  <c r="R38" i="19" s="1"/>
  <c r="BR184" i="7"/>
  <c r="R182" i="19" s="1"/>
  <c r="AO487" i="7"/>
  <c r="R86" i="19"/>
  <c r="R98" i="19"/>
  <c r="R110" i="19"/>
  <c r="R134" i="19"/>
  <c r="R146" i="19"/>
  <c r="R158" i="19"/>
  <c r="R170" i="19"/>
  <c r="R194" i="19"/>
  <c r="R206" i="19"/>
  <c r="R218" i="19"/>
  <c r="R242" i="19"/>
  <c r="R254" i="19"/>
  <c r="R266" i="19"/>
  <c r="R278" i="19"/>
  <c r="R290" i="19"/>
  <c r="R302" i="19"/>
  <c r="R230" i="19"/>
  <c r="R14" i="19"/>
  <c r="BT64" i="7"/>
  <c r="R62" i="19" s="1"/>
  <c r="BS52" i="7"/>
  <c r="R50" i="19" s="1"/>
  <c r="BQ124" i="7"/>
  <c r="R122" i="19" s="1"/>
  <c r="BQ28" i="7"/>
  <c r="R26" i="19" s="1"/>
  <c r="P254" i="19"/>
  <c r="P278" i="19"/>
  <c r="P302" i="19"/>
  <c r="Q254" i="19"/>
  <c r="Q278" i="19"/>
  <c r="Q302" i="19"/>
  <c r="P266" i="19"/>
  <c r="P290" i="19"/>
  <c r="Q266" i="19"/>
  <c r="Q290" i="19"/>
  <c r="Q134" i="19"/>
  <c r="Q158" i="19"/>
  <c r="Q182" i="19"/>
  <c r="Q206" i="19"/>
  <c r="Q230" i="19"/>
  <c r="P146" i="19"/>
  <c r="P170" i="19"/>
  <c r="P194" i="19"/>
  <c r="P218" i="19"/>
  <c r="P242" i="19"/>
  <c r="Q146" i="19"/>
  <c r="Q170" i="19"/>
  <c r="Q194" i="19"/>
  <c r="Q218" i="19"/>
  <c r="Q242" i="19"/>
  <c r="P134" i="19"/>
  <c r="P158" i="19"/>
  <c r="P182" i="19"/>
  <c r="P206" i="19"/>
  <c r="P230" i="19"/>
  <c r="Q86" i="19"/>
  <c r="Q110" i="19"/>
  <c r="P74" i="19"/>
  <c r="Q98" i="19"/>
  <c r="Q122" i="19"/>
  <c r="P26" i="19"/>
  <c r="Q14" i="19"/>
  <c r="P86" i="19"/>
  <c r="P98" i="19"/>
  <c r="P110" i="19"/>
  <c r="P122" i="19"/>
  <c r="P62" i="19"/>
  <c r="Q74" i="19"/>
  <c r="P50" i="19"/>
  <c r="Q62" i="19"/>
  <c r="P38" i="19"/>
  <c r="Q50" i="19"/>
  <c r="P14" i="19"/>
  <c r="Q38" i="19"/>
  <c r="Q26" i="19"/>
  <c r="O5" i="7"/>
  <c r="CH4" i="7"/>
  <c r="CI4" i="7" s="1"/>
  <c r="Y5" i="7"/>
  <c r="O19" i="7"/>
  <c r="O23" i="7"/>
  <c r="O27" i="7"/>
  <c r="O42" i="7"/>
  <c r="O46" i="7"/>
  <c r="O50" i="7"/>
  <c r="O65" i="7"/>
  <c r="O69" i="7"/>
  <c r="O73" i="7"/>
  <c r="O15" i="7"/>
  <c r="O30" i="7"/>
  <c r="O38" i="7"/>
  <c r="O53" i="7"/>
  <c r="O57" i="7"/>
  <c r="O61" i="7"/>
  <c r="O80" i="7"/>
  <c r="O84" i="7"/>
  <c r="O88" i="7"/>
  <c r="O92" i="7"/>
  <c r="O96" i="7"/>
  <c r="O100" i="7"/>
  <c r="O104" i="7"/>
  <c r="O108" i="7"/>
  <c r="O112" i="7"/>
  <c r="O116" i="7"/>
  <c r="O120" i="7"/>
  <c r="O124" i="7"/>
  <c r="O128" i="7"/>
  <c r="O132" i="7"/>
  <c r="O136" i="7"/>
  <c r="O140" i="7"/>
  <c r="O144" i="7"/>
  <c r="O148" i="7"/>
  <c r="O152" i="7"/>
  <c r="O156" i="7"/>
  <c r="O160" i="7"/>
  <c r="O164" i="7"/>
  <c r="O168" i="7"/>
  <c r="O172" i="7"/>
  <c r="O176" i="7"/>
  <c r="O180" i="7"/>
  <c r="O184" i="7"/>
  <c r="O188" i="7"/>
  <c r="O192" i="7"/>
  <c r="O196" i="7"/>
  <c r="O200" i="7"/>
  <c r="O204" i="7"/>
  <c r="O208" i="7"/>
  <c r="O212" i="7"/>
  <c r="O216" i="7"/>
  <c r="O220" i="7"/>
  <c r="O224" i="7"/>
  <c r="O228" i="7"/>
  <c r="O232" i="7"/>
  <c r="O236" i="7"/>
  <c r="O240" i="7"/>
  <c r="O244" i="7"/>
  <c r="O248" i="7"/>
  <c r="O252" i="7"/>
  <c r="O256" i="7"/>
  <c r="O260" i="7"/>
  <c r="O264" i="7"/>
  <c r="O268" i="7"/>
  <c r="O272" i="7"/>
  <c r="O276" i="7"/>
  <c r="O280" i="7"/>
  <c r="O284" i="7"/>
  <c r="O288" i="7"/>
  <c r="O292" i="7"/>
  <c r="O296" i="7"/>
  <c r="O300" i="7"/>
  <c r="O304" i="7"/>
  <c r="O7" i="7"/>
  <c r="O18" i="7"/>
  <c r="O22" i="7"/>
  <c r="O26" i="7"/>
  <c r="O41" i="7"/>
  <c r="O45" i="7"/>
  <c r="O49" i="7"/>
  <c r="O68" i="7"/>
  <c r="O72" i="7"/>
  <c r="O76" i="7"/>
  <c r="O11" i="7"/>
  <c r="O6" i="7"/>
  <c r="O10" i="7"/>
  <c r="O14" i="7"/>
  <c r="O29" i="7"/>
  <c r="O33" i="7"/>
  <c r="O37" i="7"/>
  <c r="O56" i="7"/>
  <c r="O60" i="7"/>
  <c r="O64" i="7"/>
  <c r="O79" i="7"/>
  <c r="O83" i="7"/>
  <c r="O87" i="7"/>
  <c r="O91" i="7"/>
  <c r="O95" i="7"/>
  <c r="O99" i="7"/>
  <c r="O103" i="7"/>
  <c r="O107" i="7"/>
  <c r="O111" i="7"/>
  <c r="O115" i="7"/>
  <c r="O119" i="7"/>
  <c r="O123" i="7"/>
  <c r="O127" i="7"/>
  <c r="O131" i="7"/>
  <c r="O135" i="7"/>
  <c r="O139" i="7"/>
  <c r="O143" i="7"/>
  <c r="O147" i="7"/>
  <c r="O151" i="7"/>
  <c r="O155" i="7"/>
  <c r="O159" i="7"/>
  <c r="O163" i="7"/>
  <c r="O167" i="7"/>
  <c r="O171" i="7"/>
  <c r="O175" i="7"/>
  <c r="O179" i="7"/>
  <c r="O183" i="7"/>
  <c r="O187" i="7"/>
  <c r="O191" i="7"/>
  <c r="O195" i="7"/>
  <c r="O199" i="7"/>
  <c r="O203" i="7"/>
  <c r="O207" i="7"/>
  <c r="O211" i="7"/>
  <c r="O215" i="7"/>
  <c r="O219" i="7"/>
  <c r="O223" i="7"/>
  <c r="O227" i="7"/>
  <c r="O231" i="7"/>
  <c r="O235" i="7"/>
  <c r="O239" i="7"/>
  <c r="O243" i="7"/>
  <c r="O247" i="7"/>
  <c r="O251" i="7"/>
  <c r="O255" i="7"/>
  <c r="O259" i="7"/>
  <c r="O263" i="7"/>
  <c r="O267" i="7"/>
  <c r="O271" i="7"/>
  <c r="O275" i="7"/>
  <c r="O279" i="7"/>
  <c r="O283" i="7"/>
  <c r="O287" i="7"/>
  <c r="O291" i="7"/>
  <c r="O295" i="7"/>
  <c r="O299" i="7"/>
  <c r="O303" i="7"/>
  <c r="O17" i="7"/>
  <c r="O21" i="7"/>
  <c r="O25" i="7"/>
  <c r="O48" i="7"/>
  <c r="O52" i="7"/>
  <c r="O67" i="7"/>
  <c r="O71" i="7"/>
  <c r="O75" i="7"/>
  <c r="O9" i="7"/>
  <c r="O13" i="7"/>
  <c r="O32" i="7"/>
  <c r="O36" i="7"/>
  <c r="O40" i="7"/>
  <c r="O55" i="7"/>
  <c r="O59" i="7"/>
  <c r="O63" i="7"/>
  <c r="O78" i="7"/>
  <c r="O82" i="7"/>
  <c r="O86" i="7"/>
  <c r="O90" i="7"/>
  <c r="O94" i="7"/>
  <c r="O98" i="7"/>
  <c r="O102" i="7"/>
  <c r="O106" i="7"/>
  <c r="O110" i="7"/>
  <c r="O114" i="7"/>
  <c r="O118" i="7"/>
  <c r="O122" i="7"/>
  <c r="O126" i="7"/>
  <c r="O130" i="7"/>
  <c r="O134" i="7"/>
  <c r="O138" i="7"/>
  <c r="O142" i="7"/>
  <c r="O146" i="7"/>
  <c r="O150" i="7"/>
  <c r="O154" i="7"/>
  <c r="O158" i="7"/>
  <c r="O162" i="7"/>
  <c r="O166" i="7"/>
  <c r="O170" i="7"/>
  <c r="O174" i="7"/>
  <c r="O178" i="7"/>
  <c r="O182" i="7"/>
  <c r="O186" i="7"/>
  <c r="O190" i="7"/>
  <c r="O194" i="7"/>
  <c r="O198" i="7"/>
  <c r="O202" i="7"/>
  <c r="O206" i="7"/>
  <c r="O210" i="7"/>
  <c r="O214" i="7"/>
  <c r="O218" i="7"/>
  <c r="O222" i="7"/>
  <c r="O226" i="7"/>
  <c r="O230" i="7"/>
  <c r="O234" i="7"/>
  <c r="O238" i="7"/>
  <c r="O242" i="7"/>
  <c r="O246" i="7"/>
  <c r="O250" i="7"/>
  <c r="O254" i="7"/>
  <c r="O258" i="7"/>
  <c r="O262" i="7"/>
  <c r="O266" i="7"/>
  <c r="O270" i="7"/>
  <c r="O274" i="7"/>
  <c r="O278" i="7"/>
  <c r="O282" i="7"/>
  <c r="O286" i="7"/>
  <c r="O290" i="7"/>
  <c r="O294" i="7"/>
  <c r="O298" i="7"/>
  <c r="O302" i="7"/>
  <c r="O20" i="7"/>
  <c r="O24" i="7"/>
  <c r="O28" i="7"/>
  <c r="O43" i="7"/>
  <c r="O47" i="7"/>
  <c r="O51" i="7"/>
  <c r="O66" i="7"/>
  <c r="O70" i="7"/>
  <c r="O74" i="7"/>
  <c r="O8" i="7"/>
  <c r="O12" i="7"/>
  <c r="O16" i="7"/>
  <c r="O31" i="7"/>
  <c r="O35" i="7"/>
  <c r="O39" i="7"/>
  <c r="O54" i="7"/>
  <c r="O58" i="7"/>
  <c r="O62" i="7"/>
  <c r="O77" i="7"/>
  <c r="O81" i="7"/>
  <c r="O85" i="7"/>
  <c r="O89" i="7"/>
  <c r="O93" i="7"/>
  <c r="O97" i="7"/>
  <c r="O101" i="7"/>
  <c r="O105" i="7"/>
  <c r="O109" i="7"/>
  <c r="O113" i="7"/>
  <c r="O117" i="7"/>
  <c r="O121" i="7"/>
  <c r="O125" i="7"/>
  <c r="O129" i="7"/>
  <c r="O133" i="7"/>
  <c r="O137" i="7"/>
  <c r="O141" i="7"/>
  <c r="O145" i="7"/>
  <c r="O149" i="7"/>
  <c r="O153" i="7"/>
  <c r="O157" i="7"/>
  <c r="O161" i="7"/>
  <c r="O165" i="7"/>
  <c r="O169" i="7"/>
  <c r="O173" i="7"/>
  <c r="O177" i="7"/>
  <c r="O181" i="7"/>
  <c r="O185" i="7"/>
  <c r="O189" i="7"/>
  <c r="O193" i="7"/>
  <c r="O197" i="7"/>
  <c r="O201" i="7"/>
  <c r="O205" i="7"/>
  <c r="O209" i="7"/>
  <c r="O213" i="7"/>
  <c r="O217" i="7"/>
  <c r="O221" i="7"/>
  <c r="O225" i="7"/>
  <c r="O229" i="7"/>
  <c r="O233" i="7"/>
  <c r="O237" i="7"/>
  <c r="O241" i="7"/>
  <c r="O245" i="7"/>
  <c r="O249" i="7"/>
  <c r="O253" i="7"/>
  <c r="O257" i="7"/>
  <c r="O261" i="7"/>
  <c r="O265" i="7"/>
  <c r="O269" i="7"/>
  <c r="O273" i="7"/>
  <c r="O277" i="7"/>
  <c r="O281" i="7"/>
  <c r="O285" i="7"/>
  <c r="O289" i="7"/>
  <c r="O293" i="7"/>
  <c r="O297" i="7"/>
  <c r="O301" i="7"/>
  <c r="G44" i="6"/>
  <c r="E10" i="3"/>
  <c r="G37" i="1"/>
  <c r="G35" i="1"/>
  <c r="B154" i="3"/>
  <c r="P26" i="6"/>
  <c r="G46" i="6"/>
  <c r="P18" i="1"/>
  <c r="F59" i="6"/>
  <c r="E10" i="9"/>
  <c r="G32" i="1"/>
  <c r="D5" i="2"/>
  <c r="F5" i="2" s="1"/>
  <c r="BH16" i="7"/>
  <c r="B34" i="9"/>
  <c r="AA5" i="11" l="1"/>
  <c r="BJ16" i="11" s="1"/>
  <c r="H9" i="20" s="1"/>
  <c r="BT232" i="11"/>
  <c r="Z27" i="20" s="1"/>
  <c r="BT220" i="11"/>
  <c r="Y27" i="20" s="1"/>
  <c r="BT112" i="11"/>
  <c r="P27" i="20" s="1"/>
  <c r="BT268" i="11"/>
  <c r="AC27" i="20" s="1"/>
  <c r="BT76" i="11"/>
  <c r="M27" i="20" s="1"/>
  <c r="BT208" i="11"/>
  <c r="X27" i="20" s="1"/>
  <c r="BT16" i="11"/>
  <c r="H27" i="20" s="1"/>
  <c r="BT304" i="11"/>
  <c r="AF27" i="20" s="1"/>
  <c r="BT196" i="11"/>
  <c r="W27" i="20" s="1"/>
  <c r="BT256" i="11"/>
  <c r="AB27" i="20" s="1"/>
  <c r="BT64" i="11"/>
  <c r="L27" i="20" s="1"/>
  <c r="BT244" i="11"/>
  <c r="AA27" i="20" s="1"/>
  <c r="BT52" i="11"/>
  <c r="K27" i="20" s="1"/>
  <c r="AJ184" i="11"/>
  <c r="BS184" i="11" s="1"/>
  <c r="V26" i="20" s="1"/>
  <c r="BT184" i="11"/>
  <c r="V27" i="20" s="1"/>
  <c r="BT172" i="11"/>
  <c r="U27" i="20" s="1"/>
  <c r="BT292" i="11"/>
  <c r="AE27" i="20" s="1"/>
  <c r="BT100" i="11"/>
  <c r="O27" i="20" s="1"/>
  <c r="BT40" i="11"/>
  <c r="J27" i="20" s="1"/>
  <c r="BT136" i="11"/>
  <c r="R27" i="20" s="1"/>
  <c r="BT28" i="11"/>
  <c r="I27" i="20" s="1"/>
  <c r="BT160" i="11"/>
  <c r="T27" i="20" s="1"/>
  <c r="BT148" i="11"/>
  <c r="S27" i="20" s="1"/>
  <c r="BT124" i="11"/>
  <c r="Q27" i="20" s="1"/>
  <c r="BT280" i="11"/>
  <c r="AD27" i="20" s="1"/>
  <c r="BT88" i="11"/>
  <c r="N27" i="20" s="1"/>
  <c r="AJ124" i="11"/>
  <c r="BS124" i="11" s="1"/>
  <c r="Q26" i="20" s="1"/>
  <c r="AJ64" i="11"/>
  <c r="BS64" i="11" s="1"/>
  <c r="L26" i="20" s="1"/>
  <c r="AJ52" i="11"/>
  <c r="BS52" i="11" s="1"/>
  <c r="K26" i="20" s="1"/>
  <c r="AJ40" i="11"/>
  <c r="BS40" i="11" s="1"/>
  <c r="J26" i="20" s="1"/>
  <c r="AJ28" i="11"/>
  <c r="BS28" i="11" s="1"/>
  <c r="I26" i="20" s="1"/>
  <c r="W5" i="11"/>
  <c r="E14" i="19"/>
  <c r="U5" i="7"/>
  <c r="AJ487" i="7"/>
  <c r="P297" i="7"/>
  <c r="U297" i="7"/>
  <c r="P105" i="7"/>
  <c r="U105" i="7"/>
  <c r="P278" i="7"/>
  <c r="U278" i="7"/>
  <c r="P86" i="7"/>
  <c r="U86" i="7"/>
  <c r="P187" i="7"/>
  <c r="U187" i="7"/>
  <c r="P304" i="7"/>
  <c r="U304" i="7"/>
  <c r="P208" i="7"/>
  <c r="U208" i="7"/>
  <c r="P293" i="7"/>
  <c r="U293" i="7"/>
  <c r="P261" i="7"/>
  <c r="U261" i="7"/>
  <c r="P229" i="7"/>
  <c r="U229" i="7"/>
  <c r="P197" i="7"/>
  <c r="U197" i="7"/>
  <c r="P165" i="7"/>
  <c r="U165" i="7"/>
  <c r="P133" i="7"/>
  <c r="U133" i="7"/>
  <c r="P101" i="7"/>
  <c r="U101" i="7"/>
  <c r="P58" i="7"/>
  <c r="U58" i="7"/>
  <c r="P74" i="7"/>
  <c r="U74" i="7"/>
  <c r="P20" i="7"/>
  <c r="U20" i="7"/>
  <c r="P274" i="7"/>
  <c r="U274" i="7"/>
  <c r="P242" i="7"/>
  <c r="U242" i="7"/>
  <c r="P210" i="7"/>
  <c r="U210" i="7"/>
  <c r="P178" i="7"/>
  <c r="U178" i="7"/>
  <c r="P146" i="7"/>
  <c r="U146" i="7"/>
  <c r="P114" i="7"/>
  <c r="U114" i="7"/>
  <c r="P82" i="7"/>
  <c r="U82" i="7"/>
  <c r="P13" i="7"/>
  <c r="U13" i="7"/>
  <c r="P21" i="7"/>
  <c r="U21" i="7"/>
  <c r="P279" i="7"/>
  <c r="U279" i="7"/>
  <c r="P247" i="7"/>
  <c r="U247" i="7"/>
  <c r="P215" i="7"/>
  <c r="U215" i="7"/>
  <c r="P183" i="7"/>
  <c r="U183" i="7"/>
  <c r="P151" i="7"/>
  <c r="U151" i="7"/>
  <c r="P119" i="7"/>
  <c r="U119" i="7"/>
  <c r="P87" i="7"/>
  <c r="U87" i="7"/>
  <c r="P29" i="7"/>
  <c r="U29" i="7"/>
  <c r="P49" i="7"/>
  <c r="U49" i="7"/>
  <c r="P300" i="7"/>
  <c r="U300" i="7"/>
  <c r="P268" i="7"/>
  <c r="U268" i="7"/>
  <c r="P236" i="7"/>
  <c r="U236" i="7"/>
  <c r="P204" i="7"/>
  <c r="U204" i="7"/>
  <c r="P172" i="7"/>
  <c r="U172" i="7"/>
  <c r="P140" i="7"/>
  <c r="U140" i="7"/>
  <c r="P108" i="7"/>
  <c r="U108" i="7"/>
  <c r="P61" i="7"/>
  <c r="U61" i="7"/>
  <c r="P65" i="7"/>
  <c r="U65" i="7"/>
  <c r="P201" i="7"/>
  <c r="U201" i="7"/>
  <c r="P24" i="7"/>
  <c r="U24" i="7"/>
  <c r="P150" i="7"/>
  <c r="U150" i="7"/>
  <c r="P251" i="7"/>
  <c r="U251" i="7"/>
  <c r="P33" i="7"/>
  <c r="U33" i="7"/>
  <c r="P144" i="7"/>
  <c r="U144" i="7"/>
  <c r="P289" i="7"/>
  <c r="U289" i="7"/>
  <c r="P257" i="7"/>
  <c r="U257" i="7"/>
  <c r="P225" i="7"/>
  <c r="U225" i="7"/>
  <c r="P193" i="7"/>
  <c r="U193" i="7"/>
  <c r="P161" i="7"/>
  <c r="U161" i="7"/>
  <c r="P129" i="7"/>
  <c r="U129" i="7"/>
  <c r="P97" i="7"/>
  <c r="U97" i="7"/>
  <c r="P54" i="7"/>
  <c r="U54" i="7"/>
  <c r="P70" i="7"/>
  <c r="U70" i="7"/>
  <c r="P302" i="7"/>
  <c r="U302" i="7"/>
  <c r="P270" i="7"/>
  <c r="U270" i="7"/>
  <c r="P238" i="7"/>
  <c r="U238" i="7"/>
  <c r="P206" i="7"/>
  <c r="U206" i="7"/>
  <c r="P174" i="7"/>
  <c r="U174" i="7"/>
  <c r="P142" i="7"/>
  <c r="U142" i="7"/>
  <c r="P110" i="7"/>
  <c r="U110" i="7"/>
  <c r="P78" i="7"/>
  <c r="U78" i="7"/>
  <c r="P9" i="7"/>
  <c r="U9" i="7"/>
  <c r="P17" i="7"/>
  <c r="U17" i="7"/>
  <c r="P275" i="7"/>
  <c r="U275" i="7"/>
  <c r="P243" i="7"/>
  <c r="U243" i="7"/>
  <c r="P211" i="7"/>
  <c r="U211" i="7"/>
  <c r="P179" i="7"/>
  <c r="U179" i="7"/>
  <c r="P147" i="7"/>
  <c r="U147" i="7"/>
  <c r="P115" i="7"/>
  <c r="U115" i="7"/>
  <c r="P83" i="7"/>
  <c r="U83" i="7"/>
  <c r="P14" i="7"/>
  <c r="U14" i="7"/>
  <c r="P45" i="7"/>
  <c r="U45" i="7"/>
  <c r="P296" i="7"/>
  <c r="U296" i="7"/>
  <c r="P264" i="7"/>
  <c r="U264" i="7"/>
  <c r="P232" i="7"/>
  <c r="U232" i="7"/>
  <c r="P200" i="7"/>
  <c r="U200" i="7"/>
  <c r="P168" i="7"/>
  <c r="U168" i="7"/>
  <c r="P136" i="7"/>
  <c r="U136" i="7"/>
  <c r="P104" i="7"/>
  <c r="U104" i="7"/>
  <c r="P57" i="7"/>
  <c r="U57" i="7"/>
  <c r="P50" i="7"/>
  <c r="U50" i="7"/>
  <c r="P265" i="7"/>
  <c r="U265" i="7"/>
  <c r="P62" i="7"/>
  <c r="U62" i="7"/>
  <c r="P182" i="7"/>
  <c r="U182" i="7"/>
  <c r="P283" i="7"/>
  <c r="U283" i="7"/>
  <c r="P91" i="7"/>
  <c r="U91" i="7"/>
  <c r="P112" i="7"/>
  <c r="U112" i="7"/>
  <c r="P285" i="7"/>
  <c r="U285" i="7"/>
  <c r="P253" i="7"/>
  <c r="U253" i="7"/>
  <c r="P221" i="7"/>
  <c r="U221" i="7"/>
  <c r="P189" i="7"/>
  <c r="U189" i="7"/>
  <c r="P157" i="7"/>
  <c r="U157" i="7"/>
  <c r="P125" i="7"/>
  <c r="U125" i="7"/>
  <c r="P93" i="7"/>
  <c r="U93" i="7"/>
  <c r="P39" i="7"/>
  <c r="U39" i="7"/>
  <c r="P66" i="7"/>
  <c r="U66" i="7"/>
  <c r="P298" i="7"/>
  <c r="U298" i="7"/>
  <c r="P266" i="7"/>
  <c r="U266" i="7"/>
  <c r="P234" i="7"/>
  <c r="U234" i="7"/>
  <c r="P202" i="7"/>
  <c r="U202" i="7"/>
  <c r="P170" i="7"/>
  <c r="U170" i="7"/>
  <c r="P138" i="7"/>
  <c r="U138" i="7"/>
  <c r="P106" i="7"/>
  <c r="U106" i="7"/>
  <c r="P63" i="7"/>
  <c r="U63" i="7"/>
  <c r="P75" i="7"/>
  <c r="U75" i="7"/>
  <c r="P303" i="7"/>
  <c r="U303" i="7"/>
  <c r="P271" i="7"/>
  <c r="U271" i="7"/>
  <c r="P239" i="7"/>
  <c r="U239" i="7"/>
  <c r="P207" i="7"/>
  <c r="U207" i="7"/>
  <c r="P175" i="7"/>
  <c r="U175" i="7"/>
  <c r="P143" i="7"/>
  <c r="U143" i="7"/>
  <c r="P111" i="7"/>
  <c r="U111" i="7"/>
  <c r="P79" i="7"/>
  <c r="U79" i="7"/>
  <c r="P10" i="7"/>
  <c r="U10" i="7"/>
  <c r="P41" i="7"/>
  <c r="U41" i="7"/>
  <c r="P292" i="7"/>
  <c r="U292" i="7"/>
  <c r="P260" i="7"/>
  <c r="U260" i="7"/>
  <c r="P228" i="7"/>
  <c r="U228" i="7"/>
  <c r="P196" i="7"/>
  <c r="U196" i="7"/>
  <c r="P164" i="7"/>
  <c r="U164" i="7"/>
  <c r="P132" i="7"/>
  <c r="U132" i="7"/>
  <c r="P100" i="7"/>
  <c r="U100" i="7"/>
  <c r="P53" i="7"/>
  <c r="U53" i="7"/>
  <c r="P46" i="7"/>
  <c r="U46" i="7"/>
  <c r="P281" i="7"/>
  <c r="U281" i="7"/>
  <c r="P249" i="7"/>
  <c r="U249" i="7"/>
  <c r="P217" i="7"/>
  <c r="U217" i="7"/>
  <c r="P185" i="7"/>
  <c r="U185" i="7"/>
  <c r="P153" i="7"/>
  <c r="U153" i="7"/>
  <c r="P121" i="7"/>
  <c r="U121" i="7"/>
  <c r="P89" i="7"/>
  <c r="U89" i="7"/>
  <c r="P35" i="7"/>
  <c r="U35" i="7"/>
  <c r="P51" i="7"/>
  <c r="U51" i="7"/>
  <c r="P294" i="7"/>
  <c r="U294" i="7"/>
  <c r="P262" i="7"/>
  <c r="U262" i="7"/>
  <c r="P230" i="7"/>
  <c r="U230" i="7"/>
  <c r="P198" i="7"/>
  <c r="U198" i="7"/>
  <c r="P166" i="7"/>
  <c r="U166" i="7"/>
  <c r="P134" i="7"/>
  <c r="U134" i="7"/>
  <c r="P102" i="7"/>
  <c r="U102" i="7"/>
  <c r="P59" i="7"/>
  <c r="U59" i="7"/>
  <c r="P71" i="7"/>
  <c r="U71" i="7"/>
  <c r="P299" i="7"/>
  <c r="U299" i="7"/>
  <c r="P267" i="7"/>
  <c r="U267" i="7"/>
  <c r="P235" i="7"/>
  <c r="U235" i="7"/>
  <c r="P203" i="7"/>
  <c r="U203" i="7"/>
  <c r="P171" i="7"/>
  <c r="U171" i="7"/>
  <c r="P139" i="7"/>
  <c r="U139" i="7"/>
  <c r="P107" i="7"/>
  <c r="U107" i="7"/>
  <c r="P64" i="7"/>
  <c r="U64" i="7"/>
  <c r="P6" i="7"/>
  <c r="U6" i="7"/>
  <c r="P26" i="7"/>
  <c r="U26" i="7"/>
  <c r="P288" i="7"/>
  <c r="U288" i="7"/>
  <c r="P256" i="7"/>
  <c r="U256" i="7"/>
  <c r="P224" i="7"/>
  <c r="U224" i="7"/>
  <c r="P192" i="7"/>
  <c r="U192" i="7"/>
  <c r="P160" i="7"/>
  <c r="U160" i="7"/>
  <c r="P128" i="7"/>
  <c r="U128" i="7"/>
  <c r="P96" i="7"/>
  <c r="U96" i="7"/>
  <c r="P38" i="7"/>
  <c r="U38" i="7"/>
  <c r="P42" i="7"/>
  <c r="U42" i="7"/>
  <c r="P137" i="7"/>
  <c r="U137" i="7"/>
  <c r="P214" i="7"/>
  <c r="U214" i="7"/>
  <c r="P25" i="7"/>
  <c r="U25" i="7"/>
  <c r="P123" i="7"/>
  <c r="U123" i="7"/>
  <c r="P240" i="7"/>
  <c r="U240" i="7"/>
  <c r="P69" i="7"/>
  <c r="U69" i="7"/>
  <c r="P277" i="7"/>
  <c r="U277" i="7"/>
  <c r="P245" i="7"/>
  <c r="U245" i="7"/>
  <c r="P213" i="7"/>
  <c r="U213" i="7"/>
  <c r="P181" i="7"/>
  <c r="U181" i="7"/>
  <c r="P149" i="7"/>
  <c r="U149" i="7"/>
  <c r="P117" i="7"/>
  <c r="U117" i="7"/>
  <c r="P85" i="7"/>
  <c r="U85" i="7"/>
  <c r="P31" i="7"/>
  <c r="U31" i="7"/>
  <c r="P47" i="7"/>
  <c r="U47" i="7"/>
  <c r="P290" i="7"/>
  <c r="U290" i="7"/>
  <c r="P258" i="7"/>
  <c r="U258" i="7"/>
  <c r="P226" i="7"/>
  <c r="U226" i="7"/>
  <c r="P194" i="7"/>
  <c r="U194" i="7"/>
  <c r="P162" i="7"/>
  <c r="U162" i="7"/>
  <c r="P130" i="7"/>
  <c r="U130" i="7"/>
  <c r="P98" i="7"/>
  <c r="U98" i="7"/>
  <c r="P55" i="7"/>
  <c r="U55" i="7"/>
  <c r="P67" i="7"/>
  <c r="U67" i="7"/>
  <c r="P295" i="7"/>
  <c r="U295" i="7"/>
  <c r="P263" i="7"/>
  <c r="U263" i="7"/>
  <c r="P231" i="7"/>
  <c r="U231" i="7"/>
  <c r="P199" i="7"/>
  <c r="U199" i="7"/>
  <c r="P167" i="7"/>
  <c r="U167" i="7"/>
  <c r="P135" i="7"/>
  <c r="U135" i="7"/>
  <c r="P103" i="7"/>
  <c r="U103" i="7"/>
  <c r="P60" i="7"/>
  <c r="U60" i="7"/>
  <c r="P11" i="7"/>
  <c r="U11" i="7"/>
  <c r="P22" i="7"/>
  <c r="U22" i="7"/>
  <c r="P284" i="7"/>
  <c r="U284" i="7"/>
  <c r="P252" i="7"/>
  <c r="U252" i="7"/>
  <c r="P220" i="7"/>
  <c r="U220" i="7"/>
  <c r="P188" i="7"/>
  <c r="U188" i="7"/>
  <c r="P156" i="7"/>
  <c r="U156" i="7"/>
  <c r="P124" i="7"/>
  <c r="U124" i="7"/>
  <c r="P92" i="7"/>
  <c r="U92" i="7"/>
  <c r="P30" i="7"/>
  <c r="U30" i="7"/>
  <c r="P27" i="7"/>
  <c r="U27" i="7"/>
  <c r="P169" i="7"/>
  <c r="U169" i="7"/>
  <c r="P246" i="7"/>
  <c r="U246" i="7"/>
  <c r="P32" i="7"/>
  <c r="U32" i="7"/>
  <c r="P155" i="7"/>
  <c r="U155" i="7"/>
  <c r="P272" i="7"/>
  <c r="U272" i="7"/>
  <c r="P80" i="7"/>
  <c r="U80" i="7"/>
  <c r="P273" i="7"/>
  <c r="U273" i="7"/>
  <c r="P241" i="7"/>
  <c r="U241" i="7"/>
  <c r="P209" i="7"/>
  <c r="U209" i="7"/>
  <c r="P177" i="7"/>
  <c r="U177" i="7"/>
  <c r="P145" i="7"/>
  <c r="U145" i="7"/>
  <c r="P113" i="7"/>
  <c r="U113" i="7"/>
  <c r="P81" i="7"/>
  <c r="U81" i="7"/>
  <c r="P16" i="7"/>
  <c r="U16" i="7"/>
  <c r="P43" i="7"/>
  <c r="U43" i="7"/>
  <c r="P286" i="7"/>
  <c r="U286" i="7"/>
  <c r="P254" i="7"/>
  <c r="U254" i="7"/>
  <c r="P222" i="7"/>
  <c r="U222" i="7"/>
  <c r="P190" i="7"/>
  <c r="U190" i="7"/>
  <c r="P158" i="7"/>
  <c r="U158" i="7"/>
  <c r="P126" i="7"/>
  <c r="U126" i="7"/>
  <c r="P94" i="7"/>
  <c r="U94" i="7"/>
  <c r="P40" i="7"/>
  <c r="U40" i="7"/>
  <c r="P52" i="7"/>
  <c r="U52" i="7"/>
  <c r="P291" i="7"/>
  <c r="U291" i="7"/>
  <c r="P259" i="7"/>
  <c r="U259" i="7"/>
  <c r="P227" i="7"/>
  <c r="U227" i="7"/>
  <c r="P195" i="7"/>
  <c r="U195" i="7"/>
  <c r="P163" i="7"/>
  <c r="U163" i="7"/>
  <c r="P131" i="7"/>
  <c r="U131" i="7"/>
  <c r="P99" i="7"/>
  <c r="U99" i="7"/>
  <c r="P56" i="7"/>
  <c r="U56" i="7"/>
  <c r="P76" i="7"/>
  <c r="U76" i="7"/>
  <c r="P18" i="7"/>
  <c r="U18" i="7"/>
  <c r="P280" i="7"/>
  <c r="U280" i="7"/>
  <c r="P248" i="7"/>
  <c r="U248" i="7"/>
  <c r="P216" i="7"/>
  <c r="U216" i="7"/>
  <c r="P184" i="7"/>
  <c r="U184" i="7"/>
  <c r="P152" i="7"/>
  <c r="U152" i="7"/>
  <c r="P120" i="7"/>
  <c r="U120" i="7"/>
  <c r="P88" i="7"/>
  <c r="U88" i="7"/>
  <c r="P15" i="7"/>
  <c r="U15" i="7"/>
  <c r="P23" i="7"/>
  <c r="U23" i="7"/>
  <c r="P233" i="7"/>
  <c r="U233" i="7"/>
  <c r="P8" i="7"/>
  <c r="U8" i="7"/>
  <c r="P118" i="7"/>
  <c r="U118" i="7"/>
  <c r="P219" i="7"/>
  <c r="U219" i="7"/>
  <c r="P68" i="7"/>
  <c r="U68" i="7"/>
  <c r="P176" i="7"/>
  <c r="U176" i="7"/>
  <c r="P301" i="7"/>
  <c r="U301" i="7"/>
  <c r="P269" i="7"/>
  <c r="U269" i="7"/>
  <c r="P237" i="7"/>
  <c r="U237" i="7"/>
  <c r="P205" i="7"/>
  <c r="U205" i="7"/>
  <c r="P173" i="7"/>
  <c r="U173" i="7"/>
  <c r="P141" i="7"/>
  <c r="U141" i="7"/>
  <c r="P109" i="7"/>
  <c r="U109" i="7"/>
  <c r="P77" i="7"/>
  <c r="U77" i="7"/>
  <c r="P12" i="7"/>
  <c r="U12" i="7"/>
  <c r="P28" i="7"/>
  <c r="U28" i="7"/>
  <c r="P282" i="7"/>
  <c r="U282" i="7"/>
  <c r="P250" i="7"/>
  <c r="U250" i="7"/>
  <c r="P218" i="7"/>
  <c r="U218" i="7"/>
  <c r="P186" i="7"/>
  <c r="U186" i="7"/>
  <c r="P154" i="7"/>
  <c r="U154" i="7"/>
  <c r="P122" i="7"/>
  <c r="U122" i="7"/>
  <c r="P90" i="7"/>
  <c r="U90" i="7"/>
  <c r="P36" i="7"/>
  <c r="U36" i="7"/>
  <c r="P48" i="7"/>
  <c r="U48" i="7"/>
  <c r="P287" i="7"/>
  <c r="U287" i="7"/>
  <c r="P255" i="7"/>
  <c r="U255" i="7"/>
  <c r="P223" i="7"/>
  <c r="U223" i="7"/>
  <c r="P191" i="7"/>
  <c r="U191" i="7"/>
  <c r="P159" i="7"/>
  <c r="U159" i="7"/>
  <c r="P127" i="7"/>
  <c r="U127" i="7"/>
  <c r="P95" i="7"/>
  <c r="U95" i="7"/>
  <c r="P37" i="7"/>
  <c r="U37" i="7"/>
  <c r="P72" i="7"/>
  <c r="U72" i="7"/>
  <c r="P7" i="7"/>
  <c r="U7" i="7"/>
  <c r="P276" i="7"/>
  <c r="U276" i="7"/>
  <c r="P244" i="7"/>
  <c r="U244" i="7"/>
  <c r="P212" i="7"/>
  <c r="U212" i="7"/>
  <c r="P180" i="7"/>
  <c r="U180" i="7"/>
  <c r="P148" i="7"/>
  <c r="U148" i="7"/>
  <c r="P116" i="7"/>
  <c r="U116" i="7"/>
  <c r="P84" i="7"/>
  <c r="U84" i="7"/>
  <c r="P73" i="7"/>
  <c r="U73" i="7"/>
  <c r="P19" i="7"/>
  <c r="U19" i="7"/>
  <c r="J5" i="2"/>
  <c r="P5" i="7"/>
  <c r="O15" i="1"/>
  <c r="H303" i="2"/>
  <c r="AO7" i="2"/>
  <c r="BC7" i="2" s="1"/>
  <c r="AO8" i="2"/>
  <c r="BC8" i="2" s="1"/>
  <c r="B155" i="3"/>
  <c r="D6" i="2"/>
  <c r="F6" i="2" s="1"/>
  <c r="P22" i="6"/>
  <c r="B35" i="9"/>
  <c r="W6" i="11" l="1"/>
  <c r="V5" i="7"/>
  <c r="AE5" i="7" s="1"/>
  <c r="DA5" i="7" s="1"/>
  <c r="V212" i="7"/>
  <c r="AE212" i="7" s="1"/>
  <c r="V159" i="7"/>
  <c r="AE159" i="7" s="1"/>
  <c r="V122" i="7"/>
  <c r="AE122" i="7" s="1"/>
  <c r="V77" i="7"/>
  <c r="AE77" i="7" s="1"/>
  <c r="V8" i="7"/>
  <c r="AE8" i="7" s="1"/>
  <c r="V216" i="7"/>
  <c r="AE216" i="7" s="1"/>
  <c r="V163" i="7"/>
  <c r="AE163" i="7" s="1"/>
  <c r="V254" i="7"/>
  <c r="AE254" i="7" s="1"/>
  <c r="V209" i="7"/>
  <c r="AE209" i="7" s="1"/>
  <c r="V169" i="7"/>
  <c r="AE169" i="7" s="1"/>
  <c r="V252" i="7"/>
  <c r="AE252" i="7" s="1"/>
  <c r="V199" i="7"/>
  <c r="AE199" i="7" s="1"/>
  <c r="V162" i="7"/>
  <c r="AE162" i="7" s="1"/>
  <c r="V245" i="7"/>
  <c r="AE245" i="7" s="1"/>
  <c r="V42" i="7"/>
  <c r="AE42" i="7" s="1"/>
  <c r="V288" i="7"/>
  <c r="AE288" i="7" s="1"/>
  <c r="V235" i="7"/>
  <c r="AE235" i="7" s="1"/>
  <c r="V51" i="7"/>
  <c r="AE51" i="7" s="1"/>
  <c r="V281" i="7"/>
  <c r="AE281" i="7" s="1"/>
  <c r="V260" i="7"/>
  <c r="AE260" i="7" s="1"/>
  <c r="V79" i="7"/>
  <c r="AE79" i="7" s="1"/>
  <c r="V170" i="7"/>
  <c r="AE170" i="7" s="1"/>
  <c r="V125" i="7"/>
  <c r="AE125" i="7" s="1"/>
  <c r="V283" i="7"/>
  <c r="AE283" i="7" s="1"/>
  <c r="V168" i="7"/>
  <c r="AE168" i="7" s="1"/>
  <c r="V115" i="7"/>
  <c r="AE115" i="7" s="1"/>
  <c r="V78" i="7"/>
  <c r="AE78" i="7" s="1"/>
  <c r="V70" i="7"/>
  <c r="AE70" i="7" s="1"/>
  <c r="V161" i="7"/>
  <c r="AE161" i="7" s="1"/>
  <c r="V289" i="7"/>
  <c r="AE289" i="7" s="1"/>
  <c r="V150" i="7"/>
  <c r="AE150" i="7" s="1"/>
  <c r="V61" i="7"/>
  <c r="AE61" i="7" s="1"/>
  <c r="V204" i="7"/>
  <c r="AE204" i="7" s="1"/>
  <c r="V151" i="7"/>
  <c r="AE151" i="7" s="1"/>
  <c r="V279" i="7"/>
  <c r="AE279" i="7" s="1"/>
  <c r="V114" i="7"/>
  <c r="AE114" i="7" s="1"/>
  <c r="V242" i="7"/>
  <c r="AE242" i="7" s="1"/>
  <c r="V58" i="7"/>
  <c r="AE58" i="7" s="1"/>
  <c r="V197" i="7"/>
  <c r="AE197" i="7" s="1"/>
  <c r="V208" i="7"/>
  <c r="AE208" i="7" s="1"/>
  <c r="V278" i="7"/>
  <c r="AE278" i="7" s="1"/>
  <c r="V7" i="7"/>
  <c r="AE7" i="7" s="1"/>
  <c r="V84" i="7"/>
  <c r="AE84" i="7" s="1"/>
  <c r="V72" i="7"/>
  <c r="AE72" i="7" s="1"/>
  <c r="V287" i="7"/>
  <c r="AE287" i="7" s="1"/>
  <c r="V250" i="7"/>
  <c r="AE250" i="7" s="1"/>
  <c r="V205" i="7"/>
  <c r="AE205" i="7" s="1"/>
  <c r="V176" i="7"/>
  <c r="AE176" i="7" s="1"/>
  <c r="V88" i="7"/>
  <c r="AE88" i="7" s="1"/>
  <c r="V76" i="7"/>
  <c r="AE76" i="7" s="1"/>
  <c r="V291" i="7"/>
  <c r="AE291" i="7" s="1"/>
  <c r="V126" i="7"/>
  <c r="AE126" i="7" s="1"/>
  <c r="V81" i="7"/>
  <c r="AE81" i="7" s="1"/>
  <c r="V272" i="7"/>
  <c r="AE272" i="7" s="1"/>
  <c r="V124" i="7"/>
  <c r="AE124" i="7" s="1"/>
  <c r="V60" i="7"/>
  <c r="AE60" i="7" s="1"/>
  <c r="V67" i="7"/>
  <c r="AE67" i="7" s="1"/>
  <c r="V290" i="7"/>
  <c r="AE290" i="7" s="1"/>
  <c r="V117" i="7"/>
  <c r="AE117" i="7" s="1"/>
  <c r="V123" i="7"/>
  <c r="AE123" i="7" s="1"/>
  <c r="V160" i="7"/>
  <c r="AE160" i="7" s="1"/>
  <c r="V107" i="7"/>
  <c r="AE107" i="7" s="1"/>
  <c r="V59" i="7"/>
  <c r="AE59" i="7" s="1"/>
  <c r="V198" i="7"/>
  <c r="AE198" i="7" s="1"/>
  <c r="V153" i="7"/>
  <c r="AE153" i="7" s="1"/>
  <c r="V132" i="7"/>
  <c r="AE132" i="7" s="1"/>
  <c r="V207" i="7"/>
  <c r="AE207" i="7" s="1"/>
  <c r="V75" i="7"/>
  <c r="AE75" i="7" s="1"/>
  <c r="V298" i="7"/>
  <c r="AE298" i="7" s="1"/>
  <c r="V253" i="7"/>
  <c r="AE253" i="7" s="1"/>
  <c r="V50" i="7"/>
  <c r="AE50" i="7" s="1"/>
  <c r="V296" i="7"/>
  <c r="AE296" i="7" s="1"/>
  <c r="V243" i="7"/>
  <c r="AE243" i="7" s="1"/>
  <c r="V206" i="7"/>
  <c r="AE206" i="7" s="1"/>
  <c r="V49" i="7"/>
  <c r="AE49" i="7" s="1"/>
  <c r="V37" i="7"/>
  <c r="AE37" i="7" s="1"/>
  <c r="V282" i="7"/>
  <c r="AE282" i="7" s="1"/>
  <c r="V233" i="7"/>
  <c r="AE233" i="7" s="1"/>
  <c r="V120" i="7"/>
  <c r="AE120" i="7" s="1"/>
  <c r="V56" i="7"/>
  <c r="AE56" i="7" s="1"/>
  <c r="V52" i="7"/>
  <c r="AE52" i="7" s="1"/>
  <c r="V286" i="7"/>
  <c r="AE286" i="7" s="1"/>
  <c r="V241" i="7"/>
  <c r="AE241" i="7" s="1"/>
  <c r="V27" i="7"/>
  <c r="AE27" i="7" s="1"/>
  <c r="V156" i="7"/>
  <c r="AE156" i="7" s="1"/>
  <c r="V103" i="7"/>
  <c r="AE103" i="7" s="1"/>
  <c r="V55" i="7"/>
  <c r="AE55" i="7" s="1"/>
  <c r="V47" i="7"/>
  <c r="AE47" i="7" s="1"/>
  <c r="V277" i="7"/>
  <c r="AE277" i="7" s="1"/>
  <c r="V38" i="7"/>
  <c r="AE38" i="7" s="1"/>
  <c r="V192" i="7"/>
  <c r="AE192" i="7" s="1"/>
  <c r="V139" i="7"/>
  <c r="AE139" i="7" s="1"/>
  <c r="V102" i="7"/>
  <c r="AE102" i="7" s="1"/>
  <c r="V230" i="7"/>
  <c r="AE230" i="7" s="1"/>
  <c r="V185" i="7"/>
  <c r="AE185" i="7" s="1"/>
  <c r="V46" i="7"/>
  <c r="AE46" i="7" s="1"/>
  <c r="V292" i="7"/>
  <c r="AE292" i="7" s="1"/>
  <c r="V111" i="7"/>
  <c r="AE111" i="7" s="1"/>
  <c r="V63" i="7"/>
  <c r="AE63" i="7" s="1"/>
  <c r="V202" i="7"/>
  <c r="AE202" i="7" s="1"/>
  <c r="V66" i="7"/>
  <c r="AE66" i="7" s="1"/>
  <c r="V285" i="7"/>
  <c r="AE285" i="7" s="1"/>
  <c r="V182" i="7"/>
  <c r="AE182" i="7" s="1"/>
  <c r="V57" i="7"/>
  <c r="AE57" i="7" s="1"/>
  <c r="V200" i="7"/>
  <c r="AE200" i="7" s="1"/>
  <c r="V45" i="7"/>
  <c r="AE45" i="7" s="1"/>
  <c r="V147" i="7"/>
  <c r="AE147" i="7" s="1"/>
  <c r="V275" i="7"/>
  <c r="AE275" i="7" s="1"/>
  <c r="V110" i="7"/>
  <c r="AE110" i="7" s="1"/>
  <c r="V54" i="7"/>
  <c r="AE54" i="7" s="1"/>
  <c r="V193" i="7"/>
  <c r="AE193" i="7" s="1"/>
  <c r="V144" i="7"/>
  <c r="AE144" i="7" s="1"/>
  <c r="V24" i="7"/>
  <c r="AE24" i="7" s="1"/>
  <c r="V108" i="7"/>
  <c r="AE108" i="7" s="1"/>
  <c r="V236" i="7"/>
  <c r="AE236" i="7" s="1"/>
  <c r="V29" i="7"/>
  <c r="AE29" i="7" s="1"/>
  <c r="V183" i="7"/>
  <c r="AE183" i="7" s="1"/>
  <c r="V21" i="7"/>
  <c r="AE21" i="7" s="1"/>
  <c r="V146" i="7"/>
  <c r="AE146" i="7" s="1"/>
  <c r="V274" i="7"/>
  <c r="AE274" i="7" s="1"/>
  <c r="V101" i="7"/>
  <c r="AE101" i="7" s="1"/>
  <c r="V229" i="7"/>
  <c r="AE229" i="7" s="1"/>
  <c r="V304" i="7"/>
  <c r="AE304" i="7" s="1"/>
  <c r="V105" i="7"/>
  <c r="AE105" i="7" s="1"/>
  <c r="V116" i="7"/>
  <c r="AE116" i="7" s="1"/>
  <c r="V154" i="7"/>
  <c r="AE154" i="7" s="1"/>
  <c r="V68" i="7"/>
  <c r="AE68" i="7" s="1"/>
  <c r="V248" i="7"/>
  <c r="AE248" i="7" s="1"/>
  <c r="V195" i="7"/>
  <c r="AE195" i="7" s="1"/>
  <c r="V158" i="7"/>
  <c r="AE158" i="7" s="1"/>
  <c r="V113" i="7"/>
  <c r="AE113" i="7" s="1"/>
  <c r="V155" i="7"/>
  <c r="AE155" i="7" s="1"/>
  <c r="V284" i="7"/>
  <c r="AE284" i="7" s="1"/>
  <c r="V231" i="7"/>
  <c r="AE231" i="7" s="1"/>
  <c r="V194" i="7"/>
  <c r="AE194" i="7" s="1"/>
  <c r="V149" i="7"/>
  <c r="AE149" i="7" s="1"/>
  <c r="V25" i="7"/>
  <c r="AE25" i="7" s="1"/>
  <c r="V26" i="7"/>
  <c r="AE26" i="7" s="1"/>
  <c r="V267" i="7"/>
  <c r="AE267" i="7" s="1"/>
  <c r="V35" i="7"/>
  <c r="AE35" i="7" s="1"/>
  <c r="V164" i="7"/>
  <c r="AE164" i="7" s="1"/>
  <c r="V239" i="7"/>
  <c r="AE239" i="7" s="1"/>
  <c r="V157" i="7"/>
  <c r="AE157" i="7" s="1"/>
  <c r="V238" i="7"/>
  <c r="AE238" i="7" s="1"/>
  <c r="V73" i="7"/>
  <c r="AE73" i="7" s="1"/>
  <c r="V191" i="7"/>
  <c r="AE191" i="7" s="1"/>
  <c r="V109" i="7"/>
  <c r="AE109" i="7" s="1"/>
  <c r="V19" i="7"/>
  <c r="AE19" i="7" s="1"/>
  <c r="V95" i="7"/>
  <c r="AE95" i="7" s="1"/>
  <c r="V36" i="7"/>
  <c r="AE36" i="7" s="1"/>
  <c r="V141" i="7"/>
  <c r="AE141" i="7" s="1"/>
  <c r="V219" i="7"/>
  <c r="AE219" i="7" s="1"/>
  <c r="V152" i="7"/>
  <c r="AE152" i="7" s="1"/>
  <c r="V99" i="7"/>
  <c r="AE99" i="7" s="1"/>
  <c r="V190" i="7"/>
  <c r="AE190" i="7" s="1"/>
  <c r="V145" i="7"/>
  <c r="AE145" i="7" s="1"/>
  <c r="V30" i="7"/>
  <c r="AE30" i="7" s="1"/>
  <c r="V22" i="7"/>
  <c r="AE22" i="7" s="1"/>
  <c r="V263" i="7"/>
  <c r="AE263" i="7" s="1"/>
  <c r="V226" i="7"/>
  <c r="AE226" i="7" s="1"/>
  <c r="V69" i="7"/>
  <c r="AE69" i="7" s="1"/>
  <c r="V96" i="7"/>
  <c r="AE96" i="7" s="1"/>
  <c r="V171" i="7"/>
  <c r="AE171" i="7" s="1"/>
  <c r="V262" i="7"/>
  <c r="AE262" i="7" s="1"/>
  <c r="V217" i="7"/>
  <c r="AE217" i="7" s="1"/>
  <c r="V196" i="7"/>
  <c r="AE196" i="7" s="1"/>
  <c r="V143" i="7"/>
  <c r="AE143" i="7" s="1"/>
  <c r="V234" i="7"/>
  <c r="AE234" i="7" s="1"/>
  <c r="V189" i="7"/>
  <c r="AE189" i="7" s="1"/>
  <c r="V62" i="7"/>
  <c r="AE62" i="7" s="1"/>
  <c r="V104" i="7"/>
  <c r="AE104" i="7" s="1"/>
  <c r="V14" i="7"/>
  <c r="AE14" i="7" s="1"/>
  <c r="V179" i="7"/>
  <c r="AE179" i="7" s="1"/>
  <c r="V17" i="7"/>
  <c r="AE17" i="7" s="1"/>
  <c r="V142" i="7"/>
  <c r="AE142" i="7" s="1"/>
  <c r="V270" i="7"/>
  <c r="AE270" i="7" s="1"/>
  <c r="V97" i="7"/>
  <c r="AE97" i="7" s="1"/>
  <c r="V33" i="7"/>
  <c r="AE33" i="7" s="1"/>
  <c r="V201" i="7"/>
  <c r="AE201" i="7" s="1"/>
  <c r="V140" i="7"/>
  <c r="AE140" i="7" s="1"/>
  <c r="V268" i="7"/>
  <c r="AE268" i="7" s="1"/>
  <c r="V87" i="7"/>
  <c r="AE87" i="7" s="1"/>
  <c r="V215" i="7"/>
  <c r="AE215" i="7" s="1"/>
  <c r="V13" i="7"/>
  <c r="AE13" i="7" s="1"/>
  <c r="V178" i="7"/>
  <c r="AE178" i="7" s="1"/>
  <c r="V20" i="7"/>
  <c r="AE20" i="7" s="1"/>
  <c r="V133" i="7"/>
  <c r="AE133" i="7" s="1"/>
  <c r="V261" i="7"/>
  <c r="AE261" i="7" s="1"/>
  <c r="V187" i="7"/>
  <c r="AE187" i="7" s="1"/>
  <c r="V297" i="7"/>
  <c r="AE297" i="7" s="1"/>
  <c r="V180" i="7"/>
  <c r="AE180" i="7" s="1"/>
  <c r="V244" i="7"/>
  <c r="AE244" i="7" s="1"/>
  <c r="V48" i="7"/>
  <c r="AE48" i="7" s="1"/>
  <c r="V237" i="7"/>
  <c r="AE237" i="7" s="1"/>
  <c r="V148" i="7"/>
  <c r="AE148" i="7" s="1"/>
  <c r="V276" i="7"/>
  <c r="AE276" i="7" s="1"/>
  <c r="V223" i="7"/>
  <c r="AE223" i="7" s="1"/>
  <c r="V186" i="7"/>
  <c r="AE186" i="7" s="1"/>
  <c r="V28" i="7"/>
  <c r="AE28" i="7" s="1"/>
  <c r="V269" i="7"/>
  <c r="AE269" i="7" s="1"/>
  <c r="V23" i="7"/>
  <c r="AE23" i="7" s="1"/>
  <c r="V280" i="7"/>
  <c r="AE280" i="7" s="1"/>
  <c r="V227" i="7"/>
  <c r="AE227" i="7" s="1"/>
  <c r="V40" i="7"/>
  <c r="AE40" i="7" s="1"/>
  <c r="V43" i="7"/>
  <c r="AE43" i="7" s="1"/>
  <c r="V273" i="7"/>
  <c r="AE273" i="7" s="1"/>
  <c r="V32" i="7"/>
  <c r="AE32" i="7" s="1"/>
  <c r="V188" i="7"/>
  <c r="AE188" i="7" s="1"/>
  <c r="V135" i="7"/>
  <c r="AE135" i="7" s="1"/>
  <c r="V98" i="7"/>
  <c r="AE98" i="7" s="1"/>
  <c r="V31" i="7"/>
  <c r="AE31" i="7" s="1"/>
  <c r="V181" i="7"/>
  <c r="AE181" i="7" s="1"/>
  <c r="V214" i="7"/>
  <c r="AE214" i="7" s="1"/>
  <c r="V224" i="7"/>
  <c r="AE224" i="7" s="1"/>
  <c r="V6" i="7"/>
  <c r="AE6" i="7" s="1"/>
  <c r="V299" i="7"/>
  <c r="AE299" i="7" s="1"/>
  <c r="V134" i="7"/>
  <c r="AE134" i="7" s="1"/>
  <c r="V89" i="7"/>
  <c r="AE89" i="7" s="1"/>
  <c r="V53" i="7"/>
  <c r="AE53" i="7" s="1"/>
  <c r="V41" i="7"/>
  <c r="AE41" i="7" s="1"/>
  <c r="V271" i="7"/>
  <c r="AE271" i="7" s="1"/>
  <c r="V106" i="7"/>
  <c r="AE106" i="7" s="1"/>
  <c r="V39" i="7"/>
  <c r="AE39" i="7" s="1"/>
  <c r="V112" i="7"/>
  <c r="AE112" i="7" s="1"/>
  <c r="V232" i="7"/>
  <c r="AE232" i="7" s="1"/>
  <c r="V225" i="7"/>
  <c r="AE225" i="7" s="1"/>
  <c r="V127" i="7"/>
  <c r="AE127" i="7" s="1"/>
  <c r="V255" i="7"/>
  <c r="AE255" i="7" s="1"/>
  <c r="V90" i="7"/>
  <c r="AE90" i="7" s="1"/>
  <c r="V218" i="7"/>
  <c r="AE218" i="7" s="1"/>
  <c r="V12" i="7"/>
  <c r="AE12" i="7" s="1"/>
  <c r="V173" i="7"/>
  <c r="AE173" i="7" s="1"/>
  <c r="V301" i="7"/>
  <c r="AE301" i="7" s="1"/>
  <c r="V118" i="7"/>
  <c r="AE118" i="7" s="1"/>
  <c r="V15" i="7"/>
  <c r="AE15" i="7" s="1"/>
  <c r="V184" i="7"/>
  <c r="AE184" i="7" s="1"/>
  <c r="V18" i="7"/>
  <c r="AE18" i="7" s="1"/>
  <c r="V131" i="7"/>
  <c r="AE131" i="7" s="1"/>
  <c r="V259" i="7"/>
  <c r="AE259" i="7" s="1"/>
  <c r="V94" i="7"/>
  <c r="AE94" i="7" s="1"/>
  <c r="V222" i="7"/>
  <c r="AE222" i="7" s="1"/>
  <c r="V16" i="7"/>
  <c r="AE16" i="7" s="1"/>
  <c r="V177" i="7"/>
  <c r="AE177" i="7" s="1"/>
  <c r="V80" i="7"/>
  <c r="AE80" i="7" s="1"/>
  <c r="V246" i="7"/>
  <c r="AE246" i="7" s="1"/>
  <c r="V92" i="7"/>
  <c r="AE92" i="7" s="1"/>
  <c r="V220" i="7"/>
  <c r="AE220" i="7" s="1"/>
  <c r="V11" i="7"/>
  <c r="AE11" i="7" s="1"/>
  <c r="V167" i="7"/>
  <c r="AE167" i="7" s="1"/>
  <c r="V295" i="7"/>
  <c r="AE295" i="7" s="1"/>
  <c r="V130" i="7"/>
  <c r="AE130" i="7" s="1"/>
  <c r="V258" i="7"/>
  <c r="AE258" i="7" s="1"/>
  <c r="V85" i="7"/>
  <c r="AE85" i="7" s="1"/>
  <c r="V213" i="7"/>
  <c r="AE213" i="7" s="1"/>
  <c r="V240" i="7"/>
  <c r="AE240" i="7" s="1"/>
  <c r="V137" i="7"/>
  <c r="AE137" i="7" s="1"/>
  <c r="V128" i="7"/>
  <c r="AE128" i="7" s="1"/>
  <c r="V256" i="7"/>
  <c r="AE256" i="7" s="1"/>
  <c r="V64" i="7"/>
  <c r="AE64" i="7" s="1"/>
  <c r="V203" i="7"/>
  <c r="AE203" i="7" s="1"/>
  <c r="V71" i="7"/>
  <c r="AE71" i="7" s="1"/>
  <c r="V166" i="7"/>
  <c r="AE166" i="7" s="1"/>
  <c r="V294" i="7"/>
  <c r="AE294" i="7" s="1"/>
  <c r="V121" i="7"/>
  <c r="AE121" i="7" s="1"/>
  <c r="V249" i="7"/>
  <c r="AE249" i="7" s="1"/>
  <c r="V100" i="7"/>
  <c r="AE100" i="7" s="1"/>
  <c r="V228" i="7"/>
  <c r="AE228" i="7" s="1"/>
  <c r="V10" i="7"/>
  <c r="AE10" i="7" s="1"/>
  <c r="V175" i="7"/>
  <c r="AE175" i="7" s="1"/>
  <c r="V303" i="7"/>
  <c r="AE303" i="7" s="1"/>
  <c r="V138" i="7"/>
  <c r="AE138" i="7" s="1"/>
  <c r="V266" i="7"/>
  <c r="AE266" i="7" s="1"/>
  <c r="V93" i="7"/>
  <c r="AE93" i="7" s="1"/>
  <c r="V221" i="7"/>
  <c r="AE221" i="7" s="1"/>
  <c r="V91" i="7"/>
  <c r="AE91" i="7" s="1"/>
  <c r="V265" i="7"/>
  <c r="AE265" i="7" s="1"/>
  <c r="V136" i="7"/>
  <c r="AE136" i="7" s="1"/>
  <c r="V264" i="7"/>
  <c r="AE264" i="7" s="1"/>
  <c r="V83" i="7"/>
  <c r="AE83" i="7" s="1"/>
  <c r="V211" i="7"/>
  <c r="AE211" i="7" s="1"/>
  <c r="V9" i="7"/>
  <c r="AE9" i="7" s="1"/>
  <c r="V174" i="7"/>
  <c r="AE174" i="7" s="1"/>
  <c r="V302" i="7"/>
  <c r="AE302" i="7" s="1"/>
  <c r="V129" i="7"/>
  <c r="AE129" i="7" s="1"/>
  <c r="V257" i="7"/>
  <c r="AE257" i="7" s="1"/>
  <c r="V251" i="7"/>
  <c r="AE251" i="7" s="1"/>
  <c r="V65" i="7"/>
  <c r="AE65" i="7" s="1"/>
  <c r="V172" i="7"/>
  <c r="AE172" i="7" s="1"/>
  <c r="V300" i="7"/>
  <c r="AE300" i="7" s="1"/>
  <c r="V119" i="7"/>
  <c r="AE119" i="7" s="1"/>
  <c r="V247" i="7"/>
  <c r="AE247" i="7" s="1"/>
  <c r="V82" i="7"/>
  <c r="AE82" i="7" s="1"/>
  <c r="V210" i="7"/>
  <c r="AE210" i="7" s="1"/>
  <c r="V74" i="7"/>
  <c r="AE74" i="7" s="1"/>
  <c r="V165" i="7"/>
  <c r="AE165" i="7" s="1"/>
  <c r="V293" i="7"/>
  <c r="AE293" i="7" s="1"/>
  <c r="V86" i="7"/>
  <c r="AE86" i="7" s="1"/>
  <c r="Q73" i="7"/>
  <c r="Q180" i="7"/>
  <c r="Q7" i="7"/>
  <c r="Q127" i="7"/>
  <c r="Q255" i="7"/>
  <c r="Q90" i="7"/>
  <c r="Q218" i="7"/>
  <c r="Q12" i="7"/>
  <c r="Q173" i="7"/>
  <c r="Q301" i="7"/>
  <c r="Q118" i="7"/>
  <c r="Q15" i="7"/>
  <c r="Q184" i="7"/>
  <c r="Q18" i="7"/>
  <c r="Q131" i="7"/>
  <c r="Q259" i="7"/>
  <c r="Q94" i="7"/>
  <c r="Q222" i="7"/>
  <c r="Q16" i="7"/>
  <c r="Q177" i="7"/>
  <c r="Q80" i="7"/>
  <c r="Q246" i="7"/>
  <c r="Q92" i="7"/>
  <c r="Q220" i="7"/>
  <c r="Q11" i="7"/>
  <c r="Q167" i="7"/>
  <c r="Q295" i="7"/>
  <c r="Q130" i="7"/>
  <c r="Q258" i="7"/>
  <c r="Q85" i="7"/>
  <c r="Q213" i="7"/>
  <c r="Q240" i="7"/>
  <c r="Q137" i="7"/>
  <c r="Q128" i="7"/>
  <c r="Q256" i="7"/>
  <c r="Q64" i="7"/>
  <c r="Q203" i="7"/>
  <c r="Q71" i="7"/>
  <c r="Q166" i="7"/>
  <c r="Q294" i="7"/>
  <c r="Q121" i="7"/>
  <c r="Q249" i="7"/>
  <c r="Q100" i="7"/>
  <c r="Q228" i="7"/>
  <c r="Q10" i="7"/>
  <c r="Q175" i="7"/>
  <c r="Q303" i="7"/>
  <c r="Q138" i="7"/>
  <c r="Q266" i="7"/>
  <c r="Q93" i="7"/>
  <c r="Q221" i="7"/>
  <c r="Q91" i="7"/>
  <c r="Q265" i="7"/>
  <c r="Q136" i="7"/>
  <c r="Q264" i="7"/>
  <c r="Q83" i="7"/>
  <c r="Q211" i="7"/>
  <c r="Q9" i="7"/>
  <c r="Q174" i="7"/>
  <c r="Q302" i="7"/>
  <c r="Q129" i="7"/>
  <c r="Q257" i="7"/>
  <c r="Q251" i="7"/>
  <c r="Q65" i="7"/>
  <c r="Q172" i="7"/>
  <c r="Q300" i="7"/>
  <c r="Q119" i="7"/>
  <c r="Q247" i="7"/>
  <c r="Q82" i="7"/>
  <c r="Q210" i="7"/>
  <c r="Q74" i="7"/>
  <c r="Q165" i="7"/>
  <c r="Q293" i="7"/>
  <c r="Q86" i="7"/>
  <c r="Q84" i="7"/>
  <c r="Q212" i="7"/>
  <c r="Q72" i="7"/>
  <c r="Q159" i="7"/>
  <c r="Q287" i="7"/>
  <c r="Q122" i="7"/>
  <c r="Q250" i="7"/>
  <c r="Q77" i="7"/>
  <c r="Q205" i="7"/>
  <c r="Q176" i="7"/>
  <c r="Q8" i="7"/>
  <c r="Q88" i="7"/>
  <c r="Q216" i="7"/>
  <c r="Q76" i="7"/>
  <c r="Q163" i="7"/>
  <c r="Q291" i="7"/>
  <c r="Q126" i="7"/>
  <c r="Q254" i="7"/>
  <c r="Q81" i="7"/>
  <c r="Q209" i="7"/>
  <c r="Q272" i="7"/>
  <c r="Q169" i="7"/>
  <c r="Q124" i="7"/>
  <c r="Q252" i="7"/>
  <c r="Q60" i="7"/>
  <c r="Q199" i="7"/>
  <c r="Q67" i="7"/>
  <c r="Q162" i="7"/>
  <c r="Q290" i="7"/>
  <c r="Q117" i="7"/>
  <c r="Q245" i="7"/>
  <c r="Q123" i="7"/>
  <c r="Q42" i="7"/>
  <c r="Q160" i="7"/>
  <c r="Q288" i="7"/>
  <c r="Q107" i="7"/>
  <c r="Q235" i="7"/>
  <c r="Q59" i="7"/>
  <c r="Q198" i="7"/>
  <c r="Q51" i="7"/>
  <c r="Q153" i="7"/>
  <c r="Q281" i="7"/>
  <c r="Q132" i="7"/>
  <c r="Q260" i="7"/>
  <c r="Q79" i="7"/>
  <c r="Q207" i="7"/>
  <c r="Q75" i="7"/>
  <c r="Q170" i="7"/>
  <c r="Q298" i="7"/>
  <c r="Q125" i="7"/>
  <c r="Q253" i="7"/>
  <c r="Q283" i="7"/>
  <c r="Q50" i="7"/>
  <c r="Q168" i="7"/>
  <c r="Q296" i="7"/>
  <c r="Q115" i="7"/>
  <c r="Q243" i="7"/>
  <c r="Q78" i="7"/>
  <c r="Q206" i="7"/>
  <c r="Q70" i="7"/>
  <c r="Q161" i="7"/>
  <c r="Q289" i="7"/>
  <c r="Q150" i="7"/>
  <c r="Q61" i="7"/>
  <c r="Q204" i="7"/>
  <c r="Q49" i="7"/>
  <c r="Q151" i="7"/>
  <c r="Q279" i="7"/>
  <c r="Q114" i="7"/>
  <c r="Q242" i="7"/>
  <c r="Q58" i="7"/>
  <c r="Q197" i="7"/>
  <c r="Q208" i="7"/>
  <c r="Q278" i="7"/>
  <c r="Q5" i="7"/>
  <c r="AX5" i="7" s="1"/>
  <c r="Q116" i="7"/>
  <c r="Q244" i="7"/>
  <c r="Q37" i="7"/>
  <c r="Q191" i="7"/>
  <c r="Q48" i="7"/>
  <c r="Q154" i="7"/>
  <c r="Q282" i="7"/>
  <c r="Q109" i="7"/>
  <c r="Q237" i="7"/>
  <c r="Q68" i="7"/>
  <c r="Q233" i="7"/>
  <c r="Q120" i="7"/>
  <c r="Q248" i="7"/>
  <c r="Q56" i="7"/>
  <c r="Q195" i="7"/>
  <c r="Q52" i="7"/>
  <c r="Q158" i="7"/>
  <c r="Q286" i="7"/>
  <c r="Q113" i="7"/>
  <c r="Q241" i="7"/>
  <c r="Q155" i="7"/>
  <c r="Q27" i="7"/>
  <c r="Q156" i="7"/>
  <c r="Q284" i="7"/>
  <c r="Q103" i="7"/>
  <c r="Q231" i="7"/>
  <c r="Q55" i="7"/>
  <c r="Q194" i="7"/>
  <c r="Q47" i="7"/>
  <c r="Q149" i="7"/>
  <c r="Q277" i="7"/>
  <c r="Q25" i="7"/>
  <c r="Q38" i="7"/>
  <c r="Q192" i="7"/>
  <c r="Q26" i="7"/>
  <c r="Q139" i="7"/>
  <c r="Q267" i="7"/>
  <c r="Q102" i="7"/>
  <c r="Q230" i="7"/>
  <c r="Q35" i="7"/>
  <c r="Q185" i="7"/>
  <c r="Q46" i="7"/>
  <c r="Q164" i="7"/>
  <c r="Q292" i="7"/>
  <c r="Q111" i="7"/>
  <c r="Q239" i="7"/>
  <c r="Q63" i="7"/>
  <c r="Q202" i="7"/>
  <c r="Q66" i="7"/>
  <c r="Q157" i="7"/>
  <c r="Q285" i="7"/>
  <c r="Q182" i="7"/>
  <c r="Q57" i="7"/>
  <c r="Q200" i="7"/>
  <c r="Q45" i="7"/>
  <c r="Q147" i="7"/>
  <c r="Q275" i="7"/>
  <c r="Q110" i="7"/>
  <c r="Q238" i="7"/>
  <c r="Q54" i="7"/>
  <c r="Q193" i="7"/>
  <c r="Q144" i="7"/>
  <c r="Q24" i="7"/>
  <c r="Q108" i="7"/>
  <c r="Q236" i="7"/>
  <c r="Q29" i="7"/>
  <c r="Q183" i="7"/>
  <c r="Q21" i="7"/>
  <c r="Q146" i="7"/>
  <c r="Q274" i="7"/>
  <c r="Q101" i="7"/>
  <c r="Q229" i="7"/>
  <c r="Q304" i="7"/>
  <c r="Q105" i="7"/>
  <c r="Q19" i="7"/>
  <c r="Q148" i="7"/>
  <c r="Q276" i="7"/>
  <c r="Q95" i="7"/>
  <c r="Q223" i="7"/>
  <c r="Q36" i="7"/>
  <c r="Q186" i="7"/>
  <c r="Q28" i="7"/>
  <c r="Q141" i="7"/>
  <c r="Q269" i="7"/>
  <c r="Q219" i="7"/>
  <c r="Q23" i="7"/>
  <c r="Q152" i="7"/>
  <c r="Q280" i="7"/>
  <c r="Q99" i="7"/>
  <c r="Q227" i="7"/>
  <c r="Q40" i="7"/>
  <c r="Q190" i="7"/>
  <c r="Q43" i="7"/>
  <c r="Q145" i="7"/>
  <c r="Q273" i="7"/>
  <c r="Q32" i="7"/>
  <c r="Q30" i="7"/>
  <c r="Q188" i="7"/>
  <c r="Q22" i="7"/>
  <c r="Q135" i="7"/>
  <c r="Q263" i="7"/>
  <c r="Q98" i="7"/>
  <c r="Q226" i="7"/>
  <c r="Q31" i="7"/>
  <c r="Q181" i="7"/>
  <c r="Q69" i="7"/>
  <c r="Q214" i="7"/>
  <c r="Q96" i="7"/>
  <c r="Q224" i="7"/>
  <c r="Q6" i="7"/>
  <c r="Q171" i="7"/>
  <c r="Q299" i="7"/>
  <c r="Q134" i="7"/>
  <c r="Q262" i="7"/>
  <c r="Q89" i="7"/>
  <c r="Q217" i="7"/>
  <c r="Q53" i="7"/>
  <c r="Q196" i="7"/>
  <c r="Q41" i="7"/>
  <c r="Q143" i="7"/>
  <c r="Q271" i="7"/>
  <c r="Q106" i="7"/>
  <c r="Q234" i="7"/>
  <c r="Q39" i="7"/>
  <c r="Q189" i="7"/>
  <c r="Q112" i="7"/>
  <c r="Q62" i="7"/>
  <c r="Q104" i="7"/>
  <c r="Q232" i="7"/>
  <c r="Q14" i="7"/>
  <c r="Q179" i="7"/>
  <c r="Q17" i="7"/>
  <c r="Q142" i="7"/>
  <c r="Q270" i="7"/>
  <c r="Q97" i="7"/>
  <c r="Q225" i="7"/>
  <c r="Q33" i="7"/>
  <c r="Q201" i="7"/>
  <c r="Q140" i="7"/>
  <c r="Q268" i="7"/>
  <c r="Q87" i="7"/>
  <c r="Q215" i="7"/>
  <c r="Q13" i="7"/>
  <c r="Q178" i="7"/>
  <c r="Q20" i="7"/>
  <c r="Q133" i="7"/>
  <c r="Q261" i="7"/>
  <c r="Q187" i="7"/>
  <c r="Q297" i="7"/>
  <c r="O23" i="6"/>
  <c r="O24" i="6" s="1"/>
  <c r="O14" i="6" s="1"/>
  <c r="Y303" i="2"/>
  <c r="X303" i="11" s="1"/>
  <c r="J2" i="2"/>
  <c r="H2" i="2"/>
  <c r="I2" i="2"/>
  <c r="H251" i="2"/>
  <c r="H124" i="2"/>
  <c r="H252" i="2"/>
  <c r="H226" i="2"/>
  <c r="H203" i="2"/>
  <c r="H76" i="2"/>
  <c r="H262" i="2"/>
  <c r="H10" i="2"/>
  <c r="H215" i="2"/>
  <c r="H195" i="2"/>
  <c r="H220" i="2"/>
  <c r="H198" i="2"/>
  <c r="H46" i="2"/>
  <c r="H32" i="2"/>
  <c r="H30" i="2"/>
  <c r="H37" i="2"/>
  <c r="H27" i="2"/>
  <c r="H274" i="2"/>
  <c r="H255" i="2"/>
  <c r="H223" i="2"/>
  <c r="H192" i="2"/>
  <c r="H160" i="2"/>
  <c r="H128" i="2"/>
  <c r="H96" i="2"/>
  <c r="H52" i="2"/>
  <c r="H277" i="2"/>
  <c r="H261" i="2"/>
  <c r="H229" i="2"/>
  <c r="H260" i="2"/>
  <c r="H206" i="2"/>
  <c r="H163" i="2"/>
  <c r="H121" i="2"/>
  <c r="H77" i="2"/>
  <c r="H293" i="2"/>
  <c r="H234" i="2"/>
  <c r="H189" i="2"/>
  <c r="H146" i="2"/>
  <c r="H103" i="2"/>
  <c r="H49" i="2"/>
  <c r="H264" i="2"/>
  <c r="H209" i="2"/>
  <c r="H166" i="2"/>
  <c r="H123" i="2"/>
  <c r="H81" i="2"/>
  <c r="H8" i="2"/>
  <c r="H191" i="2"/>
  <c r="H281" i="2"/>
  <c r="H101" i="2"/>
  <c r="H272" i="2"/>
  <c r="H95" i="2"/>
  <c r="H219" i="2"/>
  <c r="H225" i="2"/>
  <c r="H115" i="2"/>
  <c r="H256" i="2"/>
  <c r="H170" i="2"/>
  <c r="H197" i="2"/>
  <c r="H292" i="2"/>
  <c r="H88" i="2"/>
  <c r="H244" i="2"/>
  <c r="H298" i="2"/>
  <c r="H248" i="2"/>
  <c r="H22" i="2"/>
  <c r="H149" i="2"/>
  <c r="H290" i="2"/>
  <c r="H28" i="2"/>
  <c r="H6" i="2"/>
  <c r="H12" i="2"/>
  <c r="H279" i="2"/>
  <c r="H243" i="2"/>
  <c r="H271" i="2"/>
  <c r="H180" i="2"/>
  <c r="H148" i="2"/>
  <c r="H116" i="2"/>
  <c r="H84" i="2"/>
  <c r="H73" i="2"/>
  <c r="H296" i="2"/>
  <c r="H249" i="2"/>
  <c r="H33" i="2"/>
  <c r="H297" i="2"/>
  <c r="H236" i="2"/>
  <c r="H190" i="2"/>
  <c r="H147" i="2"/>
  <c r="H105" i="2"/>
  <c r="H50" i="2"/>
  <c r="H275" i="2"/>
  <c r="H214" i="2"/>
  <c r="H173" i="2"/>
  <c r="H130" i="2"/>
  <c r="H87" i="2"/>
  <c r="H60" i="2"/>
  <c r="H240" i="2"/>
  <c r="H193" i="2"/>
  <c r="H150" i="2"/>
  <c r="H107" i="2"/>
  <c r="H65" i="2"/>
  <c r="H127" i="2"/>
  <c r="H207" i="2"/>
  <c r="H202" i="2"/>
  <c r="H175" i="2"/>
  <c r="H300" i="2"/>
  <c r="H92" i="2"/>
  <c r="H201" i="2"/>
  <c r="H286" i="2"/>
  <c r="H43" i="2"/>
  <c r="H18" i="2"/>
  <c r="H74" i="2"/>
  <c r="H247" i="2"/>
  <c r="H44" i="2"/>
  <c r="H153" i="2"/>
  <c r="H178" i="2"/>
  <c r="H113" i="2"/>
  <c r="H230" i="2"/>
  <c r="H24" i="2"/>
  <c r="H21" i="2"/>
  <c r="H19" i="2"/>
  <c r="H7" i="2"/>
  <c r="H280" i="2"/>
  <c r="H239" i="2"/>
  <c r="H208" i="2"/>
  <c r="H176" i="2"/>
  <c r="H144" i="2"/>
  <c r="H112" i="2"/>
  <c r="H75" i="2"/>
  <c r="H63" i="2"/>
  <c r="H287" i="2"/>
  <c r="H245" i="2"/>
  <c r="H273" i="2"/>
  <c r="H228" i="2"/>
  <c r="H185" i="2"/>
  <c r="H142" i="2"/>
  <c r="H99" i="2"/>
  <c r="H45" i="2"/>
  <c r="H266" i="2"/>
  <c r="H210" i="2"/>
  <c r="H167" i="2"/>
  <c r="H125" i="2"/>
  <c r="H82" i="2"/>
  <c r="H289" i="2"/>
  <c r="H232" i="2"/>
  <c r="H187" i="2"/>
  <c r="H145" i="2"/>
  <c r="H102" i="2"/>
  <c r="H47" i="2"/>
  <c r="H301" i="2"/>
  <c r="H106" i="2"/>
  <c r="H186" i="2"/>
  <c r="H181" i="2"/>
  <c r="H90" i="2"/>
  <c r="H111" i="2"/>
  <c r="H133" i="2"/>
  <c r="H39" i="2"/>
  <c r="H282" i="2"/>
  <c r="H141" i="2"/>
  <c r="H120" i="2"/>
  <c r="H93" i="2"/>
  <c r="H20" i="2"/>
  <c r="H26" i="2"/>
  <c r="H38" i="2"/>
  <c r="H34" i="2"/>
  <c r="H295" i="2"/>
  <c r="H267" i="2"/>
  <c r="H235" i="2"/>
  <c r="H204" i="2"/>
  <c r="H172" i="2"/>
  <c r="H140" i="2"/>
  <c r="H108" i="2"/>
  <c r="H67" i="2"/>
  <c r="H59" i="2"/>
  <c r="H288" i="2"/>
  <c r="H241" i="2"/>
  <c r="H13" i="2"/>
  <c r="H302" i="2"/>
  <c r="H221" i="2"/>
  <c r="H179" i="2"/>
  <c r="H137" i="2"/>
  <c r="H94" i="2"/>
  <c r="H70" i="2"/>
  <c r="H258" i="2"/>
  <c r="H205" i="2"/>
  <c r="H162" i="2"/>
  <c r="H119" i="2"/>
  <c r="H71" i="2"/>
  <c r="H278" i="2"/>
  <c r="H224" i="2"/>
  <c r="H182" i="2"/>
  <c r="H139" i="2"/>
  <c r="H97" i="2"/>
  <c r="H42" i="2"/>
  <c r="H276" i="2"/>
  <c r="H85" i="2"/>
  <c r="H165" i="2"/>
  <c r="H159" i="2"/>
  <c r="H246" i="2"/>
  <c r="H16" i="2"/>
  <c r="H156" i="2"/>
  <c r="H257" i="2"/>
  <c r="H158" i="2"/>
  <c r="H183" i="2"/>
  <c r="H161" i="2"/>
  <c r="H79" i="2"/>
  <c r="H11" i="2"/>
  <c r="H184" i="2"/>
  <c r="H304" i="2"/>
  <c r="H110" i="2"/>
  <c r="H135" i="2"/>
  <c r="H155" i="2"/>
  <c r="H222" i="2"/>
  <c r="H40" i="2"/>
  <c r="H17" i="2"/>
  <c r="H31" i="2"/>
  <c r="H15" i="2"/>
  <c r="H285" i="2"/>
  <c r="H263" i="2"/>
  <c r="H231" i="2"/>
  <c r="H200" i="2"/>
  <c r="H168" i="2"/>
  <c r="H136" i="2"/>
  <c r="H104" i="2"/>
  <c r="H68" i="2"/>
  <c r="H299" i="2"/>
  <c r="H270" i="2"/>
  <c r="H237" i="2"/>
  <c r="H283" i="2"/>
  <c r="H216" i="2"/>
  <c r="H174" i="2"/>
  <c r="H131" i="2"/>
  <c r="H89" i="2"/>
  <c r="H61" i="2"/>
  <c r="H250" i="2"/>
  <c r="H199" i="2"/>
  <c r="H157" i="2"/>
  <c r="H114" i="2"/>
  <c r="H55" i="2"/>
  <c r="H294" i="2"/>
  <c r="H218" i="2"/>
  <c r="H177" i="2"/>
  <c r="H134" i="2"/>
  <c r="H91" i="2"/>
  <c r="H64" i="2"/>
  <c r="H238" i="2"/>
  <c r="H51" i="2"/>
  <c r="H143" i="2"/>
  <c r="H138" i="2"/>
  <c r="H154" i="2"/>
  <c r="H217" i="2"/>
  <c r="H14" i="2"/>
  <c r="H188" i="2"/>
  <c r="H48" i="2"/>
  <c r="H72" i="2"/>
  <c r="H98" i="2"/>
  <c r="H118" i="2"/>
  <c r="H254" i="2"/>
  <c r="H29" i="2"/>
  <c r="H152" i="2"/>
  <c r="H253" i="2"/>
  <c r="H78" i="2"/>
  <c r="H66" i="2"/>
  <c r="H54" i="2"/>
  <c r="H41" i="2"/>
  <c r="H36" i="2"/>
  <c r="H25" i="2"/>
  <c r="H35" i="2"/>
  <c r="H23" i="2"/>
  <c r="H9" i="2"/>
  <c r="H269" i="2"/>
  <c r="H259" i="2"/>
  <c r="H227" i="2"/>
  <c r="H196" i="2"/>
  <c r="H164" i="2"/>
  <c r="H132" i="2"/>
  <c r="H100" i="2"/>
  <c r="H80" i="2"/>
  <c r="H291" i="2"/>
  <c r="H265" i="2"/>
  <c r="H233" i="2"/>
  <c r="H268" i="2"/>
  <c r="H211" i="2"/>
  <c r="H169" i="2"/>
  <c r="H126" i="2"/>
  <c r="H83" i="2"/>
  <c r="H56" i="2"/>
  <c r="H242" i="2"/>
  <c r="H194" i="2"/>
  <c r="H151" i="2"/>
  <c r="H109" i="2"/>
  <c r="H69" i="2"/>
  <c r="H284" i="2"/>
  <c r="H213" i="2"/>
  <c r="H171" i="2"/>
  <c r="H129" i="2"/>
  <c r="H86" i="2"/>
  <c r="H58" i="2"/>
  <c r="H212" i="2"/>
  <c r="H57" i="2"/>
  <c r="H122" i="2"/>
  <c r="H117" i="2"/>
  <c r="H53" i="2"/>
  <c r="H62" i="2"/>
  <c r="AO9" i="2"/>
  <c r="BC9" i="2" s="1"/>
  <c r="B156" i="3"/>
  <c r="B36" i="9"/>
  <c r="D7" i="2"/>
  <c r="F7" i="2" s="1"/>
  <c r="AF5" i="7" l="1"/>
  <c r="K5" i="2" s="1"/>
  <c r="L5" i="2" s="1"/>
  <c r="BC98" i="7"/>
  <c r="AV98" i="11" s="1"/>
  <c r="AX98" i="7"/>
  <c r="BC200" i="7"/>
  <c r="AX200" i="7"/>
  <c r="Y200" i="11" s="1"/>
  <c r="BC154" i="7"/>
  <c r="BX154" i="7" s="1"/>
  <c r="AM154" i="11" s="1"/>
  <c r="AX154" i="7"/>
  <c r="Y154" i="11" s="1"/>
  <c r="BC60" i="7"/>
  <c r="BX60" i="7" s="1"/>
  <c r="AM60" i="11" s="1"/>
  <c r="AX60" i="7"/>
  <c r="BC100" i="7"/>
  <c r="BX100" i="7" s="1"/>
  <c r="AM100" i="11" s="1"/>
  <c r="AX100" i="7"/>
  <c r="Y100" i="11" s="1"/>
  <c r="BC13" i="7"/>
  <c r="CE13" i="7" s="1"/>
  <c r="AX13" i="7"/>
  <c r="BC97" i="7"/>
  <c r="AV97" i="11" s="1"/>
  <c r="AX97" i="7"/>
  <c r="BC62" i="7"/>
  <c r="AV62" i="11" s="1"/>
  <c r="AX62" i="7"/>
  <c r="BC41" i="7"/>
  <c r="BX41" i="7" s="1"/>
  <c r="AM41" i="11" s="1"/>
  <c r="AX41" i="7"/>
  <c r="Y41" i="11" s="1"/>
  <c r="BC171" i="7"/>
  <c r="BX171" i="7" s="1"/>
  <c r="AM171" i="11" s="1"/>
  <c r="AX171" i="7"/>
  <c r="Y171" i="11" s="1"/>
  <c r="BC226" i="7"/>
  <c r="CE226" i="7" s="1"/>
  <c r="AX226" i="7"/>
  <c r="Y226" i="11" s="1"/>
  <c r="BC273" i="7"/>
  <c r="AV273" i="11" s="1"/>
  <c r="AX273" i="7"/>
  <c r="BC152" i="7"/>
  <c r="AX152" i="7"/>
  <c r="BC223" i="7"/>
  <c r="CE223" i="7" s="1"/>
  <c r="AX223" i="7"/>
  <c r="Y223" i="11" s="1"/>
  <c r="BC101" i="7"/>
  <c r="AV101" i="11" s="1"/>
  <c r="AX101" i="7"/>
  <c r="Y101" i="11" s="1"/>
  <c r="BC24" i="7"/>
  <c r="AV24" i="11" s="1"/>
  <c r="AX24" i="7"/>
  <c r="BC45" i="7"/>
  <c r="BX45" i="7" s="1"/>
  <c r="AM45" i="11" s="1"/>
  <c r="AX45" i="7"/>
  <c r="Y45" i="11" s="1"/>
  <c r="BC63" i="7"/>
  <c r="BX63" i="7" s="1"/>
  <c r="AM63" i="11" s="1"/>
  <c r="AX63" i="7"/>
  <c r="BC230" i="7"/>
  <c r="AX230" i="7"/>
  <c r="BC277" i="7"/>
  <c r="AV277" i="11" s="1"/>
  <c r="AX277" i="7"/>
  <c r="BC156" i="7"/>
  <c r="BX156" i="7" s="1"/>
  <c r="AM156" i="11" s="1"/>
  <c r="AX156" i="7"/>
  <c r="Y156" i="11" s="1"/>
  <c r="BC195" i="7"/>
  <c r="CE195" i="7" s="1"/>
  <c r="AX195" i="7"/>
  <c r="Y195" i="11" s="1"/>
  <c r="BC282" i="7"/>
  <c r="CE282" i="7" s="1"/>
  <c r="AX282" i="7"/>
  <c r="Y282" i="11" s="1"/>
  <c r="BC278" i="7"/>
  <c r="AV278" i="11" s="1"/>
  <c r="AX278" i="7"/>
  <c r="BC49" i="7"/>
  <c r="AX49" i="7"/>
  <c r="Y49" i="11" s="1"/>
  <c r="BC78" i="7"/>
  <c r="AV78" i="11" s="1"/>
  <c r="AX78" i="7"/>
  <c r="Y78" i="11" s="1"/>
  <c r="BC125" i="7"/>
  <c r="AX125" i="7"/>
  <c r="Y125" i="11" s="1"/>
  <c r="BC281" i="7"/>
  <c r="AV281" i="11" s="1"/>
  <c r="AX281" i="7"/>
  <c r="BC160" i="7"/>
  <c r="BX160" i="7" s="1"/>
  <c r="AM160" i="11" s="1"/>
  <c r="AX160" i="7"/>
  <c r="Y160" i="11" s="1"/>
  <c r="BC199" i="7"/>
  <c r="BX199" i="7" s="1"/>
  <c r="AM199" i="11" s="1"/>
  <c r="AX199" i="7"/>
  <c r="BC254" i="7"/>
  <c r="AX254" i="7"/>
  <c r="BC176" i="7"/>
  <c r="AV176" i="11" s="1"/>
  <c r="AX176" i="7"/>
  <c r="BC212" i="7"/>
  <c r="BX212" i="7" s="1"/>
  <c r="AM212" i="11" s="1"/>
  <c r="AX212" i="7"/>
  <c r="Y212" i="11" s="1"/>
  <c r="BC247" i="7"/>
  <c r="BX247" i="7" s="1"/>
  <c r="AM247" i="11" s="1"/>
  <c r="AX247" i="7"/>
  <c r="Y247" i="11" s="1"/>
  <c r="BC302" i="7"/>
  <c r="BX302" i="7" s="1"/>
  <c r="AM302" i="11" s="1"/>
  <c r="AX302" i="7"/>
  <c r="Y302" i="11" s="1"/>
  <c r="BC91" i="7"/>
  <c r="AV91" i="11" s="1"/>
  <c r="AX91" i="7"/>
  <c r="BC228" i="7"/>
  <c r="AX228" i="7"/>
  <c r="Y228" i="11" s="1"/>
  <c r="BC64" i="7"/>
  <c r="BX64" i="7" s="1"/>
  <c r="AM64" i="11" s="1"/>
  <c r="AX64" i="7"/>
  <c r="Y64" i="11" s="1"/>
  <c r="BC130" i="7"/>
  <c r="BX130" i="7" s="1"/>
  <c r="AM130" i="11" s="1"/>
  <c r="AX130" i="7"/>
  <c r="Y130" i="11" s="1"/>
  <c r="BC177" i="7"/>
  <c r="AV177" i="11" s="1"/>
  <c r="AX177" i="7"/>
  <c r="BC15" i="7"/>
  <c r="CE15" i="7" s="1"/>
  <c r="AX15" i="7"/>
  <c r="Y15" i="11" s="1"/>
  <c r="BC127" i="7"/>
  <c r="CE127" i="7" s="1"/>
  <c r="AX127" i="7"/>
  <c r="BC23" i="7"/>
  <c r="AX23" i="7"/>
  <c r="BC149" i="7"/>
  <c r="AV149" i="11" s="1"/>
  <c r="AX149" i="7"/>
  <c r="BC153" i="7"/>
  <c r="BX153" i="7" s="1"/>
  <c r="AM153" i="11" s="1"/>
  <c r="AX153" i="7"/>
  <c r="Y153" i="11" s="1"/>
  <c r="BC174" i="7"/>
  <c r="BX174" i="7" s="1"/>
  <c r="AM174" i="11" s="1"/>
  <c r="AX174" i="7"/>
  <c r="Y174" i="11" s="1"/>
  <c r="BC7" i="7"/>
  <c r="BX7" i="7" s="1"/>
  <c r="AM7" i="11" s="1"/>
  <c r="AX7" i="7"/>
  <c r="Y7" i="11" s="1"/>
  <c r="BC297" i="7"/>
  <c r="BX297" i="7" s="1"/>
  <c r="AM297" i="11" s="1"/>
  <c r="AX297" i="7"/>
  <c r="BC87" i="7"/>
  <c r="AX87" i="7"/>
  <c r="BC142" i="7"/>
  <c r="BX142" i="7" s="1"/>
  <c r="AM142" i="11" s="1"/>
  <c r="AX142" i="7"/>
  <c r="Y142" i="11" s="1"/>
  <c r="BC189" i="7"/>
  <c r="BX189" i="7" s="1"/>
  <c r="AM189" i="11" s="1"/>
  <c r="AX189" i="7"/>
  <c r="Y189" i="11" s="1"/>
  <c r="BC53" i="7"/>
  <c r="CE53" i="7" s="1"/>
  <c r="AX53" i="7"/>
  <c r="BC224" i="7"/>
  <c r="BX224" i="7" s="1"/>
  <c r="AM224" i="11" s="1"/>
  <c r="AX224" i="7"/>
  <c r="Y224" i="11" s="1"/>
  <c r="BC263" i="7"/>
  <c r="BX263" i="7" s="1"/>
  <c r="AM263" i="11" s="1"/>
  <c r="AX263" i="7"/>
  <c r="BC43" i="7"/>
  <c r="AX43" i="7"/>
  <c r="BC219" i="7"/>
  <c r="CE219" i="7" s="1"/>
  <c r="AX219" i="7"/>
  <c r="BC276" i="7"/>
  <c r="BX276" i="7" s="1"/>
  <c r="AM276" i="11" s="1"/>
  <c r="AX276" i="7"/>
  <c r="Y276" i="11" s="1"/>
  <c r="BC146" i="7"/>
  <c r="CE146" i="7" s="1"/>
  <c r="AX146" i="7"/>
  <c r="Y146" i="11" s="1"/>
  <c r="BC193" i="7"/>
  <c r="BX193" i="7" s="1"/>
  <c r="AM193" i="11" s="1"/>
  <c r="AX193" i="7"/>
  <c r="Y193" i="11" s="1"/>
  <c r="BC57" i="7"/>
  <c r="BX57" i="7" s="1"/>
  <c r="AM57" i="11" s="1"/>
  <c r="AX57" i="7"/>
  <c r="BC111" i="7"/>
  <c r="AX111" i="7"/>
  <c r="BC267" i="7"/>
  <c r="BX267" i="7" s="1"/>
  <c r="AM267" i="11" s="1"/>
  <c r="AX267" i="7"/>
  <c r="BC47" i="7"/>
  <c r="BX47" i="7" s="1"/>
  <c r="AM47" i="11" s="1"/>
  <c r="AX47" i="7"/>
  <c r="Y47" i="11" s="1"/>
  <c r="BC155" i="7"/>
  <c r="CE155" i="7" s="1"/>
  <c r="AX155" i="7"/>
  <c r="BC248" i="7"/>
  <c r="BX248" i="7" s="1"/>
  <c r="AM248" i="11" s="1"/>
  <c r="AX248" i="7"/>
  <c r="Y248" i="11" s="1"/>
  <c r="BC48" i="7"/>
  <c r="Y48" i="11" s="1"/>
  <c r="AX48" i="7"/>
  <c r="BC197" i="7"/>
  <c r="AX197" i="7"/>
  <c r="BC61" i="7"/>
  <c r="BX61" i="7" s="1"/>
  <c r="AM61" i="11" s="1"/>
  <c r="AX61" i="7"/>
  <c r="BC115" i="7"/>
  <c r="CE115" i="7" s="1"/>
  <c r="AX115" i="7"/>
  <c r="Y115" i="11" s="1"/>
  <c r="BC170" i="7"/>
  <c r="BX170" i="7" s="1"/>
  <c r="AM170" i="11" s="1"/>
  <c r="AX170" i="7"/>
  <c r="Y170" i="11" s="1"/>
  <c r="BC51" i="7"/>
  <c r="BX51" i="7" s="1"/>
  <c r="AM51" i="11" s="1"/>
  <c r="AX51" i="7"/>
  <c r="Y51" i="11" s="1"/>
  <c r="BC123" i="7"/>
  <c r="BX123" i="7" s="1"/>
  <c r="AM123" i="11" s="1"/>
  <c r="AX123" i="7"/>
  <c r="BC252" i="7"/>
  <c r="AX252" i="7"/>
  <c r="BC291" i="7"/>
  <c r="AV291" i="11" s="1"/>
  <c r="AX291" i="7"/>
  <c r="BC77" i="7"/>
  <c r="BX77" i="7" s="1"/>
  <c r="AM77" i="11" s="1"/>
  <c r="AX77" i="7"/>
  <c r="Y77" i="11" s="1"/>
  <c r="BC86" i="7"/>
  <c r="BX86" i="7" s="1"/>
  <c r="AM86" i="11" s="1"/>
  <c r="AX86" i="7"/>
  <c r="BC300" i="7"/>
  <c r="BX300" i="7" s="1"/>
  <c r="AM300" i="11" s="1"/>
  <c r="AX300" i="7"/>
  <c r="Y300" i="11" s="1"/>
  <c r="BC9" i="7"/>
  <c r="CE9" i="7" s="1"/>
  <c r="AX9" i="7"/>
  <c r="BC93" i="7"/>
  <c r="AX93" i="7"/>
  <c r="BC249" i="7"/>
  <c r="BX249" i="7" s="1"/>
  <c r="AM249" i="11" s="1"/>
  <c r="AX249" i="7"/>
  <c r="BC128" i="7"/>
  <c r="BX128" i="7" s="1"/>
  <c r="AM128" i="11" s="1"/>
  <c r="AX128" i="7"/>
  <c r="Y128" i="11" s="1"/>
  <c r="BC167" i="7"/>
  <c r="BX167" i="7" s="1"/>
  <c r="AM167" i="11" s="1"/>
  <c r="AX167" i="7"/>
  <c r="Y167" i="11" s="1"/>
  <c r="BC222" i="7"/>
  <c r="CE222" i="7" s="1"/>
  <c r="AX222" i="7"/>
  <c r="Y222" i="11" s="1"/>
  <c r="BC301" i="7"/>
  <c r="BX301" i="7" s="1"/>
  <c r="AM301" i="11" s="1"/>
  <c r="AX301" i="7"/>
  <c r="BC180" i="7"/>
  <c r="AV180" i="11" s="1"/>
  <c r="AX180" i="7"/>
  <c r="BC112" i="7"/>
  <c r="AX112" i="7"/>
  <c r="BC274" i="7"/>
  <c r="AV274" i="11" s="1"/>
  <c r="AX274" i="7"/>
  <c r="Y274" i="11" s="1"/>
  <c r="BC56" i="7"/>
  <c r="BX56" i="7" s="1"/>
  <c r="AM56" i="11" s="1"/>
  <c r="AX56" i="7"/>
  <c r="BC42" i="7"/>
  <c r="BX42" i="7" s="1"/>
  <c r="AM42" i="11" s="1"/>
  <c r="AX42" i="7"/>
  <c r="Y42" i="11" s="1"/>
  <c r="BC221" i="7"/>
  <c r="CE221" i="7" s="1"/>
  <c r="AX221" i="7"/>
  <c r="BC187" i="7"/>
  <c r="CE187" i="7" s="1"/>
  <c r="AX187" i="7"/>
  <c r="BC268" i="7"/>
  <c r="BX268" i="7" s="1"/>
  <c r="AM268" i="11" s="1"/>
  <c r="AX268" i="7"/>
  <c r="BC17" i="7"/>
  <c r="BX17" i="7" s="1"/>
  <c r="AM17" i="11" s="1"/>
  <c r="AX17" i="7"/>
  <c r="Y17" i="11" s="1"/>
  <c r="BC39" i="7"/>
  <c r="BX39" i="7" s="1"/>
  <c r="AM39" i="11" s="1"/>
  <c r="AX39" i="7"/>
  <c r="Y39" i="11" s="1"/>
  <c r="BC217" i="7"/>
  <c r="CE217" i="7" s="1"/>
  <c r="AX217" i="7"/>
  <c r="Y217" i="11" s="1"/>
  <c r="BC96" i="7"/>
  <c r="CE96" i="7" s="1"/>
  <c r="AX96" i="7"/>
  <c r="BC135" i="7"/>
  <c r="AX135" i="7"/>
  <c r="BC190" i="7"/>
  <c r="BX190" i="7" s="1"/>
  <c r="AM190" i="11" s="1"/>
  <c r="AX190" i="7"/>
  <c r="BC269" i="7"/>
  <c r="CE269" i="7" s="1"/>
  <c r="AX269" i="7"/>
  <c r="Y269" i="11" s="1"/>
  <c r="BC148" i="7"/>
  <c r="BX148" i="7" s="1"/>
  <c r="AM148" i="11" s="1"/>
  <c r="AX148" i="7"/>
  <c r="BC21" i="7"/>
  <c r="CE21" i="7" s="1"/>
  <c r="AX21" i="7"/>
  <c r="BC54" i="7"/>
  <c r="CE54" i="7" s="1"/>
  <c r="AX54" i="7"/>
  <c r="BC182" i="7"/>
  <c r="AX182" i="7"/>
  <c r="BC292" i="7"/>
  <c r="BX292" i="7" s="1"/>
  <c r="AM292" i="11" s="1"/>
  <c r="AX292" i="7"/>
  <c r="BC139" i="7"/>
  <c r="BX139" i="7" s="1"/>
  <c r="AM139" i="11" s="1"/>
  <c r="AX139" i="7"/>
  <c r="Y139" i="11" s="1"/>
  <c r="BC194" i="7"/>
  <c r="BX194" i="7" s="1"/>
  <c r="AM194" i="11" s="1"/>
  <c r="AX194" i="7"/>
  <c r="Y194" i="11" s="1"/>
  <c r="BC241" i="7"/>
  <c r="BX241" i="7" s="1"/>
  <c r="AM241" i="11" s="1"/>
  <c r="AX241" i="7"/>
  <c r="Y241" i="11" s="1"/>
  <c r="BC120" i="7"/>
  <c r="CE120" i="7" s="1"/>
  <c r="AX120" i="7"/>
  <c r="BC191" i="7"/>
  <c r="AX191" i="7"/>
  <c r="BC58" i="7"/>
  <c r="BX58" i="7" s="1"/>
  <c r="AM58" i="11" s="1"/>
  <c r="AX58" i="7"/>
  <c r="BC150" i="7"/>
  <c r="BX150" i="7" s="1"/>
  <c r="AM150" i="11" s="1"/>
  <c r="AX150" i="7"/>
  <c r="Y150" i="11" s="1"/>
  <c r="BC296" i="7"/>
  <c r="CE296" i="7" s="1"/>
  <c r="AX296" i="7"/>
  <c r="BC75" i="7"/>
  <c r="CE75" i="7" s="1"/>
  <c r="AX75" i="7"/>
  <c r="Y75" i="11" s="1"/>
  <c r="BC198" i="7"/>
  <c r="BX198" i="7" s="1"/>
  <c r="AM198" i="11" s="1"/>
  <c r="AX198" i="7"/>
  <c r="BC245" i="7"/>
  <c r="BX245" i="7" s="1"/>
  <c r="AM245" i="11" s="1"/>
  <c r="AX245" i="7"/>
  <c r="BC124" i="7"/>
  <c r="BX124" i="7" s="1"/>
  <c r="AM124" i="11" s="1"/>
  <c r="AX124" i="7"/>
  <c r="BC163" i="7"/>
  <c r="BX163" i="7" s="1"/>
  <c r="AM163" i="11" s="1"/>
  <c r="AX163" i="7"/>
  <c r="BC250" i="7"/>
  <c r="CE250" i="7" s="1"/>
  <c r="AX250" i="7"/>
  <c r="BC293" i="7"/>
  <c r="CE293" i="7" s="1"/>
  <c r="AX293" i="7"/>
  <c r="Y293" i="11" s="1"/>
  <c r="BC172" i="7"/>
  <c r="BX172" i="7" s="1"/>
  <c r="AM172" i="11" s="1"/>
  <c r="AX172" i="7"/>
  <c r="BC211" i="7"/>
  <c r="CE211" i="7" s="1"/>
  <c r="AX211" i="7"/>
  <c r="Y211" i="11" s="1"/>
  <c r="BC266" i="7"/>
  <c r="CE266" i="7" s="1"/>
  <c r="AX266" i="7"/>
  <c r="Y266" i="11" s="1"/>
  <c r="BC121" i="7"/>
  <c r="BX121" i="7" s="1"/>
  <c r="AM121" i="11" s="1"/>
  <c r="AX121" i="7"/>
  <c r="Y121" i="11" s="1"/>
  <c r="BC137" i="7"/>
  <c r="CE137" i="7" s="1"/>
  <c r="AX137" i="7"/>
  <c r="BC11" i="7"/>
  <c r="BX11" i="7" s="1"/>
  <c r="AM11" i="11" s="1"/>
  <c r="AX11" i="7"/>
  <c r="Y11" i="11" s="1"/>
  <c r="BC94" i="7"/>
  <c r="BX94" i="7" s="1"/>
  <c r="AM94" i="11" s="1"/>
  <c r="AX94" i="7"/>
  <c r="BC173" i="7"/>
  <c r="BX173" i="7" s="1"/>
  <c r="AM173" i="11" s="1"/>
  <c r="AX173" i="7"/>
  <c r="BC73" i="7"/>
  <c r="CE73" i="7" s="1"/>
  <c r="AX73" i="7"/>
  <c r="BC196" i="7"/>
  <c r="AV196" i="11" s="1"/>
  <c r="AX196" i="7"/>
  <c r="Y196" i="11" s="1"/>
  <c r="BC144" i="7"/>
  <c r="BX144" i="7" s="1"/>
  <c r="AM144" i="11" s="1"/>
  <c r="AX144" i="7"/>
  <c r="Y144" i="11" s="1"/>
  <c r="BC204" i="7"/>
  <c r="BX204" i="7" s="1"/>
  <c r="AM204" i="11" s="1"/>
  <c r="AX204" i="7"/>
  <c r="Y204" i="11" s="1"/>
  <c r="BC205" i="7"/>
  <c r="AV205" i="11" s="1"/>
  <c r="AX205" i="7"/>
  <c r="BC16" i="7"/>
  <c r="AV16" i="11" s="1"/>
  <c r="AX16" i="7"/>
  <c r="BC261" i="7"/>
  <c r="AV261" i="11" s="1"/>
  <c r="AX261" i="7"/>
  <c r="Y261" i="11" s="1"/>
  <c r="BC140" i="7"/>
  <c r="BX140" i="7" s="1"/>
  <c r="AM140" i="11" s="1"/>
  <c r="AX140" i="7"/>
  <c r="Y140" i="11" s="1"/>
  <c r="BC179" i="7"/>
  <c r="AV179" i="11" s="1"/>
  <c r="AX179" i="7"/>
  <c r="BC234" i="7"/>
  <c r="CE234" i="7" s="1"/>
  <c r="AX234" i="7"/>
  <c r="Y234" i="11" s="1"/>
  <c r="BC89" i="7"/>
  <c r="BX89" i="7" s="1"/>
  <c r="AM89" i="11" s="1"/>
  <c r="AX89" i="7"/>
  <c r="BC214" i="7"/>
  <c r="BX214" i="7" s="1"/>
  <c r="AM214" i="11" s="1"/>
  <c r="AX214" i="7"/>
  <c r="BC22" i="7"/>
  <c r="AV22" i="11" s="1"/>
  <c r="AX22" i="7"/>
  <c r="BC40" i="7"/>
  <c r="CE40" i="7" s="1"/>
  <c r="AX40" i="7"/>
  <c r="Y40" i="11" s="1"/>
  <c r="BC141" i="7"/>
  <c r="BX141" i="7" s="1"/>
  <c r="AM141" i="11" s="1"/>
  <c r="AX141" i="7"/>
  <c r="Y141" i="11" s="1"/>
  <c r="BC19" i="7"/>
  <c r="CE19" i="7" s="1"/>
  <c r="AX19" i="7"/>
  <c r="Y19" i="11" s="1"/>
  <c r="BC183" i="7"/>
  <c r="AV183" i="11" s="1"/>
  <c r="AX183" i="7"/>
  <c r="BC238" i="7"/>
  <c r="AX238" i="7"/>
  <c r="Y238" i="11" s="1"/>
  <c r="BC285" i="7"/>
  <c r="CE285" i="7" s="1"/>
  <c r="AX285" i="7"/>
  <c r="Y285" i="11" s="1"/>
  <c r="BC164" i="7"/>
  <c r="CE164" i="7" s="1"/>
  <c r="AX164" i="7"/>
  <c r="Y164" i="11" s="1"/>
  <c r="BC26" i="7"/>
  <c r="AV26" i="11" s="1"/>
  <c r="AX26" i="7"/>
  <c r="BC55" i="7"/>
  <c r="BX55" i="7" s="1"/>
  <c r="AM55" i="11" s="1"/>
  <c r="AX55" i="7"/>
  <c r="Y55" i="11" s="1"/>
  <c r="BC113" i="7"/>
  <c r="BX113" i="7" s="1"/>
  <c r="AM113" i="11" s="1"/>
  <c r="AX113" i="7"/>
  <c r="BC233" i="7"/>
  <c r="AX233" i="7"/>
  <c r="BC37" i="7"/>
  <c r="AV37" i="11" s="1"/>
  <c r="AX37" i="7"/>
  <c r="BC242" i="7"/>
  <c r="AV242" i="11" s="1"/>
  <c r="AX242" i="7"/>
  <c r="BC289" i="7"/>
  <c r="AV289" i="11" s="1"/>
  <c r="AX289" i="7"/>
  <c r="Y289" i="11" s="1"/>
  <c r="BC168" i="7"/>
  <c r="BX168" i="7" s="1"/>
  <c r="AM168" i="11" s="1"/>
  <c r="AX168" i="7"/>
  <c r="Y168" i="11" s="1"/>
  <c r="BC207" i="7"/>
  <c r="AV207" i="11" s="1"/>
  <c r="AX207" i="7"/>
  <c r="BC59" i="7"/>
  <c r="AV59" i="11" s="1"/>
  <c r="AX59" i="7"/>
  <c r="BC117" i="7"/>
  <c r="AV117" i="11" s="1"/>
  <c r="AX117" i="7"/>
  <c r="Y117" i="11" s="1"/>
  <c r="BC169" i="7"/>
  <c r="CE169" i="7" s="1"/>
  <c r="AX169" i="7"/>
  <c r="Y169" i="11" s="1"/>
  <c r="BC76" i="7"/>
  <c r="AV76" i="11" s="1"/>
  <c r="AX76" i="7"/>
  <c r="BC122" i="7"/>
  <c r="CE122" i="7" s="1"/>
  <c r="AX122" i="7"/>
  <c r="Y122" i="11" s="1"/>
  <c r="BC165" i="7"/>
  <c r="BX165" i="7" s="1"/>
  <c r="AM165" i="11" s="1"/>
  <c r="AX165" i="7"/>
  <c r="BC65" i="7"/>
  <c r="AX65" i="7"/>
  <c r="BC83" i="7"/>
  <c r="AV83" i="11" s="1"/>
  <c r="AX83" i="7"/>
  <c r="BC138" i="7"/>
  <c r="BX138" i="7" s="1"/>
  <c r="AM138" i="11" s="1"/>
  <c r="AX138" i="7"/>
  <c r="Y138" i="11" s="1"/>
  <c r="BC294" i="7"/>
  <c r="BX294" i="7" s="1"/>
  <c r="AM294" i="11" s="1"/>
  <c r="AX294" i="7"/>
  <c r="Y294" i="11" s="1"/>
  <c r="BC240" i="7"/>
  <c r="BX240" i="7" s="1"/>
  <c r="AM240" i="11" s="1"/>
  <c r="AX240" i="7"/>
  <c r="Y240" i="11" s="1"/>
  <c r="BC220" i="7"/>
  <c r="AV220" i="11" s="1"/>
  <c r="AX220" i="7"/>
  <c r="BC259" i="7"/>
  <c r="BX259" i="7" s="1"/>
  <c r="AM259" i="11" s="1"/>
  <c r="AX259" i="7"/>
  <c r="BC12" i="7"/>
  <c r="AV12" i="11" s="1"/>
  <c r="AX12" i="7"/>
  <c r="Y12" i="11" s="1"/>
  <c r="BC215" i="7"/>
  <c r="BX215" i="7" s="1"/>
  <c r="AM215" i="11" s="1"/>
  <c r="AX215" i="7"/>
  <c r="Y215" i="11" s="1"/>
  <c r="BC145" i="7"/>
  <c r="AV145" i="11" s="1"/>
  <c r="AX145" i="7"/>
  <c r="BC239" i="7"/>
  <c r="BX239" i="7" s="1"/>
  <c r="AM239" i="11" s="1"/>
  <c r="AX239" i="7"/>
  <c r="Y239" i="11" s="1"/>
  <c r="BC208" i="7"/>
  <c r="CE208" i="7" s="1"/>
  <c r="AX208" i="7"/>
  <c r="BC126" i="7"/>
  <c r="AX126" i="7"/>
  <c r="BC256" i="7"/>
  <c r="BX256" i="7" s="1"/>
  <c r="AM256" i="11" s="1"/>
  <c r="AX256" i="7"/>
  <c r="BC133" i="7"/>
  <c r="BX133" i="7" s="1"/>
  <c r="AM133" i="11" s="1"/>
  <c r="AX133" i="7"/>
  <c r="BC201" i="7"/>
  <c r="CE201" i="7" s="1"/>
  <c r="AX201" i="7"/>
  <c r="Y201" i="11" s="1"/>
  <c r="BC14" i="7"/>
  <c r="BX14" i="7" s="1"/>
  <c r="AM14" i="11" s="1"/>
  <c r="AX14" i="7"/>
  <c r="Y14" i="11" s="1"/>
  <c r="BC106" i="7"/>
  <c r="BX106" i="7" s="1"/>
  <c r="AM106" i="11" s="1"/>
  <c r="AX106" i="7"/>
  <c r="BC262" i="7"/>
  <c r="AX262" i="7"/>
  <c r="Y262" i="11" s="1"/>
  <c r="BC69" i="7"/>
  <c r="BX69" i="7" s="1"/>
  <c r="AM69" i="11" s="1"/>
  <c r="AX69" i="7"/>
  <c r="Y69" i="11" s="1"/>
  <c r="BC188" i="7"/>
  <c r="CE188" i="7" s="1"/>
  <c r="AX188" i="7"/>
  <c r="Y188" i="11" s="1"/>
  <c r="BC227" i="7"/>
  <c r="BX227" i="7" s="1"/>
  <c r="AM227" i="11" s="1"/>
  <c r="AX227" i="7"/>
  <c r="BC28" i="7"/>
  <c r="CE28" i="7" s="1"/>
  <c r="AX28" i="7"/>
  <c r="Y28" i="11" s="1"/>
  <c r="BC105" i="7"/>
  <c r="BX105" i="7" s="1"/>
  <c r="AM105" i="11" s="1"/>
  <c r="AX105" i="7"/>
  <c r="BC29" i="7"/>
  <c r="AX29" i="7"/>
  <c r="BC110" i="7"/>
  <c r="CE110" i="7" s="1"/>
  <c r="AX110" i="7"/>
  <c r="BC157" i="7"/>
  <c r="BX157" i="7" s="1"/>
  <c r="AM157" i="11" s="1"/>
  <c r="AX157" i="7"/>
  <c r="BC46" i="7"/>
  <c r="BX46" i="7" s="1"/>
  <c r="AM46" i="11" s="1"/>
  <c r="AX46" i="7"/>
  <c r="Y46" i="11" s="1"/>
  <c r="BC192" i="7"/>
  <c r="BX192" i="7" s="1"/>
  <c r="AM192" i="11" s="1"/>
  <c r="AX192" i="7"/>
  <c r="Y192" i="11" s="1"/>
  <c r="BC231" i="7"/>
  <c r="BX231" i="7" s="1"/>
  <c r="AM231" i="11" s="1"/>
  <c r="AX231" i="7"/>
  <c r="BC286" i="7"/>
  <c r="AX286" i="7"/>
  <c r="Y286" i="11" s="1"/>
  <c r="BC68" i="7"/>
  <c r="BX68" i="7" s="1"/>
  <c r="AM68" i="11" s="1"/>
  <c r="AX68" i="7"/>
  <c r="Y68" i="11" s="1"/>
  <c r="BC244" i="7"/>
  <c r="BX244" i="7" s="1"/>
  <c r="AM244" i="11" s="1"/>
  <c r="AX244" i="7"/>
  <c r="Y244" i="11" s="1"/>
  <c r="BC114" i="7"/>
  <c r="BX114" i="7" s="1"/>
  <c r="AM114" i="11" s="1"/>
  <c r="AX114" i="7"/>
  <c r="BC161" i="7"/>
  <c r="AV161" i="11" s="1"/>
  <c r="AX161" i="7"/>
  <c r="Y161" i="11" s="1"/>
  <c r="BC50" i="7"/>
  <c r="BX50" i="7" s="1"/>
  <c r="AM50" i="11" s="1"/>
  <c r="AX50" i="7"/>
  <c r="BC79" i="7"/>
  <c r="AX79" i="7"/>
  <c r="BC235" i="7"/>
  <c r="CE235" i="7" s="1"/>
  <c r="AX235" i="7"/>
  <c r="BC290" i="7"/>
  <c r="BX290" i="7" s="1"/>
  <c r="AM290" i="11" s="1"/>
  <c r="AX290" i="7"/>
  <c r="Y290" i="11" s="1"/>
  <c r="BC272" i="7"/>
  <c r="BX272" i="7" s="1"/>
  <c r="AM272" i="11" s="1"/>
  <c r="AX272" i="7"/>
  <c r="Y272" i="11" s="1"/>
  <c r="BC216" i="7"/>
  <c r="BX216" i="7" s="1"/>
  <c r="AM216" i="11" s="1"/>
  <c r="AX216" i="7"/>
  <c r="Y216" i="11" s="1"/>
  <c r="BC287" i="7"/>
  <c r="BX287" i="7" s="1"/>
  <c r="AM287" i="11" s="1"/>
  <c r="AX287" i="7"/>
  <c r="BC74" i="7"/>
  <c r="AV74" i="11" s="1"/>
  <c r="AX74" i="7"/>
  <c r="BC251" i="7"/>
  <c r="AV251" i="11" s="1"/>
  <c r="AX251" i="7"/>
  <c r="Y251" i="11" s="1"/>
  <c r="BC264" i="7"/>
  <c r="BX264" i="7" s="1"/>
  <c r="AM264" i="11" s="1"/>
  <c r="AX264" i="7"/>
  <c r="Y264" i="11" s="1"/>
  <c r="BC303" i="7"/>
  <c r="BX303" i="7" s="1"/>
  <c r="AM303" i="11" s="1"/>
  <c r="AX303" i="7"/>
  <c r="BC166" i="7"/>
  <c r="BX166" i="7" s="1"/>
  <c r="AM166" i="11" s="1"/>
  <c r="AX166" i="7"/>
  <c r="Y166" i="11" s="1"/>
  <c r="BC213" i="7"/>
  <c r="CE213" i="7" s="1"/>
  <c r="AX213" i="7"/>
  <c r="BC92" i="7"/>
  <c r="AX92" i="7"/>
  <c r="BC131" i="7"/>
  <c r="BX131" i="7" s="1"/>
  <c r="AM131" i="11" s="1"/>
  <c r="AX131" i="7"/>
  <c r="BC218" i="7"/>
  <c r="BX218" i="7" s="1"/>
  <c r="AM218" i="11" s="1"/>
  <c r="AX218" i="7"/>
  <c r="Y218" i="11" s="1"/>
  <c r="BC270" i="7"/>
  <c r="BX270" i="7" s="1"/>
  <c r="AM270" i="11" s="1"/>
  <c r="AX270" i="7"/>
  <c r="BC95" i="7"/>
  <c r="BX95" i="7" s="1"/>
  <c r="AM95" i="11" s="1"/>
  <c r="AX95" i="7"/>
  <c r="Y95" i="11" s="1"/>
  <c r="BC27" i="7"/>
  <c r="BX27" i="7" s="1"/>
  <c r="AM27" i="11" s="1"/>
  <c r="AX27" i="7"/>
  <c r="BC298" i="7"/>
  <c r="AV298" i="11" s="1"/>
  <c r="AX298" i="7"/>
  <c r="Y298" i="11" s="1"/>
  <c r="BC119" i="7"/>
  <c r="AX119" i="7"/>
  <c r="Y119" i="11" s="1"/>
  <c r="BC118" i="7"/>
  <c r="BX118" i="7" s="1"/>
  <c r="AM118" i="11" s="1"/>
  <c r="AX118" i="7"/>
  <c r="Y118" i="11" s="1"/>
  <c r="BC20" i="7"/>
  <c r="AV20" i="11" s="1"/>
  <c r="AX20" i="7"/>
  <c r="BC33" i="7"/>
  <c r="BX33" i="7" s="1"/>
  <c r="AM33" i="11" s="1"/>
  <c r="AX33" i="7"/>
  <c r="Y33" i="11" s="1"/>
  <c r="BC232" i="7"/>
  <c r="BX232" i="7" s="1"/>
  <c r="AM232" i="11" s="1"/>
  <c r="AX232" i="7"/>
  <c r="BC271" i="7"/>
  <c r="AX271" i="7"/>
  <c r="BC134" i="7"/>
  <c r="AV134" i="11" s="1"/>
  <c r="AX134" i="7"/>
  <c r="BC181" i="7"/>
  <c r="CE181" i="7" s="1"/>
  <c r="AX181" i="7"/>
  <c r="Y181" i="11" s="1"/>
  <c r="BC30" i="7"/>
  <c r="BX30" i="7" s="1"/>
  <c r="AM30" i="11" s="1"/>
  <c r="AX30" i="7"/>
  <c r="Y30" i="11" s="1"/>
  <c r="BC99" i="7"/>
  <c r="BX99" i="7" s="1"/>
  <c r="AM99" i="11" s="1"/>
  <c r="AX99" i="7"/>
  <c r="Y99" i="11" s="1"/>
  <c r="BC186" i="7"/>
  <c r="AV186" i="11" s="1"/>
  <c r="AX186" i="7"/>
  <c r="BC304" i="7"/>
  <c r="AX304" i="7"/>
  <c r="BC236" i="7"/>
  <c r="BX236" i="7" s="1"/>
  <c r="AM236" i="11" s="1"/>
  <c r="AX236" i="7"/>
  <c r="Y236" i="11" s="1"/>
  <c r="BC275" i="7"/>
  <c r="CE275" i="7" s="1"/>
  <c r="AX275" i="7"/>
  <c r="Y275" i="11" s="1"/>
  <c r="BC66" i="7"/>
  <c r="AV66" i="11" s="1"/>
  <c r="AX66" i="7"/>
  <c r="BC185" i="7"/>
  <c r="CE185" i="7" s="1"/>
  <c r="AX185" i="7"/>
  <c r="Y185" i="11" s="1"/>
  <c r="BC38" i="7"/>
  <c r="BX38" i="7" s="1"/>
  <c r="AM38" i="11" s="1"/>
  <c r="AX38" i="7"/>
  <c r="BC103" i="7"/>
  <c r="AX103" i="7"/>
  <c r="Y103" i="11" s="1"/>
  <c r="BC158" i="7"/>
  <c r="AV158" i="11" s="1"/>
  <c r="AX158" i="7"/>
  <c r="BC237" i="7"/>
  <c r="CE237" i="7" s="1"/>
  <c r="AX237" i="7"/>
  <c r="Y237" i="11" s="1"/>
  <c r="BC116" i="7"/>
  <c r="BX116" i="7" s="1"/>
  <c r="AM116" i="11" s="1"/>
  <c r="AX116" i="7"/>
  <c r="Y116" i="11" s="1"/>
  <c r="BC279" i="7"/>
  <c r="BX279" i="7" s="1"/>
  <c r="AM279" i="11" s="1"/>
  <c r="AX279" i="7"/>
  <c r="Y279" i="11" s="1"/>
  <c r="BC70" i="7"/>
  <c r="AV70" i="11" s="1"/>
  <c r="AX70" i="7"/>
  <c r="BC283" i="7"/>
  <c r="BX283" i="7" s="1"/>
  <c r="AM283" i="11" s="1"/>
  <c r="AX283" i="7"/>
  <c r="BC260" i="7"/>
  <c r="BX260" i="7" s="1"/>
  <c r="AM260" i="11" s="1"/>
  <c r="AX260" i="7"/>
  <c r="Y260" i="11" s="1"/>
  <c r="BC107" i="7"/>
  <c r="BX107" i="7" s="1"/>
  <c r="AM107" i="11" s="1"/>
  <c r="AX107" i="7"/>
  <c r="Y107" i="11" s="1"/>
  <c r="BC162" i="7"/>
  <c r="AV162" i="11" s="1"/>
  <c r="AX162" i="7"/>
  <c r="BC209" i="7"/>
  <c r="BX209" i="7" s="1"/>
  <c r="AM209" i="11" s="1"/>
  <c r="AX209" i="7"/>
  <c r="Y209" i="11" s="1"/>
  <c r="BC88" i="7"/>
  <c r="BX88" i="7" s="1"/>
  <c r="AM88" i="11" s="1"/>
  <c r="AX88" i="7"/>
  <c r="BC159" i="7"/>
  <c r="AX159" i="7"/>
  <c r="Y159" i="11" s="1"/>
  <c r="BC210" i="7"/>
  <c r="AV210" i="11" s="1"/>
  <c r="AX210" i="7"/>
  <c r="BC257" i="7"/>
  <c r="AX257" i="7"/>
  <c r="BC136" i="7"/>
  <c r="BX136" i="7" s="1"/>
  <c r="AM136" i="11" s="1"/>
  <c r="AX136" i="7"/>
  <c r="BC175" i="7"/>
  <c r="CE175" i="7" s="1"/>
  <c r="AX175" i="7"/>
  <c r="Y175" i="11" s="1"/>
  <c r="BC71" i="7"/>
  <c r="AV71" i="11" s="1"/>
  <c r="AX71" i="7"/>
  <c r="BC85" i="7"/>
  <c r="AV85" i="11" s="1"/>
  <c r="AX85" i="7"/>
  <c r="Y85" i="11" s="1"/>
  <c r="BC246" i="7"/>
  <c r="AV246" i="11" s="1"/>
  <c r="AX246" i="7"/>
  <c r="Y246" i="11" s="1"/>
  <c r="BC18" i="7"/>
  <c r="AV18" i="11" s="1"/>
  <c r="AX18" i="7"/>
  <c r="Y18" i="11" s="1"/>
  <c r="BC90" i="7"/>
  <c r="AV90" i="11" s="1"/>
  <c r="AX90" i="7"/>
  <c r="BC6" i="7"/>
  <c r="AV6" i="11" s="1"/>
  <c r="AX6" i="7"/>
  <c r="BC102" i="7"/>
  <c r="CE102" i="7" s="1"/>
  <c r="AX102" i="7"/>
  <c r="BC243" i="7"/>
  <c r="AV243" i="11" s="1"/>
  <c r="AX243" i="7"/>
  <c r="Y243" i="11" s="1"/>
  <c r="BC84" i="7"/>
  <c r="CE84" i="7" s="1"/>
  <c r="AX84" i="7"/>
  <c r="BC295" i="7"/>
  <c r="AV295" i="11" s="1"/>
  <c r="AX295" i="7"/>
  <c r="BC178" i="7"/>
  <c r="BX178" i="7" s="1"/>
  <c r="AM178" i="11" s="1"/>
  <c r="AX178" i="7"/>
  <c r="Y178" i="11" s="1"/>
  <c r="BC225" i="7"/>
  <c r="CE225" i="7" s="1"/>
  <c r="AX225" i="7"/>
  <c r="Y225" i="11" s="1"/>
  <c r="BC104" i="7"/>
  <c r="AV104" i="11" s="1"/>
  <c r="AX104" i="7"/>
  <c r="BC143" i="7"/>
  <c r="AX143" i="7"/>
  <c r="BC299" i="7"/>
  <c r="BX299" i="7" s="1"/>
  <c r="AM299" i="11" s="1"/>
  <c r="AX299" i="7"/>
  <c r="Y299" i="11" s="1"/>
  <c r="BC31" i="7"/>
  <c r="AV31" i="11" s="1"/>
  <c r="AX31" i="7"/>
  <c r="Y31" i="11" s="1"/>
  <c r="BC32" i="7"/>
  <c r="AV32" i="11" s="1"/>
  <c r="AX32" i="7"/>
  <c r="BC280" i="7"/>
  <c r="CE280" i="7" s="1"/>
  <c r="AX280" i="7"/>
  <c r="Y280" i="11" s="1"/>
  <c r="BC36" i="7"/>
  <c r="BX36" i="7" s="1"/>
  <c r="AM36" i="11" s="1"/>
  <c r="AX36" i="7"/>
  <c r="BC229" i="7"/>
  <c r="AX229" i="7"/>
  <c r="Y229" i="11" s="1"/>
  <c r="BC108" i="7"/>
  <c r="AV108" i="11" s="1"/>
  <c r="AX108" i="7"/>
  <c r="BC147" i="7"/>
  <c r="BX147" i="7" s="1"/>
  <c r="AM147" i="11" s="1"/>
  <c r="AX147" i="7"/>
  <c r="Y147" i="11" s="1"/>
  <c r="BC202" i="7"/>
  <c r="BX202" i="7" s="1"/>
  <c r="AM202" i="11" s="1"/>
  <c r="AX202" i="7"/>
  <c r="Y202" i="11" s="1"/>
  <c r="BC35" i="7"/>
  <c r="BX35" i="7" s="1"/>
  <c r="AM35" i="11" s="1"/>
  <c r="AX35" i="7"/>
  <c r="Y35" i="11" s="1"/>
  <c r="BC25" i="7"/>
  <c r="AV25" i="11" s="1"/>
  <c r="AX25" i="7"/>
  <c r="BC284" i="7"/>
  <c r="BX284" i="7" s="1"/>
  <c r="AM284" i="11" s="1"/>
  <c r="AX284" i="7"/>
  <c r="BC52" i="7"/>
  <c r="BX52" i="7" s="1"/>
  <c r="AM52" i="11" s="1"/>
  <c r="AX52" i="7"/>
  <c r="Y52" i="11" s="1"/>
  <c r="BC109" i="7"/>
  <c r="BX109" i="7" s="1"/>
  <c r="AM109" i="11" s="1"/>
  <c r="AX109" i="7"/>
  <c r="Y109" i="11" s="1"/>
  <c r="BC151" i="7"/>
  <c r="BX151" i="7" s="1"/>
  <c r="AM151" i="11" s="1"/>
  <c r="AX151" i="7"/>
  <c r="BC206" i="7"/>
  <c r="BX206" i="7" s="1"/>
  <c r="AM206" i="11" s="1"/>
  <c r="AX206" i="7"/>
  <c r="Y206" i="11" s="1"/>
  <c r="BC253" i="7"/>
  <c r="BX253" i="7" s="1"/>
  <c r="AM253" i="11" s="1"/>
  <c r="AX253" i="7"/>
  <c r="BC132" i="7"/>
  <c r="AV132" i="11" s="1"/>
  <c r="AX132" i="7"/>
  <c r="Y132" i="11" s="1"/>
  <c r="BC288" i="7"/>
  <c r="AV288" i="11" s="1"/>
  <c r="AX288" i="7"/>
  <c r="BC67" i="7"/>
  <c r="CE67" i="7" s="1"/>
  <c r="AX67" i="7"/>
  <c r="Y67" i="11" s="1"/>
  <c r="BC81" i="7"/>
  <c r="BX81" i="7" s="1"/>
  <c r="AM81" i="11" s="1"/>
  <c r="AX81" i="7"/>
  <c r="Y81" i="11" s="1"/>
  <c r="BC8" i="7"/>
  <c r="BX8" i="7" s="1"/>
  <c r="AM8" i="11" s="1"/>
  <c r="AX8" i="7"/>
  <c r="Y8" i="11" s="1"/>
  <c r="BC72" i="7"/>
  <c r="BX72" i="7" s="1"/>
  <c r="AM72" i="11" s="1"/>
  <c r="AX72" i="7"/>
  <c r="BC82" i="7"/>
  <c r="AX82" i="7"/>
  <c r="BC129" i="7"/>
  <c r="BX129" i="7" s="1"/>
  <c r="AM129" i="11" s="1"/>
  <c r="AX129" i="7"/>
  <c r="Y129" i="11" s="1"/>
  <c r="BC265" i="7"/>
  <c r="CE265" i="7" s="1"/>
  <c r="AX265" i="7"/>
  <c r="Y265" i="11" s="1"/>
  <c r="BC10" i="7"/>
  <c r="AV10" i="11" s="1"/>
  <c r="AX10" i="7"/>
  <c r="BC203" i="7"/>
  <c r="BX203" i="7" s="1"/>
  <c r="AM203" i="11" s="1"/>
  <c r="AX203" i="7"/>
  <c r="Y203" i="11" s="1"/>
  <c r="BC258" i="7"/>
  <c r="CE258" i="7" s="1"/>
  <c r="AX258" i="7"/>
  <c r="BC80" i="7"/>
  <c r="AX80" i="7"/>
  <c r="Y80" i="11" s="1"/>
  <c r="BC184" i="7"/>
  <c r="BX184" i="7" s="1"/>
  <c r="AM184" i="11" s="1"/>
  <c r="AX184" i="7"/>
  <c r="BC255" i="7"/>
  <c r="CE255" i="7" s="1"/>
  <c r="AX255" i="7"/>
  <c r="Y255" i="11" s="1"/>
  <c r="AV215" i="11"/>
  <c r="Y270" i="11"/>
  <c r="Y112" i="11"/>
  <c r="AV112" i="11"/>
  <c r="Y98" i="11"/>
  <c r="AV23" i="11"/>
  <c r="AV200" i="11"/>
  <c r="AV126" i="11"/>
  <c r="AV119" i="11"/>
  <c r="Y87" i="11"/>
  <c r="AV87" i="11"/>
  <c r="AV142" i="11"/>
  <c r="AV43" i="11"/>
  <c r="Y111" i="11"/>
  <c r="AV111" i="11"/>
  <c r="Y267" i="11"/>
  <c r="AV47" i="11"/>
  <c r="AV197" i="11"/>
  <c r="Y252" i="11"/>
  <c r="AV252" i="11"/>
  <c r="Y291" i="11"/>
  <c r="AV93" i="11"/>
  <c r="AV128" i="11"/>
  <c r="Y180" i="11"/>
  <c r="AV187" i="11"/>
  <c r="Y135" i="11"/>
  <c r="AV135" i="11"/>
  <c r="Y190" i="11"/>
  <c r="AV190" i="11"/>
  <c r="Y21" i="11"/>
  <c r="AV182" i="11"/>
  <c r="Y191" i="11"/>
  <c r="AV191" i="11"/>
  <c r="Y58" i="11"/>
  <c r="AV245" i="11"/>
  <c r="Y163" i="11"/>
  <c r="AV163" i="11"/>
  <c r="Y250" i="11"/>
  <c r="AV293" i="11"/>
  <c r="AV211" i="11"/>
  <c r="AV140" i="11"/>
  <c r="AV214" i="11"/>
  <c r="AV40" i="11"/>
  <c r="AV238" i="11"/>
  <c r="AV285" i="11"/>
  <c r="AV233" i="11"/>
  <c r="Y242" i="11"/>
  <c r="Y59" i="11"/>
  <c r="AV65" i="11"/>
  <c r="Y259" i="11"/>
  <c r="AV259" i="11"/>
  <c r="Y133" i="11"/>
  <c r="AV262" i="11"/>
  <c r="AV69" i="11"/>
  <c r="AV29" i="11"/>
  <c r="Y157" i="11"/>
  <c r="AV286" i="11"/>
  <c r="AV79" i="11"/>
  <c r="Y74" i="11"/>
  <c r="AV264" i="11"/>
  <c r="AV92" i="11"/>
  <c r="AV271" i="11"/>
  <c r="Y304" i="11"/>
  <c r="AV304" i="11"/>
  <c r="AV103" i="11"/>
  <c r="Y283" i="11"/>
  <c r="AV159" i="11"/>
  <c r="Y257" i="11"/>
  <c r="AV257" i="11"/>
  <c r="Y136" i="11"/>
  <c r="W7" i="11"/>
  <c r="Y143" i="11"/>
  <c r="AV143" i="11"/>
  <c r="AV229" i="11"/>
  <c r="Y284" i="11"/>
  <c r="AV284" i="11"/>
  <c r="AV52" i="11"/>
  <c r="Y82" i="11"/>
  <c r="AV82" i="11"/>
  <c r="AV80" i="11"/>
  <c r="AV41" i="11"/>
  <c r="AV171" i="11"/>
  <c r="Y152" i="11"/>
  <c r="AV152" i="11"/>
  <c r="AV230" i="11"/>
  <c r="AV49" i="11"/>
  <c r="AV125" i="11"/>
  <c r="AV254" i="11"/>
  <c r="AV228" i="11"/>
  <c r="AV64" i="11"/>
  <c r="AV130" i="11"/>
  <c r="AV15" i="11"/>
  <c r="AE16" i="11"/>
  <c r="BN16" i="11" s="1"/>
  <c r="H17" i="20" s="1"/>
  <c r="H18" i="20" s="1"/>
  <c r="O13" i="6"/>
  <c r="O25" i="6" s="1"/>
  <c r="BX132" i="7"/>
  <c r="AM132" i="11" s="1"/>
  <c r="BX82" i="7"/>
  <c r="AM82" i="11" s="1"/>
  <c r="CE129" i="7"/>
  <c r="BX80" i="7"/>
  <c r="AM80" i="11" s="1"/>
  <c r="BX255" i="7"/>
  <c r="AM255" i="11" s="1"/>
  <c r="M5" i="2"/>
  <c r="V5" i="11"/>
  <c r="AF257" i="7"/>
  <c r="K257" i="2" s="1"/>
  <c r="L257" i="2" s="1"/>
  <c r="DA257" i="7"/>
  <c r="AF18" i="7"/>
  <c r="K18" i="2" s="1"/>
  <c r="L18" i="2" s="1"/>
  <c r="DA18" i="7"/>
  <c r="AF187" i="7"/>
  <c r="K187" i="2" s="1"/>
  <c r="L187" i="2" s="1"/>
  <c r="DA187" i="7"/>
  <c r="AF239" i="7"/>
  <c r="K239" i="2" s="1"/>
  <c r="L239" i="2" s="1"/>
  <c r="DA239" i="7"/>
  <c r="AF103" i="7"/>
  <c r="K103" i="2" s="1"/>
  <c r="L103" i="2" s="1"/>
  <c r="DA103" i="7"/>
  <c r="AF289" i="7"/>
  <c r="K289" i="2" s="1"/>
  <c r="L289" i="2" s="1"/>
  <c r="DA289" i="7"/>
  <c r="AF74" i="7"/>
  <c r="K74" i="2" s="1"/>
  <c r="L74" i="2" s="1"/>
  <c r="DA74" i="7"/>
  <c r="AF251" i="7"/>
  <c r="K251" i="2" s="1"/>
  <c r="L251" i="2" s="1"/>
  <c r="DA251" i="7"/>
  <c r="AF264" i="7"/>
  <c r="K264" i="2" s="1"/>
  <c r="L264" i="2" s="1"/>
  <c r="DA264" i="7"/>
  <c r="AF303" i="7"/>
  <c r="K303" i="2" s="1"/>
  <c r="L303" i="2" s="1"/>
  <c r="M303" i="2" s="1"/>
  <c r="U303" i="11" s="1"/>
  <c r="DA303" i="7"/>
  <c r="AF166" i="7"/>
  <c r="K166" i="2" s="1"/>
  <c r="L166" i="2" s="1"/>
  <c r="DA166" i="7"/>
  <c r="AF213" i="7"/>
  <c r="K213" i="2" s="1"/>
  <c r="L213" i="2" s="1"/>
  <c r="DA213" i="7"/>
  <c r="AF92" i="7"/>
  <c r="K92" i="2" s="1"/>
  <c r="L92" i="2" s="1"/>
  <c r="DA92" i="7"/>
  <c r="AF131" i="7"/>
  <c r="K131" i="2" s="1"/>
  <c r="L131" i="2" s="1"/>
  <c r="DA131" i="7"/>
  <c r="AF218" i="7"/>
  <c r="K218" i="2" s="1"/>
  <c r="L218" i="2" s="1"/>
  <c r="DA218" i="7"/>
  <c r="AF106" i="7"/>
  <c r="K106" i="2" s="1"/>
  <c r="L106" i="2" s="1"/>
  <c r="DA106" i="7"/>
  <c r="AF224" i="7"/>
  <c r="K224" i="2" s="1"/>
  <c r="L224" i="2" s="1"/>
  <c r="DA224" i="7"/>
  <c r="AF273" i="7"/>
  <c r="K273" i="2" s="1"/>
  <c r="L273" i="2" s="1"/>
  <c r="DA273" i="7"/>
  <c r="AF186" i="7"/>
  <c r="K186" i="2" s="1"/>
  <c r="L186" i="2" s="1"/>
  <c r="DA186" i="7"/>
  <c r="AF297" i="7"/>
  <c r="K297" i="2" s="1"/>
  <c r="L297" i="2" s="1"/>
  <c r="DA297" i="7"/>
  <c r="AF87" i="7"/>
  <c r="K87" i="2" s="1"/>
  <c r="L87" i="2" s="1"/>
  <c r="DA87" i="7"/>
  <c r="AF17" i="7"/>
  <c r="K17" i="2" s="1"/>
  <c r="L17" i="2" s="1"/>
  <c r="DA17" i="7"/>
  <c r="AF196" i="7"/>
  <c r="K196" i="2" s="1"/>
  <c r="L196" i="2" s="1"/>
  <c r="DA196" i="7"/>
  <c r="AF22" i="7"/>
  <c r="K22" i="2" s="1"/>
  <c r="L22" i="2" s="1"/>
  <c r="DA22" i="7"/>
  <c r="AF36" i="7"/>
  <c r="K36" i="2" s="1"/>
  <c r="L36" i="2" s="1"/>
  <c r="DA36" i="7"/>
  <c r="AF157" i="7"/>
  <c r="K157" i="2" s="1"/>
  <c r="L157" i="2" s="1"/>
  <c r="DA157" i="7"/>
  <c r="AF194" i="7"/>
  <c r="K194" i="2" s="1"/>
  <c r="L194" i="2" s="1"/>
  <c r="DA194" i="7"/>
  <c r="AF68" i="7"/>
  <c r="K68" i="2" s="1"/>
  <c r="L68" i="2" s="1"/>
  <c r="DA68" i="7"/>
  <c r="AF146" i="7"/>
  <c r="K146" i="2" s="1"/>
  <c r="L146" i="2" s="1"/>
  <c r="DA146" i="7"/>
  <c r="AF193" i="7"/>
  <c r="K193" i="2" s="1"/>
  <c r="L193" i="2" s="1"/>
  <c r="DA193" i="7"/>
  <c r="AF182" i="7"/>
  <c r="K182" i="2" s="1"/>
  <c r="L182" i="2" s="1"/>
  <c r="DA182" i="7"/>
  <c r="AF185" i="7"/>
  <c r="K185" i="2" s="1"/>
  <c r="L185" i="2" s="1"/>
  <c r="DA185" i="7"/>
  <c r="AF55" i="7"/>
  <c r="K55" i="2" s="1"/>
  <c r="L55" i="2" s="1"/>
  <c r="DA55" i="7"/>
  <c r="AF120" i="7"/>
  <c r="K120" i="2" s="1"/>
  <c r="L120" i="2" s="1"/>
  <c r="DA120" i="7"/>
  <c r="AF50" i="7"/>
  <c r="K50" i="2" s="1"/>
  <c r="L50" i="2" s="1"/>
  <c r="DA50" i="7"/>
  <c r="AF59" i="7"/>
  <c r="K59" i="2" s="1"/>
  <c r="L59" i="2" s="1"/>
  <c r="DA59" i="7"/>
  <c r="AF124" i="7"/>
  <c r="K124" i="2" s="1"/>
  <c r="L124" i="2" s="1"/>
  <c r="DA124" i="7"/>
  <c r="AF205" i="7"/>
  <c r="K205" i="2" s="1"/>
  <c r="L205" i="2" s="1"/>
  <c r="DA205" i="7"/>
  <c r="AF197" i="7"/>
  <c r="K197" i="2" s="1"/>
  <c r="L197" i="2" s="1"/>
  <c r="DA197" i="7"/>
  <c r="AF150" i="7"/>
  <c r="K150" i="2" s="1"/>
  <c r="L150" i="2" s="1"/>
  <c r="DA150" i="7"/>
  <c r="AF125" i="7"/>
  <c r="K125" i="2" s="1"/>
  <c r="L125" i="2" s="1"/>
  <c r="DA125" i="7"/>
  <c r="AF42" i="7"/>
  <c r="K42" i="2" s="1"/>
  <c r="L42" i="2" s="1"/>
  <c r="DA42" i="7"/>
  <c r="AF163" i="7"/>
  <c r="K163" i="2" s="1"/>
  <c r="L163" i="2" s="1"/>
  <c r="DA163" i="7"/>
  <c r="AF210" i="7"/>
  <c r="K210" i="2" s="1"/>
  <c r="L210" i="2" s="1"/>
  <c r="DA210" i="7"/>
  <c r="AF272" i="7"/>
  <c r="K272" i="2" s="1"/>
  <c r="L272" i="2" s="1"/>
  <c r="DA272" i="7"/>
  <c r="AF82" i="7"/>
  <c r="K82" i="2" s="1"/>
  <c r="L82" i="2" s="1"/>
  <c r="DA82" i="7"/>
  <c r="AF129" i="7"/>
  <c r="K129" i="2" s="1"/>
  <c r="L129" i="2" s="1"/>
  <c r="DA129" i="7"/>
  <c r="AF265" i="7"/>
  <c r="K265" i="2" s="1"/>
  <c r="L265" i="2" s="1"/>
  <c r="DA265" i="7"/>
  <c r="AF10" i="7"/>
  <c r="K10" i="2" s="1"/>
  <c r="L10" i="2" s="1"/>
  <c r="DA10" i="7"/>
  <c r="AF203" i="7"/>
  <c r="K203" i="2" s="1"/>
  <c r="L203" i="2" s="1"/>
  <c r="DA203" i="7"/>
  <c r="AF258" i="7"/>
  <c r="K258" i="2" s="1"/>
  <c r="L258" i="2" s="1"/>
  <c r="DA258" i="7"/>
  <c r="AF80" i="7"/>
  <c r="K80" i="2" s="1"/>
  <c r="L80" i="2" s="1"/>
  <c r="DA80" i="7"/>
  <c r="AF184" i="7"/>
  <c r="K184" i="2" s="1"/>
  <c r="L184" i="2" s="1"/>
  <c r="DA184" i="7"/>
  <c r="AF255" i="7"/>
  <c r="K255" i="2" s="1"/>
  <c r="L255" i="2" s="1"/>
  <c r="DA255" i="7"/>
  <c r="AF41" i="7"/>
  <c r="K41" i="2" s="1"/>
  <c r="L41" i="2" s="1"/>
  <c r="DA41" i="7"/>
  <c r="AF181" i="7"/>
  <c r="K181" i="2" s="1"/>
  <c r="L181" i="2" s="1"/>
  <c r="DA181" i="7"/>
  <c r="AF40" i="7"/>
  <c r="K40" i="2" s="1"/>
  <c r="L40" i="2" s="1"/>
  <c r="DA40" i="7"/>
  <c r="AF276" i="7"/>
  <c r="K276" i="2" s="1"/>
  <c r="L276" i="2" s="1"/>
  <c r="DA276" i="7"/>
  <c r="AF261" i="7"/>
  <c r="K261" i="2" s="1"/>
  <c r="L261" i="2" s="1"/>
  <c r="DA261" i="7"/>
  <c r="AF140" i="7"/>
  <c r="K140" i="2" s="1"/>
  <c r="L140" i="2" s="1"/>
  <c r="DA140" i="7"/>
  <c r="AF14" i="7"/>
  <c r="K14" i="2" s="1"/>
  <c r="L14" i="2" s="1"/>
  <c r="DA14" i="7"/>
  <c r="AF262" i="7"/>
  <c r="K262" i="2" s="1"/>
  <c r="L262" i="2" s="1"/>
  <c r="DA262" i="7"/>
  <c r="AF145" i="7"/>
  <c r="K145" i="2" s="1"/>
  <c r="L145" i="2" s="1"/>
  <c r="DA145" i="7"/>
  <c r="AF19" i="7"/>
  <c r="K19" i="2" s="1"/>
  <c r="L19" i="2" s="1"/>
  <c r="DA19" i="7"/>
  <c r="AF164" i="7"/>
  <c r="K164" i="2" s="1"/>
  <c r="L164" i="2" s="1"/>
  <c r="DA164" i="7"/>
  <c r="AF284" i="7"/>
  <c r="K284" i="2" s="1"/>
  <c r="L284" i="2" s="1"/>
  <c r="DA284" i="7"/>
  <c r="AF116" i="7"/>
  <c r="K116" i="2" s="1"/>
  <c r="L116" i="2" s="1"/>
  <c r="DA116" i="7"/>
  <c r="AF183" i="7"/>
  <c r="K183" i="2" s="1"/>
  <c r="L183" i="2" s="1"/>
  <c r="DA183" i="7"/>
  <c r="AF110" i="7"/>
  <c r="K110" i="2" s="1"/>
  <c r="L110" i="2" s="1"/>
  <c r="DA110" i="7"/>
  <c r="AF66" i="7"/>
  <c r="K66" i="2" s="1"/>
  <c r="L66" i="2" s="1"/>
  <c r="DA66" i="7"/>
  <c r="AF102" i="7"/>
  <c r="K102" i="2" s="1"/>
  <c r="L102" i="2" s="1"/>
  <c r="DA102" i="7"/>
  <c r="AF156" i="7"/>
  <c r="K156" i="2" s="1"/>
  <c r="L156" i="2" s="1"/>
  <c r="DA156" i="7"/>
  <c r="AF282" i="7"/>
  <c r="K282" i="2" s="1"/>
  <c r="L282" i="2" s="1"/>
  <c r="DA282" i="7"/>
  <c r="AF298" i="7"/>
  <c r="K298" i="2" s="1"/>
  <c r="L298" i="2" s="1"/>
  <c r="DA298" i="7"/>
  <c r="AF160" i="7"/>
  <c r="K160" i="2" s="1"/>
  <c r="L160" i="2" s="1"/>
  <c r="DA160" i="7"/>
  <c r="AF81" i="7"/>
  <c r="K81" i="2" s="1"/>
  <c r="L81" i="2" s="1"/>
  <c r="DA81" i="7"/>
  <c r="AF287" i="7"/>
  <c r="K287" i="2" s="1"/>
  <c r="L287" i="2" s="1"/>
  <c r="DA287" i="7"/>
  <c r="AF242" i="7"/>
  <c r="K242" i="2" s="1"/>
  <c r="L242" i="2" s="1"/>
  <c r="DA242" i="7"/>
  <c r="AF161" i="7"/>
  <c r="K161" i="2" s="1"/>
  <c r="L161" i="2" s="1"/>
  <c r="DA161" i="7"/>
  <c r="AF79" i="7"/>
  <c r="K79" i="2" s="1"/>
  <c r="L79" i="2" s="1"/>
  <c r="DA79" i="7"/>
  <c r="AF162" i="7"/>
  <c r="K162" i="2" s="1"/>
  <c r="L162" i="2" s="1"/>
  <c r="DA162" i="7"/>
  <c r="AF8" i="7"/>
  <c r="K8" i="2" s="1"/>
  <c r="L8" i="2" s="1"/>
  <c r="DA8" i="7"/>
  <c r="AF85" i="7"/>
  <c r="K85" i="2" s="1"/>
  <c r="L85" i="2" s="1"/>
  <c r="DA85" i="7"/>
  <c r="AF214" i="7"/>
  <c r="K214" i="2" s="1"/>
  <c r="L214" i="2" s="1"/>
  <c r="DA214" i="7"/>
  <c r="AF217" i="7"/>
  <c r="K217" i="2" s="1"/>
  <c r="L217" i="2" s="1"/>
  <c r="DA217" i="7"/>
  <c r="AF21" i="7"/>
  <c r="K21" i="2" s="1"/>
  <c r="L21" i="2" s="1"/>
  <c r="DA21" i="7"/>
  <c r="AF233" i="7"/>
  <c r="K233" i="2" s="1"/>
  <c r="L233" i="2" s="1"/>
  <c r="DA233" i="7"/>
  <c r="AF250" i="7"/>
  <c r="K250" i="2" s="1"/>
  <c r="L250" i="2" s="1"/>
  <c r="DA250" i="7"/>
  <c r="AF247" i="7"/>
  <c r="K247" i="2" s="1"/>
  <c r="L247" i="2" s="1"/>
  <c r="DA247" i="7"/>
  <c r="AF302" i="7"/>
  <c r="K302" i="2" s="1"/>
  <c r="L302" i="2" s="1"/>
  <c r="DA302" i="7"/>
  <c r="AF91" i="7"/>
  <c r="K91" i="2" s="1"/>
  <c r="L91" i="2" s="1"/>
  <c r="DA91" i="7"/>
  <c r="AF228" i="7"/>
  <c r="K228" i="2" s="1"/>
  <c r="L228" i="2" s="1"/>
  <c r="DA228" i="7"/>
  <c r="AF64" i="7"/>
  <c r="K64" i="2" s="1"/>
  <c r="L64" i="2" s="1"/>
  <c r="DA64" i="7"/>
  <c r="AF130" i="7"/>
  <c r="K130" i="2" s="1"/>
  <c r="L130" i="2" s="1"/>
  <c r="DA130" i="7"/>
  <c r="AF177" i="7"/>
  <c r="K177" i="2" s="1"/>
  <c r="L177" i="2" s="1"/>
  <c r="DA177" i="7"/>
  <c r="AF15" i="7"/>
  <c r="K15" i="2" s="1"/>
  <c r="L15" i="2" s="1"/>
  <c r="DA15" i="7"/>
  <c r="AF127" i="7"/>
  <c r="K127" i="2" s="1"/>
  <c r="L127" i="2" s="1"/>
  <c r="DA127" i="7"/>
  <c r="AF53" i="7"/>
  <c r="K53" i="2" s="1"/>
  <c r="L53" i="2" s="1"/>
  <c r="DA53" i="7"/>
  <c r="AF31" i="7"/>
  <c r="K31" i="2" s="1"/>
  <c r="L31" i="2" s="1"/>
  <c r="DA31" i="7"/>
  <c r="AF227" i="7"/>
  <c r="K227" i="2" s="1"/>
  <c r="L227" i="2" s="1"/>
  <c r="DA227" i="7"/>
  <c r="AF148" i="7"/>
  <c r="K148" i="2" s="1"/>
  <c r="L148" i="2" s="1"/>
  <c r="DA148" i="7"/>
  <c r="AF133" i="7"/>
  <c r="K133" i="2" s="1"/>
  <c r="L133" i="2" s="1"/>
  <c r="DA133" i="7"/>
  <c r="AF201" i="7"/>
  <c r="K201" i="2" s="1"/>
  <c r="L201" i="2" s="1"/>
  <c r="DA201" i="7"/>
  <c r="AF104" i="7"/>
  <c r="K104" i="2" s="1"/>
  <c r="L104" i="2" s="1"/>
  <c r="DA104" i="7"/>
  <c r="AF171" i="7"/>
  <c r="K171" i="2" s="1"/>
  <c r="L171" i="2" s="1"/>
  <c r="DA171" i="7"/>
  <c r="AF190" i="7"/>
  <c r="K190" i="2" s="1"/>
  <c r="L190" i="2" s="1"/>
  <c r="DA190" i="7"/>
  <c r="AF109" i="7"/>
  <c r="K109" i="2" s="1"/>
  <c r="L109" i="2" s="1"/>
  <c r="DA109" i="7"/>
  <c r="AF35" i="7"/>
  <c r="K35" i="2" s="1"/>
  <c r="L35" i="2" s="1"/>
  <c r="DA35" i="7"/>
  <c r="AF155" i="7"/>
  <c r="K155" i="2" s="1"/>
  <c r="L155" i="2" s="1"/>
  <c r="DA155" i="7"/>
  <c r="AF105" i="7"/>
  <c r="K105" i="2" s="1"/>
  <c r="L105" i="2" s="1"/>
  <c r="DA105" i="7"/>
  <c r="AF29" i="7"/>
  <c r="K29" i="2" s="1"/>
  <c r="L29" i="2" s="1"/>
  <c r="DA29" i="7"/>
  <c r="AF275" i="7"/>
  <c r="K275" i="2" s="1"/>
  <c r="L275" i="2" s="1"/>
  <c r="DA275" i="7"/>
  <c r="AF202" i="7"/>
  <c r="K202" i="2" s="1"/>
  <c r="L202" i="2" s="1"/>
  <c r="DA202" i="7"/>
  <c r="AF139" i="7"/>
  <c r="K139" i="2" s="1"/>
  <c r="L139" i="2" s="1"/>
  <c r="DA139" i="7"/>
  <c r="AF27" i="7"/>
  <c r="K27" i="2" s="1"/>
  <c r="L27" i="2" s="1"/>
  <c r="DA27" i="7"/>
  <c r="AF37" i="7"/>
  <c r="K37" i="2" s="1"/>
  <c r="L37" i="2" s="1"/>
  <c r="DA37" i="7"/>
  <c r="AF75" i="7"/>
  <c r="K75" i="2" s="1"/>
  <c r="L75" i="2" s="1"/>
  <c r="DA75" i="7"/>
  <c r="AF123" i="7"/>
  <c r="K123" i="2" s="1"/>
  <c r="L123" i="2" s="1"/>
  <c r="DA123" i="7"/>
  <c r="AF126" i="7"/>
  <c r="K126" i="2" s="1"/>
  <c r="L126" i="2" s="1"/>
  <c r="DA126" i="7"/>
  <c r="AF72" i="7"/>
  <c r="K72" i="2" s="1"/>
  <c r="L72" i="2" s="1"/>
  <c r="DA72" i="7"/>
  <c r="AF114" i="7"/>
  <c r="K114" i="2" s="1"/>
  <c r="L114" i="2" s="1"/>
  <c r="DA114" i="7"/>
  <c r="AF70" i="7"/>
  <c r="K70" i="2" s="1"/>
  <c r="L70" i="2" s="1"/>
  <c r="DA70" i="7"/>
  <c r="AF260" i="7"/>
  <c r="K260" i="2" s="1"/>
  <c r="L260" i="2" s="1"/>
  <c r="DA260" i="7"/>
  <c r="AF199" i="7"/>
  <c r="K199" i="2" s="1"/>
  <c r="L199" i="2" s="1"/>
  <c r="DA199" i="7"/>
  <c r="AF77" i="7"/>
  <c r="K77" i="2" s="1"/>
  <c r="L77" i="2" s="1"/>
  <c r="DA77" i="7"/>
  <c r="AF71" i="7"/>
  <c r="K71" i="2" s="1"/>
  <c r="L71" i="2" s="1"/>
  <c r="DA71" i="7"/>
  <c r="AF43" i="7"/>
  <c r="K43" i="2" s="1"/>
  <c r="L43" i="2" s="1"/>
  <c r="DA43" i="7"/>
  <c r="AF30" i="7"/>
  <c r="K30" i="2" s="1"/>
  <c r="L30" i="2" s="1"/>
  <c r="DA30" i="7"/>
  <c r="AF54" i="7"/>
  <c r="K54" i="2" s="1"/>
  <c r="L54" i="2" s="1"/>
  <c r="DA54" i="7"/>
  <c r="AF107" i="7"/>
  <c r="K107" i="2" s="1"/>
  <c r="L107" i="2" s="1"/>
  <c r="DA107" i="7"/>
  <c r="AF170" i="7"/>
  <c r="K170" i="2" s="1"/>
  <c r="L170" i="2" s="1"/>
  <c r="DA170" i="7"/>
  <c r="AF119" i="7"/>
  <c r="K119" i="2" s="1"/>
  <c r="L119" i="2" s="1"/>
  <c r="DA119" i="7"/>
  <c r="AF174" i="7"/>
  <c r="K174" i="2" s="1"/>
  <c r="L174" i="2" s="1"/>
  <c r="DA174" i="7"/>
  <c r="AF221" i="7"/>
  <c r="K221" i="2" s="1"/>
  <c r="L221" i="2" s="1"/>
  <c r="DA221" i="7"/>
  <c r="AF100" i="7"/>
  <c r="K100" i="2" s="1"/>
  <c r="L100" i="2" s="1"/>
  <c r="DA100" i="7"/>
  <c r="AF256" i="7"/>
  <c r="K256" i="2" s="1"/>
  <c r="L256" i="2" s="1"/>
  <c r="DA256" i="7"/>
  <c r="AF295" i="7"/>
  <c r="K295" i="2" s="1"/>
  <c r="L295" i="2" s="1"/>
  <c r="DA295" i="7"/>
  <c r="AF16" i="7"/>
  <c r="K16" i="2" s="1"/>
  <c r="L16" i="2" s="1"/>
  <c r="DA16" i="7"/>
  <c r="AF118" i="7"/>
  <c r="K118" i="2" s="1"/>
  <c r="L118" i="2" s="1"/>
  <c r="DA118" i="7"/>
  <c r="AF225" i="7"/>
  <c r="K225" i="2" s="1"/>
  <c r="L225" i="2" s="1"/>
  <c r="DA225" i="7"/>
  <c r="AF89" i="7"/>
  <c r="K89" i="2" s="1"/>
  <c r="L89" i="2" s="1"/>
  <c r="DA89" i="7"/>
  <c r="AF98" i="7"/>
  <c r="K98" i="2" s="1"/>
  <c r="L98" i="2" s="1"/>
  <c r="DA98" i="7"/>
  <c r="AF280" i="7"/>
  <c r="K280" i="2" s="1"/>
  <c r="L280" i="2" s="1"/>
  <c r="DA280" i="7"/>
  <c r="AF237" i="7"/>
  <c r="K237" i="2" s="1"/>
  <c r="L237" i="2" s="1"/>
  <c r="DA237" i="7"/>
  <c r="AF20" i="7"/>
  <c r="K20" i="2" s="1"/>
  <c r="L20" i="2" s="1"/>
  <c r="DA20" i="7"/>
  <c r="AF33" i="7"/>
  <c r="K33" i="2" s="1"/>
  <c r="L33" i="2" s="1"/>
  <c r="DA33" i="7"/>
  <c r="AF62" i="7"/>
  <c r="K62" i="2" s="1"/>
  <c r="L62" i="2" s="1"/>
  <c r="DA62" i="7"/>
  <c r="AF96" i="7"/>
  <c r="K96" i="2" s="1"/>
  <c r="L96" i="2" s="1"/>
  <c r="DA96" i="7"/>
  <c r="AF99" i="7"/>
  <c r="K99" i="2" s="1"/>
  <c r="L99" i="2" s="1"/>
  <c r="DA99" i="7"/>
  <c r="AF191" i="7"/>
  <c r="K191" i="2" s="1"/>
  <c r="L191" i="2" s="1"/>
  <c r="DA191" i="7"/>
  <c r="AF267" i="7"/>
  <c r="K267" i="2" s="1"/>
  <c r="L267" i="2" s="1"/>
  <c r="DA267" i="7"/>
  <c r="AF113" i="7"/>
  <c r="K113" i="2" s="1"/>
  <c r="L113" i="2" s="1"/>
  <c r="DA113" i="7"/>
  <c r="AF304" i="7"/>
  <c r="K304" i="2" s="1"/>
  <c r="L304" i="2" s="1"/>
  <c r="DA304" i="7"/>
  <c r="AF236" i="7"/>
  <c r="K236" i="2" s="1"/>
  <c r="L236" i="2" s="1"/>
  <c r="DA236" i="7"/>
  <c r="AF147" i="7"/>
  <c r="K147" i="2" s="1"/>
  <c r="L147" i="2" s="1"/>
  <c r="DA147" i="7"/>
  <c r="AF63" i="7"/>
  <c r="K63" i="2" s="1"/>
  <c r="L63" i="2" s="1"/>
  <c r="DA63" i="7"/>
  <c r="AF192" i="7"/>
  <c r="K192" i="2" s="1"/>
  <c r="L192" i="2" s="1"/>
  <c r="DA192" i="7"/>
  <c r="AF241" i="7"/>
  <c r="K241" i="2" s="1"/>
  <c r="L241" i="2" s="1"/>
  <c r="DA241" i="7"/>
  <c r="AF49" i="7"/>
  <c r="K49" i="2" s="1"/>
  <c r="L49" i="2" s="1"/>
  <c r="DA49" i="7"/>
  <c r="AF207" i="7"/>
  <c r="K207" i="2" s="1"/>
  <c r="L207" i="2" s="1"/>
  <c r="DA207" i="7"/>
  <c r="AF117" i="7"/>
  <c r="K117" i="2" s="1"/>
  <c r="L117" i="2" s="1"/>
  <c r="DA117" i="7"/>
  <c r="AF291" i="7"/>
  <c r="K291" i="2" s="1"/>
  <c r="L291" i="2" s="1"/>
  <c r="DA291" i="7"/>
  <c r="AF84" i="7"/>
  <c r="K84" i="2" s="1"/>
  <c r="L84" i="2" s="1"/>
  <c r="DA84" i="7"/>
  <c r="AF279" i="7"/>
  <c r="K279" i="2" s="1"/>
  <c r="L279" i="2" s="1"/>
  <c r="DA279" i="7"/>
  <c r="AF78" i="7"/>
  <c r="K78" i="2" s="1"/>
  <c r="L78" i="2" s="1"/>
  <c r="DA78" i="7"/>
  <c r="AF281" i="7"/>
  <c r="K281" i="2" s="1"/>
  <c r="L281" i="2" s="1"/>
  <c r="DA281" i="7"/>
  <c r="AF252" i="7"/>
  <c r="K252" i="2" s="1"/>
  <c r="L252" i="2" s="1"/>
  <c r="DA252" i="7"/>
  <c r="AF122" i="7"/>
  <c r="K122" i="2" s="1"/>
  <c r="L122" i="2" s="1"/>
  <c r="DA122" i="7"/>
  <c r="AF136" i="7"/>
  <c r="K136" i="2" s="1"/>
  <c r="L136" i="2" s="1"/>
  <c r="DA136" i="7"/>
  <c r="AF90" i="7"/>
  <c r="K90" i="2" s="1"/>
  <c r="L90" i="2" s="1"/>
  <c r="DA90" i="7"/>
  <c r="AF268" i="7"/>
  <c r="K268" i="2" s="1"/>
  <c r="L268" i="2" s="1"/>
  <c r="DA268" i="7"/>
  <c r="AF231" i="7"/>
  <c r="K231" i="2" s="1"/>
  <c r="L231" i="2" s="1"/>
  <c r="DA231" i="7"/>
  <c r="AF230" i="7"/>
  <c r="K230" i="2" s="1"/>
  <c r="L230" i="2" s="1"/>
  <c r="DA230" i="7"/>
  <c r="AF58" i="7"/>
  <c r="K58" i="2" s="1"/>
  <c r="L58" i="2" s="1"/>
  <c r="DA58" i="7"/>
  <c r="AF86" i="7"/>
  <c r="K86" i="2" s="1"/>
  <c r="L86" i="2" s="1"/>
  <c r="DA86" i="7"/>
  <c r="AF300" i="7"/>
  <c r="K300" i="2" s="1"/>
  <c r="L300" i="2" s="1"/>
  <c r="DA300" i="7"/>
  <c r="AF9" i="7"/>
  <c r="K9" i="2" s="1"/>
  <c r="L9" i="2" s="1"/>
  <c r="DA9" i="7"/>
  <c r="AF93" i="7"/>
  <c r="K93" i="2" s="1"/>
  <c r="L93" i="2" s="1"/>
  <c r="DA93" i="7"/>
  <c r="AF249" i="7"/>
  <c r="K249" i="2" s="1"/>
  <c r="L249" i="2" s="1"/>
  <c r="DA249" i="7"/>
  <c r="AF128" i="7"/>
  <c r="K128" i="2" s="1"/>
  <c r="L128" i="2" s="1"/>
  <c r="DA128" i="7"/>
  <c r="AF167" i="7"/>
  <c r="K167" i="2" s="1"/>
  <c r="L167" i="2" s="1"/>
  <c r="DA167" i="7"/>
  <c r="AF222" i="7"/>
  <c r="K222" i="2" s="1"/>
  <c r="L222" i="2" s="1"/>
  <c r="DA222" i="7"/>
  <c r="AF301" i="7"/>
  <c r="K301" i="2" s="1"/>
  <c r="L301" i="2" s="1"/>
  <c r="DA301" i="7"/>
  <c r="AF232" i="7"/>
  <c r="K232" i="2" s="1"/>
  <c r="L232" i="2" s="1"/>
  <c r="DA232" i="7"/>
  <c r="AF134" i="7"/>
  <c r="K134" i="2" s="1"/>
  <c r="L134" i="2" s="1"/>
  <c r="DA134" i="7"/>
  <c r="AF135" i="7"/>
  <c r="K135" i="2" s="1"/>
  <c r="L135" i="2" s="1"/>
  <c r="DA135" i="7"/>
  <c r="AF23" i="7"/>
  <c r="K23" i="2" s="1"/>
  <c r="L23" i="2" s="1"/>
  <c r="DA23" i="7"/>
  <c r="AF48" i="7"/>
  <c r="K48" i="2" s="1"/>
  <c r="L48" i="2" s="1"/>
  <c r="DA48" i="7"/>
  <c r="AF178" i="7"/>
  <c r="K178" i="2" s="1"/>
  <c r="L178" i="2" s="1"/>
  <c r="DA178" i="7"/>
  <c r="AF97" i="7"/>
  <c r="K97" i="2" s="1"/>
  <c r="L97" i="2" s="1"/>
  <c r="DA97" i="7"/>
  <c r="AF189" i="7"/>
  <c r="K189" i="2" s="1"/>
  <c r="L189" i="2" s="1"/>
  <c r="DA189" i="7"/>
  <c r="AF69" i="7"/>
  <c r="K69" i="2" s="1"/>
  <c r="L69" i="2" s="1"/>
  <c r="DA69" i="7"/>
  <c r="AF152" i="7"/>
  <c r="K152" i="2" s="1"/>
  <c r="L152" i="2" s="1"/>
  <c r="DA152" i="7"/>
  <c r="AF73" i="7"/>
  <c r="K73" i="2" s="1"/>
  <c r="L73" i="2" s="1"/>
  <c r="DA73" i="7"/>
  <c r="AF26" i="7"/>
  <c r="K26" i="2" s="1"/>
  <c r="L26" i="2" s="1"/>
  <c r="DA26" i="7"/>
  <c r="AF158" i="7"/>
  <c r="K158" i="2" s="1"/>
  <c r="L158" i="2" s="1"/>
  <c r="DA158" i="7"/>
  <c r="AF229" i="7"/>
  <c r="K229" i="2" s="1"/>
  <c r="L229" i="2" s="1"/>
  <c r="DA229" i="7"/>
  <c r="AF108" i="7"/>
  <c r="K108" i="2" s="1"/>
  <c r="L108" i="2" s="1"/>
  <c r="DA108" i="7"/>
  <c r="AF45" i="7"/>
  <c r="K45" i="2" s="1"/>
  <c r="L45" i="2" s="1"/>
  <c r="DA45" i="7"/>
  <c r="AF111" i="7"/>
  <c r="K111" i="2" s="1"/>
  <c r="L111" i="2" s="1"/>
  <c r="DA111" i="7"/>
  <c r="AF38" i="7"/>
  <c r="K38" i="2" s="1"/>
  <c r="L38" i="2" s="1"/>
  <c r="DA38" i="7"/>
  <c r="AF286" i="7"/>
  <c r="K286" i="2" s="1"/>
  <c r="L286" i="2" s="1"/>
  <c r="DA286" i="7"/>
  <c r="AF206" i="7"/>
  <c r="K206" i="2" s="1"/>
  <c r="L206" i="2" s="1"/>
  <c r="DA206" i="7"/>
  <c r="AF132" i="7"/>
  <c r="K132" i="2" s="1"/>
  <c r="L132" i="2" s="1"/>
  <c r="DA132" i="7"/>
  <c r="AF290" i="7"/>
  <c r="K290" i="2" s="1"/>
  <c r="L290" i="2" s="1"/>
  <c r="DA290" i="7"/>
  <c r="AF76" i="7"/>
  <c r="K76" i="2" s="1"/>
  <c r="L76" i="2" s="1"/>
  <c r="DA76" i="7"/>
  <c r="AF7" i="7"/>
  <c r="K7" i="2" s="1"/>
  <c r="L7" i="2" s="1"/>
  <c r="DA7" i="7"/>
  <c r="AF151" i="7"/>
  <c r="K151" i="2" s="1"/>
  <c r="L151" i="2" s="1"/>
  <c r="DA151" i="7"/>
  <c r="AF115" i="7"/>
  <c r="K115" i="2" s="1"/>
  <c r="L115" i="2" s="1"/>
  <c r="DA115" i="7"/>
  <c r="AF51" i="7"/>
  <c r="K51" i="2" s="1"/>
  <c r="L51" i="2" s="1"/>
  <c r="DA51" i="7"/>
  <c r="AF169" i="7"/>
  <c r="K169" i="2" s="1"/>
  <c r="L169" i="2" s="1"/>
  <c r="DA169" i="7"/>
  <c r="AF159" i="7"/>
  <c r="K159" i="2" s="1"/>
  <c r="L159" i="2" s="1"/>
  <c r="DA159" i="7"/>
  <c r="AF175" i="7"/>
  <c r="K175" i="2" s="1"/>
  <c r="L175" i="2" s="1"/>
  <c r="DA175" i="7"/>
  <c r="AF271" i="7"/>
  <c r="K271" i="2" s="1"/>
  <c r="L271" i="2" s="1"/>
  <c r="DA271" i="7"/>
  <c r="AF179" i="7"/>
  <c r="K179" i="2" s="1"/>
  <c r="L179" i="2" s="1"/>
  <c r="DA179" i="7"/>
  <c r="AF154" i="7"/>
  <c r="K154" i="2" s="1"/>
  <c r="L154" i="2" s="1"/>
  <c r="DA154" i="7"/>
  <c r="AF253" i="7"/>
  <c r="K253" i="2" s="1"/>
  <c r="L253" i="2" s="1"/>
  <c r="DA253" i="7"/>
  <c r="AF216" i="7"/>
  <c r="K216" i="2" s="1"/>
  <c r="L216" i="2" s="1"/>
  <c r="DA216" i="7"/>
  <c r="AF293" i="7"/>
  <c r="K293" i="2" s="1"/>
  <c r="L293" i="2" s="1"/>
  <c r="DA293" i="7"/>
  <c r="AF172" i="7"/>
  <c r="K172" i="2" s="1"/>
  <c r="L172" i="2" s="1"/>
  <c r="DA172" i="7"/>
  <c r="AF211" i="7"/>
  <c r="K211" i="2" s="1"/>
  <c r="L211" i="2" s="1"/>
  <c r="DA211" i="7"/>
  <c r="AF266" i="7"/>
  <c r="K266" i="2" s="1"/>
  <c r="L266" i="2" s="1"/>
  <c r="DA266" i="7"/>
  <c r="AF121" i="7"/>
  <c r="K121" i="2" s="1"/>
  <c r="L121" i="2" s="1"/>
  <c r="DA121" i="7"/>
  <c r="AF137" i="7"/>
  <c r="K137" i="2" s="1"/>
  <c r="L137" i="2" s="1"/>
  <c r="DA137" i="7"/>
  <c r="AF11" i="7"/>
  <c r="K11" i="2" s="1"/>
  <c r="L11" i="2" s="1"/>
  <c r="DA11" i="7"/>
  <c r="AF94" i="7"/>
  <c r="K94" i="2" s="1"/>
  <c r="L94" i="2" s="1"/>
  <c r="DA94" i="7"/>
  <c r="AF173" i="7"/>
  <c r="K173" i="2" s="1"/>
  <c r="L173" i="2" s="1"/>
  <c r="DA173" i="7"/>
  <c r="AF112" i="7"/>
  <c r="K112" i="2" s="1"/>
  <c r="L112" i="2" s="1"/>
  <c r="DA112" i="7"/>
  <c r="AF299" i="7"/>
  <c r="K299" i="2" s="1"/>
  <c r="L299" i="2" s="1"/>
  <c r="DA299" i="7"/>
  <c r="AF188" i="7"/>
  <c r="K188" i="2" s="1"/>
  <c r="L188" i="2" s="1"/>
  <c r="DA188" i="7"/>
  <c r="AF269" i="7"/>
  <c r="K269" i="2" s="1"/>
  <c r="L269" i="2" s="1"/>
  <c r="DA269" i="7"/>
  <c r="AF244" i="7"/>
  <c r="K244" i="2" s="1"/>
  <c r="L244" i="2" s="1"/>
  <c r="DA244" i="7"/>
  <c r="AF13" i="7"/>
  <c r="K13" i="2" s="1"/>
  <c r="L13" i="2" s="1"/>
  <c r="DA13" i="7"/>
  <c r="AF270" i="7"/>
  <c r="K270" i="2" s="1"/>
  <c r="L270" i="2" s="1"/>
  <c r="DA270" i="7"/>
  <c r="AF234" i="7"/>
  <c r="K234" i="2" s="1"/>
  <c r="L234" i="2" s="1"/>
  <c r="DA234" i="7"/>
  <c r="AF226" i="7"/>
  <c r="K226" i="2" s="1"/>
  <c r="L226" i="2" s="1"/>
  <c r="DA226" i="7"/>
  <c r="AF219" i="7"/>
  <c r="K219" i="2" s="1"/>
  <c r="L219" i="2" s="1"/>
  <c r="DA219" i="7"/>
  <c r="AF25" i="7"/>
  <c r="K25" i="2" s="1"/>
  <c r="L25" i="2" s="1"/>
  <c r="DA25" i="7"/>
  <c r="AF195" i="7"/>
  <c r="K195" i="2" s="1"/>
  <c r="L195" i="2" s="1"/>
  <c r="DA195" i="7"/>
  <c r="AF101" i="7"/>
  <c r="K101" i="2" s="1"/>
  <c r="L101" i="2" s="1"/>
  <c r="DA101" i="7"/>
  <c r="AF24" i="7"/>
  <c r="K24" i="2" s="1"/>
  <c r="L24" i="2" s="1"/>
  <c r="DA24" i="7"/>
  <c r="AF200" i="7"/>
  <c r="K200" i="2" s="1"/>
  <c r="L200" i="2" s="1"/>
  <c r="DA200" i="7"/>
  <c r="AF292" i="7"/>
  <c r="K292" i="2" s="1"/>
  <c r="L292" i="2" s="1"/>
  <c r="DA292" i="7"/>
  <c r="AF277" i="7"/>
  <c r="K277" i="2" s="1"/>
  <c r="L277" i="2" s="1"/>
  <c r="DA277" i="7"/>
  <c r="AF52" i="7"/>
  <c r="K52" i="2" s="1"/>
  <c r="L52" i="2" s="1"/>
  <c r="DA52" i="7"/>
  <c r="AF243" i="7"/>
  <c r="K243" i="2" s="1"/>
  <c r="L243" i="2" s="1"/>
  <c r="DA243" i="7"/>
  <c r="AF153" i="7"/>
  <c r="K153" i="2" s="1"/>
  <c r="L153" i="2" s="1"/>
  <c r="DA153" i="7"/>
  <c r="AF67" i="7"/>
  <c r="K67" i="2" s="1"/>
  <c r="L67" i="2" s="1"/>
  <c r="DA67" i="7"/>
  <c r="AF88" i="7"/>
  <c r="K88" i="2" s="1"/>
  <c r="L88" i="2" s="1"/>
  <c r="DA88" i="7"/>
  <c r="AF278" i="7"/>
  <c r="K278" i="2" s="1"/>
  <c r="L278" i="2" s="1"/>
  <c r="DA278" i="7"/>
  <c r="AF204" i="7"/>
  <c r="K204" i="2" s="1"/>
  <c r="L204" i="2" s="1"/>
  <c r="DA204" i="7"/>
  <c r="AF168" i="7"/>
  <c r="K168" i="2" s="1"/>
  <c r="L168" i="2" s="1"/>
  <c r="DA168" i="7"/>
  <c r="AF235" i="7"/>
  <c r="K235" i="2" s="1"/>
  <c r="L235" i="2" s="1"/>
  <c r="DA235" i="7"/>
  <c r="AF209" i="7"/>
  <c r="K209" i="2" s="1"/>
  <c r="L209" i="2" s="1"/>
  <c r="DA209" i="7"/>
  <c r="AF212" i="7"/>
  <c r="K212" i="2" s="1"/>
  <c r="L212" i="2" s="1"/>
  <c r="DA212" i="7"/>
  <c r="AF246" i="7"/>
  <c r="K246" i="2" s="1"/>
  <c r="L246" i="2" s="1"/>
  <c r="DA246" i="7"/>
  <c r="AF223" i="7"/>
  <c r="K223" i="2" s="1"/>
  <c r="L223" i="2" s="1"/>
  <c r="DA223" i="7"/>
  <c r="AF95" i="7"/>
  <c r="K95" i="2" s="1"/>
  <c r="L95" i="2" s="1"/>
  <c r="DA95" i="7"/>
  <c r="AF285" i="7"/>
  <c r="K285" i="2" s="1"/>
  <c r="L285" i="2" s="1"/>
  <c r="DA285" i="7"/>
  <c r="AF245" i="7"/>
  <c r="K245" i="2" s="1"/>
  <c r="L245" i="2" s="1"/>
  <c r="DA245" i="7"/>
  <c r="AF165" i="7"/>
  <c r="K165" i="2" s="1"/>
  <c r="L165" i="2" s="1"/>
  <c r="DA165" i="7"/>
  <c r="AF65" i="7"/>
  <c r="K65" i="2" s="1"/>
  <c r="L65" i="2" s="1"/>
  <c r="DA65" i="7"/>
  <c r="AF83" i="7"/>
  <c r="K83" i="2" s="1"/>
  <c r="L83" i="2" s="1"/>
  <c r="DA83" i="7"/>
  <c r="AF138" i="7"/>
  <c r="K138" i="2" s="1"/>
  <c r="L138" i="2" s="1"/>
  <c r="DA138" i="7"/>
  <c r="AF294" i="7"/>
  <c r="K294" i="2" s="1"/>
  <c r="L294" i="2" s="1"/>
  <c r="DA294" i="7"/>
  <c r="AF240" i="7"/>
  <c r="K240" i="2" s="1"/>
  <c r="L240" i="2" s="1"/>
  <c r="DA240" i="7"/>
  <c r="AF220" i="7"/>
  <c r="K220" i="2" s="1"/>
  <c r="L220" i="2" s="1"/>
  <c r="DA220" i="7"/>
  <c r="AF259" i="7"/>
  <c r="K259" i="2" s="1"/>
  <c r="L259" i="2" s="1"/>
  <c r="DA259" i="7"/>
  <c r="AF12" i="7"/>
  <c r="K12" i="2" s="1"/>
  <c r="L12" i="2" s="1"/>
  <c r="DA12" i="7"/>
  <c r="AF39" i="7"/>
  <c r="K39" i="2" s="1"/>
  <c r="L39" i="2" s="1"/>
  <c r="DA39" i="7"/>
  <c r="AF6" i="7"/>
  <c r="K6" i="2" s="1"/>
  <c r="L6" i="2" s="1"/>
  <c r="DA6" i="7"/>
  <c r="AF32" i="7"/>
  <c r="K32" i="2" s="1"/>
  <c r="L32" i="2" s="1"/>
  <c r="DA32" i="7"/>
  <c r="AF28" i="7"/>
  <c r="K28" i="2" s="1"/>
  <c r="L28" i="2" s="1"/>
  <c r="DA28" i="7"/>
  <c r="AF180" i="7"/>
  <c r="K180" i="2" s="1"/>
  <c r="L180" i="2" s="1"/>
  <c r="DA180" i="7"/>
  <c r="AF215" i="7"/>
  <c r="K215" i="2" s="1"/>
  <c r="L215" i="2" s="1"/>
  <c r="DA215" i="7"/>
  <c r="AF142" i="7"/>
  <c r="K142" i="2" s="1"/>
  <c r="L142" i="2" s="1"/>
  <c r="DA142" i="7"/>
  <c r="AF143" i="7"/>
  <c r="K143" i="2" s="1"/>
  <c r="L143" i="2" s="1"/>
  <c r="DA143" i="7"/>
  <c r="AF263" i="7"/>
  <c r="K263" i="2" s="1"/>
  <c r="L263" i="2" s="1"/>
  <c r="DA263" i="7"/>
  <c r="AF141" i="7"/>
  <c r="K141" i="2" s="1"/>
  <c r="L141" i="2" s="1"/>
  <c r="DA141" i="7"/>
  <c r="AF238" i="7"/>
  <c r="K238" i="2" s="1"/>
  <c r="L238" i="2" s="1"/>
  <c r="DA238" i="7"/>
  <c r="AF149" i="7"/>
  <c r="K149" i="2" s="1"/>
  <c r="L149" i="2" s="1"/>
  <c r="DA149" i="7"/>
  <c r="AF248" i="7"/>
  <c r="K248" i="2" s="1"/>
  <c r="L248" i="2" s="1"/>
  <c r="DA248" i="7"/>
  <c r="AF274" i="7"/>
  <c r="K274" i="2" s="1"/>
  <c r="L274" i="2" s="1"/>
  <c r="DA274" i="7"/>
  <c r="AF144" i="7"/>
  <c r="K144" i="2" s="1"/>
  <c r="L144" i="2" s="1"/>
  <c r="DA144" i="7"/>
  <c r="AF57" i="7"/>
  <c r="K57" i="2" s="1"/>
  <c r="L57" i="2" s="1"/>
  <c r="DA57" i="7"/>
  <c r="AF46" i="7"/>
  <c r="K46" i="2" s="1"/>
  <c r="L46" i="2" s="1"/>
  <c r="DA46" i="7"/>
  <c r="AF47" i="7"/>
  <c r="K47" i="2" s="1"/>
  <c r="L47" i="2" s="1"/>
  <c r="DA47" i="7"/>
  <c r="AF56" i="7"/>
  <c r="K56" i="2" s="1"/>
  <c r="L56" i="2" s="1"/>
  <c r="DA56" i="7"/>
  <c r="AF296" i="7"/>
  <c r="K296" i="2" s="1"/>
  <c r="L296" i="2" s="1"/>
  <c r="DA296" i="7"/>
  <c r="AF198" i="7"/>
  <c r="K198" i="2" s="1"/>
  <c r="L198" i="2" s="1"/>
  <c r="DA198" i="7"/>
  <c r="AF60" i="7"/>
  <c r="K60" i="2" s="1"/>
  <c r="L60" i="2" s="1"/>
  <c r="DA60" i="7"/>
  <c r="AF176" i="7"/>
  <c r="K176" i="2" s="1"/>
  <c r="L176" i="2" s="1"/>
  <c r="DA176" i="7"/>
  <c r="AF208" i="7"/>
  <c r="K208" i="2" s="1"/>
  <c r="L208" i="2" s="1"/>
  <c r="DA208" i="7"/>
  <c r="AF61" i="7"/>
  <c r="K61" i="2" s="1"/>
  <c r="L61" i="2" s="1"/>
  <c r="DA61" i="7"/>
  <c r="AF283" i="7"/>
  <c r="K283" i="2" s="1"/>
  <c r="L283" i="2" s="1"/>
  <c r="DA283" i="7"/>
  <c r="AF288" i="7"/>
  <c r="K288" i="2" s="1"/>
  <c r="L288" i="2" s="1"/>
  <c r="DA288" i="7"/>
  <c r="AF254" i="7"/>
  <c r="K254" i="2" s="1"/>
  <c r="L254" i="2" s="1"/>
  <c r="DA254" i="7"/>
  <c r="E26" i="6"/>
  <c r="BC5" i="7"/>
  <c r="G23" i="6"/>
  <c r="O27" i="6"/>
  <c r="D16" i="17"/>
  <c r="P15" i="1"/>
  <c r="CE159" i="7"/>
  <c r="BX298" i="7"/>
  <c r="AM298" i="11" s="1"/>
  <c r="BX93" i="7"/>
  <c r="AM93" i="11" s="1"/>
  <c r="CE18" i="7"/>
  <c r="BX180" i="7"/>
  <c r="AM180" i="11" s="1"/>
  <c r="BX87" i="7"/>
  <c r="AM87" i="11" s="1"/>
  <c r="BX271" i="7"/>
  <c r="AM271" i="11" s="1"/>
  <c r="BX43" i="7"/>
  <c r="AM43" i="11" s="1"/>
  <c r="BX304" i="7"/>
  <c r="AM304" i="11" s="1"/>
  <c r="CE111" i="7"/>
  <c r="BX103" i="7"/>
  <c r="AM103" i="11" s="1"/>
  <c r="CE197" i="7"/>
  <c r="BX252" i="7"/>
  <c r="AM252" i="11" s="1"/>
  <c r="CE261" i="7"/>
  <c r="BX97" i="7"/>
  <c r="AM97" i="11" s="1"/>
  <c r="BX152" i="7"/>
  <c r="AM152" i="11" s="1"/>
  <c r="CE238" i="7"/>
  <c r="BX230" i="7"/>
  <c r="AM230" i="11" s="1"/>
  <c r="CE233" i="7"/>
  <c r="BX49" i="7"/>
  <c r="AM49" i="11" s="1"/>
  <c r="BX78" i="7"/>
  <c r="AM78" i="11" s="1"/>
  <c r="BX254" i="7"/>
  <c r="AM254" i="11" s="1"/>
  <c r="BX65" i="7"/>
  <c r="AM65" i="11" s="1"/>
  <c r="BX228" i="7"/>
  <c r="AM228" i="11" s="1"/>
  <c r="BX74" i="7"/>
  <c r="AM74" i="11" s="1"/>
  <c r="BX291" i="7"/>
  <c r="AM291" i="11" s="1"/>
  <c r="Q2" i="7"/>
  <c r="BX112" i="7"/>
  <c r="AM112" i="11" s="1"/>
  <c r="CE262" i="7"/>
  <c r="BX98" i="7"/>
  <c r="AM98" i="11" s="1"/>
  <c r="BX23" i="7"/>
  <c r="AM23" i="11" s="1"/>
  <c r="BX29" i="7"/>
  <c r="AM29" i="11" s="1"/>
  <c r="CE286" i="7"/>
  <c r="BX79" i="7"/>
  <c r="AM79" i="11" s="1"/>
  <c r="BX119" i="7"/>
  <c r="AM119" i="11" s="1"/>
  <c r="BX251" i="7"/>
  <c r="AM251" i="11" s="1"/>
  <c r="BX295" i="7"/>
  <c r="AM295" i="11" s="1"/>
  <c r="BX92" i="7"/>
  <c r="AM92" i="11" s="1"/>
  <c r="BX16" i="7"/>
  <c r="AM16" i="11" s="1"/>
  <c r="CE143" i="7"/>
  <c r="BX135" i="7"/>
  <c r="AM135" i="11" s="1"/>
  <c r="BX229" i="7"/>
  <c r="AM229" i="11" s="1"/>
  <c r="BX182" i="7"/>
  <c r="AM182" i="11" s="1"/>
  <c r="CE191" i="7"/>
  <c r="CE126" i="7"/>
  <c r="BX200" i="7"/>
  <c r="AM200" i="11" s="1"/>
  <c r="CE173" i="7"/>
  <c r="CE80" i="7"/>
  <c r="CE245" i="7"/>
  <c r="Y170" i="2"/>
  <c r="X170" i="11" s="1"/>
  <c r="Y49" i="2"/>
  <c r="X49" i="11" s="1"/>
  <c r="Y128" i="2"/>
  <c r="X128" i="11" s="1"/>
  <c r="Y117" i="2"/>
  <c r="X117" i="11" s="1"/>
  <c r="Y58" i="2"/>
  <c r="X58" i="11" s="1"/>
  <c r="Y213" i="2"/>
  <c r="X213" i="11" s="1"/>
  <c r="Y151" i="2"/>
  <c r="X151" i="11" s="1"/>
  <c r="Y83" i="2"/>
  <c r="X83" i="11" s="1"/>
  <c r="Y268" i="2"/>
  <c r="X268" i="11" s="1"/>
  <c r="Y80" i="2"/>
  <c r="X80" i="11" s="1"/>
  <c r="Y196" i="2"/>
  <c r="X196" i="11" s="1"/>
  <c r="Y36" i="2"/>
  <c r="X36" i="11" s="1"/>
  <c r="Y78" i="2"/>
  <c r="X78" i="11" s="1"/>
  <c r="Y254" i="2"/>
  <c r="X254" i="11" s="1"/>
  <c r="Y48" i="2"/>
  <c r="X48" i="11" s="1"/>
  <c r="Y154" i="2"/>
  <c r="X154" i="11" s="1"/>
  <c r="Y238" i="2"/>
  <c r="X238" i="11" s="1"/>
  <c r="Y177" i="2"/>
  <c r="X177" i="11" s="1"/>
  <c r="Y114" i="2"/>
  <c r="X114" i="11" s="1"/>
  <c r="Y61" i="2"/>
  <c r="X61" i="11" s="1"/>
  <c r="Y216" i="2"/>
  <c r="X216" i="11" s="1"/>
  <c r="Y299" i="2"/>
  <c r="X299" i="11" s="1"/>
  <c r="Y168" i="2"/>
  <c r="X168" i="11" s="1"/>
  <c r="Y285" i="2"/>
  <c r="X285" i="11" s="1"/>
  <c r="Y110" i="2"/>
  <c r="X110" i="11" s="1"/>
  <c r="Y79" i="2"/>
  <c r="X79" i="11" s="1"/>
  <c r="Y257" i="2"/>
  <c r="X257" i="11" s="1"/>
  <c r="Y159" i="2"/>
  <c r="X159" i="11" s="1"/>
  <c r="Y42" i="2"/>
  <c r="X42" i="11" s="1"/>
  <c r="Y224" i="2"/>
  <c r="X224" i="11" s="1"/>
  <c r="Y162" i="2"/>
  <c r="X162" i="11" s="1"/>
  <c r="Y94" i="2"/>
  <c r="X94" i="11" s="1"/>
  <c r="Y302" i="2"/>
  <c r="X302" i="11" s="1"/>
  <c r="Y59" i="2"/>
  <c r="X59" i="11" s="1"/>
  <c r="Y172" i="2"/>
  <c r="X172" i="11" s="1"/>
  <c r="Y295" i="2"/>
  <c r="X295" i="11" s="1"/>
  <c r="Y282" i="2"/>
  <c r="X282" i="11" s="1"/>
  <c r="Y90" i="2"/>
  <c r="X90" i="11" s="1"/>
  <c r="Y301" i="2"/>
  <c r="X301" i="11" s="1"/>
  <c r="Y187" i="2"/>
  <c r="X187" i="11" s="1"/>
  <c r="Y125" i="2"/>
  <c r="X125" i="11" s="1"/>
  <c r="Y45" i="2"/>
  <c r="X45" i="11" s="1"/>
  <c r="Y228" i="2"/>
  <c r="X228" i="11" s="1"/>
  <c r="Y63" i="2"/>
  <c r="X63" i="11" s="1"/>
  <c r="Y176" i="2"/>
  <c r="X176" i="11" s="1"/>
  <c r="Y230" i="2"/>
  <c r="X230" i="11" s="1"/>
  <c r="Y44" i="2"/>
  <c r="X44" i="11" s="1"/>
  <c r="Y43" i="2"/>
  <c r="X43" i="11" s="1"/>
  <c r="Y300" i="2"/>
  <c r="X300" i="11" s="1"/>
  <c r="Y127" i="2"/>
  <c r="X127" i="11" s="1"/>
  <c r="Y193" i="2"/>
  <c r="X193" i="11" s="1"/>
  <c r="Y130" i="2"/>
  <c r="X130" i="11" s="1"/>
  <c r="Y50" i="2"/>
  <c r="X50" i="11" s="1"/>
  <c r="Y236" i="2"/>
  <c r="X236" i="11" s="1"/>
  <c r="Y296" i="2"/>
  <c r="X296" i="11" s="1"/>
  <c r="Y148" i="2"/>
  <c r="X148" i="11" s="1"/>
  <c r="Y279" i="2"/>
  <c r="X279" i="11" s="1"/>
  <c r="Y194" i="2"/>
  <c r="X194" i="11" s="1"/>
  <c r="Y126" i="2"/>
  <c r="X126" i="11" s="1"/>
  <c r="Y233" i="2"/>
  <c r="X233" i="11" s="1"/>
  <c r="Y100" i="2"/>
  <c r="X100" i="11" s="1"/>
  <c r="Y227" i="2"/>
  <c r="X227" i="11" s="1"/>
  <c r="Y41" i="2"/>
  <c r="X41" i="11" s="1"/>
  <c r="Y253" i="2"/>
  <c r="X253" i="11" s="1"/>
  <c r="Y118" i="2"/>
  <c r="X118" i="11" s="1"/>
  <c r="Y188" i="2"/>
  <c r="X188" i="11" s="1"/>
  <c r="Y138" i="2"/>
  <c r="X138" i="11" s="1"/>
  <c r="Y64" i="2"/>
  <c r="X64" i="11" s="1"/>
  <c r="Y218" i="2"/>
  <c r="X218" i="11" s="1"/>
  <c r="Y157" i="2"/>
  <c r="X157" i="11" s="1"/>
  <c r="Y89" i="2"/>
  <c r="X89" i="11" s="1"/>
  <c r="Y283" i="2"/>
  <c r="X283" i="11" s="1"/>
  <c r="Y68" i="2"/>
  <c r="X68" i="11" s="1"/>
  <c r="Y200" i="2"/>
  <c r="X200" i="11" s="1"/>
  <c r="Y222" i="2"/>
  <c r="X222" i="11" s="1"/>
  <c r="Y304" i="2"/>
  <c r="X304" i="11" s="1"/>
  <c r="Y161" i="2"/>
  <c r="X161" i="11" s="1"/>
  <c r="Y156" i="2"/>
  <c r="X156" i="11" s="1"/>
  <c r="Y165" i="2"/>
  <c r="X165" i="11" s="1"/>
  <c r="Y97" i="2"/>
  <c r="X97" i="11" s="1"/>
  <c r="Y278" i="2"/>
  <c r="X278" i="11" s="1"/>
  <c r="Y205" i="2"/>
  <c r="X205" i="11" s="1"/>
  <c r="Y137" i="2"/>
  <c r="X137" i="11" s="1"/>
  <c r="Y67" i="2"/>
  <c r="X67" i="11" s="1"/>
  <c r="Y204" i="2"/>
  <c r="X204" i="11" s="1"/>
  <c r="Y93" i="2"/>
  <c r="X93" i="11" s="1"/>
  <c r="Y181" i="2"/>
  <c r="X181" i="11" s="1"/>
  <c r="Y47" i="2"/>
  <c r="X47" i="11" s="1"/>
  <c r="Y232" i="2"/>
  <c r="X232" i="11" s="1"/>
  <c r="Y167" i="2"/>
  <c r="X167" i="11" s="1"/>
  <c r="Y99" i="2"/>
  <c r="X99" i="11" s="1"/>
  <c r="Y273" i="2"/>
  <c r="X273" i="11" s="1"/>
  <c r="Y75" i="2"/>
  <c r="X75" i="11" s="1"/>
  <c r="Y208" i="2"/>
  <c r="X208" i="11" s="1"/>
  <c r="Y113" i="2"/>
  <c r="X113" i="11" s="1"/>
  <c r="Y247" i="2"/>
  <c r="X247" i="11" s="1"/>
  <c r="Y286" i="2"/>
  <c r="X286" i="11" s="1"/>
  <c r="Y175" i="2"/>
  <c r="X175" i="11" s="1"/>
  <c r="Y65" i="2"/>
  <c r="X65" i="11" s="1"/>
  <c r="Y240" i="2"/>
  <c r="X240" i="11" s="1"/>
  <c r="Y173" i="2"/>
  <c r="X173" i="11" s="1"/>
  <c r="Y105" i="2"/>
  <c r="X105" i="11" s="1"/>
  <c r="Y297" i="2"/>
  <c r="X297" i="11" s="1"/>
  <c r="Y73" i="2"/>
  <c r="X73" i="11" s="1"/>
  <c r="Y180" i="2"/>
  <c r="X180" i="11" s="1"/>
  <c r="Y123" i="2"/>
  <c r="X123" i="11" s="1"/>
  <c r="Y255" i="2"/>
  <c r="X255" i="11" s="1"/>
  <c r="Y86" i="2"/>
  <c r="X86" i="11" s="1"/>
  <c r="Y22" i="2"/>
  <c r="X22" i="11" s="1"/>
  <c r="Y88" i="2"/>
  <c r="X88" i="11" s="1"/>
  <c r="Y256" i="2"/>
  <c r="X256" i="11" s="1"/>
  <c r="Y95" i="2"/>
  <c r="X95" i="11" s="1"/>
  <c r="Y191" i="2"/>
  <c r="X191" i="11" s="1"/>
  <c r="Y166" i="2"/>
  <c r="X166" i="11" s="1"/>
  <c r="Y103" i="2"/>
  <c r="X103" i="11" s="1"/>
  <c r="Y293" i="2"/>
  <c r="X293" i="11" s="1"/>
  <c r="Y206" i="2"/>
  <c r="X206" i="11" s="1"/>
  <c r="Y277" i="2"/>
  <c r="X277" i="11" s="1"/>
  <c r="Y160" i="2"/>
  <c r="X160" i="11" s="1"/>
  <c r="Y274" i="2"/>
  <c r="X274" i="11" s="1"/>
  <c r="Y195" i="2"/>
  <c r="X195" i="11" s="1"/>
  <c r="Y76" i="2"/>
  <c r="X76" i="11" s="1"/>
  <c r="Y124" i="2"/>
  <c r="X124" i="11" s="1"/>
  <c r="Y149" i="2"/>
  <c r="X149" i="11" s="1"/>
  <c r="Y163" i="2"/>
  <c r="X163" i="11" s="1"/>
  <c r="Y220" i="2"/>
  <c r="X220" i="11" s="1"/>
  <c r="Y284" i="2"/>
  <c r="X284" i="11" s="1"/>
  <c r="Y62" i="2"/>
  <c r="X62" i="11" s="1"/>
  <c r="Y57" i="2"/>
  <c r="X57" i="11" s="1"/>
  <c r="Y129" i="2"/>
  <c r="X129" i="11" s="1"/>
  <c r="Y69" i="2"/>
  <c r="X69" i="11" s="1"/>
  <c r="Y242" i="2"/>
  <c r="X242" i="11" s="1"/>
  <c r="Y169" i="2"/>
  <c r="X169" i="11" s="1"/>
  <c r="Y265" i="2"/>
  <c r="X265" i="11" s="1"/>
  <c r="Y132" i="2"/>
  <c r="X132" i="11" s="1"/>
  <c r="Y259" i="2"/>
  <c r="X259" i="11" s="1"/>
  <c r="Y54" i="2"/>
  <c r="X54" i="11" s="1"/>
  <c r="Y152" i="2"/>
  <c r="X152" i="11" s="1"/>
  <c r="Y98" i="2"/>
  <c r="X98" i="11" s="1"/>
  <c r="Y143" i="2"/>
  <c r="X143" i="11" s="1"/>
  <c r="Y91" i="2"/>
  <c r="X91" i="11" s="1"/>
  <c r="Y294" i="2"/>
  <c r="X294" i="11" s="1"/>
  <c r="Y199" i="2"/>
  <c r="X199" i="11" s="1"/>
  <c r="Y131" i="2"/>
  <c r="X131" i="11" s="1"/>
  <c r="Y237" i="2"/>
  <c r="X237" i="11" s="1"/>
  <c r="Y104" i="2"/>
  <c r="X104" i="11" s="1"/>
  <c r="Y231" i="2"/>
  <c r="X231" i="11" s="1"/>
  <c r="Y155" i="2"/>
  <c r="X155" i="11" s="1"/>
  <c r="Y184" i="2"/>
  <c r="X184" i="11" s="1"/>
  <c r="Y183" i="2"/>
  <c r="X183" i="11" s="1"/>
  <c r="Y85" i="2"/>
  <c r="X85" i="11" s="1"/>
  <c r="Y139" i="2"/>
  <c r="X139" i="11" s="1"/>
  <c r="Y71" i="2"/>
  <c r="X71" i="11" s="1"/>
  <c r="Y258" i="2"/>
  <c r="X258" i="11" s="1"/>
  <c r="Y179" i="2"/>
  <c r="X179" i="11" s="1"/>
  <c r="Y241" i="2"/>
  <c r="X241" i="11" s="1"/>
  <c r="Y108" i="2"/>
  <c r="X108" i="11" s="1"/>
  <c r="Y235" i="2"/>
  <c r="X235" i="11" s="1"/>
  <c r="Y120" i="2"/>
  <c r="X120" i="11" s="1"/>
  <c r="Y133" i="2"/>
  <c r="X133" i="11" s="1"/>
  <c r="Y186" i="2"/>
  <c r="X186" i="11" s="1"/>
  <c r="Y102" i="2"/>
  <c r="X102" i="11" s="1"/>
  <c r="Y289" i="2"/>
  <c r="X289" i="11" s="1"/>
  <c r="Y210" i="2"/>
  <c r="X210" i="11" s="1"/>
  <c r="Y142" i="2"/>
  <c r="X142" i="11" s="1"/>
  <c r="Y245" i="2"/>
  <c r="X245" i="11" s="1"/>
  <c r="Y112" i="2"/>
  <c r="X112" i="11" s="1"/>
  <c r="Y239" i="2"/>
  <c r="X239" i="11" s="1"/>
  <c r="Y178" i="2"/>
  <c r="X178" i="11" s="1"/>
  <c r="Y74" i="2"/>
  <c r="X74" i="11" s="1"/>
  <c r="Y201" i="2"/>
  <c r="X201" i="11" s="1"/>
  <c r="Y202" i="2"/>
  <c r="X202" i="11" s="1"/>
  <c r="Y107" i="2"/>
  <c r="X107" i="11" s="1"/>
  <c r="Y60" i="2"/>
  <c r="X60" i="11" s="1"/>
  <c r="Y214" i="2"/>
  <c r="X214" i="11" s="1"/>
  <c r="Y147" i="2"/>
  <c r="X147" i="11" s="1"/>
  <c r="Y84" i="2"/>
  <c r="X84" i="11" s="1"/>
  <c r="Y271" i="2"/>
  <c r="X271" i="11" s="1"/>
  <c r="Y6" i="2"/>
  <c r="X6" i="11" s="1"/>
  <c r="Y219" i="2"/>
  <c r="X219" i="11" s="1"/>
  <c r="Y261" i="2"/>
  <c r="X261" i="11" s="1"/>
  <c r="Y252" i="2"/>
  <c r="X252" i="11" s="1"/>
  <c r="Y248" i="2"/>
  <c r="X248" i="11" s="1"/>
  <c r="Y292" i="2"/>
  <c r="X292" i="11" s="1"/>
  <c r="Y115" i="2"/>
  <c r="X115" i="11" s="1"/>
  <c r="Y272" i="2"/>
  <c r="X272" i="11" s="1"/>
  <c r="Y209" i="2"/>
  <c r="X209" i="11" s="1"/>
  <c r="Y146" i="2"/>
  <c r="X146" i="11" s="1"/>
  <c r="Y77" i="2"/>
  <c r="X77" i="11" s="1"/>
  <c r="Y260" i="2"/>
  <c r="X260" i="11" s="1"/>
  <c r="Y52" i="2"/>
  <c r="X52" i="11" s="1"/>
  <c r="Y192" i="2"/>
  <c r="X192" i="11" s="1"/>
  <c r="Y46" i="2"/>
  <c r="X46" i="11" s="1"/>
  <c r="Y215" i="2"/>
  <c r="X215" i="11" s="1"/>
  <c r="Y203" i="2"/>
  <c r="X203" i="11" s="1"/>
  <c r="Y251" i="2"/>
  <c r="X251" i="11" s="1"/>
  <c r="Y244" i="2"/>
  <c r="X244" i="11" s="1"/>
  <c r="Y234" i="2"/>
  <c r="X234" i="11" s="1"/>
  <c r="Y262" i="2"/>
  <c r="X262" i="11" s="1"/>
  <c r="Y53" i="2"/>
  <c r="X53" i="11" s="1"/>
  <c r="Y212" i="2"/>
  <c r="X212" i="11" s="1"/>
  <c r="Y171" i="2"/>
  <c r="X171" i="11" s="1"/>
  <c r="Y109" i="2"/>
  <c r="X109" i="11" s="1"/>
  <c r="Y56" i="2"/>
  <c r="X56" i="11" s="1"/>
  <c r="Y211" i="2"/>
  <c r="X211" i="11" s="1"/>
  <c r="Y291" i="2"/>
  <c r="X291" i="11" s="1"/>
  <c r="Y164" i="2"/>
  <c r="X164" i="11" s="1"/>
  <c r="Y269" i="2"/>
  <c r="X269" i="11" s="1"/>
  <c r="Y25" i="2"/>
  <c r="X25" i="11" s="1"/>
  <c r="Y66" i="2"/>
  <c r="X66" i="11" s="1"/>
  <c r="Y29" i="2"/>
  <c r="X29" i="11" s="1"/>
  <c r="Y72" i="2"/>
  <c r="X72" i="11" s="1"/>
  <c r="Y217" i="2"/>
  <c r="X217" i="11" s="1"/>
  <c r="Y51" i="2"/>
  <c r="X51" i="11" s="1"/>
  <c r="Y134" i="2"/>
  <c r="X134" i="11" s="1"/>
  <c r="Y55" i="2"/>
  <c r="X55" i="11" s="1"/>
  <c r="Y250" i="2"/>
  <c r="X250" i="11" s="1"/>
  <c r="Y174" i="2"/>
  <c r="X174" i="11" s="1"/>
  <c r="Y270" i="2"/>
  <c r="X270" i="11" s="1"/>
  <c r="Y136" i="2"/>
  <c r="X136" i="11" s="1"/>
  <c r="Y263" i="2"/>
  <c r="X263" i="11" s="1"/>
  <c r="Y135" i="2"/>
  <c r="X135" i="11" s="1"/>
  <c r="Y158" i="2"/>
  <c r="X158" i="11" s="1"/>
  <c r="Y246" i="2"/>
  <c r="X246" i="11" s="1"/>
  <c r="Y276" i="2"/>
  <c r="X276" i="11" s="1"/>
  <c r="Y182" i="2"/>
  <c r="X182" i="11" s="1"/>
  <c r="Y119" i="2"/>
  <c r="X119" i="11" s="1"/>
  <c r="Y70" i="2"/>
  <c r="X70" i="11" s="1"/>
  <c r="Y221" i="2"/>
  <c r="X221" i="11" s="1"/>
  <c r="Y288" i="2"/>
  <c r="X288" i="11" s="1"/>
  <c r="Y140" i="2"/>
  <c r="X140" i="11" s="1"/>
  <c r="Y267" i="2"/>
  <c r="X267" i="11" s="1"/>
  <c r="Y26" i="2"/>
  <c r="X26" i="11" s="1"/>
  <c r="Y141" i="2"/>
  <c r="X141" i="11" s="1"/>
  <c r="Y111" i="2"/>
  <c r="X111" i="11" s="1"/>
  <c r="Y106" i="2"/>
  <c r="X106" i="11" s="1"/>
  <c r="Y145" i="2"/>
  <c r="X145" i="11" s="1"/>
  <c r="Y82" i="2"/>
  <c r="X82" i="11" s="1"/>
  <c r="Y266" i="2"/>
  <c r="X266" i="11" s="1"/>
  <c r="Y185" i="2"/>
  <c r="X185" i="11" s="1"/>
  <c r="Y287" i="2"/>
  <c r="X287" i="11" s="1"/>
  <c r="Y144" i="2"/>
  <c r="X144" i="11" s="1"/>
  <c r="Y280" i="2"/>
  <c r="X280" i="11" s="1"/>
  <c r="Y153" i="2"/>
  <c r="X153" i="11" s="1"/>
  <c r="Y92" i="2"/>
  <c r="X92" i="11" s="1"/>
  <c r="Y207" i="2"/>
  <c r="X207" i="11" s="1"/>
  <c r="Y150" i="2"/>
  <c r="X150" i="11" s="1"/>
  <c r="Y87" i="2"/>
  <c r="X87" i="11" s="1"/>
  <c r="Y275" i="2"/>
  <c r="X275" i="11" s="1"/>
  <c r="Y190" i="2"/>
  <c r="X190" i="11" s="1"/>
  <c r="Y249" i="2"/>
  <c r="X249" i="11" s="1"/>
  <c r="Y116" i="2"/>
  <c r="X116" i="11" s="1"/>
  <c r="Y243" i="2"/>
  <c r="X243" i="11" s="1"/>
  <c r="Y281" i="2"/>
  <c r="X281" i="11" s="1"/>
  <c r="Y30" i="2"/>
  <c r="X30" i="11" s="1"/>
  <c r="Y122" i="2"/>
  <c r="X122" i="11" s="1"/>
  <c r="Y290" i="2"/>
  <c r="X290" i="11" s="1"/>
  <c r="Y298" i="2"/>
  <c r="X298" i="11" s="1"/>
  <c r="Y197" i="2"/>
  <c r="X197" i="11" s="1"/>
  <c r="Y225" i="2"/>
  <c r="X225" i="11" s="1"/>
  <c r="Y101" i="2"/>
  <c r="X101" i="11" s="1"/>
  <c r="Y81" i="2"/>
  <c r="X81" i="11" s="1"/>
  <c r="Y264" i="2"/>
  <c r="X264" i="11" s="1"/>
  <c r="Y189" i="2"/>
  <c r="X189" i="11" s="1"/>
  <c r="Y121" i="2"/>
  <c r="X121" i="11" s="1"/>
  <c r="Y229" i="2"/>
  <c r="X229" i="11" s="1"/>
  <c r="Y96" i="2"/>
  <c r="X96" i="11" s="1"/>
  <c r="Y223" i="2"/>
  <c r="X223" i="11" s="1"/>
  <c r="Y198" i="2"/>
  <c r="X198" i="11" s="1"/>
  <c r="Y226" i="2"/>
  <c r="X226" i="11" s="1"/>
  <c r="AO6" i="2"/>
  <c r="BC6" i="2" s="1"/>
  <c r="BC5" i="2"/>
  <c r="CE82" i="7"/>
  <c r="AO10" i="2"/>
  <c r="BC10" i="2" s="1"/>
  <c r="B157" i="3"/>
  <c r="P23" i="6"/>
  <c r="B37" i="9"/>
  <c r="D8" i="2"/>
  <c r="F8" i="2" s="1"/>
  <c r="AV226" i="11" l="1"/>
  <c r="AV280" i="11"/>
  <c r="AV260" i="11"/>
  <c r="CE81" i="7"/>
  <c r="CE12" i="7"/>
  <c r="AV299" i="11"/>
  <c r="CE132" i="7"/>
  <c r="BX243" i="7"/>
  <c r="AM243" i="11" s="1"/>
  <c r="AV283" i="11"/>
  <c r="AV58" i="11"/>
  <c r="AV267" i="11"/>
  <c r="AV204" i="11"/>
  <c r="AV234" i="11"/>
  <c r="BX246" i="7"/>
  <c r="AM246" i="11" s="1"/>
  <c r="BX117" i="7"/>
  <c r="AM117" i="11" s="1"/>
  <c r="CE246" i="7"/>
  <c r="AV8" i="11"/>
  <c r="AV236" i="11"/>
  <c r="AV300" i="11"/>
  <c r="BX211" i="7"/>
  <c r="AM211" i="11" s="1"/>
  <c r="BX59" i="7"/>
  <c r="AM59" i="11" s="1"/>
  <c r="BX85" i="7"/>
  <c r="AM85" i="11" s="1"/>
  <c r="AV192" i="11"/>
  <c r="AV173" i="11"/>
  <c r="AV21" i="11"/>
  <c r="Y105" i="11"/>
  <c r="CE289" i="7"/>
  <c r="AV99" i="11"/>
  <c r="AV28" i="11"/>
  <c r="AV100" i="11"/>
  <c r="AV302" i="11"/>
  <c r="Y50" i="11"/>
  <c r="AV55" i="11"/>
  <c r="AV33" i="11"/>
  <c r="AV188" i="11"/>
  <c r="AV63" i="11"/>
  <c r="AV244" i="11"/>
  <c r="Y165" i="11"/>
  <c r="AV45" i="11"/>
  <c r="AV218" i="11"/>
  <c r="AV263" i="11"/>
  <c r="AV95" i="11"/>
  <c r="BX274" i="7"/>
  <c r="AM274" i="11" s="1"/>
  <c r="BX101" i="7"/>
  <c r="AM101" i="11" s="1"/>
  <c r="AV160" i="11"/>
  <c r="AV223" i="11"/>
  <c r="AV147" i="11"/>
  <c r="AV19" i="11"/>
  <c r="AV241" i="11"/>
  <c r="AV222" i="11"/>
  <c r="AV48" i="11"/>
  <c r="Y263" i="11"/>
  <c r="AV253" i="11"/>
  <c r="AV168" i="11"/>
  <c r="AV239" i="11"/>
  <c r="AV282" i="11"/>
  <c r="AV206" i="11"/>
  <c r="AV209" i="11"/>
  <c r="AV216" i="11"/>
  <c r="AV7" i="11"/>
  <c r="AV195" i="11"/>
  <c r="AV240" i="11"/>
  <c r="AV75" i="11"/>
  <c r="AV203" i="11"/>
  <c r="AV225" i="11"/>
  <c r="AV94" i="11"/>
  <c r="AV217" i="11"/>
  <c r="AV193" i="11"/>
  <c r="AV11" i="11"/>
  <c r="AV276" i="11"/>
  <c r="AV144" i="11"/>
  <c r="AV265" i="11"/>
  <c r="AV35" i="11"/>
  <c r="AV51" i="11"/>
  <c r="BX31" i="7"/>
  <c r="AM31" i="11" s="1"/>
  <c r="Y199" i="11"/>
  <c r="AV129" i="11"/>
  <c r="AV279" i="11"/>
  <c r="AV68" i="11"/>
  <c r="AV122" i="11"/>
  <c r="AV266" i="11"/>
  <c r="AV42" i="11"/>
  <c r="Y127" i="11"/>
  <c r="AV175" i="11"/>
  <c r="AV185" i="11"/>
  <c r="AV166" i="11"/>
  <c r="AV14" i="11"/>
  <c r="AV169" i="11"/>
  <c r="AV141" i="11"/>
  <c r="AV167" i="11"/>
  <c r="AV248" i="11"/>
  <c r="AV224" i="11"/>
  <c r="AV201" i="11"/>
  <c r="AV258" i="11"/>
  <c r="AV67" i="11"/>
  <c r="AV232" i="11"/>
  <c r="AV77" i="11"/>
  <c r="AV118" i="11"/>
  <c r="CE242" i="7"/>
  <c r="AV199" i="11"/>
  <c r="AV156" i="11"/>
  <c r="Y258" i="11"/>
  <c r="AV202" i="11"/>
  <c r="AV136" i="11"/>
  <c r="AV275" i="11"/>
  <c r="Y232" i="11"/>
  <c r="AV105" i="11"/>
  <c r="AV133" i="11"/>
  <c r="AV165" i="11"/>
  <c r="AV250" i="11"/>
  <c r="AV269" i="11"/>
  <c r="AV153" i="11"/>
  <c r="AV270" i="11"/>
  <c r="Y253" i="11"/>
  <c r="AV116" i="11"/>
  <c r="Y94" i="11"/>
  <c r="Y113" i="11"/>
  <c r="AV237" i="11"/>
  <c r="AV208" i="11"/>
  <c r="BX196" i="7"/>
  <c r="AM196" i="11" s="1"/>
  <c r="AV13" i="11"/>
  <c r="AV109" i="11"/>
  <c r="Y36" i="11"/>
  <c r="Y88" i="11"/>
  <c r="AV30" i="11"/>
  <c r="AV213" i="11"/>
  <c r="AV290" i="11"/>
  <c r="AV89" i="11"/>
  <c r="AV121" i="11"/>
  <c r="Y198" i="11"/>
  <c r="AV39" i="11"/>
  <c r="Y208" i="11"/>
  <c r="Y63" i="11"/>
  <c r="AV272" i="11"/>
  <c r="Y221" i="11"/>
  <c r="AV198" i="11"/>
  <c r="AV189" i="11"/>
  <c r="AV247" i="11"/>
  <c r="Y13" i="11"/>
  <c r="Y213" i="11"/>
  <c r="AV46" i="11"/>
  <c r="AV294" i="11"/>
  <c r="AV164" i="11"/>
  <c r="Y89" i="11"/>
  <c r="AV9" i="11"/>
  <c r="AV115" i="11"/>
  <c r="AV154" i="11"/>
  <c r="Y271" i="11"/>
  <c r="Y92" i="11"/>
  <c r="Y79" i="11"/>
  <c r="Y29" i="11"/>
  <c r="Y126" i="11"/>
  <c r="Y65" i="11"/>
  <c r="Y233" i="11"/>
  <c r="Y214" i="11"/>
  <c r="Y173" i="11"/>
  <c r="Y245" i="11"/>
  <c r="Y182" i="11"/>
  <c r="Y187" i="11"/>
  <c r="Y93" i="11"/>
  <c r="Y197" i="11"/>
  <c r="Y43" i="11"/>
  <c r="Y23" i="11"/>
  <c r="Y254" i="11"/>
  <c r="Y230" i="11"/>
  <c r="Y97" i="11"/>
  <c r="AV178" i="11"/>
  <c r="AV113" i="11"/>
  <c r="AV139" i="11"/>
  <c r="AV174" i="11"/>
  <c r="AV255" i="11"/>
  <c r="AV38" i="11"/>
  <c r="AV181" i="11"/>
  <c r="AV54" i="11"/>
  <c r="AV17" i="11"/>
  <c r="Y9" i="11"/>
  <c r="AV146" i="11"/>
  <c r="AV102" i="11"/>
  <c r="CE167" i="7"/>
  <c r="AV194" i="11"/>
  <c r="AV221" i="11"/>
  <c r="AV36" i="11"/>
  <c r="AV88" i="11"/>
  <c r="AV170" i="11"/>
  <c r="AV127" i="11"/>
  <c r="AV212" i="11"/>
  <c r="AV81" i="11"/>
  <c r="AV107" i="11"/>
  <c r="Y38" i="11"/>
  <c r="AV50" i="11"/>
  <c r="AV157" i="11"/>
  <c r="AV138" i="11"/>
  <c r="AV150" i="11"/>
  <c r="Y54" i="11"/>
  <c r="Y102" i="11"/>
  <c r="BX250" i="7"/>
  <c r="AM250" i="11" s="1"/>
  <c r="CE163" i="7"/>
  <c r="CE203" i="7"/>
  <c r="BX67" i="7"/>
  <c r="AM67" i="11" s="1"/>
  <c r="CE121" i="7"/>
  <c r="BX265" i="7"/>
  <c r="AM265" i="11" s="1"/>
  <c r="BX266" i="7"/>
  <c r="AM266" i="11" s="1"/>
  <c r="CE109" i="7"/>
  <c r="BX258" i="7"/>
  <c r="AM258" i="11" s="1"/>
  <c r="BX175" i="7"/>
  <c r="AM175" i="11" s="1"/>
  <c r="BX213" i="7"/>
  <c r="AM213" i="11" s="1"/>
  <c r="CE100" i="7"/>
  <c r="CE11" i="7"/>
  <c r="CE241" i="7"/>
  <c r="CE94" i="7"/>
  <c r="BX293" i="7"/>
  <c r="AM293" i="11" s="1"/>
  <c r="BX6" i="7"/>
  <c r="AM6" i="11" s="1"/>
  <c r="Y295" i="11"/>
  <c r="Y6" i="11"/>
  <c r="BX205" i="7"/>
  <c r="AM205" i="11" s="1"/>
  <c r="Y104" i="11"/>
  <c r="Y91" i="11"/>
  <c r="BX90" i="7"/>
  <c r="AM90" i="11" s="1"/>
  <c r="BX288" i="7"/>
  <c r="AM288" i="11" s="1"/>
  <c r="CE172" i="7"/>
  <c r="BX20" i="7"/>
  <c r="AM20" i="11" s="1"/>
  <c r="BX134" i="7"/>
  <c r="AM134" i="11" s="1"/>
  <c r="BX186" i="7"/>
  <c r="AM186" i="11" s="1"/>
  <c r="CE124" i="7"/>
  <c r="CE149" i="7"/>
  <c r="BX162" i="7"/>
  <c r="AM162" i="11" s="1"/>
  <c r="CE184" i="7"/>
  <c r="BX220" i="7"/>
  <c r="AM220" i="11" s="1"/>
  <c r="CE83" i="7"/>
  <c r="BX207" i="7"/>
  <c r="AM207" i="11" s="1"/>
  <c r="BX70" i="7"/>
  <c r="AM70" i="11" s="1"/>
  <c r="BX71" i="7"/>
  <c r="AM71" i="11" s="1"/>
  <c r="BX158" i="7"/>
  <c r="AM158" i="11" s="1"/>
  <c r="Y176" i="11"/>
  <c r="BX66" i="7"/>
  <c r="AM66" i="11" s="1"/>
  <c r="Y177" i="11"/>
  <c r="Y62" i="11"/>
  <c r="Y273" i="11"/>
  <c r="BX296" i="7"/>
  <c r="AM296" i="11" s="1"/>
  <c r="BX73" i="7"/>
  <c r="AM73" i="11" s="1"/>
  <c r="CE10" i="7"/>
  <c r="BX32" i="7"/>
  <c r="AM32" i="11" s="1"/>
  <c r="BX104" i="7"/>
  <c r="AM104" i="11" s="1"/>
  <c r="Y24" i="11"/>
  <c r="BX137" i="7"/>
  <c r="AM137" i="11" s="1"/>
  <c r="CE25" i="7"/>
  <c r="BX145" i="7"/>
  <c r="AM145" i="11" s="1"/>
  <c r="BX278" i="7"/>
  <c r="AM278" i="11" s="1"/>
  <c r="BX24" i="7"/>
  <c r="AM24" i="11" s="1"/>
  <c r="BX62" i="7"/>
  <c r="AM62" i="11" s="1"/>
  <c r="Y277" i="11"/>
  <c r="CE72" i="7"/>
  <c r="BX108" i="7"/>
  <c r="AM108" i="11" s="1"/>
  <c r="BX277" i="7"/>
  <c r="AM277" i="11" s="1"/>
  <c r="CE273" i="7"/>
  <c r="BX210" i="7"/>
  <c r="AM210" i="11" s="1"/>
  <c r="BX177" i="7"/>
  <c r="AM177" i="11" s="1"/>
  <c r="CE91" i="7"/>
  <c r="BX176" i="7"/>
  <c r="AM176" i="11" s="1"/>
  <c r="BX281" i="7"/>
  <c r="AM281" i="11" s="1"/>
  <c r="BX37" i="7"/>
  <c r="AM37" i="11" s="1"/>
  <c r="BX26" i="7"/>
  <c r="AM26" i="11" s="1"/>
  <c r="CE183" i="7"/>
  <c r="BX22" i="7"/>
  <c r="AM22" i="11" s="1"/>
  <c r="BX179" i="7"/>
  <c r="AM179" i="11" s="1"/>
  <c r="Y278" i="11"/>
  <c r="CE151" i="7"/>
  <c r="BX76" i="7"/>
  <c r="AM76" i="11" s="1"/>
  <c r="Y281" i="11"/>
  <c r="Y84" i="11"/>
  <c r="Y27" i="11"/>
  <c r="Y131" i="11"/>
  <c r="Y303" i="11"/>
  <c r="Y287" i="11"/>
  <c r="Y235" i="11"/>
  <c r="Y114" i="11"/>
  <c r="Y231" i="11"/>
  <c r="Y110" i="11"/>
  <c r="Y227" i="11"/>
  <c r="Y106" i="11"/>
  <c r="Y256" i="11"/>
  <c r="Y137" i="11"/>
  <c r="Y172" i="11"/>
  <c r="Y124" i="11"/>
  <c r="Y296" i="11"/>
  <c r="Y120" i="11"/>
  <c r="Y292" i="11"/>
  <c r="Y148" i="11"/>
  <c r="Y96" i="11"/>
  <c r="Y268" i="11"/>
  <c r="Y56" i="11"/>
  <c r="Y301" i="11"/>
  <c r="Y249" i="11"/>
  <c r="Y86" i="11"/>
  <c r="Y123" i="11"/>
  <c r="Y61" i="11"/>
  <c r="Y155" i="11"/>
  <c r="Y57" i="11"/>
  <c r="Y219" i="11"/>
  <c r="Y53" i="11"/>
  <c r="Y297" i="11"/>
  <c r="Y60" i="11"/>
  <c r="Y184" i="11"/>
  <c r="Y16" i="11"/>
  <c r="Y10" i="11"/>
  <c r="Y32" i="11"/>
  <c r="Y108" i="11"/>
  <c r="Y25" i="11"/>
  <c r="Y151" i="11"/>
  <c r="Y288" i="11"/>
  <c r="Y72" i="11"/>
  <c r="BX10" i="7"/>
  <c r="AM10" i="11" s="1"/>
  <c r="AV184" i="11"/>
  <c r="AV72" i="11"/>
  <c r="AV151" i="11"/>
  <c r="Y90" i="11"/>
  <c r="Y71" i="11"/>
  <c r="Y210" i="11"/>
  <c r="Y162" i="11"/>
  <c r="Y70" i="11"/>
  <c r="Y158" i="11"/>
  <c r="Y66" i="11"/>
  <c r="Y186" i="11"/>
  <c r="Y134" i="11"/>
  <c r="Y20" i="11"/>
  <c r="Y220" i="11"/>
  <c r="Y83" i="11"/>
  <c r="Y76" i="11"/>
  <c r="Y207" i="11"/>
  <c r="Y37" i="11"/>
  <c r="Y26" i="11"/>
  <c r="Y183" i="11"/>
  <c r="Y22" i="11"/>
  <c r="Y179" i="11"/>
  <c r="Y205" i="11"/>
  <c r="Y149" i="11"/>
  <c r="Y145" i="11"/>
  <c r="BX120" i="7"/>
  <c r="AM120" i="11" s="1"/>
  <c r="AV131" i="11"/>
  <c r="AV303" i="11"/>
  <c r="AV287" i="11"/>
  <c r="AV235" i="11"/>
  <c r="AV114" i="11"/>
  <c r="AV231" i="11"/>
  <c r="AV110" i="11"/>
  <c r="AV227" i="11"/>
  <c r="AV106" i="11"/>
  <c r="AV301" i="11"/>
  <c r="AV249" i="11"/>
  <c r="AV86" i="11"/>
  <c r="AV123" i="11"/>
  <c r="AV61" i="11"/>
  <c r="AV155" i="11"/>
  <c r="AV57" i="11"/>
  <c r="AV219" i="11"/>
  <c r="AV53" i="11"/>
  <c r="AV297" i="11"/>
  <c r="AV256" i="11"/>
  <c r="AV60" i="11"/>
  <c r="AV56" i="11"/>
  <c r="AV73" i="11"/>
  <c r="AV137" i="11"/>
  <c r="AV172" i="11"/>
  <c r="AV124" i="11"/>
  <c r="AV296" i="11"/>
  <c r="AV120" i="11"/>
  <c r="AV292" i="11"/>
  <c r="AV148" i="11"/>
  <c r="AV96" i="11"/>
  <c r="AV268" i="11"/>
  <c r="AV84" i="11"/>
  <c r="AV27" i="11"/>
  <c r="Y73" i="11"/>
  <c r="Y5" i="11"/>
  <c r="AV5" i="11"/>
  <c r="W8" i="11"/>
  <c r="U5" i="11"/>
  <c r="U5" i="2"/>
  <c r="AO5" i="11" s="1"/>
  <c r="BG292" i="11"/>
  <c r="AE6" i="20" s="1"/>
  <c r="BG112" i="11"/>
  <c r="P6" i="20" s="1"/>
  <c r="BG136" i="11"/>
  <c r="R6" i="20" s="1"/>
  <c r="BG196" i="11"/>
  <c r="W6" i="20" s="1"/>
  <c r="BG280" i="11"/>
  <c r="AD6" i="20" s="1"/>
  <c r="BG64" i="11"/>
  <c r="L6" i="20" s="1"/>
  <c r="BG124" i="11"/>
  <c r="Q6" i="20" s="1"/>
  <c r="BG100" i="11"/>
  <c r="O6" i="20" s="1"/>
  <c r="BG52" i="11"/>
  <c r="K6" i="20" s="1"/>
  <c r="BG256" i="11"/>
  <c r="AB6" i="20" s="1"/>
  <c r="BG232" i="11"/>
  <c r="Z6" i="20" s="1"/>
  <c r="BG88" i="11"/>
  <c r="N6" i="20" s="1"/>
  <c r="BG184" i="11"/>
  <c r="V6" i="20" s="1"/>
  <c r="BG172" i="11"/>
  <c r="U6" i="20" s="1"/>
  <c r="BG160" i="11"/>
  <c r="T6" i="20" s="1"/>
  <c r="BG304" i="11"/>
  <c r="AF6" i="20" s="1"/>
  <c r="BG244" i="11"/>
  <c r="AA6" i="20" s="1"/>
  <c r="BG208" i="11"/>
  <c r="X6" i="20" s="1"/>
  <c r="BG220" i="11"/>
  <c r="Y6" i="20" s="1"/>
  <c r="BG76" i="11"/>
  <c r="M6" i="20" s="1"/>
  <c r="BG148" i="11"/>
  <c r="S6" i="20" s="1"/>
  <c r="BG268" i="11"/>
  <c r="AC6" i="20" s="1"/>
  <c r="CE5" i="7"/>
  <c r="CA5" i="7"/>
  <c r="AG186" i="7"/>
  <c r="AH186" i="7" s="1"/>
  <c r="V186" i="11"/>
  <c r="AG267" i="7"/>
  <c r="AH267" i="7" s="1"/>
  <c r="V267" i="11"/>
  <c r="AG85" i="7"/>
  <c r="AH85" i="7" s="1"/>
  <c r="V85" i="11"/>
  <c r="AG166" i="7"/>
  <c r="AH166" i="7" s="1"/>
  <c r="V166" i="11"/>
  <c r="AG29" i="7"/>
  <c r="AH29" i="7" s="1"/>
  <c r="V29" i="11"/>
  <c r="AG187" i="7"/>
  <c r="AH187" i="7" s="1"/>
  <c r="V187" i="11"/>
  <c r="AG109" i="7"/>
  <c r="AH109" i="7" s="1"/>
  <c r="V109" i="11"/>
  <c r="AG116" i="7"/>
  <c r="AH116" i="7" s="1"/>
  <c r="V116" i="11"/>
  <c r="AG31" i="7"/>
  <c r="AH31" i="7" s="1"/>
  <c r="V31" i="11"/>
  <c r="AG197" i="7"/>
  <c r="AH197" i="7" s="1"/>
  <c r="V197" i="11"/>
  <c r="AG163" i="7"/>
  <c r="AH163" i="7" s="1"/>
  <c r="V163" i="11"/>
  <c r="AG10" i="7"/>
  <c r="AH10" i="7" s="1"/>
  <c r="V10" i="11"/>
  <c r="AG53" i="7"/>
  <c r="AH53" i="7" s="1"/>
  <c r="V53" i="11"/>
  <c r="AG60" i="7"/>
  <c r="AH60" i="7" s="1"/>
  <c r="V60" i="11"/>
  <c r="AG83" i="7"/>
  <c r="AH83" i="7" s="1"/>
  <c r="V83" i="11"/>
  <c r="AG45" i="7"/>
  <c r="AH45" i="7" s="1"/>
  <c r="V45" i="11"/>
  <c r="AG196" i="7"/>
  <c r="AH196" i="7" s="1"/>
  <c r="V196" i="11"/>
  <c r="AG8" i="7"/>
  <c r="AH8" i="7" s="1"/>
  <c r="BU8" i="7" s="1"/>
  <c r="AD8" i="11" s="1"/>
  <c r="V8" i="11"/>
  <c r="AG103" i="7"/>
  <c r="AH103" i="7" s="1"/>
  <c r="V103" i="11"/>
  <c r="AG298" i="7"/>
  <c r="AH298" i="7" s="1"/>
  <c r="V298" i="11"/>
  <c r="AG284" i="7"/>
  <c r="AH284" i="7" s="1"/>
  <c r="V284" i="11"/>
  <c r="AG282" i="7"/>
  <c r="AH282" i="7" s="1"/>
  <c r="V282" i="11"/>
  <c r="AG87" i="7"/>
  <c r="AH87" i="7" s="1"/>
  <c r="V87" i="11"/>
  <c r="AG291" i="7"/>
  <c r="AH291" i="7" s="1"/>
  <c r="V291" i="11"/>
  <c r="AG120" i="7"/>
  <c r="AH120" i="7" s="1"/>
  <c r="V120" i="11"/>
  <c r="AG257" i="7"/>
  <c r="AH257" i="7" s="1"/>
  <c r="V257" i="11"/>
  <c r="AG42" i="7"/>
  <c r="AH42" i="7" s="1"/>
  <c r="V42" i="11"/>
  <c r="AG224" i="7"/>
  <c r="AH224" i="7" s="1"/>
  <c r="V224" i="11"/>
  <c r="AG274" i="7"/>
  <c r="AH274" i="7" s="1"/>
  <c r="V274" i="11"/>
  <c r="AG204" i="7"/>
  <c r="AH204" i="7" s="1"/>
  <c r="V204" i="11"/>
  <c r="AG121" i="7"/>
  <c r="AH121" i="7" s="1"/>
  <c r="V121" i="11"/>
  <c r="AG189" i="7"/>
  <c r="AH189" i="7" s="1"/>
  <c r="V189" i="11"/>
  <c r="AG84" i="7"/>
  <c r="AH84" i="7" s="1"/>
  <c r="V84" i="11"/>
  <c r="AG170" i="7"/>
  <c r="AH170" i="7" s="1"/>
  <c r="V170" i="11"/>
  <c r="AG201" i="7"/>
  <c r="AH201" i="7" s="1"/>
  <c r="V201" i="11"/>
  <c r="AG102" i="7"/>
  <c r="AH102" i="7" s="1"/>
  <c r="V102" i="11"/>
  <c r="AG287" i="7"/>
  <c r="AH287" i="7" s="1"/>
  <c r="V287" i="11"/>
  <c r="AG107" i="7"/>
  <c r="AH107" i="7" s="1"/>
  <c r="V107" i="11"/>
  <c r="AG36" i="7"/>
  <c r="AH36" i="7" s="1"/>
  <c r="V36" i="11"/>
  <c r="AG264" i="7"/>
  <c r="AH264" i="7" s="1"/>
  <c r="V264" i="11"/>
  <c r="AG40" i="7"/>
  <c r="AH40" i="7" s="1"/>
  <c r="V40" i="11"/>
  <c r="AG82" i="7"/>
  <c r="AH82" i="7" s="1"/>
  <c r="V82" i="11"/>
  <c r="AG124" i="7"/>
  <c r="AH124" i="7" s="1"/>
  <c r="V124" i="11"/>
  <c r="AG139" i="7"/>
  <c r="AH139" i="7" s="1"/>
  <c r="V139" i="11"/>
  <c r="AG255" i="7"/>
  <c r="AH255" i="7" s="1"/>
  <c r="V255" i="11"/>
  <c r="AG92" i="7"/>
  <c r="AH92" i="7" s="1"/>
  <c r="V92" i="11"/>
  <c r="AG177" i="7"/>
  <c r="AH177" i="7" s="1"/>
  <c r="V177" i="11"/>
  <c r="AG6" i="7"/>
  <c r="AH6" i="7" s="1"/>
  <c r="BU6" i="7" s="1"/>
  <c r="AD6" i="11" s="1"/>
  <c r="V6" i="11"/>
  <c r="AG195" i="7"/>
  <c r="AH195" i="7" s="1"/>
  <c r="V195" i="11"/>
  <c r="AG293" i="7"/>
  <c r="AH293" i="7" s="1"/>
  <c r="V293" i="11"/>
  <c r="AG206" i="7"/>
  <c r="AH206" i="7" s="1"/>
  <c r="V206" i="11"/>
  <c r="AG86" i="7"/>
  <c r="AH86" i="7" s="1"/>
  <c r="V86" i="11"/>
  <c r="AG147" i="7"/>
  <c r="AH147" i="7" s="1"/>
  <c r="V147" i="11"/>
  <c r="AG280" i="7"/>
  <c r="AH280" i="7" s="1"/>
  <c r="V280" i="11"/>
  <c r="AG43" i="7"/>
  <c r="AH43" i="7" s="1"/>
  <c r="V43" i="11"/>
  <c r="AG91" i="7"/>
  <c r="AH91" i="7" s="1"/>
  <c r="V91" i="11"/>
  <c r="AG261" i="7"/>
  <c r="AH261" i="7" s="1"/>
  <c r="V261" i="11"/>
  <c r="AG50" i="7"/>
  <c r="AH50" i="7" s="1"/>
  <c r="V50" i="11"/>
  <c r="AG276" i="7"/>
  <c r="AH276" i="7" s="1"/>
  <c r="V276" i="11"/>
  <c r="AG133" i="7"/>
  <c r="AH133" i="7" s="1"/>
  <c r="V133" i="11"/>
  <c r="AG262" i="7"/>
  <c r="AH262" i="7" s="1"/>
  <c r="V262" i="11"/>
  <c r="AG78" i="7"/>
  <c r="AH78" i="7" s="1"/>
  <c r="V78" i="11"/>
  <c r="AG16" i="7"/>
  <c r="AH16" i="7" s="1"/>
  <c r="V16" i="11"/>
  <c r="AG219" i="7"/>
  <c r="AH219" i="7" s="1"/>
  <c r="V219" i="11"/>
  <c r="AG61" i="7"/>
  <c r="AH61" i="7" s="1"/>
  <c r="V61" i="11"/>
  <c r="AG198" i="7"/>
  <c r="AH198" i="7" s="1"/>
  <c r="V198" i="11"/>
  <c r="AG46" i="7"/>
  <c r="AH46" i="7" s="1"/>
  <c r="V46" i="11"/>
  <c r="AG248" i="7"/>
  <c r="AH248" i="7" s="1"/>
  <c r="V248" i="11"/>
  <c r="AG263" i="7"/>
  <c r="AH263" i="7" s="1"/>
  <c r="V263" i="11"/>
  <c r="AG180" i="7"/>
  <c r="AH180" i="7" s="1"/>
  <c r="V180" i="11"/>
  <c r="AG39" i="7"/>
  <c r="AH39" i="7" s="1"/>
  <c r="V39" i="11"/>
  <c r="AG240" i="7"/>
  <c r="AH240" i="7" s="1"/>
  <c r="V240" i="11"/>
  <c r="AG65" i="7"/>
  <c r="AH65" i="7" s="1"/>
  <c r="V65" i="11"/>
  <c r="AG95" i="7"/>
  <c r="AH95" i="7" s="1"/>
  <c r="V95" i="11"/>
  <c r="AG209" i="7"/>
  <c r="AH209" i="7" s="1"/>
  <c r="V209" i="11"/>
  <c r="AG278" i="7"/>
  <c r="AH278" i="7" s="1"/>
  <c r="V278" i="11"/>
  <c r="AG243" i="7"/>
  <c r="AH243" i="7" s="1"/>
  <c r="V243" i="11"/>
  <c r="AG200" i="7"/>
  <c r="AH200" i="7" s="1"/>
  <c r="V200" i="11"/>
  <c r="AG25" i="7"/>
  <c r="AH25" i="7" s="1"/>
  <c r="V25" i="11"/>
  <c r="AG270" i="7"/>
  <c r="AH270" i="7" s="1"/>
  <c r="V270" i="11"/>
  <c r="AG188" i="7"/>
  <c r="AH188" i="7" s="1"/>
  <c r="V188" i="11"/>
  <c r="AG94" i="7"/>
  <c r="AH94" i="7" s="1"/>
  <c r="V94" i="11"/>
  <c r="AG266" i="7"/>
  <c r="AH266" i="7" s="1"/>
  <c r="V266" i="11"/>
  <c r="AG216" i="7"/>
  <c r="AH216" i="7" s="1"/>
  <c r="V216" i="11"/>
  <c r="AG271" i="7"/>
  <c r="AH271" i="7" s="1"/>
  <c r="V271" i="11"/>
  <c r="AG51" i="7"/>
  <c r="AH51" i="7" s="1"/>
  <c r="V51" i="11"/>
  <c r="AG76" i="7"/>
  <c r="AH76" i="7" s="1"/>
  <c r="V76" i="11"/>
  <c r="AG286" i="7"/>
  <c r="AH286" i="7" s="1"/>
  <c r="V286" i="11"/>
  <c r="AG108" i="7"/>
  <c r="AH108" i="7" s="1"/>
  <c r="V108" i="11"/>
  <c r="AG73" i="7"/>
  <c r="AH73" i="7" s="1"/>
  <c r="V73" i="11"/>
  <c r="AG97" i="7"/>
  <c r="AH97" i="7" s="1"/>
  <c r="V97" i="11"/>
  <c r="AG135" i="7"/>
  <c r="AH135" i="7" s="1"/>
  <c r="V135" i="11"/>
  <c r="AG222" i="7"/>
  <c r="AH222" i="7" s="1"/>
  <c r="V222" i="11"/>
  <c r="AG93" i="7"/>
  <c r="AH93" i="7" s="1"/>
  <c r="V93" i="11"/>
  <c r="AG90" i="7"/>
  <c r="AH90" i="7" s="1"/>
  <c r="V90" i="11"/>
  <c r="AG281" i="7"/>
  <c r="AH281" i="7" s="1"/>
  <c r="V281" i="11"/>
  <c r="AG241" i="7"/>
  <c r="AH241" i="7" s="1"/>
  <c r="V241" i="11"/>
  <c r="AG236" i="7"/>
  <c r="AH236" i="7" s="1"/>
  <c r="V236" i="11"/>
  <c r="AG191" i="7"/>
  <c r="AH191" i="7" s="1"/>
  <c r="V191" i="11"/>
  <c r="AG98" i="7"/>
  <c r="AH98" i="7" s="1"/>
  <c r="V98" i="11"/>
  <c r="AG221" i="7"/>
  <c r="AH221" i="7" s="1"/>
  <c r="V221" i="11"/>
  <c r="AG70" i="7"/>
  <c r="AH70" i="7" s="1"/>
  <c r="V70" i="11"/>
  <c r="AG123" i="7"/>
  <c r="AH123" i="7" s="1"/>
  <c r="V123" i="11"/>
  <c r="AG105" i="7"/>
  <c r="AH105" i="7" s="1"/>
  <c r="V105" i="11"/>
  <c r="AG190" i="7"/>
  <c r="AH190" i="7" s="1"/>
  <c r="V190" i="11"/>
  <c r="AG302" i="7"/>
  <c r="AH302" i="7" s="1"/>
  <c r="V302" i="11"/>
  <c r="AG242" i="7"/>
  <c r="AH242" i="7" s="1"/>
  <c r="V242" i="11"/>
  <c r="AG303" i="7"/>
  <c r="AH303" i="7" s="1"/>
  <c r="V303" i="11"/>
  <c r="AG58" i="7"/>
  <c r="AH58" i="7" s="1"/>
  <c r="V58" i="11"/>
  <c r="AG283" i="7"/>
  <c r="AH283" i="7" s="1"/>
  <c r="V283" i="11"/>
  <c r="AG220" i="7"/>
  <c r="AH220" i="7" s="1"/>
  <c r="V220" i="11"/>
  <c r="AG153" i="7"/>
  <c r="AH153" i="7" s="1"/>
  <c r="V153" i="11"/>
  <c r="AG173" i="7"/>
  <c r="AH173" i="7" s="1"/>
  <c r="V173" i="11"/>
  <c r="AG7" i="7"/>
  <c r="AH7" i="7" s="1"/>
  <c r="BU7" i="7" s="1"/>
  <c r="AD7" i="11" s="1"/>
  <c r="V7" i="11"/>
  <c r="AG249" i="7"/>
  <c r="AH249" i="7" s="1"/>
  <c r="V249" i="11"/>
  <c r="AG49" i="7"/>
  <c r="AH49" i="7" s="1"/>
  <c r="V49" i="11"/>
  <c r="AG100" i="7"/>
  <c r="AH100" i="7" s="1"/>
  <c r="V100" i="11"/>
  <c r="AG27" i="7"/>
  <c r="AH27" i="7" s="1"/>
  <c r="V27" i="11"/>
  <c r="AG233" i="7"/>
  <c r="AH233" i="7" s="1"/>
  <c r="V233" i="11"/>
  <c r="AG145" i="7"/>
  <c r="AH145" i="7" s="1"/>
  <c r="V145" i="11"/>
  <c r="AG182" i="7"/>
  <c r="AH182" i="7" s="1"/>
  <c r="V182" i="11"/>
  <c r="AG218" i="7"/>
  <c r="AH218" i="7" s="1"/>
  <c r="V218" i="11"/>
  <c r="AG217" i="7"/>
  <c r="AH217" i="7" s="1"/>
  <c r="V217" i="11"/>
  <c r="AG71" i="7"/>
  <c r="AH71" i="7" s="1"/>
  <c r="V71" i="11"/>
  <c r="AG148" i="7"/>
  <c r="AH148" i="7" s="1"/>
  <c r="V148" i="11"/>
  <c r="AG110" i="7"/>
  <c r="AH110" i="7" s="1"/>
  <c r="V110" i="11"/>
  <c r="AG17" i="7"/>
  <c r="AH17" i="7" s="1"/>
  <c r="V17" i="11"/>
  <c r="AG202" i="7"/>
  <c r="AH202" i="7" s="1"/>
  <c r="V202" i="11"/>
  <c r="AG184" i="7"/>
  <c r="AH184" i="7" s="1"/>
  <c r="V184" i="11"/>
  <c r="AG75" i="7"/>
  <c r="AH75" i="7" s="1"/>
  <c r="V75" i="11"/>
  <c r="AG162" i="7"/>
  <c r="AH162" i="7" s="1"/>
  <c r="V162" i="11"/>
  <c r="AG258" i="7"/>
  <c r="AH258" i="7" s="1"/>
  <c r="V258" i="11"/>
  <c r="AG47" i="7"/>
  <c r="AH47" i="7" s="1"/>
  <c r="V47" i="11"/>
  <c r="AG285" i="7"/>
  <c r="AH285" i="7" s="1"/>
  <c r="V285" i="11"/>
  <c r="AG234" i="7"/>
  <c r="AH234" i="7" s="1"/>
  <c r="V234" i="11"/>
  <c r="AG179" i="7"/>
  <c r="AH179" i="7" s="1"/>
  <c r="V179" i="11"/>
  <c r="AG26" i="7"/>
  <c r="AH26" i="7" s="1"/>
  <c r="V26" i="11"/>
  <c r="AG268" i="7"/>
  <c r="AH268" i="7" s="1"/>
  <c r="V268" i="11"/>
  <c r="AG118" i="7"/>
  <c r="AH118" i="7" s="1"/>
  <c r="V118" i="11"/>
  <c r="AG126" i="7"/>
  <c r="AH126" i="7" s="1"/>
  <c r="V126" i="11"/>
  <c r="AG161" i="7"/>
  <c r="AH161" i="7" s="1"/>
  <c r="V161" i="11"/>
  <c r="AG129" i="7"/>
  <c r="AH129" i="7" s="1"/>
  <c r="V129" i="11"/>
  <c r="AG273" i="7"/>
  <c r="AH273" i="7" s="1"/>
  <c r="V273" i="11"/>
  <c r="AG130" i="7"/>
  <c r="AH130" i="7" s="1"/>
  <c r="V130" i="11"/>
  <c r="AG77" i="7"/>
  <c r="AH77" i="7" s="1"/>
  <c r="V77" i="11"/>
  <c r="AG174" i="7"/>
  <c r="AH174" i="7" s="1"/>
  <c r="V174" i="11"/>
  <c r="AG21" i="7"/>
  <c r="AH21" i="7" s="1"/>
  <c r="V21" i="11"/>
  <c r="AG205" i="7"/>
  <c r="AH205" i="7" s="1"/>
  <c r="V205" i="11"/>
  <c r="AG254" i="7"/>
  <c r="AH254" i="7" s="1"/>
  <c r="V254" i="11"/>
  <c r="AG208" i="7"/>
  <c r="AH208" i="7" s="1"/>
  <c r="V208" i="11"/>
  <c r="AG296" i="7"/>
  <c r="AH296" i="7" s="1"/>
  <c r="V296" i="11"/>
  <c r="AG57" i="7"/>
  <c r="AH57" i="7" s="1"/>
  <c r="V57" i="11"/>
  <c r="AG149" i="7"/>
  <c r="AH149" i="7" s="1"/>
  <c r="V149" i="11"/>
  <c r="AG143" i="7"/>
  <c r="AH143" i="7" s="1"/>
  <c r="V143" i="11"/>
  <c r="AG28" i="7"/>
  <c r="AH28" i="7" s="1"/>
  <c r="V28" i="11"/>
  <c r="AG12" i="7"/>
  <c r="AH12" i="7" s="1"/>
  <c r="V12" i="11"/>
  <c r="AG294" i="7"/>
  <c r="AH294" i="7" s="1"/>
  <c r="V294" i="11"/>
  <c r="AG165" i="7"/>
  <c r="AH165" i="7" s="1"/>
  <c r="V165" i="11"/>
  <c r="AG223" i="7"/>
  <c r="AH223" i="7" s="1"/>
  <c r="V223" i="11"/>
  <c r="AG235" i="7"/>
  <c r="AH235" i="7" s="1"/>
  <c r="V235" i="11"/>
  <c r="AG88" i="7"/>
  <c r="AH88" i="7" s="1"/>
  <c r="V88" i="11"/>
  <c r="AG52" i="7"/>
  <c r="AH52" i="7" s="1"/>
  <c r="V52" i="11"/>
  <c r="AG24" i="7"/>
  <c r="AH24" i="7" s="1"/>
  <c r="V24" i="11"/>
  <c r="AG13" i="7"/>
  <c r="AH13" i="7" s="1"/>
  <c r="V13" i="11"/>
  <c r="AG299" i="7"/>
  <c r="AH299" i="7" s="1"/>
  <c r="V299" i="11"/>
  <c r="AG11" i="7"/>
  <c r="AH11" i="7" s="1"/>
  <c r="V11" i="11"/>
  <c r="AG211" i="7"/>
  <c r="AH211" i="7" s="1"/>
  <c r="V211" i="11"/>
  <c r="AG253" i="7"/>
  <c r="AH253" i="7" s="1"/>
  <c r="V253" i="11"/>
  <c r="AG175" i="7"/>
  <c r="AH175" i="7" s="1"/>
  <c r="V175" i="11"/>
  <c r="AG115" i="7"/>
  <c r="AH115" i="7" s="1"/>
  <c r="V115" i="11"/>
  <c r="AG290" i="7"/>
  <c r="AH290" i="7" s="1"/>
  <c r="V290" i="11"/>
  <c r="AG38" i="7"/>
  <c r="AH38" i="7" s="1"/>
  <c r="V38" i="11"/>
  <c r="AG229" i="7"/>
  <c r="AH229" i="7" s="1"/>
  <c r="V229" i="11"/>
  <c r="AG152" i="7"/>
  <c r="AH152" i="7" s="1"/>
  <c r="V152" i="11"/>
  <c r="AG178" i="7"/>
  <c r="AH178" i="7" s="1"/>
  <c r="V178" i="11"/>
  <c r="AG134" i="7"/>
  <c r="AH134" i="7" s="1"/>
  <c r="V134" i="11"/>
  <c r="AG167" i="7"/>
  <c r="AH167" i="7" s="1"/>
  <c r="V167" i="11"/>
  <c r="AG9" i="7"/>
  <c r="AH9" i="7" s="1"/>
  <c r="V9" i="11"/>
  <c r="AG230" i="7"/>
  <c r="AH230" i="7" s="1"/>
  <c r="V230" i="11"/>
  <c r="AG136" i="7"/>
  <c r="AH136" i="7" s="1"/>
  <c r="V136" i="11"/>
  <c r="AG117" i="7"/>
  <c r="AH117" i="7" s="1"/>
  <c r="V117" i="11"/>
  <c r="AG192" i="7"/>
  <c r="AH192" i="7" s="1"/>
  <c r="V192" i="11"/>
  <c r="AG304" i="7"/>
  <c r="AH304" i="7" s="1"/>
  <c r="V304" i="11"/>
  <c r="AG99" i="7"/>
  <c r="AH99" i="7" s="1"/>
  <c r="V99" i="11"/>
  <c r="AG20" i="7"/>
  <c r="AH20" i="7" s="1"/>
  <c r="V20" i="11"/>
  <c r="AG89" i="7"/>
  <c r="AH89" i="7" s="1"/>
  <c r="V89" i="11"/>
  <c r="AG295" i="7"/>
  <c r="AH295" i="7" s="1"/>
  <c r="V295" i="11"/>
  <c r="AG114" i="7"/>
  <c r="AH114" i="7" s="1"/>
  <c r="V114" i="11"/>
  <c r="AG171" i="7"/>
  <c r="AH171" i="7" s="1"/>
  <c r="V171" i="11"/>
  <c r="AG247" i="7"/>
  <c r="AH247" i="7" s="1"/>
  <c r="V247" i="11"/>
  <c r="AG215" i="7"/>
  <c r="AH215" i="7" s="1"/>
  <c r="V215" i="11"/>
  <c r="AG212" i="7"/>
  <c r="AH212" i="7" s="1"/>
  <c r="V212" i="11"/>
  <c r="AG269" i="7"/>
  <c r="AH269" i="7" s="1"/>
  <c r="V269" i="11"/>
  <c r="AG169" i="7"/>
  <c r="AH169" i="7" s="1"/>
  <c r="V169" i="11"/>
  <c r="AG301" i="7"/>
  <c r="AH301" i="7" s="1"/>
  <c r="V301" i="11"/>
  <c r="AG252" i="7"/>
  <c r="AH252" i="7" s="1"/>
  <c r="V252" i="11"/>
  <c r="AG62" i="7"/>
  <c r="AH62" i="7" s="1"/>
  <c r="V62" i="11"/>
  <c r="AG260" i="7"/>
  <c r="AH260" i="7" s="1"/>
  <c r="V260" i="11"/>
  <c r="AG160" i="7"/>
  <c r="AH160" i="7" s="1"/>
  <c r="V160" i="11"/>
  <c r="AG41" i="7"/>
  <c r="AH41" i="7" s="1"/>
  <c r="V41" i="11"/>
  <c r="AG74" i="7"/>
  <c r="AH74" i="7" s="1"/>
  <c r="V74" i="11"/>
  <c r="AG203" i="7"/>
  <c r="AH203" i="7" s="1"/>
  <c r="V203" i="11"/>
  <c r="AG164" i="7"/>
  <c r="AH164" i="7" s="1"/>
  <c r="V164" i="11"/>
  <c r="AG155" i="7"/>
  <c r="AH155" i="7" s="1"/>
  <c r="V155" i="11"/>
  <c r="AG157" i="7"/>
  <c r="AH157" i="7" s="1"/>
  <c r="V157" i="11"/>
  <c r="AG127" i="7"/>
  <c r="AH127" i="7" s="1"/>
  <c r="V127" i="11"/>
  <c r="AG272" i="7"/>
  <c r="AH272" i="7" s="1"/>
  <c r="V272" i="11"/>
  <c r="AG55" i="7"/>
  <c r="AH55" i="7" s="1"/>
  <c r="V55" i="11"/>
  <c r="AG289" i="7"/>
  <c r="AH289" i="7" s="1"/>
  <c r="V289" i="11"/>
  <c r="AG131" i="7"/>
  <c r="AH131" i="7" s="1"/>
  <c r="V131" i="11"/>
  <c r="AG193" i="7"/>
  <c r="AH193" i="7" s="1"/>
  <c r="V193" i="11"/>
  <c r="AG33" i="7"/>
  <c r="AH33" i="7" s="1"/>
  <c r="V33" i="11"/>
  <c r="AG18" i="7"/>
  <c r="AH18" i="7" s="1"/>
  <c r="V18" i="11"/>
  <c r="AG141" i="7"/>
  <c r="AH141" i="7" s="1"/>
  <c r="V141" i="11"/>
  <c r="AG292" i="7"/>
  <c r="AH292" i="7" s="1"/>
  <c r="V292" i="11"/>
  <c r="AG23" i="7"/>
  <c r="AH23" i="7" s="1"/>
  <c r="V23" i="11"/>
  <c r="AG194" i="7"/>
  <c r="AH194" i="7" s="1"/>
  <c r="V194" i="11"/>
  <c r="AG146" i="7"/>
  <c r="AH146" i="7" s="1"/>
  <c r="V146" i="11"/>
  <c r="AG14" i="7"/>
  <c r="AH14" i="7" s="1"/>
  <c r="V14" i="11"/>
  <c r="AG64" i="7"/>
  <c r="AH64" i="7" s="1"/>
  <c r="V64" i="11"/>
  <c r="AG125" i="7"/>
  <c r="AH125" i="7" s="1"/>
  <c r="V125" i="11"/>
  <c r="AG66" i="7"/>
  <c r="AH66" i="7" s="1"/>
  <c r="V66" i="11"/>
  <c r="AG54" i="7"/>
  <c r="AH54" i="7" s="1"/>
  <c r="V54" i="11"/>
  <c r="AG288" i="7"/>
  <c r="AH288" i="7" s="1"/>
  <c r="V288" i="11"/>
  <c r="AG176" i="7"/>
  <c r="AH176" i="7" s="1"/>
  <c r="V176" i="11"/>
  <c r="AG56" i="7"/>
  <c r="AH56" i="7" s="1"/>
  <c r="V56" i="11"/>
  <c r="AG144" i="7"/>
  <c r="AH144" i="7" s="1"/>
  <c r="V144" i="11"/>
  <c r="AG238" i="7"/>
  <c r="AH238" i="7" s="1"/>
  <c r="V238" i="11"/>
  <c r="AG142" i="7"/>
  <c r="AH142" i="7" s="1"/>
  <c r="V142" i="11"/>
  <c r="AG32" i="7"/>
  <c r="AH32" i="7" s="1"/>
  <c r="V32" i="11"/>
  <c r="AG259" i="7"/>
  <c r="AH259" i="7" s="1"/>
  <c r="V259" i="11"/>
  <c r="AG138" i="7"/>
  <c r="AH138" i="7" s="1"/>
  <c r="V138" i="11"/>
  <c r="AG245" i="7"/>
  <c r="AH245" i="7" s="1"/>
  <c r="V245" i="11"/>
  <c r="AG246" i="7"/>
  <c r="AH246" i="7" s="1"/>
  <c r="V246" i="11"/>
  <c r="AG168" i="7"/>
  <c r="AH168" i="7" s="1"/>
  <c r="V168" i="11"/>
  <c r="AG67" i="7"/>
  <c r="AH67" i="7" s="1"/>
  <c r="V67" i="11"/>
  <c r="AG277" i="7"/>
  <c r="AH277" i="7" s="1"/>
  <c r="V277" i="11"/>
  <c r="AG101" i="7"/>
  <c r="AH101" i="7" s="1"/>
  <c r="V101" i="11"/>
  <c r="AG226" i="7"/>
  <c r="AH226" i="7" s="1"/>
  <c r="V226" i="11"/>
  <c r="AG244" i="7"/>
  <c r="AH244" i="7" s="1"/>
  <c r="V244" i="11"/>
  <c r="AG112" i="7"/>
  <c r="AH112" i="7" s="1"/>
  <c r="V112" i="11"/>
  <c r="AG137" i="7"/>
  <c r="AH137" i="7" s="1"/>
  <c r="V137" i="11"/>
  <c r="AG172" i="7"/>
  <c r="AH172" i="7" s="1"/>
  <c r="V172" i="11"/>
  <c r="AG154" i="7"/>
  <c r="AH154" i="7" s="1"/>
  <c r="V154" i="11"/>
  <c r="AG159" i="7"/>
  <c r="AH159" i="7" s="1"/>
  <c r="V159" i="11"/>
  <c r="AG151" i="7"/>
  <c r="AH151" i="7" s="1"/>
  <c r="V151" i="11"/>
  <c r="AG132" i="7"/>
  <c r="AH132" i="7" s="1"/>
  <c r="V132" i="11"/>
  <c r="AG111" i="7"/>
  <c r="AH111" i="7" s="1"/>
  <c r="V111" i="11"/>
  <c r="AG158" i="7"/>
  <c r="AH158" i="7" s="1"/>
  <c r="V158" i="11"/>
  <c r="AG69" i="7"/>
  <c r="AH69" i="7" s="1"/>
  <c r="V69" i="11"/>
  <c r="AG48" i="7"/>
  <c r="AH48" i="7" s="1"/>
  <c r="V48" i="11"/>
  <c r="AG232" i="7"/>
  <c r="AH232" i="7" s="1"/>
  <c r="V232" i="11"/>
  <c r="AG128" i="7"/>
  <c r="AH128" i="7" s="1"/>
  <c r="V128" i="11"/>
  <c r="AG300" i="7"/>
  <c r="AH300" i="7" s="1"/>
  <c r="V300" i="11"/>
  <c r="AG231" i="7"/>
  <c r="AH231" i="7" s="1"/>
  <c r="V231" i="11"/>
  <c r="AG122" i="7"/>
  <c r="AH122" i="7" s="1"/>
  <c r="V122" i="11"/>
  <c r="AG279" i="7"/>
  <c r="AH279" i="7" s="1"/>
  <c r="V279" i="11"/>
  <c r="AG207" i="7"/>
  <c r="AH207" i="7" s="1"/>
  <c r="V207" i="11"/>
  <c r="AG63" i="7"/>
  <c r="AH63" i="7" s="1"/>
  <c r="V63" i="11"/>
  <c r="AG113" i="7"/>
  <c r="AH113" i="7" s="1"/>
  <c r="V113" i="11"/>
  <c r="AG96" i="7"/>
  <c r="AH96" i="7" s="1"/>
  <c r="V96" i="11"/>
  <c r="AG237" i="7"/>
  <c r="AH237" i="7" s="1"/>
  <c r="V237" i="11"/>
  <c r="AG225" i="7"/>
  <c r="AH225" i="7" s="1"/>
  <c r="V225" i="11"/>
  <c r="AG256" i="7"/>
  <c r="AH256" i="7" s="1"/>
  <c r="V256" i="11"/>
  <c r="AG119" i="7"/>
  <c r="AH119" i="7" s="1"/>
  <c r="V119" i="11"/>
  <c r="AG30" i="7"/>
  <c r="AH30" i="7" s="1"/>
  <c r="V30" i="11"/>
  <c r="AG199" i="7"/>
  <c r="AH199" i="7" s="1"/>
  <c r="V199" i="11"/>
  <c r="AG72" i="7"/>
  <c r="AH72" i="7" s="1"/>
  <c r="V72" i="11"/>
  <c r="AG37" i="7"/>
  <c r="AH37" i="7" s="1"/>
  <c r="V37" i="11"/>
  <c r="AG275" i="7"/>
  <c r="AH275" i="7" s="1"/>
  <c r="V275" i="11"/>
  <c r="AG35" i="7"/>
  <c r="AH35" i="7" s="1"/>
  <c r="V35" i="11"/>
  <c r="AG104" i="7"/>
  <c r="AH104" i="7" s="1"/>
  <c r="V104" i="11"/>
  <c r="AG227" i="7"/>
  <c r="AH227" i="7" s="1"/>
  <c r="V227" i="11"/>
  <c r="AG15" i="7"/>
  <c r="AH15" i="7" s="1"/>
  <c r="V15" i="11"/>
  <c r="AG228" i="7"/>
  <c r="AH228" i="7" s="1"/>
  <c r="V228" i="11"/>
  <c r="AG250" i="7"/>
  <c r="AH250" i="7" s="1"/>
  <c r="V250" i="11"/>
  <c r="AG214" i="7"/>
  <c r="AH214" i="7" s="1"/>
  <c r="V214" i="11"/>
  <c r="AG79" i="7"/>
  <c r="AH79" i="7" s="1"/>
  <c r="V79" i="11"/>
  <c r="AG81" i="7"/>
  <c r="AH81" i="7" s="1"/>
  <c r="V81" i="11"/>
  <c r="AG156" i="7"/>
  <c r="AH156" i="7" s="1"/>
  <c r="V156" i="11"/>
  <c r="AG183" i="7"/>
  <c r="AH183" i="7" s="1"/>
  <c r="V183" i="11"/>
  <c r="AG19" i="7"/>
  <c r="AH19" i="7" s="1"/>
  <c r="V19" i="11"/>
  <c r="AG140" i="7"/>
  <c r="AH140" i="7" s="1"/>
  <c r="V140" i="11"/>
  <c r="AG181" i="7"/>
  <c r="AH181" i="7" s="1"/>
  <c r="V181" i="11"/>
  <c r="AG80" i="7"/>
  <c r="AH80" i="7" s="1"/>
  <c r="V80" i="11"/>
  <c r="AG265" i="7"/>
  <c r="AH265" i="7" s="1"/>
  <c r="V265" i="11"/>
  <c r="AG210" i="7"/>
  <c r="AH210" i="7" s="1"/>
  <c r="V210" i="11"/>
  <c r="AG150" i="7"/>
  <c r="AH150" i="7" s="1"/>
  <c r="V150" i="11"/>
  <c r="AG59" i="7"/>
  <c r="AH59" i="7" s="1"/>
  <c r="V59" i="11"/>
  <c r="AG185" i="7"/>
  <c r="AH185" i="7" s="1"/>
  <c r="V185" i="11"/>
  <c r="AG68" i="7"/>
  <c r="AH68" i="7" s="1"/>
  <c r="V68" i="11"/>
  <c r="AG22" i="7"/>
  <c r="AH22" i="7" s="1"/>
  <c r="V22" i="11"/>
  <c r="AG297" i="7"/>
  <c r="AH297" i="7" s="1"/>
  <c r="V297" i="11"/>
  <c r="AG106" i="7"/>
  <c r="AH106" i="7" s="1"/>
  <c r="V106" i="11"/>
  <c r="AG213" i="7"/>
  <c r="AH213" i="7" s="1"/>
  <c r="V213" i="11"/>
  <c r="AG251" i="7"/>
  <c r="AH251" i="7" s="1"/>
  <c r="V251" i="11"/>
  <c r="AG239" i="7"/>
  <c r="AH239" i="7" s="1"/>
  <c r="V239" i="11"/>
  <c r="G29" i="6"/>
  <c r="CE90" i="7"/>
  <c r="CE134" i="7"/>
  <c r="BX159" i="7"/>
  <c r="AM159" i="11" s="1"/>
  <c r="CE78" i="7"/>
  <c r="CE133" i="7"/>
  <c r="AG5" i="7"/>
  <c r="CE190" i="7"/>
  <c r="BX155" i="7"/>
  <c r="AM155" i="11" s="1"/>
  <c r="CE49" i="7"/>
  <c r="CE152" i="7"/>
  <c r="CE57" i="7"/>
  <c r="CE290" i="7"/>
  <c r="CE136" i="7"/>
  <c r="CE114" i="7"/>
  <c r="CE301" i="7"/>
  <c r="CE248" i="7"/>
  <c r="CE227" i="7"/>
  <c r="CE113" i="7"/>
  <c r="BX12" i="7"/>
  <c r="AM12" i="11" s="1"/>
  <c r="CE264" i="7"/>
  <c r="CE66" i="7"/>
  <c r="CE77" i="7"/>
  <c r="CE68" i="7"/>
  <c r="BX222" i="7"/>
  <c r="AM222" i="11" s="1"/>
  <c r="CE51" i="7"/>
  <c r="CE300" i="7"/>
  <c r="K266" i="19"/>
  <c r="K302" i="19"/>
  <c r="CE158" i="7"/>
  <c r="K278" i="19"/>
  <c r="K254" i="19"/>
  <c r="K290" i="19"/>
  <c r="CE216" i="7"/>
  <c r="CE6" i="7"/>
  <c r="CE168" i="7"/>
  <c r="CE174" i="7"/>
  <c r="CE249" i="7"/>
  <c r="CE278" i="7"/>
  <c r="CE176" i="7"/>
  <c r="CE62" i="7"/>
  <c r="BX127" i="7"/>
  <c r="AM127" i="11" s="1"/>
  <c r="CE232" i="7"/>
  <c r="CE170" i="7"/>
  <c r="CE154" i="7"/>
  <c r="BX110" i="7"/>
  <c r="AM110" i="11" s="1"/>
  <c r="BX235" i="7"/>
  <c r="AM235" i="11" s="1"/>
  <c r="BX237" i="7"/>
  <c r="AM237" i="11" s="1"/>
  <c r="CE177" i="7"/>
  <c r="CE30" i="7"/>
  <c r="BX188" i="7"/>
  <c r="AM188" i="11" s="1"/>
  <c r="CE14" i="7"/>
  <c r="BX84" i="7"/>
  <c r="AM84" i="11" s="1"/>
  <c r="BX126" i="7"/>
  <c r="AM126" i="11" s="1"/>
  <c r="CE35" i="7"/>
  <c r="BX91" i="7"/>
  <c r="AM91" i="11" s="1"/>
  <c r="CE24" i="7"/>
  <c r="CE178" i="7"/>
  <c r="CE204" i="7"/>
  <c r="CE47" i="7"/>
  <c r="CE229" i="7"/>
  <c r="CE210" i="7"/>
  <c r="CE193" i="7"/>
  <c r="CE253" i="7"/>
  <c r="BX273" i="7"/>
  <c r="AM273" i="11" s="1"/>
  <c r="CE277" i="7"/>
  <c r="BX111" i="7"/>
  <c r="AM111" i="11" s="1"/>
  <c r="BX195" i="7"/>
  <c r="AM195" i="11" s="1"/>
  <c r="CE298" i="7"/>
  <c r="BX223" i="7"/>
  <c r="AM223" i="11" s="1"/>
  <c r="CE88" i="7"/>
  <c r="CE294" i="7"/>
  <c r="CE162" i="7"/>
  <c r="BX28" i="7"/>
  <c r="AM28" i="11" s="1"/>
  <c r="BX280" i="7"/>
  <c r="AM280" i="11" s="1"/>
  <c r="BX53" i="7"/>
  <c r="AM53" i="11" s="1"/>
  <c r="CE247" i="7"/>
  <c r="CE147" i="7"/>
  <c r="CE186" i="7"/>
  <c r="BX146" i="7"/>
  <c r="AM146" i="11" s="1"/>
  <c r="CE116" i="7"/>
  <c r="CE297" i="7"/>
  <c r="BX13" i="7"/>
  <c r="AM13" i="11" s="1"/>
  <c r="CE16" i="7"/>
  <c r="CE63" i="7"/>
  <c r="CE199" i="7"/>
  <c r="CE64" i="7"/>
  <c r="CE171" i="7"/>
  <c r="CE74" i="7"/>
  <c r="BX219" i="7"/>
  <c r="AM219" i="11" s="1"/>
  <c r="CE70" i="7"/>
  <c r="CE128" i="7"/>
  <c r="CE140" i="7"/>
  <c r="CE180" i="7"/>
  <c r="CE214" i="7"/>
  <c r="CE7" i="7"/>
  <c r="CE276" i="7"/>
  <c r="CE52" i="7"/>
  <c r="CE240" i="7"/>
  <c r="CE274" i="7"/>
  <c r="CE65" i="7"/>
  <c r="CE71" i="7"/>
  <c r="CE87" i="7"/>
  <c r="CE209" i="7"/>
  <c r="BX143" i="7"/>
  <c r="BX19" i="7"/>
  <c r="AM19" i="11" s="1"/>
  <c r="BX164" i="7"/>
  <c r="AM164" i="11" s="1"/>
  <c r="CE50" i="7"/>
  <c r="CE215" i="7"/>
  <c r="BX169" i="7"/>
  <c r="AM169" i="11" s="1"/>
  <c r="CE224" i="7"/>
  <c r="BX226" i="7"/>
  <c r="AM226" i="11" s="1"/>
  <c r="CE288" i="7"/>
  <c r="CE236" i="7"/>
  <c r="CE56" i="7"/>
  <c r="CE76" i="7"/>
  <c r="BX187" i="7"/>
  <c r="AM187" i="11" s="1"/>
  <c r="CE58" i="7"/>
  <c r="CE138" i="7"/>
  <c r="CE61" i="7"/>
  <c r="CE206" i="7"/>
  <c r="CE38" i="7"/>
  <c r="CE103" i="7"/>
  <c r="CE299" i="7"/>
  <c r="CE263" i="7"/>
  <c r="CE142" i="7"/>
  <c r="CE179" i="7"/>
  <c r="CE220" i="7"/>
  <c r="CE202" i="7"/>
  <c r="CE166" i="7"/>
  <c r="CE205" i="7"/>
  <c r="BX257" i="7"/>
  <c r="AM257" i="11" s="1"/>
  <c r="C266" i="19"/>
  <c r="BX286" i="7"/>
  <c r="AM286" i="11" s="1"/>
  <c r="CE228" i="7"/>
  <c r="CE281" i="7"/>
  <c r="C290" i="19"/>
  <c r="CE79" i="7"/>
  <c r="BX25" i="7"/>
  <c r="AM25" i="11" s="1"/>
  <c r="CE230" i="7"/>
  <c r="C254" i="19"/>
  <c r="CE17" i="7"/>
  <c r="BX269" i="7"/>
  <c r="AM269" i="11" s="1"/>
  <c r="C278" i="19"/>
  <c r="C302" i="19"/>
  <c r="CE107" i="7"/>
  <c r="CE43" i="7"/>
  <c r="BX234" i="7"/>
  <c r="AM234" i="11" s="1"/>
  <c r="BX18" i="7"/>
  <c r="AM18" i="11" s="1"/>
  <c r="CE189" i="7"/>
  <c r="CE157" i="7"/>
  <c r="CE112" i="7"/>
  <c r="CE139" i="7"/>
  <c r="CE55" i="7"/>
  <c r="BX275" i="7"/>
  <c r="AM275" i="11" s="1"/>
  <c r="BX40" i="7"/>
  <c r="AM40" i="11" s="1"/>
  <c r="CE260" i="7"/>
  <c r="CE304" i="7"/>
  <c r="CE267" i="7"/>
  <c r="CE150" i="7"/>
  <c r="C134" i="19"/>
  <c r="CE92" i="7"/>
  <c r="BX125" i="7"/>
  <c r="AM125" i="11" s="1"/>
  <c r="CE251" i="7"/>
  <c r="CE118" i="7"/>
  <c r="CE85" i="7"/>
  <c r="CE123" i="7"/>
  <c r="CE97" i="7"/>
  <c r="CE130" i="7"/>
  <c r="BX208" i="7"/>
  <c r="AM208" i="11" s="1"/>
  <c r="BX115" i="7"/>
  <c r="AM115" i="11" s="1"/>
  <c r="BX15" i="7"/>
  <c r="AM15" i="11" s="1"/>
  <c r="BX181" i="7"/>
  <c r="AM181" i="11" s="1"/>
  <c r="CE125" i="7"/>
  <c r="CE198" i="7"/>
  <c r="CE99" i="7"/>
  <c r="CE302" i="7"/>
  <c r="BX201" i="7"/>
  <c r="AM201" i="11" s="1"/>
  <c r="C86" i="19"/>
  <c r="C218" i="19"/>
  <c r="CE108" i="7"/>
  <c r="CE33" i="7"/>
  <c r="CE86" i="7"/>
  <c r="CE45" i="7"/>
  <c r="CE69" i="7"/>
  <c r="CE212" i="7"/>
  <c r="CE93" i="7"/>
  <c r="CE271" i="7"/>
  <c r="CE279" i="7"/>
  <c r="BX225" i="7"/>
  <c r="AM225" i="11" s="1"/>
  <c r="CE160" i="7"/>
  <c r="CE135" i="7"/>
  <c r="CE95" i="7"/>
  <c r="CE29" i="7"/>
  <c r="CE101" i="7"/>
  <c r="CE46" i="7"/>
  <c r="CE254" i="7"/>
  <c r="CE156" i="7"/>
  <c r="CE106" i="7"/>
  <c r="CE41" i="7"/>
  <c r="BX282" i="7"/>
  <c r="CE252" i="7"/>
  <c r="CE89" i="7"/>
  <c r="CE37" i="7"/>
  <c r="CE292" i="7"/>
  <c r="BX285" i="7"/>
  <c r="AM285" i="11" s="1"/>
  <c r="BX183" i="7"/>
  <c r="AM183" i="11" s="1"/>
  <c r="CE256" i="7"/>
  <c r="BX75" i="7"/>
  <c r="AM75" i="11" s="1"/>
  <c r="CE141" i="7"/>
  <c r="CE283" i="7"/>
  <c r="CE218" i="7"/>
  <c r="CE287" i="7"/>
  <c r="BX289" i="7"/>
  <c r="AM289" i="11" s="1"/>
  <c r="BX261" i="7"/>
  <c r="AM261" i="11" s="1"/>
  <c r="CE207" i="7"/>
  <c r="CE182" i="7"/>
  <c r="C74" i="19"/>
  <c r="C110" i="19"/>
  <c r="BX221" i="7"/>
  <c r="AM221" i="11" s="1"/>
  <c r="C230" i="19"/>
  <c r="C182" i="19"/>
  <c r="CE153" i="7"/>
  <c r="BX83" i="7"/>
  <c r="AM83" i="11" s="1"/>
  <c r="C98" i="19"/>
  <c r="C62" i="19"/>
  <c r="BX149" i="7"/>
  <c r="AM149" i="11" s="1"/>
  <c r="C158" i="19"/>
  <c r="BX233" i="7"/>
  <c r="AM233" i="11" s="1"/>
  <c r="C242" i="19"/>
  <c r="CE161" i="7"/>
  <c r="C170" i="19"/>
  <c r="CE117" i="7"/>
  <c r="CE144" i="7"/>
  <c r="CE22" i="7"/>
  <c r="CE291" i="7"/>
  <c r="CE148" i="7"/>
  <c r="CE98" i="7"/>
  <c r="CE26" i="7"/>
  <c r="CE20" i="7"/>
  <c r="CE165" i="7"/>
  <c r="CE270" i="7"/>
  <c r="C122" i="19"/>
  <c r="BX197" i="7"/>
  <c r="C206" i="19"/>
  <c r="BX185" i="7"/>
  <c r="AM185" i="11" s="1"/>
  <c r="C194" i="19"/>
  <c r="C146" i="19"/>
  <c r="CE259" i="7"/>
  <c r="CE31" i="7"/>
  <c r="CE244" i="7"/>
  <c r="CE145" i="7"/>
  <c r="BX242" i="7"/>
  <c r="AM242" i="11" s="1"/>
  <c r="CE119" i="7"/>
  <c r="CE42" i="7"/>
  <c r="CE257" i="7"/>
  <c r="BX21" i="7"/>
  <c r="AM21" i="11" s="1"/>
  <c r="BX238" i="7"/>
  <c r="AM238" i="11" s="1"/>
  <c r="CE59" i="7"/>
  <c r="CE295" i="7"/>
  <c r="CE268" i="7"/>
  <c r="BX122" i="7"/>
  <c r="AM122" i="11" s="1"/>
  <c r="CE243" i="7"/>
  <c r="CE284" i="7"/>
  <c r="CE105" i="7"/>
  <c r="CE272" i="7"/>
  <c r="CE239" i="7"/>
  <c r="CE192" i="7"/>
  <c r="BX262" i="7"/>
  <c r="AM262" i="11" s="1"/>
  <c r="CE303" i="7"/>
  <c r="CE39" i="7"/>
  <c r="CE131" i="7"/>
  <c r="CE8" i="7"/>
  <c r="CE60" i="7"/>
  <c r="CE32" i="7"/>
  <c r="CE104" i="7"/>
  <c r="BX161" i="7"/>
  <c r="AM161" i="11" s="1"/>
  <c r="CE194" i="7"/>
  <c r="BX54" i="7"/>
  <c r="AM54" i="11" s="1"/>
  <c r="BX102" i="7"/>
  <c r="AM102" i="11" s="1"/>
  <c r="CE23" i="7"/>
  <c r="CE196" i="7"/>
  <c r="BX96" i="7"/>
  <c r="AM96" i="11" s="1"/>
  <c r="K218" i="19"/>
  <c r="K134" i="19"/>
  <c r="K158" i="19"/>
  <c r="K194" i="19"/>
  <c r="K242" i="19"/>
  <c r="K206" i="19"/>
  <c r="K146" i="19"/>
  <c r="K230" i="19"/>
  <c r="K182" i="19"/>
  <c r="K170" i="19"/>
  <c r="K98" i="19"/>
  <c r="BX191" i="7"/>
  <c r="AM191" i="11" s="1"/>
  <c r="K122" i="19"/>
  <c r="K74" i="19"/>
  <c r="K110" i="19"/>
  <c r="BX217" i="7"/>
  <c r="K50" i="19"/>
  <c r="K86" i="19"/>
  <c r="CE36" i="7"/>
  <c r="K62" i="19"/>
  <c r="CE231" i="7"/>
  <c r="C26" i="19"/>
  <c r="CE27" i="7"/>
  <c r="C14" i="19"/>
  <c r="BX9" i="7"/>
  <c r="AM9" i="11" s="1"/>
  <c r="CE200" i="7"/>
  <c r="BX5" i="7"/>
  <c r="AM5" i="11" s="1"/>
  <c r="M42" i="2"/>
  <c r="U42" i="11" s="1"/>
  <c r="M58" i="2"/>
  <c r="U58" i="11" s="1"/>
  <c r="M304" i="2"/>
  <c r="U304" i="11" s="1"/>
  <c r="M41" i="2"/>
  <c r="U41" i="11" s="1"/>
  <c r="M179" i="2"/>
  <c r="U179" i="11" s="1"/>
  <c r="M298" i="2"/>
  <c r="U298" i="11" s="1"/>
  <c r="M153" i="2"/>
  <c r="U153" i="11" s="1"/>
  <c r="M140" i="2"/>
  <c r="U140" i="11" s="1"/>
  <c r="M119" i="2"/>
  <c r="U119" i="11" s="1"/>
  <c r="M231" i="2"/>
  <c r="U231" i="11" s="1"/>
  <c r="M132" i="2"/>
  <c r="U132" i="11" s="1"/>
  <c r="M46" i="2"/>
  <c r="U46" i="11" s="1"/>
  <c r="M150" i="2"/>
  <c r="U150" i="11" s="1"/>
  <c r="M14" i="2"/>
  <c r="U14" i="11" s="1"/>
  <c r="M206" i="2"/>
  <c r="U206" i="11" s="1"/>
  <c r="M214" i="2"/>
  <c r="U214" i="11" s="1"/>
  <c r="M152" i="2"/>
  <c r="U152" i="11" s="1"/>
  <c r="M167" i="2"/>
  <c r="U167" i="11" s="1"/>
  <c r="M267" i="2"/>
  <c r="U267" i="11" s="1"/>
  <c r="M98" i="2"/>
  <c r="U98" i="11" s="1"/>
  <c r="M252" i="2"/>
  <c r="U252" i="11" s="1"/>
  <c r="M115" i="2"/>
  <c r="U115" i="11" s="1"/>
  <c r="M210" i="2"/>
  <c r="U210" i="11" s="1"/>
  <c r="M71" i="2"/>
  <c r="U71" i="11" s="1"/>
  <c r="M237" i="2"/>
  <c r="U237" i="11" s="1"/>
  <c r="M216" i="2"/>
  <c r="U216" i="11" s="1"/>
  <c r="M104" i="2"/>
  <c r="U104" i="11" s="1"/>
  <c r="M109" i="2"/>
  <c r="U109" i="11" s="1"/>
  <c r="M183" i="2"/>
  <c r="U183" i="11" s="1"/>
  <c r="M169" i="2"/>
  <c r="U169" i="11" s="1"/>
  <c r="M246" i="2"/>
  <c r="U246" i="11" s="1"/>
  <c r="M162" i="2"/>
  <c r="U162" i="11" s="1"/>
  <c r="M7" i="2"/>
  <c r="M277" i="2"/>
  <c r="U277" i="11" s="1"/>
  <c r="M13" i="2"/>
  <c r="U13" i="11" s="1"/>
  <c r="M158" i="2"/>
  <c r="U158" i="11" s="1"/>
  <c r="M229" i="2"/>
  <c r="U229" i="11" s="1"/>
  <c r="M299" i="2"/>
  <c r="U299" i="11" s="1"/>
  <c r="M56" i="2"/>
  <c r="U56" i="11" s="1"/>
  <c r="M202" i="2"/>
  <c r="U202" i="11" s="1"/>
  <c r="M120" i="2"/>
  <c r="U120" i="11" s="1"/>
  <c r="M54" i="2"/>
  <c r="U54" i="11" s="1"/>
  <c r="M271" i="2"/>
  <c r="U271" i="11" s="1"/>
  <c r="M69" i="2"/>
  <c r="U69" i="11" s="1"/>
  <c r="M300" i="2"/>
  <c r="U300" i="11" s="1"/>
  <c r="M36" i="2"/>
  <c r="U36" i="11" s="1"/>
  <c r="M186" i="2"/>
  <c r="U186" i="11" s="1"/>
  <c r="M16" i="2"/>
  <c r="U16" i="11" s="1"/>
  <c r="M143" i="2"/>
  <c r="U143" i="11" s="1"/>
  <c r="M175" i="2"/>
  <c r="U175" i="11" s="1"/>
  <c r="M243" i="2"/>
  <c r="U243" i="11" s="1"/>
  <c r="M57" i="2"/>
  <c r="U57" i="11" s="1"/>
  <c r="M45" i="2"/>
  <c r="U45" i="11" s="1"/>
  <c r="M256" i="2"/>
  <c r="U256" i="11" s="1"/>
  <c r="M107" i="2"/>
  <c r="U107" i="11" s="1"/>
  <c r="M228" i="2"/>
  <c r="U228" i="11" s="1"/>
  <c r="M66" i="2"/>
  <c r="U66" i="11" s="1"/>
  <c r="M199" i="2"/>
  <c r="U199" i="11" s="1"/>
  <c r="M35" i="2"/>
  <c r="U35" i="11" s="1"/>
  <c r="M31" i="2"/>
  <c r="U31" i="11" s="1"/>
  <c r="M170" i="2"/>
  <c r="U170" i="11" s="1"/>
  <c r="M93" i="2"/>
  <c r="U93" i="11" s="1"/>
  <c r="M103" i="2"/>
  <c r="U103" i="11" s="1"/>
  <c r="M239" i="2"/>
  <c r="U239" i="11" s="1"/>
  <c r="M108" i="2"/>
  <c r="U108" i="11" s="1"/>
  <c r="M91" i="2"/>
  <c r="U91" i="11" s="1"/>
  <c r="M262" i="2"/>
  <c r="U262" i="11" s="1"/>
  <c r="M9" i="2"/>
  <c r="U9" i="11" s="1"/>
  <c r="M111" i="2"/>
  <c r="U111" i="11" s="1"/>
  <c r="M212" i="2"/>
  <c r="U212" i="11" s="1"/>
  <c r="M190" i="2"/>
  <c r="U190" i="11" s="1"/>
  <c r="M72" i="2"/>
  <c r="U72" i="11" s="1"/>
  <c r="M171" i="2"/>
  <c r="U171" i="11" s="1"/>
  <c r="M60" i="2"/>
  <c r="U60" i="11" s="1"/>
  <c r="M139" i="2"/>
  <c r="U139" i="11" s="1"/>
  <c r="M244" i="2"/>
  <c r="U244" i="11" s="1"/>
  <c r="M213" i="2"/>
  <c r="U213" i="11" s="1"/>
  <c r="M226" i="2"/>
  <c r="U226" i="11" s="1"/>
  <c r="M287" i="2"/>
  <c r="U287" i="11" s="1"/>
  <c r="M211" i="2"/>
  <c r="U211" i="11" s="1"/>
  <c r="M22" i="2"/>
  <c r="U22" i="11" s="1"/>
  <c r="M236" i="2"/>
  <c r="U236" i="11" s="1"/>
  <c r="M78" i="2"/>
  <c r="U78" i="11" s="1"/>
  <c r="M28" i="2"/>
  <c r="U28" i="11" s="1"/>
  <c r="M174" i="2"/>
  <c r="U174" i="11" s="1"/>
  <c r="M223" i="2"/>
  <c r="U223" i="11" s="1"/>
  <c r="M6" i="2"/>
  <c r="M123" i="2"/>
  <c r="U123" i="11" s="1"/>
  <c r="M268" i="2"/>
  <c r="U268" i="11" s="1"/>
  <c r="M112" i="2"/>
  <c r="U112" i="11" s="1"/>
  <c r="M265" i="2"/>
  <c r="U265" i="11" s="1"/>
  <c r="M224" i="2"/>
  <c r="U224" i="11" s="1"/>
  <c r="M144" i="2"/>
  <c r="U144" i="11" s="1"/>
  <c r="M192" i="2"/>
  <c r="U192" i="11" s="1"/>
  <c r="M248" i="2"/>
  <c r="U248" i="11" s="1"/>
  <c r="M221" i="2"/>
  <c r="U221" i="11" s="1"/>
  <c r="M178" i="2"/>
  <c r="U178" i="11" s="1"/>
  <c r="M49" i="2"/>
  <c r="U49" i="11" s="1"/>
  <c r="M101" i="2"/>
  <c r="U101" i="11" s="1"/>
  <c r="M301" i="2"/>
  <c r="U301" i="11" s="1"/>
  <c r="M83" i="2"/>
  <c r="U83" i="11" s="1"/>
  <c r="M185" i="2"/>
  <c r="U185" i="11" s="1"/>
  <c r="M279" i="2"/>
  <c r="U279" i="11" s="1"/>
  <c r="M124" i="2"/>
  <c r="U124" i="11" s="1"/>
  <c r="M142" i="2"/>
  <c r="U142" i="11" s="1"/>
  <c r="M184" i="2"/>
  <c r="U184" i="11" s="1"/>
  <c r="M242" i="2"/>
  <c r="U242" i="11" s="1"/>
  <c r="M172" i="2"/>
  <c r="U172" i="11" s="1"/>
  <c r="M12" i="2"/>
  <c r="U12" i="11" s="1"/>
  <c r="M247" i="2"/>
  <c r="U247" i="11" s="1"/>
  <c r="M156" i="2"/>
  <c r="U156" i="11" s="1"/>
  <c r="M218" i="2"/>
  <c r="U218" i="11" s="1"/>
  <c r="M86" i="2"/>
  <c r="U86" i="11" s="1"/>
  <c r="M263" i="2"/>
  <c r="U263" i="11" s="1"/>
  <c r="M76" i="2"/>
  <c r="U76" i="11" s="1"/>
  <c r="M191" i="2"/>
  <c r="U191" i="11" s="1"/>
  <c r="M33" i="2"/>
  <c r="U33" i="11" s="1"/>
  <c r="M126" i="2"/>
  <c r="U126" i="11" s="1"/>
  <c r="M197" i="2"/>
  <c r="U197" i="11" s="1"/>
  <c r="M282" i="2"/>
  <c r="U282" i="11" s="1"/>
  <c r="M79" i="2"/>
  <c r="U79" i="11" s="1"/>
  <c r="M209" i="2"/>
  <c r="U209" i="11" s="1"/>
  <c r="M258" i="2"/>
  <c r="U258" i="11" s="1"/>
  <c r="M73" i="2"/>
  <c r="U73" i="11" s="1"/>
  <c r="M204" i="2"/>
  <c r="U204" i="11" s="1"/>
  <c r="M254" i="2"/>
  <c r="U254" i="11" s="1"/>
  <c r="M195" i="2"/>
  <c r="U195" i="11" s="1"/>
  <c r="M8" i="2"/>
  <c r="U8" i="11" s="1"/>
  <c r="M249" i="2"/>
  <c r="U249" i="11" s="1"/>
  <c r="M280" i="2"/>
  <c r="U280" i="11" s="1"/>
  <c r="M26" i="2"/>
  <c r="U26" i="11" s="1"/>
  <c r="M276" i="2"/>
  <c r="U276" i="11" s="1"/>
  <c r="M250" i="2"/>
  <c r="U250" i="11" s="1"/>
  <c r="M245" i="2"/>
  <c r="U245" i="11" s="1"/>
  <c r="M64" i="2"/>
  <c r="U64" i="11" s="1"/>
  <c r="M284" i="2"/>
  <c r="U284" i="11" s="1"/>
  <c r="M74" i="2"/>
  <c r="U74" i="11" s="1"/>
  <c r="M99" i="2"/>
  <c r="U99" i="11" s="1"/>
  <c r="M81" i="2"/>
  <c r="U81" i="11" s="1"/>
  <c r="M260" i="2"/>
  <c r="U260" i="11" s="1"/>
  <c r="M270" i="2"/>
  <c r="U270" i="11" s="1"/>
  <c r="M29" i="2"/>
  <c r="U29" i="11" s="1"/>
  <c r="M160" i="2"/>
  <c r="U160" i="11" s="1"/>
  <c r="M133" i="2"/>
  <c r="U133" i="11" s="1"/>
  <c r="M128" i="2"/>
  <c r="U128" i="11" s="1"/>
  <c r="M173" i="2"/>
  <c r="U173" i="11" s="1"/>
  <c r="M208" i="2"/>
  <c r="U208" i="11" s="1"/>
  <c r="M39" i="2"/>
  <c r="U39" i="11" s="1"/>
  <c r="M278" i="2"/>
  <c r="U278" i="11" s="1"/>
  <c r="M200" i="2"/>
  <c r="U200" i="11" s="1"/>
  <c r="M188" i="2"/>
  <c r="U188" i="11" s="1"/>
  <c r="M90" i="2"/>
  <c r="U90" i="11" s="1"/>
  <c r="M37" i="2"/>
  <c r="U37" i="11" s="1"/>
  <c r="M230" i="2"/>
  <c r="U230" i="11" s="1"/>
  <c r="M94" i="2"/>
  <c r="U94" i="11" s="1"/>
  <c r="M40" i="2"/>
  <c r="U40" i="11" s="1"/>
  <c r="M238" i="2"/>
  <c r="U238" i="11" s="1"/>
  <c r="M80" i="2"/>
  <c r="U80" i="11" s="1"/>
  <c r="M198" i="2"/>
  <c r="U198" i="11" s="1"/>
  <c r="M110" i="2"/>
  <c r="U110" i="11" s="1"/>
  <c r="M27" i="2"/>
  <c r="U27" i="11" s="1"/>
  <c r="M272" i="2"/>
  <c r="U272" i="11" s="1"/>
  <c r="M24" i="2"/>
  <c r="U24" i="11" s="1"/>
  <c r="M106" i="2"/>
  <c r="U106" i="11" s="1"/>
  <c r="M70" i="2"/>
  <c r="U70" i="11" s="1"/>
  <c r="M17" i="2"/>
  <c r="U17" i="11" s="1"/>
  <c r="M51" i="2"/>
  <c r="U51" i="11" s="1"/>
  <c r="M291" i="2"/>
  <c r="U291" i="11" s="1"/>
  <c r="M61" i="2"/>
  <c r="U61" i="11" s="1"/>
  <c r="M274" i="2"/>
  <c r="U274" i="11" s="1"/>
  <c r="M95" i="2"/>
  <c r="U95" i="11" s="1"/>
  <c r="M147" i="2"/>
  <c r="U147" i="11" s="1"/>
  <c r="M21" i="2"/>
  <c r="U21" i="11" s="1"/>
  <c r="M234" i="2"/>
  <c r="U234" i="11" s="1"/>
  <c r="M89" i="2"/>
  <c r="U89" i="11" s="1"/>
  <c r="M187" i="2"/>
  <c r="U187" i="11" s="1"/>
  <c r="M189" i="2"/>
  <c r="U189" i="11" s="1"/>
  <c r="M257" i="2"/>
  <c r="U257" i="11" s="1"/>
  <c r="M220" i="2"/>
  <c r="U220" i="11" s="1"/>
  <c r="M227" i="2"/>
  <c r="U227" i="11" s="1"/>
  <c r="M203" i="2"/>
  <c r="U203" i="11" s="1"/>
  <c r="M146" i="2"/>
  <c r="U146" i="11" s="1"/>
  <c r="M92" i="2"/>
  <c r="U92" i="11" s="1"/>
  <c r="M266" i="2"/>
  <c r="U266" i="11" s="1"/>
  <c r="M25" i="2"/>
  <c r="U25" i="11" s="1"/>
  <c r="M38" i="2"/>
  <c r="U38" i="11" s="1"/>
  <c r="M85" i="2"/>
  <c r="U85" i="11" s="1"/>
  <c r="M163" i="2"/>
  <c r="U163" i="11" s="1"/>
  <c r="M149" i="2"/>
  <c r="U149" i="11" s="1"/>
  <c r="M65" i="2"/>
  <c r="U65" i="11" s="1"/>
  <c r="M273" i="2"/>
  <c r="U273" i="11" s="1"/>
  <c r="M165" i="2"/>
  <c r="U165" i="11" s="1"/>
  <c r="M283" i="2"/>
  <c r="U283" i="11" s="1"/>
  <c r="M253" i="2"/>
  <c r="U253" i="11" s="1"/>
  <c r="M285" i="2"/>
  <c r="U285" i="11" s="1"/>
  <c r="M96" i="2"/>
  <c r="U96" i="11" s="1"/>
  <c r="M130" i="2"/>
  <c r="U130" i="11" s="1"/>
  <c r="M176" i="2"/>
  <c r="U176" i="11" s="1"/>
  <c r="M168" i="2"/>
  <c r="U168" i="11" s="1"/>
  <c r="M48" i="2"/>
  <c r="U48" i="11" s="1"/>
  <c r="M225" i="2"/>
  <c r="U225" i="11" s="1"/>
  <c r="M52" i="2"/>
  <c r="U52" i="11" s="1"/>
  <c r="M292" i="2"/>
  <c r="U292" i="11" s="1"/>
  <c r="M87" i="2"/>
  <c r="U87" i="11" s="1"/>
  <c r="M141" i="2"/>
  <c r="U141" i="11" s="1"/>
  <c r="M182" i="2"/>
  <c r="U182" i="11" s="1"/>
  <c r="M136" i="2"/>
  <c r="U136" i="11" s="1"/>
  <c r="M232" i="2"/>
  <c r="U232" i="11" s="1"/>
  <c r="M88" i="2"/>
  <c r="U88" i="11" s="1"/>
  <c r="M50" i="2"/>
  <c r="U50" i="11" s="1"/>
  <c r="M177" i="2"/>
  <c r="U177" i="11" s="1"/>
  <c r="M255" i="2"/>
  <c r="U255" i="11" s="1"/>
  <c r="M219" i="2"/>
  <c r="U219" i="11" s="1"/>
  <c r="M105" i="2"/>
  <c r="U105" i="11" s="1"/>
  <c r="M19" i="2"/>
  <c r="U19" i="11" s="1"/>
  <c r="M181" i="2"/>
  <c r="U181" i="11" s="1"/>
  <c r="M205" i="2"/>
  <c r="U205" i="11" s="1"/>
  <c r="M15" i="2"/>
  <c r="U15" i="11" s="1"/>
  <c r="M138" i="2"/>
  <c r="U138" i="11" s="1"/>
  <c r="M233" i="2"/>
  <c r="U233" i="11" s="1"/>
  <c r="M145" i="2"/>
  <c r="U145" i="11" s="1"/>
  <c r="M135" i="2"/>
  <c r="U135" i="11" s="1"/>
  <c r="M134" i="2"/>
  <c r="U134" i="11" s="1"/>
  <c r="M164" i="2"/>
  <c r="U164" i="11" s="1"/>
  <c r="M201" i="2"/>
  <c r="U201" i="11" s="1"/>
  <c r="M180" i="2"/>
  <c r="U180" i="11" s="1"/>
  <c r="M286" i="2"/>
  <c r="U286" i="11" s="1"/>
  <c r="M67" i="2"/>
  <c r="U67" i="11" s="1"/>
  <c r="M161" i="2"/>
  <c r="U161" i="11" s="1"/>
  <c r="M157" i="2"/>
  <c r="U157" i="11" s="1"/>
  <c r="M23" i="2"/>
  <c r="U23" i="11" s="1"/>
  <c r="M122" i="2"/>
  <c r="U122" i="11" s="1"/>
  <c r="M196" i="2"/>
  <c r="U196" i="11" s="1"/>
  <c r="M121" i="2"/>
  <c r="U121" i="11" s="1"/>
  <c r="M290" i="2"/>
  <c r="U290" i="11" s="1"/>
  <c r="M127" i="2"/>
  <c r="U127" i="11" s="1"/>
  <c r="M295" i="2"/>
  <c r="U295" i="11" s="1"/>
  <c r="M159" i="2"/>
  <c r="U159" i="11" s="1"/>
  <c r="M154" i="2"/>
  <c r="U154" i="11" s="1"/>
  <c r="M251" i="2"/>
  <c r="U251" i="11" s="1"/>
  <c r="M77" i="2"/>
  <c r="U77" i="11" s="1"/>
  <c r="M207" i="2"/>
  <c r="U207" i="11" s="1"/>
  <c r="M293" i="2"/>
  <c r="U293" i="11" s="1"/>
  <c r="M235" i="2"/>
  <c r="U235" i="11" s="1"/>
  <c r="M131" i="2"/>
  <c r="U131" i="11" s="1"/>
  <c r="M129" i="2"/>
  <c r="U129" i="11" s="1"/>
  <c r="M63" i="2"/>
  <c r="U63" i="11" s="1"/>
  <c r="M151" i="2"/>
  <c r="U151" i="11" s="1"/>
  <c r="M261" i="2"/>
  <c r="U261" i="11" s="1"/>
  <c r="M240" i="2"/>
  <c r="U240" i="11" s="1"/>
  <c r="M75" i="2"/>
  <c r="U75" i="11" s="1"/>
  <c r="M97" i="2"/>
  <c r="U97" i="11" s="1"/>
  <c r="M68" i="2"/>
  <c r="U68" i="11" s="1"/>
  <c r="M118" i="2"/>
  <c r="U118" i="11" s="1"/>
  <c r="M194" i="2"/>
  <c r="U194" i="11" s="1"/>
  <c r="M193" i="2"/>
  <c r="U193" i="11" s="1"/>
  <c r="M275" i="2"/>
  <c r="U275" i="11" s="1"/>
  <c r="M217" i="2"/>
  <c r="U217" i="11" s="1"/>
  <c r="M32" i="2"/>
  <c r="U32" i="11" s="1"/>
  <c r="M102" i="2"/>
  <c r="U102" i="11" s="1"/>
  <c r="M155" i="2"/>
  <c r="U155" i="11" s="1"/>
  <c r="M30" i="2"/>
  <c r="U30" i="11" s="1"/>
  <c r="M281" i="2"/>
  <c r="U281" i="11" s="1"/>
  <c r="M297" i="2"/>
  <c r="U297" i="11" s="1"/>
  <c r="M113" i="2"/>
  <c r="U113" i="11" s="1"/>
  <c r="M47" i="2"/>
  <c r="U47" i="11" s="1"/>
  <c r="M137" i="2"/>
  <c r="U137" i="11" s="1"/>
  <c r="M222" i="2"/>
  <c r="U222" i="11" s="1"/>
  <c r="M100" i="2"/>
  <c r="U100" i="11" s="1"/>
  <c r="M296" i="2"/>
  <c r="U296" i="11" s="1"/>
  <c r="M10" i="2"/>
  <c r="U10" i="11" s="1"/>
  <c r="M264" i="2"/>
  <c r="U264" i="11" s="1"/>
  <c r="M148" i="2"/>
  <c r="U148" i="11" s="1"/>
  <c r="M43" i="2"/>
  <c r="U43" i="11" s="1"/>
  <c r="M125" i="2"/>
  <c r="U125" i="11" s="1"/>
  <c r="M59" i="2"/>
  <c r="U59" i="11" s="1"/>
  <c r="M114" i="2"/>
  <c r="U114" i="11" s="1"/>
  <c r="M117" i="2"/>
  <c r="U117" i="11" s="1"/>
  <c r="M20" i="2"/>
  <c r="U20" i="11" s="1"/>
  <c r="M215" i="2"/>
  <c r="U215" i="11" s="1"/>
  <c r="M116" i="2"/>
  <c r="U116" i="11" s="1"/>
  <c r="M18" i="2"/>
  <c r="U18" i="11" s="1"/>
  <c r="M82" i="2"/>
  <c r="U82" i="11" s="1"/>
  <c r="M288" i="2"/>
  <c r="U288" i="11" s="1"/>
  <c r="M11" i="2"/>
  <c r="U11" i="11" s="1"/>
  <c r="M55" i="2"/>
  <c r="U55" i="11" s="1"/>
  <c r="M269" i="2"/>
  <c r="U269" i="11" s="1"/>
  <c r="M53" i="2"/>
  <c r="U53" i="11" s="1"/>
  <c r="M302" i="2"/>
  <c r="U302" i="11" s="1"/>
  <c r="M166" i="2"/>
  <c r="U166" i="11" s="1"/>
  <c r="M84" i="2"/>
  <c r="U84" i="11" s="1"/>
  <c r="M289" i="2"/>
  <c r="U289" i="11" s="1"/>
  <c r="M241" i="2"/>
  <c r="U241" i="11" s="1"/>
  <c r="M294" i="2"/>
  <c r="U294" i="11" s="1"/>
  <c r="M259" i="2"/>
  <c r="U259" i="11" s="1"/>
  <c r="M62" i="2"/>
  <c r="U62" i="11" s="1"/>
  <c r="Y18" i="2"/>
  <c r="X18" i="11" s="1"/>
  <c r="Y24" i="2"/>
  <c r="X24" i="11" s="1"/>
  <c r="Y40" i="2"/>
  <c r="X40" i="11" s="1"/>
  <c r="Y21" i="2"/>
  <c r="X21" i="11" s="1"/>
  <c r="Y38" i="2"/>
  <c r="X38" i="11" s="1"/>
  <c r="Y16" i="2"/>
  <c r="X16" i="11" s="1"/>
  <c r="Y17" i="2"/>
  <c r="X17" i="11" s="1"/>
  <c r="Y10" i="2"/>
  <c r="X10" i="11" s="1"/>
  <c r="Y9" i="2"/>
  <c r="X9" i="11" s="1"/>
  <c r="Y32" i="2"/>
  <c r="X32" i="11" s="1"/>
  <c r="Y19" i="2"/>
  <c r="X19" i="11" s="1"/>
  <c r="Y8" i="2"/>
  <c r="X8" i="11" s="1"/>
  <c r="Y33" i="2"/>
  <c r="X33" i="11" s="1"/>
  <c r="Y34" i="2"/>
  <c r="X34" i="11" s="1"/>
  <c r="Y23" i="2"/>
  <c r="X23" i="11" s="1"/>
  <c r="Y15" i="2"/>
  <c r="X15" i="11" s="1"/>
  <c r="Y13" i="2"/>
  <c r="X13" i="11" s="1"/>
  <c r="Y28" i="2"/>
  <c r="X28" i="11" s="1"/>
  <c r="Y5" i="2"/>
  <c r="X5" i="11" s="1"/>
  <c r="Y7" i="2"/>
  <c r="X7" i="11" s="1"/>
  <c r="Y11" i="2"/>
  <c r="X11" i="11" s="1"/>
  <c r="Y31" i="2"/>
  <c r="X31" i="11" s="1"/>
  <c r="Y14" i="2"/>
  <c r="X14" i="11" s="1"/>
  <c r="Y37" i="2"/>
  <c r="X37" i="11" s="1"/>
  <c r="Y20" i="2"/>
  <c r="X20" i="11" s="1"/>
  <c r="Y35" i="2"/>
  <c r="X35" i="11" s="1"/>
  <c r="Y27" i="2"/>
  <c r="X27" i="11" s="1"/>
  <c r="Y12" i="2"/>
  <c r="X12" i="11" s="1"/>
  <c r="Y39" i="2"/>
  <c r="X39" i="11" s="1"/>
  <c r="AO11" i="2"/>
  <c r="BC11" i="2" s="1"/>
  <c r="B158" i="3"/>
  <c r="D9" i="2"/>
  <c r="F9" i="2" s="1"/>
  <c r="B38" i="9"/>
  <c r="BV256" i="11" l="1"/>
  <c r="AB29" i="20" s="1"/>
  <c r="AB31" i="20" s="1"/>
  <c r="CE268" i="11"/>
  <c r="AC50" i="20" s="1"/>
  <c r="S254" i="19"/>
  <c r="CE220" i="11"/>
  <c r="Y50" i="20" s="1"/>
  <c r="CE244" i="11"/>
  <c r="AA50" i="20" s="1"/>
  <c r="CE208" i="11"/>
  <c r="X50" i="20" s="1"/>
  <c r="CE16" i="11"/>
  <c r="H50" i="20" s="1"/>
  <c r="CE280" i="11"/>
  <c r="AD50" i="20" s="1"/>
  <c r="CE196" i="11"/>
  <c r="W50" i="20" s="1"/>
  <c r="BH268" i="11"/>
  <c r="AC7" i="20" s="1"/>
  <c r="AC12" i="20" s="1"/>
  <c r="CE28" i="11"/>
  <c r="I50" i="20" s="1"/>
  <c r="CE172" i="11"/>
  <c r="U50" i="20" s="1"/>
  <c r="BH196" i="11"/>
  <c r="W7" i="20" s="1"/>
  <c r="W12" i="20" s="1"/>
  <c r="BH244" i="11"/>
  <c r="AA7" i="20" s="1"/>
  <c r="CE136" i="11"/>
  <c r="R50" i="20" s="1"/>
  <c r="CE184" i="11"/>
  <c r="V50" i="20" s="1"/>
  <c r="CE100" i="11"/>
  <c r="O50" i="20" s="1"/>
  <c r="BV304" i="11"/>
  <c r="AF29" i="20" s="1"/>
  <c r="AF31" i="20" s="1"/>
  <c r="CE160" i="11"/>
  <c r="T50" i="20" s="1"/>
  <c r="BH100" i="11"/>
  <c r="O7" i="20" s="1"/>
  <c r="O12" i="20" s="1"/>
  <c r="CE112" i="11"/>
  <c r="P50" i="20" s="1"/>
  <c r="BH256" i="11"/>
  <c r="AB7" i="20" s="1"/>
  <c r="AB12" i="20" s="1"/>
  <c r="CE304" i="11"/>
  <c r="AF50" i="20" s="1"/>
  <c r="BH88" i="11"/>
  <c r="N7" i="20" s="1"/>
  <c r="N12" i="20" s="1"/>
  <c r="BH172" i="11"/>
  <c r="U7" i="20" s="1"/>
  <c r="U12" i="20" s="1"/>
  <c r="BH112" i="11"/>
  <c r="P7" i="20" s="1"/>
  <c r="P12" i="20" s="1"/>
  <c r="BH304" i="11"/>
  <c r="AF7" i="20" s="1"/>
  <c r="AF12" i="20" s="1"/>
  <c r="BH124" i="11"/>
  <c r="Q7" i="20" s="1"/>
  <c r="Q12" i="20" s="1"/>
  <c r="BH160" i="11"/>
  <c r="T7" i="20" s="1"/>
  <c r="T12" i="20" s="1"/>
  <c r="CE292" i="11"/>
  <c r="AE50" i="20" s="1"/>
  <c r="BH232" i="11"/>
  <c r="Z7" i="20" s="1"/>
  <c r="Z12" i="20" s="1"/>
  <c r="BH136" i="11"/>
  <c r="R7" i="20" s="1"/>
  <c r="R12" i="20" s="1"/>
  <c r="BH16" i="11"/>
  <c r="H7" i="20" s="1"/>
  <c r="CE148" i="11"/>
  <c r="S50" i="20" s="1"/>
  <c r="CE232" i="11"/>
  <c r="Z50" i="20" s="1"/>
  <c r="BH28" i="11"/>
  <c r="I7" i="20" s="1"/>
  <c r="CE76" i="11"/>
  <c r="M50" i="20" s="1"/>
  <c r="BH64" i="11"/>
  <c r="L7" i="20" s="1"/>
  <c r="L12" i="20" s="1"/>
  <c r="S302" i="19"/>
  <c r="BH148" i="11"/>
  <c r="S7" i="20" s="1"/>
  <c r="S12" i="20" s="1"/>
  <c r="BH292" i="11"/>
  <c r="AE7" i="20" s="1"/>
  <c r="AE12" i="20" s="1"/>
  <c r="BH280" i="11"/>
  <c r="AD7" i="20" s="1"/>
  <c r="AD12" i="20" s="1"/>
  <c r="BH208" i="11"/>
  <c r="X7" i="20" s="1"/>
  <c r="X12" i="20" s="1"/>
  <c r="CE256" i="11"/>
  <c r="AB50" i="20" s="1"/>
  <c r="CE64" i="11"/>
  <c r="L50" i="20" s="1"/>
  <c r="CE88" i="11"/>
  <c r="N50" i="20" s="1"/>
  <c r="BH184" i="11"/>
  <c r="V7" i="20" s="1"/>
  <c r="V12" i="20" s="1"/>
  <c r="BH76" i="11"/>
  <c r="M7" i="20" s="1"/>
  <c r="M12" i="20" s="1"/>
  <c r="CE124" i="11"/>
  <c r="Q50" i="20" s="1"/>
  <c r="BH220" i="11"/>
  <c r="Y7" i="20" s="1"/>
  <c r="Y12" i="20" s="1"/>
  <c r="AA12" i="20"/>
  <c r="AM282" i="11"/>
  <c r="BV292" i="11" s="1"/>
  <c r="AE29" i="20" s="1"/>
  <c r="AE31" i="20" s="1"/>
  <c r="U7" i="11"/>
  <c r="U7" i="2"/>
  <c r="AO7" i="11" s="1"/>
  <c r="W9" i="11"/>
  <c r="U9" i="2"/>
  <c r="AO9" i="11" s="1"/>
  <c r="AM143" i="11"/>
  <c r="BV148" i="11" s="1"/>
  <c r="S29" i="20" s="1"/>
  <c r="S31" i="20" s="1"/>
  <c r="U6" i="11"/>
  <c r="U6" i="2"/>
  <c r="AO6" i="11" s="1"/>
  <c r="U8" i="2"/>
  <c r="AO8" i="11" s="1"/>
  <c r="AM217" i="11"/>
  <c r="BV220" i="11" s="1"/>
  <c r="Y29" i="20" s="1"/>
  <c r="Y31" i="20" s="1"/>
  <c r="AM197" i="11"/>
  <c r="BV208" i="11" s="1"/>
  <c r="X29" i="20" s="1"/>
  <c r="X31" i="20" s="1"/>
  <c r="BV124" i="11"/>
  <c r="Q29" i="20" s="1"/>
  <c r="Q31" i="20" s="1"/>
  <c r="BV160" i="11"/>
  <c r="T29" i="20" s="1"/>
  <c r="T31" i="20" s="1"/>
  <c r="BG40" i="11"/>
  <c r="J6" i="20" s="1"/>
  <c r="BD76" i="11"/>
  <c r="M34" i="20" s="1"/>
  <c r="BV184" i="11"/>
  <c r="V29" i="20" s="1"/>
  <c r="V31" i="20" s="1"/>
  <c r="BV28" i="11"/>
  <c r="I29" i="20" s="1"/>
  <c r="I31" i="20" s="1"/>
  <c r="BE196" i="11"/>
  <c r="BV136" i="11"/>
  <c r="R29" i="20" s="1"/>
  <c r="R31" i="20" s="1"/>
  <c r="BD268" i="11"/>
  <c r="AC34" i="20" s="1"/>
  <c r="BV112" i="11"/>
  <c r="P29" i="20" s="1"/>
  <c r="P31" i="20" s="1"/>
  <c r="BE124" i="11"/>
  <c r="BE16" i="11"/>
  <c r="BV88" i="11"/>
  <c r="N29" i="20" s="1"/>
  <c r="N31" i="20" s="1"/>
  <c r="BV100" i="11"/>
  <c r="O29" i="20" s="1"/>
  <c r="O31" i="20" s="1"/>
  <c r="BG16" i="11"/>
  <c r="H6" i="20" s="1"/>
  <c r="BD136" i="11"/>
  <c r="R34" i="20" s="1"/>
  <c r="BD148" i="11"/>
  <c r="S34" i="20" s="1"/>
  <c r="BD304" i="11"/>
  <c r="AF34" i="20" s="1"/>
  <c r="BD112" i="11"/>
  <c r="P34" i="20" s="1"/>
  <c r="BV64" i="11"/>
  <c r="L29" i="20" s="1"/>
  <c r="L31" i="20" s="1"/>
  <c r="BD184" i="11"/>
  <c r="V34" i="20" s="1"/>
  <c r="BD220" i="11"/>
  <c r="Y34" i="20" s="1"/>
  <c r="BE292" i="11"/>
  <c r="BD124" i="11"/>
  <c r="Q34" i="20" s="1"/>
  <c r="BD88" i="11"/>
  <c r="N34" i="20" s="1"/>
  <c r="BD64" i="11"/>
  <c r="L34" i="20" s="1"/>
  <c r="BD232" i="11"/>
  <c r="Z34" i="20" s="1"/>
  <c r="BV280" i="11"/>
  <c r="AD29" i="20" s="1"/>
  <c r="AD31" i="20" s="1"/>
  <c r="BE28" i="11"/>
  <c r="BE244" i="11"/>
  <c r="BE220" i="11"/>
  <c r="BG28" i="11"/>
  <c r="I6" i="20" s="1"/>
  <c r="BD280" i="11"/>
  <c r="AD34" i="20" s="1"/>
  <c r="BD292" i="11"/>
  <c r="AE34" i="20" s="1"/>
  <c r="BD100" i="11"/>
  <c r="O34" i="20" s="1"/>
  <c r="BD208" i="11"/>
  <c r="X34" i="20" s="1"/>
  <c r="BV172" i="11"/>
  <c r="U29" i="20" s="1"/>
  <c r="U31" i="20" s="1"/>
  <c r="BV196" i="11"/>
  <c r="W29" i="20" s="1"/>
  <c r="W31" i="20" s="1"/>
  <c r="BD28" i="11"/>
  <c r="I34" i="20" s="1"/>
  <c r="BD256" i="11"/>
  <c r="AB34" i="20" s="1"/>
  <c r="BD196" i="11"/>
  <c r="W34" i="20" s="1"/>
  <c r="BV244" i="11"/>
  <c r="AA29" i="20" s="1"/>
  <c r="AA31" i="20" s="1"/>
  <c r="BE148" i="11"/>
  <c r="BE112" i="11"/>
  <c r="BE100" i="11"/>
  <c r="BE304" i="11"/>
  <c r="BE268" i="11"/>
  <c r="BE208" i="11"/>
  <c r="BD172" i="11"/>
  <c r="U34" i="20" s="1"/>
  <c r="BD160" i="11"/>
  <c r="T34" i="20" s="1"/>
  <c r="BV232" i="11"/>
  <c r="Z29" i="20" s="1"/>
  <c r="Z31" i="20" s="1"/>
  <c r="BV268" i="11"/>
  <c r="AC29" i="20" s="1"/>
  <c r="AC31" i="20" s="1"/>
  <c r="BD244" i="11"/>
  <c r="AA34" i="20" s="1"/>
  <c r="BE256" i="11"/>
  <c r="BE136" i="11"/>
  <c r="BE280" i="11"/>
  <c r="BE160" i="11"/>
  <c r="BE88" i="11"/>
  <c r="BE172" i="11"/>
  <c r="BE184" i="11"/>
  <c r="BE232" i="11"/>
  <c r="BE76" i="11"/>
  <c r="BE64" i="11"/>
  <c r="BV16" i="11"/>
  <c r="H29" i="20" s="1"/>
  <c r="H31" i="20" s="1"/>
  <c r="S74" i="19"/>
  <c r="BV76" i="11"/>
  <c r="M29" i="20" s="1"/>
  <c r="M31" i="20" s="1"/>
  <c r="AH5" i="7"/>
  <c r="BU5" i="7" s="1"/>
  <c r="AD5" i="11" s="1"/>
  <c r="AK5" i="2"/>
  <c r="BA5" i="2" s="1"/>
  <c r="S158" i="19"/>
  <c r="S62" i="19"/>
  <c r="S98" i="19"/>
  <c r="S218" i="19"/>
  <c r="S86" i="19"/>
  <c r="S146" i="19"/>
  <c r="S110" i="19"/>
  <c r="S170" i="19"/>
  <c r="S206" i="19"/>
  <c r="S230" i="19"/>
  <c r="S134" i="19"/>
  <c r="S122" i="19"/>
  <c r="S26" i="19"/>
  <c r="S290" i="19"/>
  <c r="S266" i="19"/>
  <c r="S278" i="19"/>
  <c r="S242" i="19"/>
  <c r="S182" i="19"/>
  <c r="S194" i="19"/>
  <c r="S14" i="19"/>
  <c r="BU9" i="7"/>
  <c r="AD9" i="11" s="1"/>
  <c r="K38" i="19"/>
  <c r="K14" i="19"/>
  <c r="K26" i="19"/>
  <c r="AD7" i="2"/>
  <c r="P6" i="6"/>
  <c r="AD8" i="2"/>
  <c r="AD6" i="2"/>
  <c r="E3" i="9"/>
  <c r="J32" i="9" s="1"/>
  <c r="R4" i="11" s="1"/>
  <c r="BJ4" i="7"/>
  <c r="CB4" i="7" s="1"/>
  <c r="CC4" i="7" s="1"/>
  <c r="CK4" i="7" s="1"/>
  <c r="AO12" i="2"/>
  <c r="BC12" i="2" s="1"/>
  <c r="B159" i="3"/>
  <c r="D10" i="2"/>
  <c r="F10" i="2" s="1"/>
  <c r="B39" i="9"/>
  <c r="I12" i="20" l="1"/>
  <c r="H12" i="20"/>
  <c r="W10" i="11"/>
  <c r="U10" i="2"/>
  <c r="AO10" i="11" s="1"/>
  <c r="AD9" i="2"/>
  <c r="BD16" i="11"/>
  <c r="H34" i="20" s="1"/>
  <c r="O28" i="6"/>
  <c r="AW16" i="7"/>
  <c r="CS4" i="7"/>
  <c r="CU4" i="7" s="1"/>
  <c r="CY4" i="7" s="1"/>
  <c r="CZ4" i="7" s="1"/>
  <c r="BU10" i="7"/>
  <c r="AD10" i="11" s="1"/>
  <c r="E11" i="9"/>
  <c r="C33" i="9" s="1"/>
  <c r="E33" i="9" s="1"/>
  <c r="AO13" i="2"/>
  <c r="BC13" i="2" s="1"/>
  <c r="B160" i="3"/>
  <c r="B40" i="9"/>
  <c r="D11" i="2"/>
  <c r="F11" i="2" s="1"/>
  <c r="F33" i="9"/>
  <c r="AY5" i="11" s="1"/>
  <c r="W11" i="11" l="1"/>
  <c r="U11" i="2"/>
  <c r="AO11" i="11" s="1"/>
  <c r="AD10" i="2"/>
  <c r="G33" i="9"/>
  <c r="Q5" i="11" s="1"/>
  <c r="L14" i="19"/>
  <c r="CT16" i="7"/>
  <c r="BU11" i="7"/>
  <c r="AD11" i="11" s="1"/>
  <c r="CM4" i="7"/>
  <c r="H4" i="11" s="1"/>
  <c r="J4" i="11" s="1"/>
  <c r="CQ4" i="7"/>
  <c r="CN4" i="7"/>
  <c r="I4" i="11" s="1"/>
  <c r="D17" i="17"/>
  <c r="H33" i="9"/>
  <c r="BA5" i="11" s="1"/>
  <c r="AO14" i="2"/>
  <c r="BC14" i="2" s="1"/>
  <c r="B161" i="3"/>
  <c r="D12" i="2"/>
  <c r="F12" i="2" s="1"/>
  <c r="O33" i="9"/>
  <c r="BL5" i="7"/>
  <c r="B41" i="9"/>
  <c r="W12" i="11" l="1"/>
  <c r="U12" i="2"/>
  <c r="AO12" i="11" s="1"/>
  <c r="AD11" i="2"/>
  <c r="I33" i="9"/>
  <c r="CF5" i="7"/>
  <c r="CH5" i="7" s="1"/>
  <c r="CI5" i="7" s="1"/>
  <c r="CV5" i="7"/>
  <c r="CX5" i="7" s="1"/>
  <c r="F20" i="17"/>
  <c r="G20" i="17" s="1"/>
  <c r="P8" i="6" s="1"/>
  <c r="F21" i="17"/>
  <c r="G21" i="17" s="1"/>
  <c r="F22" i="17"/>
  <c r="G22" i="17" s="1"/>
  <c r="F23" i="17"/>
  <c r="G23" i="17" s="1"/>
  <c r="F24" i="17"/>
  <c r="G24" i="17" s="1"/>
  <c r="F25" i="17"/>
  <c r="BU12" i="7"/>
  <c r="AD12" i="11" s="1"/>
  <c r="CO4" i="7"/>
  <c r="K33" i="9"/>
  <c r="J33" i="9"/>
  <c r="AO15" i="2"/>
  <c r="BC15" i="2" s="1"/>
  <c r="B162" i="3"/>
  <c r="B42" i="9"/>
  <c r="D13" i="2"/>
  <c r="F13" i="2" s="1"/>
  <c r="W13" i="11" l="1"/>
  <c r="U13" i="2"/>
  <c r="AO13" i="11" s="1"/>
  <c r="M33" i="9"/>
  <c r="AR6" i="7" s="1"/>
  <c r="CA6" i="7" s="1"/>
  <c r="AD12" i="2"/>
  <c r="C34" i="9"/>
  <c r="E34" i="9" s="1"/>
  <c r="R5" i="11"/>
  <c r="F26" i="17"/>
  <c r="G25" i="17"/>
  <c r="G26" i="17" s="1"/>
  <c r="P7" i="6" s="1"/>
  <c r="P9" i="6" s="1"/>
  <c r="BU13" i="7"/>
  <c r="AD13" i="11" s="1"/>
  <c r="CG64" i="7"/>
  <c r="AU64" i="11" s="1"/>
  <c r="CG40" i="7"/>
  <c r="AU40" i="11" s="1"/>
  <c r="CG76" i="7"/>
  <c r="AU76" i="11" s="1"/>
  <c r="CG52" i="7"/>
  <c r="AU52" i="11" s="1"/>
  <c r="CG28" i="7"/>
  <c r="AU28" i="11" s="1"/>
  <c r="L33" i="9"/>
  <c r="BK5" i="7" s="1"/>
  <c r="CB5" i="7" s="1"/>
  <c r="F34" i="9"/>
  <c r="AY6" i="11" s="1"/>
  <c r="AO16" i="2"/>
  <c r="BC16" i="2" s="1"/>
  <c r="B163" i="3"/>
  <c r="B43" i="9"/>
  <c r="D14" i="2"/>
  <c r="F14" i="2" s="1"/>
  <c r="W14" i="11" l="1"/>
  <c r="U14" i="2"/>
  <c r="AO14" i="11" s="1"/>
  <c r="CW40" i="7"/>
  <c r="CD40" i="11"/>
  <c r="J47" i="20" s="1"/>
  <c r="AD13" i="2"/>
  <c r="CW28" i="7"/>
  <c r="CD28" i="11"/>
  <c r="I47" i="20" s="1"/>
  <c r="CW64" i="7"/>
  <c r="CD64" i="11"/>
  <c r="L47" i="20" s="1"/>
  <c r="CW52" i="7"/>
  <c r="CD52" i="11"/>
  <c r="K47" i="20" s="1"/>
  <c r="CW76" i="7"/>
  <c r="CD76" i="11"/>
  <c r="M47" i="20" s="1"/>
  <c r="G34" i="9"/>
  <c r="Q6" i="11" s="1"/>
  <c r="CS5" i="7"/>
  <c r="CU5" i="7" s="1"/>
  <c r="CY5" i="7" s="1"/>
  <c r="CZ5" i="7" s="1"/>
  <c r="CC5" i="7"/>
  <c r="CK5" i="7" s="1"/>
  <c r="BU14" i="7"/>
  <c r="AD14" i="11" s="1"/>
  <c r="CG16" i="7"/>
  <c r="AU16" i="11" s="1"/>
  <c r="O34" i="9"/>
  <c r="H34" i="9"/>
  <c r="BA6" i="11" s="1"/>
  <c r="BL6" i="7"/>
  <c r="AO17" i="2"/>
  <c r="BC17" i="2" s="1"/>
  <c r="B164" i="3"/>
  <c r="D15" i="2"/>
  <c r="F15" i="2" s="1"/>
  <c r="B44" i="9"/>
  <c r="W15" i="11" l="1"/>
  <c r="U15" i="2"/>
  <c r="AO15" i="11" s="1"/>
  <c r="AD14" i="2"/>
  <c r="CW16" i="7"/>
  <c r="CD16" i="11"/>
  <c r="H47" i="20" s="1"/>
  <c r="K34" i="9"/>
  <c r="M34" i="9" s="1"/>
  <c r="AR7" i="7" s="1"/>
  <c r="CA7" i="7" s="1"/>
  <c r="CF6" i="7"/>
  <c r="CH6" i="7" s="1"/>
  <c r="CI6" i="7" s="1"/>
  <c r="CQ5" i="7"/>
  <c r="CN5" i="7"/>
  <c r="CO5" i="7" s="1"/>
  <c r="CM5" i="7"/>
  <c r="CV6" i="7"/>
  <c r="CX6" i="7" s="1"/>
  <c r="BU15" i="7"/>
  <c r="AD15" i="11" s="1"/>
  <c r="J34" i="9"/>
  <c r="I34" i="9"/>
  <c r="AO18" i="2"/>
  <c r="BC18" i="2" s="1"/>
  <c r="B165" i="3"/>
  <c r="B45" i="9"/>
  <c r="D16" i="2"/>
  <c r="V21" i="5" s="1"/>
  <c r="L34" i="9" l="1"/>
  <c r="BK6" i="7" s="1"/>
  <c r="CB6" i="7" s="1"/>
  <c r="AD15" i="2"/>
  <c r="J5" i="11"/>
  <c r="F16" i="2"/>
  <c r="BU16" i="7" s="1"/>
  <c r="F35" i="9"/>
  <c r="AY7" i="11" s="1"/>
  <c r="R6" i="11"/>
  <c r="C35" i="9"/>
  <c r="E35" i="9" s="1"/>
  <c r="AO19" i="2"/>
  <c r="BC19" i="2" s="1"/>
  <c r="B166" i="3"/>
  <c r="D17" i="2"/>
  <c r="F17" i="2" s="1"/>
  <c r="B46" i="9"/>
  <c r="W16" i="11" l="1"/>
  <c r="BF16" i="11" s="1"/>
  <c r="H35" i="20" s="1"/>
  <c r="U16" i="2"/>
  <c r="AO16" i="11" s="1"/>
  <c r="BX16" i="11" s="1"/>
  <c r="H36" i="20" s="1"/>
  <c r="H40" i="20" s="1"/>
  <c r="H41" i="20" s="1"/>
  <c r="W17" i="11"/>
  <c r="U17" i="2"/>
  <c r="AO17" i="11" s="1"/>
  <c r="O35" i="9"/>
  <c r="AD16" i="11"/>
  <c r="BM16" i="11" s="1"/>
  <c r="H14" i="20" s="1"/>
  <c r="H15" i="20" s="1"/>
  <c r="H19" i="20" s="1"/>
  <c r="H67" i="20" s="1"/>
  <c r="BL7" i="7"/>
  <c r="CF7" i="7" s="1"/>
  <c r="CH7" i="7" s="1"/>
  <c r="CI7" i="7" s="1"/>
  <c r="H35" i="9"/>
  <c r="BA7" i="11" s="1"/>
  <c r="H5" i="11"/>
  <c r="I5" i="11"/>
  <c r="CC6" i="7"/>
  <c r="CS6" i="7"/>
  <c r="CU6" i="7" s="1"/>
  <c r="CY6" i="7" s="1"/>
  <c r="CZ6" i="7" s="1"/>
  <c r="G35" i="9"/>
  <c r="Q7" i="11" s="1"/>
  <c r="AD16" i="2"/>
  <c r="BU17" i="7"/>
  <c r="AD17" i="11" s="1"/>
  <c r="AO20" i="2"/>
  <c r="BC20" i="2" s="1"/>
  <c r="B167" i="3"/>
  <c r="B47" i="9"/>
  <c r="D18" i="2"/>
  <c r="F18" i="2" s="1"/>
  <c r="B14" i="19" l="1"/>
  <c r="W18" i="11"/>
  <c r="U18" i="2"/>
  <c r="AO18" i="11" s="1"/>
  <c r="J35" i="9"/>
  <c r="R7" i="11" s="1"/>
  <c r="H42" i="20"/>
  <c r="CV7" i="7"/>
  <c r="CX7" i="7" s="1"/>
  <c r="K35" i="9"/>
  <c r="M35" i="9" s="1"/>
  <c r="AR8" i="7" s="1"/>
  <c r="CA8" i="7" s="1"/>
  <c r="I35" i="9"/>
  <c r="CK6" i="7"/>
  <c r="CM6" i="7" s="1"/>
  <c r="H6" i="11" s="1"/>
  <c r="AD17" i="2"/>
  <c r="BU18" i="7"/>
  <c r="AD18" i="11" s="1"/>
  <c r="AO21" i="2"/>
  <c r="BC21" i="2" s="1"/>
  <c r="B168" i="3"/>
  <c r="B48" i="9"/>
  <c r="D19" i="2"/>
  <c r="F19" i="2" s="1"/>
  <c r="F36" i="9" l="1"/>
  <c r="AY8" i="11" s="1"/>
  <c r="C36" i="9"/>
  <c r="E36" i="9" s="1"/>
  <c r="H36" i="9" s="1"/>
  <c r="BA8" i="11" s="1"/>
  <c r="W19" i="11"/>
  <c r="U19" i="2"/>
  <c r="AO19" i="11" s="1"/>
  <c r="L35" i="9"/>
  <c r="BK7" i="7" s="1"/>
  <c r="CB7" i="7" s="1"/>
  <c r="AD18" i="2"/>
  <c r="CN6" i="7"/>
  <c r="CO6" i="7" s="1"/>
  <c r="J6" i="11" s="1"/>
  <c r="CQ6" i="7"/>
  <c r="BU19" i="7"/>
  <c r="AD19" i="11" s="1"/>
  <c r="G36" i="9"/>
  <c r="Q8" i="11" s="1"/>
  <c r="AO22" i="2"/>
  <c r="BC22" i="2" s="1"/>
  <c r="B169" i="3"/>
  <c r="D20" i="2"/>
  <c r="F20" i="2" s="1"/>
  <c r="B49" i="9"/>
  <c r="O36" i="9" l="1"/>
  <c r="BL8" i="7"/>
  <c r="CF8" i="7" s="1"/>
  <c r="CH8" i="7" s="1"/>
  <c r="CI8" i="7" s="1"/>
  <c r="W20" i="11"/>
  <c r="U20" i="2"/>
  <c r="AO20" i="11" s="1"/>
  <c r="K36" i="9"/>
  <c r="M36" i="9" s="1"/>
  <c r="AR9" i="7" s="1"/>
  <c r="CA9" i="7" s="1"/>
  <c r="I6" i="11"/>
  <c r="CC7" i="7"/>
  <c r="CS7" i="7"/>
  <c r="CU7" i="7" s="1"/>
  <c r="CY7" i="7" s="1"/>
  <c r="CZ7" i="7" s="1"/>
  <c r="AD19" i="2"/>
  <c r="BU20" i="7"/>
  <c r="AD20" i="11" s="1"/>
  <c r="I36" i="9"/>
  <c r="J36" i="9"/>
  <c r="AO23" i="2"/>
  <c r="BC23" i="2" s="1"/>
  <c r="B170" i="3"/>
  <c r="D21" i="2"/>
  <c r="F21" i="2" s="1"/>
  <c r="B50" i="9"/>
  <c r="CV8" i="7" l="1"/>
  <c r="CX8" i="7" s="1"/>
  <c r="W21" i="11"/>
  <c r="U21" i="2"/>
  <c r="AO21" i="11" s="1"/>
  <c r="L36" i="9"/>
  <c r="BK8" i="7" s="1"/>
  <c r="CB8" i="7" s="1"/>
  <c r="AD20" i="2"/>
  <c r="CK7" i="7"/>
  <c r="CM7" i="7" s="1"/>
  <c r="H7" i="11" s="1"/>
  <c r="F37" i="9"/>
  <c r="AY9" i="11" s="1"/>
  <c r="R8" i="11"/>
  <c r="BU21" i="7"/>
  <c r="AD21" i="11" s="1"/>
  <c r="C37" i="9"/>
  <c r="E37" i="9" s="1"/>
  <c r="AO24" i="2"/>
  <c r="BC24" i="2" s="1"/>
  <c r="B171" i="3"/>
  <c r="B51" i="9"/>
  <c r="D22" i="2"/>
  <c r="F22" i="2" s="1"/>
  <c r="W22" i="11" l="1"/>
  <c r="U22" i="2"/>
  <c r="AO22" i="11" s="1"/>
  <c r="O37" i="9"/>
  <c r="BL9" i="7"/>
  <c r="CV9" i="7" s="1"/>
  <c r="CX9" i="7" s="1"/>
  <c r="AD21" i="2"/>
  <c r="G37" i="9"/>
  <c r="Q9" i="11" s="1"/>
  <c r="CN7" i="7"/>
  <c r="CO7" i="7" s="1"/>
  <c r="J7" i="11" s="1"/>
  <c r="CQ7" i="7"/>
  <c r="CC8" i="7"/>
  <c r="CS8" i="7"/>
  <c r="CU8" i="7" s="1"/>
  <c r="CY8" i="7" s="1"/>
  <c r="CZ8" i="7" s="1"/>
  <c r="H37" i="9"/>
  <c r="BA9" i="11" s="1"/>
  <c r="BU22" i="7"/>
  <c r="AD22" i="11" s="1"/>
  <c r="AO25" i="2"/>
  <c r="BC25" i="2" s="1"/>
  <c r="B172" i="3"/>
  <c r="D23" i="2"/>
  <c r="F23" i="2" s="1"/>
  <c r="B52" i="9"/>
  <c r="W23" i="11" l="1"/>
  <c r="U23" i="2"/>
  <c r="AO23" i="11" s="1"/>
  <c r="CF9" i="7"/>
  <c r="CH9" i="7" s="1"/>
  <c r="CI9" i="7" s="1"/>
  <c r="AD22" i="2"/>
  <c r="K37" i="9"/>
  <c r="L37" i="9" s="1"/>
  <c r="BK9" i="7" s="1"/>
  <c r="CB9" i="7" s="1"/>
  <c r="CC9" i="7" s="1"/>
  <c r="I37" i="9"/>
  <c r="I7" i="11"/>
  <c r="CK8" i="7"/>
  <c r="CN8" i="7" s="1"/>
  <c r="CO8" i="7" s="1"/>
  <c r="J8" i="11" s="1"/>
  <c r="J37" i="9"/>
  <c r="F38" i="9" s="1"/>
  <c r="AY10" i="11" s="1"/>
  <c r="BU23" i="7"/>
  <c r="AD23" i="11" s="1"/>
  <c r="AO26" i="2"/>
  <c r="BC26" i="2" s="1"/>
  <c r="B173" i="3"/>
  <c r="B53" i="9"/>
  <c r="D24" i="2"/>
  <c r="F24" i="2" s="1"/>
  <c r="W24" i="11" l="1"/>
  <c r="U24" i="2"/>
  <c r="AO24" i="11" s="1"/>
  <c r="CK9" i="7"/>
  <c r="CQ9" i="7" s="1"/>
  <c r="AD23" i="2"/>
  <c r="M37" i="9"/>
  <c r="AR10" i="7" s="1"/>
  <c r="CA10" i="7" s="1"/>
  <c r="O38" i="9"/>
  <c r="BL10" i="7"/>
  <c r="CF10" i="7" s="1"/>
  <c r="CH10" i="7" s="1"/>
  <c r="CI10" i="7" s="1"/>
  <c r="CS9" i="7"/>
  <c r="CU9" i="7" s="1"/>
  <c r="CY9" i="7" s="1"/>
  <c r="CZ9" i="7" s="1"/>
  <c r="C38" i="9"/>
  <c r="E38" i="9" s="1"/>
  <c r="H38" i="9" s="1"/>
  <c r="BA10" i="11" s="1"/>
  <c r="G38" i="9"/>
  <c r="Q10" i="11" s="1"/>
  <c r="R9" i="11"/>
  <c r="I8" i="11"/>
  <c r="CM8" i="7"/>
  <c r="H8" i="11" s="1"/>
  <c r="CQ8" i="7"/>
  <c r="BU24" i="7"/>
  <c r="AD24" i="11" s="1"/>
  <c r="AO27" i="2"/>
  <c r="BC27" i="2" s="1"/>
  <c r="B174" i="3"/>
  <c r="D25" i="2"/>
  <c r="F25" i="2" s="1"/>
  <c r="B54" i="9"/>
  <c r="W25" i="11" l="1"/>
  <c r="U25" i="2"/>
  <c r="AO25" i="11" s="1"/>
  <c r="CN9" i="7"/>
  <c r="CO9" i="7" s="1"/>
  <c r="J9" i="11" s="1"/>
  <c r="J38" i="9"/>
  <c r="F39" i="9" s="1"/>
  <c r="AY11" i="11" s="1"/>
  <c r="AD24" i="2"/>
  <c r="CV10" i="7"/>
  <c r="CX10" i="7" s="1"/>
  <c r="I38" i="9"/>
  <c r="K38" i="9"/>
  <c r="CM9" i="7"/>
  <c r="H9" i="11" s="1"/>
  <c r="BU25" i="7"/>
  <c r="AD25" i="11" s="1"/>
  <c r="AO28" i="2"/>
  <c r="BC28" i="2" s="1"/>
  <c r="B175" i="3"/>
  <c r="B55" i="9"/>
  <c r="D26" i="2"/>
  <c r="F26" i="2" s="1"/>
  <c r="C39" i="9" l="1"/>
  <c r="E39" i="9" s="1"/>
  <c r="I9" i="11"/>
  <c r="R10" i="11"/>
  <c r="W26" i="11"/>
  <c r="U26" i="2"/>
  <c r="AO26" i="11" s="1"/>
  <c r="AD25" i="2"/>
  <c r="BL11" i="7"/>
  <c r="CV11" i="7" s="1"/>
  <c r="CX11" i="7" s="1"/>
  <c r="O39" i="9"/>
  <c r="H39" i="9"/>
  <c r="BA11" i="11" s="1"/>
  <c r="L38" i="9"/>
  <c r="BK10" i="7" s="1"/>
  <c r="CB10" i="7" s="1"/>
  <c r="M38" i="9"/>
  <c r="AR11" i="7" s="1"/>
  <c r="CA11" i="7" s="1"/>
  <c r="G39" i="9"/>
  <c r="Q11" i="11" s="1"/>
  <c r="BU26" i="7"/>
  <c r="AD26" i="11" s="1"/>
  <c r="AO29" i="2"/>
  <c r="BC29" i="2" s="1"/>
  <c r="B176" i="3"/>
  <c r="D27" i="2"/>
  <c r="F27" i="2" s="1"/>
  <c r="B56" i="9"/>
  <c r="I39" i="9" l="1"/>
  <c r="CF11" i="7"/>
  <c r="CH11" i="7" s="1"/>
  <c r="CI11" i="7" s="1"/>
  <c r="W27" i="11"/>
  <c r="U27" i="2"/>
  <c r="AO27" i="11" s="1"/>
  <c r="K39" i="9"/>
  <c r="M39" i="9" s="1"/>
  <c r="AR12" i="7" s="1"/>
  <c r="CA12" i="7" s="1"/>
  <c r="J39" i="9"/>
  <c r="R11" i="11" s="1"/>
  <c r="AD26" i="2"/>
  <c r="CC10" i="7"/>
  <c r="CK10" i="7" s="1"/>
  <c r="CS10" i="7"/>
  <c r="CU10" i="7" s="1"/>
  <c r="CY10" i="7" s="1"/>
  <c r="CZ10" i="7" s="1"/>
  <c r="BU27" i="7"/>
  <c r="AD27" i="11" s="1"/>
  <c r="AO30" i="2"/>
  <c r="BC30" i="2" s="1"/>
  <c r="B177" i="3"/>
  <c r="D28" i="2"/>
  <c r="B57" i="9"/>
  <c r="F40" i="9" l="1"/>
  <c r="AY12" i="11" s="1"/>
  <c r="L39" i="9"/>
  <c r="BK11" i="7" s="1"/>
  <c r="CB11" i="7" s="1"/>
  <c r="CS11" i="7" s="1"/>
  <c r="CU11" i="7" s="1"/>
  <c r="CY11" i="7" s="1"/>
  <c r="CZ11" i="7" s="1"/>
  <c r="C40" i="9"/>
  <c r="E40" i="9" s="1"/>
  <c r="H40" i="9" s="1"/>
  <c r="BA12" i="11" s="1"/>
  <c r="AD27" i="2"/>
  <c r="G40" i="9"/>
  <c r="Q12" i="11" s="1"/>
  <c r="CN10" i="7"/>
  <c r="CQ10" i="7"/>
  <c r="CM10" i="7"/>
  <c r="H10" i="11" s="1"/>
  <c r="V22" i="5"/>
  <c r="F28" i="2"/>
  <c r="AO31" i="2"/>
  <c r="BC31" i="2" s="1"/>
  <c r="B178" i="3"/>
  <c r="B58" i="9"/>
  <c r="D29" i="2"/>
  <c r="F29" i="2" s="1"/>
  <c r="BL12" i="7" l="1"/>
  <c r="CV12" i="7" s="1"/>
  <c r="CX12" i="7" s="1"/>
  <c r="O40" i="9"/>
  <c r="CC11" i="7"/>
  <c r="CK11" i="7" s="1"/>
  <c r="CN11" i="7" s="1"/>
  <c r="I11" i="11" s="1"/>
  <c r="W28" i="11"/>
  <c r="BF28" i="11" s="1"/>
  <c r="I35" i="20" s="1"/>
  <c r="U28" i="2"/>
  <c r="AO28" i="11" s="1"/>
  <c r="W29" i="11"/>
  <c r="U29" i="2"/>
  <c r="AO29" i="11" s="1"/>
  <c r="K40" i="9"/>
  <c r="J40" i="9"/>
  <c r="C41" i="9" s="1"/>
  <c r="E41" i="9" s="1"/>
  <c r="I10" i="11"/>
  <c r="CO10" i="7"/>
  <c r="J10" i="11" s="1"/>
  <c r="I40" i="9"/>
  <c r="BU29" i="7"/>
  <c r="AD29" i="11" s="1"/>
  <c r="BU28" i="7"/>
  <c r="AO32" i="2"/>
  <c r="BC32" i="2" s="1"/>
  <c r="B179" i="3"/>
  <c r="D30" i="2"/>
  <c r="F30" i="2" s="1"/>
  <c r="B59" i="9"/>
  <c r="CF12" i="7" l="1"/>
  <c r="CH12" i="7" s="1"/>
  <c r="CI12" i="7" s="1"/>
  <c r="CM11" i="7"/>
  <c r="H11" i="11" s="1"/>
  <c r="CQ11" i="7"/>
  <c r="W30" i="11"/>
  <c r="U30" i="2"/>
  <c r="AO30" i="11" s="1"/>
  <c r="AD28" i="11"/>
  <c r="BM28" i="11" s="1"/>
  <c r="I14" i="20" s="1"/>
  <c r="I15" i="20" s="1"/>
  <c r="I19" i="20" s="1"/>
  <c r="I67" i="20" s="1"/>
  <c r="B26" i="19"/>
  <c r="BX28" i="11"/>
  <c r="I36" i="20" s="1"/>
  <c r="I40" i="20" s="1"/>
  <c r="I41" i="20" s="1"/>
  <c r="R12" i="11"/>
  <c r="F41" i="9"/>
  <c r="AY13" i="11" s="1"/>
  <c r="CO11" i="7"/>
  <c r="J11" i="11" s="1"/>
  <c r="M40" i="9"/>
  <c r="AR13" i="7" s="1"/>
  <c r="CA13" i="7" s="1"/>
  <c r="L40" i="9"/>
  <c r="BK12" i="7" s="1"/>
  <c r="CB12" i="7" s="1"/>
  <c r="AD29" i="2"/>
  <c r="AD28" i="2"/>
  <c r="N26" i="19" s="1"/>
  <c r="BU30" i="7"/>
  <c r="AD30" i="11" s="1"/>
  <c r="AO33" i="2"/>
  <c r="BC33" i="2" s="1"/>
  <c r="B180" i="3"/>
  <c r="D31" i="2"/>
  <c r="F31" i="2" s="1"/>
  <c r="B60" i="9"/>
  <c r="H41" i="9" l="1"/>
  <c r="BA13" i="11" s="1"/>
  <c r="W31" i="11"/>
  <c r="U31" i="2"/>
  <c r="AO31" i="11" s="1"/>
  <c r="I42" i="20"/>
  <c r="BL13" i="7"/>
  <c r="CV13" i="7" s="1"/>
  <c r="CX13" i="7" s="1"/>
  <c r="O41" i="9"/>
  <c r="AD30" i="2"/>
  <c r="G41" i="9"/>
  <c r="Q13" i="11" s="1"/>
  <c r="CC12" i="7"/>
  <c r="CK12" i="7" s="1"/>
  <c r="CQ12" i="7" s="1"/>
  <c r="CS12" i="7"/>
  <c r="CU12" i="7" s="1"/>
  <c r="CY12" i="7" s="1"/>
  <c r="CZ12" i="7" s="1"/>
  <c r="BU31" i="7"/>
  <c r="AD31" i="11" s="1"/>
  <c r="J41" i="9"/>
  <c r="R13" i="11" s="1"/>
  <c r="K41" i="9"/>
  <c r="I41" i="9"/>
  <c r="AO34" i="2"/>
  <c r="BC34" i="2" s="1"/>
  <c r="B181" i="3"/>
  <c r="D32" i="2"/>
  <c r="F32" i="2" s="1"/>
  <c r="B61" i="9"/>
  <c r="W32" i="11" l="1"/>
  <c r="U32" i="2"/>
  <c r="AO32" i="11" s="1"/>
  <c r="CF13" i="7"/>
  <c r="CH13" i="7" s="1"/>
  <c r="CI13" i="7" s="1"/>
  <c r="AD31" i="2"/>
  <c r="CM12" i="7"/>
  <c r="H12" i="11" s="1"/>
  <c r="CN12" i="7"/>
  <c r="CO12" i="7" s="1"/>
  <c r="J12" i="11" s="1"/>
  <c r="BU32" i="7"/>
  <c r="AD32" i="11" s="1"/>
  <c r="L41" i="9"/>
  <c r="BK13" i="7" s="1"/>
  <c r="CB13" i="7" s="1"/>
  <c r="M41" i="9"/>
  <c r="AR14" i="7" s="1"/>
  <c r="CA14" i="7" s="1"/>
  <c r="C42" i="9"/>
  <c r="E42" i="9" s="1"/>
  <c r="F42" i="9"/>
  <c r="AY14" i="11" s="1"/>
  <c r="AO35" i="2"/>
  <c r="BC35" i="2" s="1"/>
  <c r="B182" i="3"/>
  <c r="D33" i="2"/>
  <c r="F33" i="2" s="1"/>
  <c r="B62" i="9"/>
  <c r="W33" i="11" l="1"/>
  <c r="U33" i="2"/>
  <c r="AO33" i="11" s="1"/>
  <c r="AD32" i="2"/>
  <c r="I12" i="11"/>
  <c r="CC13" i="7"/>
  <c r="CK13" i="7" s="1"/>
  <c r="CS13" i="7"/>
  <c r="CU13" i="7" s="1"/>
  <c r="CY13" i="7" s="1"/>
  <c r="CZ13" i="7" s="1"/>
  <c r="BU33" i="7"/>
  <c r="AD33" i="11" s="1"/>
  <c r="H42" i="9"/>
  <c r="BA14" i="11" s="1"/>
  <c r="G42" i="9"/>
  <c r="Q14" i="11" s="1"/>
  <c r="BL14" i="7"/>
  <c r="O42" i="9"/>
  <c r="AO36" i="2"/>
  <c r="BC36" i="2" s="1"/>
  <c r="B183" i="3"/>
  <c r="B63" i="9"/>
  <c r="D34" i="2"/>
  <c r="F34" i="2" s="1"/>
  <c r="W34" i="11" l="1"/>
  <c r="AD33" i="2"/>
  <c r="CF14" i="7"/>
  <c r="CH14" i="7" s="1"/>
  <c r="CI14" i="7" s="1"/>
  <c r="K42" i="9"/>
  <c r="L42" i="9" s="1"/>
  <c r="BK14" i="7" s="1"/>
  <c r="CB14" i="7" s="1"/>
  <c r="CV14" i="7"/>
  <c r="CX14" i="7" s="1"/>
  <c r="CM13" i="7"/>
  <c r="H13" i="11" s="1"/>
  <c r="CN13" i="7"/>
  <c r="CO13" i="7" s="1"/>
  <c r="J13" i="11" s="1"/>
  <c r="CQ13" i="7"/>
  <c r="I42" i="9"/>
  <c r="J42" i="9"/>
  <c r="AO37" i="2"/>
  <c r="BC37" i="2" s="1"/>
  <c r="B184" i="3"/>
  <c r="D35" i="2"/>
  <c r="F35" i="2" s="1"/>
  <c r="B64" i="9"/>
  <c r="W35" i="11" l="1"/>
  <c r="U35" i="2"/>
  <c r="AO35" i="11" s="1"/>
  <c r="M42" i="9"/>
  <c r="AR15" i="7" s="1"/>
  <c r="CA15" i="7" s="1"/>
  <c r="I13" i="11"/>
  <c r="CC14" i="7"/>
  <c r="CK14" i="7" s="1"/>
  <c r="CS14" i="7"/>
  <c r="CU14" i="7" s="1"/>
  <c r="CY14" i="7" s="1"/>
  <c r="CZ14" i="7" s="1"/>
  <c r="F43" i="9"/>
  <c r="AY15" i="11" s="1"/>
  <c r="R14" i="11"/>
  <c r="BU35" i="7"/>
  <c r="AD35" i="11" s="1"/>
  <c r="C43" i="9"/>
  <c r="E43" i="9" s="1"/>
  <c r="AO38" i="2"/>
  <c r="BC38" i="2" s="1"/>
  <c r="B185" i="3"/>
  <c r="B65" i="9"/>
  <c r="D36" i="2"/>
  <c r="F36" i="2" s="1"/>
  <c r="H43" i="9" l="1"/>
  <c r="BA15" i="11" s="1"/>
  <c r="W36" i="11"/>
  <c r="U36" i="2"/>
  <c r="AO36" i="11" s="1"/>
  <c r="AD35" i="2"/>
  <c r="G43" i="9"/>
  <c r="Q15" i="11" s="1"/>
  <c r="O43" i="9"/>
  <c r="BL15" i="7"/>
  <c r="CV15" i="7" s="1"/>
  <c r="CX15" i="7" s="1"/>
  <c r="BU36" i="7"/>
  <c r="AD36" i="11" s="1"/>
  <c r="CQ14" i="7"/>
  <c r="CM14" i="7"/>
  <c r="H14" i="11" s="1"/>
  <c r="CN14" i="7"/>
  <c r="CO14" i="7" s="1"/>
  <c r="J14" i="11" s="1"/>
  <c r="I43" i="9"/>
  <c r="K43" i="9"/>
  <c r="M43" i="9" s="1"/>
  <c r="AR16" i="7" s="1"/>
  <c r="CA16" i="7" s="1"/>
  <c r="AO39" i="2"/>
  <c r="BC39" i="2" s="1"/>
  <c r="B186" i="3"/>
  <c r="D37" i="2"/>
  <c r="F37" i="2" s="1"/>
  <c r="B66" i="9"/>
  <c r="J43" i="9" l="1"/>
  <c r="R15" i="11" s="1"/>
  <c r="W37" i="11"/>
  <c r="U37" i="2"/>
  <c r="AO37" i="11" s="1"/>
  <c r="AD36" i="2"/>
  <c r="CF15" i="7"/>
  <c r="CH15" i="7" s="1"/>
  <c r="CI15" i="7" s="1"/>
  <c r="BU37" i="7"/>
  <c r="AD37" i="11" s="1"/>
  <c r="I14" i="11"/>
  <c r="L43" i="9"/>
  <c r="BK15" i="7" s="1"/>
  <c r="CB15" i="7" s="1"/>
  <c r="AO40" i="2"/>
  <c r="BC40" i="2" s="1"/>
  <c r="B187" i="3"/>
  <c r="B67" i="9"/>
  <c r="D38" i="2"/>
  <c r="F38" i="2" s="1"/>
  <c r="C44" i="9" l="1"/>
  <c r="E44" i="9" s="1"/>
  <c r="F44" i="9"/>
  <c r="BL16" i="7" s="1"/>
  <c r="CF16" i="7" s="1"/>
  <c r="CH16" i="7" s="1"/>
  <c r="CI16" i="7" s="1"/>
  <c r="G44" i="9"/>
  <c r="Q16" i="11" s="1"/>
  <c r="W38" i="11"/>
  <c r="U38" i="2"/>
  <c r="AO38" i="11" s="1"/>
  <c r="AD37" i="2"/>
  <c r="CC15" i="7"/>
  <c r="CS15" i="7"/>
  <c r="CU15" i="7" s="1"/>
  <c r="CY15" i="7" s="1"/>
  <c r="CZ15" i="7" s="1"/>
  <c r="BU38" i="7"/>
  <c r="AD38" i="11" s="1"/>
  <c r="AO41" i="2"/>
  <c r="BC41" i="2" s="1"/>
  <c r="B188" i="3"/>
  <c r="B68" i="9"/>
  <c r="D39" i="2"/>
  <c r="F39" i="2" s="1"/>
  <c r="H44" i="9" l="1"/>
  <c r="J44" i="9" s="1"/>
  <c r="R16" i="11" s="1"/>
  <c r="AY16" i="11"/>
  <c r="CH16" i="11" s="1"/>
  <c r="H56" i="20" s="1"/>
  <c r="O44" i="9"/>
  <c r="CV16" i="7"/>
  <c r="CX16" i="7" s="1"/>
  <c r="W39" i="11"/>
  <c r="U39" i="2"/>
  <c r="AO39" i="11" s="1"/>
  <c r="AD38" i="2"/>
  <c r="CK15" i="7"/>
  <c r="CN15" i="7" s="1"/>
  <c r="CO15" i="7" s="1"/>
  <c r="J15" i="11" s="1"/>
  <c r="BU39" i="7"/>
  <c r="AD39" i="11" s="1"/>
  <c r="AO42" i="2"/>
  <c r="BC42" i="2" s="1"/>
  <c r="B189" i="3"/>
  <c r="D40" i="2"/>
  <c r="V23" i="5" s="1"/>
  <c r="B69" i="9"/>
  <c r="K44" i="9" l="1"/>
  <c r="L44" i="9" s="1"/>
  <c r="BK16" i="7" s="1"/>
  <c r="CB16" i="7" s="1"/>
  <c r="BA16" i="11"/>
  <c r="CJ16" i="11" s="1"/>
  <c r="H76" i="20" s="1"/>
  <c r="I44" i="9"/>
  <c r="F45" i="9"/>
  <c r="AY17" i="11" s="1"/>
  <c r="C45" i="9"/>
  <c r="E45" i="9" s="1"/>
  <c r="AD39" i="2"/>
  <c r="I15" i="11"/>
  <c r="CM15" i="7"/>
  <c r="H15" i="11" s="1"/>
  <c r="CQ15" i="7"/>
  <c r="F40" i="2"/>
  <c r="U40" i="2" s="1"/>
  <c r="W23" i="5"/>
  <c r="H45" i="9"/>
  <c r="BA17" i="11" s="1"/>
  <c r="AO43" i="2"/>
  <c r="BC43" i="2" s="1"/>
  <c r="B190" i="3"/>
  <c r="D41" i="2"/>
  <c r="F41" i="2" s="1"/>
  <c r="B70" i="9"/>
  <c r="M44" i="9" l="1"/>
  <c r="AR17" i="7" s="1"/>
  <c r="CA17" i="7" s="1"/>
  <c r="G45" i="9"/>
  <c r="Q17" i="11" s="1"/>
  <c r="BL17" i="7"/>
  <c r="CV17" i="7" s="1"/>
  <c r="CX17" i="7" s="1"/>
  <c r="O45" i="9"/>
  <c r="W41" i="11"/>
  <c r="U41" i="2"/>
  <c r="AO41" i="11" s="1"/>
  <c r="J45" i="9"/>
  <c r="R17" i="11" s="1"/>
  <c r="BU40" i="7"/>
  <c r="AD40" i="11" s="1"/>
  <c r="W40" i="11"/>
  <c r="BF40" i="11" s="1"/>
  <c r="J35" i="20" s="1"/>
  <c r="CC16" i="7"/>
  <c r="CS16" i="7"/>
  <c r="CU16" i="7" s="1"/>
  <c r="CY16" i="7" s="1"/>
  <c r="CZ16" i="7" s="1"/>
  <c r="AO40" i="11"/>
  <c r="BU41" i="7"/>
  <c r="AD41" i="11" s="1"/>
  <c r="I45" i="9"/>
  <c r="K45" i="9"/>
  <c r="M45" i="9" s="1"/>
  <c r="AR18" i="7" s="1"/>
  <c r="CA18" i="7" s="1"/>
  <c r="AO44" i="2"/>
  <c r="BC44" i="2" s="1"/>
  <c r="B191" i="3"/>
  <c r="B71" i="9"/>
  <c r="D42" i="2"/>
  <c r="F42" i="2" s="1"/>
  <c r="CF17" i="7" l="1"/>
  <c r="CH17" i="7" s="1"/>
  <c r="CI17" i="7" s="1"/>
  <c r="W42" i="11"/>
  <c r="U42" i="2"/>
  <c r="AO42" i="11" s="1"/>
  <c r="C46" i="9"/>
  <c r="E46" i="9" s="1"/>
  <c r="F46" i="9"/>
  <c r="AY18" i="11" s="1"/>
  <c r="CK16" i="7"/>
  <c r="CM16" i="7" s="1"/>
  <c r="H16" i="11" s="1"/>
  <c r="AD41" i="2"/>
  <c r="AD40" i="2"/>
  <c r="BU42" i="7"/>
  <c r="AD42" i="11" s="1"/>
  <c r="L45" i="9"/>
  <c r="BK17" i="7" s="1"/>
  <c r="CB17" i="7" s="1"/>
  <c r="AO45" i="2"/>
  <c r="BC45" i="2" s="1"/>
  <c r="B192" i="3"/>
  <c r="B72" i="9"/>
  <c r="D43" i="2"/>
  <c r="F43" i="2" s="1"/>
  <c r="G46" i="9" l="1"/>
  <c r="Q18" i="11" s="1"/>
  <c r="H46" i="9"/>
  <c r="BA18" i="11" s="1"/>
  <c r="BL18" i="7"/>
  <c r="CV18" i="7" s="1"/>
  <c r="CX18" i="7" s="1"/>
  <c r="O46" i="9"/>
  <c r="W43" i="11"/>
  <c r="U43" i="2"/>
  <c r="AO43" i="11" s="1"/>
  <c r="AD42" i="2"/>
  <c r="CN16" i="7"/>
  <c r="CO16" i="7" s="1"/>
  <c r="J16" i="11" s="1"/>
  <c r="CQ16" i="7"/>
  <c r="BU43" i="7"/>
  <c r="AD43" i="11" s="1"/>
  <c r="I46" i="9"/>
  <c r="AO46" i="2"/>
  <c r="BC46" i="2" s="1"/>
  <c r="B193" i="3"/>
  <c r="D44" i="2"/>
  <c r="F44" i="2" s="1"/>
  <c r="B73" i="9"/>
  <c r="K46" i="9" l="1"/>
  <c r="L46" i="9" s="1"/>
  <c r="BK18" i="7" s="1"/>
  <c r="CB18" i="7" s="1"/>
  <c r="CC18" i="7" s="1"/>
  <c r="J46" i="9"/>
  <c r="R18" i="11" s="1"/>
  <c r="CF18" i="7"/>
  <c r="CH18" i="7" s="1"/>
  <c r="CI18" i="7" s="1"/>
  <c r="W44" i="11"/>
  <c r="AD43" i="2"/>
  <c r="I16" i="11"/>
  <c r="CC17" i="7"/>
  <c r="CS17" i="7"/>
  <c r="CU17" i="7" s="1"/>
  <c r="CY17" i="7" s="1"/>
  <c r="CZ17" i="7" s="1"/>
  <c r="AO47" i="2"/>
  <c r="BC47" i="2" s="1"/>
  <c r="B194" i="3"/>
  <c r="B74" i="9"/>
  <c r="D45" i="2"/>
  <c r="F45" i="2" s="1"/>
  <c r="C47" i="9" l="1"/>
  <c r="E47" i="9" s="1"/>
  <c r="F47" i="9"/>
  <c r="AY19" i="11" s="1"/>
  <c r="CK18" i="7"/>
  <c r="CN18" i="7" s="1"/>
  <c r="CS18" i="7"/>
  <c r="CU18" i="7" s="1"/>
  <c r="CY18" i="7" s="1"/>
  <c r="CZ18" i="7" s="1"/>
  <c r="M46" i="9"/>
  <c r="AR19" i="7" s="1"/>
  <c r="CA19" i="7" s="1"/>
  <c r="W45" i="11"/>
  <c r="U45" i="2"/>
  <c r="AO45" i="11" s="1"/>
  <c r="G47" i="9"/>
  <c r="Q19" i="11" s="1"/>
  <c r="H47" i="9"/>
  <c r="BA19" i="11" s="1"/>
  <c r="CK17" i="7"/>
  <c r="CM17" i="7" s="1"/>
  <c r="BU45" i="7"/>
  <c r="AD45" i="11" s="1"/>
  <c r="AO48" i="2"/>
  <c r="BC48" i="2" s="1"/>
  <c r="B195" i="3"/>
  <c r="B75" i="9"/>
  <c r="D46" i="2"/>
  <c r="F46" i="2" s="1"/>
  <c r="BL19" i="7" l="1"/>
  <c r="CV19" i="7" s="1"/>
  <c r="CX19" i="7" s="1"/>
  <c r="O47" i="9"/>
  <c r="CQ18" i="7"/>
  <c r="W46" i="11"/>
  <c r="U46" i="2"/>
  <c r="AO46" i="11" s="1"/>
  <c r="AD45" i="2"/>
  <c r="J47" i="9"/>
  <c r="F48" i="9" s="1"/>
  <c r="AY20" i="11" s="1"/>
  <c r="I47" i="9"/>
  <c r="K47" i="9"/>
  <c r="M47" i="9" s="1"/>
  <c r="AR20" i="7" s="1"/>
  <c r="CA20" i="7" s="1"/>
  <c r="I18" i="11"/>
  <c r="CN17" i="7"/>
  <c r="CO17" i="7" s="1"/>
  <c r="J17" i="11" s="1"/>
  <c r="CQ17" i="7"/>
  <c r="H17" i="11"/>
  <c r="CM18" i="7"/>
  <c r="H18" i="11" s="1"/>
  <c r="BU46" i="7"/>
  <c r="AD46" i="11" s="1"/>
  <c r="AO49" i="2"/>
  <c r="BC49" i="2" s="1"/>
  <c r="B196" i="3"/>
  <c r="D47" i="2"/>
  <c r="F47" i="2" s="1"/>
  <c r="B76" i="9"/>
  <c r="CF19" i="7" l="1"/>
  <c r="CH19" i="7" s="1"/>
  <c r="CI19" i="7" s="1"/>
  <c r="C48" i="9"/>
  <c r="E48" i="9" s="1"/>
  <c r="W47" i="11"/>
  <c r="U47" i="2"/>
  <c r="AO47" i="11" s="1"/>
  <c r="O48" i="9"/>
  <c r="L47" i="9"/>
  <c r="BK19" i="7" s="1"/>
  <c r="CB19" i="7" s="1"/>
  <c r="R19" i="11"/>
  <c r="AD46" i="2"/>
  <c r="G48" i="9"/>
  <c r="Q20" i="11" s="1"/>
  <c r="BL20" i="7"/>
  <c r="CF20" i="7" s="1"/>
  <c r="CH20" i="7" s="1"/>
  <c r="CI20" i="7" s="1"/>
  <c r="CO18" i="7"/>
  <c r="J18" i="11" s="1"/>
  <c r="I17" i="11"/>
  <c r="H48" i="9"/>
  <c r="BA20" i="11" s="1"/>
  <c r="BU47" i="7"/>
  <c r="AD47" i="11" s="1"/>
  <c r="AO50" i="2"/>
  <c r="BC50" i="2" s="1"/>
  <c r="B197" i="3"/>
  <c r="B77" i="9"/>
  <c r="D48" i="2"/>
  <c r="F48" i="2" s="1"/>
  <c r="W48" i="11" l="1"/>
  <c r="U48" i="2"/>
  <c r="AO48" i="11" s="1"/>
  <c r="AD47" i="2"/>
  <c r="CV20" i="7"/>
  <c r="CX20" i="7" s="1"/>
  <c r="K48" i="9"/>
  <c r="M48" i="9" s="1"/>
  <c r="AR21" i="7" s="1"/>
  <c r="CA21" i="7" s="1"/>
  <c r="I48" i="9"/>
  <c r="J48" i="9"/>
  <c r="C49" i="9" s="1"/>
  <c r="E49" i="9" s="1"/>
  <c r="CC19" i="7"/>
  <c r="CS19" i="7"/>
  <c r="CU19" i="7" s="1"/>
  <c r="CY19" i="7" s="1"/>
  <c r="CZ19" i="7" s="1"/>
  <c r="BU48" i="7"/>
  <c r="AD48" i="11" s="1"/>
  <c r="AO51" i="2"/>
  <c r="BC51" i="2" s="1"/>
  <c r="B198" i="3"/>
  <c r="B78" i="9"/>
  <c r="D49" i="2"/>
  <c r="F49" i="2" s="1"/>
  <c r="W49" i="11" l="1"/>
  <c r="U49" i="2"/>
  <c r="AO49" i="11" s="1"/>
  <c r="L48" i="9"/>
  <c r="BK20" i="7" s="1"/>
  <c r="CB20" i="7" s="1"/>
  <c r="CC20" i="7" s="1"/>
  <c r="CK20" i="7" s="1"/>
  <c r="CQ20" i="7" s="1"/>
  <c r="AD48" i="2"/>
  <c r="F49" i="9"/>
  <c r="AY21" i="11" s="1"/>
  <c r="G49" i="9"/>
  <c r="Q21" i="11" s="1"/>
  <c r="R20" i="11"/>
  <c r="H49" i="9"/>
  <c r="BA21" i="11" s="1"/>
  <c r="CK19" i="7"/>
  <c r="CQ19" i="7" s="1"/>
  <c r="BU49" i="7"/>
  <c r="AD49" i="11" s="1"/>
  <c r="AO52" i="2"/>
  <c r="BC52" i="2" s="1"/>
  <c r="B199" i="3"/>
  <c r="D50" i="2"/>
  <c r="F50" i="2" s="1"/>
  <c r="B79" i="9"/>
  <c r="O49" i="9" l="1"/>
  <c r="W50" i="11"/>
  <c r="U50" i="2"/>
  <c r="AO50" i="11" s="1"/>
  <c r="BL21" i="7"/>
  <c r="CF21" i="7" s="1"/>
  <c r="CH21" i="7" s="1"/>
  <c r="CI21" i="7" s="1"/>
  <c r="CN20" i="7"/>
  <c r="I20" i="11" s="1"/>
  <c r="CS20" i="7"/>
  <c r="CU20" i="7" s="1"/>
  <c r="CY20" i="7" s="1"/>
  <c r="CZ20" i="7" s="1"/>
  <c r="AD49" i="2"/>
  <c r="I49" i="9"/>
  <c r="J49" i="9"/>
  <c r="R21" i="11" s="1"/>
  <c r="K49" i="9"/>
  <c r="M49" i="9" s="1"/>
  <c r="AR22" i="7" s="1"/>
  <c r="CA22" i="7" s="1"/>
  <c r="CN19" i="7"/>
  <c r="CO19" i="7" s="1"/>
  <c r="J19" i="11" s="1"/>
  <c r="CM19" i="7"/>
  <c r="BU50" i="7"/>
  <c r="AD50" i="11" s="1"/>
  <c r="AO53" i="2"/>
  <c r="BC53" i="2" s="1"/>
  <c r="B200" i="3"/>
  <c r="D51" i="2"/>
  <c r="F51" i="2" s="1"/>
  <c r="B80" i="9"/>
  <c r="W51" i="11" l="1"/>
  <c r="U51" i="2"/>
  <c r="AO51" i="11" s="1"/>
  <c r="CV21" i="7"/>
  <c r="CX21" i="7" s="1"/>
  <c r="F50" i="9"/>
  <c r="AY22" i="11" s="1"/>
  <c r="AD50" i="2"/>
  <c r="C50" i="9"/>
  <c r="E50" i="9" s="1"/>
  <c r="H50" i="9" s="1"/>
  <c r="BA22" i="11" s="1"/>
  <c r="L49" i="9"/>
  <c r="BK21" i="7" s="1"/>
  <c r="CB21" i="7" s="1"/>
  <c r="G50" i="9"/>
  <c r="Q22" i="11" s="1"/>
  <c r="CO20" i="7"/>
  <c r="J20" i="11" s="1"/>
  <c r="I19" i="11"/>
  <c r="H19" i="11"/>
  <c r="CM20" i="7"/>
  <c r="H20" i="11" s="1"/>
  <c r="BU51" i="7"/>
  <c r="AD51" i="11" s="1"/>
  <c r="AO54" i="2"/>
  <c r="BC54" i="2" s="1"/>
  <c r="B201" i="3"/>
  <c r="D52" i="2"/>
  <c r="B81" i="9"/>
  <c r="I50" i="9" l="1"/>
  <c r="O50" i="9"/>
  <c r="BL22" i="7"/>
  <c r="CF22" i="7" s="1"/>
  <c r="CH22" i="7" s="1"/>
  <c r="CI22" i="7" s="1"/>
  <c r="AD51" i="2"/>
  <c r="J50" i="9"/>
  <c r="F51" i="9" s="1"/>
  <c r="AY23" i="11" s="1"/>
  <c r="K50" i="9"/>
  <c r="CC21" i="7"/>
  <c r="CS21" i="7"/>
  <c r="CU21" i="7" s="1"/>
  <c r="CY21" i="7" s="1"/>
  <c r="CZ21" i="7" s="1"/>
  <c r="F52" i="2"/>
  <c r="U52" i="2" s="1"/>
  <c r="V24" i="5"/>
  <c r="W24" i="5" s="1"/>
  <c r="AO55" i="2"/>
  <c r="BC55" i="2" s="1"/>
  <c r="B202" i="3"/>
  <c r="B82" i="9"/>
  <c r="D53" i="2"/>
  <c r="F53" i="2" s="1"/>
  <c r="W53" i="11" l="1"/>
  <c r="U53" i="2"/>
  <c r="AO53" i="11" s="1"/>
  <c r="CV22" i="7"/>
  <c r="CX22" i="7" s="1"/>
  <c r="C51" i="9"/>
  <c r="E51" i="9" s="1"/>
  <c r="H51" i="9" s="1"/>
  <c r="BA23" i="11" s="1"/>
  <c r="R22" i="11"/>
  <c r="G51" i="9"/>
  <c r="Q23" i="11" s="1"/>
  <c r="BL23" i="7"/>
  <c r="O51" i="9"/>
  <c r="M50" i="9"/>
  <c r="AR23" i="7" s="1"/>
  <c r="CA23" i="7" s="1"/>
  <c r="L50" i="9"/>
  <c r="BK22" i="7" s="1"/>
  <c r="CB22" i="7" s="1"/>
  <c r="AO52" i="11"/>
  <c r="W52" i="11"/>
  <c r="BF52" i="11" s="1"/>
  <c r="K35" i="20" s="1"/>
  <c r="CK21" i="7"/>
  <c r="CM21" i="7" s="1"/>
  <c r="BU52" i="7"/>
  <c r="AD52" i="11" s="1"/>
  <c r="BU53" i="7"/>
  <c r="AD53" i="11" s="1"/>
  <c r="AO56" i="2"/>
  <c r="BC56" i="2" s="1"/>
  <c r="B203" i="3"/>
  <c r="B83" i="9"/>
  <c r="D54" i="2"/>
  <c r="F54" i="2" s="1"/>
  <c r="W54" i="11" l="1"/>
  <c r="U54" i="2"/>
  <c r="AO54" i="11" s="1"/>
  <c r="AD52" i="2"/>
  <c r="CF23" i="7"/>
  <c r="CH23" i="7" s="1"/>
  <c r="CI23" i="7" s="1"/>
  <c r="CV23" i="7"/>
  <c r="CX23" i="7" s="1"/>
  <c r="I51" i="9"/>
  <c r="CC22" i="7"/>
  <c r="CK22" i="7" s="1"/>
  <c r="CS22" i="7"/>
  <c r="CU22" i="7" s="1"/>
  <c r="CY22" i="7" s="1"/>
  <c r="CZ22" i="7" s="1"/>
  <c r="CQ21" i="7"/>
  <c r="H21" i="11"/>
  <c r="CN21" i="7"/>
  <c r="CO21" i="7" s="1"/>
  <c r="J21" i="11" s="1"/>
  <c r="J51" i="9"/>
  <c r="F52" i="9" s="1"/>
  <c r="AY24" i="11" s="1"/>
  <c r="K51" i="9"/>
  <c r="M51" i="9" s="1"/>
  <c r="AR24" i="7" s="1"/>
  <c r="CA24" i="7" s="1"/>
  <c r="AD53" i="2"/>
  <c r="BU54" i="7"/>
  <c r="AD54" i="11" s="1"/>
  <c r="AO57" i="2"/>
  <c r="BC57" i="2" s="1"/>
  <c r="B204" i="3"/>
  <c r="B84" i="9"/>
  <c r="D55" i="2"/>
  <c r="F55" i="2" s="1"/>
  <c r="W55" i="11" l="1"/>
  <c r="U55" i="2"/>
  <c r="AO55" i="11" s="1"/>
  <c r="AD54" i="2"/>
  <c r="O52" i="9"/>
  <c r="BL24" i="7"/>
  <c r="CV24" i="7" s="1"/>
  <c r="CX24" i="7" s="1"/>
  <c r="CQ22" i="7"/>
  <c r="CN22" i="7"/>
  <c r="I22" i="11" s="1"/>
  <c r="CM22" i="7"/>
  <c r="H22" i="11" s="1"/>
  <c r="I21" i="11"/>
  <c r="C52" i="9"/>
  <c r="E52" i="9" s="1"/>
  <c r="R23" i="11"/>
  <c r="L51" i="9"/>
  <c r="BK23" i="7" s="1"/>
  <c r="CB23" i="7" s="1"/>
  <c r="BU55" i="7"/>
  <c r="AD55" i="11" s="1"/>
  <c r="G52" i="9"/>
  <c r="Q24" i="11" s="1"/>
  <c r="AO58" i="2"/>
  <c r="BC58" i="2" s="1"/>
  <c r="B205" i="3"/>
  <c r="D56" i="2"/>
  <c r="F56" i="2" s="1"/>
  <c r="B85" i="9"/>
  <c r="W56" i="11" l="1"/>
  <c r="U56" i="2"/>
  <c r="AO56" i="11" s="1"/>
  <c r="CF24" i="7"/>
  <c r="CH24" i="7" s="1"/>
  <c r="CI24" i="7" s="1"/>
  <c r="CO22" i="7"/>
  <c r="J22" i="11" s="1"/>
  <c r="H52" i="9"/>
  <c r="BA24" i="11" s="1"/>
  <c r="CC23" i="7"/>
  <c r="CS23" i="7"/>
  <c r="CU23" i="7" s="1"/>
  <c r="CY23" i="7" s="1"/>
  <c r="CZ23" i="7" s="1"/>
  <c r="AD55" i="2"/>
  <c r="BU56" i="7"/>
  <c r="AD56" i="11" s="1"/>
  <c r="AO59" i="2"/>
  <c r="BC59" i="2" s="1"/>
  <c r="B206" i="3"/>
  <c r="D57" i="2"/>
  <c r="F57" i="2" s="1"/>
  <c r="B86" i="9"/>
  <c r="W57" i="11" l="1"/>
  <c r="U57" i="2"/>
  <c r="AO57" i="11" s="1"/>
  <c r="AD56" i="2"/>
  <c r="K52" i="9"/>
  <c r="I52" i="9"/>
  <c r="J52" i="9"/>
  <c r="CK23" i="7"/>
  <c r="CN23" i="7" s="1"/>
  <c r="CO23" i="7" s="1"/>
  <c r="J23" i="11" s="1"/>
  <c r="BU57" i="7"/>
  <c r="AD57" i="11" s="1"/>
  <c r="AO60" i="2"/>
  <c r="BC60" i="2" s="1"/>
  <c r="B207" i="3"/>
  <c r="D58" i="2"/>
  <c r="F58" i="2" s="1"/>
  <c r="B87" i="9"/>
  <c r="W58" i="11" l="1"/>
  <c r="U58" i="2"/>
  <c r="AO58" i="11" s="1"/>
  <c r="AD57" i="2"/>
  <c r="R24" i="11"/>
  <c r="F53" i="9"/>
  <c r="AY25" i="11" s="1"/>
  <c r="C53" i="9"/>
  <c r="E53" i="9" s="1"/>
  <c r="H53" i="9" s="1"/>
  <c r="BA25" i="11" s="1"/>
  <c r="M52" i="9"/>
  <c r="AR25" i="7" s="1"/>
  <c r="CA25" i="7" s="1"/>
  <c r="L52" i="9"/>
  <c r="BK24" i="7" s="1"/>
  <c r="CB24" i="7" s="1"/>
  <c r="I23" i="11"/>
  <c r="CM23" i="7"/>
  <c r="H23" i="11" s="1"/>
  <c r="CQ23" i="7"/>
  <c r="BU58" i="7"/>
  <c r="AD58" i="11" s="1"/>
  <c r="AO61" i="2"/>
  <c r="BC61" i="2" s="1"/>
  <c r="B208" i="3"/>
  <c r="B88" i="9"/>
  <c r="D59" i="2"/>
  <c r="F59" i="2" s="1"/>
  <c r="W59" i="11" l="1"/>
  <c r="U59" i="2"/>
  <c r="AO59" i="11" s="1"/>
  <c r="AD58" i="2"/>
  <c r="G53" i="9"/>
  <c r="Q25" i="11" s="1"/>
  <c r="BL25" i="7"/>
  <c r="O53" i="9"/>
  <c r="J53" i="9"/>
  <c r="F54" i="9" s="1"/>
  <c r="AY26" i="11" s="1"/>
  <c r="CC24" i="7"/>
  <c r="CK24" i="7" s="1"/>
  <c r="CM24" i="7" s="1"/>
  <c r="H24" i="11" s="1"/>
  <c r="CS24" i="7"/>
  <c r="CU24" i="7" s="1"/>
  <c r="CY24" i="7" s="1"/>
  <c r="CZ24" i="7" s="1"/>
  <c r="I53" i="9"/>
  <c r="K53" i="9"/>
  <c r="BU59" i="7"/>
  <c r="AD59" i="11" s="1"/>
  <c r="AO62" i="2"/>
  <c r="BC62" i="2" s="1"/>
  <c r="B209" i="3"/>
  <c r="B89" i="9"/>
  <c r="D60" i="2"/>
  <c r="F60" i="2" s="1"/>
  <c r="W60" i="11" l="1"/>
  <c r="U60" i="2"/>
  <c r="AO60" i="11" s="1"/>
  <c r="G54" i="9"/>
  <c r="Q26" i="11" s="1"/>
  <c r="O54" i="9"/>
  <c r="BL26" i="7"/>
  <c r="R25" i="11"/>
  <c r="CF25" i="7"/>
  <c r="CH25" i="7" s="1"/>
  <c r="CI25" i="7" s="1"/>
  <c r="CV25" i="7"/>
  <c r="CX25" i="7" s="1"/>
  <c r="C54" i="9"/>
  <c r="E54" i="9" s="1"/>
  <c r="H54" i="9" s="1"/>
  <c r="BA26" i="11" s="1"/>
  <c r="CN24" i="7"/>
  <c r="CQ24" i="7"/>
  <c r="L53" i="9"/>
  <c r="BK25" i="7" s="1"/>
  <c r="CB25" i="7" s="1"/>
  <c r="M53" i="9"/>
  <c r="AR26" i="7" s="1"/>
  <c r="CA26" i="7" s="1"/>
  <c r="AD59" i="2"/>
  <c r="BU60" i="7"/>
  <c r="AD60" i="11" s="1"/>
  <c r="AO63" i="2"/>
  <c r="BC63" i="2" s="1"/>
  <c r="B210" i="3"/>
  <c r="D61" i="2"/>
  <c r="F61" i="2" s="1"/>
  <c r="B90" i="9"/>
  <c r="W61" i="11" l="1"/>
  <c r="U61" i="2"/>
  <c r="AO61" i="11" s="1"/>
  <c r="AD60" i="2"/>
  <c r="CV26" i="7"/>
  <c r="CX26" i="7" s="1"/>
  <c r="CF26" i="7"/>
  <c r="CH26" i="7" s="1"/>
  <c r="CI26" i="7" s="1"/>
  <c r="I24" i="11"/>
  <c r="CO24" i="7"/>
  <c r="J24" i="11" s="1"/>
  <c r="CS25" i="7"/>
  <c r="CU25" i="7" s="1"/>
  <c r="CY25" i="7" s="1"/>
  <c r="CZ25" i="7" s="1"/>
  <c r="CC25" i="7"/>
  <c r="CK25" i="7" s="1"/>
  <c r="I54" i="9"/>
  <c r="J54" i="9"/>
  <c r="K54" i="9"/>
  <c r="BU61" i="7"/>
  <c r="AD61" i="11" s="1"/>
  <c r="AO64" i="2"/>
  <c r="BC64" i="2" s="1"/>
  <c r="B211" i="3"/>
  <c r="B91" i="9"/>
  <c r="D62" i="2"/>
  <c r="F62" i="2" s="1"/>
  <c r="W62" i="11" l="1"/>
  <c r="U62" i="2"/>
  <c r="AO62" i="11" s="1"/>
  <c r="AD61" i="2"/>
  <c r="CQ25" i="7"/>
  <c r="CN25" i="7"/>
  <c r="CM25" i="7"/>
  <c r="H25" i="11" s="1"/>
  <c r="C55" i="9"/>
  <c r="E55" i="9" s="1"/>
  <c r="R26" i="11"/>
  <c r="F55" i="9"/>
  <c r="AY27" i="11" s="1"/>
  <c r="M54" i="9"/>
  <c r="AR27" i="7" s="1"/>
  <c r="CA27" i="7" s="1"/>
  <c r="L54" i="9"/>
  <c r="BK26" i="7" s="1"/>
  <c r="CB26" i="7" s="1"/>
  <c r="BU62" i="7"/>
  <c r="AD62" i="11" s="1"/>
  <c r="AO65" i="2"/>
  <c r="BC65" i="2" s="1"/>
  <c r="B212" i="3"/>
  <c r="B92" i="9"/>
  <c r="D63" i="2"/>
  <c r="F63" i="2" s="1"/>
  <c r="W63" i="11" l="1"/>
  <c r="U63" i="2"/>
  <c r="AO63" i="11" s="1"/>
  <c r="AD62" i="2"/>
  <c r="O55" i="9"/>
  <c r="BL27" i="7"/>
  <c r="H55" i="9"/>
  <c r="BA27" i="11" s="1"/>
  <c r="CC26" i="7"/>
  <c r="CK26" i="7" s="1"/>
  <c r="CQ26" i="7" s="1"/>
  <c r="CS26" i="7"/>
  <c r="CU26" i="7" s="1"/>
  <c r="CY26" i="7" s="1"/>
  <c r="CZ26" i="7" s="1"/>
  <c r="CO25" i="7"/>
  <c r="J25" i="11" s="1"/>
  <c r="I25" i="11"/>
  <c r="G55" i="9"/>
  <c r="Q27" i="11" s="1"/>
  <c r="BU63" i="7"/>
  <c r="AD63" i="11" s="1"/>
  <c r="AO66" i="2"/>
  <c r="BC66" i="2" s="1"/>
  <c r="B213" i="3"/>
  <c r="B93" i="9"/>
  <c r="D64" i="2"/>
  <c r="V25" i="5" s="1"/>
  <c r="W25" i="5" s="1"/>
  <c r="I55" i="9" l="1"/>
  <c r="J55" i="9"/>
  <c r="C56" i="9" s="1"/>
  <c r="E56" i="9" s="1"/>
  <c r="AD63" i="2"/>
  <c r="K55" i="9"/>
  <c r="L55" i="9" s="1"/>
  <c r="BK27" i="7" s="1"/>
  <c r="CB27" i="7" s="1"/>
  <c r="CF27" i="7"/>
  <c r="CH27" i="7" s="1"/>
  <c r="CI27" i="7" s="1"/>
  <c r="CV27" i="7"/>
  <c r="CX27" i="7" s="1"/>
  <c r="CN26" i="7"/>
  <c r="I26" i="11" s="1"/>
  <c r="CM26" i="7"/>
  <c r="H26" i="11" s="1"/>
  <c r="F64" i="2"/>
  <c r="AO67" i="2"/>
  <c r="BC67" i="2" s="1"/>
  <c r="B214" i="3"/>
  <c r="B94" i="9"/>
  <c r="D65" i="2"/>
  <c r="F65" i="2" s="1"/>
  <c r="M55" i="9" l="1"/>
  <c r="AR28" i="7" s="1"/>
  <c r="CA28" i="7" s="1"/>
  <c r="W65" i="11"/>
  <c r="U65" i="2"/>
  <c r="AO65" i="11" s="1"/>
  <c r="W64" i="11"/>
  <c r="BF64" i="11" s="1"/>
  <c r="L35" i="20" s="1"/>
  <c r="U64" i="2"/>
  <c r="AO64" i="11" s="1"/>
  <c r="R27" i="11"/>
  <c r="F56" i="9"/>
  <c r="CO26" i="7"/>
  <c r="J26" i="11" s="1"/>
  <c r="CC27" i="7"/>
  <c r="CK27" i="7" s="1"/>
  <c r="CS27" i="7"/>
  <c r="CU27" i="7" s="1"/>
  <c r="CY27" i="7" s="1"/>
  <c r="CZ27" i="7" s="1"/>
  <c r="BU65" i="7"/>
  <c r="AD65" i="11" s="1"/>
  <c r="BU64" i="7"/>
  <c r="AO68" i="2"/>
  <c r="BC68" i="2" s="1"/>
  <c r="B215" i="3"/>
  <c r="D66" i="2"/>
  <c r="F66" i="2" s="1"/>
  <c r="B95" i="9"/>
  <c r="BL28" i="7" l="1"/>
  <c r="CV28" i="7" s="1"/>
  <c r="CX28" i="7" s="1"/>
  <c r="AY28" i="11"/>
  <c r="CH28" i="11" s="1"/>
  <c r="I56" i="20" s="1"/>
  <c r="H56" i="9"/>
  <c r="G56" i="9"/>
  <c r="Q28" i="11" s="1"/>
  <c r="O56" i="9"/>
  <c r="W66" i="11"/>
  <c r="U66" i="2"/>
  <c r="AO66" i="11" s="1"/>
  <c r="I56" i="9"/>
  <c r="AD64" i="11"/>
  <c r="BM64" i="11" s="1"/>
  <c r="L14" i="20" s="1"/>
  <c r="L15" i="20" s="1"/>
  <c r="L19" i="20" s="1"/>
  <c r="L67" i="20" s="1"/>
  <c r="B62" i="19"/>
  <c r="BX64" i="11"/>
  <c r="L36" i="20" s="1"/>
  <c r="L40" i="20" s="1"/>
  <c r="L41" i="20" s="1"/>
  <c r="CQ27" i="7"/>
  <c r="CM27" i="7"/>
  <c r="CN27" i="7"/>
  <c r="AD65" i="2"/>
  <c r="AD64" i="2"/>
  <c r="N62" i="19" s="1"/>
  <c r="BU66" i="7"/>
  <c r="AD66" i="11" s="1"/>
  <c r="AO69" i="2"/>
  <c r="BC69" i="2" s="1"/>
  <c r="B216" i="3"/>
  <c r="D67" i="2"/>
  <c r="F67" i="2" s="1"/>
  <c r="B96" i="9"/>
  <c r="CF28" i="7" l="1"/>
  <c r="CH28" i="7" s="1"/>
  <c r="CI28" i="7" s="1"/>
  <c r="K56" i="9"/>
  <c r="L56" i="9" s="1"/>
  <c r="BK28" i="7" s="1"/>
  <c r="CB28" i="7" s="1"/>
  <c r="CC28" i="7" s="1"/>
  <c r="BA28" i="11"/>
  <c r="CJ28" i="11" s="1"/>
  <c r="I76" i="20" s="1"/>
  <c r="J56" i="9"/>
  <c r="F57" i="9" s="1"/>
  <c r="AY29" i="11" s="1"/>
  <c r="W67" i="11"/>
  <c r="U67" i="2"/>
  <c r="AO67" i="11" s="1"/>
  <c r="L42" i="20"/>
  <c r="AD66" i="2"/>
  <c r="CO27" i="7"/>
  <c r="J27" i="11" s="1"/>
  <c r="I27" i="11"/>
  <c r="H27" i="11"/>
  <c r="BU67" i="7"/>
  <c r="AD67" i="11" s="1"/>
  <c r="AO70" i="2"/>
  <c r="BC70" i="2" s="1"/>
  <c r="B217" i="3"/>
  <c r="B97" i="9"/>
  <c r="D68" i="2"/>
  <c r="F68" i="2" s="1"/>
  <c r="CK28" i="7" l="1"/>
  <c r="CQ28" i="7" s="1"/>
  <c r="CS28" i="7"/>
  <c r="CU28" i="7" s="1"/>
  <c r="CY28" i="7" s="1"/>
  <c r="CZ28" i="7" s="1"/>
  <c r="M56" i="9"/>
  <c r="AR29" i="7" s="1"/>
  <c r="CA29" i="7" s="1"/>
  <c r="G57" i="9"/>
  <c r="Q29" i="11" s="1"/>
  <c r="C57" i="9"/>
  <c r="E57" i="9" s="1"/>
  <c r="H57" i="9" s="1"/>
  <c r="BA29" i="11" s="1"/>
  <c r="O57" i="9"/>
  <c r="R28" i="11"/>
  <c r="BL29" i="7"/>
  <c r="CV29" i="7" s="1"/>
  <c r="CX29" i="7" s="1"/>
  <c r="W68" i="11"/>
  <c r="U68" i="2"/>
  <c r="AO68" i="11" s="1"/>
  <c r="AD67" i="2"/>
  <c r="I57" i="9"/>
  <c r="BU68" i="7"/>
  <c r="AD68" i="11" s="1"/>
  <c r="AO71" i="2"/>
  <c r="BC71" i="2" s="1"/>
  <c r="B218" i="3"/>
  <c r="D69" i="2"/>
  <c r="F69" i="2" s="1"/>
  <c r="B98" i="9"/>
  <c r="CN28" i="7" l="1"/>
  <c r="CO28" i="7" s="1"/>
  <c r="J28" i="11" s="1"/>
  <c r="CM28" i="7"/>
  <c r="H28" i="11" s="1"/>
  <c r="J57" i="9"/>
  <c r="C58" i="9" s="1"/>
  <c r="E58" i="9" s="1"/>
  <c r="K57" i="9"/>
  <c r="L57" i="9" s="1"/>
  <c r="BK29" i="7" s="1"/>
  <c r="CB29" i="7" s="1"/>
  <c r="CC29" i="7" s="1"/>
  <c r="CF29" i="7"/>
  <c r="CH29" i="7" s="1"/>
  <c r="CI29" i="7" s="1"/>
  <c r="W69" i="11"/>
  <c r="U69" i="2"/>
  <c r="AO69" i="11" s="1"/>
  <c r="AD68" i="2"/>
  <c r="BU69" i="7"/>
  <c r="AD69" i="11" s="1"/>
  <c r="AO72" i="2"/>
  <c r="BC72" i="2" s="1"/>
  <c r="B219" i="3"/>
  <c r="B99" i="9"/>
  <c r="D70" i="2"/>
  <c r="F70" i="2" s="1"/>
  <c r="I28" i="11" l="1"/>
  <c r="R29" i="11"/>
  <c r="F58" i="9"/>
  <c r="AY30" i="11" s="1"/>
  <c r="M57" i="9"/>
  <c r="AR30" i="7" s="1"/>
  <c r="CA30" i="7" s="1"/>
  <c r="CS29" i="7"/>
  <c r="CU29" i="7" s="1"/>
  <c r="CY29" i="7" s="1"/>
  <c r="CZ29" i="7" s="1"/>
  <c r="CK29" i="7"/>
  <c r="CM29" i="7" s="1"/>
  <c r="H29" i="11" s="1"/>
  <c r="W70" i="11"/>
  <c r="U70" i="2"/>
  <c r="AO70" i="11" s="1"/>
  <c r="AD69" i="2"/>
  <c r="H58" i="9"/>
  <c r="BA30" i="11" s="1"/>
  <c r="G58" i="9"/>
  <c r="Q30" i="11" s="1"/>
  <c r="BU70" i="7"/>
  <c r="AD70" i="11" s="1"/>
  <c r="AO73" i="2"/>
  <c r="BC73" i="2" s="1"/>
  <c r="B220" i="3"/>
  <c r="D71" i="2"/>
  <c r="F71" i="2" s="1"/>
  <c r="B100" i="9"/>
  <c r="O58" i="9" l="1"/>
  <c r="BL30" i="7"/>
  <c r="CF30" i="7" s="1"/>
  <c r="CH30" i="7" s="1"/>
  <c r="CI30" i="7" s="1"/>
  <c r="CN29" i="7"/>
  <c r="CO29" i="7" s="1"/>
  <c r="J29" i="11" s="1"/>
  <c r="K58" i="9"/>
  <c r="L58" i="9" s="1"/>
  <c r="BK30" i="7" s="1"/>
  <c r="CQ29" i="7"/>
  <c r="J58" i="9"/>
  <c r="C59" i="9" s="1"/>
  <c r="E59" i="9" s="1"/>
  <c r="I58" i="9"/>
  <c r="W71" i="11"/>
  <c r="U71" i="2"/>
  <c r="AO71" i="11" s="1"/>
  <c r="AD70" i="2"/>
  <c r="BU71" i="7"/>
  <c r="AD71" i="11" s="1"/>
  <c r="AO74" i="2"/>
  <c r="BC74" i="2" s="1"/>
  <c r="B221" i="3"/>
  <c r="B101" i="9"/>
  <c r="D72" i="2"/>
  <c r="F72" i="2" s="1"/>
  <c r="CB30" i="7" l="1"/>
  <c r="CS30" i="7" s="1"/>
  <c r="CU30" i="7" s="1"/>
  <c r="CV30" i="7"/>
  <c r="CX30" i="7" s="1"/>
  <c r="I29" i="11"/>
  <c r="M58" i="9"/>
  <c r="AR31" i="7" s="1"/>
  <c r="CA31" i="7" s="1"/>
  <c r="R30" i="11"/>
  <c r="F59" i="9"/>
  <c r="AY31" i="11" s="1"/>
  <c r="W72" i="11"/>
  <c r="U72" i="2"/>
  <c r="AO72" i="11" s="1"/>
  <c r="AD71" i="2"/>
  <c r="G59" i="9"/>
  <c r="Q31" i="11" s="1"/>
  <c r="BU72" i="7"/>
  <c r="AD72" i="11" s="1"/>
  <c r="AO75" i="2"/>
  <c r="BC75" i="2" s="1"/>
  <c r="B222" i="3"/>
  <c r="D73" i="2"/>
  <c r="F73" i="2" s="1"/>
  <c r="B102" i="9"/>
  <c r="CY30" i="7" l="1"/>
  <c r="CZ30" i="7" s="1"/>
  <c r="CC30" i="7"/>
  <c r="CK30" i="7" s="1"/>
  <c r="CQ30" i="7" s="1"/>
  <c r="H59" i="9"/>
  <c r="BA31" i="11" s="1"/>
  <c r="O59" i="9"/>
  <c r="BL31" i="7"/>
  <c r="CF31" i="7" s="1"/>
  <c r="CH31" i="7" s="1"/>
  <c r="CI31" i="7" s="1"/>
  <c r="W73" i="11"/>
  <c r="U73" i="2"/>
  <c r="AO73" i="11" s="1"/>
  <c r="CM30" i="7"/>
  <c r="H30" i="11" s="1"/>
  <c r="CN30" i="7"/>
  <c r="I30" i="11" s="1"/>
  <c r="I59" i="9"/>
  <c r="AD72" i="2"/>
  <c r="BU73" i="7"/>
  <c r="AD73" i="11" s="1"/>
  <c r="AO76" i="2"/>
  <c r="BC76" i="2" s="1"/>
  <c r="B223" i="3"/>
  <c r="B103" i="9"/>
  <c r="D74" i="2"/>
  <c r="F74" i="2" s="1"/>
  <c r="J59" i="9" l="1"/>
  <c r="C60" i="9" s="1"/>
  <c r="E60" i="9" s="1"/>
  <c r="K59" i="9"/>
  <c r="L59" i="9" s="1"/>
  <c r="BK31" i="7" s="1"/>
  <c r="CB31" i="7" s="1"/>
  <c r="CS31" i="7" s="1"/>
  <c r="CU31" i="7" s="1"/>
  <c r="CV31" i="7"/>
  <c r="CX31" i="7" s="1"/>
  <c r="W74" i="11"/>
  <c r="U74" i="2"/>
  <c r="AO74" i="11" s="1"/>
  <c r="CO30" i="7"/>
  <c r="J30" i="11" s="1"/>
  <c r="AD73" i="2"/>
  <c r="BU74" i="7"/>
  <c r="AD74" i="11" s="1"/>
  <c r="AO77" i="2"/>
  <c r="BC77" i="2" s="1"/>
  <c r="B224" i="3"/>
  <c r="D75" i="2"/>
  <c r="F75" i="2" s="1"/>
  <c r="B104" i="9"/>
  <c r="M59" i="9" l="1"/>
  <c r="AR32" i="7" s="1"/>
  <c r="CA32" i="7" s="1"/>
  <c r="R31" i="11"/>
  <c r="F60" i="9"/>
  <c r="AY32" i="11" s="1"/>
  <c r="CC31" i="7"/>
  <c r="CK31" i="7" s="1"/>
  <c r="CQ31" i="7" s="1"/>
  <c r="CY31" i="7"/>
  <c r="CZ31" i="7" s="1"/>
  <c r="G60" i="9"/>
  <c r="Q32" i="11" s="1"/>
  <c r="H60" i="9"/>
  <c r="BA32" i="11" s="1"/>
  <c r="I60" i="9"/>
  <c r="W75" i="11"/>
  <c r="U75" i="2"/>
  <c r="AO75" i="11" s="1"/>
  <c r="O60" i="9"/>
  <c r="BL32" i="7"/>
  <c r="CF32" i="7" s="1"/>
  <c r="CH32" i="7" s="1"/>
  <c r="CI32" i="7" s="1"/>
  <c r="AD74" i="2"/>
  <c r="BU75" i="7"/>
  <c r="AD75" i="11" s="1"/>
  <c r="AO78" i="2"/>
  <c r="BC78" i="2" s="1"/>
  <c r="B225" i="3"/>
  <c r="B105" i="9"/>
  <c r="D76" i="2"/>
  <c r="V26" i="5" s="1"/>
  <c r="W26" i="5" s="1"/>
  <c r="CN31" i="7" l="1"/>
  <c r="CO31" i="7" s="1"/>
  <c r="J31" i="11" s="1"/>
  <c r="CM31" i="7"/>
  <c r="H31" i="11" s="1"/>
  <c r="J60" i="9"/>
  <c r="R32" i="11" s="1"/>
  <c r="K60" i="9"/>
  <c r="L60" i="9" s="1"/>
  <c r="BK32" i="7" s="1"/>
  <c r="CB32" i="7" s="1"/>
  <c r="CV32" i="7"/>
  <c r="CX32" i="7" s="1"/>
  <c r="AD75" i="2"/>
  <c r="F76" i="2"/>
  <c r="AO79" i="2"/>
  <c r="BC79" i="2" s="1"/>
  <c r="B226" i="3"/>
  <c r="D77" i="2"/>
  <c r="F77" i="2" s="1"/>
  <c r="B106" i="9"/>
  <c r="I31" i="11" l="1"/>
  <c r="F61" i="9"/>
  <c r="AY33" i="11" s="1"/>
  <c r="C61" i="9"/>
  <c r="E61" i="9" s="1"/>
  <c r="G61" i="9"/>
  <c r="Q33" i="11" s="1"/>
  <c r="H61" i="9"/>
  <c r="BA33" i="11" s="1"/>
  <c r="M60" i="9"/>
  <c r="AR33" i="7" s="1"/>
  <c r="CA33" i="7" s="1"/>
  <c r="CS32" i="7"/>
  <c r="CU32" i="7" s="1"/>
  <c r="CY32" i="7" s="1"/>
  <c r="CZ32" i="7" s="1"/>
  <c r="CC32" i="7"/>
  <c r="CK32" i="7" s="1"/>
  <c r="CN32" i="7" s="1"/>
  <c r="CO32" i="7" s="1"/>
  <c r="J32" i="11" s="1"/>
  <c r="W77" i="11"/>
  <c r="U77" i="2"/>
  <c r="AO77" i="11" s="1"/>
  <c r="W76" i="11"/>
  <c r="BF76" i="11" s="1"/>
  <c r="M35" i="20" s="1"/>
  <c r="U76" i="2"/>
  <c r="AO76" i="11" s="1"/>
  <c r="BU77" i="7"/>
  <c r="AD77" i="11" s="1"/>
  <c r="BU76" i="7"/>
  <c r="AO80" i="2"/>
  <c r="BC80" i="2" s="1"/>
  <c r="B227" i="3"/>
  <c r="B107" i="9"/>
  <c r="D78" i="2"/>
  <c r="F78" i="2" s="1"/>
  <c r="I61" i="9" l="1"/>
  <c r="O61" i="9"/>
  <c r="BL33" i="7"/>
  <c r="CV33" i="7" s="1"/>
  <c r="CX33" i="7" s="1"/>
  <c r="J61" i="9"/>
  <c r="R33" i="11" s="1"/>
  <c r="K61" i="9"/>
  <c r="M61" i="9" s="1"/>
  <c r="AR34" i="7" s="1"/>
  <c r="CQ32" i="7"/>
  <c r="CM32" i="7"/>
  <c r="H32" i="11" s="1"/>
  <c r="I32" i="11"/>
  <c r="W78" i="11"/>
  <c r="U78" i="2"/>
  <c r="AO78" i="11" s="1"/>
  <c r="AD76" i="11"/>
  <c r="BM76" i="11" s="1"/>
  <c r="M14" i="20" s="1"/>
  <c r="M15" i="20" s="1"/>
  <c r="M19" i="20" s="1"/>
  <c r="M67" i="20" s="1"/>
  <c r="B74" i="19"/>
  <c r="BX76" i="11"/>
  <c r="M36" i="20" s="1"/>
  <c r="M40" i="20" s="1"/>
  <c r="M41" i="20" s="1"/>
  <c r="AD77" i="2"/>
  <c r="AD76" i="2"/>
  <c r="N74" i="19" s="1"/>
  <c r="BU78" i="7"/>
  <c r="AD78" i="11" s="1"/>
  <c r="AO81" i="2"/>
  <c r="BC81" i="2" s="1"/>
  <c r="B228" i="3"/>
  <c r="D79" i="2"/>
  <c r="F79" i="2" s="1"/>
  <c r="B108" i="9"/>
  <c r="CF33" i="7" l="1"/>
  <c r="CH33" i="7" s="1"/>
  <c r="CI33" i="7" s="1"/>
  <c r="L61" i="9"/>
  <c r="BK33" i="7" s="1"/>
  <c r="CB33" i="7" s="1"/>
  <c r="CS33" i="7" s="1"/>
  <c r="CU33" i="7" s="1"/>
  <c r="CY33" i="7" s="1"/>
  <c r="CZ33" i="7" s="1"/>
  <c r="F62" i="9"/>
  <c r="AY34" i="11" s="1"/>
  <c r="C62" i="9"/>
  <c r="E62" i="9" s="1"/>
  <c r="W79" i="11"/>
  <c r="U79" i="2"/>
  <c r="AO79" i="11" s="1"/>
  <c r="M42" i="20"/>
  <c r="AD78" i="2"/>
  <c r="G62" i="9"/>
  <c r="Q34" i="11" s="1"/>
  <c r="H62" i="9"/>
  <c r="BA34" i="11" s="1"/>
  <c r="CC33" i="7"/>
  <c r="CK33" i="7" s="1"/>
  <c r="CQ33" i="7" s="1"/>
  <c r="BU79" i="7"/>
  <c r="AD79" i="11" s="1"/>
  <c r="AO82" i="2"/>
  <c r="BC82" i="2" s="1"/>
  <c r="B229" i="3"/>
  <c r="B109" i="9"/>
  <c r="D80" i="2"/>
  <c r="F80" i="2" s="1"/>
  <c r="BL34" i="7" l="1"/>
  <c r="O62" i="9"/>
  <c r="W80" i="11"/>
  <c r="U80" i="2"/>
  <c r="AO80" i="11" s="1"/>
  <c r="AD79" i="2"/>
  <c r="K62" i="9"/>
  <c r="M62" i="9" s="1"/>
  <c r="AR35" i="7" s="1"/>
  <c r="CA35" i="7" s="1"/>
  <c r="I62" i="9"/>
  <c r="J62" i="9"/>
  <c r="CM33" i="7"/>
  <c r="H33" i="11" s="1"/>
  <c r="CN33" i="7"/>
  <c r="CO33" i="7" s="1"/>
  <c r="J33" i="11" s="1"/>
  <c r="BU80" i="7"/>
  <c r="AD80" i="11" s="1"/>
  <c r="AO83" i="2"/>
  <c r="BC83" i="2" s="1"/>
  <c r="B230" i="3"/>
  <c r="D81" i="2"/>
  <c r="F81" i="2" s="1"/>
  <c r="B110" i="9"/>
  <c r="W81" i="11" l="1"/>
  <c r="U81" i="2"/>
  <c r="AO81" i="11" s="1"/>
  <c r="L62" i="9"/>
  <c r="BK34" i="7" s="1"/>
  <c r="R34" i="11"/>
  <c r="F63" i="9"/>
  <c r="AY35" i="11" s="1"/>
  <c r="C63" i="9"/>
  <c r="E63" i="9" s="1"/>
  <c r="I33" i="11"/>
  <c r="AD80" i="2"/>
  <c r="BU81" i="7"/>
  <c r="AD81" i="11" s="1"/>
  <c r="AO84" i="2"/>
  <c r="BC84" i="2" s="1"/>
  <c r="B231" i="3"/>
  <c r="B111" i="9"/>
  <c r="D82" i="2"/>
  <c r="F82" i="2" s="1"/>
  <c r="W82" i="11" l="1"/>
  <c r="U82" i="2"/>
  <c r="AO82" i="11" s="1"/>
  <c r="AD81" i="2"/>
  <c r="G63" i="9"/>
  <c r="Q35" i="11" s="1"/>
  <c r="O63" i="9"/>
  <c r="BL35" i="7"/>
  <c r="H63" i="9"/>
  <c r="BA35" i="11" s="1"/>
  <c r="BU82" i="7"/>
  <c r="AD82" i="11" s="1"/>
  <c r="AO85" i="2"/>
  <c r="BC85" i="2" s="1"/>
  <c r="B232" i="3"/>
  <c r="B112" i="9"/>
  <c r="D83" i="2"/>
  <c r="F83" i="2" s="1"/>
  <c r="W83" i="11" l="1"/>
  <c r="U83" i="2"/>
  <c r="AO83" i="11" s="1"/>
  <c r="AD82" i="2"/>
  <c r="K63" i="9"/>
  <c r="M63" i="9" s="1"/>
  <c r="AR36" i="7" s="1"/>
  <c r="CA36" i="7" s="1"/>
  <c r="I63" i="9"/>
  <c r="J63" i="9"/>
  <c r="F64" i="9" s="1"/>
  <c r="AY36" i="11" s="1"/>
  <c r="CF35" i="7"/>
  <c r="CH35" i="7" s="1"/>
  <c r="CI35" i="7" s="1"/>
  <c r="CV35" i="7"/>
  <c r="CX35" i="7" s="1"/>
  <c r="BU83" i="7"/>
  <c r="AD83" i="11" s="1"/>
  <c r="AO86" i="2"/>
  <c r="BC86" i="2" s="1"/>
  <c r="B233" i="3"/>
  <c r="D84" i="2"/>
  <c r="F84" i="2" s="1"/>
  <c r="B113" i="9"/>
  <c r="W84" i="11" l="1"/>
  <c r="U84" i="2"/>
  <c r="AO84" i="11" s="1"/>
  <c r="AD83" i="2"/>
  <c r="L63" i="9"/>
  <c r="BK35" i="7" s="1"/>
  <c r="CB35" i="7" s="1"/>
  <c r="CC35" i="7" s="1"/>
  <c r="CK35" i="7" s="1"/>
  <c r="CQ35" i="7" s="1"/>
  <c r="C64" i="9"/>
  <c r="E64" i="9" s="1"/>
  <c r="H64" i="9" s="1"/>
  <c r="BA36" i="11" s="1"/>
  <c r="R35" i="11"/>
  <c r="G64" i="9"/>
  <c r="Q36" i="11" s="1"/>
  <c r="O64" i="9"/>
  <c r="BL36" i="7"/>
  <c r="BU84" i="7"/>
  <c r="AD84" i="11" s="1"/>
  <c r="AO87" i="2"/>
  <c r="BC87" i="2" s="1"/>
  <c r="B234" i="3"/>
  <c r="B114" i="9"/>
  <c r="D85" i="2"/>
  <c r="F85" i="2" s="1"/>
  <c r="W85" i="11" l="1"/>
  <c r="U85" i="2"/>
  <c r="AO85" i="11" s="1"/>
  <c r="J64" i="9"/>
  <c r="R36" i="11" s="1"/>
  <c r="CN35" i="7"/>
  <c r="I35" i="11" s="1"/>
  <c r="AD84" i="2"/>
  <c r="CS35" i="7"/>
  <c r="CU35" i="7" s="1"/>
  <c r="CY35" i="7" s="1"/>
  <c r="CZ35" i="7" s="1"/>
  <c r="I64" i="9"/>
  <c r="K64" i="9"/>
  <c r="CF36" i="7"/>
  <c r="CH36" i="7" s="1"/>
  <c r="CI36" i="7" s="1"/>
  <c r="CV36" i="7"/>
  <c r="CX36" i="7" s="1"/>
  <c r="BU85" i="7"/>
  <c r="AD85" i="11" s="1"/>
  <c r="AO88" i="2"/>
  <c r="BC88" i="2" s="1"/>
  <c r="B235" i="3"/>
  <c r="D86" i="2"/>
  <c r="F86" i="2" s="1"/>
  <c r="B115" i="9"/>
  <c r="W86" i="11" l="1"/>
  <c r="U86" i="2"/>
  <c r="C65" i="9"/>
  <c r="E65" i="9" s="1"/>
  <c r="F65" i="9"/>
  <c r="AY37" i="11" s="1"/>
  <c r="AD85" i="2"/>
  <c r="M64" i="9"/>
  <c r="AR37" i="7" s="1"/>
  <c r="CA37" i="7" s="1"/>
  <c r="L64" i="9"/>
  <c r="BK36" i="7" s="1"/>
  <c r="CB36" i="7" s="1"/>
  <c r="AO86" i="11"/>
  <c r="BU86" i="7"/>
  <c r="AD86" i="11" s="1"/>
  <c r="AO89" i="2"/>
  <c r="BC89" i="2" s="1"/>
  <c r="B236" i="3"/>
  <c r="B116" i="9"/>
  <c r="D87" i="2"/>
  <c r="F87" i="2" s="1"/>
  <c r="H65" i="9" l="1"/>
  <c r="BA37" i="11" s="1"/>
  <c r="G65" i="9"/>
  <c r="Q37" i="11" s="1"/>
  <c r="I65" i="9"/>
  <c r="W87" i="11"/>
  <c r="U87" i="2"/>
  <c r="AO87" i="11" s="1"/>
  <c r="O65" i="9"/>
  <c r="BL37" i="7"/>
  <c r="CF37" i="7" s="1"/>
  <c r="CH37" i="7" s="1"/>
  <c r="CI37" i="7" s="1"/>
  <c r="AD86" i="2"/>
  <c r="CS36" i="7"/>
  <c r="CU36" i="7" s="1"/>
  <c r="CY36" i="7" s="1"/>
  <c r="CZ36" i="7" s="1"/>
  <c r="CC36" i="7"/>
  <c r="CK36" i="7" s="1"/>
  <c r="BU87" i="7"/>
  <c r="AD87" i="11" s="1"/>
  <c r="AO90" i="2"/>
  <c r="BC90" i="2" s="1"/>
  <c r="B237" i="3"/>
  <c r="D88" i="2"/>
  <c r="V27" i="5" s="1"/>
  <c r="W27" i="5" s="1"/>
  <c r="B117" i="9"/>
  <c r="K65" i="9" l="1"/>
  <c r="L65" i="9" s="1"/>
  <c r="BK37" i="7" s="1"/>
  <c r="CB37" i="7" s="1"/>
  <c r="CS37" i="7" s="1"/>
  <c r="CU37" i="7" s="1"/>
  <c r="J65" i="9"/>
  <c r="R37" i="11" s="1"/>
  <c r="CV37" i="7"/>
  <c r="CX37" i="7" s="1"/>
  <c r="AD87" i="2"/>
  <c r="CN36" i="7"/>
  <c r="I36" i="11" s="1"/>
  <c r="CQ36" i="7"/>
  <c r="F88" i="2"/>
  <c r="AO91" i="2"/>
  <c r="BC91" i="2" s="1"/>
  <c r="B238" i="3"/>
  <c r="D89" i="2"/>
  <c r="F89" i="2" s="1"/>
  <c r="B118" i="9"/>
  <c r="C66" i="9" l="1"/>
  <c r="E66" i="9" s="1"/>
  <c r="F66" i="9"/>
  <c r="M65" i="9"/>
  <c r="AR38" i="7" s="1"/>
  <c r="CA38" i="7" s="1"/>
  <c r="BL38" i="7"/>
  <c r="CF38" i="7" s="1"/>
  <c r="CH38" i="7" s="1"/>
  <c r="CI38" i="7" s="1"/>
  <c r="O66" i="9"/>
  <c r="CC37" i="7"/>
  <c r="CK37" i="7" s="1"/>
  <c r="CN37" i="7" s="1"/>
  <c r="CY37" i="7"/>
  <c r="CZ37" i="7" s="1"/>
  <c r="W88" i="11"/>
  <c r="BF88" i="11" s="1"/>
  <c r="N35" i="20" s="1"/>
  <c r="U88" i="2"/>
  <c r="AO88" i="11" s="1"/>
  <c r="W89" i="11"/>
  <c r="U89" i="2"/>
  <c r="AO89" i="11" s="1"/>
  <c r="BU89" i="7"/>
  <c r="AD89" i="11" s="1"/>
  <c r="BU88" i="7"/>
  <c r="AO92" i="2"/>
  <c r="BC92" i="2" s="1"/>
  <c r="B239" i="3"/>
  <c r="D90" i="2"/>
  <c r="F90" i="2" s="1"/>
  <c r="B119" i="9"/>
  <c r="AY38" i="11" l="1"/>
  <c r="G66" i="9"/>
  <c r="Q38" i="11" s="1"/>
  <c r="H66" i="9"/>
  <c r="K66" i="9"/>
  <c r="L66" i="9" s="1"/>
  <c r="BK38" i="7" s="1"/>
  <c r="CB38" i="7" s="1"/>
  <c r="CV38" i="7"/>
  <c r="CX38" i="7" s="1"/>
  <c r="CQ37" i="7"/>
  <c r="W90" i="11"/>
  <c r="U90" i="2"/>
  <c r="AO90" i="11" s="1"/>
  <c r="AD88" i="11"/>
  <c r="BM88" i="11" s="1"/>
  <c r="N14" i="20" s="1"/>
  <c r="N15" i="20" s="1"/>
  <c r="N19" i="20" s="1"/>
  <c r="N67" i="20" s="1"/>
  <c r="B86" i="19"/>
  <c r="BX88" i="11"/>
  <c r="N36" i="20" s="1"/>
  <c r="N40" i="20" s="1"/>
  <c r="N41" i="20" s="1"/>
  <c r="I37" i="11"/>
  <c r="AD89" i="2"/>
  <c r="AD88" i="2"/>
  <c r="N86" i="19" s="1"/>
  <c r="BU90" i="7"/>
  <c r="AD90" i="11" s="1"/>
  <c r="AO93" i="2"/>
  <c r="BC93" i="2" s="1"/>
  <c r="B240" i="3"/>
  <c r="B120" i="9"/>
  <c r="D91" i="2"/>
  <c r="F91" i="2" s="1"/>
  <c r="M66" i="9" l="1"/>
  <c r="AR39" i="7" s="1"/>
  <c r="CA39" i="7" s="1"/>
  <c r="BA38" i="11"/>
  <c r="J66" i="9"/>
  <c r="I66" i="9"/>
  <c r="W91" i="11"/>
  <c r="U91" i="2"/>
  <c r="AO91" i="11" s="1"/>
  <c r="N42" i="20"/>
  <c r="AD90" i="2"/>
  <c r="CC38" i="7"/>
  <c r="CK38" i="7" s="1"/>
  <c r="CS38" i="7"/>
  <c r="CU38" i="7" s="1"/>
  <c r="CY38" i="7" s="1"/>
  <c r="CZ38" i="7" s="1"/>
  <c r="BU91" i="7"/>
  <c r="AD91" i="11" s="1"/>
  <c r="AO94" i="2"/>
  <c r="BC94" i="2" s="1"/>
  <c r="B241" i="3"/>
  <c r="D92" i="2"/>
  <c r="F92" i="2" s="1"/>
  <c r="B121" i="9"/>
  <c r="R38" i="11" l="1"/>
  <c r="F67" i="9"/>
  <c r="C67" i="9"/>
  <c r="E67" i="9" s="1"/>
  <c r="H67" i="9" s="1"/>
  <c r="BA39" i="11" s="1"/>
  <c r="G67" i="9"/>
  <c r="Q39" i="11" s="1"/>
  <c r="W92" i="11"/>
  <c r="U92" i="2"/>
  <c r="AO92" i="11" s="1"/>
  <c r="AD91" i="2"/>
  <c r="BU92" i="7"/>
  <c r="AD92" i="11" s="1"/>
  <c r="CQ38" i="7"/>
  <c r="CN38" i="7"/>
  <c r="I67" i="9"/>
  <c r="AO95" i="2"/>
  <c r="BC95" i="2" s="1"/>
  <c r="B242" i="3"/>
  <c r="D93" i="2"/>
  <c r="F93" i="2" s="1"/>
  <c r="B122" i="9"/>
  <c r="K67" i="9" l="1"/>
  <c r="L67" i="9" s="1"/>
  <c r="BK39" i="7" s="1"/>
  <c r="J67" i="9"/>
  <c r="R39" i="11" s="1"/>
  <c r="AY39" i="11"/>
  <c r="BL39" i="7"/>
  <c r="O67" i="9"/>
  <c r="W93" i="11"/>
  <c r="U93" i="2"/>
  <c r="I38" i="11"/>
  <c r="AD92" i="2"/>
  <c r="AO93" i="11"/>
  <c r="BU93" i="7"/>
  <c r="AD93" i="11" s="1"/>
  <c r="F68" i="9"/>
  <c r="AY40" i="11" s="1"/>
  <c r="AO96" i="2"/>
  <c r="BC96" i="2" s="1"/>
  <c r="B243" i="3"/>
  <c r="B123" i="9"/>
  <c r="D94" i="2"/>
  <c r="F94" i="2" s="1"/>
  <c r="C68" i="9" l="1"/>
  <c r="E68" i="9" s="1"/>
  <c r="M67" i="9"/>
  <c r="AR40" i="7" s="1"/>
  <c r="CA40" i="7" s="1"/>
  <c r="CV39" i="7"/>
  <c r="CX39" i="7" s="1"/>
  <c r="CF39" i="7"/>
  <c r="CH39" i="7" s="1"/>
  <c r="CI39" i="7" s="1"/>
  <c r="CB39" i="7"/>
  <c r="W94" i="11"/>
  <c r="U94" i="2"/>
  <c r="AO94" i="11" s="1"/>
  <c r="CH40" i="11"/>
  <c r="J56" i="20" s="1"/>
  <c r="AD93" i="2"/>
  <c r="O68" i="9"/>
  <c r="BL40" i="7"/>
  <c r="BU94" i="7"/>
  <c r="AD94" i="11" s="1"/>
  <c r="H68" i="9"/>
  <c r="BA40" i="11" s="1"/>
  <c r="G68" i="9"/>
  <c r="Q40" i="11" s="1"/>
  <c r="AO97" i="2"/>
  <c r="BC97" i="2" s="1"/>
  <c r="B244" i="3"/>
  <c r="B124" i="9"/>
  <c r="D95" i="2"/>
  <c r="F95" i="2" s="1"/>
  <c r="CS39" i="7" l="1"/>
  <c r="CU39" i="7" s="1"/>
  <c r="CY39" i="7" s="1"/>
  <c r="CZ39" i="7" s="1"/>
  <c r="CC39" i="7"/>
  <c r="CK39" i="7" s="1"/>
  <c r="CQ39" i="7" s="1"/>
  <c r="W95" i="11"/>
  <c r="U95" i="2"/>
  <c r="AO95" i="11" s="1"/>
  <c r="AD94" i="2"/>
  <c r="CV40" i="7"/>
  <c r="CX40" i="7" s="1"/>
  <c r="CF40" i="7"/>
  <c r="CH40" i="7" s="1"/>
  <c r="CI40" i="7" s="1"/>
  <c r="K68" i="9"/>
  <c r="M68" i="9" s="1"/>
  <c r="AR41" i="7" s="1"/>
  <c r="CA41" i="7" s="1"/>
  <c r="CJ40" i="11"/>
  <c r="J76" i="20" s="1"/>
  <c r="BU95" i="7"/>
  <c r="AD95" i="11" s="1"/>
  <c r="I68" i="9"/>
  <c r="J68" i="9"/>
  <c r="AO98" i="2"/>
  <c r="BC98" i="2" s="1"/>
  <c r="B245" i="3"/>
  <c r="D96" i="2"/>
  <c r="F96" i="2" s="1"/>
  <c r="B125" i="9"/>
  <c r="CN39" i="7" l="1"/>
  <c r="I39" i="11" s="1"/>
  <c r="W96" i="11"/>
  <c r="U96" i="2"/>
  <c r="AO96" i="11" s="1"/>
  <c r="AD95" i="2"/>
  <c r="L68" i="9"/>
  <c r="BK40" i="7" s="1"/>
  <c r="CB40" i="7" s="1"/>
  <c r="F69" i="9"/>
  <c r="AY41" i="11" s="1"/>
  <c r="R40" i="11"/>
  <c r="BU96" i="7"/>
  <c r="AD96" i="11" s="1"/>
  <c r="C69" i="9"/>
  <c r="E69" i="9" s="1"/>
  <c r="AO99" i="2"/>
  <c r="BC99" i="2" s="1"/>
  <c r="B246" i="3"/>
  <c r="B126" i="9"/>
  <c r="D97" i="2"/>
  <c r="F97" i="2" s="1"/>
  <c r="W97" i="11" l="1"/>
  <c r="U97" i="2"/>
  <c r="AO97" i="11" s="1"/>
  <c r="AD96" i="2"/>
  <c r="G69" i="9"/>
  <c r="Q41" i="11" s="1"/>
  <c r="BL41" i="7"/>
  <c r="O69" i="9"/>
  <c r="CC40" i="7"/>
  <c r="CS40" i="7"/>
  <c r="CU40" i="7" s="1"/>
  <c r="CY40" i="7" s="1"/>
  <c r="CZ40" i="7" s="1"/>
  <c r="H69" i="9"/>
  <c r="BA41" i="11" s="1"/>
  <c r="BU97" i="7"/>
  <c r="AD97" i="11" s="1"/>
  <c r="AO100" i="2"/>
  <c r="BC100" i="2" s="1"/>
  <c r="B247" i="3"/>
  <c r="D98" i="2"/>
  <c r="F98" i="2" s="1"/>
  <c r="B127" i="9"/>
  <c r="W98" i="11" l="1"/>
  <c r="U98" i="2"/>
  <c r="I69" i="9"/>
  <c r="AD97" i="2"/>
  <c r="CF41" i="7"/>
  <c r="CH41" i="7" s="1"/>
  <c r="CI41" i="7" s="1"/>
  <c r="CV41" i="7"/>
  <c r="CX41" i="7" s="1"/>
  <c r="K69" i="9"/>
  <c r="M69" i="9" s="1"/>
  <c r="AR42" i="7" s="1"/>
  <c r="CA42" i="7" s="1"/>
  <c r="CK40" i="7"/>
  <c r="CQ40" i="7" s="1"/>
  <c r="J69" i="9"/>
  <c r="F70" i="9" s="1"/>
  <c r="AY42" i="11" s="1"/>
  <c r="AO98" i="11"/>
  <c r="BU98" i="7"/>
  <c r="AD98" i="11" s="1"/>
  <c r="AO101" i="2"/>
  <c r="BC101" i="2" s="1"/>
  <c r="B248" i="3"/>
  <c r="B128" i="9"/>
  <c r="D99" i="2"/>
  <c r="F99" i="2" s="1"/>
  <c r="W99" i="11" l="1"/>
  <c r="U99" i="2"/>
  <c r="AO99" i="11" s="1"/>
  <c r="AD98" i="2"/>
  <c r="O70" i="9"/>
  <c r="BL42" i="7"/>
  <c r="CV42" i="7" s="1"/>
  <c r="CX42" i="7" s="1"/>
  <c r="L69" i="9"/>
  <c r="BK41" i="7" s="1"/>
  <c r="CB41" i="7" s="1"/>
  <c r="G70" i="9"/>
  <c r="Q42" i="11" s="1"/>
  <c r="CN40" i="7"/>
  <c r="C70" i="9"/>
  <c r="E70" i="9" s="1"/>
  <c r="H70" i="9" s="1"/>
  <c r="BA42" i="11" s="1"/>
  <c r="R41" i="11"/>
  <c r="BU99" i="7"/>
  <c r="AD99" i="11" s="1"/>
  <c r="AO102" i="2"/>
  <c r="BC102" i="2" s="1"/>
  <c r="B249" i="3"/>
  <c r="B129" i="9"/>
  <c r="D100" i="2"/>
  <c r="V28" i="5" s="1"/>
  <c r="W28" i="5" s="1"/>
  <c r="CF42" i="7" l="1"/>
  <c r="CH42" i="7" s="1"/>
  <c r="CI42" i="7" s="1"/>
  <c r="AD99" i="2"/>
  <c r="K70" i="9"/>
  <c r="M70" i="9" s="1"/>
  <c r="AR43" i="7" s="1"/>
  <c r="CA43" i="7" s="1"/>
  <c r="I70" i="9"/>
  <c r="J70" i="9"/>
  <c r="C71" i="9" s="1"/>
  <c r="E71" i="9" s="1"/>
  <c r="I40" i="11"/>
  <c r="CC41" i="7"/>
  <c r="CS41" i="7"/>
  <c r="CU41" i="7" s="1"/>
  <c r="CY41" i="7" s="1"/>
  <c r="CZ41" i="7" s="1"/>
  <c r="F100" i="2"/>
  <c r="AO103" i="2"/>
  <c r="BC103" i="2" s="1"/>
  <c r="B250" i="3"/>
  <c r="D101" i="2"/>
  <c r="F101" i="2" s="1"/>
  <c r="B130" i="9"/>
  <c r="W101" i="11" l="1"/>
  <c r="U101" i="2"/>
  <c r="AO101" i="11" s="1"/>
  <c r="W100" i="11"/>
  <c r="BF100" i="11" s="1"/>
  <c r="O35" i="20" s="1"/>
  <c r="U100" i="2"/>
  <c r="AO100" i="11" s="1"/>
  <c r="L70" i="9"/>
  <c r="BK42" i="7" s="1"/>
  <c r="CB42" i="7" s="1"/>
  <c r="CS42" i="7" s="1"/>
  <c r="CU42" i="7" s="1"/>
  <c r="CY42" i="7" s="1"/>
  <c r="CZ42" i="7" s="1"/>
  <c r="F71" i="9"/>
  <c r="AY43" i="11" s="1"/>
  <c r="G71" i="9"/>
  <c r="Q43" i="11" s="1"/>
  <c r="R42" i="11"/>
  <c r="CK41" i="7"/>
  <c r="CQ41" i="7" s="1"/>
  <c r="BU100" i="7"/>
  <c r="BU101" i="7"/>
  <c r="AD101" i="11" s="1"/>
  <c r="AO104" i="2"/>
  <c r="BC104" i="2" s="1"/>
  <c r="B251" i="3"/>
  <c r="D102" i="2"/>
  <c r="F102" i="2" s="1"/>
  <c r="B131" i="9"/>
  <c r="H71" i="9" l="1"/>
  <c r="W102" i="11"/>
  <c r="U102" i="2"/>
  <c r="AO102" i="11" s="1"/>
  <c r="BL43" i="7"/>
  <c r="CV43" i="7" s="1"/>
  <c r="CX43" i="7" s="1"/>
  <c r="AD100" i="11"/>
  <c r="BM100" i="11" s="1"/>
  <c r="O14" i="20" s="1"/>
  <c r="O15" i="20" s="1"/>
  <c r="O19" i="20" s="1"/>
  <c r="O67" i="20" s="1"/>
  <c r="O71" i="9"/>
  <c r="B98" i="19"/>
  <c r="BX100" i="11"/>
  <c r="O36" i="20" s="1"/>
  <c r="O40" i="20" s="1"/>
  <c r="O41" i="20" s="1"/>
  <c r="I71" i="9"/>
  <c r="CC42" i="7"/>
  <c r="CK42" i="7" s="1"/>
  <c r="CN42" i="7" s="1"/>
  <c r="CN41" i="7"/>
  <c r="AD101" i="2"/>
  <c r="AD100" i="2"/>
  <c r="N98" i="19" s="1"/>
  <c r="BU102" i="7"/>
  <c r="AD102" i="11" s="1"/>
  <c r="AO105" i="2"/>
  <c r="BC105" i="2" s="1"/>
  <c r="B252" i="3"/>
  <c r="B132" i="9"/>
  <c r="D103" i="2"/>
  <c r="F103" i="2" s="1"/>
  <c r="K71" i="9" l="1"/>
  <c r="M71" i="9" s="1"/>
  <c r="AR44" i="7" s="1"/>
  <c r="BA43" i="11"/>
  <c r="J71" i="9"/>
  <c r="R43" i="11" s="1"/>
  <c r="W103" i="11"/>
  <c r="U103" i="2"/>
  <c r="AO103" i="11" s="1"/>
  <c r="CF43" i="7"/>
  <c r="CH43" i="7" s="1"/>
  <c r="CI43" i="7" s="1"/>
  <c r="O42" i="20"/>
  <c r="AD102" i="2"/>
  <c r="CQ42" i="7"/>
  <c r="I41" i="11"/>
  <c r="I42" i="11"/>
  <c r="BU103" i="7"/>
  <c r="AD103" i="11" s="1"/>
  <c r="AO106" i="2"/>
  <c r="BC106" i="2" s="1"/>
  <c r="B253" i="3"/>
  <c r="B133" i="9"/>
  <c r="D104" i="2"/>
  <c r="F104" i="2" s="1"/>
  <c r="L71" i="9" l="1"/>
  <c r="BK43" i="7" s="1"/>
  <c r="CB43" i="7" s="1"/>
  <c r="CS43" i="7" s="1"/>
  <c r="CU43" i="7" s="1"/>
  <c r="CY43" i="7" s="1"/>
  <c r="CZ43" i="7" s="1"/>
  <c r="F72" i="9"/>
  <c r="AY44" i="11" s="1"/>
  <c r="C72" i="9"/>
  <c r="E72" i="9" s="1"/>
  <c r="G72" i="9"/>
  <c r="Q44" i="11" s="1"/>
  <c r="H72" i="9"/>
  <c r="BA44" i="11" s="1"/>
  <c r="W104" i="11"/>
  <c r="U104" i="2"/>
  <c r="AO104" i="11" s="1"/>
  <c r="BL44" i="7"/>
  <c r="O72" i="9"/>
  <c r="AD103" i="2"/>
  <c r="BU104" i="7"/>
  <c r="AD104" i="11" s="1"/>
  <c r="AO107" i="2"/>
  <c r="BC107" i="2" s="1"/>
  <c r="B254" i="3"/>
  <c r="B134" i="9"/>
  <c r="D105" i="2"/>
  <c r="F105" i="2" s="1"/>
  <c r="CC43" i="7" l="1"/>
  <c r="CK43" i="7" s="1"/>
  <c r="CN43" i="7" s="1"/>
  <c r="I43" i="11" s="1"/>
  <c r="I72" i="9"/>
  <c r="K72" i="9"/>
  <c r="L72" i="9" s="1"/>
  <c r="BK44" i="7" s="1"/>
  <c r="J72" i="9"/>
  <c r="R44" i="11" s="1"/>
  <c r="W105" i="11"/>
  <c r="U105" i="2"/>
  <c r="AO105" i="11" s="1"/>
  <c r="AD104" i="2"/>
  <c r="BU105" i="7"/>
  <c r="AD105" i="11" s="1"/>
  <c r="AO108" i="2"/>
  <c r="BC108" i="2" s="1"/>
  <c r="B255" i="3"/>
  <c r="B135" i="9"/>
  <c r="D106" i="2"/>
  <c r="F106" i="2" s="1"/>
  <c r="CQ43" i="7" l="1"/>
  <c r="M72" i="9"/>
  <c r="AR45" i="7" s="1"/>
  <c r="CA45" i="7" s="1"/>
  <c r="F73" i="9"/>
  <c r="AY45" i="11" s="1"/>
  <c r="C73" i="9"/>
  <c r="E73" i="9" s="1"/>
  <c r="H73" i="9" s="1"/>
  <c r="BA45" i="11" s="1"/>
  <c r="W106" i="11"/>
  <c r="U106" i="2"/>
  <c r="AO106" i="11" s="1"/>
  <c r="AD105" i="2"/>
  <c r="G73" i="9"/>
  <c r="Q45" i="11" s="1"/>
  <c r="BU106" i="7"/>
  <c r="AD106" i="11" s="1"/>
  <c r="AO109" i="2"/>
  <c r="BC109" i="2" s="1"/>
  <c r="B256" i="3"/>
  <c r="D107" i="2"/>
  <c r="F107" i="2" s="1"/>
  <c r="B136" i="9"/>
  <c r="O73" i="9" l="1"/>
  <c r="BL45" i="7"/>
  <c r="CV45" i="7" s="1"/>
  <c r="CX45" i="7" s="1"/>
  <c r="W107" i="11"/>
  <c r="U107" i="2"/>
  <c r="AO107" i="11" s="1"/>
  <c r="AD106" i="2"/>
  <c r="J73" i="9"/>
  <c r="R45" i="11" s="1"/>
  <c r="BU107" i="7"/>
  <c r="AD107" i="11" s="1"/>
  <c r="K73" i="9"/>
  <c r="I73" i="9"/>
  <c r="AO110" i="2"/>
  <c r="BC110" i="2" s="1"/>
  <c r="B257" i="3"/>
  <c r="B137" i="9"/>
  <c r="D108" i="2"/>
  <c r="F108" i="2" s="1"/>
  <c r="CF45" i="7" l="1"/>
  <c r="CH45" i="7" s="1"/>
  <c r="CI45" i="7" s="1"/>
  <c r="W108" i="11"/>
  <c r="U108" i="2"/>
  <c r="AO108" i="11" s="1"/>
  <c r="F74" i="9"/>
  <c r="AY46" i="11" s="1"/>
  <c r="G74" i="9"/>
  <c r="Q46" i="11" s="1"/>
  <c r="C74" i="9"/>
  <c r="E74" i="9" s="1"/>
  <c r="H74" i="9" s="1"/>
  <c r="BA46" i="11" s="1"/>
  <c r="AD107" i="2"/>
  <c r="BU108" i="7"/>
  <c r="AD108" i="11" s="1"/>
  <c r="M73" i="9"/>
  <c r="AR46" i="7" s="1"/>
  <c r="CA46" i="7" s="1"/>
  <c r="L73" i="9"/>
  <c r="BK45" i="7" s="1"/>
  <c r="CB45" i="7" s="1"/>
  <c r="AO111" i="2"/>
  <c r="BC111" i="2" s="1"/>
  <c r="B258" i="3"/>
  <c r="D109" i="2"/>
  <c r="F109" i="2" s="1"/>
  <c r="B138" i="9"/>
  <c r="W109" i="11" l="1"/>
  <c r="U109" i="2"/>
  <c r="BL46" i="7"/>
  <c r="CF46" i="7" s="1"/>
  <c r="CH46" i="7" s="1"/>
  <c r="CI46" i="7" s="1"/>
  <c r="O74" i="9"/>
  <c r="J74" i="9"/>
  <c r="R46" i="11" s="1"/>
  <c r="AD108" i="2"/>
  <c r="I74" i="9"/>
  <c r="K74" i="9"/>
  <c r="CC45" i="7"/>
  <c r="CK45" i="7" s="1"/>
  <c r="CS45" i="7"/>
  <c r="CU45" i="7" s="1"/>
  <c r="CY45" i="7" s="1"/>
  <c r="CZ45" i="7" s="1"/>
  <c r="AO109" i="11"/>
  <c r="BU109" i="7"/>
  <c r="AD109" i="11" s="1"/>
  <c r="AO112" i="2"/>
  <c r="BC112" i="2" s="1"/>
  <c r="B259" i="3"/>
  <c r="B139" i="9"/>
  <c r="D110" i="2"/>
  <c r="F110" i="2" s="1"/>
  <c r="F75" i="9" l="1"/>
  <c r="AY47" i="11" s="1"/>
  <c r="W110" i="11"/>
  <c r="U110" i="2"/>
  <c r="AO110" i="11" s="1"/>
  <c r="CV46" i="7"/>
  <c r="CX46" i="7" s="1"/>
  <c r="C75" i="9"/>
  <c r="E75" i="9" s="1"/>
  <c r="AD109" i="2"/>
  <c r="H75" i="9"/>
  <c r="BA47" i="11" s="1"/>
  <c r="M74" i="9"/>
  <c r="AR47" i="7" s="1"/>
  <c r="CA47" i="7" s="1"/>
  <c r="L74" i="9"/>
  <c r="BK46" i="7" s="1"/>
  <c r="CB46" i="7" s="1"/>
  <c r="CS46" i="7" s="1"/>
  <c r="CU46" i="7" s="1"/>
  <c r="BU110" i="7"/>
  <c r="AD110" i="11" s="1"/>
  <c r="CQ45" i="7"/>
  <c r="CN45" i="7"/>
  <c r="AO113" i="2"/>
  <c r="BC113" i="2" s="1"/>
  <c r="B260" i="3"/>
  <c r="B140" i="9"/>
  <c r="D111" i="2"/>
  <c r="F111" i="2" s="1"/>
  <c r="G75" i="9" l="1"/>
  <c r="Q47" i="11" s="1"/>
  <c r="BL47" i="7"/>
  <c r="CV47" i="7" s="1"/>
  <c r="CX47" i="7" s="1"/>
  <c r="O75" i="9"/>
  <c r="CY46" i="7"/>
  <c r="CZ46" i="7" s="1"/>
  <c r="W111" i="11"/>
  <c r="U111" i="2"/>
  <c r="AO111" i="11" s="1"/>
  <c r="K75" i="9"/>
  <c r="L75" i="9" s="1"/>
  <c r="BK47" i="7" s="1"/>
  <c r="AD110" i="2"/>
  <c r="I75" i="9"/>
  <c r="CC46" i="7"/>
  <c r="CK46" i="7" s="1"/>
  <c r="CQ46" i="7" s="1"/>
  <c r="J75" i="9"/>
  <c r="I45" i="11"/>
  <c r="BU111" i="7"/>
  <c r="AD111" i="11" s="1"/>
  <c r="AO114" i="2"/>
  <c r="BC114" i="2" s="1"/>
  <c r="B261" i="3"/>
  <c r="D112" i="2"/>
  <c r="V29" i="5" s="1"/>
  <c r="W29" i="5" s="1"/>
  <c r="B141" i="9"/>
  <c r="CF47" i="7" l="1"/>
  <c r="CH47" i="7" s="1"/>
  <c r="CI47" i="7" s="1"/>
  <c r="CB47" i="7"/>
  <c r="CS47" i="7" s="1"/>
  <c r="CU47" i="7" s="1"/>
  <c r="CY47" i="7" s="1"/>
  <c r="CZ47" i="7" s="1"/>
  <c r="M75" i="9"/>
  <c r="AR48" i="7" s="1"/>
  <c r="AD111" i="2"/>
  <c r="CN46" i="7"/>
  <c r="I46" i="11" s="1"/>
  <c r="C76" i="9"/>
  <c r="E76" i="9" s="1"/>
  <c r="R47" i="11"/>
  <c r="F76" i="9"/>
  <c r="AY48" i="11" s="1"/>
  <c r="F112" i="2"/>
  <c r="AO115" i="2"/>
  <c r="BC115" i="2" s="1"/>
  <c r="B262" i="3"/>
  <c r="B142" i="9"/>
  <c r="D113" i="2"/>
  <c r="F113" i="2" s="1"/>
  <c r="CC47" i="7" l="1"/>
  <c r="CK47" i="7" s="1"/>
  <c r="CQ47" i="7" s="1"/>
  <c r="W113" i="11"/>
  <c r="U113" i="2"/>
  <c r="AO113" i="11" s="1"/>
  <c r="W112" i="11"/>
  <c r="BF112" i="11" s="1"/>
  <c r="P35" i="20" s="1"/>
  <c r="U112" i="2"/>
  <c r="AO112" i="11" s="1"/>
  <c r="G76" i="9"/>
  <c r="Q48" i="11" s="1"/>
  <c r="O76" i="9"/>
  <c r="BL48" i="7"/>
  <c r="H76" i="9"/>
  <c r="BA48" i="11" s="1"/>
  <c r="BU113" i="7"/>
  <c r="AD113" i="11" s="1"/>
  <c r="BU112" i="7"/>
  <c r="AO116" i="2"/>
  <c r="BC116" i="2" s="1"/>
  <c r="B263" i="3"/>
  <c r="B143" i="9"/>
  <c r="D114" i="2"/>
  <c r="F114" i="2" s="1"/>
  <c r="CN47" i="7" l="1"/>
  <c r="I47" i="11" s="1"/>
  <c r="W114" i="11"/>
  <c r="U114" i="2"/>
  <c r="AD112" i="11"/>
  <c r="BM112" i="11" s="1"/>
  <c r="P14" i="20" s="1"/>
  <c r="P15" i="20" s="1"/>
  <c r="P19" i="20" s="1"/>
  <c r="P67" i="20" s="1"/>
  <c r="B110" i="19"/>
  <c r="BX112" i="11"/>
  <c r="P36" i="20" s="1"/>
  <c r="P40" i="20" s="1"/>
  <c r="P41" i="20" s="1"/>
  <c r="J76" i="9"/>
  <c r="I76" i="9"/>
  <c r="K76" i="9"/>
  <c r="AD113" i="2"/>
  <c r="AD112" i="2"/>
  <c r="N110" i="19" s="1"/>
  <c r="AO114" i="11"/>
  <c r="BU114" i="7"/>
  <c r="AD114" i="11" s="1"/>
  <c r="AO117" i="2"/>
  <c r="BC117" i="2" s="1"/>
  <c r="B264" i="3"/>
  <c r="B144" i="9"/>
  <c r="D115" i="2"/>
  <c r="F115" i="2" s="1"/>
  <c r="W115" i="11" l="1"/>
  <c r="U115" i="2"/>
  <c r="AO115" i="11" s="1"/>
  <c r="P42" i="20"/>
  <c r="AD114" i="2"/>
  <c r="M76" i="9"/>
  <c r="AR49" i="7" s="1"/>
  <c r="CA49" i="7" s="1"/>
  <c r="L76" i="9"/>
  <c r="BK48" i="7" s="1"/>
  <c r="R48" i="11"/>
  <c r="F77" i="9"/>
  <c r="AY49" i="11" s="1"/>
  <c r="C77" i="9"/>
  <c r="E77" i="9" s="1"/>
  <c r="BU115" i="7"/>
  <c r="AD115" i="11" s="1"/>
  <c r="AO118" i="2"/>
  <c r="BC118" i="2" s="1"/>
  <c r="B265" i="3"/>
  <c r="D116" i="2"/>
  <c r="F116" i="2" s="1"/>
  <c r="B145" i="9"/>
  <c r="H77" i="9" l="1"/>
  <c r="BA49" i="11" s="1"/>
  <c r="W116" i="11"/>
  <c r="U116" i="2"/>
  <c r="AO116" i="11" s="1"/>
  <c r="AD115" i="2"/>
  <c r="O77" i="9"/>
  <c r="BL49" i="7"/>
  <c r="I77" i="9"/>
  <c r="G77" i="9"/>
  <c r="Q49" i="11" s="1"/>
  <c r="BU116" i="7"/>
  <c r="AD116" i="11" s="1"/>
  <c r="AO119" i="2"/>
  <c r="BC119" i="2" s="1"/>
  <c r="B266" i="3"/>
  <c r="B146" i="9"/>
  <c r="D117" i="2"/>
  <c r="F117" i="2" s="1"/>
  <c r="K77" i="9" l="1"/>
  <c r="J77" i="9"/>
  <c r="W117" i="11"/>
  <c r="U117" i="2"/>
  <c r="AO117" i="11" s="1"/>
  <c r="AD116" i="2"/>
  <c r="CF49" i="7"/>
  <c r="CH49" i="7" s="1"/>
  <c r="CI49" i="7" s="1"/>
  <c r="CV49" i="7"/>
  <c r="CX49" i="7" s="1"/>
  <c r="M77" i="9"/>
  <c r="AR50" i="7" s="1"/>
  <c r="CA50" i="7" s="1"/>
  <c r="L77" i="9"/>
  <c r="BK49" i="7" s="1"/>
  <c r="CB49" i="7" s="1"/>
  <c r="R49" i="11"/>
  <c r="C78" i="9"/>
  <c r="E78" i="9" s="1"/>
  <c r="F78" i="9"/>
  <c r="AY50" i="11" s="1"/>
  <c r="BU117" i="7"/>
  <c r="AD117" i="11" s="1"/>
  <c r="AO120" i="2"/>
  <c r="BC120" i="2" s="1"/>
  <c r="B267" i="3"/>
  <c r="D118" i="2"/>
  <c r="F118" i="2" s="1"/>
  <c r="B147" i="9"/>
  <c r="W118" i="11" l="1"/>
  <c r="U118" i="2"/>
  <c r="AD117" i="2"/>
  <c r="H78" i="9"/>
  <c r="BA50" i="11" s="1"/>
  <c r="G78" i="9"/>
  <c r="Q50" i="11" s="1"/>
  <c r="BL50" i="7"/>
  <c r="O78" i="9"/>
  <c r="CC49" i="7"/>
  <c r="CK49" i="7" s="1"/>
  <c r="CS49" i="7"/>
  <c r="CU49" i="7" s="1"/>
  <c r="CY49" i="7" s="1"/>
  <c r="CZ49" i="7" s="1"/>
  <c r="AO118" i="11"/>
  <c r="BU118" i="7"/>
  <c r="AD118" i="11" s="1"/>
  <c r="AO121" i="2"/>
  <c r="BC121" i="2" s="1"/>
  <c r="B268" i="3"/>
  <c r="B148" i="9"/>
  <c r="D119" i="2"/>
  <c r="F119" i="2" s="1"/>
  <c r="K78" i="9" l="1"/>
  <c r="I78" i="9"/>
  <c r="W119" i="11"/>
  <c r="U119" i="2"/>
  <c r="AO119" i="11" s="1"/>
  <c r="J78" i="9"/>
  <c r="C79" i="9" s="1"/>
  <c r="E79" i="9" s="1"/>
  <c r="CF50" i="7"/>
  <c r="CH50" i="7" s="1"/>
  <c r="CI50" i="7" s="1"/>
  <c r="CV50" i="7"/>
  <c r="CX50" i="7" s="1"/>
  <c r="CN49" i="7"/>
  <c r="I49" i="11" s="1"/>
  <c r="CQ49" i="7"/>
  <c r="M78" i="9"/>
  <c r="AR51" i="7" s="1"/>
  <c r="CA51" i="7" s="1"/>
  <c r="L78" i="9"/>
  <c r="BK50" i="7" s="1"/>
  <c r="CB50" i="7" s="1"/>
  <c r="AD118" i="2"/>
  <c r="BU119" i="7"/>
  <c r="AD119" i="11" s="1"/>
  <c r="AO122" i="2"/>
  <c r="BC122" i="2" s="1"/>
  <c r="B269" i="3"/>
  <c r="B149" i="9"/>
  <c r="D120" i="2"/>
  <c r="F120" i="2" s="1"/>
  <c r="W120" i="11" l="1"/>
  <c r="U120" i="2"/>
  <c r="R50" i="11"/>
  <c r="F79" i="9"/>
  <c r="AY51" i="11" s="1"/>
  <c r="AD119" i="2"/>
  <c r="CS50" i="7"/>
  <c r="CU50" i="7" s="1"/>
  <c r="CY50" i="7" s="1"/>
  <c r="CZ50" i="7" s="1"/>
  <c r="CC50" i="7"/>
  <c r="CK50" i="7" s="1"/>
  <c r="AO120" i="11"/>
  <c r="BU120" i="7"/>
  <c r="AD120" i="11" s="1"/>
  <c r="AO123" i="2"/>
  <c r="BC123" i="2" s="1"/>
  <c r="B270" i="3"/>
  <c r="B150" i="9"/>
  <c r="D121" i="2"/>
  <c r="F121" i="2" s="1"/>
  <c r="G79" i="9" l="1"/>
  <c r="Q51" i="11" s="1"/>
  <c r="H79" i="9"/>
  <c r="BA51" i="11" s="1"/>
  <c r="W121" i="11"/>
  <c r="U121" i="2"/>
  <c r="AO121" i="11" s="1"/>
  <c r="O79" i="9"/>
  <c r="BL51" i="7"/>
  <c r="CF51" i="7" s="1"/>
  <c r="CH51" i="7" s="1"/>
  <c r="CI51" i="7" s="1"/>
  <c r="AD120" i="2"/>
  <c r="CQ50" i="7"/>
  <c r="CN50" i="7"/>
  <c r="I50" i="11" s="1"/>
  <c r="BU121" i="7"/>
  <c r="AD121" i="11" s="1"/>
  <c r="AO124" i="2"/>
  <c r="BC124" i="2" s="1"/>
  <c r="B271" i="3"/>
  <c r="B151" i="9"/>
  <c r="D122" i="2"/>
  <c r="F122" i="2" s="1"/>
  <c r="K79" i="9" l="1"/>
  <c r="J79" i="9"/>
  <c r="I79" i="9"/>
  <c r="W122" i="11"/>
  <c r="U122" i="2"/>
  <c r="AO122" i="11" s="1"/>
  <c r="CV51" i="7"/>
  <c r="CX51" i="7" s="1"/>
  <c r="AD121" i="2"/>
  <c r="BU122" i="7"/>
  <c r="AD122" i="11" s="1"/>
  <c r="AO125" i="2"/>
  <c r="BC125" i="2" s="1"/>
  <c r="B272" i="3"/>
  <c r="B152" i="9"/>
  <c r="D123" i="2"/>
  <c r="F123" i="2" s="1"/>
  <c r="R51" i="11" l="1"/>
  <c r="F80" i="9"/>
  <c r="AY52" i="11" s="1"/>
  <c r="C80" i="9"/>
  <c r="E80" i="9" s="1"/>
  <c r="H80" i="9" s="1"/>
  <c r="BA52" i="11" s="1"/>
  <c r="L79" i="9"/>
  <c r="BK51" i="7" s="1"/>
  <c r="CB51" i="7" s="1"/>
  <c r="CS51" i="7" s="1"/>
  <c r="CU51" i="7" s="1"/>
  <c r="CY51" i="7" s="1"/>
  <c r="CZ51" i="7" s="1"/>
  <c r="M79" i="9"/>
  <c r="AR52" i="7" s="1"/>
  <c r="CA52" i="7" s="1"/>
  <c r="W123" i="11"/>
  <c r="U123" i="2"/>
  <c r="AO123" i="11" s="1"/>
  <c r="AD122" i="2"/>
  <c r="BU123" i="7"/>
  <c r="AD123" i="11" s="1"/>
  <c r="AO126" i="2"/>
  <c r="BC126" i="2" s="1"/>
  <c r="B273" i="3"/>
  <c r="D124" i="2"/>
  <c r="V30" i="5" s="1"/>
  <c r="W30" i="5" s="1"/>
  <c r="B153" i="9"/>
  <c r="CC51" i="7" l="1"/>
  <c r="CK51" i="7" s="1"/>
  <c r="CN51" i="7" s="1"/>
  <c r="I51" i="11" s="1"/>
  <c r="CH52" i="11"/>
  <c r="K56" i="20" s="1"/>
  <c r="G80" i="9"/>
  <c r="Q52" i="11" s="1"/>
  <c r="O80" i="9"/>
  <c r="BL52" i="7"/>
  <c r="CJ52" i="11"/>
  <c r="K76" i="20" s="1"/>
  <c r="I80" i="9"/>
  <c r="J80" i="9"/>
  <c r="K80" i="9"/>
  <c r="AD123" i="2"/>
  <c r="F124" i="2"/>
  <c r="AO127" i="2"/>
  <c r="BC127" i="2" s="1"/>
  <c r="B274" i="3"/>
  <c r="B154" i="9"/>
  <c r="D125" i="2"/>
  <c r="F125" i="2" s="1"/>
  <c r="CQ51" i="7" l="1"/>
  <c r="CV52" i="7"/>
  <c r="CX52" i="7" s="1"/>
  <c r="CF52" i="7"/>
  <c r="CH52" i="7" s="1"/>
  <c r="CI52" i="7" s="1"/>
  <c r="R52" i="11"/>
  <c r="F81" i="9"/>
  <c r="AY53" i="11" s="1"/>
  <c r="C81" i="9"/>
  <c r="E81" i="9" s="1"/>
  <c r="H81" i="9" s="1"/>
  <c r="BA53" i="11" s="1"/>
  <c r="M80" i="9"/>
  <c r="AR53" i="7" s="1"/>
  <c r="CA53" i="7" s="1"/>
  <c r="L80" i="9"/>
  <c r="BK52" i="7" s="1"/>
  <c r="CB52" i="7" s="1"/>
  <c r="W125" i="11"/>
  <c r="U125" i="2"/>
  <c r="AO125" i="11" s="1"/>
  <c r="W124" i="11"/>
  <c r="BF124" i="11" s="1"/>
  <c r="Q35" i="20" s="1"/>
  <c r="U124" i="2"/>
  <c r="AO124" i="11" s="1"/>
  <c r="BU125" i="7"/>
  <c r="AD125" i="11" s="1"/>
  <c r="BU124" i="7"/>
  <c r="AO128" i="2"/>
  <c r="BC128" i="2" s="1"/>
  <c r="B275" i="3"/>
  <c r="D126" i="2"/>
  <c r="F126" i="2" s="1"/>
  <c r="B155" i="9"/>
  <c r="BL53" i="7" l="1"/>
  <c r="O81" i="9"/>
  <c r="J81" i="9"/>
  <c r="CS52" i="7"/>
  <c r="CU52" i="7" s="1"/>
  <c r="CY52" i="7" s="1"/>
  <c r="CZ52" i="7" s="1"/>
  <c r="CC52" i="7"/>
  <c r="CK52" i="7" s="1"/>
  <c r="K81" i="9"/>
  <c r="G81" i="9"/>
  <c r="Q53" i="11" s="1"/>
  <c r="I81" i="9"/>
  <c r="W126" i="11"/>
  <c r="U126" i="2"/>
  <c r="AO126" i="11" s="1"/>
  <c r="AD124" i="11"/>
  <c r="BM124" i="11" s="1"/>
  <c r="Q14" i="20" s="1"/>
  <c r="Q15" i="20" s="1"/>
  <c r="Q19" i="20" s="1"/>
  <c r="Q67" i="20" s="1"/>
  <c r="B122" i="19"/>
  <c r="BX124" i="11"/>
  <c r="Q36" i="20" s="1"/>
  <c r="Q40" i="20" s="1"/>
  <c r="Q41" i="20" s="1"/>
  <c r="AD125" i="2"/>
  <c r="AD124" i="2"/>
  <c r="N122" i="19" s="1"/>
  <c r="BU126" i="7"/>
  <c r="AD126" i="11" s="1"/>
  <c r="AO129" i="2"/>
  <c r="BC129" i="2" s="1"/>
  <c r="B276" i="3"/>
  <c r="B156" i="9"/>
  <c r="D127" i="2"/>
  <c r="F127" i="2" s="1"/>
  <c r="R53" i="11" l="1"/>
  <c r="C82" i="9"/>
  <c r="E82" i="9" s="1"/>
  <c r="F82" i="9"/>
  <c r="AY54" i="11" s="1"/>
  <c r="CN52" i="7"/>
  <c r="I52" i="11" s="1"/>
  <c r="CQ52" i="7"/>
  <c r="H82" i="9"/>
  <c r="BA54" i="11" s="1"/>
  <c r="CV53" i="7"/>
  <c r="CX53" i="7" s="1"/>
  <c r="CF53" i="7"/>
  <c r="CH53" i="7" s="1"/>
  <c r="CI53" i="7" s="1"/>
  <c r="M81" i="9"/>
  <c r="AR54" i="7" s="1"/>
  <c r="CA54" i="7" s="1"/>
  <c r="L81" i="9"/>
  <c r="BK53" i="7" s="1"/>
  <c r="CB53" i="7" s="1"/>
  <c r="W127" i="11"/>
  <c r="U127" i="2"/>
  <c r="AO127" i="11" s="1"/>
  <c r="Q42" i="20"/>
  <c r="AD126" i="2"/>
  <c r="BU127" i="7"/>
  <c r="AD127" i="11" s="1"/>
  <c r="AO130" i="2"/>
  <c r="BC130" i="2" s="1"/>
  <c r="B277" i="3"/>
  <c r="D128" i="2"/>
  <c r="F128" i="2" s="1"/>
  <c r="B157" i="9"/>
  <c r="I82" i="9" l="1"/>
  <c r="BL54" i="7"/>
  <c r="O82" i="9"/>
  <c r="J82" i="9"/>
  <c r="C83" i="9" s="1"/>
  <c r="E83" i="9" s="1"/>
  <c r="G82" i="9"/>
  <c r="Q54" i="11" s="1"/>
  <c r="CS53" i="7"/>
  <c r="CU53" i="7" s="1"/>
  <c r="CY53" i="7" s="1"/>
  <c r="CZ53" i="7" s="1"/>
  <c r="CC53" i="7"/>
  <c r="CK53" i="7" s="1"/>
  <c r="K82" i="9"/>
  <c r="M82" i="9" s="1"/>
  <c r="AR55" i="7" s="1"/>
  <c r="CA55" i="7" s="1"/>
  <c r="W128" i="11"/>
  <c r="U128" i="2"/>
  <c r="AO128" i="11" s="1"/>
  <c r="AD127" i="2"/>
  <c r="BU128" i="7"/>
  <c r="AD128" i="11" s="1"/>
  <c r="AO131" i="2"/>
  <c r="BC131" i="2" s="1"/>
  <c r="B278" i="3"/>
  <c r="D129" i="2"/>
  <c r="F129" i="2" s="1"/>
  <c r="B158" i="9"/>
  <c r="R54" i="11" l="1"/>
  <c r="F83" i="9"/>
  <c r="AY55" i="11" s="1"/>
  <c r="G83" i="9"/>
  <c r="Q55" i="11" s="1"/>
  <c r="CN53" i="7"/>
  <c r="I53" i="11" s="1"/>
  <c r="CQ53" i="7"/>
  <c r="L82" i="9"/>
  <c r="BK54" i="7" s="1"/>
  <c r="CB54" i="7" s="1"/>
  <c r="CC54" i="7" s="1"/>
  <c r="CF54" i="7"/>
  <c r="CH54" i="7" s="1"/>
  <c r="CI54" i="7" s="1"/>
  <c r="CV54" i="7"/>
  <c r="CX54" i="7" s="1"/>
  <c r="W129" i="11"/>
  <c r="U129" i="2"/>
  <c r="AO129" i="11" s="1"/>
  <c r="AD128" i="2"/>
  <c r="H83" i="9"/>
  <c r="BA55" i="11" s="1"/>
  <c r="BU129" i="7"/>
  <c r="AD129" i="11" s="1"/>
  <c r="AO132" i="2"/>
  <c r="BC132" i="2" s="1"/>
  <c r="B279" i="3"/>
  <c r="D130" i="2"/>
  <c r="F130" i="2" s="1"/>
  <c r="B159" i="9"/>
  <c r="BL55" i="7" l="1"/>
  <c r="CV55" i="7" s="1"/>
  <c r="CX55" i="7" s="1"/>
  <c r="O83" i="9"/>
  <c r="CK54" i="7"/>
  <c r="CQ54" i="7" s="1"/>
  <c r="CS54" i="7"/>
  <c r="CU54" i="7" s="1"/>
  <c r="CY54" i="7" s="1"/>
  <c r="CZ54" i="7" s="1"/>
  <c r="W130" i="11"/>
  <c r="U130" i="2"/>
  <c r="AO130" i="11" s="1"/>
  <c r="I83" i="9"/>
  <c r="J83" i="9"/>
  <c r="F84" i="9" s="1"/>
  <c r="AY56" i="11" s="1"/>
  <c r="K83" i="9"/>
  <c r="M83" i="9" s="1"/>
  <c r="AR56" i="7" s="1"/>
  <c r="CA56" i="7" s="1"/>
  <c r="AD129" i="2"/>
  <c r="BU130" i="7"/>
  <c r="AD130" i="11" s="1"/>
  <c r="AO133" i="2"/>
  <c r="BC133" i="2" s="1"/>
  <c r="B280" i="3"/>
  <c r="B160" i="9"/>
  <c r="D131" i="2"/>
  <c r="F131" i="2" s="1"/>
  <c r="CF55" i="7" l="1"/>
  <c r="CH55" i="7" s="1"/>
  <c r="CI55" i="7" s="1"/>
  <c r="CN54" i="7"/>
  <c r="I54" i="11" s="1"/>
  <c r="W131" i="11"/>
  <c r="U131" i="2"/>
  <c r="AO131" i="11" s="1"/>
  <c r="C84" i="9"/>
  <c r="E84" i="9" s="1"/>
  <c r="H84" i="9" s="1"/>
  <c r="BA56" i="11" s="1"/>
  <c r="G84" i="9"/>
  <c r="Q56" i="11" s="1"/>
  <c r="R55" i="11"/>
  <c r="L83" i="9"/>
  <c r="BK55" i="7" s="1"/>
  <c r="CB55" i="7" s="1"/>
  <c r="CC55" i="7" s="1"/>
  <c r="O84" i="9"/>
  <c r="BL56" i="7"/>
  <c r="AD130" i="2"/>
  <c r="BU131" i="7"/>
  <c r="AD131" i="11" s="1"/>
  <c r="AO134" i="2"/>
  <c r="BC134" i="2" s="1"/>
  <c r="B281" i="3"/>
  <c r="B161" i="9"/>
  <c r="D132" i="2"/>
  <c r="F132" i="2" s="1"/>
  <c r="CK55" i="7" l="1"/>
  <c r="CQ55" i="7" s="1"/>
  <c r="J84" i="9"/>
  <c r="R56" i="11" s="1"/>
  <c r="I84" i="9"/>
  <c r="W132" i="11"/>
  <c r="U132" i="2"/>
  <c r="AO132" i="11" s="1"/>
  <c r="K84" i="9"/>
  <c r="M84" i="9" s="1"/>
  <c r="AR57" i="7" s="1"/>
  <c r="CA57" i="7" s="1"/>
  <c r="CS55" i="7"/>
  <c r="CU55" i="7" s="1"/>
  <c r="CY55" i="7" s="1"/>
  <c r="CZ55" i="7" s="1"/>
  <c r="AD131" i="2"/>
  <c r="CV56" i="7"/>
  <c r="CX56" i="7" s="1"/>
  <c r="CF56" i="7"/>
  <c r="CH56" i="7" s="1"/>
  <c r="CI56" i="7" s="1"/>
  <c r="BU132" i="7"/>
  <c r="AD132" i="11" s="1"/>
  <c r="AO135" i="2"/>
  <c r="BC135" i="2" s="1"/>
  <c r="B282" i="3"/>
  <c r="D133" i="2"/>
  <c r="F133" i="2" s="1"/>
  <c r="B162" i="9"/>
  <c r="CN55" i="7" l="1"/>
  <c r="I55" i="11" s="1"/>
  <c r="F85" i="9"/>
  <c r="C85" i="9"/>
  <c r="E85" i="9" s="1"/>
  <c r="L84" i="9"/>
  <c r="BK56" i="7" s="1"/>
  <c r="CB56" i="7" s="1"/>
  <c r="CS56" i="7" s="1"/>
  <c r="CU56" i="7" s="1"/>
  <c r="CY56" i="7" s="1"/>
  <c r="CZ56" i="7" s="1"/>
  <c r="W133" i="11"/>
  <c r="U133" i="2"/>
  <c r="AO133" i="11" s="1"/>
  <c r="H85" i="9"/>
  <c r="BA57" i="11" s="1"/>
  <c r="G85" i="9"/>
  <c r="Q57" i="11" s="1"/>
  <c r="AD132" i="2"/>
  <c r="BU133" i="7"/>
  <c r="AD133" i="11" s="1"/>
  <c r="AO136" i="2"/>
  <c r="BC136" i="2" s="1"/>
  <c r="B283" i="3"/>
  <c r="B163" i="9"/>
  <c r="D134" i="2"/>
  <c r="F134" i="2" s="1"/>
  <c r="BL57" i="7" l="1"/>
  <c r="CV57" i="7" s="1"/>
  <c r="CX57" i="7" s="1"/>
  <c r="AY57" i="11"/>
  <c r="O85" i="9"/>
  <c r="I85" i="9"/>
  <c r="CC56" i="7"/>
  <c r="CK56" i="7" s="1"/>
  <c r="CN56" i="7" s="1"/>
  <c r="I56" i="11" s="1"/>
  <c r="W134" i="11"/>
  <c r="U134" i="2"/>
  <c r="AO134" i="11" s="1"/>
  <c r="K85" i="9"/>
  <c r="M85" i="9" s="1"/>
  <c r="AR58" i="7" s="1"/>
  <c r="CA58" i="7" s="1"/>
  <c r="J85" i="9"/>
  <c r="C86" i="9" s="1"/>
  <c r="E86" i="9" s="1"/>
  <c r="AD133" i="2"/>
  <c r="BU134" i="7"/>
  <c r="AD134" i="11" s="1"/>
  <c r="AO137" i="2"/>
  <c r="BC137" i="2" s="1"/>
  <c r="B284" i="3"/>
  <c r="D135" i="2"/>
  <c r="F135" i="2" s="1"/>
  <c r="B164" i="9"/>
  <c r="CF57" i="7" l="1"/>
  <c r="CH57" i="7" s="1"/>
  <c r="CI57" i="7" s="1"/>
  <c r="CQ56" i="7"/>
  <c r="L85" i="9"/>
  <c r="BK57" i="7" s="1"/>
  <c r="CB57" i="7" s="1"/>
  <c r="CS57" i="7" s="1"/>
  <c r="CU57" i="7" s="1"/>
  <c r="CY57" i="7" s="1"/>
  <c r="CZ57" i="7" s="1"/>
  <c r="R57" i="11"/>
  <c r="W135" i="11"/>
  <c r="U135" i="2"/>
  <c r="AO135" i="11" s="1"/>
  <c r="F86" i="9"/>
  <c r="AY58" i="11" s="1"/>
  <c r="AD134" i="2"/>
  <c r="BU135" i="7"/>
  <c r="AD135" i="11" s="1"/>
  <c r="AO138" i="2"/>
  <c r="BC138" i="2" s="1"/>
  <c r="B285" i="3"/>
  <c r="B165" i="9"/>
  <c r="D136" i="2"/>
  <c r="V31" i="5" s="1"/>
  <c r="W31" i="5" s="1"/>
  <c r="CC57" i="7" l="1"/>
  <c r="CK57" i="7" s="1"/>
  <c r="CN57" i="7" s="1"/>
  <c r="I57" i="11" s="1"/>
  <c r="G86" i="9"/>
  <c r="Q58" i="11" s="1"/>
  <c r="H86" i="9"/>
  <c r="BA58" i="11" s="1"/>
  <c r="O86" i="9"/>
  <c r="BL58" i="7"/>
  <c r="CF58" i="7" s="1"/>
  <c r="CH58" i="7" s="1"/>
  <c r="CI58" i="7" s="1"/>
  <c r="AD135" i="2"/>
  <c r="F136" i="2"/>
  <c r="AO139" i="2"/>
  <c r="BC139" i="2" s="1"/>
  <c r="B286" i="3"/>
  <c r="B166" i="9"/>
  <c r="D137" i="2"/>
  <c r="F137" i="2" s="1"/>
  <c r="CQ57" i="7" l="1"/>
  <c r="K86" i="9"/>
  <c r="J86" i="9"/>
  <c r="I86" i="9"/>
  <c r="W137" i="11"/>
  <c r="U137" i="2"/>
  <c r="AO137" i="11" s="1"/>
  <c r="W136" i="11"/>
  <c r="BF136" i="11" s="1"/>
  <c r="R35" i="20" s="1"/>
  <c r="U136" i="2"/>
  <c r="AO136" i="11" s="1"/>
  <c r="CV58" i="7"/>
  <c r="CX58" i="7" s="1"/>
  <c r="BU137" i="7"/>
  <c r="AD137" i="11" s="1"/>
  <c r="BU136" i="7"/>
  <c r="AO140" i="2"/>
  <c r="BC140" i="2" s="1"/>
  <c r="B287" i="3"/>
  <c r="D138" i="2"/>
  <c r="F138" i="2" s="1"/>
  <c r="B167" i="9"/>
  <c r="C87" i="9" l="1"/>
  <c r="E87" i="9" s="1"/>
  <c r="F87" i="9"/>
  <c r="AY59" i="11" s="1"/>
  <c r="R58" i="11"/>
  <c r="G87" i="9"/>
  <c r="Q59" i="11" s="1"/>
  <c r="M86" i="9"/>
  <c r="AR59" i="7" s="1"/>
  <c r="CA59" i="7" s="1"/>
  <c r="L86" i="9"/>
  <c r="BK58" i="7" s="1"/>
  <c r="CB58" i="7" s="1"/>
  <c r="W138" i="11"/>
  <c r="U138" i="2"/>
  <c r="AO138" i="11" s="1"/>
  <c r="AD136" i="11"/>
  <c r="BM136" i="11" s="1"/>
  <c r="R14" i="20" s="1"/>
  <c r="R15" i="20" s="1"/>
  <c r="R19" i="20" s="1"/>
  <c r="R67" i="20" s="1"/>
  <c r="B134" i="19"/>
  <c r="BX136" i="11"/>
  <c r="R36" i="20" s="1"/>
  <c r="R40" i="20" s="1"/>
  <c r="R41" i="20" s="1"/>
  <c r="AD137" i="2"/>
  <c r="AD136" i="2"/>
  <c r="N134" i="19" s="1"/>
  <c r="BU138" i="7"/>
  <c r="AD138" i="11" s="1"/>
  <c r="AO141" i="2"/>
  <c r="BC141" i="2" s="1"/>
  <c r="B288" i="3"/>
  <c r="B168" i="9"/>
  <c r="D139" i="2"/>
  <c r="F139" i="2" s="1"/>
  <c r="CC58" i="7" l="1"/>
  <c r="CK58" i="7" s="1"/>
  <c r="CS58" i="7"/>
  <c r="CU58" i="7" s="1"/>
  <c r="CY58" i="7" s="1"/>
  <c r="CZ58" i="7" s="1"/>
  <c r="BL59" i="7"/>
  <c r="O87" i="9"/>
  <c r="H87" i="9"/>
  <c r="BA59" i="11" s="1"/>
  <c r="W139" i="11"/>
  <c r="U139" i="2"/>
  <c r="AO139" i="11" s="1"/>
  <c r="R42" i="20"/>
  <c r="AD138" i="2"/>
  <c r="BU139" i="7"/>
  <c r="AD139" i="11" s="1"/>
  <c r="AO142" i="2"/>
  <c r="BC142" i="2" s="1"/>
  <c r="B289" i="3"/>
  <c r="D140" i="2"/>
  <c r="F140" i="2" s="1"/>
  <c r="B169" i="9"/>
  <c r="I87" i="9" l="1"/>
  <c r="J87" i="9"/>
  <c r="K87" i="9"/>
  <c r="CF59" i="7"/>
  <c r="CH59" i="7" s="1"/>
  <c r="CI59" i="7" s="1"/>
  <c r="CV59" i="7"/>
  <c r="CX59" i="7" s="1"/>
  <c r="CQ58" i="7"/>
  <c r="CN58" i="7"/>
  <c r="I58" i="11" s="1"/>
  <c r="W140" i="11"/>
  <c r="U140" i="2"/>
  <c r="AO140" i="11" s="1"/>
  <c r="AD139" i="2"/>
  <c r="BU140" i="7"/>
  <c r="AD140" i="11" s="1"/>
  <c r="AO143" i="2"/>
  <c r="BC143" i="2" s="1"/>
  <c r="B290" i="3"/>
  <c r="B170" i="9"/>
  <c r="D141" i="2"/>
  <c r="F141" i="2" s="1"/>
  <c r="L87" i="9" l="1"/>
  <c r="BK59" i="7" s="1"/>
  <c r="CB59" i="7" s="1"/>
  <c r="M87" i="9"/>
  <c r="AR60" i="7" s="1"/>
  <c r="CA60" i="7" s="1"/>
  <c r="R59" i="11"/>
  <c r="F88" i="9"/>
  <c r="AY60" i="11" s="1"/>
  <c r="G88" i="9"/>
  <c r="Q60" i="11" s="1"/>
  <c r="C88" i="9"/>
  <c r="E88" i="9" s="1"/>
  <c r="H88" i="9" s="1"/>
  <c r="W141" i="11"/>
  <c r="U141" i="2"/>
  <c r="AO141" i="11" s="1"/>
  <c r="AD140" i="2"/>
  <c r="BU141" i="7"/>
  <c r="AD141" i="11" s="1"/>
  <c r="AO144" i="2"/>
  <c r="BC144" i="2" s="1"/>
  <c r="B291" i="3"/>
  <c r="D142" i="2"/>
  <c r="F142" i="2" s="1"/>
  <c r="B171" i="9"/>
  <c r="I88" i="9" l="1"/>
  <c r="BA60" i="11"/>
  <c r="BL60" i="7"/>
  <c r="O88" i="9"/>
  <c r="K88" i="9"/>
  <c r="J88" i="9"/>
  <c r="CC59" i="7"/>
  <c r="CK59" i="7" s="1"/>
  <c r="CS59" i="7"/>
  <c r="CU59" i="7" s="1"/>
  <c r="CY59" i="7" s="1"/>
  <c r="CZ59" i="7" s="1"/>
  <c r="W142" i="11"/>
  <c r="U142" i="2"/>
  <c r="AO142" i="11" s="1"/>
  <c r="AD141" i="2"/>
  <c r="BU142" i="7"/>
  <c r="AD142" i="11" s="1"/>
  <c r="AO145" i="2"/>
  <c r="BC145" i="2" s="1"/>
  <c r="B292" i="3"/>
  <c r="D143" i="2"/>
  <c r="F143" i="2" s="1"/>
  <c r="B172" i="9"/>
  <c r="L88" i="9" l="1"/>
  <c r="BK60" i="7" s="1"/>
  <c r="CB60" i="7" s="1"/>
  <c r="M88" i="9"/>
  <c r="AR61" i="7" s="1"/>
  <c r="CA61" i="7" s="1"/>
  <c r="CQ59" i="7"/>
  <c r="CN59" i="7"/>
  <c r="I59" i="11" s="1"/>
  <c r="CF60" i="7"/>
  <c r="CH60" i="7" s="1"/>
  <c r="CI60" i="7" s="1"/>
  <c r="CV60" i="7"/>
  <c r="CX60" i="7" s="1"/>
  <c r="C89" i="9"/>
  <c r="E89" i="9" s="1"/>
  <c r="H89" i="9" s="1"/>
  <c r="BA61" i="11" s="1"/>
  <c r="F89" i="9"/>
  <c r="R60" i="11"/>
  <c r="W143" i="11"/>
  <c r="U143" i="2"/>
  <c r="AO143" i="11" s="1"/>
  <c r="AD142" i="2"/>
  <c r="BU143" i="7"/>
  <c r="AD143" i="11" s="1"/>
  <c r="AO146" i="2"/>
  <c r="BC146" i="2" s="1"/>
  <c r="B293" i="3"/>
  <c r="B173" i="9"/>
  <c r="D144" i="2"/>
  <c r="F144" i="2" s="1"/>
  <c r="G89" i="9" l="1"/>
  <c r="Q61" i="11" s="1"/>
  <c r="AY61" i="11"/>
  <c r="I89" i="9"/>
  <c r="J89" i="9"/>
  <c r="K89" i="9"/>
  <c r="O89" i="9"/>
  <c r="BL61" i="7"/>
  <c r="CS60" i="7"/>
  <c r="CU60" i="7" s="1"/>
  <c r="CY60" i="7" s="1"/>
  <c r="CZ60" i="7" s="1"/>
  <c r="CC60" i="7"/>
  <c r="CK60" i="7" s="1"/>
  <c r="W144" i="11"/>
  <c r="U144" i="2"/>
  <c r="AO144" i="11" s="1"/>
  <c r="AD143" i="2"/>
  <c r="BU144" i="7"/>
  <c r="AD144" i="11" s="1"/>
  <c r="AO147" i="2"/>
  <c r="BC147" i="2" s="1"/>
  <c r="B294" i="3"/>
  <c r="D145" i="2"/>
  <c r="F145" i="2" s="1"/>
  <c r="B174" i="9"/>
  <c r="CV61" i="7" l="1"/>
  <c r="CX61" i="7" s="1"/>
  <c r="CF61" i="7"/>
  <c r="CH61" i="7" s="1"/>
  <c r="CI61" i="7" s="1"/>
  <c r="CQ60" i="7"/>
  <c r="CN60" i="7"/>
  <c r="I60" i="11" s="1"/>
  <c r="M89" i="9"/>
  <c r="AR62" i="7" s="1"/>
  <c r="CA62" i="7" s="1"/>
  <c r="L89" i="9"/>
  <c r="BK61" i="7" s="1"/>
  <c r="CB61" i="7" s="1"/>
  <c r="C90" i="9"/>
  <c r="E90" i="9" s="1"/>
  <c r="F90" i="9"/>
  <c r="R61" i="11"/>
  <c r="W145" i="11"/>
  <c r="U145" i="2"/>
  <c r="AO145" i="11" s="1"/>
  <c r="AD144" i="2"/>
  <c r="BU145" i="7"/>
  <c r="AD145" i="11" s="1"/>
  <c r="AO148" i="2"/>
  <c r="BC148" i="2" s="1"/>
  <c r="B295" i="3"/>
  <c r="D146" i="2"/>
  <c r="F146" i="2" s="1"/>
  <c r="B175" i="9"/>
  <c r="G90" i="9" l="1"/>
  <c r="Q62" i="11" s="1"/>
  <c r="AY62" i="11"/>
  <c r="H90" i="9"/>
  <c r="BA62" i="11" s="1"/>
  <c r="I90" i="9"/>
  <c r="CC61" i="7"/>
  <c r="CK61" i="7" s="1"/>
  <c r="CS61" i="7"/>
  <c r="CU61" i="7" s="1"/>
  <c r="CY61" i="7" s="1"/>
  <c r="CZ61" i="7" s="1"/>
  <c r="BL62" i="7"/>
  <c r="O90" i="9"/>
  <c r="W146" i="11"/>
  <c r="U146" i="2"/>
  <c r="AO146" i="11" s="1"/>
  <c r="AD145" i="2"/>
  <c r="BU146" i="7"/>
  <c r="AD146" i="11" s="1"/>
  <c r="AO149" i="2"/>
  <c r="BC149" i="2" s="1"/>
  <c r="B296" i="3"/>
  <c r="D147" i="2"/>
  <c r="F147" i="2" s="1"/>
  <c r="B176" i="9"/>
  <c r="J90" i="9" l="1"/>
  <c r="F91" i="9" s="1"/>
  <c r="AY63" i="11" s="1"/>
  <c r="K90" i="9"/>
  <c r="L90" i="9" s="1"/>
  <c r="BK62" i="7" s="1"/>
  <c r="CB62" i="7" s="1"/>
  <c r="CN61" i="7"/>
  <c r="I61" i="11" s="1"/>
  <c r="CQ61" i="7"/>
  <c r="CF62" i="7"/>
  <c r="CH62" i="7" s="1"/>
  <c r="CI62" i="7" s="1"/>
  <c r="CV62" i="7"/>
  <c r="CX62" i="7" s="1"/>
  <c r="W147" i="11"/>
  <c r="U147" i="2"/>
  <c r="AO147" i="11" s="1"/>
  <c r="AD146" i="2"/>
  <c r="BU147" i="7"/>
  <c r="AD147" i="11" s="1"/>
  <c r="AO150" i="2"/>
  <c r="BC150" i="2" s="1"/>
  <c r="B297" i="3"/>
  <c r="D148" i="2"/>
  <c r="V32" i="5" s="1"/>
  <c r="W32" i="5" s="1"/>
  <c r="B177" i="9"/>
  <c r="M90" i="9" l="1"/>
  <c r="AR63" i="7" s="1"/>
  <c r="CA63" i="7" s="1"/>
  <c r="R62" i="11"/>
  <c r="C91" i="9"/>
  <c r="E91" i="9" s="1"/>
  <c r="H91" i="9" s="1"/>
  <c r="BA63" i="11" s="1"/>
  <c r="CC62" i="7"/>
  <c r="CK62" i="7" s="1"/>
  <c r="CS62" i="7"/>
  <c r="CU62" i="7" s="1"/>
  <c r="CY62" i="7" s="1"/>
  <c r="CZ62" i="7" s="1"/>
  <c r="K91" i="9"/>
  <c r="I91" i="9"/>
  <c r="G91" i="9"/>
  <c r="Q63" i="11" s="1"/>
  <c r="BL63" i="7"/>
  <c r="O91" i="9"/>
  <c r="AD147" i="2"/>
  <c r="F148" i="2"/>
  <c r="AO151" i="2"/>
  <c r="BC151" i="2" s="1"/>
  <c r="B298" i="3"/>
  <c r="D149" i="2"/>
  <c r="F149" i="2" s="1"/>
  <c r="B178" i="9"/>
  <c r="J91" i="9" l="1"/>
  <c r="L91" i="9"/>
  <c r="BK63" i="7" s="1"/>
  <c r="CB63" i="7" s="1"/>
  <c r="M91" i="9"/>
  <c r="AR64" i="7" s="1"/>
  <c r="CA64" i="7" s="1"/>
  <c r="R63" i="11"/>
  <c r="F92" i="9"/>
  <c r="AY64" i="11" s="1"/>
  <c r="C92" i="9"/>
  <c r="E92" i="9" s="1"/>
  <c r="H92" i="9" s="1"/>
  <c r="BA64" i="11" s="1"/>
  <c r="CF63" i="7"/>
  <c r="CH63" i="7" s="1"/>
  <c r="CI63" i="7" s="1"/>
  <c r="CV63" i="7"/>
  <c r="CX63" i="7" s="1"/>
  <c r="CQ62" i="7"/>
  <c r="CN62" i="7"/>
  <c r="I62" i="11" s="1"/>
  <c r="W149" i="11"/>
  <c r="U149" i="2"/>
  <c r="AO149" i="11" s="1"/>
  <c r="W148" i="11"/>
  <c r="BF148" i="11" s="1"/>
  <c r="S35" i="20" s="1"/>
  <c r="U148" i="2"/>
  <c r="AO148" i="11" s="1"/>
  <c r="BU149" i="7"/>
  <c r="AD149" i="11" s="1"/>
  <c r="BU148" i="7"/>
  <c r="AO152" i="2"/>
  <c r="BC152" i="2" s="1"/>
  <c r="B299" i="3"/>
  <c r="B179" i="9"/>
  <c r="D150" i="2"/>
  <c r="F150" i="2" s="1"/>
  <c r="I92" i="9" l="1"/>
  <c r="J92" i="9"/>
  <c r="CJ64" i="11"/>
  <c r="L76" i="20" s="1"/>
  <c r="K92" i="9"/>
  <c r="BL64" i="7"/>
  <c r="CH64" i="11"/>
  <c r="L56" i="20" s="1"/>
  <c r="O92" i="9"/>
  <c r="G92" i="9"/>
  <c r="Q64" i="11" s="1"/>
  <c r="CC63" i="7"/>
  <c r="CK63" i="7" s="1"/>
  <c r="CS63" i="7"/>
  <c r="CU63" i="7" s="1"/>
  <c r="CY63" i="7" s="1"/>
  <c r="CZ63" i="7" s="1"/>
  <c r="W150" i="11"/>
  <c r="U150" i="2"/>
  <c r="AO150" i="11" s="1"/>
  <c r="AD148" i="11"/>
  <c r="BM148" i="11" s="1"/>
  <c r="S14" i="20" s="1"/>
  <c r="S15" i="20" s="1"/>
  <c r="S19" i="20" s="1"/>
  <c r="S67" i="20" s="1"/>
  <c r="B146" i="19"/>
  <c r="BX148" i="11"/>
  <c r="S36" i="20" s="1"/>
  <c r="S40" i="20" s="1"/>
  <c r="S41" i="20" s="1"/>
  <c r="AD149" i="2"/>
  <c r="AD148" i="2"/>
  <c r="N146" i="19" s="1"/>
  <c r="BU150" i="7"/>
  <c r="AD150" i="11" s="1"/>
  <c r="AO153" i="2"/>
  <c r="BC153" i="2" s="1"/>
  <c r="B300" i="3"/>
  <c r="D151" i="2"/>
  <c r="F151" i="2" s="1"/>
  <c r="B180" i="9"/>
  <c r="CF64" i="7" l="1"/>
  <c r="CH64" i="7" s="1"/>
  <c r="CI64" i="7" s="1"/>
  <c r="CV64" i="7"/>
  <c r="CX64" i="7" s="1"/>
  <c r="M92" i="9"/>
  <c r="AR65" i="7" s="1"/>
  <c r="CA65" i="7" s="1"/>
  <c r="L92" i="9"/>
  <c r="BK64" i="7" s="1"/>
  <c r="CB64" i="7" s="1"/>
  <c r="R64" i="11"/>
  <c r="F93" i="9"/>
  <c r="AY65" i="11" s="1"/>
  <c r="C93" i="9"/>
  <c r="E93" i="9" s="1"/>
  <c r="H93" i="9" s="1"/>
  <c r="BA65" i="11" s="1"/>
  <c r="G93" i="9"/>
  <c r="Q65" i="11" s="1"/>
  <c r="CQ63" i="7"/>
  <c r="CN63" i="7"/>
  <c r="I63" i="11" s="1"/>
  <c r="W151" i="11"/>
  <c r="U151" i="2"/>
  <c r="AO151" i="11" s="1"/>
  <c r="S42" i="20"/>
  <c r="AD150" i="2"/>
  <c r="BU151" i="7"/>
  <c r="AD151" i="11" s="1"/>
  <c r="AO154" i="2"/>
  <c r="BC154" i="2" s="1"/>
  <c r="B301" i="3"/>
  <c r="B181" i="9"/>
  <c r="D152" i="2"/>
  <c r="F152" i="2" s="1"/>
  <c r="K93" i="9" l="1"/>
  <c r="J93" i="9"/>
  <c r="I93" i="9"/>
  <c r="CS64" i="7"/>
  <c r="CU64" i="7" s="1"/>
  <c r="CY64" i="7" s="1"/>
  <c r="CZ64" i="7" s="1"/>
  <c r="CC64" i="7"/>
  <c r="CK64" i="7" s="1"/>
  <c r="CQ64" i="7" s="1"/>
  <c r="BL65" i="7"/>
  <c r="O93" i="9"/>
  <c r="W152" i="11"/>
  <c r="U152" i="2"/>
  <c r="AO152" i="11" s="1"/>
  <c r="AD151" i="2"/>
  <c r="BU152" i="7"/>
  <c r="AD152" i="11" s="1"/>
  <c r="AO155" i="2"/>
  <c r="BC155" i="2" s="1"/>
  <c r="B302" i="3"/>
  <c r="B182" i="9"/>
  <c r="D153" i="2"/>
  <c r="F153" i="2" s="1"/>
  <c r="CN64" i="7" l="1"/>
  <c r="I64" i="11" s="1"/>
  <c r="CF65" i="7"/>
  <c r="CH65" i="7" s="1"/>
  <c r="CI65" i="7" s="1"/>
  <c r="CV65" i="7"/>
  <c r="CX65" i="7" s="1"/>
  <c r="R65" i="11"/>
  <c r="F94" i="9"/>
  <c r="AY66" i="11" s="1"/>
  <c r="C94" i="9"/>
  <c r="E94" i="9" s="1"/>
  <c r="H94" i="9" s="1"/>
  <c r="BA66" i="11" s="1"/>
  <c r="G94" i="9"/>
  <c r="Q66" i="11" s="1"/>
  <c r="M93" i="9"/>
  <c r="AR66" i="7" s="1"/>
  <c r="CA66" i="7" s="1"/>
  <c r="L93" i="9"/>
  <c r="BK65" i="7" s="1"/>
  <c r="CB65" i="7" s="1"/>
  <c r="W153" i="11"/>
  <c r="U153" i="2"/>
  <c r="AO153" i="11" s="1"/>
  <c r="AD152" i="2"/>
  <c r="BU153" i="7"/>
  <c r="AD153" i="11" s="1"/>
  <c r="AO156" i="2"/>
  <c r="BC156" i="2" s="1"/>
  <c r="B303" i="3"/>
  <c r="D154" i="2"/>
  <c r="F154" i="2" s="1"/>
  <c r="B183" i="9"/>
  <c r="O94" i="9" l="1"/>
  <c r="BL66" i="7"/>
  <c r="I94" i="9"/>
  <c r="J94" i="9"/>
  <c r="K94" i="9"/>
  <c r="CC65" i="7"/>
  <c r="CK65" i="7" s="1"/>
  <c r="CS65" i="7"/>
  <c r="CU65" i="7" s="1"/>
  <c r="CY65" i="7" s="1"/>
  <c r="CZ65" i="7" s="1"/>
  <c r="W154" i="11"/>
  <c r="U154" i="2"/>
  <c r="AO154" i="11" s="1"/>
  <c r="AD153" i="2"/>
  <c r="BU154" i="7"/>
  <c r="AD154" i="11" s="1"/>
  <c r="AO157" i="2"/>
  <c r="BC157" i="2" s="1"/>
  <c r="B304" i="3"/>
  <c r="D155" i="2"/>
  <c r="F155" i="2" s="1"/>
  <c r="B184" i="9"/>
  <c r="M94" i="9" l="1"/>
  <c r="AR67" i="7" s="1"/>
  <c r="CA67" i="7" s="1"/>
  <c r="L94" i="9"/>
  <c r="BK66" i="7" s="1"/>
  <c r="CB66" i="7" s="1"/>
  <c r="F95" i="9"/>
  <c r="AY67" i="11" s="1"/>
  <c r="G95" i="9"/>
  <c r="Q67" i="11" s="1"/>
  <c r="C95" i="9"/>
  <c r="E95" i="9" s="1"/>
  <c r="H95" i="9" s="1"/>
  <c r="BA67" i="11" s="1"/>
  <c r="R66" i="11"/>
  <c r="CV66" i="7"/>
  <c r="CX66" i="7" s="1"/>
  <c r="CF66" i="7"/>
  <c r="CH66" i="7" s="1"/>
  <c r="CI66" i="7" s="1"/>
  <c r="CN65" i="7"/>
  <c r="I65" i="11" s="1"/>
  <c r="CQ65" i="7"/>
  <c r="W155" i="11"/>
  <c r="U155" i="2"/>
  <c r="AO155" i="11" s="1"/>
  <c r="AD154" i="2"/>
  <c r="BU155" i="7"/>
  <c r="AD155" i="11" s="1"/>
  <c r="AO158" i="2"/>
  <c r="BC158" i="2" s="1"/>
  <c r="B305" i="3"/>
  <c r="D156" i="2"/>
  <c r="F156" i="2" s="1"/>
  <c r="B185" i="9"/>
  <c r="I95" i="9" l="1"/>
  <c r="BL67" i="7"/>
  <c r="O95" i="9"/>
  <c r="K95" i="9"/>
  <c r="CC66" i="7"/>
  <c r="CK66" i="7" s="1"/>
  <c r="CS66" i="7"/>
  <c r="CU66" i="7" s="1"/>
  <c r="CY66" i="7" s="1"/>
  <c r="CZ66" i="7" s="1"/>
  <c r="J95" i="9"/>
  <c r="W156" i="11"/>
  <c r="U156" i="2"/>
  <c r="AO156" i="11" s="1"/>
  <c r="AD155" i="2"/>
  <c r="BU156" i="7"/>
  <c r="AD156" i="11" s="1"/>
  <c r="AO159" i="2"/>
  <c r="BC159" i="2" s="1"/>
  <c r="B306" i="3"/>
  <c r="B186" i="9"/>
  <c r="D157" i="2"/>
  <c r="F157" i="2" s="1"/>
  <c r="CN66" i="7" l="1"/>
  <c r="I66" i="11" s="1"/>
  <c r="CQ66" i="7"/>
  <c r="R67" i="11"/>
  <c r="C96" i="9"/>
  <c r="E96" i="9" s="1"/>
  <c r="F96" i="9"/>
  <c r="AY68" i="11" s="1"/>
  <c r="G96" i="9"/>
  <c r="Q68" i="11" s="1"/>
  <c r="M95" i="9"/>
  <c r="AR68" i="7" s="1"/>
  <c r="CA68" i="7" s="1"/>
  <c r="L95" i="9"/>
  <c r="BK67" i="7" s="1"/>
  <c r="CB67" i="7" s="1"/>
  <c r="CF67" i="7"/>
  <c r="CH67" i="7" s="1"/>
  <c r="CI67" i="7" s="1"/>
  <c r="CV67" i="7"/>
  <c r="CX67" i="7" s="1"/>
  <c r="W157" i="11"/>
  <c r="U157" i="2"/>
  <c r="AO157" i="11" s="1"/>
  <c r="AD156" i="2"/>
  <c r="BU157" i="7"/>
  <c r="AD157" i="11" s="1"/>
  <c r="AO160" i="2"/>
  <c r="BC160" i="2" s="1"/>
  <c r="B307" i="3"/>
  <c r="D158" i="2"/>
  <c r="F158" i="2" s="1"/>
  <c r="B187" i="9"/>
  <c r="H96" i="9" l="1"/>
  <c r="BA68" i="11" s="1"/>
  <c r="I96" i="9"/>
  <c r="O96" i="9"/>
  <c r="BL68" i="7"/>
  <c r="CC67" i="7"/>
  <c r="CK67" i="7" s="1"/>
  <c r="CS67" i="7"/>
  <c r="CU67" i="7" s="1"/>
  <c r="CY67" i="7" s="1"/>
  <c r="CZ67" i="7" s="1"/>
  <c r="W158" i="11"/>
  <c r="U158" i="2"/>
  <c r="AO158" i="11" s="1"/>
  <c r="AD157" i="2"/>
  <c r="BU158" i="7"/>
  <c r="AD158" i="11" s="1"/>
  <c r="AO161" i="2"/>
  <c r="BC161" i="2" s="1"/>
  <c r="B308" i="3"/>
  <c r="B188" i="9"/>
  <c r="D159" i="2"/>
  <c r="F159" i="2" s="1"/>
  <c r="J96" i="9" l="1"/>
  <c r="R68" i="11" s="1"/>
  <c r="K96" i="9"/>
  <c r="M96" i="9" s="1"/>
  <c r="AR69" i="7" s="1"/>
  <c r="CA69" i="7" s="1"/>
  <c r="CQ67" i="7"/>
  <c r="CN67" i="7"/>
  <c r="I67" i="11" s="1"/>
  <c r="CF68" i="7"/>
  <c r="CH68" i="7" s="1"/>
  <c r="CI68" i="7" s="1"/>
  <c r="CV68" i="7"/>
  <c r="CX68" i="7" s="1"/>
  <c r="W159" i="11"/>
  <c r="U159" i="2"/>
  <c r="AO159" i="11" s="1"/>
  <c r="AD158" i="2"/>
  <c r="BU159" i="7"/>
  <c r="AD159" i="11" s="1"/>
  <c r="AO162" i="2"/>
  <c r="BC162" i="2" s="1"/>
  <c r="B309" i="3"/>
  <c r="B189" i="9"/>
  <c r="D160" i="2"/>
  <c r="V33" i="5" s="1"/>
  <c r="W33" i="5" s="1"/>
  <c r="L96" i="9" l="1"/>
  <c r="BK68" i="7" s="1"/>
  <c r="CB68" i="7" s="1"/>
  <c r="CC68" i="7" s="1"/>
  <c r="CK68" i="7" s="1"/>
  <c r="F97" i="9"/>
  <c r="AY69" i="11" s="1"/>
  <c r="C97" i="9"/>
  <c r="E97" i="9" s="1"/>
  <c r="BL69" i="7"/>
  <c r="H97" i="9"/>
  <c r="BA69" i="11" s="1"/>
  <c r="G97" i="9"/>
  <c r="Q69" i="11" s="1"/>
  <c r="AD159" i="2"/>
  <c r="F160" i="2"/>
  <c r="AO163" i="2"/>
  <c r="BC163" i="2" s="1"/>
  <c r="B310" i="3"/>
  <c r="D161" i="2"/>
  <c r="F161" i="2" s="1"/>
  <c r="B190" i="9"/>
  <c r="O97" i="9" l="1"/>
  <c r="CS68" i="7"/>
  <c r="CU68" i="7" s="1"/>
  <c r="CY68" i="7" s="1"/>
  <c r="CZ68" i="7" s="1"/>
  <c r="CQ68" i="7"/>
  <c r="CN68" i="7"/>
  <c r="I68" i="11" s="1"/>
  <c r="J97" i="9"/>
  <c r="I97" i="9"/>
  <c r="K97" i="9"/>
  <c r="CV69" i="7"/>
  <c r="CX69" i="7" s="1"/>
  <c r="CF69" i="7"/>
  <c r="CH69" i="7" s="1"/>
  <c r="CI69" i="7" s="1"/>
  <c r="W161" i="11"/>
  <c r="U161" i="2"/>
  <c r="AO161" i="11" s="1"/>
  <c r="W160" i="11"/>
  <c r="BF160" i="11" s="1"/>
  <c r="T35" i="20" s="1"/>
  <c r="U160" i="2"/>
  <c r="AO160" i="11" s="1"/>
  <c r="BU161" i="7"/>
  <c r="AD161" i="11" s="1"/>
  <c r="BU160" i="7"/>
  <c r="AO164" i="2"/>
  <c r="BC164" i="2" s="1"/>
  <c r="B311" i="3"/>
  <c r="D162" i="2"/>
  <c r="F162" i="2" s="1"/>
  <c r="B191" i="9"/>
  <c r="F98" i="9" l="1"/>
  <c r="AY70" i="11" s="1"/>
  <c r="C98" i="9"/>
  <c r="E98" i="9" s="1"/>
  <c r="R69" i="11"/>
  <c r="G98" i="9"/>
  <c r="Q70" i="11" s="1"/>
  <c r="H98" i="9"/>
  <c r="M97" i="9"/>
  <c r="AR70" i="7" s="1"/>
  <c r="CA70" i="7" s="1"/>
  <c r="L97" i="9"/>
  <c r="BK69" i="7" s="1"/>
  <c r="CB69" i="7" s="1"/>
  <c r="W162" i="11"/>
  <c r="U162" i="2"/>
  <c r="AO162" i="11" s="1"/>
  <c r="AD160" i="11"/>
  <c r="BM160" i="11" s="1"/>
  <c r="T14" i="20" s="1"/>
  <c r="T15" i="20" s="1"/>
  <c r="T19" i="20" s="1"/>
  <c r="T67" i="20" s="1"/>
  <c r="B158" i="19"/>
  <c r="BX160" i="11"/>
  <c r="T36" i="20" s="1"/>
  <c r="T40" i="20" s="1"/>
  <c r="T41" i="20" s="1"/>
  <c r="AD161" i="2"/>
  <c r="AD160" i="2"/>
  <c r="N158" i="19" s="1"/>
  <c r="BU162" i="7"/>
  <c r="AD162" i="11" s="1"/>
  <c r="AO165" i="2"/>
  <c r="BC165" i="2" s="1"/>
  <c r="B312" i="3"/>
  <c r="B192" i="9"/>
  <c r="D163" i="2"/>
  <c r="F163" i="2" s="1"/>
  <c r="J98" i="9" l="1"/>
  <c r="R70" i="11" s="1"/>
  <c r="BA70" i="11"/>
  <c r="CC69" i="7"/>
  <c r="CK69" i="7" s="1"/>
  <c r="CS69" i="7"/>
  <c r="CU69" i="7" s="1"/>
  <c r="CY69" i="7" s="1"/>
  <c r="CZ69" i="7" s="1"/>
  <c r="I98" i="9"/>
  <c r="K98" i="9"/>
  <c r="BL70" i="7"/>
  <c r="O98" i="9"/>
  <c r="W163" i="11"/>
  <c r="U163" i="2"/>
  <c r="AO163" i="11" s="1"/>
  <c r="T42" i="20"/>
  <c r="AD162" i="2"/>
  <c r="BU163" i="7"/>
  <c r="AD163" i="11" s="1"/>
  <c r="AO166" i="2"/>
  <c r="BC166" i="2" s="1"/>
  <c r="B313" i="3"/>
  <c r="B193" i="9"/>
  <c r="D164" i="2"/>
  <c r="F164" i="2" s="1"/>
  <c r="F99" i="9" l="1"/>
  <c r="O99" i="9" s="1"/>
  <c r="C99" i="9"/>
  <c r="E99" i="9" s="1"/>
  <c r="H99" i="9" s="1"/>
  <c r="BA71" i="11" s="1"/>
  <c r="I99" i="9"/>
  <c r="CV70" i="7"/>
  <c r="CX70" i="7" s="1"/>
  <c r="CF70" i="7"/>
  <c r="CH70" i="7" s="1"/>
  <c r="CI70" i="7" s="1"/>
  <c r="L98" i="9"/>
  <c r="BK70" i="7" s="1"/>
  <c r="CB70" i="7" s="1"/>
  <c r="M98" i="9"/>
  <c r="AR71" i="7" s="1"/>
  <c r="CA71" i="7" s="1"/>
  <c r="CQ69" i="7"/>
  <c r="CN69" i="7"/>
  <c r="I69" i="11" s="1"/>
  <c r="G99" i="9"/>
  <c r="Q71" i="11" s="1"/>
  <c r="W164" i="11"/>
  <c r="U164" i="2"/>
  <c r="AO164" i="11" s="1"/>
  <c r="AD163" i="2"/>
  <c r="BU164" i="7"/>
  <c r="AD164" i="11" s="1"/>
  <c r="AO167" i="2"/>
  <c r="BC167" i="2" s="1"/>
  <c r="B314" i="3"/>
  <c r="D165" i="2"/>
  <c r="F165" i="2" s="1"/>
  <c r="B194" i="9"/>
  <c r="J99" i="9" l="1"/>
  <c r="R71" i="11" s="1"/>
  <c r="K99" i="9"/>
  <c r="AY71" i="11"/>
  <c r="BL71" i="7"/>
  <c r="CS70" i="7"/>
  <c r="CU70" i="7" s="1"/>
  <c r="CY70" i="7" s="1"/>
  <c r="CZ70" i="7" s="1"/>
  <c r="CC70" i="7"/>
  <c r="CK70" i="7" s="1"/>
  <c r="W165" i="11"/>
  <c r="U165" i="2"/>
  <c r="AO165" i="11" s="1"/>
  <c r="AD164" i="2"/>
  <c r="BU165" i="7"/>
  <c r="AD165" i="11" s="1"/>
  <c r="AO168" i="2"/>
  <c r="BC168" i="2" s="1"/>
  <c r="B315" i="3"/>
  <c r="B195" i="9"/>
  <c r="D166" i="2"/>
  <c r="F166" i="2" s="1"/>
  <c r="C100" i="9" l="1"/>
  <c r="E100" i="9" s="1"/>
  <c r="H100" i="9" s="1"/>
  <c r="F100" i="9"/>
  <c r="G100" i="9" s="1"/>
  <c r="Q72" i="11" s="1"/>
  <c r="CV71" i="7"/>
  <c r="CX71" i="7" s="1"/>
  <c r="CF71" i="7"/>
  <c r="CH71" i="7" s="1"/>
  <c r="CI71" i="7" s="1"/>
  <c r="M99" i="9"/>
  <c r="AR72" i="7" s="1"/>
  <c r="CA72" i="7" s="1"/>
  <c r="L99" i="9"/>
  <c r="BK71" i="7" s="1"/>
  <c r="CB71" i="7" s="1"/>
  <c r="CN70" i="7"/>
  <c r="I70" i="11" s="1"/>
  <c r="CQ70" i="7"/>
  <c r="W166" i="11"/>
  <c r="U166" i="2"/>
  <c r="AO166" i="11" s="1"/>
  <c r="AD165" i="2"/>
  <c r="BU166" i="7"/>
  <c r="AD166" i="11" s="1"/>
  <c r="AO169" i="2"/>
  <c r="BC169" i="2" s="1"/>
  <c r="B316" i="3"/>
  <c r="B196" i="9"/>
  <c r="D167" i="2"/>
  <c r="F167" i="2" s="1"/>
  <c r="BA72" i="11" l="1"/>
  <c r="I100" i="9"/>
  <c r="K100" i="9"/>
  <c r="L100" i="9" s="1"/>
  <c r="BK72" i="7" s="1"/>
  <c r="AY72" i="11"/>
  <c r="O100" i="9"/>
  <c r="BL72" i="7"/>
  <c r="CC71" i="7"/>
  <c r="CK71" i="7" s="1"/>
  <c r="CS71" i="7"/>
  <c r="CU71" i="7" s="1"/>
  <c r="CY71" i="7" s="1"/>
  <c r="CZ71" i="7" s="1"/>
  <c r="J100" i="9"/>
  <c r="C101" i="9" s="1"/>
  <c r="E101" i="9" s="1"/>
  <c r="W167" i="11"/>
  <c r="U167" i="2"/>
  <c r="AO167" i="11" s="1"/>
  <c r="AD166" i="2"/>
  <c r="BU167" i="7"/>
  <c r="AD167" i="11" s="1"/>
  <c r="AO170" i="2"/>
  <c r="BC170" i="2" s="1"/>
  <c r="B317" i="3"/>
  <c r="D168" i="2"/>
  <c r="F168" i="2" s="1"/>
  <c r="B197" i="9"/>
  <c r="M100" i="9" l="1"/>
  <c r="AR73" i="7" s="1"/>
  <c r="CA73" i="7" s="1"/>
  <c r="R72" i="11"/>
  <c r="F101" i="9"/>
  <c r="AY73" i="11" s="1"/>
  <c r="G101" i="9"/>
  <c r="Q73" i="11" s="1"/>
  <c r="CB72" i="7"/>
  <c r="CC72" i="7" s="1"/>
  <c r="CV72" i="7"/>
  <c r="CX72" i="7" s="1"/>
  <c r="CF72" i="7"/>
  <c r="CH72" i="7" s="1"/>
  <c r="CI72" i="7" s="1"/>
  <c r="CK72" i="7" s="1"/>
  <c r="CN72" i="7" s="1"/>
  <c r="H101" i="9"/>
  <c r="BA73" i="11" s="1"/>
  <c r="CN71" i="7"/>
  <c r="I71" i="11" s="1"/>
  <c r="CQ71" i="7"/>
  <c r="W168" i="11"/>
  <c r="U168" i="2"/>
  <c r="AO168" i="11" s="1"/>
  <c r="AD167" i="2"/>
  <c r="BU168" i="7"/>
  <c r="AD168" i="11" s="1"/>
  <c r="AO171" i="2"/>
  <c r="BC171" i="2" s="1"/>
  <c r="B318" i="3"/>
  <c r="B198" i="9"/>
  <c r="D169" i="2"/>
  <c r="F169" i="2" s="1"/>
  <c r="I101" i="9" l="1"/>
  <c r="O101" i="9"/>
  <c r="BL73" i="7"/>
  <c r="CV73" i="7" s="1"/>
  <c r="CX73" i="7" s="1"/>
  <c r="J101" i="9"/>
  <c r="R73" i="11" s="1"/>
  <c r="K101" i="9"/>
  <c r="L101" i="9" s="1"/>
  <c r="BK73" i="7" s="1"/>
  <c r="CB73" i="7" s="1"/>
  <c r="CS72" i="7"/>
  <c r="CU72" i="7" s="1"/>
  <c r="CY72" i="7" s="1"/>
  <c r="CZ72" i="7" s="1"/>
  <c r="CQ72" i="7"/>
  <c r="W169" i="11"/>
  <c r="U169" i="2"/>
  <c r="AO169" i="11" s="1"/>
  <c r="AD168" i="2"/>
  <c r="I72" i="11"/>
  <c r="BU169" i="7"/>
  <c r="AD169" i="11" s="1"/>
  <c r="AO172" i="2"/>
  <c r="BC172" i="2" s="1"/>
  <c r="B319" i="3"/>
  <c r="D170" i="2"/>
  <c r="F170" i="2" s="1"/>
  <c r="B199" i="9"/>
  <c r="CF73" i="7" l="1"/>
  <c r="CH73" i="7" s="1"/>
  <c r="CI73" i="7" s="1"/>
  <c r="F102" i="9"/>
  <c r="AY74" i="11" s="1"/>
  <c r="C102" i="9"/>
  <c r="E102" i="9" s="1"/>
  <c r="M101" i="9"/>
  <c r="AR74" i="7" s="1"/>
  <c r="CA74" i="7" s="1"/>
  <c r="W170" i="11"/>
  <c r="U170" i="2"/>
  <c r="AO170" i="11" s="1"/>
  <c r="AD169" i="2"/>
  <c r="G102" i="9"/>
  <c r="Q74" i="11" s="1"/>
  <c r="O102" i="9"/>
  <c r="BL74" i="7"/>
  <c r="CC73" i="7"/>
  <c r="CS73" i="7"/>
  <c r="CU73" i="7" s="1"/>
  <c r="CY73" i="7" s="1"/>
  <c r="CZ73" i="7" s="1"/>
  <c r="H102" i="9"/>
  <c r="BA74" i="11" s="1"/>
  <c r="BU170" i="7"/>
  <c r="AD170" i="11" s="1"/>
  <c r="AO173" i="2"/>
  <c r="BC173" i="2" s="1"/>
  <c r="B320" i="3"/>
  <c r="B200" i="9"/>
  <c r="D171" i="2"/>
  <c r="F171" i="2" s="1"/>
  <c r="W171" i="11" l="1"/>
  <c r="U171" i="2"/>
  <c r="AO171" i="11" s="1"/>
  <c r="AD170" i="2"/>
  <c r="CF74" i="7"/>
  <c r="CH74" i="7" s="1"/>
  <c r="CI74" i="7" s="1"/>
  <c r="CV74" i="7"/>
  <c r="CX74" i="7" s="1"/>
  <c r="J102" i="9"/>
  <c r="R74" i="11" s="1"/>
  <c r="CK73" i="7"/>
  <c r="CQ73" i="7" s="1"/>
  <c r="K102" i="9"/>
  <c r="L102" i="9" s="1"/>
  <c r="BK74" i="7" s="1"/>
  <c r="CB74" i="7" s="1"/>
  <c r="I102" i="9"/>
  <c r="BU171" i="7"/>
  <c r="AD171" i="11" s="1"/>
  <c r="AO174" i="2"/>
  <c r="BC174" i="2" s="1"/>
  <c r="B321" i="3"/>
  <c r="D172" i="2"/>
  <c r="V34" i="5" s="1"/>
  <c r="W34" i="5" s="1"/>
  <c r="B201" i="9"/>
  <c r="AD171" i="2" l="1"/>
  <c r="F103" i="9"/>
  <c r="AY75" i="11" s="1"/>
  <c r="G103" i="9"/>
  <c r="Q75" i="11" s="1"/>
  <c r="C103" i="9"/>
  <c r="E103" i="9" s="1"/>
  <c r="H103" i="9" s="1"/>
  <c r="BA75" i="11" s="1"/>
  <c r="CN73" i="7"/>
  <c r="M102" i="9"/>
  <c r="AR75" i="7" s="1"/>
  <c r="CA75" i="7" s="1"/>
  <c r="CC74" i="7"/>
  <c r="CS74" i="7"/>
  <c r="CU74" i="7" s="1"/>
  <c r="CY74" i="7" s="1"/>
  <c r="CZ74" i="7" s="1"/>
  <c r="F172" i="2"/>
  <c r="AO175" i="2"/>
  <c r="BC175" i="2" s="1"/>
  <c r="B322" i="3"/>
  <c r="D173" i="2"/>
  <c r="F173" i="2" s="1"/>
  <c r="B202" i="9"/>
  <c r="W173" i="11" l="1"/>
  <c r="U173" i="2"/>
  <c r="W172" i="11"/>
  <c r="BF172" i="11" s="1"/>
  <c r="U35" i="20" s="1"/>
  <c r="U172" i="2"/>
  <c r="AO172" i="11" s="1"/>
  <c r="O103" i="9"/>
  <c r="BL75" i="7"/>
  <c r="CV75" i="7" s="1"/>
  <c r="CX75" i="7" s="1"/>
  <c r="K103" i="9"/>
  <c r="L103" i="9" s="1"/>
  <c r="BK75" i="7" s="1"/>
  <c r="I73" i="11"/>
  <c r="CK74" i="7"/>
  <c r="CN74" i="7" s="1"/>
  <c r="I103" i="9"/>
  <c r="J103" i="9"/>
  <c r="AO173" i="11"/>
  <c r="BU173" i="7"/>
  <c r="AD173" i="11" s="1"/>
  <c r="BU172" i="7"/>
  <c r="AO176" i="2"/>
  <c r="BC176" i="2" s="1"/>
  <c r="B323" i="3"/>
  <c r="D174" i="2"/>
  <c r="F174" i="2" s="1"/>
  <c r="B203" i="9"/>
  <c r="CB75" i="7" l="1"/>
  <c r="CS75" i="7" s="1"/>
  <c r="CU75" i="7" s="1"/>
  <c r="CY75" i="7" s="1"/>
  <c r="CZ75" i="7" s="1"/>
  <c r="W174" i="11"/>
  <c r="U174" i="2"/>
  <c r="AO174" i="11" s="1"/>
  <c r="CF75" i="7"/>
  <c r="CH75" i="7" s="1"/>
  <c r="CI75" i="7" s="1"/>
  <c r="AD172" i="11"/>
  <c r="BM172" i="11" s="1"/>
  <c r="U14" i="20" s="1"/>
  <c r="U15" i="20" s="1"/>
  <c r="U19" i="20" s="1"/>
  <c r="U67" i="20" s="1"/>
  <c r="M103" i="9"/>
  <c r="AR76" i="7" s="1"/>
  <c r="CA76" i="7" s="1"/>
  <c r="B170" i="19"/>
  <c r="BX172" i="11"/>
  <c r="U36" i="20" s="1"/>
  <c r="U40" i="20" s="1"/>
  <c r="U41" i="20" s="1"/>
  <c r="I74" i="11"/>
  <c r="CQ74" i="7"/>
  <c r="AD173" i="2"/>
  <c r="F104" i="9"/>
  <c r="AY76" i="11" s="1"/>
  <c r="C104" i="9"/>
  <c r="E104" i="9" s="1"/>
  <c r="R75" i="11"/>
  <c r="AD172" i="2"/>
  <c r="N170" i="19" s="1"/>
  <c r="BU174" i="7"/>
  <c r="AD174" i="11" s="1"/>
  <c r="AO177" i="2"/>
  <c r="BC177" i="2" s="1"/>
  <c r="B324" i="3"/>
  <c r="B204" i="9"/>
  <c r="D175" i="2"/>
  <c r="F175" i="2" s="1"/>
  <c r="CC75" i="7" l="1"/>
  <c r="CK75" i="7" s="1"/>
  <c r="CN75" i="7" s="1"/>
  <c r="W175" i="11"/>
  <c r="U175" i="2"/>
  <c r="AO175" i="11" s="1"/>
  <c r="CH76" i="11"/>
  <c r="M56" i="20" s="1"/>
  <c r="U42" i="20"/>
  <c r="AD174" i="2"/>
  <c r="G104" i="9"/>
  <c r="Q76" i="11" s="1"/>
  <c r="O104" i="9"/>
  <c r="BL76" i="7"/>
  <c r="H104" i="9"/>
  <c r="BA76" i="11" s="1"/>
  <c r="BU175" i="7"/>
  <c r="AD175" i="11" s="1"/>
  <c r="AO178" i="2"/>
  <c r="BC178" i="2" s="1"/>
  <c r="B325" i="3"/>
  <c r="D176" i="2"/>
  <c r="F176" i="2" s="1"/>
  <c r="B205" i="9"/>
  <c r="W176" i="11" l="1"/>
  <c r="U176" i="2"/>
  <c r="AO176" i="11" s="1"/>
  <c r="AD175" i="2"/>
  <c r="CV76" i="7"/>
  <c r="CX76" i="7" s="1"/>
  <c r="CF76" i="7"/>
  <c r="CH76" i="7" s="1"/>
  <c r="CI76" i="7" s="1"/>
  <c r="J104" i="9"/>
  <c r="F105" i="9" s="1"/>
  <c r="AY77" i="11" s="1"/>
  <c r="CJ76" i="11"/>
  <c r="M76" i="20" s="1"/>
  <c r="I75" i="11"/>
  <c r="CQ75" i="7"/>
  <c r="I104" i="9"/>
  <c r="K104" i="9"/>
  <c r="M104" i="9" s="1"/>
  <c r="AR77" i="7" s="1"/>
  <c r="CA77" i="7" s="1"/>
  <c r="BU176" i="7"/>
  <c r="AD176" i="11" s="1"/>
  <c r="AO179" i="2"/>
  <c r="BC179" i="2" s="1"/>
  <c r="B326" i="3"/>
  <c r="B206" i="9"/>
  <c r="D177" i="2"/>
  <c r="F177" i="2" s="1"/>
  <c r="W177" i="11" l="1"/>
  <c r="U177" i="2"/>
  <c r="AO177" i="11" s="1"/>
  <c r="AD176" i="2"/>
  <c r="C105" i="9"/>
  <c r="E105" i="9" s="1"/>
  <c r="H105" i="9" s="1"/>
  <c r="BA77" i="11" s="1"/>
  <c r="R76" i="11"/>
  <c r="G105" i="9"/>
  <c r="Q77" i="11" s="1"/>
  <c r="O105" i="9"/>
  <c r="BL77" i="7"/>
  <c r="L104" i="9"/>
  <c r="BK76" i="7" s="1"/>
  <c r="CB76" i="7" s="1"/>
  <c r="BU177" i="7"/>
  <c r="AD177" i="11" s="1"/>
  <c r="AO180" i="2"/>
  <c r="BC180" i="2" s="1"/>
  <c r="B327" i="3"/>
  <c r="D178" i="2"/>
  <c r="F178" i="2" s="1"/>
  <c r="B207" i="9"/>
  <c r="I105" i="9" l="1"/>
  <c r="W178" i="11"/>
  <c r="U178" i="2"/>
  <c r="AD177" i="2"/>
  <c r="J105" i="9"/>
  <c r="F106" i="9" s="1"/>
  <c r="AY78" i="11" s="1"/>
  <c r="K105" i="9"/>
  <c r="M105" i="9" s="1"/>
  <c r="AR78" i="7" s="1"/>
  <c r="CA78" i="7" s="1"/>
  <c r="CF77" i="7"/>
  <c r="CH77" i="7" s="1"/>
  <c r="CI77" i="7" s="1"/>
  <c r="CV77" i="7"/>
  <c r="CX77" i="7" s="1"/>
  <c r="CC76" i="7"/>
  <c r="CS76" i="7"/>
  <c r="CU76" i="7" s="1"/>
  <c r="CY76" i="7" s="1"/>
  <c r="CZ76" i="7" s="1"/>
  <c r="AO178" i="11"/>
  <c r="BU178" i="7"/>
  <c r="AD178" i="11" s="1"/>
  <c r="AO181" i="2"/>
  <c r="BC181" i="2" s="1"/>
  <c r="B328" i="3"/>
  <c r="B208" i="9"/>
  <c r="D179" i="2"/>
  <c r="F179" i="2" s="1"/>
  <c r="W179" i="11" l="1"/>
  <c r="U179" i="2"/>
  <c r="L105" i="9"/>
  <c r="BK77" i="7" s="1"/>
  <c r="CB77" i="7" s="1"/>
  <c r="CS77" i="7" s="1"/>
  <c r="CU77" i="7" s="1"/>
  <c r="CY77" i="7" s="1"/>
  <c r="CZ77" i="7" s="1"/>
  <c r="AD178" i="2"/>
  <c r="R77" i="11"/>
  <c r="C106" i="9"/>
  <c r="E106" i="9" s="1"/>
  <c r="H106" i="9" s="1"/>
  <c r="BA78" i="11" s="1"/>
  <c r="G106" i="9"/>
  <c r="Q78" i="11" s="1"/>
  <c r="O106" i="9"/>
  <c r="BL78" i="7"/>
  <c r="CK76" i="7"/>
  <c r="CN76" i="7" s="1"/>
  <c r="AO179" i="11"/>
  <c r="BU179" i="7"/>
  <c r="AD179" i="11" s="1"/>
  <c r="AO182" i="2"/>
  <c r="BC182" i="2" s="1"/>
  <c r="B329" i="3"/>
  <c r="D180" i="2"/>
  <c r="F180" i="2" s="1"/>
  <c r="B209" i="9"/>
  <c r="W180" i="11" l="1"/>
  <c r="U180" i="2"/>
  <c r="AO180" i="11" s="1"/>
  <c r="CC77" i="7"/>
  <c r="CK77" i="7" s="1"/>
  <c r="CQ77" i="7" s="1"/>
  <c r="AD179" i="2"/>
  <c r="CV78" i="7"/>
  <c r="CX78" i="7" s="1"/>
  <c r="CF78" i="7"/>
  <c r="CH78" i="7" s="1"/>
  <c r="CI78" i="7" s="1"/>
  <c r="J106" i="9"/>
  <c r="F107" i="9" s="1"/>
  <c r="AY79" i="11" s="1"/>
  <c r="I76" i="11"/>
  <c r="CQ76" i="7"/>
  <c r="I106" i="9"/>
  <c r="K106" i="9"/>
  <c r="M106" i="9" s="1"/>
  <c r="AR79" i="7" s="1"/>
  <c r="CA79" i="7" s="1"/>
  <c r="BU180" i="7"/>
  <c r="AD180" i="11" s="1"/>
  <c r="AO183" i="2"/>
  <c r="BC183" i="2" s="1"/>
  <c r="B330" i="3"/>
  <c r="D181" i="2"/>
  <c r="F181" i="2" s="1"/>
  <c r="B210" i="9"/>
  <c r="W181" i="11" l="1"/>
  <c r="U181" i="2"/>
  <c r="AO181" i="11" s="1"/>
  <c r="AD180" i="2"/>
  <c r="R78" i="11"/>
  <c r="C107" i="9"/>
  <c r="E107" i="9" s="1"/>
  <c r="H107" i="9" s="1"/>
  <c r="BA79" i="11" s="1"/>
  <c r="G107" i="9"/>
  <c r="Q79" i="11" s="1"/>
  <c r="O107" i="9"/>
  <c r="BL79" i="7"/>
  <c r="CN77" i="7"/>
  <c r="L106" i="9"/>
  <c r="BK78" i="7" s="1"/>
  <c r="CB78" i="7" s="1"/>
  <c r="BU181" i="7"/>
  <c r="AD181" i="11" s="1"/>
  <c r="AO184" i="2"/>
  <c r="BC184" i="2" s="1"/>
  <c r="B331" i="3"/>
  <c r="B211" i="9"/>
  <c r="D182" i="2"/>
  <c r="F182" i="2" s="1"/>
  <c r="W182" i="11" l="1"/>
  <c r="U182" i="2"/>
  <c r="AO182" i="11" s="1"/>
  <c r="AD181" i="2"/>
  <c r="CV79" i="7"/>
  <c r="CX79" i="7" s="1"/>
  <c r="CF79" i="7"/>
  <c r="CH79" i="7" s="1"/>
  <c r="CI79" i="7" s="1"/>
  <c r="K107" i="9"/>
  <c r="L107" i="9" s="1"/>
  <c r="BK79" i="7" s="1"/>
  <c r="CB79" i="7" s="1"/>
  <c r="I77" i="11"/>
  <c r="CC78" i="7"/>
  <c r="CS78" i="7"/>
  <c r="CU78" i="7" s="1"/>
  <c r="CY78" i="7" s="1"/>
  <c r="CZ78" i="7" s="1"/>
  <c r="J107" i="9"/>
  <c r="R79" i="11" s="1"/>
  <c r="I107" i="9"/>
  <c r="BU182" i="7"/>
  <c r="AD182" i="11" s="1"/>
  <c r="AO185" i="2"/>
  <c r="BC185" i="2" s="1"/>
  <c r="B332" i="3"/>
  <c r="D183" i="2"/>
  <c r="F183" i="2" s="1"/>
  <c r="B212" i="9"/>
  <c r="W183" i="11" l="1"/>
  <c r="U183" i="2"/>
  <c r="AO183" i="11" s="1"/>
  <c r="AD182" i="2"/>
  <c r="M107" i="9"/>
  <c r="AR80" i="7" s="1"/>
  <c r="CA80" i="7" s="1"/>
  <c r="CK78" i="7"/>
  <c r="CQ78" i="7" s="1"/>
  <c r="CC79" i="7"/>
  <c r="CS79" i="7"/>
  <c r="CU79" i="7" s="1"/>
  <c r="CY79" i="7" s="1"/>
  <c r="CZ79" i="7" s="1"/>
  <c r="F108" i="9"/>
  <c r="AY80" i="11" s="1"/>
  <c r="C108" i="9"/>
  <c r="E108" i="9" s="1"/>
  <c r="BU183" i="7"/>
  <c r="AD183" i="11" s="1"/>
  <c r="AO186" i="2"/>
  <c r="BC186" i="2" s="1"/>
  <c r="B333" i="3"/>
  <c r="B213" i="9"/>
  <c r="D184" i="2"/>
  <c r="V35" i="5" s="1"/>
  <c r="W35" i="5" s="1"/>
  <c r="H108" i="9" l="1"/>
  <c r="BA80" i="11" s="1"/>
  <c r="AD183" i="2"/>
  <c r="G108" i="9"/>
  <c r="Q80" i="11" s="1"/>
  <c r="O108" i="9"/>
  <c r="BL80" i="7"/>
  <c r="CK79" i="7"/>
  <c r="CQ79" i="7" s="1"/>
  <c r="CN78" i="7"/>
  <c r="I108" i="9"/>
  <c r="F184" i="2"/>
  <c r="AO187" i="2"/>
  <c r="BC187" i="2" s="1"/>
  <c r="I333" i="3"/>
  <c r="B334" i="3"/>
  <c r="G333" i="3"/>
  <c r="O305" i="11" s="1"/>
  <c r="K333" i="3"/>
  <c r="F333" i="3"/>
  <c r="AX305" i="11" s="1"/>
  <c r="C333" i="3"/>
  <c r="E333" i="3" s="1"/>
  <c r="J333" i="3"/>
  <c r="P305" i="11" s="1"/>
  <c r="H333" i="3"/>
  <c r="AZ305" i="11" s="1"/>
  <c r="D185" i="2"/>
  <c r="F185" i="2" s="1"/>
  <c r="B214" i="9"/>
  <c r="J108" i="9" l="1"/>
  <c r="C109" i="9" s="1"/>
  <c r="E109" i="9" s="1"/>
  <c r="K108" i="9"/>
  <c r="L108" i="9" s="1"/>
  <c r="BK80" i="7" s="1"/>
  <c r="CB80" i="7" s="1"/>
  <c r="W185" i="11"/>
  <c r="U185" i="2"/>
  <c r="AO185" i="11" s="1"/>
  <c r="W184" i="11"/>
  <c r="BF184" i="11" s="1"/>
  <c r="V35" i="20" s="1"/>
  <c r="U184" i="2"/>
  <c r="AO184" i="11" s="1"/>
  <c r="CV80" i="7"/>
  <c r="CX80" i="7" s="1"/>
  <c r="CF80" i="7"/>
  <c r="CH80" i="7" s="1"/>
  <c r="CI80" i="7" s="1"/>
  <c r="I78" i="11"/>
  <c r="CN79" i="7"/>
  <c r="O333" i="3"/>
  <c r="AF305" i="2"/>
  <c r="R80" i="11"/>
  <c r="F109" i="9"/>
  <c r="AY81" i="11" s="1"/>
  <c r="BU185" i="7"/>
  <c r="AD185" i="11" s="1"/>
  <c r="BU184" i="7"/>
  <c r="AO188" i="2"/>
  <c r="BC188" i="2" s="1"/>
  <c r="L333" i="3"/>
  <c r="AE305" i="2" s="1"/>
  <c r="M333" i="3"/>
  <c r="V306" i="2" s="1"/>
  <c r="H334" i="3"/>
  <c r="AZ306" i="11" s="1"/>
  <c r="C334" i="3"/>
  <c r="E334" i="3" s="1"/>
  <c r="I334" i="3"/>
  <c r="B335" i="3"/>
  <c r="G334" i="3"/>
  <c r="O306" i="11" s="1"/>
  <c r="F334" i="3"/>
  <c r="AX306" i="11" s="1"/>
  <c r="K334" i="3"/>
  <c r="J334" i="3"/>
  <c r="P306" i="11" s="1"/>
  <c r="D186" i="2"/>
  <c r="F186" i="2" s="1"/>
  <c r="B215" i="9"/>
  <c r="M108" i="9" l="1"/>
  <c r="AR81" i="7" s="1"/>
  <c r="CA81" i="7" s="1"/>
  <c r="W186" i="11"/>
  <c r="U186" i="2"/>
  <c r="AD184" i="11"/>
  <c r="BM184" i="11" s="1"/>
  <c r="V14" i="20" s="1"/>
  <c r="V15" i="20" s="1"/>
  <c r="V19" i="20" s="1"/>
  <c r="V67" i="20" s="1"/>
  <c r="B182" i="19"/>
  <c r="BX184" i="11"/>
  <c r="V36" i="20" s="1"/>
  <c r="V40" i="20" s="1"/>
  <c r="V41" i="20" s="1"/>
  <c r="G109" i="9"/>
  <c r="Q81" i="11" s="1"/>
  <c r="O109" i="9"/>
  <c r="BL81" i="7"/>
  <c r="AP305" i="2"/>
  <c r="AR305" i="2" s="1"/>
  <c r="AS305" i="2" s="1"/>
  <c r="I79" i="11"/>
  <c r="CC80" i="7"/>
  <c r="CS80" i="7"/>
  <c r="CU80" i="7" s="1"/>
  <c r="CY80" i="7" s="1"/>
  <c r="CZ80" i="7" s="1"/>
  <c r="AD185" i="2"/>
  <c r="O334" i="3"/>
  <c r="AF306" i="2"/>
  <c r="H109" i="9"/>
  <c r="BA81" i="11" s="1"/>
  <c r="AD184" i="2"/>
  <c r="N182" i="19" s="1"/>
  <c r="AO186" i="11"/>
  <c r="BU186" i="7"/>
  <c r="AD186" i="11" s="1"/>
  <c r="AO189" i="2"/>
  <c r="BC189" i="2" s="1"/>
  <c r="K335" i="3"/>
  <c r="G335" i="3"/>
  <c r="O307" i="11" s="1"/>
  <c r="J335" i="3"/>
  <c r="P307" i="11" s="1"/>
  <c r="C335" i="3"/>
  <c r="E335" i="3" s="1"/>
  <c r="I335" i="3"/>
  <c r="H335" i="3"/>
  <c r="AZ307" i="11" s="1"/>
  <c r="F335" i="3"/>
  <c r="AX307" i="11" s="1"/>
  <c r="B336" i="3"/>
  <c r="M334" i="3"/>
  <c r="V307" i="2" s="1"/>
  <c r="L334" i="3"/>
  <c r="AE306" i="2" s="1"/>
  <c r="B216" i="9"/>
  <c r="D187" i="2"/>
  <c r="F187" i="2" s="1"/>
  <c r="W187" i="11" l="1"/>
  <c r="U187" i="2"/>
  <c r="AO187" i="11" s="1"/>
  <c r="V42" i="20"/>
  <c r="AD186" i="2"/>
  <c r="BD305" i="2"/>
  <c r="BF305" i="2" s="1"/>
  <c r="BG305" i="2" s="1"/>
  <c r="CV81" i="7"/>
  <c r="CX81" i="7" s="1"/>
  <c r="CF81" i="7"/>
  <c r="CH81" i="7" s="1"/>
  <c r="CI81" i="7" s="1"/>
  <c r="AP306" i="2"/>
  <c r="BD306" i="2" s="1"/>
  <c r="BF306" i="2" s="1"/>
  <c r="BG306" i="2" s="1"/>
  <c r="CK80" i="7"/>
  <c r="CN80" i="7" s="1"/>
  <c r="O335" i="3"/>
  <c r="AF307" i="2"/>
  <c r="K109" i="9"/>
  <c r="J109" i="9"/>
  <c r="I109" i="9"/>
  <c r="BU187" i="7"/>
  <c r="AD187" i="11" s="1"/>
  <c r="AO190" i="2"/>
  <c r="BC190" i="2" s="1"/>
  <c r="J336" i="3"/>
  <c r="P308" i="11" s="1"/>
  <c r="F336" i="3"/>
  <c r="AX308" i="11" s="1"/>
  <c r="B337" i="3"/>
  <c r="G336" i="3"/>
  <c r="O308" i="11" s="1"/>
  <c r="K336" i="3"/>
  <c r="I336" i="3"/>
  <c r="H336" i="3"/>
  <c r="AZ308" i="11" s="1"/>
  <c r="C336" i="3"/>
  <c r="E336" i="3" s="1"/>
  <c r="L335" i="3"/>
  <c r="AE307" i="2" s="1"/>
  <c r="M335" i="3"/>
  <c r="V308" i="2" s="1"/>
  <c r="B217" i="9"/>
  <c r="D188" i="2"/>
  <c r="F188" i="2" s="1"/>
  <c r="W188" i="11" l="1"/>
  <c r="U188" i="2"/>
  <c r="AR306" i="2"/>
  <c r="AS306" i="2" s="1"/>
  <c r="AD187" i="2"/>
  <c r="AP307" i="2"/>
  <c r="BD307" i="2" s="1"/>
  <c r="BF307" i="2" s="1"/>
  <c r="BG307" i="2" s="1"/>
  <c r="I80" i="11"/>
  <c r="CQ80" i="7"/>
  <c r="O336" i="3"/>
  <c r="AF308" i="2"/>
  <c r="R81" i="11"/>
  <c r="F110" i="9"/>
  <c r="AY82" i="11" s="1"/>
  <c r="C110" i="9"/>
  <c r="E110" i="9" s="1"/>
  <c r="M109" i="9"/>
  <c r="AR82" i="7" s="1"/>
  <c r="CA82" i="7" s="1"/>
  <c r="L109" i="9"/>
  <c r="BK81" i="7" s="1"/>
  <c r="CB81" i="7" s="1"/>
  <c r="AO188" i="11"/>
  <c r="BU188" i="7"/>
  <c r="AD188" i="11" s="1"/>
  <c r="AO191" i="2"/>
  <c r="BC191" i="2" s="1"/>
  <c r="M336" i="3"/>
  <c r="V309" i="2" s="1"/>
  <c r="L336" i="3"/>
  <c r="AE308" i="2" s="1"/>
  <c r="J337" i="3"/>
  <c r="P309" i="11" s="1"/>
  <c r="F337" i="3"/>
  <c r="AX309" i="11" s="1"/>
  <c r="I337" i="3"/>
  <c r="H337" i="3"/>
  <c r="AZ309" i="11" s="1"/>
  <c r="B338" i="3"/>
  <c r="K337" i="3"/>
  <c r="G337" i="3"/>
  <c r="O309" i="11" s="1"/>
  <c r="C337" i="3"/>
  <c r="E337" i="3" s="1"/>
  <c r="D189" i="2"/>
  <c r="F189" i="2" s="1"/>
  <c r="B218" i="9"/>
  <c r="H110" i="9" l="1"/>
  <c r="BA82" i="11" s="1"/>
  <c r="G110" i="9"/>
  <c r="Q82" i="11" s="1"/>
  <c r="AR307" i="2"/>
  <c r="AS307" i="2" s="1"/>
  <c r="W189" i="11"/>
  <c r="U189" i="2"/>
  <c r="AO189" i="11" s="1"/>
  <c r="AD188" i="2"/>
  <c r="BL82" i="7"/>
  <c r="O110" i="9"/>
  <c r="AP308" i="2"/>
  <c r="BD308" i="2" s="1"/>
  <c r="BF308" i="2" s="1"/>
  <c r="BG308" i="2" s="1"/>
  <c r="CC81" i="7"/>
  <c r="CS81" i="7"/>
  <c r="CU81" i="7" s="1"/>
  <c r="CY81" i="7" s="1"/>
  <c r="CZ81" i="7" s="1"/>
  <c r="O337" i="3"/>
  <c r="AF309" i="2"/>
  <c r="I110" i="9"/>
  <c r="BU189" i="7"/>
  <c r="AD189" i="11" s="1"/>
  <c r="AO192" i="2"/>
  <c r="BC192" i="2" s="1"/>
  <c r="J338" i="3"/>
  <c r="P310" i="11" s="1"/>
  <c r="F338" i="3"/>
  <c r="AX310" i="11" s="1"/>
  <c r="B339" i="3"/>
  <c r="G338" i="3"/>
  <c r="O310" i="11" s="1"/>
  <c r="K338" i="3"/>
  <c r="C338" i="3"/>
  <c r="E338" i="3" s="1"/>
  <c r="I338" i="3"/>
  <c r="H338" i="3"/>
  <c r="AZ310" i="11" s="1"/>
  <c r="M337" i="3"/>
  <c r="V310" i="2" s="1"/>
  <c r="L337" i="3"/>
  <c r="AE309" i="2" s="1"/>
  <c r="B219" i="9"/>
  <c r="D190" i="2"/>
  <c r="F190" i="2" s="1"/>
  <c r="J110" i="9" l="1"/>
  <c r="F111" i="9" s="1"/>
  <c r="AY83" i="11" s="1"/>
  <c r="K110" i="9"/>
  <c r="M110" i="9" s="1"/>
  <c r="AR83" i="7" s="1"/>
  <c r="CA83" i="7" s="1"/>
  <c r="W190" i="11"/>
  <c r="U190" i="2"/>
  <c r="AO190" i="11" s="1"/>
  <c r="AR308" i="2"/>
  <c r="AS308" i="2" s="1"/>
  <c r="AD189" i="2"/>
  <c r="L110" i="9"/>
  <c r="BK82" i="7" s="1"/>
  <c r="CB82" i="7" s="1"/>
  <c r="CC82" i="7" s="1"/>
  <c r="CF82" i="7"/>
  <c r="CH82" i="7" s="1"/>
  <c r="CI82" i="7" s="1"/>
  <c r="CV82" i="7"/>
  <c r="CX82" i="7" s="1"/>
  <c r="AP309" i="2"/>
  <c r="AR309" i="2" s="1"/>
  <c r="AS309" i="2" s="1"/>
  <c r="CK81" i="7"/>
  <c r="CQ81" i="7" s="1"/>
  <c r="O338" i="3"/>
  <c r="AF310" i="2"/>
  <c r="BU190" i="7"/>
  <c r="AD190" i="11" s="1"/>
  <c r="AO193" i="2"/>
  <c r="BC193" i="2" s="1"/>
  <c r="M338" i="3"/>
  <c r="V311" i="2" s="1"/>
  <c r="L338" i="3"/>
  <c r="AE310" i="2" s="1"/>
  <c r="I339" i="3"/>
  <c r="H339" i="3"/>
  <c r="AZ311" i="11" s="1"/>
  <c r="B340" i="3"/>
  <c r="G339" i="3"/>
  <c r="O311" i="11" s="1"/>
  <c r="F339" i="3"/>
  <c r="AX311" i="11" s="1"/>
  <c r="C339" i="3"/>
  <c r="E339" i="3" s="1"/>
  <c r="K339" i="3"/>
  <c r="J339" i="3"/>
  <c r="P311" i="11" s="1"/>
  <c r="D191" i="2"/>
  <c r="F191" i="2" s="1"/>
  <c r="B220" i="9"/>
  <c r="O111" i="9" l="1"/>
  <c r="R82" i="11"/>
  <c r="BL83" i="7"/>
  <c r="CF83" i="7" s="1"/>
  <c r="CH83" i="7" s="1"/>
  <c r="CI83" i="7" s="1"/>
  <c r="G111" i="9"/>
  <c r="Q83" i="11" s="1"/>
  <c r="C111" i="9"/>
  <c r="E111" i="9" s="1"/>
  <c r="H111" i="9" s="1"/>
  <c r="BA83" i="11" s="1"/>
  <c r="W191" i="11"/>
  <c r="U191" i="2"/>
  <c r="AO191" i="11" s="1"/>
  <c r="CV83" i="7"/>
  <c r="CX83" i="7" s="1"/>
  <c r="CS82" i="7"/>
  <c r="CU82" i="7" s="1"/>
  <c r="CY82" i="7" s="1"/>
  <c r="CZ82" i="7" s="1"/>
  <c r="BD309" i="2"/>
  <c r="BF309" i="2" s="1"/>
  <c r="BG309" i="2" s="1"/>
  <c r="AP310" i="2"/>
  <c r="BD310" i="2" s="1"/>
  <c r="BF310" i="2" s="1"/>
  <c r="BG310" i="2" s="1"/>
  <c r="CK82" i="7"/>
  <c r="CQ82" i="7" s="1"/>
  <c r="CN81" i="7"/>
  <c r="AD190" i="2"/>
  <c r="I111" i="9"/>
  <c r="O339" i="3"/>
  <c r="AF311" i="2"/>
  <c r="BU191" i="7"/>
  <c r="AD191" i="11" s="1"/>
  <c r="AO194" i="2"/>
  <c r="BC194" i="2" s="1"/>
  <c r="L339" i="3"/>
  <c r="AE311" i="2" s="1"/>
  <c r="M339" i="3"/>
  <c r="V312" i="2" s="1"/>
  <c r="B341" i="3"/>
  <c r="I340" i="3"/>
  <c r="C340" i="3"/>
  <c r="E340" i="3" s="1"/>
  <c r="K340" i="3"/>
  <c r="F340" i="3"/>
  <c r="AX312" i="11" s="1"/>
  <c r="J340" i="3"/>
  <c r="P312" i="11" s="1"/>
  <c r="H340" i="3"/>
  <c r="AZ312" i="11" s="1"/>
  <c r="G340" i="3"/>
  <c r="O312" i="11" s="1"/>
  <c r="B221" i="9"/>
  <c r="D192" i="2"/>
  <c r="F192" i="2" s="1"/>
  <c r="K111" i="9" l="1"/>
  <c r="M111" i="9" s="1"/>
  <c r="AR84" i="7" s="1"/>
  <c r="CA84" i="7" s="1"/>
  <c r="J111" i="9"/>
  <c r="R83" i="11" s="1"/>
  <c r="W192" i="11"/>
  <c r="U192" i="2"/>
  <c r="AO192" i="11" s="1"/>
  <c r="AD191" i="2"/>
  <c r="AR310" i="2"/>
  <c r="AS310" i="2" s="1"/>
  <c r="AP311" i="2"/>
  <c r="AR311" i="2" s="1"/>
  <c r="AS311" i="2" s="1"/>
  <c r="I81" i="11"/>
  <c r="CN82" i="7"/>
  <c r="F112" i="9"/>
  <c r="AY84" i="11" s="1"/>
  <c r="C112" i="9"/>
  <c r="E112" i="9" s="1"/>
  <c r="L111" i="9"/>
  <c r="BK83" i="7" s="1"/>
  <c r="CB83" i="7" s="1"/>
  <c r="O340" i="3"/>
  <c r="AF312" i="2"/>
  <c r="BU192" i="7"/>
  <c r="AD192" i="11" s="1"/>
  <c r="AO195" i="2"/>
  <c r="BC195" i="2" s="1"/>
  <c r="K341" i="3"/>
  <c r="G341" i="3"/>
  <c r="O313" i="11" s="1"/>
  <c r="B342" i="3"/>
  <c r="F341" i="3"/>
  <c r="AX313" i="11" s="1"/>
  <c r="J341" i="3"/>
  <c r="P313" i="11" s="1"/>
  <c r="I341" i="3"/>
  <c r="H341" i="3"/>
  <c r="AZ313" i="11" s="1"/>
  <c r="C341" i="3"/>
  <c r="E341" i="3" s="1"/>
  <c r="M340" i="3"/>
  <c r="V313" i="2" s="1"/>
  <c r="L340" i="3"/>
  <c r="AE312" i="2" s="1"/>
  <c r="D193" i="2"/>
  <c r="F193" i="2" s="1"/>
  <c r="B222" i="9"/>
  <c r="W193" i="11" l="1"/>
  <c r="U193" i="2"/>
  <c r="AO193" i="11" s="1"/>
  <c r="AD192" i="2"/>
  <c r="BD311" i="2"/>
  <c r="BF311" i="2" s="1"/>
  <c r="BG311" i="2" s="1"/>
  <c r="G112" i="9"/>
  <c r="Q84" i="11" s="1"/>
  <c r="BL84" i="7"/>
  <c r="O112" i="9"/>
  <c r="H112" i="9"/>
  <c r="BA84" i="11" s="1"/>
  <c r="AP312" i="2"/>
  <c r="AR312" i="2" s="1"/>
  <c r="AS312" i="2" s="1"/>
  <c r="I82" i="11"/>
  <c r="CC83" i="7"/>
  <c r="CK83" i="7" s="1"/>
  <c r="CN83" i="7" s="1"/>
  <c r="CS83" i="7"/>
  <c r="CU83" i="7" s="1"/>
  <c r="CY83" i="7" s="1"/>
  <c r="CZ83" i="7" s="1"/>
  <c r="O341" i="3"/>
  <c r="AF313" i="2"/>
  <c r="BU193" i="7"/>
  <c r="AD193" i="11" s="1"/>
  <c r="AO196" i="2"/>
  <c r="BC196" i="2" s="1"/>
  <c r="J342" i="3"/>
  <c r="P314" i="11" s="1"/>
  <c r="F342" i="3"/>
  <c r="AX314" i="11" s="1"/>
  <c r="B343" i="3"/>
  <c r="H342" i="3"/>
  <c r="AZ314" i="11" s="1"/>
  <c r="G342" i="3"/>
  <c r="O314" i="11" s="1"/>
  <c r="K342" i="3"/>
  <c r="I342" i="3"/>
  <c r="C342" i="3"/>
  <c r="E342" i="3" s="1"/>
  <c r="L341" i="3"/>
  <c r="AE313" i="2" s="1"/>
  <c r="M341" i="3"/>
  <c r="V314" i="2" s="1"/>
  <c r="D194" i="2"/>
  <c r="F194" i="2" s="1"/>
  <c r="B223" i="9"/>
  <c r="I112" i="9" l="1"/>
  <c r="W194" i="11"/>
  <c r="U194" i="2"/>
  <c r="AO194" i="11" s="1"/>
  <c r="AD193" i="2"/>
  <c r="K112" i="9"/>
  <c r="M112" i="9" s="1"/>
  <c r="AR85" i="7" s="1"/>
  <c r="CA85" i="7" s="1"/>
  <c r="J112" i="9"/>
  <c r="R84" i="11" s="1"/>
  <c r="BD312" i="2"/>
  <c r="BF312" i="2" s="1"/>
  <c r="BG312" i="2" s="1"/>
  <c r="CV84" i="7"/>
  <c r="CX84" i="7" s="1"/>
  <c r="CF84" i="7"/>
  <c r="CH84" i="7" s="1"/>
  <c r="CI84" i="7" s="1"/>
  <c r="AP313" i="2"/>
  <c r="AR313" i="2" s="1"/>
  <c r="AS313" i="2" s="1"/>
  <c r="CQ83" i="7"/>
  <c r="O342" i="3"/>
  <c r="AF314" i="2"/>
  <c r="BU194" i="7"/>
  <c r="AD194" i="11" s="1"/>
  <c r="I83" i="11"/>
  <c r="AO197" i="2"/>
  <c r="BC197" i="2" s="1"/>
  <c r="M342" i="3"/>
  <c r="V315" i="2" s="1"/>
  <c r="L342" i="3"/>
  <c r="AE314" i="2" s="1"/>
  <c r="K343" i="3"/>
  <c r="G343" i="3"/>
  <c r="O315" i="11" s="1"/>
  <c r="J343" i="3"/>
  <c r="P315" i="11" s="1"/>
  <c r="F343" i="3"/>
  <c r="AX315" i="11" s="1"/>
  <c r="I343" i="3"/>
  <c r="C343" i="3"/>
  <c r="E343" i="3" s="1"/>
  <c r="B344" i="3"/>
  <c r="H343" i="3"/>
  <c r="AZ315" i="11" s="1"/>
  <c r="D195" i="2"/>
  <c r="F195" i="2" s="1"/>
  <c r="B224" i="9"/>
  <c r="W195" i="11" l="1"/>
  <c r="U195" i="2"/>
  <c r="L112" i="9"/>
  <c r="BK84" i="7" s="1"/>
  <c r="CB84" i="7" s="1"/>
  <c r="CC84" i="7" s="1"/>
  <c r="CK84" i="7" s="1"/>
  <c r="F113" i="9"/>
  <c r="AY85" i="11" s="1"/>
  <c r="AD194" i="2"/>
  <c r="C113" i="9"/>
  <c r="E113" i="9" s="1"/>
  <c r="H113" i="9" s="1"/>
  <c r="BA85" i="11" s="1"/>
  <c r="BD313" i="2"/>
  <c r="BF313" i="2" s="1"/>
  <c r="BG313" i="2" s="1"/>
  <c r="AP314" i="2"/>
  <c r="AR314" i="2" s="1"/>
  <c r="AS314" i="2" s="1"/>
  <c r="O343" i="3"/>
  <c r="AF315" i="2"/>
  <c r="AO195" i="11"/>
  <c r="BU195" i="7"/>
  <c r="AD195" i="11" s="1"/>
  <c r="AO198" i="2"/>
  <c r="BC198" i="2" s="1"/>
  <c r="L343" i="3"/>
  <c r="AE315" i="2" s="1"/>
  <c r="M343" i="3"/>
  <c r="V316" i="2" s="1"/>
  <c r="J344" i="3"/>
  <c r="P316" i="11" s="1"/>
  <c r="F344" i="3"/>
  <c r="AX316" i="11" s="1"/>
  <c r="I344" i="3"/>
  <c r="B345" i="3"/>
  <c r="H344" i="3"/>
  <c r="AZ316" i="11" s="1"/>
  <c r="C344" i="3"/>
  <c r="E344" i="3" s="1"/>
  <c r="K344" i="3"/>
  <c r="G344" i="3"/>
  <c r="O316" i="11" s="1"/>
  <c r="B225" i="9"/>
  <c r="D196" i="2"/>
  <c r="V36" i="5" s="1"/>
  <c r="W36" i="5" s="1"/>
  <c r="I113" i="9" l="1"/>
  <c r="G113" i="9"/>
  <c r="Q85" i="11" s="1"/>
  <c r="CI316" i="11"/>
  <c r="AG75" i="20" s="1"/>
  <c r="CG316" i="11"/>
  <c r="AG55" i="20" s="1"/>
  <c r="CS84" i="7"/>
  <c r="CU84" i="7" s="1"/>
  <c r="CY84" i="7" s="1"/>
  <c r="CZ84" i="7" s="1"/>
  <c r="CN84" i="7"/>
  <c r="I84" i="11" s="1"/>
  <c r="CQ84" i="7"/>
  <c r="BL85" i="7"/>
  <c r="CV85" i="7" s="1"/>
  <c r="CX85" i="7" s="1"/>
  <c r="O113" i="9"/>
  <c r="K113" i="9"/>
  <c r="L113" i="9" s="1"/>
  <c r="BK85" i="7" s="1"/>
  <c r="J113" i="9"/>
  <c r="R85" i="11" s="1"/>
  <c r="AD195" i="2"/>
  <c r="BD314" i="2"/>
  <c r="BF314" i="2" s="1"/>
  <c r="BG314" i="2" s="1"/>
  <c r="AP315" i="2"/>
  <c r="AR315" i="2" s="1"/>
  <c r="AS315" i="2" s="1"/>
  <c r="O344" i="3"/>
  <c r="AF316" i="2"/>
  <c r="F196" i="2"/>
  <c r="AO199" i="2"/>
  <c r="BC199" i="2" s="1"/>
  <c r="J345" i="3"/>
  <c r="P317" i="11" s="1"/>
  <c r="F345" i="3"/>
  <c r="AX317" i="11" s="1"/>
  <c r="I345" i="3"/>
  <c r="C345" i="3"/>
  <c r="E345" i="3" s="1"/>
  <c r="B346" i="3"/>
  <c r="H345" i="3"/>
  <c r="AZ317" i="11" s="1"/>
  <c r="K345" i="3"/>
  <c r="G345" i="3"/>
  <c r="O317" i="11" s="1"/>
  <c r="M344" i="3"/>
  <c r="V317" i="2" s="1"/>
  <c r="L344" i="3"/>
  <c r="AE316" i="2" s="1"/>
  <c r="D197" i="2"/>
  <c r="F197" i="2" s="1"/>
  <c r="B226" i="9"/>
  <c r="W196" i="11" l="1"/>
  <c r="BF196" i="11" s="1"/>
  <c r="W35" i="20" s="1"/>
  <c r="U196" i="2"/>
  <c r="AO196" i="11" s="1"/>
  <c r="W197" i="11"/>
  <c r="U197" i="2"/>
  <c r="AO197" i="11" s="1"/>
  <c r="CB85" i="7"/>
  <c r="CC85" i="7" s="1"/>
  <c r="CF85" i="7"/>
  <c r="CH85" i="7" s="1"/>
  <c r="CI85" i="7" s="1"/>
  <c r="M113" i="9"/>
  <c r="AR86" i="7" s="1"/>
  <c r="CA86" i="7" s="1"/>
  <c r="F114" i="9"/>
  <c r="AY86" i="11" s="1"/>
  <c r="BD315" i="2"/>
  <c r="BF315" i="2" s="1"/>
  <c r="BG315" i="2" s="1"/>
  <c r="C114" i="9"/>
  <c r="E114" i="9" s="1"/>
  <c r="AP316" i="2"/>
  <c r="AR316" i="2" s="1"/>
  <c r="AS316" i="2" s="1"/>
  <c r="O345" i="3"/>
  <c r="AF317" i="2"/>
  <c r="BU197" i="7"/>
  <c r="AD197" i="11" s="1"/>
  <c r="BU196" i="7"/>
  <c r="AO200" i="2"/>
  <c r="BC200" i="2" s="1"/>
  <c r="L345" i="3"/>
  <c r="AE317" i="2" s="1"/>
  <c r="M345" i="3"/>
  <c r="V318" i="2" s="1"/>
  <c r="J346" i="3"/>
  <c r="P318" i="11" s="1"/>
  <c r="F346" i="3"/>
  <c r="AX318" i="11" s="1"/>
  <c r="I346" i="3"/>
  <c r="C346" i="3"/>
  <c r="E346" i="3" s="1"/>
  <c r="B347" i="3"/>
  <c r="H346" i="3"/>
  <c r="AZ318" i="11" s="1"/>
  <c r="K346" i="3"/>
  <c r="G346" i="3"/>
  <c r="O318" i="11" s="1"/>
  <c r="B227" i="9"/>
  <c r="D198" i="2"/>
  <c r="F198" i="2" s="1"/>
  <c r="H114" i="9" l="1"/>
  <c r="K114" i="9" s="1"/>
  <c r="L114" i="9" s="1"/>
  <c r="BK86" i="7" s="1"/>
  <c r="G114" i="9"/>
  <c r="Q86" i="11" s="1"/>
  <c r="W198" i="11"/>
  <c r="U198" i="2"/>
  <c r="AO198" i="11" s="1"/>
  <c r="BL86" i="7"/>
  <c r="CF86" i="7" s="1"/>
  <c r="CH86" i="7" s="1"/>
  <c r="CI86" i="7" s="1"/>
  <c r="CK85" i="7"/>
  <c r="CN85" i="7" s="1"/>
  <c r="I85" i="11" s="1"/>
  <c r="CS85" i="7"/>
  <c r="CU85" i="7" s="1"/>
  <c r="CY85" i="7" s="1"/>
  <c r="CZ85" i="7" s="1"/>
  <c r="AD196" i="11"/>
  <c r="BM196" i="11" s="1"/>
  <c r="W14" i="20" s="1"/>
  <c r="W15" i="20" s="1"/>
  <c r="W19" i="20" s="1"/>
  <c r="W67" i="20" s="1"/>
  <c r="O114" i="9"/>
  <c r="B194" i="19"/>
  <c r="BX196" i="11"/>
  <c r="W36" i="20" s="1"/>
  <c r="W40" i="20" s="1"/>
  <c r="W41" i="20" s="1"/>
  <c r="BD316" i="2"/>
  <c r="BF316" i="2" s="1"/>
  <c r="BG316" i="2" s="1"/>
  <c r="AP317" i="2"/>
  <c r="BD317" i="2" s="1"/>
  <c r="BF317" i="2" s="1"/>
  <c r="BG317" i="2" s="1"/>
  <c r="AD197" i="2"/>
  <c r="O346" i="3"/>
  <c r="AF318" i="2"/>
  <c r="AD196" i="2"/>
  <c r="N194" i="19" s="1"/>
  <c r="BU198" i="7"/>
  <c r="AD198" i="11" s="1"/>
  <c r="AO201" i="2"/>
  <c r="BC201" i="2" s="1"/>
  <c r="I347" i="3"/>
  <c r="B348" i="3"/>
  <c r="H347" i="3"/>
  <c r="AZ319" i="11" s="1"/>
  <c r="C347" i="3"/>
  <c r="E347" i="3" s="1"/>
  <c r="K347" i="3"/>
  <c r="G347" i="3"/>
  <c r="O319" i="11" s="1"/>
  <c r="J347" i="3"/>
  <c r="P319" i="11" s="1"/>
  <c r="F347" i="3"/>
  <c r="AX319" i="11" s="1"/>
  <c r="M346" i="3"/>
  <c r="V319" i="2" s="1"/>
  <c r="L346" i="3"/>
  <c r="AE318" i="2" s="1"/>
  <c r="B228" i="9"/>
  <c r="D199" i="2"/>
  <c r="F199" i="2" s="1"/>
  <c r="I114" i="9" l="1"/>
  <c r="BA86" i="11"/>
  <c r="J114" i="9"/>
  <c r="R86" i="11" s="1"/>
  <c r="CV86" i="7"/>
  <c r="CX86" i="7" s="1"/>
  <c r="CB86" i="7"/>
  <c r="CC86" i="7" s="1"/>
  <c r="M114" i="9"/>
  <c r="AR87" i="7" s="1"/>
  <c r="CA87" i="7" s="1"/>
  <c r="W199" i="11"/>
  <c r="U199" i="2"/>
  <c r="AO199" i="11" s="1"/>
  <c r="CQ85" i="7"/>
  <c r="W42" i="20"/>
  <c r="AD198" i="2"/>
  <c r="AR317" i="2"/>
  <c r="AS317" i="2" s="1"/>
  <c r="AP318" i="2"/>
  <c r="BD318" i="2" s="1"/>
  <c r="BF318" i="2" s="1"/>
  <c r="BG318" i="2" s="1"/>
  <c r="O347" i="3"/>
  <c r="AF319" i="2"/>
  <c r="BU199" i="7"/>
  <c r="AD199" i="11" s="1"/>
  <c r="AO202" i="2"/>
  <c r="BC202" i="2" s="1"/>
  <c r="I348" i="3"/>
  <c r="C348" i="3"/>
  <c r="E348" i="3" s="1"/>
  <c r="B349" i="3"/>
  <c r="H348" i="3"/>
  <c r="AZ320" i="11" s="1"/>
  <c r="K348" i="3"/>
  <c r="G348" i="3"/>
  <c r="O320" i="11" s="1"/>
  <c r="J348" i="3"/>
  <c r="P320" i="11" s="1"/>
  <c r="F348" i="3"/>
  <c r="AX320" i="11" s="1"/>
  <c r="L347" i="3"/>
  <c r="AE319" i="2" s="1"/>
  <c r="M347" i="3"/>
  <c r="V320" i="2" s="1"/>
  <c r="D200" i="2"/>
  <c r="F200" i="2" s="1"/>
  <c r="B229" i="9"/>
  <c r="CS86" i="7" l="1"/>
  <c r="CU86" i="7" s="1"/>
  <c r="CY86" i="7" s="1"/>
  <c r="CZ86" i="7" s="1"/>
  <c r="F115" i="9"/>
  <c r="AY87" i="11" s="1"/>
  <c r="C115" i="9"/>
  <c r="E115" i="9" s="1"/>
  <c r="H115" i="9" s="1"/>
  <c r="BA87" i="11" s="1"/>
  <c r="G115" i="9"/>
  <c r="Q87" i="11" s="1"/>
  <c r="W200" i="11"/>
  <c r="U200" i="2"/>
  <c r="AO200" i="11" s="1"/>
  <c r="O115" i="9"/>
  <c r="BL87" i="7"/>
  <c r="CF87" i="7" s="1"/>
  <c r="CH87" i="7" s="1"/>
  <c r="CI87" i="7" s="1"/>
  <c r="AD199" i="2"/>
  <c r="AR318" i="2"/>
  <c r="AS318" i="2" s="1"/>
  <c r="AP319" i="2"/>
  <c r="AR319" i="2" s="1"/>
  <c r="AS319" i="2" s="1"/>
  <c r="CK86" i="7"/>
  <c r="CQ86" i="7" s="1"/>
  <c r="O348" i="3"/>
  <c r="AF320" i="2"/>
  <c r="BU200" i="7"/>
  <c r="AD200" i="11" s="1"/>
  <c r="I115" i="9"/>
  <c r="AO203" i="2"/>
  <c r="BC203" i="2" s="1"/>
  <c r="I349" i="3"/>
  <c r="C349" i="3"/>
  <c r="E349" i="3" s="1"/>
  <c r="B350" i="3"/>
  <c r="H349" i="3"/>
  <c r="AZ321" i="11" s="1"/>
  <c r="K349" i="3"/>
  <c r="G349" i="3"/>
  <c r="O321" i="11" s="1"/>
  <c r="J349" i="3"/>
  <c r="P321" i="11" s="1"/>
  <c r="F349" i="3"/>
  <c r="AX321" i="11" s="1"/>
  <c r="M348" i="3"/>
  <c r="V321" i="2" s="1"/>
  <c r="L348" i="3"/>
  <c r="AE320" i="2" s="1"/>
  <c r="D201" i="2"/>
  <c r="F201" i="2" s="1"/>
  <c r="B230" i="9"/>
  <c r="K115" i="9" l="1"/>
  <c r="L115" i="9" s="1"/>
  <c r="BK87" i="7" s="1"/>
  <c r="CB87" i="7" s="1"/>
  <c r="J115" i="9"/>
  <c r="R87" i="11" s="1"/>
  <c r="CV87" i="7"/>
  <c r="CX87" i="7" s="1"/>
  <c r="W201" i="11"/>
  <c r="U201" i="2"/>
  <c r="AO201" i="11" s="1"/>
  <c r="AD200" i="2"/>
  <c r="BD319" i="2"/>
  <c r="BF319" i="2" s="1"/>
  <c r="BG319" i="2" s="1"/>
  <c r="AP320" i="2"/>
  <c r="AR320" i="2" s="1"/>
  <c r="AS320" i="2" s="1"/>
  <c r="CN86" i="7"/>
  <c r="O349" i="3"/>
  <c r="AF321" i="2"/>
  <c r="BU201" i="7"/>
  <c r="AD201" i="11" s="1"/>
  <c r="M115" i="9"/>
  <c r="AR88" i="7" s="1"/>
  <c r="CA88" i="7" s="1"/>
  <c r="AO204" i="2"/>
  <c r="BC204" i="2" s="1"/>
  <c r="K350" i="3"/>
  <c r="J350" i="3"/>
  <c r="P322" i="11" s="1"/>
  <c r="H350" i="3"/>
  <c r="AZ322" i="11" s="1"/>
  <c r="C350" i="3"/>
  <c r="E350" i="3" s="1"/>
  <c r="G350" i="3"/>
  <c r="O322" i="11" s="1"/>
  <c r="B351" i="3"/>
  <c r="F350" i="3"/>
  <c r="AX322" i="11" s="1"/>
  <c r="I350" i="3"/>
  <c r="L349" i="3"/>
  <c r="AE321" i="2" s="1"/>
  <c r="M349" i="3"/>
  <c r="V322" i="2" s="1"/>
  <c r="B231" i="9"/>
  <c r="D202" i="2"/>
  <c r="F202" i="2" s="1"/>
  <c r="F116" i="9" l="1"/>
  <c r="AY88" i="11" s="1"/>
  <c r="C116" i="9"/>
  <c r="E116" i="9" s="1"/>
  <c r="W202" i="11"/>
  <c r="U202" i="2"/>
  <c r="CH88" i="11"/>
  <c r="N56" i="20" s="1"/>
  <c r="BD320" i="2"/>
  <c r="BF320" i="2" s="1"/>
  <c r="BG320" i="2" s="1"/>
  <c r="AD201" i="2"/>
  <c r="BL88" i="7"/>
  <c r="CV88" i="7" s="1"/>
  <c r="CX88" i="7" s="1"/>
  <c r="O116" i="9"/>
  <c r="AP321" i="2"/>
  <c r="AR321" i="2" s="1"/>
  <c r="AS321" i="2" s="1"/>
  <c r="I86" i="11"/>
  <c r="CC87" i="7"/>
  <c r="CS87" i="7"/>
  <c r="CU87" i="7" s="1"/>
  <c r="CY87" i="7" s="1"/>
  <c r="CZ87" i="7" s="1"/>
  <c r="O350" i="3"/>
  <c r="AF322" i="2"/>
  <c r="AO202" i="11"/>
  <c r="BU202" i="7"/>
  <c r="AD202" i="11" s="1"/>
  <c r="G116" i="9"/>
  <c r="Q88" i="11" s="1"/>
  <c r="H116" i="9"/>
  <c r="BA88" i="11" s="1"/>
  <c r="AO205" i="2"/>
  <c r="BC205" i="2" s="1"/>
  <c r="J351" i="3"/>
  <c r="P323" i="11" s="1"/>
  <c r="F351" i="3"/>
  <c r="AX323" i="11" s="1"/>
  <c r="I351" i="3"/>
  <c r="G351" i="3"/>
  <c r="O323" i="11" s="1"/>
  <c r="B352" i="3"/>
  <c r="C351" i="3"/>
  <c r="E351" i="3" s="1"/>
  <c r="K351" i="3"/>
  <c r="H351" i="3"/>
  <c r="AZ323" i="11" s="1"/>
  <c r="L350" i="3"/>
  <c r="AE322" i="2" s="1"/>
  <c r="M350" i="3"/>
  <c r="V323" i="2" s="1"/>
  <c r="D203" i="2"/>
  <c r="F203" i="2" s="1"/>
  <c r="B232" i="9"/>
  <c r="W203" i="11" l="1"/>
  <c r="U203" i="2"/>
  <c r="AO203" i="11" s="1"/>
  <c r="CF88" i="7"/>
  <c r="CH88" i="7" s="1"/>
  <c r="CI88" i="7" s="1"/>
  <c r="AD202" i="2"/>
  <c r="BD321" i="2"/>
  <c r="BF321" i="2" s="1"/>
  <c r="BG321" i="2" s="1"/>
  <c r="AP322" i="2"/>
  <c r="BD322" i="2" s="1"/>
  <c r="BF322" i="2" s="1"/>
  <c r="BG322" i="2" s="1"/>
  <c r="K116" i="9"/>
  <c r="L116" i="9" s="1"/>
  <c r="BK88" i="7" s="1"/>
  <c r="CB88" i="7" s="1"/>
  <c r="CC88" i="7" s="1"/>
  <c r="CK88" i="7" s="1"/>
  <c r="CQ88" i="7" s="1"/>
  <c r="CJ88" i="11"/>
  <c r="N76" i="20" s="1"/>
  <c r="CK87" i="7"/>
  <c r="CQ87" i="7" s="1"/>
  <c r="O351" i="3"/>
  <c r="AF323" i="2"/>
  <c r="I116" i="9"/>
  <c r="BU203" i="7"/>
  <c r="AD203" i="11" s="1"/>
  <c r="J116" i="9"/>
  <c r="AO206" i="2"/>
  <c r="BC206" i="2" s="1"/>
  <c r="J352" i="3"/>
  <c r="P324" i="11" s="1"/>
  <c r="F352" i="3"/>
  <c r="AX324" i="11" s="1"/>
  <c r="I352" i="3"/>
  <c r="C352" i="3"/>
  <c r="E352" i="3" s="1"/>
  <c r="G352" i="3"/>
  <c r="O324" i="11" s="1"/>
  <c r="B353" i="3"/>
  <c r="K352" i="3"/>
  <c r="H352" i="3"/>
  <c r="AZ324" i="11" s="1"/>
  <c r="M351" i="3"/>
  <c r="V324" i="2" s="1"/>
  <c r="L351" i="3"/>
  <c r="AE323" i="2" s="1"/>
  <c r="B233" i="9"/>
  <c r="D204" i="2"/>
  <c r="F204" i="2" s="1"/>
  <c r="W204" i="11" l="1"/>
  <c r="U204" i="2"/>
  <c r="AR322" i="2"/>
  <c r="AS322" i="2" s="1"/>
  <c r="M116" i="9"/>
  <c r="AR89" i="7" s="1"/>
  <c r="CA89" i="7" s="1"/>
  <c r="AD203" i="2"/>
  <c r="AP323" i="2"/>
  <c r="BD323" i="2" s="1"/>
  <c r="BF323" i="2" s="1"/>
  <c r="BG323" i="2" s="1"/>
  <c r="CS88" i="7"/>
  <c r="CU88" i="7" s="1"/>
  <c r="CY88" i="7" s="1"/>
  <c r="CZ88" i="7" s="1"/>
  <c r="CN87" i="7"/>
  <c r="O352" i="3"/>
  <c r="AF324" i="2"/>
  <c r="F117" i="9"/>
  <c r="AY89" i="11" s="1"/>
  <c r="R88" i="11"/>
  <c r="CN88" i="7"/>
  <c r="AO204" i="11"/>
  <c r="BU204" i="7"/>
  <c r="AD204" i="11" s="1"/>
  <c r="C117" i="9"/>
  <c r="E117" i="9" s="1"/>
  <c r="AO207" i="2"/>
  <c r="BC207" i="2" s="1"/>
  <c r="J353" i="3"/>
  <c r="P325" i="11" s="1"/>
  <c r="F353" i="3"/>
  <c r="AX325" i="11" s="1"/>
  <c r="I353" i="3"/>
  <c r="C353" i="3"/>
  <c r="E353" i="3" s="1"/>
  <c r="G353" i="3"/>
  <c r="O325" i="11" s="1"/>
  <c r="B354" i="3"/>
  <c r="K353" i="3"/>
  <c r="H353" i="3"/>
  <c r="AZ325" i="11" s="1"/>
  <c r="L352" i="3"/>
  <c r="AE324" i="2" s="1"/>
  <c r="M352" i="3"/>
  <c r="V325" i="2" s="1"/>
  <c r="B234" i="9"/>
  <c r="D205" i="2"/>
  <c r="F205" i="2" s="1"/>
  <c r="W205" i="11" l="1"/>
  <c r="U205" i="2"/>
  <c r="AR323" i="2"/>
  <c r="AS323" i="2" s="1"/>
  <c r="AD204" i="2"/>
  <c r="G117" i="9"/>
  <c r="Q89" i="11" s="1"/>
  <c r="O117" i="9"/>
  <c r="BL89" i="7"/>
  <c r="AP324" i="2"/>
  <c r="BD324" i="2" s="1"/>
  <c r="BF324" i="2" s="1"/>
  <c r="BG324" i="2" s="1"/>
  <c r="I88" i="11"/>
  <c r="I87" i="11"/>
  <c r="H117" i="9"/>
  <c r="BA89" i="11" s="1"/>
  <c r="O353" i="3"/>
  <c r="AF325" i="2"/>
  <c r="AO205" i="11"/>
  <c r="BU205" i="7"/>
  <c r="AD205" i="11" s="1"/>
  <c r="AO208" i="2"/>
  <c r="BC208" i="2" s="1"/>
  <c r="L353" i="3"/>
  <c r="AE325" i="2" s="1"/>
  <c r="M353" i="3"/>
  <c r="V326" i="2" s="1"/>
  <c r="J354" i="3"/>
  <c r="P326" i="11" s="1"/>
  <c r="F354" i="3"/>
  <c r="AX326" i="11" s="1"/>
  <c r="I354" i="3"/>
  <c r="C354" i="3"/>
  <c r="E354" i="3" s="1"/>
  <c r="G354" i="3"/>
  <c r="O326" i="11" s="1"/>
  <c r="B355" i="3"/>
  <c r="K354" i="3"/>
  <c r="H354" i="3"/>
  <c r="AZ326" i="11" s="1"/>
  <c r="D206" i="2"/>
  <c r="F206" i="2" s="1"/>
  <c r="B235" i="9"/>
  <c r="W206" i="11" l="1"/>
  <c r="U206" i="2"/>
  <c r="AO206" i="11" s="1"/>
  <c r="AD205" i="2"/>
  <c r="AR324" i="2"/>
  <c r="AS324" i="2" s="1"/>
  <c r="CV89" i="7"/>
  <c r="CX89" i="7" s="1"/>
  <c r="CF89" i="7"/>
  <c r="CH89" i="7" s="1"/>
  <c r="CI89" i="7" s="1"/>
  <c r="AP325" i="2"/>
  <c r="BD325" i="2" s="1"/>
  <c r="BF325" i="2" s="1"/>
  <c r="BG325" i="2" s="1"/>
  <c r="J117" i="9"/>
  <c r="R89" i="11" s="1"/>
  <c r="I117" i="9"/>
  <c r="K117" i="9"/>
  <c r="M117" i="9" s="1"/>
  <c r="AR90" i="7" s="1"/>
  <c r="CA90" i="7" s="1"/>
  <c r="O354" i="3"/>
  <c r="AF326" i="2"/>
  <c r="BU206" i="7"/>
  <c r="AD206" i="11" s="1"/>
  <c r="AO209" i="2"/>
  <c r="BC209" i="2" s="1"/>
  <c r="J355" i="3"/>
  <c r="P327" i="11" s="1"/>
  <c r="F355" i="3"/>
  <c r="AX327" i="11" s="1"/>
  <c r="I355" i="3"/>
  <c r="C355" i="3"/>
  <c r="E355" i="3" s="1"/>
  <c r="G355" i="3"/>
  <c r="O327" i="11" s="1"/>
  <c r="B356" i="3"/>
  <c r="K355" i="3"/>
  <c r="H355" i="3"/>
  <c r="AZ327" i="11" s="1"/>
  <c r="L354" i="3"/>
  <c r="AE326" i="2" s="1"/>
  <c r="M354" i="3"/>
  <c r="V327" i="2" s="1"/>
  <c r="D207" i="2"/>
  <c r="F207" i="2" s="1"/>
  <c r="B236" i="9"/>
  <c r="W207" i="11" l="1"/>
  <c r="U207" i="2"/>
  <c r="AO207" i="11" s="1"/>
  <c r="AR325" i="2"/>
  <c r="AS325" i="2" s="1"/>
  <c r="AD206" i="2"/>
  <c r="C118" i="9"/>
  <c r="E118" i="9" s="1"/>
  <c r="F118" i="9"/>
  <c r="AY90" i="11" s="1"/>
  <c r="G118" i="9"/>
  <c r="Q90" i="11" s="1"/>
  <c r="AP326" i="2"/>
  <c r="BD326" i="2" s="1"/>
  <c r="BF326" i="2" s="1"/>
  <c r="BG326" i="2" s="1"/>
  <c r="L117" i="9"/>
  <c r="BK89" i="7" s="1"/>
  <c r="CB89" i="7" s="1"/>
  <c r="O355" i="3"/>
  <c r="AF327" i="2"/>
  <c r="BU207" i="7"/>
  <c r="AD207" i="11" s="1"/>
  <c r="AO210" i="2"/>
  <c r="BC210" i="2" s="1"/>
  <c r="J356" i="3"/>
  <c r="P328" i="11" s="1"/>
  <c r="F356" i="3"/>
  <c r="AX328" i="11" s="1"/>
  <c r="I356" i="3"/>
  <c r="C356" i="3"/>
  <c r="E356" i="3" s="1"/>
  <c r="G356" i="3"/>
  <c r="O328" i="11" s="1"/>
  <c r="B357" i="3"/>
  <c r="K356" i="3"/>
  <c r="H356" i="3"/>
  <c r="AZ328" i="11" s="1"/>
  <c r="L355" i="3"/>
  <c r="AE327" i="2" s="1"/>
  <c r="M355" i="3"/>
  <c r="V328" i="2" s="1"/>
  <c r="B237" i="9"/>
  <c r="D208" i="2"/>
  <c r="V37" i="5" s="1"/>
  <c r="W37" i="5" s="1"/>
  <c r="H118" i="9" l="1"/>
  <c r="BA90" i="11" s="1"/>
  <c r="CI328" i="11"/>
  <c r="AH75" i="20" s="1"/>
  <c r="CG328" i="11"/>
  <c r="AH55" i="20" s="1"/>
  <c r="O118" i="9"/>
  <c r="AR326" i="2"/>
  <c r="AS326" i="2" s="1"/>
  <c r="BL90" i="7"/>
  <c r="CV90" i="7" s="1"/>
  <c r="CX90" i="7" s="1"/>
  <c r="AD207" i="2"/>
  <c r="AP327" i="2"/>
  <c r="BD327" i="2" s="1"/>
  <c r="BF327" i="2" s="1"/>
  <c r="BG327" i="2" s="1"/>
  <c r="CC89" i="7"/>
  <c r="CS89" i="7"/>
  <c r="CU89" i="7" s="1"/>
  <c r="CY89" i="7" s="1"/>
  <c r="CZ89" i="7" s="1"/>
  <c r="O356" i="3"/>
  <c r="AF328" i="2"/>
  <c r="F208" i="2"/>
  <c r="K118" i="9"/>
  <c r="J118" i="9"/>
  <c r="R90" i="11" s="1"/>
  <c r="I118" i="9"/>
  <c r="AO211" i="2"/>
  <c r="BC211" i="2" s="1"/>
  <c r="L356" i="3"/>
  <c r="AE328" i="2" s="1"/>
  <c r="M356" i="3"/>
  <c r="V329" i="2" s="1"/>
  <c r="J357" i="3"/>
  <c r="P329" i="11" s="1"/>
  <c r="F357" i="3"/>
  <c r="AX329" i="11" s="1"/>
  <c r="I357" i="3"/>
  <c r="C357" i="3"/>
  <c r="E357" i="3" s="1"/>
  <c r="G357" i="3"/>
  <c r="O329" i="11" s="1"/>
  <c r="B358" i="3"/>
  <c r="K357" i="3"/>
  <c r="H357" i="3"/>
  <c r="AZ329" i="11" s="1"/>
  <c r="D209" i="2"/>
  <c r="F209" i="2" s="1"/>
  <c r="B238" i="9"/>
  <c r="W208" i="11" l="1"/>
  <c r="BF208" i="11" s="1"/>
  <c r="X35" i="20" s="1"/>
  <c r="U208" i="2"/>
  <c r="AO208" i="11" s="1"/>
  <c r="W209" i="11"/>
  <c r="U209" i="2"/>
  <c r="AO209" i="11" s="1"/>
  <c r="CF90" i="7"/>
  <c r="CH90" i="7" s="1"/>
  <c r="CI90" i="7" s="1"/>
  <c r="AR327" i="2"/>
  <c r="AS327" i="2" s="1"/>
  <c r="AP328" i="2"/>
  <c r="AR328" i="2" s="1"/>
  <c r="AS328" i="2" s="1"/>
  <c r="CK89" i="7"/>
  <c r="CQ89" i="7" s="1"/>
  <c r="O357" i="3"/>
  <c r="AF329" i="2"/>
  <c r="BU209" i="7"/>
  <c r="AD209" i="11" s="1"/>
  <c r="BU208" i="7"/>
  <c r="M118" i="9"/>
  <c r="AR91" i="7" s="1"/>
  <c r="CA91" i="7" s="1"/>
  <c r="L118" i="9"/>
  <c r="BK90" i="7" s="1"/>
  <c r="CB90" i="7" s="1"/>
  <c r="F119" i="9"/>
  <c r="AY91" i="11" s="1"/>
  <c r="C119" i="9"/>
  <c r="E119" i="9" s="1"/>
  <c r="AO212" i="2"/>
  <c r="BC212" i="2" s="1"/>
  <c r="M357" i="3"/>
  <c r="V330" i="2" s="1"/>
  <c r="L357" i="3"/>
  <c r="AE329" i="2" s="1"/>
  <c r="J358" i="3"/>
  <c r="P330" i="11" s="1"/>
  <c r="F358" i="3"/>
  <c r="AX330" i="11" s="1"/>
  <c r="I358" i="3"/>
  <c r="C358" i="3"/>
  <c r="E358" i="3" s="1"/>
  <c r="G358" i="3"/>
  <c r="O330" i="11" s="1"/>
  <c r="B359" i="3"/>
  <c r="K358" i="3"/>
  <c r="H358" i="3"/>
  <c r="AZ330" i="11" s="1"/>
  <c r="D210" i="2"/>
  <c r="F210" i="2" s="1"/>
  <c r="B239" i="9"/>
  <c r="W210" i="11" l="1"/>
  <c r="U210" i="2"/>
  <c r="AO210" i="11" s="1"/>
  <c r="BD328" i="2"/>
  <c r="BF328" i="2" s="1"/>
  <c r="BG328" i="2" s="1"/>
  <c r="AD208" i="11"/>
  <c r="BM208" i="11" s="1"/>
  <c r="X14" i="20" s="1"/>
  <c r="X15" i="20" s="1"/>
  <c r="X19" i="20" s="1"/>
  <c r="X67" i="20" s="1"/>
  <c r="B206" i="19"/>
  <c r="BX208" i="11"/>
  <c r="X36" i="20" s="1"/>
  <c r="X40" i="20" s="1"/>
  <c r="X41" i="20" s="1"/>
  <c r="G119" i="9"/>
  <c r="Q91" i="11" s="1"/>
  <c r="BL91" i="7"/>
  <c r="O119" i="9"/>
  <c r="AP329" i="2"/>
  <c r="BD329" i="2" s="1"/>
  <c r="BF329" i="2" s="1"/>
  <c r="BG329" i="2" s="1"/>
  <c r="CN89" i="7"/>
  <c r="AD209" i="2"/>
  <c r="O358" i="3"/>
  <c r="AF330" i="2"/>
  <c r="H119" i="9"/>
  <c r="BA91" i="11" s="1"/>
  <c r="AD208" i="2"/>
  <c r="N206" i="19" s="1"/>
  <c r="BU210" i="7"/>
  <c r="AD210" i="11" s="1"/>
  <c r="AO213" i="2"/>
  <c r="BC213" i="2" s="1"/>
  <c r="L358" i="3"/>
  <c r="AE330" i="2" s="1"/>
  <c r="M358" i="3"/>
  <c r="V331" i="2" s="1"/>
  <c r="J359" i="3"/>
  <c r="P331" i="11" s="1"/>
  <c r="F359" i="3"/>
  <c r="AX331" i="11" s="1"/>
  <c r="I359" i="3"/>
  <c r="C359" i="3"/>
  <c r="E359" i="3" s="1"/>
  <c r="G359" i="3"/>
  <c r="O331" i="11" s="1"/>
  <c r="B360" i="3"/>
  <c r="K359" i="3"/>
  <c r="H359" i="3"/>
  <c r="AZ331" i="11" s="1"/>
  <c r="B240" i="9"/>
  <c r="D211" i="2"/>
  <c r="F211" i="2" s="1"/>
  <c r="W211" i="11" l="1"/>
  <c r="U211" i="2"/>
  <c r="AO211" i="11" s="1"/>
  <c r="X42" i="20"/>
  <c r="AD210" i="2"/>
  <c r="AR329" i="2"/>
  <c r="AS329" i="2" s="1"/>
  <c r="CV91" i="7"/>
  <c r="CX91" i="7" s="1"/>
  <c r="CF91" i="7"/>
  <c r="CH91" i="7" s="1"/>
  <c r="CI91" i="7" s="1"/>
  <c r="AP330" i="2"/>
  <c r="AR330" i="2" s="1"/>
  <c r="AS330" i="2" s="1"/>
  <c r="K119" i="9"/>
  <c r="M119" i="9" s="1"/>
  <c r="AR92" i="7" s="1"/>
  <c r="CA92" i="7" s="1"/>
  <c r="I89" i="11"/>
  <c r="CC90" i="7"/>
  <c r="CS90" i="7"/>
  <c r="CU90" i="7" s="1"/>
  <c r="CY90" i="7" s="1"/>
  <c r="CZ90" i="7" s="1"/>
  <c r="I119" i="9"/>
  <c r="J119" i="9"/>
  <c r="R91" i="11" s="1"/>
  <c r="O359" i="3"/>
  <c r="AF331" i="2"/>
  <c r="BU211" i="7"/>
  <c r="AD211" i="11" s="1"/>
  <c r="AO214" i="2"/>
  <c r="BC214" i="2" s="1"/>
  <c r="J360" i="3"/>
  <c r="P332" i="11" s="1"/>
  <c r="F360" i="3"/>
  <c r="AX332" i="11" s="1"/>
  <c r="I360" i="3"/>
  <c r="C360" i="3"/>
  <c r="E360" i="3" s="1"/>
  <c r="G360" i="3"/>
  <c r="O332" i="11" s="1"/>
  <c r="B361" i="3"/>
  <c r="K360" i="3"/>
  <c r="H360" i="3"/>
  <c r="AZ332" i="11" s="1"/>
  <c r="L359" i="3"/>
  <c r="AE331" i="2" s="1"/>
  <c r="M359" i="3"/>
  <c r="V332" i="2" s="1"/>
  <c r="B241" i="9"/>
  <c r="D212" i="2"/>
  <c r="F212" i="2" s="1"/>
  <c r="W212" i="11" l="1"/>
  <c r="U212" i="2"/>
  <c r="AO212" i="11" s="1"/>
  <c r="AD211" i="2"/>
  <c r="BD330" i="2"/>
  <c r="BF330" i="2" s="1"/>
  <c r="BG330" i="2" s="1"/>
  <c r="L119" i="9"/>
  <c r="BK91" i="7" s="1"/>
  <c r="CB91" i="7" s="1"/>
  <c r="AP331" i="2"/>
  <c r="AR331" i="2" s="1"/>
  <c r="AS331" i="2" s="1"/>
  <c r="CK90" i="7"/>
  <c r="CN90" i="7" s="1"/>
  <c r="C120" i="9"/>
  <c r="E120" i="9" s="1"/>
  <c r="F120" i="9"/>
  <c r="AY92" i="11" s="1"/>
  <c r="O360" i="3"/>
  <c r="AF332" i="2"/>
  <c r="BU212" i="7"/>
  <c r="AD212" i="11" s="1"/>
  <c r="AO215" i="2"/>
  <c r="BC215" i="2" s="1"/>
  <c r="L360" i="3"/>
  <c r="AE332" i="2" s="1"/>
  <c r="M360" i="3"/>
  <c r="V333" i="2" s="1"/>
  <c r="J361" i="3"/>
  <c r="P333" i="11" s="1"/>
  <c r="F361" i="3"/>
  <c r="AX333" i="11" s="1"/>
  <c r="I361" i="3"/>
  <c r="C361" i="3"/>
  <c r="E361" i="3" s="1"/>
  <c r="G361" i="3"/>
  <c r="O333" i="11" s="1"/>
  <c r="B362" i="3"/>
  <c r="K361" i="3"/>
  <c r="H361" i="3"/>
  <c r="AZ333" i="11" s="1"/>
  <c r="D213" i="2"/>
  <c r="F213" i="2" s="1"/>
  <c r="B242" i="9"/>
  <c r="W213" i="11" l="1"/>
  <c r="U213" i="2"/>
  <c r="BD331" i="2"/>
  <c r="BF331" i="2" s="1"/>
  <c r="BG331" i="2" s="1"/>
  <c r="AD212" i="2"/>
  <c r="G120" i="9"/>
  <c r="Q92" i="11" s="1"/>
  <c r="BL92" i="7"/>
  <c r="O120" i="9"/>
  <c r="AP332" i="2"/>
  <c r="AR332" i="2" s="1"/>
  <c r="AS332" i="2" s="1"/>
  <c r="I90" i="11"/>
  <c r="CQ90" i="7"/>
  <c r="CC91" i="7"/>
  <c r="CS91" i="7"/>
  <c r="CU91" i="7" s="1"/>
  <c r="CY91" i="7" s="1"/>
  <c r="CZ91" i="7" s="1"/>
  <c r="H120" i="9"/>
  <c r="BA92" i="11" s="1"/>
  <c r="O361" i="3"/>
  <c r="AF333" i="2"/>
  <c r="AO213" i="11"/>
  <c r="BU213" i="7"/>
  <c r="AD213" i="11" s="1"/>
  <c r="AO216" i="2"/>
  <c r="BC216" i="2" s="1"/>
  <c r="M361" i="3"/>
  <c r="V334" i="2" s="1"/>
  <c r="L361" i="3"/>
  <c r="AE333" i="2" s="1"/>
  <c r="J362" i="3"/>
  <c r="P334" i="11" s="1"/>
  <c r="F362" i="3"/>
  <c r="AX334" i="11" s="1"/>
  <c r="I362" i="3"/>
  <c r="C362" i="3"/>
  <c r="E362" i="3" s="1"/>
  <c r="G362" i="3"/>
  <c r="O334" i="11" s="1"/>
  <c r="B363" i="3"/>
  <c r="K362" i="3"/>
  <c r="H362" i="3"/>
  <c r="AZ334" i="11" s="1"/>
  <c r="B243" i="9"/>
  <c r="D214" i="2"/>
  <c r="F214" i="2" s="1"/>
  <c r="W214" i="11" l="1"/>
  <c r="U214" i="2"/>
  <c r="AD213" i="2"/>
  <c r="BD332" i="2"/>
  <c r="BF332" i="2" s="1"/>
  <c r="BG332" i="2" s="1"/>
  <c r="CF92" i="7"/>
  <c r="CH92" i="7" s="1"/>
  <c r="CI92" i="7" s="1"/>
  <c r="CV92" i="7"/>
  <c r="CX92" i="7" s="1"/>
  <c r="AP333" i="2"/>
  <c r="AR333" i="2" s="1"/>
  <c r="AS333" i="2" s="1"/>
  <c r="K120" i="9"/>
  <c r="L120" i="9" s="1"/>
  <c r="BK92" i="7" s="1"/>
  <c r="CB92" i="7" s="1"/>
  <c r="CK91" i="7"/>
  <c r="CN91" i="7" s="1"/>
  <c r="I120" i="9"/>
  <c r="J120" i="9"/>
  <c r="R92" i="11" s="1"/>
  <c r="O362" i="3"/>
  <c r="AF334" i="2"/>
  <c r="AO214" i="11"/>
  <c r="BU214" i="7"/>
  <c r="AD214" i="11" s="1"/>
  <c r="AO217" i="2"/>
  <c r="BC217" i="2" s="1"/>
  <c r="L362" i="3"/>
  <c r="AE334" i="2" s="1"/>
  <c r="M362" i="3"/>
  <c r="V335" i="2" s="1"/>
  <c r="J363" i="3"/>
  <c r="P335" i="11" s="1"/>
  <c r="F363" i="3"/>
  <c r="AX335" i="11" s="1"/>
  <c r="I363" i="3"/>
  <c r="C363" i="3"/>
  <c r="E363" i="3" s="1"/>
  <c r="G363" i="3"/>
  <c r="O335" i="11" s="1"/>
  <c r="B364" i="3"/>
  <c r="K363" i="3"/>
  <c r="H363" i="3"/>
  <c r="AZ335" i="11" s="1"/>
  <c r="B244" i="9"/>
  <c r="D215" i="2"/>
  <c r="F215" i="2" s="1"/>
  <c r="W215" i="11" l="1"/>
  <c r="U215" i="2"/>
  <c r="AO215" i="11" s="1"/>
  <c r="AD214" i="2"/>
  <c r="BD333" i="2"/>
  <c r="BF333" i="2" s="1"/>
  <c r="BG333" i="2" s="1"/>
  <c r="M120" i="9"/>
  <c r="AR93" i="7" s="1"/>
  <c r="CA93" i="7" s="1"/>
  <c r="AP334" i="2"/>
  <c r="BD334" i="2" s="1"/>
  <c r="BF334" i="2" s="1"/>
  <c r="BG334" i="2" s="1"/>
  <c r="I91" i="11"/>
  <c r="CQ91" i="7"/>
  <c r="C121" i="9"/>
  <c r="E121" i="9" s="1"/>
  <c r="F121" i="9"/>
  <c r="AY93" i="11" s="1"/>
  <c r="O363" i="3"/>
  <c r="AF335" i="2"/>
  <c r="BU215" i="7"/>
  <c r="AD215" i="11" s="1"/>
  <c r="AO218" i="2"/>
  <c r="BC218" i="2" s="1"/>
  <c r="L363" i="3"/>
  <c r="AE335" i="2" s="1"/>
  <c r="M363" i="3"/>
  <c r="V336" i="2" s="1"/>
  <c r="J364" i="3"/>
  <c r="P336" i="11" s="1"/>
  <c r="F364" i="3"/>
  <c r="AX336" i="11" s="1"/>
  <c r="I364" i="3"/>
  <c r="C364" i="3"/>
  <c r="E364" i="3" s="1"/>
  <c r="G364" i="3"/>
  <c r="O336" i="11" s="1"/>
  <c r="B365" i="3"/>
  <c r="K364" i="3"/>
  <c r="H364" i="3"/>
  <c r="AZ336" i="11" s="1"/>
  <c r="B245" i="9"/>
  <c r="D216" i="2"/>
  <c r="F216" i="2" s="1"/>
  <c r="W216" i="11" l="1"/>
  <c r="U216" i="2"/>
  <c r="AD215" i="2"/>
  <c r="AR334" i="2"/>
  <c r="AS334" i="2" s="1"/>
  <c r="G121" i="9"/>
  <c r="Q93" i="11" s="1"/>
  <c r="O121" i="9"/>
  <c r="BL93" i="7"/>
  <c r="AP335" i="2"/>
  <c r="BD335" i="2" s="1"/>
  <c r="BF335" i="2" s="1"/>
  <c r="BG335" i="2" s="1"/>
  <c r="H121" i="9"/>
  <c r="BA93" i="11" s="1"/>
  <c r="CC92" i="7"/>
  <c r="CS92" i="7"/>
  <c r="CU92" i="7" s="1"/>
  <c r="CY92" i="7" s="1"/>
  <c r="CZ92" i="7" s="1"/>
  <c r="O364" i="3"/>
  <c r="AF336" i="2"/>
  <c r="AO216" i="11"/>
  <c r="BU216" i="7"/>
  <c r="AD216" i="11" s="1"/>
  <c r="AO219" i="2"/>
  <c r="BC219" i="2" s="1"/>
  <c r="L364" i="3"/>
  <c r="AE336" i="2" s="1"/>
  <c r="M364" i="3"/>
  <c r="V337" i="2" s="1"/>
  <c r="J365" i="3"/>
  <c r="P337" i="11" s="1"/>
  <c r="F365" i="3"/>
  <c r="AX337" i="11" s="1"/>
  <c r="I365" i="3"/>
  <c r="C365" i="3"/>
  <c r="E365" i="3" s="1"/>
  <c r="G365" i="3"/>
  <c r="O337" i="11" s="1"/>
  <c r="B366" i="3"/>
  <c r="K365" i="3"/>
  <c r="H365" i="3"/>
  <c r="AZ337" i="11" s="1"/>
  <c r="B246" i="9"/>
  <c r="D217" i="2"/>
  <c r="F217" i="2" s="1"/>
  <c r="W217" i="11" l="1"/>
  <c r="U217" i="2"/>
  <c r="I121" i="9"/>
  <c r="AD216" i="2"/>
  <c r="AR335" i="2"/>
  <c r="AS335" i="2" s="1"/>
  <c r="CV93" i="7"/>
  <c r="CX93" i="7" s="1"/>
  <c r="CF93" i="7"/>
  <c r="CH93" i="7" s="1"/>
  <c r="CI93" i="7" s="1"/>
  <c r="AP336" i="2"/>
  <c r="BD336" i="2" s="1"/>
  <c r="BF336" i="2" s="1"/>
  <c r="BG336" i="2" s="1"/>
  <c r="K121" i="9"/>
  <c r="J121" i="9"/>
  <c r="R93" i="11" s="1"/>
  <c r="CK92" i="7"/>
  <c r="CQ92" i="7" s="1"/>
  <c r="O365" i="3"/>
  <c r="AF337" i="2"/>
  <c r="AO217" i="11"/>
  <c r="BU217" i="7"/>
  <c r="AD217" i="11" s="1"/>
  <c r="AO220" i="2"/>
  <c r="BC220" i="2" s="1"/>
  <c r="M365" i="3"/>
  <c r="V338" i="2" s="1"/>
  <c r="L365" i="3"/>
  <c r="AE337" i="2" s="1"/>
  <c r="J366" i="3"/>
  <c r="P338" i="11" s="1"/>
  <c r="F366" i="3"/>
  <c r="AX338" i="11" s="1"/>
  <c r="I366" i="3"/>
  <c r="C366" i="3"/>
  <c r="E366" i="3" s="1"/>
  <c r="G366" i="3"/>
  <c r="O338" i="11" s="1"/>
  <c r="B367" i="3"/>
  <c r="K366" i="3"/>
  <c r="H366" i="3"/>
  <c r="AZ338" i="11" s="1"/>
  <c r="B247" i="9"/>
  <c r="D218" i="2"/>
  <c r="F218" i="2" s="1"/>
  <c r="W218" i="11" l="1"/>
  <c r="U218" i="2"/>
  <c r="AO218" i="11" s="1"/>
  <c r="AD217" i="2"/>
  <c r="AR336" i="2"/>
  <c r="AS336" i="2" s="1"/>
  <c r="F122" i="9"/>
  <c r="AY94" i="11" s="1"/>
  <c r="AP337" i="2"/>
  <c r="BD337" i="2" s="1"/>
  <c r="BF337" i="2" s="1"/>
  <c r="BG337" i="2" s="1"/>
  <c r="C122" i="9"/>
  <c r="E122" i="9" s="1"/>
  <c r="H122" i="9" s="1"/>
  <c r="BA94" i="11" s="1"/>
  <c r="M121" i="9"/>
  <c r="AR94" i="7" s="1"/>
  <c r="CA94" i="7" s="1"/>
  <c r="L121" i="9"/>
  <c r="BK93" i="7" s="1"/>
  <c r="CB93" i="7" s="1"/>
  <c r="CS93" i="7" s="1"/>
  <c r="CU93" i="7" s="1"/>
  <c r="CY93" i="7" s="1"/>
  <c r="CZ93" i="7" s="1"/>
  <c r="CN92" i="7"/>
  <c r="O366" i="3"/>
  <c r="AF338" i="2"/>
  <c r="BU218" i="7"/>
  <c r="AD218" i="11" s="1"/>
  <c r="AO221" i="2"/>
  <c r="BC221" i="2" s="1"/>
  <c r="L366" i="3"/>
  <c r="AE338" i="2" s="1"/>
  <c r="M366" i="3"/>
  <c r="V339" i="2" s="1"/>
  <c r="J367" i="3"/>
  <c r="P339" i="11" s="1"/>
  <c r="F367" i="3"/>
  <c r="AX339" i="11" s="1"/>
  <c r="I367" i="3"/>
  <c r="C367" i="3"/>
  <c r="E367" i="3" s="1"/>
  <c r="G367" i="3"/>
  <c r="O339" i="11" s="1"/>
  <c r="B368" i="3"/>
  <c r="K367" i="3"/>
  <c r="H367" i="3"/>
  <c r="AZ339" i="11" s="1"/>
  <c r="D219" i="2"/>
  <c r="F219" i="2" s="1"/>
  <c r="B248" i="9"/>
  <c r="W219" i="11" l="1"/>
  <c r="U219" i="2"/>
  <c r="AO219" i="11" s="1"/>
  <c r="AR337" i="2"/>
  <c r="AS337" i="2" s="1"/>
  <c r="AD218" i="2"/>
  <c r="G122" i="9"/>
  <c r="Q94" i="11" s="1"/>
  <c r="O122" i="9"/>
  <c r="BL94" i="7"/>
  <c r="CC93" i="7"/>
  <c r="CK93" i="7" s="1"/>
  <c r="CQ93" i="7" s="1"/>
  <c r="AP338" i="2"/>
  <c r="AR338" i="2" s="1"/>
  <c r="AS338" i="2" s="1"/>
  <c r="J122" i="9"/>
  <c r="R94" i="11" s="1"/>
  <c r="K122" i="9"/>
  <c r="M122" i="9" s="1"/>
  <c r="AR95" i="7" s="1"/>
  <c r="CA95" i="7" s="1"/>
  <c r="I122" i="9"/>
  <c r="I92" i="11"/>
  <c r="O367" i="3"/>
  <c r="AF339" i="2"/>
  <c r="BU219" i="7"/>
  <c r="AD219" i="11" s="1"/>
  <c r="AO222" i="2"/>
  <c r="BC222" i="2" s="1"/>
  <c r="L367" i="3"/>
  <c r="AE339" i="2" s="1"/>
  <c r="M367" i="3"/>
  <c r="V340" i="2" s="1"/>
  <c r="J368" i="3"/>
  <c r="P340" i="11" s="1"/>
  <c r="F368" i="3"/>
  <c r="AX340" i="11" s="1"/>
  <c r="I368" i="3"/>
  <c r="C368" i="3"/>
  <c r="E368" i="3" s="1"/>
  <c r="G368" i="3"/>
  <c r="O340" i="11" s="1"/>
  <c r="B369" i="3"/>
  <c r="K368" i="3"/>
  <c r="H368" i="3"/>
  <c r="AZ340" i="11" s="1"/>
  <c r="D220" i="2"/>
  <c r="V38" i="5" s="1"/>
  <c r="W38" i="5" s="1"/>
  <c r="B249" i="9"/>
  <c r="CG340" i="11" l="1"/>
  <c r="AI55" i="20" s="1"/>
  <c r="CI340" i="11"/>
  <c r="AI75" i="20" s="1"/>
  <c r="AD219" i="2"/>
  <c r="BD338" i="2"/>
  <c r="BF338" i="2" s="1"/>
  <c r="BG338" i="2" s="1"/>
  <c r="CV94" i="7"/>
  <c r="CX94" i="7" s="1"/>
  <c r="CF94" i="7"/>
  <c r="CH94" i="7" s="1"/>
  <c r="CI94" i="7" s="1"/>
  <c r="L122" i="9"/>
  <c r="BK94" i="7" s="1"/>
  <c r="CB94" i="7" s="1"/>
  <c r="CC94" i="7" s="1"/>
  <c r="C123" i="9"/>
  <c r="E123" i="9" s="1"/>
  <c r="F123" i="9"/>
  <c r="AY95" i="11" s="1"/>
  <c r="AP339" i="2"/>
  <c r="AR339" i="2" s="1"/>
  <c r="AS339" i="2" s="1"/>
  <c r="CN93" i="7"/>
  <c r="O368" i="3"/>
  <c r="AF340" i="2"/>
  <c r="F220" i="2"/>
  <c r="AO223" i="2"/>
  <c r="BC223" i="2" s="1"/>
  <c r="J369" i="3"/>
  <c r="P341" i="11" s="1"/>
  <c r="F369" i="3"/>
  <c r="AX341" i="11" s="1"/>
  <c r="I369" i="3"/>
  <c r="C369" i="3"/>
  <c r="E369" i="3" s="1"/>
  <c r="G369" i="3"/>
  <c r="O341" i="11" s="1"/>
  <c r="B370" i="3"/>
  <c r="K369" i="3"/>
  <c r="H369" i="3"/>
  <c r="AZ341" i="11" s="1"/>
  <c r="L368" i="3"/>
  <c r="AE340" i="2" s="1"/>
  <c r="M368" i="3"/>
  <c r="V341" i="2" s="1"/>
  <c r="D221" i="2"/>
  <c r="F221" i="2" s="1"/>
  <c r="B250" i="9"/>
  <c r="W220" i="11" l="1"/>
  <c r="BF220" i="11" s="1"/>
  <c r="Y35" i="20" s="1"/>
  <c r="U220" i="2"/>
  <c r="AO220" i="11" s="1"/>
  <c r="W221" i="11"/>
  <c r="U221" i="2"/>
  <c r="AO221" i="11" s="1"/>
  <c r="H123" i="9"/>
  <c r="BA95" i="11" s="1"/>
  <c r="CS94" i="7"/>
  <c r="CU94" i="7" s="1"/>
  <c r="CY94" i="7" s="1"/>
  <c r="CZ94" i="7" s="1"/>
  <c r="BD339" i="2"/>
  <c r="BF339" i="2" s="1"/>
  <c r="BG339" i="2" s="1"/>
  <c r="G123" i="9"/>
  <c r="Q95" i="11" s="1"/>
  <c r="BL95" i="7"/>
  <c r="O123" i="9"/>
  <c r="AP340" i="2"/>
  <c r="AR340" i="2" s="1"/>
  <c r="AS340" i="2" s="1"/>
  <c r="I93" i="11"/>
  <c r="CK94" i="7"/>
  <c r="CQ94" i="7" s="1"/>
  <c r="O369" i="3"/>
  <c r="AF341" i="2"/>
  <c r="BU221" i="7"/>
  <c r="AD221" i="11" s="1"/>
  <c r="BU220" i="7"/>
  <c r="AO224" i="2"/>
  <c r="BC224" i="2" s="1"/>
  <c r="M369" i="3"/>
  <c r="V342" i="2" s="1"/>
  <c r="L369" i="3"/>
  <c r="AE341" i="2" s="1"/>
  <c r="J370" i="3"/>
  <c r="P342" i="11" s="1"/>
  <c r="F370" i="3"/>
  <c r="AX342" i="11" s="1"/>
  <c r="I370" i="3"/>
  <c r="C370" i="3"/>
  <c r="E370" i="3" s="1"/>
  <c r="G370" i="3"/>
  <c r="O342" i="11" s="1"/>
  <c r="B371" i="3"/>
  <c r="K370" i="3"/>
  <c r="H370" i="3"/>
  <c r="AZ342" i="11" s="1"/>
  <c r="B251" i="9"/>
  <c r="D222" i="2"/>
  <c r="F222" i="2" s="1"/>
  <c r="I123" i="9" l="1"/>
  <c r="W222" i="11"/>
  <c r="U222" i="2"/>
  <c r="AO222" i="11" s="1"/>
  <c r="J123" i="9"/>
  <c r="R95" i="11" s="1"/>
  <c r="K123" i="9"/>
  <c r="M123" i="9" s="1"/>
  <c r="AR96" i="7" s="1"/>
  <c r="CA96" i="7" s="1"/>
  <c r="AD220" i="11"/>
  <c r="BM220" i="11" s="1"/>
  <c r="Y14" i="20" s="1"/>
  <c r="Y15" i="20" s="1"/>
  <c r="Y19" i="20" s="1"/>
  <c r="Y67" i="20" s="1"/>
  <c r="B218" i="19"/>
  <c r="BX220" i="11"/>
  <c r="Y36" i="20" s="1"/>
  <c r="Y40" i="20" s="1"/>
  <c r="Y41" i="20" s="1"/>
  <c r="BD340" i="2"/>
  <c r="BF340" i="2" s="1"/>
  <c r="BG340" i="2" s="1"/>
  <c r="CV95" i="7"/>
  <c r="CX95" i="7" s="1"/>
  <c r="CF95" i="7"/>
  <c r="CH95" i="7" s="1"/>
  <c r="CI95" i="7" s="1"/>
  <c r="AP341" i="2"/>
  <c r="AR341" i="2" s="1"/>
  <c r="AS341" i="2" s="1"/>
  <c r="CN94" i="7"/>
  <c r="AD221" i="2"/>
  <c r="O370" i="3"/>
  <c r="AF342" i="2"/>
  <c r="AD220" i="2"/>
  <c r="N218" i="19" s="1"/>
  <c r="BU222" i="7"/>
  <c r="AD222" i="11" s="1"/>
  <c r="AO225" i="2"/>
  <c r="BC225" i="2" s="1"/>
  <c r="L370" i="3"/>
  <c r="AE342" i="2" s="1"/>
  <c r="M370" i="3"/>
  <c r="V343" i="2" s="1"/>
  <c r="J371" i="3"/>
  <c r="P343" i="11" s="1"/>
  <c r="F371" i="3"/>
  <c r="AX343" i="11" s="1"/>
  <c r="I371" i="3"/>
  <c r="C371" i="3"/>
  <c r="E371" i="3" s="1"/>
  <c r="G371" i="3"/>
  <c r="O343" i="11" s="1"/>
  <c r="B372" i="3"/>
  <c r="K371" i="3"/>
  <c r="H371" i="3"/>
  <c r="AZ343" i="11" s="1"/>
  <c r="D223" i="2"/>
  <c r="F223" i="2" s="1"/>
  <c r="B252" i="9"/>
  <c r="L123" i="9" l="1"/>
  <c r="BK95" i="7" s="1"/>
  <c r="CB95" i="7" s="1"/>
  <c r="CC95" i="7" s="1"/>
  <c r="W223" i="11"/>
  <c r="U223" i="2"/>
  <c r="AO223" i="11" s="1"/>
  <c r="F124" i="9"/>
  <c r="AY96" i="11" s="1"/>
  <c r="C124" i="9"/>
  <c r="E124" i="9" s="1"/>
  <c r="H124" i="9" s="1"/>
  <c r="BA96" i="11" s="1"/>
  <c r="Y42" i="20"/>
  <c r="AD222" i="2"/>
  <c r="BD341" i="2"/>
  <c r="BF341" i="2" s="1"/>
  <c r="BG341" i="2" s="1"/>
  <c r="AP342" i="2"/>
  <c r="AR342" i="2" s="1"/>
  <c r="AS342" i="2" s="1"/>
  <c r="I94" i="11"/>
  <c r="O371" i="3"/>
  <c r="AF343" i="2"/>
  <c r="BU223" i="7"/>
  <c r="AD223" i="11" s="1"/>
  <c r="AO226" i="2"/>
  <c r="BC226" i="2" s="1"/>
  <c r="L371" i="3"/>
  <c r="AE343" i="2" s="1"/>
  <c r="M371" i="3"/>
  <c r="V344" i="2" s="1"/>
  <c r="J372" i="3"/>
  <c r="P344" i="11" s="1"/>
  <c r="F372" i="3"/>
  <c r="AX344" i="11" s="1"/>
  <c r="I372" i="3"/>
  <c r="C372" i="3"/>
  <c r="E372" i="3" s="1"/>
  <c r="G372" i="3"/>
  <c r="O344" i="11" s="1"/>
  <c r="B373" i="3"/>
  <c r="K372" i="3"/>
  <c r="H372" i="3"/>
  <c r="AZ344" i="11" s="1"/>
  <c r="B253" i="9"/>
  <c r="D224" i="2"/>
  <c r="F224" i="2" s="1"/>
  <c r="G124" i="9" l="1"/>
  <c r="Q96" i="11" s="1"/>
  <c r="I124" i="9"/>
  <c r="CS95" i="7"/>
  <c r="CU95" i="7" s="1"/>
  <c r="CY95" i="7" s="1"/>
  <c r="CZ95" i="7" s="1"/>
  <c r="W224" i="11"/>
  <c r="U224" i="2"/>
  <c r="AO224" i="11" s="1"/>
  <c r="BL96" i="7"/>
  <c r="CF96" i="7" s="1"/>
  <c r="CH96" i="7" s="1"/>
  <c r="CI96" i="7" s="1"/>
  <c r="O124" i="9"/>
  <c r="J124" i="9"/>
  <c r="F125" i="9" s="1"/>
  <c r="AY97" i="11" s="1"/>
  <c r="K124" i="9"/>
  <c r="M124" i="9" s="1"/>
  <c r="AR97" i="7" s="1"/>
  <c r="CA97" i="7" s="1"/>
  <c r="BD342" i="2"/>
  <c r="BF342" i="2" s="1"/>
  <c r="BG342" i="2" s="1"/>
  <c r="AD223" i="2"/>
  <c r="AP343" i="2"/>
  <c r="AR343" i="2" s="1"/>
  <c r="AS343" i="2" s="1"/>
  <c r="CK95" i="7"/>
  <c r="CN95" i="7" s="1"/>
  <c r="O372" i="3"/>
  <c r="AF344" i="2"/>
  <c r="BU224" i="7"/>
  <c r="AD224" i="11" s="1"/>
  <c r="AO227" i="2"/>
  <c r="BC227" i="2" s="1"/>
  <c r="L372" i="3"/>
  <c r="AE344" i="2" s="1"/>
  <c r="M372" i="3"/>
  <c r="V345" i="2" s="1"/>
  <c r="J373" i="3"/>
  <c r="P345" i="11" s="1"/>
  <c r="F373" i="3"/>
  <c r="AX345" i="11" s="1"/>
  <c r="I373" i="3"/>
  <c r="C373" i="3"/>
  <c r="E373" i="3" s="1"/>
  <c r="G373" i="3"/>
  <c r="O345" i="11" s="1"/>
  <c r="B374" i="3"/>
  <c r="K373" i="3"/>
  <c r="H373" i="3"/>
  <c r="AZ345" i="11" s="1"/>
  <c r="B254" i="9"/>
  <c r="D225" i="2"/>
  <c r="F225" i="2" s="1"/>
  <c r="CV96" i="7" l="1"/>
  <c r="CX96" i="7" s="1"/>
  <c r="W225" i="11"/>
  <c r="U225" i="2"/>
  <c r="AO225" i="11" s="1"/>
  <c r="BL97" i="7"/>
  <c r="CV97" i="7" s="1"/>
  <c r="CX97" i="7" s="1"/>
  <c r="O125" i="9"/>
  <c r="G125" i="9"/>
  <c r="Q97" i="11" s="1"/>
  <c r="R96" i="11"/>
  <c r="C125" i="9"/>
  <c r="E125" i="9" s="1"/>
  <c r="H125" i="9" s="1"/>
  <c r="BA97" i="11" s="1"/>
  <c r="L124" i="9"/>
  <c r="BK96" i="7" s="1"/>
  <c r="CB96" i="7" s="1"/>
  <c r="CC96" i="7" s="1"/>
  <c r="CK96" i="7" s="1"/>
  <c r="CN96" i="7" s="1"/>
  <c r="AD224" i="2"/>
  <c r="BD343" i="2"/>
  <c r="BF343" i="2" s="1"/>
  <c r="BG343" i="2" s="1"/>
  <c r="AP344" i="2"/>
  <c r="AR344" i="2" s="1"/>
  <c r="AS344" i="2" s="1"/>
  <c r="I95" i="11"/>
  <c r="CQ95" i="7"/>
  <c r="O373" i="3"/>
  <c r="AF345" i="2"/>
  <c r="BU225" i="7"/>
  <c r="AD225" i="11" s="1"/>
  <c r="AO228" i="2"/>
  <c r="BC228" i="2" s="1"/>
  <c r="M373" i="3"/>
  <c r="V346" i="2" s="1"/>
  <c r="L373" i="3"/>
  <c r="AE345" i="2" s="1"/>
  <c r="J374" i="3"/>
  <c r="P346" i="11" s="1"/>
  <c r="F374" i="3"/>
  <c r="AX346" i="11" s="1"/>
  <c r="I374" i="3"/>
  <c r="C374" i="3"/>
  <c r="E374" i="3" s="1"/>
  <c r="G374" i="3"/>
  <c r="O346" i="11" s="1"/>
  <c r="B375" i="3"/>
  <c r="K374" i="3"/>
  <c r="H374" i="3"/>
  <c r="AZ346" i="11" s="1"/>
  <c r="D226" i="2"/>
  <c r="F226" i="2" s="1"/>
  <c r="B255" i="9"/>
  <c r="I125" i="9" l="1"/>
  <c r="W226" i="11"/>
  <c r="U226" i="2"/>
  <c r="CF97" i="7"/>
  <c r="CH97" i="7" s="1"/>
  <c r="CI97" i="7" s="1"/>
  <c r="K125" i="9"/>
  <c r="L125" i="9" s="1"/>
  <c r="BK97" i="7" s="1"/>
  <c r="CB97" i="7" s="1"/>
  <c r="J125" i="9"/>
  <c r="R97" i="11" s="1"/>
  <c r="CS96" i="7"/>
  <c r="CU96" i="7" s="1"/>
  <c r="CY96" i="7" s="1"/>
  <c r="CZ96" i="7" s="1"/>
  <c r="AD225" i="2"/>
  <c r="BD344" i="2"/>
  <c r="BF344" i="2" s="1"/>
  <c r="BG344" i="2" s="1"/>
  <c r="AP345" i="2"/>
  <c r="AR345" i="2" s="1"/>
  <c r="AS345" i="2" s="1"/>
  <c r="I96" i="11"/>
  <c r="CQ96" i="7"/>
  <c r="O374" i="3"/>
  <c r="AF346" i="2"/>
  <c r="AO226" i="11"/>
  <c r="BU226" i="7"/>
  <c r="AD226" i="11" s="1"/>
  <c r="AO229" i="2"/>
  <c r="BC229" i="2" s="1"/>
  <c r="L374" i="3"/>
  <c r="AE346" i="2" s="1"/>
  <c r="M374" i="3"/>
  <c r="V347" i="2" s="1"/>
  <c r="J375" i="3"/>
  <c r="P347" i="11" s="1"/>
  <c r="F375" i="3"/>
  <c r="AX347" i="11" s="1"/>
  <c r="I375" i="3"/>
  <c r="C375" i="3"/>
  <c r="E375" i="3" s="1"/>
  <c r="G375" i="3"/>
  <c r="O347" i="11" s="1"/>
  <c r="B376" i="3"/>
  <c r="K375" i="3"/>
  <c r="H375" i="3"/>
  <c r="AZ347" i="11" s="1"/>
  <c r="B256" i="9"/>
  <c r="D227" i="2"/>
  <c r="F227" i="2" s="1"/>
  <c r="M125" i="9" l="1"/>
  <c r="AR98" i="7" s="1"/>
  <c r="CA98" i="7" s="1"/>
  <c r="F126" i="9"/>
  <c r="AY98" i="11" s="1"/>
  <c r="G126" i="9"/>
  <c r="Q98" i="11" s="1"/>
  <c r="W227" i="11"/>
  <c r="U227" i="2"/>
  <c r="AO227" i="11" s="1"/>
  <c r="C126" i="9"/>
  <c r="E126" i="9" s="1"/>
  <c r="H126" i="9" s="1"/>
  <c r="BA98" i="11" s="1"/>
  <c r="AD226" i="2"/>
  <c r="BD345" i="2"/>
  <c r="BF345" i="2" s="1"/>
  <c r="BG345" i="2" s="1"/>
  <c r="AP346" i="2"/>
  <c r="AR346" i="2" s="1"/>
  <c r="AS346" i="2" s="1"/>
  <c r="CC97" i="7"/>
  <c r="CK97" i="7" s="1"/>
  <c r="CS97" i="7"/>
  <c r="CU97" i="7" s="1"/>
  <c r="CY97" i="7" s="1"/>
  <c r="CZ97" i="7" s="1"/>
  <c r="O375" i="3"/>
  <c r="AF347" i="2"/>
  <c r="BU227" i="7"/>
  <c r="AD227" i="11" s="1"/>
  <c r="AO230" i="2"/>
  <c r="BC230" i="2" s="1"/>
  <c r="L375" i="3"/>
  <c r="AE347" i="2" s="1"/>
  <c r="M375" i="3"/>
  <c r="V348" i="2" s="1"/>
  <c r="J376" i="3"/>
  <c r="P348" i="11" s="1"/>
  <c r="F376" i="3"/>
  <c r="AX348" i="11" s="1"/>
  <c r="I376" i="3"/>
  <c r="C376" i="3"/>
  <c r="E376" i="3" s="1"/>
  <c r="G376" i="3"/>
  <c r="O348" i="11" s="1"/>
  <c r="B377" i="3"/>
  <c r="K376" i="3"/>
  <c r="H376" i="3"/>
  <c r="AZ348" i="11" s="1"/>
  <c r="D228" i="2"/>
  <c r="F228" i="2" s="1"/>
  <c r="B257" i="9"/>
  <c r="BL98" i="7" l="1"/>
  <c r="CF98" i="7" s="1"/>
  <c r="CH98" i="7" s="1"/>
  <c r="CI98" i="7" s="1"/>
  <c r="I126" i="9"/>
  <c r="J126" i="9"/>
  <c r="R98" i="11" s="1"/>
  <c r="K126" i="9"/>
  <c r="M126" i="9" s="1"/>
  <c r="AR99" i="7" s="1"/>
  <c r="CA99" i="7" s="1"/>
  <c r="O126" i="9"/>
  <c r="W228" i="11"/>
  <c r="U228" i="2"/>
  <c r="AO228" i="11" s="1"/>
  <c r="AD227" i="2"/>
  <c r="BD346" i="2"/>
  <c r="BF346" i="2" s="1"/>
  <c r="BG346" i="2" s="1"/>
  <c r="AP347" i="2"/>
  <c r="BD347" i="2" s="1"/>
  <c r="BF347" i="2" s="1"/>
  <c r="BG347" i="2" s="1"/>
  <c r="CQ97" i="7"/>
  <c r="CN97" i="7"/>
  <c r="I97" i="11" s="1"/>
  <c r="O376" i="3"/>
  <c r="AF348" i="2"/>
  <c r="BU228" i="7"/>
  <c r="AD228" i="11" s="1"/>
  <c r="AO231" i="2"/>
  <c r="BC231" i="2" s="1"/>
  <c r="L376" i="3"/>
  <c r="AE348" i="2" s="1"/>
  <c r="M376" i="3"/>
  <c r="V349" i="2" s="1"/>
  <c r="J377" i="3"/>
  <c r="P349" i="11" s="1"/>
  <c r="F377" i="3"/>
  <c r="AX349" i="11" s="1"/>
  <c r="I377" i="3"/>
  <c r="C377" i="3"/>
  <c r="E377" i="3" s="1"/>
  <c r="G377" i="3"/>
  <c r="O349" i="11" s="1"/>
  <c r="B378" i="3"/>
  <c r="K377" i="3"/>
  <c r="H377" i="3"/>
  <c r="AZ349" i="11" s="1"/>
  <c r="B258" i="9"/>
  <c r="D229" i="2"/>
  <c r="F229" i="2" s="1"/>
  <c r="F127" i="9" l="1"/>
  <c r="AY99" i="11" s="1"/>
  <c r="CV98" i="7"/>
  <c r="CX98" i="7" s="1"/>
  <c r="C127" i="9"/>
  <c r="E127" i="9" s="1"/>
  <c r="H127" i="9" s="1"/>
  <c r="BA99" i="11" s="1"/>
  <c r="L126" i="9"/>
  <c r="BK98" i="7" s="1"/>
  <c r="CB98" i="7" s="1"/>
  <c r="CS98" i="7" s="1"/>
  <c r="CU98" i="7" s="1"/>
  <c r="W229" i="11"/>
  <c r="U229" i="2"/>
  <c r="AO229" i="11" s="1"/>
  <c r="AD228" i="2"/>
  <c r="AR347" i="2"/>
  <c r="AS347" i="2" s="1"/>
  <c r="G127" i="9"/>
  <c r="Q99" i="11" s="1"/>
  <c r="BL99" i="7"/>
  <c r="O127" i="9"/>
  <c r="AP348" i="2"/>
  <c r="BD348" i="2" s="1"/>
  <c r="BF348" i="2" s="1"/>
  <c r="BG348" i="2" s="1"/>
  <c r="O377" i="3"/>
  <c r="AF349" i="2"/>
  <c r="BU229" i="7"/>
  <c r="AD229" i="11" s="1"/>
  <c r="AO232" i="2"/>
  <c r="BC232" i="2" s="1"/>
  <c r="M377" i="3"/>
  <c r="V350" i="2" s="1"/>
  <c r="L377" i="3"/>
  <c r="AE349" i="2" s="1"/>
  <c r="J378" i="3"/>
  <c r="P350" i="11" s="1"/>
  <c r="F378" i="3"/>
  <c r="AX350" i="11" s="1"/>
  <c r="I378" i="3"/>
  <c r="C378" i="3"/>
  <c r="E378" i="3" s="1"/>
  <c r="G378" i="3"/>
  <c r="O350" i="11" s="1"/>
  <c r="B379" i="3"/>
  <c r="K378" i="3"/>
  <c r="H378" i="3"/>
  <c r="AZ350" i="11" s="1"/>
  <c r="B259" i="9"/>
  <c r="D230" i="2"/>
  <c r="F230" i="2" s="1"/>
  <c r="CY98" i="7" l="1"/>
  <c r="CZ98" i="7" s="1"/>
  <c r="CC98" i="7"/>
  <c r="CK98" i="7" s="1"/>
  <c r="CN98" i="7" s="1"/>
  <c r="I98" i="11" s="1"/>
  <c r="W230" i="11"/>
  <c r="U230" i="2"/>
  <c r="AO230" i="11" s="1"/>
  <c r="I127" i="9"/>
  <c r="AD229" i="2"/>
  <c r="AR348" i="2"/>
  <c r="AS348" i="2" s="1"/>
  <c r="CV99" i="7"/>
  <c r="CX99" i="7" s="1"/>
  <c r="CF99" i="7"/>
  <c r="CH99" i="7" s="1"/>
  <c r="CI99" i="7" s="1"/>
  <c r="AP349" i="2"/>
  <c r="AR349" i="2" s="1"/>
  <c r="AS349" i="2" s="1"/>
  <c r="J127" i="9"/>
  <c r="C128" i="9" s="1"/>
  <c r="E128" i="9" s="1"/>
  <c r="K127" i="9"/>
  <c r="L127" i="9" s="1"/>
  <c r="BK99" i="7" s="1"/>
  <c r="CB99" i="7" s="1"/>
  <c r="O378" i="3"/>
  <c r="AF350" i="2"/>
  <c r="BU230" i="7"/>
  <c r="AD230" i="11" s="1"/>
  <c r="AO233" i="2"/>
  <c r="BC233" i="2" s="1"/>
  <c r="J379" i="3"/>
  <c r="P351" i="11" s="1"/>
  <c r="F379" i="3"/>
  <c r="AX351" i="11" s="1"/>
  <c r="I379" i="3"/>
  <c r="C379" i="3"/>
  <c r="E379" i="3" s="1"/>
  <c r="G379" i="3"/>
  <c r="O351" i="11" s="1"/>
  <c r="B380" i="3"/>
  <c r="K379" i="3"/>
  <c r="H379" i="3"/>
  <c r="AZ351" i="11" s="1"/>
  <c r="L378" i="3"/>
  <c r="AE350" i="2" s="1"/>
  <c r="M378" i="3"/>
  <c r="V351" i="2" s="1"/>
  <c r="B260" i="9"/>
  <c r="D231" i="2"/>
  <c r="F231" i="2" s="1"/>
  <c r="CQ98" i="7" l="1"/>
  <c r="W231" i="11"/>
  <c r="U231" i="2"/>
  <c r="AO231" i="11" s="1"/>
  <c r="AD230" i="2"/>
  <c r="BD349" i="2"/>
  <c r="BF349" i="2" s="1"/>
  <c r="BG349" i="2" s="1"/>
  <c r="F128" i="9"/>
  <c r="R99" i="11"/>
  <c r="H128" i="9"/>
  <c r="AP350" i="2"/>
  <c r="AR350" i="2" s="1"/>
  <c r="AS350" i="2" s="1"/>
  <c r="M127" i="9"/>
  <c r="AR100" i="7" s="1"/>
  <c r="CA100" i="7" s="1"/>
  <c r="CC99" i="7"/>
  <c r="CS99" i="7"/>
  <c r="CU99" i="7" s="1"/>
  <c r="CY99" i="7" s="1"/>
  <c r="CZ99" i="7" s="1"/>
  <c r="O379" i="3"/>
  <c r="AF351" i="2"/>
  <c r="BU231" i="7"/>
  <c r="AD231" i="11" s="1"/>
  <c r="AO234" i="2"/>
  <c r="BC234" i="2" s="1"/>
  <c r="L379" i="3"/>
  <c r="AE351" i="2" s="1"/>
  <c r="M379" i="3"/>
  <c r="V352" i="2" s="1"/>
  <c r="J380" i="3"/>
  <c r="P352" i="11" s="1"/>
  <c r="F380" i="3"/>
  <c r="AX352" i="11" s="1"/>
  <c r="I380" i="3"/>
  <c r="C380" i="3"/>
  <c r="E380" i="3" s="1"/>
  <c r="G380" i="3"/>
  <c r="O352" i="11" s="1"/>
  <c r="B381" i="3"/>
  <c r="K380" i="3"/>
  <c r="H380" i="3"/>
  <c r="AZ352" i="11" s="1"/>
  <c r="B261" i="9"/>
  <c r="D232" i="2"/>
  <c r="V39" i="5" s="1"/>
  <c r="W39" i="5" s="1"/>
  <c r="I128" i="9" l="1"/>
  <c r="BA100" i="11"/>
  <c r="CJ100" i="11" s="1"/>
  <c r="O76" i="20" s="1"/>
  <c r="BL100" i="7"/>
  <c r="CV100" i="7" s="1"/>
  <c r="CX100" i="7" s="1"/>
  <c r="AY100" i="11"/>
  <c r="CH100" i="11" s="1"/>
  <c r="O56" i="20" s="1"/>
  <c r="G128" i="9"/>
  <c r="Q100" i="11" s="1"/>
  <c r="CG352" i="11"/>
  <c r="AJ55" i="20" s="1"/>
  <c r="J128" i="9"/>
  <c r="R100" i="11" s="1"/>
  <c r="CI352" i="11"/>
  <c r="AJ75" i="20" s="1"/>
  <c r="K128" i="9"/>
  <c r="L128" i="9" s="1"/>
  <c r="BK100" i="7" s="1"/>
  <c r="CB100" i="7" s="1"/>
  <c r="AD231" i="2"/>
  <c r="O128" i="9"/>
  <c r="BD350" i="2"/>
  <c r="BF350" i="2" s="1"/>
  <c r="BG350" i="2" s="1"/>
  <c r="AP351" i="2"/>
  <c r="BD351" i="2" s="1"/>
  <c r="BF351" i="2" s="1"/>
  <c r="BG351" i="2" s="1"/>
  <c r="CK99" i="7"/>
  <c r="CQ99" i="7" s="1"/>
  <c r="O380" i="3"/>
  <c r="AF352" i="2"/>
  <c r="F232" i="2"/>
  <c r="AO235" i="2"/>
  <c r="BC235" i="2" s="1"/>
  <c r="L380" i="3"/>
  <c r="AE352" i="2" s="1"/>
  <c r="M380" i="3"/>
  <c r="V353" i="2" s="1"/>
  <c r="J381" i="3"/>
  <c r="P353" i="11" s="1"/>
  <c r="F381" i="3"/>
  <c r="AX353" i="11" s="1"/>
  <c r="I381" i="3"/>
  <c r="C381" i="3"/>
  <c r="E381" i="3" s="1"/>
  <c r="G381" i="3"/>
  <c r="O353" i="11" s="1"/>
  <c r="B382" i="3"/>
  <c r="K381" i="3"/>
  <c r="H381" i="3"/>
  <c r="AZ353" i="11" s="1"/>
  <c r="D233" i="2"/>
  <c r="F233" i="2" s="1"/>
  <c r="B262" i="9"/>
  <c r="CF100" i="7" l="1"/>
  <c r="CH100" i="7" s="1"/>
  <c r="CI100" i="7" s="1"/>
  <c r="C129" i="9"/>
  <c r="E129" i="9" s="1"/>
  <c r="W233" i="11"/>
  <c r="U233" i="2"/>
  <c r="W232" i="11"/>
  <c r="BF232" i="11" s="1"/>
  <c r="Z35" i="20" s="1"/>
  <c r="U232" i="2"/>
  <c r="AO232" i="11" s="1"/>
  <c r="F129" i="9"/>
  <c r="AY101" i="11" s="1"/>
  <c r="M128" i="9"/>
  <c r="AR101" i="7" s="1"/>
  <c r="CA101" i="7" s="1"/>
  <c r="AR351" i="2"/>
  <c r="AS351" i="2" s="1"/>
  <c r="AP352" i="2"/>
  <c r="BD352" i="2" s="1"/>
  <c r="BF352" i="2" s="1"/>
  <c r="BG352" i="2" s="1"/>
  <c r="CN99" i="7"/>
  <c r="CC100" i="7"/>
  <c r="CS100" i="7"/>
  <c r="CU100" i="7" s="1"/>
  <c r="CY100" i="7" s="1"/>
  <c r="CZ100" i="7" s="1"/>
  <c r="O381" i="3"/>
  <c r="AF353" i="2"/>
  <c r="AO233" i="11"/>
  <c r="BU233" i="7"/>
  <c r="AD233" i="11" s="1"/>
  <c r="BU232" i="7"/>
  <c r="AO236" i="2"/>
  <c r="BC236" i="2" s="1"/>
  <c r="M381" i="3"/>
  <c r="V354" i="2" s="1"/>
  <c r="L381" i="3"/>
  <c r="AE353" i="2" s="1"/>
  <c r="J382" i="3"/>
  <c r="P354" i="11" s="1"/>
  <c r="F382" i="3"/>
  <c r="AX354" i="11" s="1"/>
  <c r="I382" i="3"/>
  <c r="C382" i="3"/>
  <c r="E382" i="3" s="1"/>
  <c r="G382" i="3"/>
  <c r="O354" i="11" s="1"/>
  <c r="B383" i="3"/>
  <c r="K382" i="3"/>
  <c r="H382" i="3"/>
  <c r="AZ354" i="11" s="1"/>
  <c r="B263" i="9"/>
  <c r="D234" i="2"/>
  <c r="F234" i="2" s="1"/>
  <c r="G129" i="9" l="1"/>
  <c r="Q101" i="11" s="1"/>
  <c r="W234" i="11"/>
  <c r="U234" i="2"/>
  <c r="AO234" i="11" s="1"/>
  <c r="O129" i="9"/>
  <c r="BL101" i="7"/>
  <c r="CF101" i="7" s="1"/>
  <c r="CH101" i="7" s="1"/>
  <c r="CI101" i="7" s="1"/>
  <c r="H129" i="9"/>
  <c r="BA101" i="11" s="1"/>
  <c r="AD232" i="11"/>
  <c r="BM232" i="11" s="1"/>
  <c r="Z14" i="20" s="1"/>
  <c r="Z15" i="20" s="1"/>
  <c r="Z19" i="20" s="1"/>
  <c r="Z67" i="20" s="1"/>
  <c r="B230" i="19"/>
  <c r="BX232" i="11"/>
  <c r="Z36" i="20" s="1"/>
  <c r="Z40" i="20" s="1"/>
  <c r="Z41" i="20" s="1"/>
  <c r="AR352" i="2"/>
  <c r="AS352" i="2" s="1"/>
  <c r="AP353" i="2"/>
  <c r="AR353" i="2" s="1"/>
  <c r="AS353" i="2" s="1"/>
  <c r="I99" i="11"/>
  <c r="CK100" i="7"/>
  <c r="CQ100" i="7" s="1"/>
  <c r="AD233" i="2"/>
  <c r="O382" i="3"/>
  <c r="AF354" i="2"/>
  <c r="AD232" i="2"/>
  <c r="N230" i="19" s="1"/>
  <c r="BU234" i="7"/>
  <c r="AD234" i="11" s="1"/>
  <c r="AO237" i="2"/>
  <c r="BC237" i="2" s="1"/>
  <c r="L382" i="3"/>
  <c r="AE354" i="2" s="1"/>
  <c r="M382" i="3"/>
  <c r="V355" i="2" s="1"/>
  <c r="J383" i="3"/>
  <c r="P355" i="11" s="1"/>
  <c r="F383" i="3"/>
  <c r="AX355" i="11" s="1"/>
  <c r="I383" i="3"/>
  <c r="C383" i="3"/>
  <c r="E383" i="3" s="1"/>
  <c r="G383" i="3"/>
  <c r="O355" i="11" s="1"/>
  <c r="B384" i="3"/>
  <c r="K383" i="3"/>
  <c r="H383" i="3"/>
  <c r="AZ355" i="11" s="1"/>
  <c r="D235" i="2"/>
  <c r="F235" i="2" s="1"/>
  <c r="B264" i="9"/>
  <c r="W235" i="11" l="1"/>
  <c r="U235" i="2"/>
  <c r="CV101" i="7"/>
  <c r="CX101" i="7" s="1"/>
  <c r="I129" i="9"/>
  <c r="J129" i="9"/>
  <c r="K129" i="9"/>
  <c r="Z42" i="20"/>
  <c r="AD234" i="2"/>
  <c r="BD353" i="2"/>
  <c r="BF353" i="2" s="1"/>
  <c r="BG353" i="2" s="1"/>
  <c r="AP354" i="2"/>
  <c r="BD354" i="2" s="1"/>
  <c r="BF354" i="2" s="1"/>
  <c r="BG354" i="2" s="1"/>
  <c r="CN100" i="7"/>
  <c r="O383" i="3"/>
  <c r="AF355" i="2"/>
  <c r="AO235" i="11"/>
  <c r="BU235" i="7"/>
  <c r="AD235" i="11" s="1"/>
  <c r="AO238" i="2"/>
  <c r="BC238" i="2" s="1"/>
  <c r="L383" i="3"/>
  <c r="AE355" i="2" s="1"/>
  <c r="M383" i="3"/>
  <c r="V356" i="2" s="1"/>
  <c r="J384" i="3"/>
  <c r="P356" i="11" s="1"/>
  <c r="F384" i="3"/>
  <c r="AX356" i="11" s="1"/>
  <c r="I384" i="3"/>
  <c r="C384" i="3"/>
  <c r="E384" i="3" s="1"/>
  <c r="G384" i="3"/>
  <c r="O356" i="11" s="1"/>
  <c r="B385" i="3"/>
  <c r="K384" i="3"/>
  <c r="H384" i="3"/>
  <c r="AZ356" i="11" s="1"/>
  <c r="D236" i="2"/>
  <c r="F236" i="2" s="1"/>
  <c r="B265" i="9"/>
  <c r="W236" i="11" l="1"/>
  <c r="U236" i="2"/>
  <c r="AO236" i="11" s="1"/>
  <c r="M129" i="9"/>
  <c r="AR102" i="7" s="1"/>
  <c r="CA102" i="7" s="1"/>
  <c r="L129" i="9"/>
  <c r="BK101" i="7" s="1"/>
  <c r="CB101" i="7" s="1"/>
  <c r="CS101" i="7" s="1"/>
  <c r="CU101" i="7" s="1"/>
  <c r="CY101" i="7" s="1"/>
  <c r="CZ101" i="7" s="1"/>
  <c r="R101" i="11"/>
  <c r="C130" i="9"/>
  <c r="E130" i="9" s="1"/>
  <c r="F130" i="9"/>
  <c r="AY102" i="11" s="1"/>
  <c r="AD235" i="2"/>
  <c r="AR354" i="2"/>
  <c r="AS354" i="2" s="1"/>
  <c r="AP355" i="2"/>
  <c r="AR355" i="2" s="1"/>
  <c r="AS355" i="2" s="1"/>
  <c r="I100" i="11"/>
  <c r="O384" i="3"/>
  <c r="AF356" i="2"/>
  <c r="BU236" i="7"/>
  <c r="AD236" i="11" s="1"/>
  <c r="AO239" i="2"/>
  <c r="BC239" i="2" s="1"/>
  <c r="J385" i="3"/>
  <c r="P357" i="11" s="1"/>
  <c r="F385" i="3"/>
  <c r="AX357" i="11" s="1"/>
  <c r="I385" i="3"/>
  <c r="C385" i="3"/>
  <c r="E385" i="3" s="1"/>
  <c r="G385" i="3"/>
  <c r="O357" i="11" s="1"/>
  <c r="B386" i="3"/>
  <c r="K385" i="3"/>
  <c r="H385" i="3"/>
  <c r="AZ357" i="11" s="1"/>
  <c r="L384" i="3"/>
  <c r="AE356" i="2" s="1"/>
  <c r="M384" i="3"/>
  <c r="V357" i="2" s="1"/>
  <c r="B266" i="9"/>
  <c r="D237" i="2"/>
  <c r="F237" i="2" s="1"/>
  <c r="H130" i="9" l="1"/>
  <c r="BA102" i="11" s="1"/>
  <c r="W237" i="11"/>
  <c r="U237" i="2"/>
  <c r="AO237" i="11" s="1"/>
  <c r="CC101" i="7"/>
  <c r="O130" i="9"/>
  <c r="BL102" i="7"/>
  <c r="G130" i="9"/>
  <c r="Q102" i="11" s="1"/>
  <c r="AD236" i="2"/>
  <c r="BD355" i="2"/>
  <c r="BF355" i="2" s="1"/>
  <c r="BG355" i="2" s="1"/>
  <c r="AP356" i="2"/>
  <c r="AR356" i="2" s="1"/>
  <c r="AS356" i="2" s="1"/>
  <c r="CK101" i="7"/>
  <c r="CQ101" i="7" s="1"/>
  <c r="O385" i="3"/>
  <c r="AF357" i="2"/>
  <c r="BU237" i="7"/>
  <c r="AD237" i="11" s="1"/>
  <c r="AO240" i="2"/>
  <c r="BC240" i="2" s="1"/>
  <c r="J386" i="3"/>
  <c r="P358" i="11" s="1"/>
  <c r="F386" i="3"/>
  <c r="AX358" i="11" s="1"/>
  <c r="I386" i="3"/>
  <c r="C386" i="3"/>
  <c r="E386" i="3" s="1"/>
  <c r="G386" i="3"/>
  <c r="O358" i="11" s="1"/>
  <c r="B387" i="3"/>
  <c r="K386" i="3"/>
  <c r="H386" i="3"/>
  <c r="AZ358" i="11" s="1"/>
  <c r="M385" i="3"/>
  <c r="V358" i="2" s="1"/>
  <c r="L385" i="3"/>
  <c r="AE357" i="2" s="1"/>
  <c r="D238" i="2"/>
  <c r="F238" i="2" s="1"/>
  <c r="B267" i="9"/>
  <c r="K130" i="9" l="1"/>
  <c r="L130" i="9" s="1"/>
  <c r="BK102" i="7" s="1"/>
  <c r="CB102" i="7" s="1"/>
  <c r="CS102" i="7" s="1"/>
  <c r="CU102" i="7" s="1"/>
  <c r="J130" i="9"/>
  <c r="R102" i="11" s="1"/>
  <c r="I130" i="9"/>
  <c r="W238" i="11"/>
  <c r="U238" i="2"/>
  <c r="AO238" i="11" s="1"/>
  <c r="CV102" i="7"/>
  <c r="CX102" i="7" s="1"/>
  <c r="CF102" i="7"/>
  <c r="CH102" i="7" s="1"/>
  <c r="CI102" i="7" s="1"/>
  <c r="BD356" i="2"/>
  <c r="BF356" i="2" s="1"/>
  <c r="BG356" i="2" s="1"/>
  <c r="AD237" i="2"/>
  <c r="AP357" i="2"/>
  <c r="AR357" i="2" s="1"/>
  <c r="AS357" i="2" s="1"/>
  <c r="CN101" i="7"/>
  <c r="O386" i="3"/>
  <c r="AF358" i="2"/>
  <c r="BU238" i="7"/>
  <c r="AD238" i="11" s="1"/>
  <c r="AO241" i="2"/>
  <c r="BC241" i="2" s="1"/>
  <c r="L386" i="3"/>
  <c r="AE358" i="2" s="1"/>
  <c r="M386" i="3"/>
  <c r="V359" i="2" s="1"/>
  <c r="J387" i="3"/>
  <c r="P359" i="11" s="1"/>
  <c r="F387" i="3"/>
  <c r="AX359" i="11" s="1"/>
  <c r="I387" i="3"/>
  <c r="C387" i="3"/>
  <c r="E387" i="3" s="1"/>
  <c r="G387" i="3"/>
  <c r="O359" i="11" s="1"/>
  <c r="B388" i="3"/>
  <c r="K387" i="3"/>
  <c r="H387" i="3"/>
  <c r="AZ359" i="11" s="1"/>
  <c r="B268" i="9"/>
  <c r="D239" i="2"/>
  <c r="F239" i="2" s="1"/>
  <c r="M130" i="9" l="1"/>
  <c r="AR103" i="7" s="1"/>
  <c r="CA103" i="7" s="1"/>
  <c r="C131" i="9"/>
  <c r="E131" i="9" s="1"/>
  <c r="F131" i="9"/>
  <c r="AY103" i="11" s="1"/>
  <c r="CC102" i="7"/>
  <c r="CK102" i="7" s="1"/>
  <c r="CQ102" i="7" s="1"/>
  <c r="G131" i="9"/>
  <c r="Q103" i="11" s="1"/>
  <c r="W239" i="11"/>
  <c r="U239" i="2"/>
  <c r="AO239" i="11" s="1"/>
  <c r="CY102" i="7"/>
  <c r="CZ102" i="7" s="1"/>
  <c r="H131" i="9"/>
  <c r="BA103" i="11" s="1"/>
  <c r="AD238" i="2"/>
  <c r="BD357" i="2"/>
  <c r="BF357" i="2" s="1"/>
  <c r="BG357" i="2" s="1"/>
  <c r="AP358" i="2"/>
  <c r="AR358" i="2" s="1"/>
  <c r="AS358" i="2" s="1"/>
  <c r="I101" i="11"/>
  <c r="O387" i="3"/>
  <c r="AF359" i="2"/>
  <c r="BU239" i="7"/>
  <c r="AD239" i="11" s="1"/>
  <c r="AO242" i="2"/>
  <c r="BC242" i="2" s="1"/>
  <c r="J388" i="3"/>
  <c r="P360" i="11" s="1"/>
  <c r="F388" i="3"/>
  <c r="AX360" i="11" s="1"/>
  <c r="I388" i="3"/>
  <c r="C388" i="3"/>
  <c r="E388" i="3" s="1"/>
  <c r="G388" i="3"/>
  <c r="O360" i="11" s="1"/>
  <c r="B389" i="3"/>
  <c r="K388" i="3"/>
  <c r="H388" i="3"/>
  <c r="AZ360" i="11" s="1"/>
  <c r="L387" i="3"/>
  <c r="AE359" i="2" s="1"/>
  <c r="M387" i="3"/>
  <c r="V360" i="2" s="1"/>
  <c r="D240" i="2"/>
  <c r="F240" i="2" s="1"/>
  <c r="B269" i="9"/>
  <c r="O131" i="9" l="1"/>
  <c r="BL103" i="7"/>
  <c r="CF103" i="7" s="1"/>
  <c r="CH103" i="7" s="1"/>
  <c r="CI103" i="7" s="1"/>
  <c r="W240" i="11"/>
  <c r="U240" i="2"/>
  <c r="AO240" i="11" s="1"/>
  <c r="K131" i="9"/>
  <c r="J131" i="9"/>
  <c r="I131" i="9"/>
  <c r="AD239" i="2"/>
  <c r="BD358" i="2"/>
  <c r="BF358" i="2" s="1"/>
  <c r="BG358" i="2" s="1"/>
  <c r="AP359" i="2"/>
  <c r="AR359" i="2" s="1"/>
  <c r="AS359" i="2" s="1"/>
  <c r="CN102" i="7"/>
  <c r="O388" i="3"/>
  <c r="AF360" i="2"/>
  <c r="BU240" i="7"/>
  <c r="AD240" i="11" s="1"/>
  <c r="AO243" i="2"/>
  <c r="BC243" i="2" s="1"/>
  <c r="L388" i="3"/>
  <c r="AE360" i="2" s="1"/>
  <c r="M388" i="3"/>
  <c r="V361" i="2" s="1"/>
  <c r="J389" i="3"/>
  <c r="P361" i="11" s="1"/>
  <c r="F389" i="3"/>
  <c r="AX361" i="11" s="1"/>
  <c r="I389" i="3"/>
  <c r="C389" i="3"/>
  <c r="E389" i="3" s="1"/>
  <c r="G389" i="3"/>
  <c r="O361" i="11" s="1"/>
  <c r="B390" i="3"/>
  <c r="K389" i="3"/>
  <c r="H389" i="3"/>
  <c r="AZ361" i="11" s="1"/>
  <c r="B270" i="9"/>
  <c r="D241" i="2"/>
  <c r="F241" i="2" s="1"/>
  <c r="CV103" i="7" l="1"/>
  <c r="CX103" i="7" s="1"/>
  <c r="W241" i="11"/>
  <c r="U241" i="2"/>
  <c r="R103" i="11"/>
  <c r="F132" i="9"/>
  <c r="AY104" i="11" s="1"/>
  <c r="C132" i="9"/>
  <c r="E132" i="9" s="1"/>
  <c r="H132" i="9" s="1"/>
  <c r="BA104" i="11" s="1"/>
  <c r="M131" i="9"/>
  <c r="AR104" i="7" s="1"/>
  <c r="CA104" i="7" s="1"/>
  <c r="L131" i="9"/>
  <c r="BK103" i="7" s="1"/>
  <c r="CB103" i="7" s="1"/>
  <c r="CC103" i="7" s="1"/>
  <c r="AD240" i="2"/>
  <c r="BD359" i="2"/>
  <c r="BF359" i="2" s="1"/>
  <c r="BG359" i="2" s="1"/>
  <c r="AP360" i="2"/>
  <c r="AR360" i="2" s="1"/>
  <c r="AS360" i="2" s="1"/>
  <c r="I102" i="11"/>
  <c r="O389" i="3"/>
  <c r="AF361" i="2"/>
  <c r="AO241" i="11"/>
  <c r="BU241" i="7"/>
  <c r="AD241" i="11" s="1"/>
  <c r="AO244" i="2"/>
  <c r="BC244" i="2" s="1"/>
  <c r="M389" i="3"/>
  <c r="V362" i="2" s="1"/>
  <c r="L389" i="3"/>
  <c r="AE361" i="2" s="1"/>
  <c r="K390" i="3"/>
  <c r="G390" i="3"/>
  <c r="O362" i="11" s="1"/>
  <c r="J390" i="3"/>
  <c r="P362" i="11" s="1"/>
  <c r="F390" i="3"/>
  <c r="AX362" i="11" s="1"/>
  <c r="I390" i="3"/>
  <c r="C390" i="3"/>
  <c r="E390" i="3" s="1"/>
  <c r="H390" i="3"/>
  <c r="AZ362" i="11" s="1"/>
  <c r="B391" i="3"/>
  <c r="D242" i="2"/>
  <c r="F242" i="2" s="1"/>
  <c r="B271" i="9"/>
  <c r="W242" i="11" l="1"/>
  <c r="U242" i="2"/>
  <c r="I132" i="9"/>
  <c r="K132" i="9"/>
  <c r="J132" i="9"/>
  <c r="CS103" i="7"/>
  <c r="CU103" i="7" s="1"/>
  <c r="CY103" i="7" s="1"/>
  <c r="CZ103" i="7" s="1"/>
  <c r="BL104" i="7"/>
  <c r="O132" i="9"/>
  <c r="G132" i="9"/>
  <c r="Q104" i="11" s="1"/>
  <c r="AD241" i="2"/>
  <c r="BD360" i="2"/>
  <c r="BF360" i="2" s="1"/>
  <c r="BG360" i="2" s="1"/>
  <c r="AP361" i="2"/>
  <c r="BD361" i="2" s="1"/>
  <c r="BF361" i="2" s="1"/>
  <c r="BG361" i="2" s="1"/>
  <c r="CK103" i="7"/>
  <c r="CQ103" i="7" s="1"/>
  <c r="O390" i="3"/>
  <c r="AF362" i="2"/>
  <c r="AO242" i="11"/>
  <c r="BU242" i="7"/>
  <c r="AD242" i="11" s="1"/>
  <c r="AO245" i="2"/>
  <c r="BC245" i="2" s="1"/>
  <c r="L390" i="3"/>
  <c r="AE362" i="2" s="1"/>
  <c r="M390" i="3"/>
  <c r="V363" i="2" s="1"/>
  <c r="K391" i="3"/>
  <c r="G391" i="3"/>
  <c r="O363" i="11" s="1"/>
  <c r="J391" i="3"/>
  <c r="P363" i="11" s="1"/>
  <c r="F391" i="3"/>
  <c r="AX363" i="11" s="1"/>
  <c r="I391" i="3"/>
  <c r="C391" i="3"/>
  <c r="E391" i="3" s="1"/>
  <c r="B392" i="3"/>
  <c r="B393" i="3" s="1"/>
  <c r="H391" i="3"/>
  <c r="AZ363" i="11" s="1"/>
  <c r="B272" i="9"/>
  <c r="D243" i="2"/>
  <c r="F243" i="2" s="1"/>
  <c r="W243" i="11" l="1"/>
  <c r="U243" i="2"/>
  <c r="AO243" i="11" s="1"/>
  <c r="CV104" i="7"/>
  <c r="CX104" i="7" s="1"/>
  <c r="CF104" i="7"/>
  <c r="CH104" i="7" s="1"/>
  <c r="CI104" i="7" s="1"/>
  <c r="F133" i="9"/>
  <c r="AY105" i="11" s="1"/>
  <c r="C133" i="9"/>
  <c r="E133" i="9" s="1"/>
  <c r="H133" i="9" s="1"/>
  <c r="BA105" i="11" s="1"/>
  <c r="R104" i="11"/>
  <c r="L132" i="9"/>
  <c r="BK104" i="7" s="1"/>
  <c r="CB104" i="7" s="1"/>
  <c r="M132" i="9"/>
  <c r="AR105" i="7" s="1"/>
  <c r="CA105" i="7" s="1"/>
  <c r="AD242" i="2"/>
  <c r="AR361" i="2"/>
  <c r="AS361" i="2" s="1"/>
  <c r="AP362" i="2"/>
  <c r="AR362" i="2" s="1"/>
  <c r="AS362" i="2" s="1"/>
  <c r="CN103" i="7"/>
  <c r="B394" i="3"/>
  <c r="C393" i="3"/>
  <c r="E393" i="3" s="1"/>
  <c r="F393" i="3"/>
  <c r="AX365" i="11" s="1"/>
  <c r="G393" i="3"/>
  <c r="O365" i="11" s="1"/>
  <c r="H393" i="3"/>
  <c r="AZ365" i="11" s="1"/>
  <c r="I393" i="3"/>
  <c r="J393" i="3"/>
  <c r="P365" i="11" s="1"/>
  <c r="K393" i="3"/>
  <c r="O391" i="3"/>
  <c r="AF363" i="2"/>
  <c r="BU243" i="7"/>
  <c r="AD243" i="11" s="1"/>
  <c r="AO246" i="2"/>
  <c r="BC246" i="2" s="1"/>
  <c r="L391" i="3"/>
  <c r="AE363" i="2" s="1"/>
  <c r="M391" i="3"/>
  <c r="V364" i="2" s="1"/>
  <c r="K392" i="3"/>
  <c r="G392" i="3"/>
  <c r="O364" i="11" s="1"/>
  <c r="J392" i="3"/>
  <c r="P364" i="11" s="1"/>
  <c r="F392" i="3"/>
  <c r="AX364" i="11" s="1"/>
  <c r="I392" i="3"/>
  <c r="C392" i="3"/>
  <c r="E392" i="3" s="1"/>
  <c r="H392" i="3"/>
  <c r="AZ364" i="11" s="1"/>
  <c r="B273" i="9"/>
  <c r="D244" i="2"/>
  <c r="V40" i="5" s="1"/>
  <c r="W40" i="5" s="1"/>
  <c r="I133" i="9" l="1"/>
  <c r="J133" i="9"/>
  <c r="R105" i="11" s="1"/>
  <c r="K133" i="9"/>
  <c r="M133" i="9" s="1"/>
  <c r="AR106" i="7" s="1"/>
  <c r="CA106" i="7" s="1"/>
  <c r="BL105" i="7"/>
  <c r="G133" i="9"/>
  <c r="Q105" i="11" s="1"/>
  <c r="O133" i="9"/>
  <c r="CS104" i="7"/>
  <c r="CU104" i="7" s="1"/>
  <c r="CY104" i="7" s="1"/>
  <c r="CZ104" i="7" s="1"/>
  <c r="CC104" i="7"/>
  <c r="CK104" i="7" s="1"/>
  <c r="CI364" i="11"/>
  <c r="AK75" i="20" s="1"/>
  <c r="CG364" i="11"/>
  <c r="AK55" i="20" s="1"/>
  <c r="AD243" i="2"/>
  <c r="BD362" i="2"/>
  <c r="BF362" i="2" s="1"/>
  <c r="BG362" i="2" s="1"/>
  <c r="AP363" i="2"/>
  <c r="AR363" i="2" s="1"/>
  <c r="AS363" i="2" s="1"/>
  <c r="I103" i="11"/>
  <c r="M393" i="3"/>
  <c r="V366" i="2" s="1"/>
  <c r="AK366" i="2" s="1"/>
  <c r="L393" i="3"/>
  <c r="AE365" i="2" s="1"/>
  <c r="O393" i="3"/>
  <c r="AF365" i="2"/>
  <c r="B395" i="3"/>
  <c r="F394" i="3"/>
  <c r="AX366" i="11" s="1"/>
  <c r="G394" i="3"/>
  <c r="O366" i="11" s="1"/>
  <c r="H394" i="3"/>
  <c r="AZ366" i="11" s="1"/>
  <c r="I394" i="3"/>
  <c r="J394" i="3"/>
  <c r="P366" i="11" s="1"/>
  <c r="K394" i="3"/>
  <c r="M394" i="3" s="1"/>
  <c r="V367" i="2" s="1"/>
  <c r="AK367" i="2" s="1"/>
  <c r="C394" i="3"/>
  <c r="E394" i="3" s="1"/>
  <c r="O392" i="3"/>
  <c r="AF364" i="2"/>
  <c r="F244" i="2"/>
  <c r="AO247" i="2"/>
  <c r="BC247" i="2" s="1"/>
  <c r="L392" i="3"/>
  <c r="AE364" i="2" s="1"/>
  <c r="M392" i="3"/>
  <c r="V365" i="2" s="1"/>
  <c r="AK365" i="2" s="1"/>
  <c r="D245" i="2"/>
  <c r="F245" i="2" s="1"/>
  <c r="H273" i="9"/>
  <c r="BA245" i="11" s="1"/>
  <c r="C273" i="9"/>
  <c r="E273" i="9" s="1"/>
  <c r="B274" i="9"/>
  <c r="K273" i="9"/>
  <c r="G273" i="9"/>
  <c r="Q245" i="11" s="1"/>
  <c r="J273" i="9"/>
  <c r="R245" i="11" s="1"/>
  <c r="F273" i="9"/>
  <c r="AY245" i="11" s="1"/>
  <c r="I273" i="9"/>
  <c r="L133" i="9" l="1"/>
  <c r="BK105" i="7" s="1"/>
  <c r="CB105" i="7" s="1"/>
  <c r="CS105" i="7" s="1"/>
  <c r="CU105" i="7" s="1"/>
  <c r="W244" i="11"/>
  <c r="BF244" i="11" s="1"/>
  <c r="AA35" i="20" s="1"/>
  <c r="U244" i="2"/>
  <c r="W245" i="11"/>
  <c r="U245" i="2"/>
  <c r="AO245" i="11" s="1"/>
  <c r="C134" i="9"/>
  <c r="E134" i="9" s="1"/>
  <c r="F134" i="9"/>
  <c r="AY106" i="11" s="1"/>
  <c r="CN104" i="7"/>
  <c r="I104" i="11" s="1"/>
  <c r="CQ104" i="7"/>
  <c r="CV105" i="7"/>
  <c r="CX105" i="7" s="1"/>
  <c r="CF105" i="7"/>
  <c r="CH105" i="7" s="1"/>
  <c r="CI105" i="7" s="1"/>
  <c r="L394" i="3"/>
  <c r="AE366" i="2" s="1"/>
  <c r="BD363" i="2"/>
  <c r="BF363" i="2" s="1"/>
  <c r="BG363" i="2" s="1"/>
  <c r="AP364" i="2"/>
  <c r="AR364" i="2" s="1"/>
  <c r="AS364" i="2" s="1"/>
  <c r="AP365" i="2"/>
  <c r="BD365" i="2" s="1"/>
  <c r="BF365" i="2" s="1"/>
  <c r="BG365" i="2" s="1"/>
  <c r="B396" i="3"/>
  <c r="F395" i="3"/>
  <c r="AX367" i="11" s="1"/>
  <c r="G395" i="3"/>
  <c r="O367" i="11" s="1"/>
  <c r="H395" i="3"/>
  <c r="AZ367" i="11" s="1"/>
  <c r="I395" i="3"/>
  <c r="J395" i="3"/>
  <c r="P367" i="11" s="1"/>
  <c r="K395" i="3"/>
  <c r="M395" i="3" s="1"/>
  <c r="V368" i="2" s="1"/>
  <c r="AK368" i="2" s="1"/>
  <c r="C395" i="3"/>
  <c r="E395" i="3" s="1"/>
  <c r="O394" i="3"/>
  <c r="AF366" i="2"/>
  <c r="BA367" i="2"/>
  <c r="AL365" i="2"/>
  <c r="AZ365" i="2" s="1"/>
  <c r="BA366" i="2"/>
  <c r="BA365" i="2"/>
  <c r="BU245" i="7"/>
  <c r="AD245" i="11" s="1"/>
  <c r="AO244" i="11"/>
  <c r="BU244" i="7"/>
  <c r="AO248" i="2"/>
  <c r="BC248" i="2" s="1"/>
  <c r="L273" i="9"/>
  <c r="BK245" i="7" s="1"/>
  <c r="M273" i="9"/>
  <c r="AR246" i="7" s="1"/>
  <c r="CA246" i="7" s="1"/>
  <c r="O273" i="9"/>
  <c r="BL245" i="7"/>
  <c r="H274" i="9"/>
  <c r="BA246" i="11" s="1"/>
  <c r="C274" i="9"/>
  <c r="E274" i="9" s="1"/>
  <c r="B275" i="9"/>
  <c r="K274" i="9"/>
  <c r="G274" i="9"/>
  <c r="Q246" i="11" s="1"/>
  <c r="J274" i="9"/>
  <c r="R246" i="11" s="1"/>
  <c r="F274" i="9"/>
  <c r="AY246" i="11" s="1"/>
  <c r="I274" i="9"/>
  <c r="D246" i="2"/>
  <c r="F246" i="2" s="1"/>
  <c r="CC105" i="7" l="1"/>
  <c r="G134" i="9"/>
  <c r="Q106" i="11" s="1"/>
  <c r="H134" i="9"/>
  <c r="BA106" i="11" s="1"/>
  <c r="O134" i="9"/>
  <c r="W246" i="11"/>
  <c r="U246" i="2"/>
  <c r="AO246" i="11" s="1"/>
  <c r="BL106" i="7"/>
  <c r="CV106" i="7" s="1"/>
  <c r="CX106" i="7" s="1"/>
  <c r="CY105" i="7"/>
  <c r="CZ105" i="7" s="1"/>
  <c r="I134" i="9"/>
  <c r="AD244" i="11"/>
  <c r="BM244" i="11" s="1"/>
  <c r="AA14" i="20" s="1"/>
  <c r="AA15" i="20" s="1"/>
  <c r="AA19" i="20" s="1"/>
  <c r="AA67" i="20" s="1"/>
  <c r="K134" i="9"/>
  <c r="M134" i="9" s="1"/>
  <c r="AR107" i="7" s="1"/>
  <c r="CA107" i="7" s="1"/>
  <c r="B242" i="19"/>
  <c r="BX244" i="11"/>
  <c r="AA36" i="20" s="1"/>
  <c r="AA40" i="20" s="1"/>
  <c r="AA41" i="20" s="1"/>
  <c r="BD364" i="2"/>
  <c r="BF364" i="2" s="1"/>
  <c r="BG364" i="2" s="1"/>
  <c r="AR365" i="2"/>
  <c r="AS365" i="2" s="1"/>
  <c r="AP366" i="2"/>
  <c r="BD366" i="2" s="1"/>
  <c r="BF366" i="2" s="1"/>
  <c r="BG366" i="2" s="1"/>
  <c r="AL366" i="2"/>
  <c r="AZ366" i="2" s="1"/>
  <c r="BB366" i="2" s="1"/>
  <c r="CV245" i="7"/>
  <c r="CX245" i="7" s="1"/>
  <c r="CB245" i="7"/>
  <c r="CS245" i="7" s="1"/>
  <c r="CU245" i="7" s="1"/>
  <c r="CF245" i="7"/>
  <c r="CH245" i="7" s="1"/>
  <c r="CI245" i="7" s="1"/>
  <c r="CK105" i="7"/>
  <c r="CN105" i="7" s="1"/>
  <c r="L395" i="3"/>
  <c r="AE367" i="2" s="1"/>
  <c r="BB365" i="2"/>
  <c r="BH365" i="2" s="1"/>
  <c r="BI365" i="2" s="1"/>
  <c r="AM365" i="2"/>
  <c r="BA368" i="2"/>
  <c r="O395" i="3"/>
  <c r="AF367" i="2"/>
  <c r="B397" i="3"/>
  <c r="F396" i="3"/>
  <c r="AX368" i="11" s="1"/>
  <c r="G396" i="3"/>
  <c r="O368" i="11" s="1"/>
  <c r="H396" i="3"/>
  <c r="AZ368" i="11" s="1"/>
  <c r="I396" i="3"/>
  <c r="J396" i="3"/>
  <c r="P368" i="11" s="1"/>
  <c r="K396" i="3"/>
  <c r="C396" i="3"/>
  <c r="E396" i="3" s="1"/>
  <c r="AD245" i="2"/>
  <c r="AD244" i="2"/>
  <c r="N242" i="19" s="1"/>
  <c r="BU246" i="7"/>
  <c r="AD246" i="11" s="1"/>
  <c r="AO249" i="2"/>
  <c r="BC249" i="2" s="1"/>
  <c r="D247" i="2"/>
  <c r="F247" i="2" s="1"/>
  <c r="L274" i="9"/>
  <c r="BK246" i="7" s="1"/>
  <c r="M274" i="9"/>
  <c r="AR247" i="7" s="1"/>
  <c r="CA247" i="7" s="1"/>
  <c r="O274" i="9"/>
  <c r="BL246" i="7"/>
  <c r="H275" i="9"/>
  <c r="BA247" i="11" s="1"/>
  <c r="C275" i="9"/>
  <c r="E275" i="9" s="1"/>
  <c r="B276" i="9"/>
  <c r="K275" i="9"/>
  <c r="G275" i="9"/>
  <c r="Q247" i="11" s="1"/>
  <c r="J275" i="9"/>
  <c r="R247" i="11" s="1"/>
  <c r="F275" i="9"/>
  <c r="AY247" i="11" s="1"/>
  <c r="I275" i="9"/>
  <c r="J134" i="9" l="1"/>
  <c r="C135" i="9" s="1"/>
  <c r="E135" i="9" s="1"/>
  <c r="CF106" i="7"/>
  <c r="CH106" i="7" s="1"/>
  <c r="CI106" i="7" s="1"/>
  <c r="W247" i="11"/>
  <c r="U247" i="2"/>
  <c r="AO247" i="11" s="1"/>
  <c r="AA42" i="20"/>
  <c r="L134" i="9"/>
  <c r="BK106" i="7" s="1"/>
  <c r="CB106" i="7" s="1"/>
  <c r="CC106" i="7" s="1"/>
  <c r="AD246" i="2"/>
  <c r="AT365" i="2"/>
  <c r="AW365" i="2" s="1"/>
  <c r="F365" i="11" s="1"/>
  <c r="AR366" i="2"/>
  <c r="AS366" i="2" s="1"/>
  <c r="AP367" i="2"/>
  <c r="BD367" i="2" s="1"/>
  <c r="BF367" i="2" s="1"/>
  <c r="BG367" i="2" s="1"/>
  <c r="AE368" i="2"/>
  <c r="AM366" i="2"/>
  <c r="CY245" i="7"/>
  <c r="CZ245" i="7" s="1"/>
  <c r="CV246" i="7"/>
  <c r="CX246" i="7" s="1"/>
  <c r="AL367" i="2"/>
  <c r="AZ367" i="2" s="1"/>
  <c r="BB367" i="2" s="1"/>
  <c r="BH366" i="2"/>
  <c r="BI366" i="2" s="1"/>
  <c r="CB246" i="7"/>
  <c r="CF246" i="7"/>
  <c r="CH246" i="7" s="1"/>
  <c r="CI246" i="7" s="1"/>
  <c r="CQ105" i="7"/>
  <c r="I105" i="11"/>
  <c r="L396" i="3"/>
  <c r="M396" i="3"/>
  <c r="V369" i="2" s="1"/>
  <c r="AK369" i="2" s="1"/>
  <c r="O396" i="3"/>
  <c r="AF368" i="2"/>
  <c r="B398" i="3"/>
  <c r="F397" i="3"/>
  <c r="AX369" i="11" s="1"/>
  <c r="G397" i="3"/>
  <c r="O369" i="11" s="1"/>
  <c r="H397" i="3"/>
  <c r="AZ369" i="11" s="1"/>
  <c r="I397" i="3"/>
  <c r="J397" i="3"/>
  <c r="P369" i="11" s="1"/>
  <c r="K397" i="3"/>
  <c r="C397" i="3"/>
  <c r="E397" i="3" s="1"/>
  <c r="BU247" i="7"/>
  <c r="AD247" i="11" s="1"/>
  <c r="AO250" i="2"/>
  <c r="BC250" i="2" s="1"/>
  <c r="H276" i="9"/>
  <c r="BA248" i="11" s="1"/>
  <c r="C276" i="9"/>
  <c r="E276" i="9" s="1"/>
  <c r="B277" i="9"/>
  <c r="K276" i="9"/>
  <c r="G276" i="9"/>
  <c r="Q248" i="11" s="1"/>
  <c r="J276" i="9"/>
  <c r="R248" i="11" s="1"/>
  <c r="F276" i="9"/>
  <c r="AY248" i="11" s="1"/>
  <c r="I276" i="9"/>
  <c r="L275" i="9"/>
  <c r="BK247" i="7" s="1"/>
  <c r="M275" i="9"/>
  <c r="AR248" i="7" s="1"/>
  <c r="CA248" i="7" s="1"/>
  <c r="O275" i="9"/>
  <c r="BL247" i="7"/>
  <c r="D248" i="2"/>
  <c r="F248" i="2" s="1"/>
  <c r="CK106" i="7" l="1"/>
  <c r="CQ106" i="7" s="1"/>
  <c r="F135" i="9"/>
  <c r="AY107" i="11" s="1"/>
  <c r="R106" i="11"/>
  <c r="BL107" i="7"/>
  <c r="CF107" i="7" s="1"/>
  <c r="CH107" i="7" s="1"/>
  <c r="CI107" i="7" s="1"/>
  <c r="W248" i="11"/>
  <c r="U248" i="2"/>
  <c r="AO248" i="11" s="1"/>
  <c r="CS106" i="7"/>
  <c r="CU106" i="7" s="1"/>
  <c r="CY106" i="7" s="1"/>
  <c r="CZ106" i="7" s="1"/>
  <c r="AT366" i="2"/>
  <c r="AW366" i="2" s="1"/>
  <c r="F366" i="11" s="1"/>
  <c r="AR367" i="2"/>
  <c r="AS367" i="2" s="1"/>
  <c r="AM367" i="2"/>
  <c r="AP368" i="2"/>
  <c r="BD368" i="2" s="1"/>
  <c r="BF368" i="2" s="1"/>
  <c r="BG368" i="2" s="1"/>
  <c r="CB247" i="7"/>
  <c r="CF247" i="7"/>
  <c r="CH247" i="7" s="1"/>
  <c r="CI247" i="7" s="1"/>
  <c r="M397" i="3"/>
  <c r="V370" i="2" s="1"/>
  <c r="AK370" i="2" s="1"/>
  <c r="L397" i="3"/>
  <c r="AE369" i="2" s="1"/>
  <c r="B399" i="3"/>
  <c r="F398" i="3"/>
  <c r="AX370" i="11" s="1"/>
  <c r="G398" i="3"/>
  <c r="O370" i="11" s="1"/>
  <c r="H398" i="3"/>
  <c r="AZ370" i="11" s="1"/>
  <c r="I398" i="3"/>
  <c r="J398" i="3"/>
  <c r="P370" i="11" s="1"/>
  <c r="K398" i="3"/>
  <c r="C398" i="3"/>
  <c r="E398" i="3" s="1"/>
  <c r="BH367" i="2"/>
  <c r="BI367" i="2" s="1"/>
  <c r="AL368" i="2"/>
  <c r="BA369" i="2"/>
  <c r="O397" i="3"/>
  <c r="AF369" i="2"/>
  <c r="CV247" i="7"/>
  <c r="CX247" i="7" s="1"/>
  <c r="CC246" i="7"/>
  <c r="CS246" i="7"/>
  <c r="CU246" i="7" s="1"/>
  <c r="CY246" i="7" s="1"/>
  <c r="CZ246" i="7" s="1"/>
  <c r="AD247" i="2"/>
  <c r="BU248" i="7"/>
  <c r="AD248" i="11" s="1"/>
  <c r="AO251" i="2"/>
  <c r="BC251" i="2" s="1"/>
  <c r="H277" i="9"/>
  <c r="BA249" i="11" s="1"/>
  <c r="C277" i="9"/>
  <c r="E277" i="9" s="1"/>
  <c r="B278" i="9"/>
  <c r="K277" i="9"/>
  <c r="G277" i="9"/>
  <c r="Q249" i="11" s="1"/>
  <c r="J277" i="9"/>
  <c r="R249" i="11" s="1"/>
  <c r="F277" i="9"/>
  <c r="AY249" i="11" s="1"/>
  <c r="I277" i="9"/>
  <c r="D249" i="2"/>
  <c r="F249" i="2" s="1"/>
  <c r="L276" i="9"/>
  <c r="BK248" i="7" s="1"/>
  <c r="M276" i="9"/>
  <c r="AR249" i="7" s="1"/>
  <c r="CA249" i="7" s="1"/>
  <c r="O276" i="9"/>
  <c r="BL248" i="7"/>
  <c r="CN106" i="7" l="1"/>
  <c r="I106" i="11" s="1"/>
  <c r="G135" i="9"/>
  <c r="Q107" i="11" s="1"/>
  <c r="H135" i="9"/>
  <c r="BA107" i="11" s="1"/>
  <c r="O135" i="9"/>
  <c r="CV107" i="7"/>
  <c r="CX107" i="7" s="1"/>
  <c r="W249" i="11"/>
  <c r="U249" i="2"/>
  <c r="AO249" i="11" s="1"/>
  <c r="AR368" i="2"/>
  <c r="AS368" i="2" s="1"/>
  <c r="AT367" i="2"/>
  <c r="AW367" i="2" s="1"/>
  <c r="F367" i="11" s="1"/>
  <c r="AD248" i="2"/>
  <c r="AE370" i="2"/>
  <c r="AP369" i="2"/>
  <c r="AR369" i="2" s="1"/>
  <c r="AS369" i="2" s="1"/>
  <c r="AL369" i="2"/>
  <c r="AZ369" i="2" s="1"/>
  <c r="BB369" i="2" s="1"/>
  <c r="CB248" i="7"/>
  <c r="CF248" i="7"/>
  <c r="CH248" i="7" s="1"/>
  <c r="CI248" i="7" s="1"/>
  <c r="CK246" i="7"/>
  <c r="CN246" i="7" s="1"/>
  <c r="I246" i="11" s="1"/>
  <c r="AZ368" i="2"/>
  <c r="BB368" i="2" s="1"/>
  <c r="BH368" i="2" s="1"/>
  <c r="BI368" i="2" s="1"/>
  <c r="AM368" i="2"/>
  <c r="O398" i="3"/>
  <c r="AF370" i="2"/>
  <c r="B400" i="3"/>
  <c r="F399" i="3"/>
  <c r="AX371" i="11" s="1"/>
  <c r="G399" i="3"/>
  <c r="O371" i="11" s="1"/>
  <c r="H399" i="3"/>
  <c r="AZ371" i="11" s="1"/>
  <c r="I399" i="3"/>
  <c r="J399" i="3"/>
  <c r="P371" i="11" s="1"/>
  <c r="K399" i="3"/>
  <c r="C399" i="3"/>
  <c r="E399" i="3" s="1"/>
  <c r="M398" i="3"/>
  <c r="V371" i="2" s="1"/>
  <c r="AK371" i="2" s="1"/>
  <c r="L398" i="3"/>
  <c r="BA370" i="2"/>
  <c r="CV248" i="7"/>
  <c r="CX248" i="7" s="1"/>
  <c r="CC247" i="7"/>
  <c r="CS247" i="7"/>
  <c r="CU247" i="7" s="1"/>
  <c r="CY247" i="7" s="1"/>
  <c r="CZ247" i="7" s="1"/>
  <c r="BU249" i="7"/>
  <c r="AD249" i="11" s="1"/>
  <c r="AO252" i="2"/>
  <c r="BC252" i="2" s="1"/>
  <c r="L277" i="9"/>
  <c r="BK249" i="7" s="1"/>
  <c r="M277" i="9"/>
  <c r="AR250" i="7" s="1"/>
  <c r="CA250" i="7" s="1"/>
  <c r="O277" i="9"/>
  <c r="BL249" i="7"/>
  <c r="H278" i="9"/>
  <c r="BA250" i="11" s="1"/>
  <c r="C278" i="9"/>
  <c r="E278" i="9" s="1"/>
  <c r="B279" i="9"/>
  <c r="K278" i="9"/>
  <c r="G278" i="9"/>
  <c r="Q250" i="11" s="1"/>
  <c r="J278" i="9"/>
  <c r="R250" i="11" s="1"/>
  <c r="F278" i="9"/>
  <c r="AY250" i="11" s="1"/>
  <c r="I278" i="9"/>
  <c r="D250" i="2"/>
  <c r="F250" i="2" s="1"/>
  <c r="K135" i="9" l="1"/>
  <c r="I135" i="9"/>
  <c r="J135" i="9"/>
  <c r="AT368" i="2"/>
  <c r="AW368" i="2" s="1"/>
  <c r="F368" i="11" s="1"/>
  <c r="W250" i="11"/>
  <c r="U250" i="2"/>
  <c r="AO250" i="11" s="1"/>
  <c r="BD369" i="2"/>
  <c r="BF369" i="2" s="1"/>
  <c r="BG369" i="2" s="1"/>
  <c r="BH369" i="2" s="1"/>
  <c r="BI369" i="2" s="1"/>
  <c r="AD249" i="2"/>
  <c r="AP370" i="2"/>
  <c r="BD370" i="2" s="1"/>
  <c r="BF370" i="2" s="1"/>
  <c r="BG370" i="2" s="1"/>
  <c r="AM369" i="2"/>
  <c r="AT369" i="2" s="1"/>
  <c r="AW369" i="2" s="1"/>
  <c r="F369" i="11" s="1"/>
  <c r="CQ246" i="7"/>
  <c r="CF249" i="7"/>
  <c r="CH249" i="7" s="1"/>
  <c r="CI249" i="7" s="1"/>
  <c r="CB249" i="7"/>
  <c r="CK247" i="7"/>
  <c r="CQ247" i="7" s="1"/>
  <c r="B401" i="3"/>
  <c r="G400" i="3"/>
  <c r="O372" i="11" s="1"/>
  <c r="H400" i="3"/>
  <c r="AZ372" i="11" s="1"/>
  <c r="I400" i="3"/>
  <c r="J400" i="3"/>
  <c r="P372" i="11" s="1"/>
  <c r="K400" i="3"/>
  <c r="C400" i="3"/>
  <c r="E400" i="3" s="1"/>
  <c r="F400" i="3"/>
  <c r="AX372" i="11" s="1"/>
  <c r="M399" i="3"/>
  <c r="V372" i="2" s="1"/>
  <c r="AK372" i="2" s="1"/>
  <c r="L399" i="3"/>
  <c r="AE371" i="2" s="1"/>
  <c r="O399" i="3"/>
  <c r="AF371" i="2"/>
  <c r="BA371" i="2"/>
  <c r="AL370" i="2"/>
  <c r="CV249" i="7"/>
  <c r="CX249" i="7" s="1"/>
  <c r="CC248" i="7"/>
  <c r="CS248" i="7"/>
  <c r="CU248" i="7" s="1"/>
  <c r="CY248" i="7" s="1"/>
  <c r="CZ248" i="7" s="1"/>
  <c r="BU250" i="7"/>
  <c r="AD250" i="11" s="1"/>
  <c r="AO253" i="2"/>
  <c r="BC253" i="2" s="1"/>
  <c r="L278" i="9"/>
  <c r="BK250" i="7" s="1"/>
  <c r="M278" i="9"/>
  <c r="AR251" i="7" s="1"/>
  <c r="CA251" i="7" s="1"/>
  <c r="D251" i="2"/>
  <c r="F251" i="2" s="1"/>
  <c r="O278" i="9"/>
  <c r="BL250" i="7"/>
  <c r="H279" i="9"/>
  <c r="BA251" i="11" s="1"/>
  <c r="C279" i="9"/>
  <c r="E279" i="9" s="1"/>
  <c r="B280" i="9"/>
  <c r="K279" i="9"/>
  <c r="G279" i="9"/>
  <c r="Q251" i="11" s="1"/>
  <c r="J279" i="9"/>
  <c r="R251" i="11" s="1"/>
  <c r="F279" i="9"/>
  <c r="AY251" i="11" s="1"/>
  <c r="I279" i="9"/>
  <c r="C136" i="9" l="1"/>
  <c r="E136" i="9" s="1"/>
  <c r="R107" i="11"/>
  <c r="F136" i="9"/>
  <c r="AY108" i="11" s="1"/>
  <c r="L135" i="9"/>
  <c r="BK107" i="7" s="1"/>
  <c r="CB107" i="7" s="1"/>
  <c r="M135" i="9"/>
  <c r="AR108" i="7" s="1"/>
  <c r="CA108" i="7" s="1"/>
  <c r="H136" i="9"/>
  <c r="BA108" i="11" s="1"/>
  <c r="W251" i="11"/>
  <c r="U251" i="2"/>
  <c r="AO251" i="11" s="1"/>
  <c r="AD250" i="2"/>
  <c r="AR370" i="2"/>
  <c r="AS370" i="2" s="1"/>
  <c r="AE372" i="2"/>
  <c r="AP371" i="2"/>
  <c r="AR371" i="2" s="1"/>
  <c r="AS371" i="2" s="1"/>
  <c r="CN247" i="7"/>
  <c r="I247" i="11" s="1"/>
  <c r="CB250" i="7"/>
  <c r="CF250" i="7"/>
  <c r="CH250" i="7" s="1"/>
  <c r="CI250" i="7" s="1"/>
  <c r="CK248" i="7"/>
  <c r="CN248" i="7" s="1"/>
  <c r="I248" i="11" s="1"/>
  <c r="O400" i="3"/>
  <c r="AF372" i="2"/>
  <c r="L400" i="3"/>
  <c r="M400" i="3"/>
  <c r="V373" i="2" s="1"/>
  <c r="AK373" i="2" s="1"/>
  <c r="AZ370" i="2"/>
  <c r="BB370" i="2" s="1"/>
  <c r="BH370" i="2" s="1"/>
  <c r="BI370" i="2" s="1"/>
  <c r="AM370" i="2"/>
  <c r="BA372" i="2"/>
  <c r="AL371" i="2"/>
  <c r="B402" i="3"/>
  <c r="H401" i="3"/>
  <c r="AZ373" i="11" s="1"/>
  <c r="I401" i="3"/>
  <c r="J401" i="3"/>
  <c r="P373" i="11" s="1"/>
  <c r="K401" i="3"/>
  <c r="C401" i="3"/>
  <c r="E401" i="3" s="1"/>
  <c r="F401" i="3"/>
  <c r="AX373" i="11" s="1"/>
  <c r="G401" i="3"/>
  <c r="O373" i="11" s="1"/>
  <c r="CV250" i="7"/>
  <c r="CX250" i="7" s="1"/>
  <c r="CC249" i="7"/>
  <c r="CS249" i="7"/>
  <c r="CU249" i="7" s="1"/>
  <c r="CY249" i="7" s="1"/>
  <c r="CZ249" i="7" s="1"/>
  <c r="BU251" i="7"/>
  <c r="AD251" i="11" s="1"/>
  <c r="AO254" i="2"/>
  <c r="BC254" i="2" s="1"/>
  <c r="D252" i="2"/>
  <c r="F252" i="2" s="1"/>
  <c r="L279" i="9"/>
  <c r="BK251" i="7" s="1"/>
  <c r="M279" i="9"/>
  <c r="AR252" i="7" s="1"/>
  <c r="CA252" i="7" s="1"/>
  <c r="H280" i="9"/>
  <c r="BA252" i="11" s="1"/>
  <c r="C280" i="9"/>
  <c r="E280" i="9" s="1"/>
  <c r="B281" i="9"/>
  <c r="K280" i="9"/>
  <c r="G280" i="9"/>
  <c r="Q252" i="11" s="1"/>
  <c r="J280" i="9"/>
  <c r="R252" i="11" s="1"/>
  <c r="F280" i="9"/>
  <c r="AY252" i="11" s="1"/>
  <c r="I280" i="9"/>
  <c r="O279" i="9"/>
  <c r="BL251" i="7"/>
  <c r="J136" i="9" l="1"/>
  <c r="C137" i="9" s="1"/>
  <c r="E137" i="9" s="1"/>
  <c r="I136" i="9"/>
  <c r="CC107" i="7"/>
  <c r="CK107" i="7" s="1"/>
  <c r="CS107" i="7"/>
  <c r="CU107" i="7" s="1"/>
  <c r="CY107" i="7" s="1"/>
  <c r="CZ107" i="7" s="1"/>
  <c r="G136" i="9"/>
  <c r="Q108" i="11" s="1"/>
  <c r="O136" i="9"/>
  <c r="BL108" i="7"/>
  <c r="K136" i="9"/>
  <c r="M136" i="9" s="1"/>
  <c r="AR109" i="7" s="1"/>
  <c r="CA109" i="7" s="1"/>
  <c r="W252" i="11"/>
  <c r="U252" i="2"/>
  <c r="AO252" i="11" s="1"/>
  <c r="AT370" i="2"/>
  <c r="AW370" i="2" s="1"/>
  <c r="F370" i="11" s="1"/>
  <c r="AD251" i="2"/>
  <c r="BD371" i="2"/>
  <c r="BF371" i="2" s="1"/>
  <c r="BG371" i="2" s="1"/>
  <c r="AP372" i="2"/>
  <c r="BD372" i="2" s="1"/>
  <c r="BF372" i="2" s="1"/>
  <c r="BG372" i="2" s="1"/>
  <c r="CV251" i="7"/>
  <c r="CX251" i="7" s="1"/>
  <c r="CF251" i="7"/>
  <c r="CH251" i="7" s="1"/>
  <c r="CI251" i="7" s="1"/>
  <c r="CB251" i="7"/>
  <c r="CQ248" i="7"/>
  <c r="CK249" i="7"/>
  <c r="CQ249" i="7" s="1"/>
  <c r="B403" i="3"/>
  <c r="I402" i="3"/>
  <c r="J402" i="3"/>
  <c r="P374" i="11" s="1"/>
  <c r="K402" i="3"/>
  <c r="M402" i="3" s="1"/>
  <c r="V375" i="2" s="1"/>
  <c r="AK375" i="2" s="1"/>
  <c r="C402" i="3"/>
  <c r="E402" i="3" s="1"/>
  <c r="F402" i="3"/>
  <c r="AX374" i="11" s="1"/>
  <c r="G402" i="3"/>
  <c r="O374" i="11" s="1"/>
  <c r="H402" i="3"/>
  <c r="AZ374" i="11" s="1"/>
  <c r="AZ371" i="2"/>
  <c r="BB371" i="2" s="1"/>
  <c r="AM371" i="2"/>
  <c r="AT371" i="2" s="1"/>
  <c r="AW371" i="2" s="1"/>
  <c r="F371" i="11" s="1"/>
  <c r="BA373" i="2"/>
  <c r="O401" i="3"/>
  <c r="AF373" i="2"/>
  <c r="L401" i="3"/>
  <c r="AE373" i="2" s="1"/>
  <c r="M401" i="3"/>
  <c r="V374" i="2" s="1"/>
  <c r="AK374" i="2" s="1"/>
  <c r="AL372" i="2"/>
  <c r="CC250" i="7"/>
  <c r="CS250" i="7"/>
  <c r="CU250" i="7" s="1"/>
  <c r="CY250" i="7" s="1"/>
  <c r="CZ250" i="7" s="1"/>
  <c r="BU252" i="7"/>
  <c r="AD252" i="11" s="1"/>
  <c r="AO255" i="2"/>
  <c r="BC255" i="2" s="1"/>
  <c r="O280" i="9"/>
  <c r="BL252" i="7"/>
  <c r="H281" i="9"/>
  <c r="BA253" i="11" s="1"/>
  <c r="C281" i="9"/>
  <c r="E281" i="9" s="1"/>
  <c r="B282" i="9"/>
  <c r="K281" i="9"/>
  <c r="G281" i="9"/>
  <c r="Q253" i="11" s="1"/>
  <c r="J281" i="9"/>
  <c r="R253" i="11" s="1"/>
  <c r="F281" i="9"/>
  <c r="AY253" i="11" s="1"/>
  <c r="I281" i="9"/>
  <c r="D253" i="2"/>
  <c r="F253" i="2" s="1"/>
  <c r="L280" i="9"/>
  <c r="BK252" i="7" s="1"/>
  <c r="M280" i="9"/>
  <c r="AR253" i="7" s="1"/>
  <c r="CA253" i="7" s="1"/>
  <c r="L136" i="9" l="1"/>
  <c r="BK108" i="7" s="1"/>
  <c r="R108" i="11"/>
  <c r="F137" i="9"/>
  <c r="AY109" i="11" s="1"/>
  <c r="G137" i="9"/>
  <c r="Q109" i="11" s="1"/>
  <c r="CB108" i="7"/>
  <c r="CC108" i="7" s="1"/>
  <c r="CF108" i="7"/>
  <c r="CH108" i="7" s="1"/>
  <c r="CI108" i="7" s="1"/>
  <c r="CV108" i="7"/>
  <c r="CX108" i="7" s="1"/>
  <c r="CQ107" i="7"/>
  <c r="CN107" i="7"/>
  <c r="I107" i="11" s="1"/>
  <c r="BL109" i="7"/>
  <c r="CV109" i="7" s="1"/>
  <c r="CX109" i="7" s="1"/>
  <c r="O137" i="9"/>
  <c r="W253" i="11"/>
  <c r="U253" i="2"/>
  <c r="AO253" i="11" s="1"/>
  <c r="BH371" i="2"/>
  <c r="BI371" i="2" s="1"/>
  <c r="AD252" i="2"/>
  <c r="AR372" i="2"/>
  <c r="AS372" i="2" s="1"/>
  <c r="AP373" i="2"/>
  <c r="AR373" i="2" s="1"/>
  <c r="AS373" i="2" s="1"/>
  <c r="L402" i="3"/>
  <c r="AE374" i="2" s="1"/>
  <c r="CB252" i="7"/>
  <c r="CF252" i="7"/>
  <c r="CH252" i="7" s="1"/>
  <c r="CI252" i="7" s="1"/>
  <c r="CN249" i="7"/>
  <c r="I249" i="11" s="1"/>
  <c r="CK250" i="7"/>
  <c r="CN250" i="7" s="1"/>
  <c r="I250" i="11" s="1"/>
  <c r="O402" i="3"/>
  <c r="AF374" i="2"/>
  <c r="BA375" i="2"/>
  <c r="AZ372" i="2"/>
  <c r="BB372" i="2" s="1"/>
  <c r="BH372" i="2" s="1"/>
  <c r="BI372" i="2" s="1"/>
  <c r="AM372" i="2"/>
  <c r="CV252" i="7"/>
  <c r="CX252" i="7" s="1"/>
  <c r="BA374" i="2"/>
  <c r="B404" i="3"/>
  <c r="I403" i="3"/>
  <c r="J403" i="3"/>
  <c r="P375" i="11" s="1"/>
  <c r="K403" i="3"/>
  <c r="M403" i="3" s="1"/>
  <c r="V376" i="2" s="1"/>
  <c r="AK376" i="2" s="1"/>
  <c r="C403" i="3"/>
  <c r="E403" i="3" s="1"/>
  <c r="F403" i="3"/>
  <c r="AX375" i="11" s="1"/>
  <c r="G403" i="3"/>
  <c r="O375" i="11" s="1"/>
  <c r="H403" i="3"/>
  <c r="AZ375" i="11" s="1"/>
  <c r="AL373" i="2"/>
  <c r="CC251" i="7"/>
  <c r="CS251" i="7"/>
  <c r="CU251" i="7" s="1"/>
  <c r="CY251" i="7" s="1"/>
  <c r="CZ251" i="7" s="1"/>
  <c r="BU253" i="7"/>
  <c r="AD253" i="11" s="1"/>
  <c r="AO256" i="2"/>
  <c r="BC256" i="2" s="1"/>
  <c r="H282" i="9"/>
  <c r="BA254" i="11" s="1"/>
  <c r="C282" i="9"/>
  <c r="E282" i="9" s="1"/>
  <c r="B283" i="9"/>
  <c r="K282" i="9"/>
  <c r="G282" i="9"/>
  <c r="Q254" i="11" s="1"/>
  <c r="J282" i="9"/>
  <c r="R254" i="11" s="1"/>
  <c r="F282" i="9"/>
  <c r="AY254" i="11" s="1"/>
  <c r="I282" i="9"/>
  <c r="D254" i="2"/>
  <c r="F254" i="2" s="1"/>
  <c r="L281" i="9"/>
  <c r="BK253" i="7" s="1"/>
  <c r="M281" i="9"/>
  <c r="AR254" i="7" s="1"/>
  <c r="CA254" i="7" s="1"/>
  <c r="O281" i="9"/>
  <c r="BL253" i="7"/>
  <c r="H137" i="9" l="1"/>
  <c r="CK108" i="7"/>
  <c r="CQ108" i="7" s="1"/>
  <c r="CS108" i="7"/>
  <c r="CU108" i="7" s="1"/>
  <c r="CY108" i="7" s="1"/>
  <c r="CZ108" i="7" s="1"/>
  <c r="CF109" i="7"/>
  <c r="CH109" i="7" s="1"/>
  <c r="CI109" i="7" s="1"/>
  <c r="W254" i="11"/>
  <c r="U254" i="2"/>
  <c r="AO254" i="11" s="1"/>
  <c r="AT372" i="2"/>
  <c r="AW372" i="2" s="1"/>
  <c r="F372" i="11" s="1"/>
  <c r="AD253" i="2"/>
  <c r="BD373" i="2"/>
  <c r="BF373" i="2" s="1"/>
  <c r="BG373" i="2" s="1"/>
  <c r="L403" i="3"/>
  <c r="AE375" i="2" s="1"/>
  <c r="AP374" i="2"/>
  <c r="BD374" i="2" s="1"/>
  <c r="BF374" i="2" s="1"/>
  <c r="BG374" i="2" s="1"/>
  <c r="CQ250" i="7"/>
  <c r="CB253" i="7"/>
  <c r="CF253" i="7"/>
  <c r="CH253" i="7" s="1"/>
  <c r="CI253" i="7" s="1"/>
  <c r="CV253" i="7"/>
  <c r="CX253" i="7" s="1"/>
  <c r="CK251" i="7"/>
  <c r="CN251" i="7" s="1"/>
  <c r="I251" i="11" s="1"/>
  <c r="AL374" i="2"/>
  <c r="AZ374" i="2" s="1"/>
  <c r="BB374" i="2" s="1"/>
  <c r="BA376" i="2"/>
  <c r="AZ373" i="2"/>
  <c r="BB373" i="2" s="1"/>
  <c r="AM373" i="2"/>
  <c r="AT373" i="2" s="1"/>
  <c r="AW373" i="2" s="1"/>
  <c r="F373" i="11" s="1"/>
  <c r="B405" i="3"/>
  <c r="G404" i="3"/>
  <c r="O376" i="11" s="1"/>
  <c r="H404" i="3"/>
  <c r="AZ376" i="11" s="1"/>
  <c r="I404" i="3"/>
  <c r="J404" i="3"/>
  <c r="P376" i="11" s="1"/>
  <c r="K404" i="3"/>
  <c r="C404" i="3"/>
  <c r="E404" i="3" s="1"/>
  <c r="F404" i="3"/>
  <c r="AX376" i="11" s="1"/>
  <c r="O403" i="3"/>
  <c r="AF375" i="2"/>
  <c r="CC252" i="7"/>
  <c r="CS252" i="7"/>
  <c r="CU252" i="7" s="1"/>
  <c r="CY252" i="7" s="1"/>
  <c r="CZ252" i="7" s="1"/>
  <c r="BU254" i="7"/>
  <c r="AD254" i="11" s="1"/>
  <c r="AO257" i="2"/>
  <c r="BC257" i="2" s="1"/>
  <c r="D255" i="2"/>
  <c r="F255" i="2" s="1"/>
  <c r="L282" i="9"/>
  <c r="BK254" i="7" s="1"/>
  <c r="M282" i="9"/>
  <c r="AR255" i="7" s="1"/>
  <c r="CA255" i="7" s="1"/>
  <c r="O282" i="9"/>
  <c r="BL254" i="7"/>
  <c r="H283" i="9"/>
  <c r="BA255" i="11" s="1"/>
  <c r="C283" i="9"/>
  <c r="E283" i="9" s="1"/>
  <c r="B284" i="9"/>
  <c r="K283" i="9"/>
  <c r="G283" i="9"/>
  <c r="Q255" i="11" s="1"/>
  <c r="J283" i="9"/>
  <c r="R255" i="11" s="1"/>
  <c r="F283" i="9"/>
  <c r="AY255" i="11" s="1"/>
  <c r="I283" i="9"/>
  <c r="CN108" i="7" l="1"/>
  <c r="I108" i="11" s="1"/>
  <c r="BA109" i="11"/>
  <c r="I137" i="9"/>
  <c r="K137" i="9"/>
  <c r="J137" i="9"/>
  <c r="W255" i="11"/>
  <c r="U255" i="2"/>
  <c r="AO255" i="11" s="1"/>
  <c r="BH373" i="2"/>
  <c r="BI373" i="2" s="1"/>
  <c r="CG376" i="11"/>
  <c r="AL55" i="20" s="1"/>
  <c r="AD254" i="2"/>
  <c r="AR374" i="2"/>
  <c r="AS374" i="2" s="1"/>
  <c r="AP375" i="2"/>
  <c r="BD375" i="2" s="1"/>
  <c r="BF375" i="2" s="1"/>
  <c r="BG375" i="2" s="1"/>
  <c r="CI376" i="11"/>
  <c r="AL75" i="20" s="1"/>
  <c r="AL375" i="2"/>
  <c r="AZ375" i="2" s="1"/>
  <c r="BB375" i="2" s="1"/>
  <c r="CQ251" i="7"/>
  <c r="CB254" i="7"/>
  <c r="CF254" i="7"/>
  <c r="CH254" i="7" s="1"/>
  <c r="CI254" i="7" s="1"/>
  <c r="BH374" i="2"/>
  <c r="BI374" i="2" s="1"/>
  <c r="CV254" i="7"/>
  <c r="CX254" i="7" s="1"/>
  <c r="AM374" i="2"/>
  <c r="CK252" i="7"/>
  <c r="CN252" i="7" s="1"/>
  <c r="I252" i="11" s="1"/>
  <c r="B406" i="3"/>
  <c r="G405" i="3"/>
  <c r="O377" i="11" s="1"/>
  <c r="H405" i="3"/>
  <c r="AZ377" i="11" s="1"/>
  <c r="I405" i="3"/>
  <c r="J405" i="3"/>
  <c r="P377" i="11" s="1"/>
  <c r="K405" i="3"/>
  <c r="C405" i="3"/>
  <c r="E405" i="3" s="1"/>
  <c r="F405" i="3"/>
  <c r="AX377" i="11" s="1"/>
  <c r="O404" i="3"/>
  <c r="AF376" i="2"/>
  <c r="L404" i="3"/>
  <c r="AE376" i="2" s="1"/>
  <c r="M404" i="3"/>
  <c r="V377" i="2" s="1"/>
  <c r="AK377" i="2" s="1"/>
  <c r="CC253" i="7"/>
  <c r="CS253" i="7"/>
  <c r="CU253" i="7" s="1"/>
  <c r="CY253" i="7" s="1"/>
  <c r="CZ253" i="7" s="1"/>
  <c r="BU255" i="7"/>
  <c r="AD255" i="11" s="1"/>
  <c r="AO258" i="2"/>
  <c r="BC258" i="2" s="1"/>
  <c r="L283" i="9"/>
  <c r="BK255" i="7" s="1"/>
  <c r="M283" i="9"/>
  <c r="AR256" i="7" s="1"/>
  <c r="CA256" i="7" s="1"/>
  <c r="D256" i="2"/>
  <c r="O283" i="9"/>
  <c r="BL255" i="7"/>
  <c r="H284" i="9"/>
  <c r="BA256" i="11" s="1"/>
  <c r="C284" i="9"/>
  <c r="E284" i="9" s="1"/>
  <c r="B285" i="9"/>
  <c r="K284" i="9"/>
  <c r="G284" i="9"/>
  <c r="Q256" i="11" s="1"/>
  <c r="J284" i="9"/>
  <c r="R256" i="11" s="1"/>
  <c r="F284" i="9"/>
  <c r="AY256" i="11" s="1"/>
  <c r="I284" i="9"/>
  <c r="F138" i="9" l="1"/>
  <c r="R109" i="11"/>
  <c r="C138" i="9"/>
  <c r="E138" i="9" s="1"/>
  <c r="H138" i="9" s="1"/>
  <c r="M137" i="9"/>
  <c r="AR110" i="7" s="1"/>
  <c r="CA110" i="7" s="1"/>
  <c r="L137" i="9"/>
  <c r="BK109" i="7" s="1"/>
  <c r="CB109" i="7" s="1"/>
  <c r="G138" i="9"/>
  <c r="Q110" i="11" s="1"/>
  <c r="CJ256" i="11"/>
  <c r="AB76" i="20" s="1"/>
  <c r="CH256" i="11"/>
  <c r="AB56" i="20" s="1"/>
  <c r="AT374" i="2"/>
  <c r="AW374" i="2" s="1"/>
  <c r="F374" i="11" s="1"/>
  <c r="AD255" i="2"/>
  <c r="AR375" i="2"/>
  <c r="AS375" i="2" s="1"/>
  <c r="AE377" i="2"/>
  <c r="AP376" i="2"/>
  <c r="AR376" i="2" s="1"/>
  <c r="AS376" i="2" s="1"/>
  <c r="AM375" i="2"/>
  <c r="CQ252" i="7"/>
  <c r="CB255" i="7"/>
  <c r="CF255" i="7"/>
  <c r="CH255" i="7" s="1"/>
  <c r="CI255" i="7" s="1"/>
  <c r="CK253" i="7"/>
  <c r="CN253" i="7" s="1"/>
  <c r="I253" i="11" s="1"/>
  <c r="CV255" i="7"/>
  <c r="CX255" i="7" s="1"/>
  <c r="B407" i="3"/>
  <c r="H406" i="3"/>
  <c r="AZ378" i="11" s="1"/>
  <c r="I406" i="3"/>
  <c r="J406" i="3"/>
  <c r="P378" i="11" s="1"/>
  <c r="K406" i="3"/>
  <c r="M406" i="3" s="1"/>
  <c r="V379" i="2" s="1"/>
  <c r="AK379" i="2" s="1"/>
  <c r="C406" i="3"/>
  <c r="E406" i="3" s="1"/>
  <c r="F406" i="3"/>
  <c r="AX378" i="11" s="1"/>
  <c r="G406" i="3"/>
  <c r="O378" i="11" s="1"/>
  <c r="O405" i="3"/>
  <c r="AF377" i="2"/>
  <c r="AL376" i="2"/>
  <c r="BA377" i="2"/>
  <c r="M405" i="3"/>
  <c r="V378" i="2" s="1"/>
  <c r="AK378" i="2" s="1"/>
  <c r="L405" i="3"/>
  <c r="BH375" i="2"/>
  <c r="BI375" i="2" s="1"/>
  <c r="CC254" i="7"/>
  <c r="CS254" i="7"/>
  <c r="CU254" i="7" s="1"/>
  <c r="CY254" i="7" s="1"/>
  <c r="CZ254" i="7" s="1"/>
  <c r="F256" i="2"/>
  <c r="U256" i="2" s="1"/>
  <c r="V41" i="5"/>
  <c r="W41" i="5" s="1"/>
  <c r="AO259" i="2"/>
  <c r="BC259" i="2" s="1"/>
  <c r="L284" i="9"/>
  <c r="BK256" i="7" s="1"/>
  <c r="M284" i="9"/>
  <c r="AR257" i="7" s="1"/>
  <c r="CA257" i="7" s="1"/>
  <c r="O284" i="9"/>
  <c r="BL256" i="7"/>
  <c r="H285" i="9"/>
  <c r="BA257" i="11" s="1"/>
  <c r="C285" i="9"/>
  <c r="E285" i="9" s="1"/>
  <c r="B286" i="9"/>
  <c r="K285" i="9"/>
  <c r="G285" i="9"/>
  <c r="Q257" i="11" s="1"/>
  <c r="J285" i="9"/>
  <c r="R257" i="11" s="1"/>
  <c r="F285" i="9"/>
  <c r="AY257" i="11" s="1"/>
  <c r="I285" i="9"/>
  <c r="D257" i="2"/>
  <c r="F257" i="2" s="1"/>
  <c r="CS109" i="7" l="1"/>
  <c r="CU109" i="7" s="1"/>
  <c r="CY109" i="7" s="1"/>
  <c r="CZ109" i="7" s="1"/>
  <c r="CC109" i="7"/>
  <c r="CK109" i="7" s="1"/>
  <c r="CN109" i="7" s="1"/>
  <c r="I109" i="11" s="1"/>
  <c r="BA110" i="11"/>
  <c r="K138" i="9"/>
  <c r="I138" i="9"/>
  <c r="J138" i="9"/>
  <c r="AY110" i="11"/>
  <c r="O138" i="9"/>
  <c r="BL110" i="7"/>
  <c r="W257" i="11"/>
  <c r="U257" i="2"/>
  <c r="AO257" i="11" s="1"/>
  <c r="AT375" i="2"/>
  <c r="AW375" i="2" s="1"/>
  <c r="F375" i="11" s="1"/>
  <c r="BD376" i="2"/>
  <c r="BF376" i="2" s="1"/>
  <c r="BG376" i="2" s="1"/>
  <c r="AP377" i="2"/>
  <c r="BD377" i="2" s="1"/>
  <c r="BF377" i="2" s="1"/>
  <c r="BG377" i="2" s="1"/>
  <c r="AO256" i="11"/>
  <c r="W256" i="11"/>
  <c r="BF256" i="11" s="1"/>
  <c r="AB35" i="20" s="1"/>
  <c r="CQ253" i="7"/>
  <c r="CK254" i="7"/>
  <c r="CQ254" i="7" s="1"/>
  <c r="BA379" i="2"/>
  <c r="AZ376" i="2"/>
  <c r="BB376" i="2" s="1"/>
  <c r="AM376" i="2"/>
  <c r="AT376" i="2" s="1"/>
  <c r="AW376" i="2" s="1"/>
  <c r="F376" i="11" s="1"/>
  <c r="B408" i="3"/>
  <c r="H407" i="3"/>
  <c r="AZ379" i="11" s="1"/>
  <c r="I407" i="3"/>
  <c r="J407" i="3"/>
  <c r="P379" i="11" s="1"/>
  <c r="K407" i="3"/>
  <c r="M407" i="3" s="1"/>
  <c r="V380" i="2" s="1"/>
  <c r="AK380" i="2" s="1"/>
  <c r="C407" i="3"/>
  <c r="E407" i="3" s="1"/>
  <c r="F407" i="3"/>
  <c r="AX379" i="11" s="1"/>
  <c r="G407" i="3"/>
  <c r="O379" i="11" s="1"/>
  <c r="BA378" i="2"/>
  <c r="O406" i="3"/>
  <c r="AF378" i="2"/>
  <c r="L406" i="3"/>
  <c r="AE378" i="2" s="1"/>
  <c r="AL377" i="2"/>
  <c r="CC255" i="7"/>
  <c r="CS255" i="7"/>
  <c r="CU255" i="7" s="1"/>
  <c r="CY255" i="7" s="1"/>
  <c r="CZ255" i="7" s="1"/>
  <c r="BU256" i="7"/>
  <c r="AD256" i="2"/>
  <c r="BU257" i="7"/>
  <c r="AD257" i="11" s="1"/>
  <c r="AO260" i="2"/>
  <c r="BC260" i="2" s="1"/>
  <c r="D258" i="2"/>
  <c r="F258" i="2" s="1"/>
  <c r="L285" i="9"/>
  <c r="BK257" i="7" s="1"/>
  <c r="M285" i="9"/>
  <c r="AR258" i="7" s="1"/>
  <c r="CA258" i="7" s="1"/>
  <c r="O285" i="9"/>
  <c r="BL257" i="7"/>
  <c r="H286" i="9"/>
  <c r="BA258" i="11" s="1"/>
  <c r="C286" i="9"/>
  <c r="E286" i="9" s="1"/>
  <c r="B287" i="9"/>
  <c r="K286" i="9"/>
  <c r="G286" i="9"/>
  <c r="Q258" i="11" s="1"/>
  <c r="J286" i="9"/>
  <c r="R258" i="11" s="1"/>
  <c r="F286" i="9"/>
  <c r="AY258" i="11" s="1"/>
  <c r="I286" i="9"/>
  <c r="CQ109" i="7" l="1"/>
  <c r="R110" i="11"/>
  <c r="F139" i="9"/>
  <c r="C139" i="9"/>
  <c r="E139" i="9" s="1"/>
  <c r="H139" i="9" s="1"/>
  <c r="L138" i="9"/>
  <c r="BK110" i="7" s="1"/>
  <c r="CB110" i="7" s="1"/>
  <c r="M138" i="9"/>
  <c r="AR111" i="7" s="1"/>
  <c r="CA111" i="7" s="1"/>
  <c r="CV110" i="7"/>
  <c r="CX110" i="7" s="1"/>
  <c r="CF110" i="7"/>
  <c r="CH110" i="7" s="1"/>
  <c r="CI110" i="7" s="1"/>
  <c r="W258" i="11"/>
  <c r="U258" i="2"/>
  <c r="AO258" i="11" s="1"/>
  <c r="AD256" i="11"/>
  <c r="BM256" i="11" s="1"/>
  <c r="AB14" i="20" s="1"/>
  <c r="AB15" i="20" s="1"/>
  <c r="AB19" i="20" s="1"/>
  <c r="AB67" i="20" s="1"/>
  <c r="BH376" i="2"/>
  <c r="BI376" i="2" s="1"/>
  <c r="B254" i="19"/>
  <c r="BX256" i="11"/>
  <c r="AB36" i="20" s="1"/>
  <c r="AB40" i="20" s="1"/>
  <c r="AB41" i="20" s="1"/>
  <c r="AR377" i="2"/>
  <c r="AS377" i="2" s="1"/>
  <c r="AP378" i="2"/>
  <c r="BD378" i="2" s="1"/>
  <c r="BF378" i="2" s="1"/>
  <c r="BG378" i="2" s="1"/>
  <c r="CV257" i="7"/>
  <c r="CX257" i="7" s="1"/>
  <c r="CF256" i="7"/>
  <c r="CH256" i="7" s="1"/>
  <c r="CI256" i="7" s="1"/>
  <c r="CB256" i="7"/>
  <c r="CF257" i="7"/>
  <c r="CH257" i="7" s="1"/>
  <c r="CI257" i="7" s="1"/>
  <c r="CB257" i="7"/>
  <c r="CN254" i="7"/>
  <c r="I254" i="11" s="1"/>
  <c r="CK255" i="7"/>
  <c r="CQ255" i="7" s="1"/>
  <c r="B409" i="3"/>
  <c r="H408" i="3"/>
  <c r="AZ380" i="11" s="1"/>
  <c r="I408" i="3"/>
  <c r="J408" i="3"/>
  <c r="P380" i="11" s="1"/>
  <c r="K408" i="3"/>
  <c r="C408" i="3"/>
  <c r="E408" i="3" s="1"/>
  <c r="F408" i="3"/>
  <c r="AX380" i="11" s="1"/>
  <c r="G408" i="3"/>
  <c r="O380" i="11" s="1"/>
  <c r="AL378" i="2"/>
  <c r="O407" i="3"/>
  <c r="AF379" i="2"/>
  <c r="AZ377" i="2"/>
  <c r="BB377" i="2" s="1"/>
  <c r="BH377" i="2" s="1"/>
  <c r="BI377" i="2" s="1"/>
  <c r="AM377" i="2"/>
  <c r="L407" i="3"/>
  <c r="AE379" i="2" s="1"/>
  <c r="BA380" i="2"/>
  <c r="CV256" i="7"/>
  <c r="CX256" i="7" s="1"/>
  <c r="N254" i="19"/>
  <c r="AD257" i="2"/>
  <c r="BU258" i="7"/>
  <c r="AD258" i="11" s="1"/>
  <c r="F153" i="9"/>
  <c r="AY125" i="11" s="1"/>
  <c r="C153" i="9"/>
  <c r="E153" i="9" s="1"/>
  <c r="H153" i="9" s="1"/>
  <c r="BA125" i="11" s="1"/>
  <c r="AO261" i="2"/>
  <c r="BC261" i="2" s="1"/>
  <c r="D259" i="2"/>
  <c r="F259" i="2" s="1"/>
  <c r="L286" i="9"/>
  <c r="BK258" i="7" s="1"/>
  <c r="M286" i="9"/>
  <c r="AR259" i="7" s="1"/>
  <c r="CA259" i="7" s="1"/>
  <c r="O286" i="9"/>
  <c r="BL258" i="7"/>
  <c r="H287" i="9"/>
  <c r="BA259" i="11" s="1"/>
  <c r="C287" i="9"/>
  <c r="E287" i="9" s="1"/>
  <c r="B288" i="9"/>
  <c r="K287" i="9"/>
  <c r="G287" i="9"/>
  <c r="Q259" i="11" s="1"/>
  <c r="J287" i="9"/>
  <c r="R259" i="11" s="1"/>
  <c r="F287" i="9"/>
  <c r="AY259" i="11" s="1"/>
  <c r="I287" i="9"/>
  <c r="CS110" i="7" l="1"/>
  <c r="CU110" i="7" s="1"/>
  <c r="CY110" i="7" s="1"/>
  <c r="CZ110" i="7" s="1"/>
  <c r="CC110" i="7"/>
  <c r="CK110" i="7" s="1"/>
  <c r="BA111" i="11"/>
  <c r="J139" i="9"/>
  <c r="I139" i="9"/>
  <c r="K139" i="9"/>
  <c r="AY111" i="11"/>
  <c r="O139" i="9"/>
  <c r="BL111" i="7"/>
  <c r="G139" i="9"/>
  <c r="Q111" i="11" s="1"/>
  <c r="AT377" i="2"/>
  <c r="AW377" i="2" s="1"/>
  <c r="F377" i="11" s="1"/>
  <c r="W259" i="11"/>
  <c r="U259" i="2"/>
  <c r="AO259" i="11" s="1"/>
  <c r="AB42" i="20"/>
  <c r="AR378" i="2"/>
  <c r="AS378" i="2" s="1"/>
  <c r="AD258" i="2"/>
  <c r="G153" i="9"/>
  <c r="Q125" i="11" s="1"/>
  <c r="AP379" i="2"/>
  <c r="BD379" i="2" s="1"/>
  <c r="BF379" i="2" s="1"/>
  <c r="BG379" i="2" s="1"/>
  <c r="CB258" i="7"/>
  <c r="CF258" i="7"/>
  <c r="CH258" i="7" s="1"/>
  <c r="CI258" i="7" s="1"/>
  <c r="CN255" i="7"/>
  <c r="I255" i="11" s="1"/>
  <c r="AL379" i="2"/>
  <c r="AZ379" i="2" s="1"/>
  <c r="BB379" i="2" s="1"/>
  <c r="O408" i="3"/>
  <c r="AF380" i="2"/>
  <c r="L408" i="3"/>
  <c r="AE380" i="2" s="1"/>
  <c r="M408" i="3"/>
  <c r="V381" i="2" s="1"/>
  <c r="AK381" i="2" s="1"/>
  <c r="AZ378" i="2"/>
  <c r="BB378" i="2" s="1"/>
  <c r="BH378" i="2" s="1"/>
  <c r="BI378" i="2" s="1"/>
  <c r="AM378" i="2"/>
  <c r="B410" i="3"/>
  <c r="I409" i="3"/>
  <c r="J409" i="3"/>
  <c r="P381" i="11" s="1"/>
  <c r="K409" i="3"/>
  <c r="C409" i="3"/>
  <c r="E409" i="3" s="1"/>
  <c r="F409" i="3"/>
  <c r="AX381" i="11" s="1"/>
  <c r="G409" i="3"/>
  <c r="O381" i="11" s="1"/>
  <c r="H409" i="3"/>
  <c r="AZ381" i="11" s="1"/>
  <c r="CV258" i="7"/>
  <c r="CX258" i="7" s="1"/>
  <c r="CC257" i="7"/>
  <c r="CS257" i="7"/>
  <c r="CU257" i="7" s="1"/>
  <c r="CY257" i="7" s="1"/>
  <c r="CZ257" i="7" s="1"/>
  <c r="CC256" i="7"/>
  <c r="CS256" i="7"/>
  <c r="CU256" i="7" s="1"/>
  <c r="CY256" i="7" s="1"/>
  <c r="CZ256" i="7" s="1"/>
  <c r="BU259" i="7"/>
  <c r="AD259" i="11" s="1"/>
  <c r="I153" i="9"/>
  <c r="J153" i="9"/>
  <c r="R125" i="11" s="1"/>
  <c r="K153" i="9"/>
  <c r="BL125" i="7"/>
  <c r="O153" i="9"/>
  <c r="AO262" i="2"/>
  <c r="BC262" i="2" s="1"/>
  <c r="L287" i="9"/>
  <c r="BK259" i="7" s="1"/>
  <c r="M287" i="9"/>
  <c r="AR260" i="7" s="1"/>
  <c r="CA260" i="7" s="1"/>
  <c r="D260" i="2"/>
  <c r="F260" i="2" s="1"/>
  <c r="O287" i="9"/>
  <c r="BL259" i="7"/>
  <c r="H288" i="9"/>
  <c r="BA260" i="11" s="1"/>
  <c r="C288" i="9"/>
  <c r="E288" i="9" s="1"/>
  <c r="B289" i="9"/>
  <c r="K288" i="9"/>
  <c r="G288" i="9"/>
  <c r="Q260" i="11" s="1"/>
  <c r="J288" i="9"/>
  <c r="R260" i="11" s="1"/>
  <c r="F288" i="9"/>
  <c r="AY260" i="11" s="1"/>
  <c r="I288" i="9"/>
  <c r="L139" i="9" l="1"/>
  <c r="BK111" i="7" s="1"/>
  <c r="CB111" i="7" s="1"/>
  <c r="M139" i="9"/>
  <c r="AR112" i="7" s="1"/>
  <c r="CA112" i="7" s="1"/>
  <c r="C140" i="9"/>
  <c r="E140" i="9" s="1"/>
  <c r="F140" i="9"/>
  <c r="R111" i="11"/>
  <c r="CV111" i="7"/>
  <c r="CX111" i="7" s="1"/>
  <c r="CF111" i="7"/>
  <c r="CH111" i="7" s="1"/>
  <c r="CI111" i="7" s="1"/>
  <c r="CN110" i="7"/>
  <c r="I110" i="11" s="1"/>
  <c r="CQ110" i="7"/>
  <c r="AT378" i="2"/>
  <c r="AW378" i="2" s="1"/>
  <c r="F378" i="11" s="1"/>
  <c r="W260" i="11"/>
  <c r="U260" i="2"/>
  <c r="AO260" i="11" s="1"/>
  <c r="AD259" i="2"/>
  <c r="AR379" i="2"/>
  <c r="AS379" i="2" s="1"/>
  <c r="AP380" i="2"/>
  <c r="BD380" i="2" s="1"/>
  <c r="BF380" i="2" s="1"/>
  <c r="BG380" i="2" s="1"/>
  <c r="CF125" i="7"/>
  <c r="CH125" i="7" s="1"/>
  <c r="CI125" i="7" s="1"/>
  <c r="CF259" i="7"/>
  <c r="CH259" i="7" s="1"/>
  <c r="CI259" i="7" s="1"/>
  <c r="CB259" i="7"/>
  <c r="AM379" i="2"/>
  <c r="CK257" i="7"/>
  <c r="CN257" i="7" s="1"/>
  <c r="I257" i="11" s="1"/>
  <c r="CK256" i="7"/>
  <c r="CQ256" i="7" s="1"/>
  <c r="AL380" i="2"/>
  <c r="AZ380" i="2" s="1"/>
  <c r="BB380" i="2" s="1"/>
  <c r="L409" i="3"/>
  <c r="AE381" i="2" s="1"/>
  <c r="M409" i="3"/>
  <c r="V382" i="2" s="1"/>
  <c r="AK382" i="2" s="1"/>
  <c r="BH379" i="2"/>
  <c r="BI379" i="2" s="1"/>
  <c r="B411" i="3"/>
  <c r="J410" i="3"/>
  <c r="P382" i="11" s="1"/>
  <c r="K410" i="3"/>
  <c r="C410" i="3"/>
  <c r="E410" i="3" s="1"/>
  <c r="F410" i="3"/>
  <c r="AX382" i="11" s="1"/>
  <c r="G410" i="3"/>
  <c r="O382" i="11" s="1"/>
  <c r="H410" i="3"/>
  <c r="AZ382" i="11" s="1"/>
  <c r="I410" i="3"/>
  <c r="BA381" i="2"/>
  <c r="O409" i="3"/>
  <c r="AF381" i="2"/>
  <c r="CV259" i="7"/>
  <c r="CX259" i="7" s="1"/>
  <c r="CC258" i="7"/>
  <c r="CS258" i="7"/>
  <c r="CU258" i="7" s="1"/>
  <c r="CY258" i="7" s="1"/>
  <c r="CZ258" i="7" s="1"/>
  <c r="CV125" i="7"/>
  <c r="CX125" i="7" s="1"/>
  <c r="BU260" i="7"/>
  <c r="AD260" i="11" s="1"/>
  <c r="L153" i="9"/>
  <c r="BK125" i="7" s="1"/>
  <c r="M153" i="9"/>
  <c r="AR126" i="7" s="1"/>
  <c r="CA126" i="7" s="1"/>
  <c r="F154" i="9"/>
  <c r="AY126" i="11" s="1"/>
  <c r="G154" i="9"/>
  <c r="Q126" i="11" s="1"/>
  <c r="C154" i="9"/>
  <c r="E154" i="9" s="1"/>
  <c r="H154" i="9" s="1"/>
  <c r="BA126" i="11" s="1"/>
  <c r="AO263" i="2"/>
  <c r="BC263" i="2" s="1"/>
  <c r="O288" i="9"/>
  <c r="BL260" i="7"/>
  <c r="H289" i="9"/>
  <c r="BA261" i="11" s="1"/>
  <c r="C289" i="9"/>
  <c r="E289" i="9" s="1"/>
  <c r="B290" i="9"/>
  <c r="K289" i="9"/>
  <c r="G289" i="9"/>
  <c r="Q261" i="11" s="1"/>
  <c r="J289" i="9"/>
  <c r="R261" i="11" s="1"/>
  <c r="F289" i="9"/>
  <c r="AY261" i="11" s="1"/>
  <c r="I289" i="9"/>
  <c r="D261" i="2"/>
  <c r="F261" i="2" s="1"/>
  <c r="L288" i="9"/>
  <c r="BK260" i="7" s="1"/>
  <c r="M288" i="9"/>
  <c r="AR261" i="7" s="1"/>
  <c r="CA261" i="7" s="1"/>
  <c r="AY112" i="11" l="1"/>
  <c r="CH112" i="11" s="1"/>
  <c r="P56" i="20" s="1"/>
  <c r="O140" i="9"/>
  <c r="G140" i="9"/>
  <c r="Q112" i="11" s="1"/>
  <c r="BL112" i="7"/>
  <c r="H140" i="9"/>
  <c r="CC111" i="7"/>
  <c r="CK111" i="7" s="1"/>
  <c r="CN111" i="7" s="1"/>
  <c r="I111" i="11" s="1"/>
  <c r="CS111" i="7"/>
  <c r="CU111" i="7" s="1"/>
  <c r="CY111" i="7" s="1"/>
  <c r="CZ111" i="7" s="1"/>
  <c r="W261" i="11"/>
  <c r="U261" i="2"/>
  <c r="AO261" i="11" s="1"/>
  <c r="AR380" i="2"/>
  <c r="AS380" i="2" s="1"/>
  <c r="AT379" i="2"/>
  <c r="AW379" i="2" s="1"/>
  <c r="F379" i="11" s="1"/>
  <c r="AD260" i="2"/>
  <c r="AP381" i="2"/>
  <c r="BD381" i="2" s="1"/>
  <c r="BF381" i="2" s="1"/>
  <c r="BG381" i="2" s="1"/>
  <c r="CB125" i="7"/>
  <c r="CS125" i="7" s="1"/>
  <c r="CU125" i="7" s="1"/>
  <c r="CY125" i="7" s="1"/>
  <c r="CZ125" i="7" s="1"/>
  <c r="CQ257" i="7"/>
  <c r="CF260" i="7"/>
  <c r="CH260" i="7" s="1"/>
  <c r="CI260" i="7" s="1"/>
  <c r="CB260" i="7"/>
  <c r="AM380" i="2"/>
  <c r="CK258" i="7"/>
  <c r="CQ258" i="7" s="1"/>
  <c r="CN256" i="7"/>
  <c r="I256" i="11" s="1"/>
  <c r="AL381" i="2"/>
  <c r="AZ381" i="2" s="1"/>
  <c r="BB381" i="2" s="1"/>
  <c r="M410" i="3"/>
  <c r="V383" i="2" s="1"/>
  <c r="AK383" i="2" s="1"/>
  <c r="L410" i="3"/>
  <c r="AE382" i="2" s="1"/>
  <c r="B412" i="3"/>
  <c r="J411" i="3"/>
  <c r="P383" i="11" s="1"/>
  <c r="K411" i="3"/>
  <c r="M411" i="3" s="1"/>
  <c r="V384" i="2" s="1"/>
  <c r="AK384" i="2" s="1"/>
  <c r="C411" i="3"/>
  <c r="E411" i="3" s="1"/>
  <c r="F411" i="3"/>
  <c r="AX383" i="11" s="1"/>
  <c r="G411" i="3"/>
  <c r="O383" i="11" s="1"/>
  <c r="H411" i="3"/>
  <c r="AZ383" i="11" s="1"/>
  <c r="I411" i="3"/>
  <c r="BH380" i="2"/>
  <c r="BI380" i="2" s="1"/>
  <c r="BA382" i="2"/>
  <c r="O410" i="3"/>
  <c r="AF382" i="2"/>
  <c r="CV260" i="7"/>
  <c r="CX260" i="7" s="1"/>
  <c r="CC259" i="7"/>
  <c r="CS259" i="7"/>
  <c r="CU259" i="7" s="1"/>
  <c r="CY259" i="7" s="1"/>
  <c r="CZ259" i="7" s="1"/>
  <c r="BU261" i="7"/>
  <c r="AD261" i="11" s="1"/>
  <c r="K154" i="9"/>
  <c r="I154" i="9"/>
  <c r="J154" i="9"/>
  <c r="R126" i="11" s="1"/>
  <c r="O154" i="9"/>
  <c r="BL126" i="7"/>
  <c r="AO264" i="2"/>
  <c r="BC264" i="2" s="1"/>
  <c r="D262" i="2"/>
  <c r="F262" i="2" s="1"/>
  <c r="L289" i="9"/>
  <c r="BK261" i="7" s="1"/>
  <c r="M289" i="9"/>
  <c r="AR262" i="7" s="1"/>
  <c r="CA262" i="7" s="1"/>
  <c r="O289" i="9"/>
  <c r="BL261" i="7"/>
  <c r="H290" i="9"/>
  <c r="BA262" i="11" s="1"/>
  <c r="C290" i="9"/>
  <c r="E290" i="9" s="1"/>
  <c r="B291" i="9"/>
  <c r="K290" i="9"/>
  <c r="G290" i="9"/>
  <c r="Q262" i="11" s="1"/>
  <c r="J290" i="9"/>
  <c r="R262" i="11" s="1"/>
  <c r="F290" i="9"/>
  <c r="AY262" i="11" s="1"/>
  <c r="I290" i="9"/>
  <c r="BA112" i="11" l="1"/>
  <c r="CJ112" i="11" s="1"/>
  <c r="P76" i="20" s="1"/>
  <c r="J140" i="9"/>
  <c r="I140" i="9"/>
  <c r="K140" i="9"/>
  <c r="CF112" i="7"/>
  <c r="CH112" i="7" s="1"/>
  <c r="CI112" i="7" s="1"/>
  <c r="CV112" i="7"/>
  <c r="CX112" i="7" s="1"/>
  <c r="CQ111" i="7"/>
  <c r="W262" i="11"/>
  <c r="U262" i="2"/>
  <c r="AO262" i="11" s="1"/>
  <c r="AT380" i="2"/>
  <c r="AW380" i="2" s="1"/>
  <c r="F380" i="11" s="1"/>
  <c r="AD261" i="2"/>
  <c r="AR381" i="2"/>
  <c r="AS381" i="2" s="1"/>
  <c r="AP382" i="2"/>
  <c r="BD382" i="2" s="1"/>
  <c r="BF382" i="2" s="1"/>
  <c r="BG382" i="2" s="1"/>
  <c r="CF126" i="7"/>
  <c r="CH126" i="7" s="1"/>
  <c r="CI126" i="7" s="1"/>
  <c r="CN258" i="7"/>
  <c r="I258" i="11" s="1"/>
  <c r="AM381" i="2"/>
  <c r="CB261" i="7"/>
  <c r="CF261" i="7"/>
  <c r="CH261" i="7" s="1"/>
  <c r="CI261" i="7" s="1"/>
  <c r="CK259" i="7"/>
  <c r="CQ259" i="7" s="1"/>
  <c r="BH381" i="2"/>
  <c r="BI381" i="2" s="1"/>
  <c r="AL382" i="2"/>
  <c r="AZ382" i="2" s="1"/>
  <c r="BB382" i="2" s="1"/>
  <c r="L411" i="3"/>
  <c r="AE383" i="2" s="1"/>
  <c r="BA384" i="2"/>
  <c r="B413" i="3"/>
  <c r="K412" i="3"/>
  <c r="M412" i="3" s="1"/>
  <c r="V385" i="2" s="1"/>
  <c r="AK385" i="2" s="1"/>
  <c r="C412" i="3"/>
  <c r="E412" i="3" s="1"/>
  <c r="F412" i="3"/>
  <c r="AX384" i="11" s="1"/>
  <c r="G412" i="3"/>
  <c r="O384" i="11" s="1"/>
  <c r="H412" i="3"/>
  <c r="AZ384" i="11" s="1"/>
  <c r="I412" i="3"/>
  <c r="J412" i="3"/>
  <c r="P384" i="11" s="1"/>
  <c r="BA383" i="2"/>
  <c r="O411" i="3"/>
  <c r="AF383" i="2"/>
  <c r="CV261" i="7"/>
  <c r="CX261" i="7" s="1"/>
  <c r="CV126" i="7"/>
  <c r="CX126" i="7" s="1"/>
  <c r="CC260" i="7"/>
  <c r="CS260" i="7"/>
  <c r="CU260" i="7" s="1"/>
  <c r="CY260" i="7" s="1"/>
  <c r="CZ260" i="7" s="1"/>
  <c r="BU262" i="7"/>
  <c r="AD262" i="11" s="1"/>
  <c r="G155" i="9"/>
  <c r="Q127" i="11" s="1"/>
  <c r="F155" i="9"/>
  <c r="AY127" i="11" s="1"/>
  <c r="C155" i="9"/>
  <c r="E155" i="9" s="1"/>
  <c r="H155" i="9" s="1"/>
  <c r="BA127" i="11" s="1"/>
  <c r="L154" i="9"/>
  <c r="BK126" i="7" s="1"/>
  <c r="CB126" i="7" s="1"/>
  <c r="M154" i="9"/>
  <c r="AR127" i="7" s="1"/>
  <c r="CA127" i="7" s="1"/>
  <c r="AO265" i="2"/>
  <c r="BC265" i="2" s="1"/>
  <c r="L290" i="9"/>
  <c r="BK262" i="7" s="1"/>
  <c r="M290" i="9"/>
  <c r="AR263" i="7" s="1"/>
  <c r="CA263" i="7" s="1"/>
  <c r="O290" i="9"/>
  <c r="BL262" i="7"/>
  <c r="H291" i="9"/>
  <c r="BA263" i="11" s="1"/>
  <c r="C291" i="9"/>
  <c r="E291" i="9" s="1"/>
  <c r="B292" i="9"/>
  <c r="K291" i="9"/>
  <c r="G291" i="9"/>
  <c r="Q263" i="11" s="1"/>
  <c r="J291" i="9"/>
  <c r="R263" i="11" s="1"/>
  <c r="F291" i="9"/>
  <c r="AY263" i="11" s="1"/>
  <c r="I291" i="9"/>
  <c r="D263" i="2"/>
  <c r="F263" i="2" s="1"/>
  <c r="M140" i="9" l="1"/>
  <c r="AR113" i="7" s="1"/>
  <c r="CA113" i="7" s="1"/>
  <c r="L140" i="9"/>
  <c r="BK112" i="7" s="1"/>
  <c r="CB112" i="7" s="1"/>
  <c r="C141" i="9"/>
  <c r="E141" i="9" s="1"/>
  <c r="H141" i="9" s="1"/>
  <c r="F141" i="9"/>
  <c r="G141" i="9" s="1"/>
  <c r="Q113" i="11" s="1"/>
  <c r="R112" i="11"/>
  <c r="AT381" i="2"/>
  <c r="AW381" i="2" s="1"/>
  <c r="F381" i="11" s="1"/>
  <c r="W263" i="11"/>
  <c r="U263" i="2"/>
  <c r="AO263" i="11" s="1"/>
  <c r="AD262" i="2"/>
  <c r="AR382" i="2"/>
  <c r="AS382" i="2" s="1"/>
  <c r="AP383" i="2"/>
  <c r="BD383" i="2" s="1"/>
  <c r="BF383" i="2" s="1"/>
  <c r="BG383" i="2" s="1"/>
  <c r="L412" i="3"/>
  <c r="AE384" i="2" s="1"/>
  <c r="CN259" i="7"/>
  <c r="I259" i="11" s="1"/>
  <c r="BH382" i="2"/>
  <c r="BI382" i="2" s="1"/>
  <c r="CB262" i="7"/>
  <c r="CF262" i="7"/>
  <c r="CH262" i="7" s="1"/>
  <c r="CI262" i="7" s="1"/>
  <c r="AM382" i="2"/>
  <c r="CK260" i="7"/>
  <c r="CQ260" i="7" s="1"/>
  <c r="AL383" i="2"/>
  <c r="AZ383" i="2" s="1"/>
  <c r="BB383" i="2" s="1"/>
  <c r="O412" i="3"/>
  <c r="AF384" i="2"/>
  <c r="BA385" i="2"/>
  <c r="B414" i="3"/>
  <c r="K413" i="3"/>
  <c r="C413" i="3"/>
  <c r="E413" i="3" s="1"/>
  <c r="F413" i="3"/>
  <c r="AX385" i="11" s="1"/>
  <c r="G413" i="3"/>
  <c r="O385" i="11" s="1"/>
  <c r="H413" i="3"/>
  <c r="AZ385" i="11" s="1"/>
  <c r="I413" i="3"/>
  <c r="J413" i="3"/>
  <c r="P385" i="11" s="1"/>
  <c r="CV262" i="7"/>
  <c r="CX262" i="7" s="1"/>
  <c r="CC126" i="7"/>
  <c r="CS126" i="7"/>
  <c r="CU126" i="7" s="1"/>
  <c r="CY126" i="7" s="1"/>
  <c r="CZ126" i="7" s="1"/>
  <c r="CC261" i="7"/>
  <c r="CS261" i="7"/>
  <c r="CU261" i="7" s="1"/>
  <c r="CY261" i="7" s="1"/>
  <c r="CZ261" i="7" s="1"/>
  <c r="BU263" i="7"/>
  <c r="AD263" i="11" s="1"/>
  <c r="I155" i="9"/>
  <c r="K155" i="9"/>
  <c r="J155" i="9"/>
  <c r="R127" i="11" s="1"/>
  <c r="O155" i="9"/>
  <c r="BL127" i="7"/>
  <c r="AO266" i="2"/>
  <c r="BC266" i="2" s="1"/>
  <c r="L291" i="9"/>
  <c r="BK263" i="7" s="1"/>
  <c r="M291" i="9"/>
  <c r="AR264" i="7" s="1"/>
  <c r="CA264" i="7" s="1"/>
  <c r="O291" i="9"/>
  <c r="BL263" i="7"/>
  <c r="H292" i="9"/>
  <c r="BA264" i="11" s="1"/>
  <c r="C292" i="9"/>
  <c r="E292" i="9" s="1"/>
  <c r="B293" i="9"/>
  <c r="K292" i="9"/>
  <c r="G292" i="9"/>
  <c r="Q264" i="11" s="1"/>
  <c r="J292" i="9"/>
  <c r="R264" i="11" s="1"/>
  <c r="F292" i="9"/>
  <c r="AY264" i="11" s="1"/>
  <c r="I292" i="9"/>
  <c r="D264" i="2"/>
  <c r="F264" i="2" s="1"/>
  <c r="BA113" i="11" l="1"/>
  <c r="I141" i="9"/>
  <c r="J141" i="9"/>
  <c r="K141" i="9"/>
  <c r="AY113" i="11"/>
  <c r="BL113" i="7"/>
  <c r="O141" i="9"/>
  <c r="CS112" i="7"/>
  <c r="CU112" i="7" s="1"/>
  <c r="CY112" i="7" s="1"/>
  <c r="CZ112" i="7" s="1"/>
  <c r="CC112" i="7"/>
  <c r="CK112" i="7" s="1"/>
  <c r="W264" i="11"/>
  <c r="U264" i="2"/>
  <c r="AO264" i="11" s="1"/>
  <c r="AR383" i="2"/>
  <c r="AS383" i="2" s="1"/>
  <c r="AT382" i="2"/>
  <c r="AW382" i="2" s="1"/>
  <c r="F382" i="11" s="1"/>
  <c r="AD263" i="2"/>
  <c r="AL384" i="2"/>
  <c r="AZ384" i="2" s="1"/>
  <c r="BB384" i="2" s="1"/>
  <c r="AP384" i="2"/>
  <c r="BD384" i="2" s="1"/>
  <c r="BF384" i="2" s="1"/>
  <c r="BG384" i="2" s="1"/>
  <c r="CF127" i="7"/>
  <c r="CH127" i="7" s="1"/>
  <c r="CI127" i="7" s="1"/>
  <c r="BH383" i="2"/>
  <c r="BI383" i="2" s="1"/>
  <c r="CB263" i="7"/>
  <c r="CF263" i="7"/>
  <c r="CH263" i="7" s="1"/>
  <c r="CI263" i="7" s="1"/>
  <c r="CN260" i="7"/>
  <c r="I260" i="11" s="1"/>
  <c r="AM383" i="2"/>
  <c r="CK126" i="7"/>
  <c r="CN126" i="7" s="1"/>
  <c r="I126" i="11" s="1"/>
  <c r="CK261" i="7"/>
  <c r="CQ261" i="7" s="1"/>
  <c r="B415" i="3"/>
  <c r="C414" i="3"/>
  <c r="E414" i="3" s="1"/>
  <c r="F414" i="3"/>
  <c r="AX386" i="11" s="1"/>
  <c r="G414" i="3"/>
  <c r="O386" i="11" s="1"/>
  <c r="H414" i="3"/>
  <c r="AZ386" i="11" s="1"/>
  <c r="I414" i="3"/>
  <c r="J414" i="3"/>
  <c r="P386" i="11" s="1"/>
  <c r="K414" i="3"/>
  <c r="O413" i="3"/>
  <c r="AF385" i="2"/>
  <c r="M413" i="3"/>
  <c r="V386" i="2" s="1"/>
  <c r="AK386" i="2" s="1"/>
  <c r="L413" i="3"/>
  <c r="AE385" i="2" s="1"/>
  <c r="CV263" i="7"/>
  <c r="CX263" i="7" s="1"/>
  <c r="CV127" i="7"/>
  <c r="CX127" i="7" s="1"/>
  <c r="CC262" i="7"/>
  <c r="CS262" i="7"/>
  <c r="CU262" i="7" s="1"/>
  <c r="CY262" i="7" s="1"/>
  <c r="CZ262" i="7" s="1"/>
  <c r="BU264" i="7"/>
  <c r="AD264" i="11" s="1"/>
  <c r="G156" i="9"/>
  <c r="Q128" i="11" s="1"/>
  <c r="F156" i="9"/>
  <c r="AY128" i="11" s="1"/>
  <c r="C156" i="9"/>
  <c r="E156" i="9" s="1"/>
  <c r="H156" i="9" s="1"/>
  <c r="BA128" i="11" s="1"/>
  <c r="M155" i="9"/>
  <c r="AR128" i="7" s="1"/>
  <c r="CA128" i="7" s="1"/>
  <c r="L155" i="9"/>
  <c r="BK127" i="7" s="1"/>
  <c r="CB127" i="7" s="1"/>
  <c r="AO267" i="2"/>
  <c r="BC267" i="2" s="1"/>
  <c r="O292" i="9"/>
  <c r="BL264" i="7"/>
  <c r="H293" i="9"/>
  <c r="BA265" i="11" s="1"/>
  <c r="C293" i="9"/>
  <c r="E293" i="9" s="1"/>
  <c r="B294" i="9"/>
  <c r="K293" i="9"/>
  <c r="G293" i="9"/>
  <c r="Q265" i="11" s="1"/>
  <c r="J293" i="9"/>
  <c r="R265" i="11" s="1"/>
  <c r="F293" i="9"/>
  <c r="AY265" i="11" s="1"/>
  <c r="I293" i="9"/>
  <c r="D265" i="2"/>
  <c r="F265" i="2" s="1"/>
  <c r="L292" i="9"/>
  <c r="BK264" i="7" s="1"/>
  <c r="M292" i="9"/>
  <c r="AR265" i="7" s="1"/>
  <c r="CA265" i="7" s="1"/>
  <c r="CQ112" i="7" l="1"/>
  <c r="CN112" i="7"/>
  <c r="I112" i="11" s="1"/>
  <c r="CF113" i="7"/>
  <c r="CH113" i="7" s="1"/>
  <c r="CI113" i="7" s="1"/>
  <c r="CV113" i="7"/>
  <c r="CX113" i="7" s="1"/>
  <c r="M141" i="9"/>
  <c r="AR114" i="7" s="1"/>
  <c r="CA114" i="7" s="1"/>
  <c r="L141" i="9"/>
  <c r="BK113" i="7" s="1"/>
  <c r="CB113" i="7" s="1"/>
  <c r="R113" i="11"/>
  <c r="F142" i="9"/>
  <c r="G142" i="9"/>
  <c r="Q114" i="11" s="1"/>
  <c r="C142" i="9"/>
  <c r="E142" i="9" s="1"/>
  <c r="H142" i="9" s="1"/>
  <c r="AT383" i="2"/>
  <c r="AW383" i="2" s="1"/>
  <c r="F383" i="11" s="1"/>
  <c r="W265" i="11"/>
  <c r="U265" i="2"/>
  <c r="AO265" i="11" s="1"/>
  <c r="AM384" i="2"/>
  <c r="AD264" i="2"/>
  <c r="AR384" i="2"/>
  <c r="AS384" i="2" s="1"/>
  <c r="AP385" i="2"/>
  <c r="BD385" i="2" s="1"/>
  <c r="BF385" i="2" s="1"/>
  <c r="BG385" i="2" s="1"/>
  <c r="CF264" i="7"/>
  <c r="CH264" i="7" s="1"/>
  <c r="CI264" i="7" s="1"/>
  <c r="CB264" i="7"/>
  <c r="BH384" i="2"/>
  <c r="BI384" i="2" s="1"/>
  <c r="CK262" i="7"/>
  <c r="CQ262" i="7" s="1"/>
  <c r="CN261" i="7"/>
  <c r="I261" i="11" s="1"/>
  <c r="CQ126" i="7"/>
  <c r="BA386" i="2"/>
  <c r="M414" i="3"/>
  <c r="V387" i="2" s="1"/>
  <c r="AK387" i="2" s="1"/>
  <c r="L414" i="3"/>
  <c r="AE386" i="2" s="1"/>
  <c r="O414" i="3"/>
  <c r="AF386" i="2"/>
  <c r="AL385" i="2"/>
  <c r="B416" i="3"/>
  <c r="C415" i="3"/>
  <c r="E415" i="3" s="1"/>
  <c r="F415" i="3"/>
  <c r="AX387" i="11" s="1"/>
  <c r="G415" i="3"/>
  <c r="O387" i="11" s="1"/>
  <c r="H415" i="3"/>
  <c r="AZ387" i="11" s="1"/>
  <c r="I415" i="3"/>
  <c r="J415" i="3"/>
  <c r="P387" i="11" s="1"/>
  <c r="K415" i="3"/>
  <c r="CV264" i="7"/>
  <c r="CX264" i="7" s="1"/>
  <c r="CC127" i="7"/>
  <c r="CS127" i="7"/>
  <c r="CU127" i="7" s="1"/>
  <c r="CY127" i="7" s="1"/>
  <c r="CZ127" i="7" s="1"/>
  <c r="CC263" i="7"/>
  <c r="CS263" i="7"/>
  <c r="CU263" i="7" s="1"/>
  <c r="CY263" i="7" s="1"/>
  <c r="CZ263" i="7" s="1"/>
  <c r="BU265" i="7"/>
  <c r="AD265" i="11" s="1"/>
  <c r="J156" i="9"/>
  <c r="R128" i="11" s="1"/>
  <c r="I156" i="9"/>
  <c r="K156" i="9"/>
  <c r="O156" i="9"/>
  <c r="BL128" i="7"/>
  <c r="AO268" i="2"/>
  <c r="BC268" i="2" s="1"/>
  <c r="O293" i="9"/>
  <c r="BL265" i="7"/>
  <c r="H294" i="9"/>
  <c r="BA266" i="11" s="1"/>
  <c r="C294" i="9"/>
  <c r="E294" i="9" s="1"/>
  <c r="B295" i="9"/>
  <c r="K294" i="9"/>
  <c r="G294" i="9"/>
  <c r="Q266" i="11" s="1"/>
  <c r="J294" i="9"/>
  <c r="R266" i="11" s="1"/>
  <c r="F294" i="9"/>
  <c r="AY266" i="11" s="1"/>
  <c r="I294" i="9"/>
  <c r="D266" i="2"/>
  <c r="F266" i="2" s="1"/>
  <c r="L293" i="9"/>
  <c r="BK265" i="7" s="1"/>
  <c r="M293" i="9"/>
  <c r="AR266" i="7" s="1"/>
  <c r="CA266" i="7" s="1"/>
  <c r="AY114" i="11" l="1"/>
  <c r="BL114" i="7"/>
  <c r="O142" i="9"/>
  <c r="CC113" i="7"/>
  <c r="CK113" i="7" s="1"/>
  <c r="CS113" i="7"/>
  <c r="CU113" i="7" s="1"/>
  <c r="CY113" i="7" s="1"/>
  <c r="CZ113" i="7" s="1"/>
  <c r="BA114" i="11"/>
  <c r="I142" i="9"/>
  <c r="J142" i="9"/>
  <c r="K142" i="9"/>
  <c r="W266" i="11"/>
  <c r="U266" i="2"/>
  <c r="AO266" i="11" s="1"/>
  <c r="AT384" i="2"/>
  <c r="AW384" i="2" s="1"/>
  <c r="F384" i="11" s="1"/>
  <c r="AR385" i="2"/>
  <c r="AS385" i="2" s="1"/>
  <c r="AD265" i="2"/>
  <c r="AP386" i="2"/>
  <c r="BD386" i="2" s="1"/>
  <c r="BF386" i="2" s="1"/>
  <c r="BG386" i="2" s="1"/>
  <c r="CF128" i="7"/>
  <c r="CH128" i="7" s="1"/>
  <c r="CI128" i="7" s="1"/>
  <c r="CF265" i="7"/>
  <c r="CH265" i="7" s="1"/>
  <c r="CI265" i="7" s="1"/>
  <c r="CB265" i="7"/>
  <c r="CN262" i="7"/>
  <c r="I262" i="11" s="1"/>
  <c r="CK127" i="7"/>
  <c r="CQ127" i="7" s="1"/>
  <c r="CK263" i="7"/>
  <c r="CQ263" i="7" s="1"/>
  <c r="AL386" i="2"/>
  <c r="AZ386" i="2" s="1"/>
  <c r="BB386" i="2" s="1"/>
  <c r="O415" i="3"/>
  <c r="AF387" i="2"/>
  <c r="B417" i="3"/>
  <c r="C416" i="3"/>
  <c r="E416" i="3" s="1"/>
  <c r="F416" i="3"/>
  <c r="AX388" i="11" s="1"/>
  <c r="G416" i="3"/>
  <c r="O388" i="11" s="1"/>
  <c r="H416" i="3"/>
  <c r="AZ388" i="11" s="1"/>
  <c r="I416" i="3"/>
  <c r="J416" i="3"/>
  <c r="P388" i="11" s="1"/>
  <c r="K416" i="3"/>
  <c r="L415" i="3"/>
  <c r="AE387" i="2" s="1"/>
  <c r="M415" i="3"/>
  <c r="V388" i="2" s="1"/>
  <c r="AK388" i="2" s="1"/>
  <c r="AZ385" i="2"/>
  <c r="BB385" i="2" s="1"/>
  <c r="BH385" i="2" s="1"/>
  <c r="BI385" i="2" s="1"/>
  <c r="AM385" i="2"/>
  <c r="BA387" i="2"/>
  <c r="CV265" i="7"/>
  <c r="CX265" i="7" s="1"/>
  <c r="CV128" i="7"/>
  <c r="CX128" i="7" s="1"/>
  <c r="CC264" i="7"/>
  <c r="CS264" i="7"/>
  <c r="CU264" i="7" s="1"/>
  <c r="CY264" i="7" s="1"/>
  <c r="CZ264" i="7" s="1"/>
  <c r="BU266" i="7"/>
  <c r="AD266" i="11" s="1"/>
  <c r="M156" i="9"/>
  <c r="AR129" i="7" s="1"/>
  <c r="CA129" i="7" s="1"/>
  <c r="L156" i="9"/>
  <c r="BK128" i="7" s="1"/>
  <c r="CB128" i="7" s="1"/>
  <c r="F157" i="9"/>
  <c r="AY129" i="11" s="1"/>
  <c r="G157" i="9"/>
  <c r="Q129" i="11" s="1"/>
  <c r="C157" i="9"/>
  <c r="E157" i="9" s="1"/>
  <c r="H157" i="9" s="1"/>
  <c r="BA129" i="11" s="1"/>
  <c r="AO269" i="2"/>
  <c r="BC269" i="2" s="1"/>
  <c r="O294" i="9"/>
  <c r="BL266" i="7"/>
  <c r="D267" i="2"/>
  <c r="F267" i="2" s="1"/>
  <c r="L294" i="9"/>
  <c r="BK266" i="7" s="1"/>
  <c r="M294" i="9"/>
  <c r="AR267" i="7" s="1"/>
  <c r="CA267" i="7" s="1"/>
  <c r="H295" i="9"/>
  <c r="BA267" i="11" s="1"/>
  <c r="C295" i="9"/>
  <c r="E295" i="9" s="1"/>
  <c r="B296" i="9"/>
  <c r="K295" i="9"/>
  <c r="G295" i="9"/>
  <c r="Q267" i="11" s="1"/>
  <c r="J295" i="9"/>
  <c r="R267" i="11" s="1"/>
  <c r="F295" i="9"/>
  <c r="AY267" i="11" s="1"/>
  <c r="I295" i="9"/>
  <c r="M142" i="9" l="1"/>
  <c r="AR115" i="7" s="1"/>
  <c r="CA115" i="7" s="1"/>
  <c r="L142" i="9"/>
  <c r="BK114" i="7" s="1"/>
  <c r="CB114" i="7" s="1"/>
  <c r="C143" i="9"/>
  <c r="E143" i="9" s="1"/>
  <c r="F143" i="9"/>
  <c r="R114" i="11"/>
  <c r="H143" i="9"/>
  <c r="BA115" i="11" s="1"/>
  <c r="G143" i="9"/>
  <c r="Q115" i="11" s="1"/>
  <c r="CN113" i="7"/>
  <c r="I113" i="11" s="1"/>
  <c r="CQ113" i="7"/>
  <c r="CV114" i="7"/>
  <c r="CX114" i="7" s="1"/>
  <c r="CF114" i="7"/>
  <c r="CH114" i="7" s="1"/>
  <c r="CI114" i="7" s="1"/>
  <c r="AT385" i="2"/>
  <c r="AW385" i="2" s="1"/>
  <c r="F385" i="11" s="1"/>
  <c r="W267" i="11"/>
  <c r="U267" i="2"/>
  <c r="AO267" i="11" s="1"/>
  <c r="CG388" i="11"/>
  <c r="AM55" i="20" s="1"/>
  <c r="AR386" i="2"/>
  <c r="AS386" i="2" s="1"/>
  <c r="AD266" i="2"/>
  <c r="I143" i="9"/>
  <c r="J143" i="9"/>
  <c r="F144" i="9" s="1"/>
  <c r="AY116" i="11" s="1"/>
  <c r="AP387" i="2"/>
  <c r="BD387" i="2" s="1"/>
  <c r="BF387" i="2" s="1"/>
  <c r="BG387" i="2" s="1"/>
  <c r="CI388" i="11"/>
  <c r="AM75" i="20" s="1"/>
  <c r="BH386" i="2"/>
  <c r="BI386" i="2" s="1"/>
  <c r="CN263" i="7"/>
  <c r="I263" i="11" s="1"/>
  <c r="CB266" i="7"/>
  <c r="CF266" i="7"/>
  <c r="CH266" i="7" s="1"/>
  <c r="CI266" i="7" s="1"/>
  <c r="CN127" i="7"/>
  <c r="I127" i="11" s="1"/>
  <c r="AM386" i="2"/>
  <c r="CK264" i="7"/>
  <c r="CN264" i="7" s="1"/>
  <c r="I264" i="11" s="1"/>
  <c r="O416" i="3"/>
  <c r="AF388" i="2"/>
  <c r="BA388" i="2"/>
  <c r="B418" i="3"/>
  <c r="F417" i="3"/>
  <c r="AX389" i="11" s="1"/>
  <c r="G417" i="3"/>
  <c r="O389" i="11" s="1"/>
  <c r="H417" i="3"/>
  <c r="AZ389" i="11" s="1"/>
  <c r="I417" i="3"/>
  <c r="J417" i="3"/>
  <c r="P389" i="11" s="1"/>
  <c r="K417" i="3"/>
  <c r="C417" i="3"/>
  <c r="E417" i="3" s="1"/>
  <c r="L416" i="3"/>
  <c r="AE388" i="2" s="1"/>
  <c r="M416" i="3"/>
  <c r="V389" i="2" s="1"/>
  <c r="AK389" i="2" s="1"/>
  <c r="CV266" i="7"/>
  <c r="CX266" i="7" s="1"/>
  <c r="AL387" i="2"/>
  <c r="CC128" i="7"/>
  <c r="CS128" i="7"/>
  <c r="CU128" i="7" s="1"/>
  <c r="CY128" i="7" s="1"/>
  <c r="CZ128" i="7" s="1"/>
  <c r="CC265" i="7"/>
  <c r="CK265" i="7" s="1"/>
  <c r="CQ265" i="7" s="1"/>
  <c r="CS265" i="7"/>
  <c r="CU265" i="7" s="1"/>
  <c r="CY265" i="7" s="1"/>
  <c r="CZ265" i="7" s="1"/>
  <c r="BU267" i="7"/>
  <c r="AD267" i="11" s="1"/>
  <c r="I157" i="9"/>
  <c r="K157" i="9"/>
  <c r="J157" i="9"/>
  <c r="R129" i="11" s="1"/>
  <c r="O157" i="9"/>
  <c r="BL129" i="7"/>
  <c r="AO270" i="2"/>
  <c r="BC270" i="2" s="1"/>
  <c r="L295" i="9"/>
  <c r="BK267" i="7" s="1"/>
  <c r="M295" i="9"/>
  <c r="AR268" i="7" s="1"/>
  <c r="CA268" i="7" s="1"/>
  <c r="O295" i="9"/>
  <c r="BL267" i="7"/>
  <c r="H296" i="9"/>
  <c r="BA268" i="11" s="1"/>
  <c r="C296" i="9"/>
  <c r="E296" i="9" s="1"/>
  <c r="B297" i="9"/>
  <c r="K296" i="9"/>
  <c r="G296" i="9"/>
  <c r="Q268" i="11" s="1"/>
  <c r="J296" i="9"/>
  <c r="R268" i="11" s="1"/>
  <c r="F296" i="9"/>
  <c r="AY268" i="11" s="1"/>
  <c r="I296" i="9"/>
  <c r="D268" i="2"/>
  <c r="AY115" i="11" l="1"/>
  <c r="BL115" i="7"/>
  <c r="O143" i="9"/>
  <c r="K143" i="9"/>
  <c r="L143" i="9" s="1"/>
  <c r="BK115" i="7" s="1"/>
  <c r="CS114" i="7"/>
  <c r="CU114" i="7" s="1"/>
  <c r="CY114" i="7" s="1"/>
  <c r="CZ114" i="7" s="1"/>
  <c r="CC114" i="7"/>
  <c r="CK114" i="7" s="1"/>
  <c r="AT386" i="2"/>
  <c r="AW386" i="2" s="1"/>
  <c r="F386" i="11" s="1"/>
  <c r="CJ268" i="11"/>
  <c r="AC76" i="20" s="1"/>
  <c r="CH268" i="11"/>
  <c r="AC56" i="20" s="1"/>
  <c r="C144" i="9"/>
  <c r="E144" i="9" s="1"/>
  <c r="H144" i="9" s="1"/>
  <c r="BA116" i="11" s="1"/>
  <c r="R115" i="11"/>
  <c r="AD267" i="2"/>
  <c r="AL388" i="2"/>
  <c r="AZ388" i="2" s="1"/>
  <c r="BB388" i="2" s="1"/>
  <c r="AR387" i="2"/>
  <c r="AS387" i="2" s="1"/>
  <c r="G144" i="9"/>
  <c r="Q116" i="11" s="1"/>
  <c r="O144" i="9"/>
  <c r="BL116" i="7"/>
  <c r="AP388" i="2"/>
  <c r="AR388" i="2" s="1"/>
  <c r="AS388" i="2" s="1"/>
  <c r="CF129" i="7"/>
  <c r="CH129" i="7" s="1"/>
  <c r="CI129" i="7" s="1"/>
  <c r="CF267" i="7"/>
  <c r="CH267" i="7" s="1"/>
  <c r="CI267" i="7" s="1"/>
  <c r="CB267" i="7"/>
  <c r="CQ264" i="7"/>
  <c r="CK128" i="7"/>
  <c r="CN128" i="7" s="1"/>
  <c r="I128" i="11" s="1"/>
  <c r="CV267" i="7"/>
  <c r="CX267" i="7" s="1"/>
  <c r="BA389" i="2"/>
  <c r="O417" i="3"/>
  <c r="AF389" i="2"/>
  <c r="B419" i="3"/>
  <c r="F418" i="3"/>
  <c r="AX390" i="11" s="1"/>
  <c r="G418" i="3"/>
  <c r="O390" i="11" s="1"/>
  <c r="H418" i="3"/>
  <c r="AZ390" i="11" s="1"/>
  <c r="I418" i="3"/>
  <c r="J418" i="3"/>
  <c r="P390" i="11" s="1"/>
  <c r="K418" i="3"/>
  <c r="M418" i="3" s="1"/>
  <c r="V391" i="2" s="1"/>
  <c r="AK391" i="2" s="1"/>
  <c r="C418" i="3"/>
  <c r="E418" i="3" s="1"/>
  <c r="AZ387" i="2"/>
  <c r="BB387" i="2" s="1"/>
  <c r="BH387" i="2" s="1"/>
  <c r="BI387" i="2" s="1"/>
  <c r="AM387" i="2"/>
  <c r="L417" i="3"/>
  <c r="AE389" i="2" s="1"/>
  <c r="M417" i="3"/>
  <c r="V390" i="2" s="1"/>
  <c r="AK390" i="2" s="1"/>
  <c r="CV129" i="7"/>
  <c r="CX129" i="7" s="1"/>
  <c r="CC266" i="7"/>
  <c r="CS266" i="7"/>
  <c r="CU266" i="7" s="1"/>
  <c r="CY266" i="7" s="1"/>
  <c r="CZ266" i="7" s="1"/>
  <c r="F268" i="2"/>
  <c r="U268" i="2" s="1"/>
  <c r="V42" i="5"/>
  <c r="W42" i="5" s="1"/>
  <c r="CN265" i="7"/>
  <c r="I265" i="11" s="1"/>
  <c r="G158" i="9"/>
  <c r="Q130" i="11" s="1"/>
  <c r="F158" i="9"/>
  <c r="AY130" i="11" s="1"/>
  <c r="H158" i="9"/>
  <c r="BA130" i="11" s="1"/>
  <c r="C158" i="9"/>
  <c r="E158" i="9" s="1"/>
  <c r="L157" i="9"/>
  <c r="BK129" i="7" s="1"/>
  <c r="CB129" i="7" s="1"/>
  <c r="M157" i="9"/>
  <c r="AR130" i="7" s="1"/>
  <c r="CA130" i="7" s="1"/>
  <c r="AO271" i="2"/>
  <c r="BC271" i="2" s="1"/>
  <c r="L296" i="9"/>
  <c r="BK268" i="7" s="1"/>
  <c r="M296" i="9"/>
  <c r="AR269" i="7" s="1"/>
  <c r="CA269" i="7" s="1"/>
  <c r="D269" i="2"/>
  <c r="F269" i="2" s="1"/>
  <c r="O296" i="9"/>
  <c r="BL268" i="7"/>
  <c r="H297" i="9"/>
  <c r="BA269" i="11" s="1"/>
  <c r="C297" i="9"/>
  <c r="E297" i="9" s="1"/>
  <c r="B298" i="9"/>
  <c r="K297" i="9"/>
  <c r="G297" i="9"/>
  <c r="Q269" i="11" s="1"/>
  <c r="J297" i="9"/>
  <c r="R269" i="11" s="1"/>
  <c r="F297" i="9"/>
  <c r="AY269" i="11" s="1"/>
  <c r="I297" i="9"/>
  <c r="M143" i="9" l="1"/>
  <c r="AR116" i="7" s="1"/>
  <c r="CA116" i="7" s="1"/>
  <c r="CB115" i="7"/>
  <c r="CQ114" i="7"/>
  <c r="CN114" i="7"/>
  <c r="I114" i="11" s="1"/>
  <c r="CV115" i="7"/>
  <c r="CX115" i="7" s="1"/>
  <c r="CF115" i="7"/>
  <c r="CH115" i="7" s="1"/>
  <c r="CI115" i="7" s="1"/>
  <c r="W269" i="11"/>
  <c r="U269" i="2"/>
  <c r="AO269" i="11" s="1"/>
  <c r="AT387" i="2"/>
  <c r="AW387" i="2" s="1"/>
  <c r="F387" i="11" s="1"/>
  <c r="AM388" i="2"/>
  <c r="AT388" i="2" s="1"/>
  <c r="AW388" i="2" s="1"/>
  <c r="F388" i="11" s="1"/>
  <c r="L418" i="3"/>
  <c r="AE390" i="2" s="1"/>
  <c r="J144" i="9"/>
  <c r="F145" i="9" s="1"/>
  <c r="AY117" i="11" s="1"/>
  <c r="BD388" i="2"/>
  <c r="BF388" i="2" s="1"/>
  <c r="BG388" i="2" s="1"/>
  <c r="BH388" i="2" s="1"/>
  <c r="BI388" i="2" s="1"/>
  <c r="I144" i="9"/>
  <c r="K144" i="9"/>
  <c r="CV116" i="7"/>
  <c r="CX116" i="7" s="1"/>
  <c r="CF116" i="7"/>
  <c r="CH116" i="7" s="1"/>
  <c r="CI116" i="7" s="1"/>
  <c r="AP389" i="2"/>
  <c r="BD389" i="2" s="1"/>
  <c r="BF389" i="2" s="1"/>
  <c r="BG389" i="2" s="1"/>
  <c r="BU268" i="7"/>
  <c r="W268" i="11"/>
  <c r="BF268" i="11" s="1"/>
  <c r="AC35" i="20" s="1"/>
  <c r="AO268" i="11"/>
  <c r="CQ128" i="7"/>
  <c r="CK266" i="7"/>
  <c r="CQ266" i="7" s="1"/>
  <c r="O418" i="3"/>
  <c r="AF390" i="2"/>
  <c r="B420" i="3"/>
  <c r="G419" i="3"/>
  <c r="O391" i="11" s="1"/>
  <c r="H419" i="3"/>
  <c r="AZ391" i="11" s="1"/>
  <c r="I419" i="3"/>
  <c r="J419" i="3"/>
  <c r="P391" i="11" s="1"/>
  <c r="K419" i="3"/>
  <c r="M419" i="3" s="1"/>
  <c r="V392" i="2" s="1"/>
  <c r="AK392" i="2" s="1"/>
  <c r="C419" i="3"/>
  <c r="E419" i="3" s="1"/>
  <c r="F419" i="3"/>
  <c r="AX391" i="11" s="1"/>
  <c r="BA391" i="2"/>
  <c r="BA390" i="2"/>
  <c r="AL389" i="2"/>
  <c r="CC267" i="7"/>
  <c r="CK267" i="7" s="1"/>
  <c r="CQ267" i="7" s="1"/>
  <c r="CS267" i="7"/>
  <c r="CU267" i="7" s="1"/>
  <c r="CY267" i="7" s="1"/>
  <c r="CZ267" i="7" s="1"/>
  <c r="CC129" i="7"/>
  <c r="CS129" i="7"/>
  <c r="CU129" i="7" s="1"/>
  <c r="CY129" i="7" s="1"/>
  <c r="CZ129" i="7" s="1"/>
  <c r="AD268" i="2"/>
  <c r="BU269" i="7"/>
  <c r="AD269" i="11" s="1"/>
  <c r="K158" i="9"/>
  <c r="I158" i="9"/>
  <c r="J158" i="9"/>
  <c r="R130" i="11" s="1"/>
  <c r="BL130" i="7"/>
  <c r="O158" i="9"/>
  <c r="AO272" i="2"/>
  <c r="BC272" i="2" s="1"/>
  <c r="L297" i="9"/>
  <c r="BK269" i="7" s="1"/>
  <c r="M297" i="9"/>
  <c r="AR270" i="7" s="1"/>
  <c r="CA270" i="7" s="1"/>
  <c r="O297" i="9"/>
  <c r="BL269" i="7"/>
  <c r="H298" i="9"/>
  <c r="BA270" i="11" s="1"/>
  <c r="C298" i="9"/>
  <c r="E298" i="9" s="1"/>
  <c r="B299" i="9"/>
  <c r="K298" i="9"/>
  <c r="G298" i="9"/>
  <c r="Q270" i="11" s="1"/>
  <c r="J298" i="9"/>
  <c r="R270" i="11" s="1"/>
  <c r="F298" i="9"/>
  <c r="AY270" i="11" s="1"/>
  <c r="I298" i="9"/>
  <c r="D270" i="2"/>
  <c r="F270" i="2" s="1"/>
  <c r="CS115" i="7" l="1"/>
  <c r="CU115" i="7" s="1"/>
  <c r="CY115" i="7" s="1"/>
  <c r="CZ115" i="7" s="1"/>
  <c r="CC115" i="7"/>
  <c r="CK115" i="7" s="1"/>
  <c r="W270" i="11"/>
  <c r="U270" i="2"/>
  <c r="R116" i="11"/>
  <c r="C145" i="9"/>
  <c r="E145" i="9" s="1"/>
  <c r="N266" i="19"/>
  <c r="AD268" i="11"/>
  <c r="BM268" i="11" s="1"/>
  <c r="AC14" i="20" s="1"/>
  <c r="AC15" i="20" s="1"/>
  <c r="AC19" i="20" s="1"/>
  <c r="AC67" i="20" s="1"/>
  <c r="CV268" i="7"/>
  <c r="CX268" i="7" s="1"/>
  <c r="B266" i="19"/>
  <c r="BX268" i="11"/>
  <c r="AC36" i="20" s="1"/>
  <c r="AC40" i="20" s="1"/>
  <c r="AC41" i="20" s="1"/>
  <c r="CB268" i="7"/>
  <c r="CC268" i="7" s="1"/>
  <c r="CF268" i="7"/>
  <c r="CH268" i="7" s="1"/>
  <c r="CI268" i="7" s="1"/>
  <c r="L144" i="9"/>
  <c r="BK116" i="7" s="1"/>
  <c r="CB116" i="7" s="1"/>
  <c r="M144" i="9"/>
  <c r="AR117" i="7" s="1"/>
  <c r="CA117" i="7" s="1"/>
  <c r="AR389" i="2"/>
  <c r="AS389" i="2" s="1"/>
  <c r="G145" i="9"/>
  <c r="Q117" i="11" s="1"/>
  <c r="O145" i="9"/>
  <c r="BL117" i="7"/>
  <c r="AP390" i="2"/>
  <c r="AR390" i="2" s="1"/>
  <c r="AS390" i="2" s="1"/>
  <c r="CF130" i="7"/>
  <c r="CH130" i="7" s="1"/>
  <c r="CI130" i="7" s="1"/>
  <c r="H145" i="9"/>
  <c r="BA117" i="11" s="1"/>
  <c r="AL390" i="2"/>
  <c r="AZ390" i="2" s="1"/>
  <c r="BB390" i="2" s="1"/>
  <c r="L419" i="3"/>
  <c r="AE391" i="2" s="1"/>
  <c r="CN266" i="7"/>
  <c r="I266" i="11" s="1"/>
  <c r="CB269" i="7"/>
  <c r="CF269" i="7"/>
  <c r="CH269" i="7" s="1"/>
  <c r="CI269" i="7" s="1"/>
  <c r="CK129" i="7"/>
  <c r="CQ129" i="7" s="1"/>
  <c r="B421" i="3"/>
  <c r="G420" i="3"/>
  <c r="O392" i="11" s="1"/>
  <c r="H420" i="3"/>
  <c r="AZ392" i="11" s="1"/>
  <c r="I420" i="3"/>
  <c r="J420" i="3"/>
  <c r="P392" i="11" s="1"/>
  <c r="K420" i="3"/>
  <c r="C420" i="3"/>
  <c r="E420" i="3" s="1"/>
  <c r="F420" i="3"/>
  <c r="AX392" i="11" s="1"/>
  <c r="AZ389" i="2"/>
  <c r="BB389" i="2" s="1"/>
  <c r="BH389" i="2" s="1"/>
  <c r="BI389" i="2" s="1"/>
  <c r="AM389" i="2"/>
  <c r="O419" i="3"/>
  <c r="AF391" i="2"/>
  <c r="BA392" i="2"/>
  <c r="CV269" i="7"/>
  <c r="CX269" i="7" s="1"/>
  <c r="CV130" i="7"/>
  <c r="CX130" i="7" s="1"/>
  <c r="CN267" i="7"/>
  <c r="I267" i="11" s="1"/>
  <c r="AD269" i="2"/>
  <c r="AO270" i="11"/>
  <c r="BU270" i="7"/>
  <c r="AD270" i="11" s="1"/>
  <c r="L158" i="9"/>
  <c r="BK130" i="7" s="1"/>
  <c r="CB130" i="7" s="1"/>
  <c r="M158" i="9"/>
  <c r="AR131" i="7" s="1"/>
  <c r="CA131" i="7" s="1"/>
  <c r="F159" i="9"/>
  <c r="AY131" i="11" s="1"/>
  <c r="C159" i="9"/>
  <c r="E159" i="9" s="1"/>
  <c r="H159" i="9" s="1"/>
  <c r="BA131" i="11" s="1"/>
  <c r="AO273" i="2"/>
  <c r="BC273" i="2" s="1"/>
  <c r="D271" i="2"/>
  <c r="F271" i="2" s="1"/>
  <c r="L298" i="9"/>
  <c r="BK270" i="7" s="1"/>
  <c r="M298" i="9"/>
  <c r="AR271" i="7" s="1"/>
  <c r="CA271" i="7" s="1"/>
  <c r="O298" i="9"/>
  <c r="BL270" i="7"/>
  <c r="H299" i="9"/>
  <c r="BA271" i="11" s="1"/>
  <c r="C299" i="9"/>
  <c r="E299" i="9" s="1"/>
  <c r="B300" i="9"/>
  <c r="K299" i="9"/>
  <c r="G299" i="9"/>
  <c r="Q271" i="11" s="1"/>
  <c r="J299" i="9"/>
  <c r="R271" i="11" s="1"/>
  <c r="F299" i="9"/>
  <c r="AY271" i="11" s="1"/>
  <c r="I299" i="9"/>
  <c r="CQ115" i="7" l="1"/>
  <c r="CN115" i="7"/>
  <c r="I115" i="11" s="1"/>
  <c r="W271" i="11"/>
  <c r="U271" i="2"/>
  <c r="AO271" i="11" s="1"/>
  <c r="AT389" i="2"/>
  <c r="AW389" i="2" s="1"/>
  <c r="F389" i="11" s="1"/>
  <c r="CS268" i="7"/>
  <c r="CU268" i="7" s="1"/>
  <c r="CY268" i="7" s="1"/>
  <c r="CZ268" i="7" s="1"/>
  <c r="AC42" i="20"/>
  <c r="AD270" i="2"/>
  <c r="BD390" i="2"/>
  <c r="BF390" i="2" s="1"/>
  <c r="BG390" i="2" s="1"/>
  <c r="BH390" i="2" s="1"/>
  <c r="BI390" i="2" s="1"/>
  <c r="CC116" i="7"/>
  <c r="CK116" i="7" s="1"/>
  <c r="CS116" i="7"/>
  <c r="CU116" i="7" s="1"/>
  <c r="CY116" i="7" s="1"/>
  <c r="CZ116" i="7" s="1"/>
  <c r="CF117" i="7"/>
  <c r="CH117" i="7" s="1"/>
  <c r="CI117" i="7" s="1"/>
  <c r="CV117" i="7"/>
  <c r="CX117" i="7" s="1"/>
  <c r="AM390" i="2"/>
  <c r="AT390" i="2" s="1"/>
  <c r="AW390" i="2" s="1"/>
  <c r="F390" i="11" s="1"/>
  <c r="AP391" i="2"/>
  <c r="BD391" i="2" s="1"/>
  <c r="BF391" i="2" s="1"/>
  <c r="BG391" i="2" s="1"/>
  <c r="K145" i="9"/>
  <c r="J145" i="9"/>
  <c r="I145" i="9"/>
  <c r="CB270" i="7"/>
  <c r="CF270" i="7"/>
  <c r="CH270" i="7" s="1"/>
  <c r="CI270" i="7" s="1"/>
  <c r="CN129" i="7"/>
  <c r="I129" i="11" s="1"/>
  <c r="CK268" i="7"/>
  <c r="CN268" i="7" s="1"/>
  <c r="I268" i="11" s="1"/>
  <c r="M420" i="3"/>
  <c r="V393" i="2" s="1"/>
  <c r="AK393" i="2" s="1"/>
  <c r="L420" i="3"/>
  <c r="AE392" i="2" s="1"/>
  <c r="B422" i="3"/>
  <c r="H421" i="3"/>
  <c r="AZ393" i="11" s="1"/>
  <c r="I421" i="3"/>
  <c r="J421" i="3"/>
  <c r="P393" i="11" s="1"/>
  <c r="K421" i="3"/>
  <c r="C421" i="3"/>
  <c r="E421" i="3" s="1"/>
  <c r="F421" i="3"/>
  <c r="AX393" i="11" s="1"/>
  <c r="G421" i="3"/>
  <c r="O393" i="11" s="1"/>
  <c r="O420" i="3"/>
  <c r="AF392" i="2"/>
  <c r="AL391" i="2"/>
  <c r="CV270" i="7"/>
  <c r="CX270" i="7" s="1"/>
  <c r="CC269" i="7"/>
  <c r="CS269" i="7"/>
  <c r="CU269" i="7" s="1"/>
  <c r="CY269" i="7" s="1"/>
  <c r="CZ269" i="7" s="1"/>
  <c r="CC130" i="7"/>
  <c r="CS130" i="7"/>
  <c r="CU130" i="7" s="1"/>
  <c r="CY130" i="7" s="1"/>
  <c r="CZ130" i="7" s="1"/>
  <c r="BU271" i="7"/>
  <c r="AD271" i="11" s="1"/>
  <c r="J159" i="9"/>
  <c r="R131" i="11" s="1"/>
  <c r="I159" i="9"/>
  <c r="K159" i="9"/>
  <c r="O159" i="9"/>
  <c r="BL131" i="7"/>
  <c r="G159" i="9"/>
  <c r="Q131" i="11" s="1"/>
  <c r="AO274" i="2"/>
  <c r="BC274" i="2" s="1"/>
  <c r="L299" i="9"/>
  <c r="BK271" i="7" s="1"/>
  <c r="M299" i="9"/>
  <c r="AR272" i="7" s="1"/>
  <c r="CA272" i="7" s="1"/>
  <c r="O299" i="9"/>
  <c r="BL271" i="7"/>
  <c r="H300" i="9"/>
  <c r="BA272" i="11" s="1"/>
  <c r="C300" i="9"/>
  <c r="E300" i="9" s="1"/>
  <c r="B301" i="9"/>
  <c r="K300" i="9"/>
  <c r="G300" i="9"/>
  <c r="Q272" i="11" s="1"/>
  <c r="J300" i="9"/>
  <c r="R272" i="11" s="1"/>
  <c r="F300" i="9"/>
  <c r="AY272" i="11" s="1"/>
  <c r="I300" i="9"/>
  <c r="D272" i="2"/>
  <c r="F272" i="2" s="1"/>
  <c r="W272" i="11" l="1"/>
  <c r="U272" i="2"/>
  <c r="AD271" i="2"/>
  <c r="CN116" i="7"/>
  <c r="I116" i="11" s="1"/>
  <c r="CQ116" i="7"/>
  <c r="AR391" i="2"/>
  <c r="AS391" i="2" s="1"/>
  <c r="AP392" i="2"/>
  <c r="BD392" i="2" s="1"/>
  <c r="BF392" i="2" s="1"/>
  <c r="BG392" i="2" s="1"/>
  <c r="CF131" i="7"/>
  <c r="CH131" i="7" s="1"/>
  <c r="CI131" i="7" s="1"/>
  <c r="R117" i="11"/>
  <c r="C146" i="9"/>
  <c r="E146" i="9" s="1"/>
  <c r="F146" i="9"/>
  <c r="AY118" i="11" s="1"/>
  <c r="L145" i="9"/>
  <c r="BK117" i="7" s="1"/>
  <c r="CB117" i="7" s="1"/>
  <c r="M145" i="9"/>
  <c r="AR118" i="7" s="1"/>
  <c r="CA118" i="7" s="1"/>
  <c r="CQ268" i="7"/>
  <c r="CB271" i="7"/>
  <c r="CF271" i="7"/>
  <c r="CH271" i="7" s="1"/>
  <c r="CI271" i="7" s="1"/>
  <c r="CK269" i="7"/>
  <c r="CN269" i="7" s="1"/>
  <c r="I269" i="11" s="1"/>
  <c r="CK130" i="7"/>
  <c r="CQ130" i="7" s="1"/>
  <c r="AL392" i="2"/>
  <c r="AM392" i="2" s="1"/>
  <c r="B423" i="3"/>
  <c r="H422" i="3"/>
  <c r="AZ394" i="11" s="1"/>
  <c r="I422" i="3"/>
  <c r="J422" i="3"/>
  <c r="P394" i="11" s="1"/>
  <c r="K422" i="3"/>
  <c r="C422" i="3"/>
  <c r="E422" i="3" s="1"/>
  <c r="F422" i="3"/>
  <c r="AX394" i="11" s="1"/>
  <c r="G422" i="3"/>
  <c r="O394" i="11" s="1"/>
  <c r="O421" i="3"/>
  <c r="AF393" i="2"/>
  <c r="M421" i="3"/>
  <c r="V394" i="2" s="1"/>
  <c r="AK394" i="2" s="1"/>
  <c r="L421" i="3"/>
  <c r="AE393" i="2" s="1"/>
  <c r="AZ391" i="2"/>
  <c r="BB391" i="2" s="1"/>
  <c r="BH391" i="2" s="1"/>
  <c r="BI391" i="2" s="1"/>
  <c r="AM391" i="2"/>
  <c r="BA393" i="2"/>
  <c r="CV271" i="7"/>
  <c r="CX271" i="7" s="1"/>
  <c r="CC270" i="7"/>
  <c r="CS270" i="7"/>
  <c r="CU270" i="7" s="1"/>
  <c r="CY270" i="7" s="1"/>
  <c r="CZ270" i="7" s="1"/>
  <c r="CV131" i="7"/>
  <c r="CX131" i="7" s="1"/>
  <c r="AO272" i="11"/>
  <c r="BU272" i="7"/>
  <c r="AD272" i="11" s="1"/>
  <c r="M159" i="9"/>
  <c r="AR132" i="7" s="1"/>
  <c r="CA132" i="7" s="1"/>
  <c r="L159" i="9"/>
  <c r="BK131" i="7" s="1"/>
  <c r="CB131" i="7" s="1"/>
  <c r="F160" i="9"/>
  <c r="AY132" i="11" s="1"/>
  <c r="C160" i="9"/>
  <c r="E160" i="9" s="1"/>
  <c r="H160" i="9" s="1"/>
  <c r="BA132" i="11" s="1"/>
  <c r="AO275" i="2"/>
  <c r="BC275" i="2" s="1"/>
  <c r="D273" i="2"/>
  <c r="F273" i="2" s="1"/>
  <c r="L300" i="9"/>
  <c r="BK272" i="7" s="1"/>
  <c r="M300" i="9"/>
  <c r="AR273" i="7" s="1"/>
  <c r="CA273" i="7" s="1"/>
  <c r="O300" i="9"/>
  <c r="BL272" i="7"/>
  <c r="H301" i="9"/>
  <c r="BA273" i="11" s="1"/>
  <c r="C301" i="9"/>
  <c r="E301" i="9" s="1"/>
  <c r="B302" i="9"/>
  <c r="K301" i="9"/>
  <c r="G301" i="9"/>
  <c r="Q273" i="11" s="1"/>
  <c r="J301" i="9"/>
  <c r="R273" i="11" s="1"/>
  <c r="F301" i="9"/>
  <c r="AY273" i="11" s="1"/>
  <c r="I301" i="9"/>
  <c r="AT391" i="2" l="1"/>
  <c r="AW391" i="2" s="1"/>
  <c r="F391" i="11" s="1"/>
  <c r="W273" i="11"/>
  <c r="U273" i="2"/>
  <c r="AO273" i="11" s="1"/>
  <c r="AD272" i="2"/>
  <c r="AR392" i="2"/>
  <c r="AS392" i="2" s="1"/>
  <c r="AT392" i="2" s="1"/>
  <c r="AW392" i="2" s="1"/>
  <c r="F392" i="11" s="1"/>
  <c r="H146" i="9"/>
  <c r="BA118" i="11" s="1"/>
  <c r="G160" i="9"/>
  <c r="Q132" i="11" s="1"/>
  <c r="G146" i="9"/>
  <c r="Q118" i="11" s="1"/>
  <c r="BL118" i="7"/>
  <c r="O146" i="9"/>
  <c r="AP393" i="2"/>
  <c r="BD393" i="2" s="1"/>
  <c r="BF393" i="2" s="1"/>
  <c r="BG393" i="2" s="1"/>
  <c r="CC117" i="7"/>
  <c r="CK117" i="7" s="1"/>
  <c r="CN117" i="7" s="1"/>
  <c r="I117" i="11" s="1"/>
  <c r="CS117" i="7"/>
  <c r="CU117" i="7" s="1"/>
  <c r="CY117" i="7" s="1"/>
  <c r="CZ117" i="7" s="1"/>
  <c r="AZ392" i="2"/>
  <c r="BB392" i="2" s="1"/>
  <c r="BH392" i="2" s="1"/>
  <c r="BI392" i="2" s="1"/>
  <c r="CQ269" i="7"/>
  <c r="CF272" i="7"/>
  <c r="CH272" i="7" s="1"/>
  <c r="CI272" i="7" s="1"/>
  <c r="CB272" i="7"/>
  <c r="CN130" i="7"/>
  <c r="I130" i="11" s="1"/>
  <c r="CK270" i="7"/>
  <c r="CQ270" i="7" s="1"/>
  <c r="O422" i="3"/>
  <c r="AF394" i="2"/>
  <c r="BA394" i="2"/>
  <c r="M422" i="3"/>
  <c r="V395" i="2" s="1"/>
  <c r="AK395" i="2" s="1"/>
  <c r="L422" i="3"/>
  <c r="AE394" i="2" s="1"/>
  <c r="B424" i="3"/>
  <c r="H423" i="3"/>
  <c r="AZ395" i="11" s="1"/>
  <c r="I423" i="3"/>
  <c r="J423" i="3"/>
  <c r="P395" i="11" s="1"/>
  <c r="K423" i="3"/>
  <c r="C423" i="3"/>
  <c r="E423" i="3" s="1"/>
  <c r="F423" i="3"/>
  <c r="AX395" i="11" s="1"/>
  <c r="G423" i="3"/>
  <c r="O395" i="11" s="1"/>
  <c r="AL393" i="2"/>
  <c r="CV272" i="7"/>
  <c r="CX272" i="7" s="1"/>
  <c r="CC271" i="7"/>
  <c r="CS271" i="7"/>
  <c r="CU271" i="7" s="1"/>
  <c r="CY271" i="7" s="1"/>
  <c r="CZ271" i="7" s="1"/>
  <c r="CC131" i="7"/>
  <c r="CS131" i="7"/>
  <c r="CU131" i="7" s="1"/>
  <c r="CY131" i="7" s="1"/>
  <c r="CZ131" i="7" s="1"/>
  <c r="BU273" i="7"/>
  <c r="AD273" i="11" s="1"/>
  <c r="J160" i="9"/>
  <c r="R132" i="11" s="1"/>
  <c r="I160" i="9"/>
  <c r="K160" i="9"/>
  <c r="O160" i="9"/>
  <c r="BL132" i="7"/>
  <c r="AO276" i="2"/>
  <c r="BC276" i="2" s="1"/>
  <c r="L301" i="9"/>
  <c r="BK273" i="7" s="1"/>
  <c r="M301" i="9"/>
  <c r="AR274" i="7" s="1"/>
  <c r="CA274" i="7" s="1"/>
  <c r="O301" i="9"/>
  <c r="BL273" i="7"/>
  <c r="H302" i="9"/>
  <c r="BA274" i="11" s="1"/>
  <c r="C302" i="9"/>
  <c r="E302" i="9" s="1"/>
  <c r="B303" i="9"/>
  <c r="K302" i="9"/>
  <c r="G302" i="9"/>
  <c r="Q274" i="11" s="1"/>
  <c r="J302" i="9"/>
  <c r="R274" i="11" s="1"/>
  <c r="F302" i="9"/>
  <c r="AY274" i="11" s="1"/>
  <c r="I302" i="9"/>
  <c r="D274" i="2"/>
  <c r="F274" i="2" s="1"/>
  <c r="I146" i="9" l="1"/>
  <c r="W274" i="11"/>
  <c r="U274" i="2"/>
  <c r="AO274" i="11" s="1"/>
  <c r="AR393" i="2"/>
  <c r="AS393" i="2" s="1"/>
  <c r="J146" i="9"/>
  <c r="C147" i="9" s="1"/>
  <c r="E147" i="9" s="1"/>
  <c r="AD273" i="2"/>
  <c r="K146" i="9"/>
  <c r="L146" i="9" s="1"/>
  <c r="BK118" i="7" s="1"/>
  <c r="CB118" i="7" s="1"/>
  <c r="CS118" i="7" s="1"/>
  <c r="CU118" i="7" s="1"/>
  <c r="CV118" i="7"/>
  <c r="CX118" i="7" s="1"/>
  <c r="CF118" i="7"/>
  <c r="CH118" i="7" s="1"/>
  <c r="CI118" i="7" s="1"/>
  <c r="AP394" i="2"/>
  <c r="AR394" i="2" s="1"/>
  <c r="AS394" i="2" s="1"/>
  <c r="CQ117" i="7"/>
  <c r="CF132" i="7"/>
  <c r="CH132" i="7" s="1"/>
  <c r="CI132" i="7" s="1"/>
  <c r="CF273" i="7"/>
  <c r="CH273" i="7" s="1"/>
  <c r="CI273" i="7" s="1"/>
  <c r="CB273" i="7"/>
  <c r="CN270" i="7"/>
  <c r="I270" i="11" s="1"/>
  <c r="CK131" i="7"/>
  <c r="CQ131" i="7" s="1"/>
  <c r="CK271" i="7"/>
  <c r="CN271" i="7" s="1"/>
  <c r="I271" i="11" s="1"/>
  <c r="AL394" i="2"/>
  <c r="AZ394" i="2" s="1"/>
  <c r="BB394" i="2" s="1"/>
  <c r="L423" i="3"/>
  <c r="AE395" i="2" s="1"/>
  <c r="M423" i="3"/>
  <c r="V396" i="2" s="1"/>
  <c r="AK396" i="2" s="1"/>
  <c r="BA395" i="2"/>
  <c r="AZ393" i="2"/>
  <c r="BB393" i="2" s="1"/>
  <c r="BH393" i="2" s="1"/>
  <c r="BI393" i="2" s="1"/>
  <c r="AM393" i="2"/>
  <c r="B425" i="3"/>
  <c r="I424" i="3"/>
  <c r="J424" i="3"/>
  <c r="P396" i="11" s="1"/>
  <c r="K424" i="3"/>
  <c r="C424" i="3"/>
  <c r="E424" i="3" s="1"/>
  <c r="F424" i="3"/>
  <c r="AX396" i="11" s="1"/>
  <c r="G424" i="3"/>
  <c r="O396" i="11" s="1"/>
  <c r="H424" i="3"/>
  <c r="AZ396" i="11" s="1"/>
  <c r="O423" i="3"/>
  <c r="AF395" i="2"/>
  <c r="CV273" i="7"/>
  <c r="CX273" i="7" s="1"/>
  <c r="CC272" i="7"/>
  <c r="CS272" i="7"/>
  <c r="CU272" i="7" s="1"/>
  <c r="CY272" i="7" s="1"/>
  <c r="CZ272" i="7" s="1"/>
  <c r="CV132" i="7"/>
  <c r="CX132" i="7" s="1"/>
  <c r="BU274" i="7"/>
  <c r="AD274" i="11" s="1"/>
  <c r="L160" i="9"/>
  <c r="BK132" i="7" s="1"/>
  <c r="CB132" i="7" s="1"/>
  <c r="M160" i="9"/>
  <c r="AR133" i="7" s="1"/>
  <c r="CA133" i="7" s="1"/>
  <c r="H161" i="9"/>
  <c r="BA133" i="11" s="1"/>
  <c r="F161" i="9"/>
  <c r="AY133" i="11" s="1"/>
  <c r="C161" i="9"/>
  <c r="E161" i="9" s="1"/>
  <c r="G161" i="9"/>
  <c r="Q133" i="11" s="1"/>
  <c r="AO277" i="2"/>
  <c r="BC277" i="2" s="1"/>
  <c r="O302" i="9"/>
  <c r="BL274" i="7"/>
  <c r="H303" i="9"/>
  <c r="BA275" i="11" s="1"/>
  <c r="C303" i="9"/>
  <c r="E303" i="9" s="1"/>
  <c r="B304" i="9"/>
  <c r="K303" i="9"/>
  <c r="G303" i="9"/>
  <c r="Q275" i="11" s="1"/>
  <c r="J303" i="9"/>
  <c r="R275" i="11" s="1"/>
  <c r="F303" i="9"/>
  <c r="AY275" i="11" s="1"/>
  <c r="I303" i="9"/>
  <c r="D275" i="2"/>
  <c r="F275" i="2" s="1"/>
  <c r="L302" i="9"/>
  <c r="BK274" i="7" s="1"/>
  <c r="M302" i="9"/>
  <c r="AR275" i="7" s="1"/>
  <c r="CA275" i="7" s="1"/>
  <c r="AT393" i="2" l="1"/>
  <c r="AW393" i="2" s="1"/>
  <c r="F393" i="11" s="1"/>
  <c r="W275" i="11"/>
  <c r="U275" i="2"/>
  <c r="AO275" i="11" s="1"/>
  <c r="BD394" i="2"/>
  <c r="BF394" i="2" s="1"/>
  <c r="BG394" i="2" s="1"/>
  <c r="BH394" i="2" s="1"/>
  <c r="BI394" i="2" s="1"/>
  <c r="F147" i="9"/>
  <c r="AY119" i="11" s="1"/>
  <c r="R118" i="11"/>
  <c r="CC118" i="7"/>
  <c r="CK118" i="7" s="1"/>
  <c r="CN118" i="7" s="1"/>
  <c r="M146" i="9"/>
  <c r="AR119" i="7" s="1"/>
  <c r="CA119" i="7" s="1"/>
  <c r="AD274" i="2"/>
  <c r="CY118" i="7"/>
  <c r="CZ118" i="7" s="1"/>
  <c r="AP395" i="2"/>
  <c r="BD395" i="2" s="1"/>
  <c r="BF395" i="2" s="1"/>
  <c r="BG395" i="2" s="1"/>
  <c r="AE396" i="2"/>
  <c r="CQ271" i="7"/>
  <c r="CB274" i="7"/>
  <c r="CF274" i="7"/>
  <c r="CH274" i="7" s="1"/>
  <c r="CI274" i="7" s="1"/>
  <c r="AM394" i="2"/>
  <c r="AT394" i="2" s="1"/>
  <c r="AW394" i="2" s="1"/>
  <c r="F394" i="11" s="1"/>
  <c r="CK272" i="7"/>
  <c r="CN272" i="7" s="1"/>
  <c r="I272" i="11" s="1"/>
  <c r="CN131" i="7"/>
  <c r="I131" i="11" s="1"/>
  <c r="B426" i="3"/>
  <c r="I425" i="3"/>
  <c r="J425" i="3"/>
  <c r="P397" i="11" s="1"/>
  <c r="K425" i="3"/>
  <c r="C425" i="3"/>
  <c r="E425" i="3" s="1"/>
  <c r="F425" i="3"/>
  <c r="AX397" i="11" s="1"/>
  <c r="G425" i="3"/>
  <c r="O397" i="11" s="1"/>
  <c r="H425" i="3"/>
  <c r="AZ397" i="11" s="1"/>
  <c r="O424" i="3"/>
  <c r="AF396" i="2"/>
  <c r="L424" i="3"/>
  <c r="M424" i="3"/>
  <c r="V397" i="2" s="1"/>
  <c r="AK397" i="2" s="1"/>
  <c r="AL395" i="2"/>
  <c r="BA396" i="2"/>
  <c r="CV274" i="7"/>
  <c r="CX274" i="7" s="1"/>
  <c r="CC273" i="7"/>
  <c r="CK273" i="7" s="1"/>
  <c r="CN273" i="7" s="1"/>
  <c r="CS273" i="7"/>
  <c r="CU273" i="7" s="1"/>
  <c r="CY273" i="7" s="1"/>
  <c r="CZ273" i="7" s="1"/>
  <c r="CC132" i="7"/>
  <c r="CS132" i="7"/>
  <c r="CU132" i="7" s="1"/>
  <c r="CY132" i="7" s="1"/>
  <c r="CZ132" i="7" s="1"/>
  <c r="BU275" i="7"/>
  <c r="AD275" i="11" s="1"/>
  <c r="K161" i="9"/>
  <c r="I161" i="9"/>
  <c r="J161" i="9"/>
  <c r="R133" i="11" s="1"/>
  <c r="BL133" i="7"/>
  <c r="O161" i="9"/>
  <c r="AO278" i="2"/>
  <c r="BC278" i="2" s="1"/>
  <c r="L303" i="9"/>
  <c r="BK275" i="7" s="1"/>
  <c r="M303" i="9"/>
  <c r="AR276" i="7" s="1"/>
  <c r="CA276" i="7" s="1"/>
  <c r="D276" i="2"/>
  <c r="F276" i="2" s="1"/>
  <c r="O303" i="9"/>
  <c r="BL275" i="7"/>
  <c r="H304" i="9"/>
  <c r="BA276" i="11" s="1"/>
  <c r="C304" i="9"/>
  <c r="E304" i="9" s="1"/>
  <c r="B305" i="9"/>
  <c r="K304" i="9"/>
  <c r="G304" i="9"/>
  <c r="Q276" i="11" s="1"/>
  <c r="J304" i="9"/>
  <c r="R276" i="11" s="1"/>
  <c r="F304" i="9"/>
  <c r="AY276" i="11" s="1"/>
  <c r="I304" i="9"/>
  <c r="AR395" i="2" l="1"/>
  <c r="AS395" i="2" s="1"/>
  <c r="G147" i="9"/>
  <c r="Q119" i="11" s="1"/>
  <c r="W276" i="11"/>
  <c r="U276" i="2"/>
  <c r="AO276" i="11" s="1"/>
  <c r="BL119" i="7"/>
  <c r="CF119" i="7" s="1"/>
  <c r="CH119" i="7" s="1"/>
  <c r="CI119" i="7" s="1"/>
  <c r="H147" i="9"/>
  <c r="BA119" i="11" s="1"/>
  <c r="O147" i="9"/>
  <c r="AD275" i="2"/>
  <c r="AP396" i="2"/>
  <c r="AR396" i="2" s="1"/>
  <c r="AS396" i="2" s="1"/>
  <c r="CF133" i="7"/>
  <c r="CH133" i="7" s="1"/>
  <c r="CI133" i="7" s="1"/>
  <c r="CQ272" i="7"/>
  <c r="CF275" i="7"/>
  <c r="CH275" i="7" s="1"/>
  <c r="CI275" i="7" s="1"/>
  <c r="CB275" i="7"/>
  <c r="I118" i="11"/>
  <c r="CK132" i="7"/>
  <c r="CN132" i="7" s="1"/>
  <c r="I132" i="11" s="1"/>
  <c r="CQ118" i="7"/>
  <c r="AZ395" i="2"/>
  <c r="BB395" i="2" s="1"/>
  <c r="BH395" i="2" s="1"/>
  <c r="BI395" i="2" s="1"/>
  <c r="AM395" i="2"/>
  <c r="O425" i="3"/>
  <c r="AF397" i="2"/>
  <c r="BA397" i="2"/>
  <c r="L425" i="3"/>
  <c r="AE397" i="2" s="1"/>
  <c r="M425" i="3"/>
  <c r="V398" i="2" s="1"/>
  <c r="AK398" i="2" s="1"/>
  <c r="AL396" i="2"/>
  <c r="B427" i="3"/>
  <c r="I426" i="3"/>
  <c r="J426" i="3"/>
  <c r="P398" i="11" s="1"/>
  <c r="K426" i="3"/>
  <c r="C426" i="3"/>
  <c r="E426" i="3" s="1"/>
  <c r="F426" i="3"/>
  <c r="AX398" i="11" s="1"/>
  <c r="G426" i="3"/>
  <c r="O398" i="11" s="1"/>
  <c r="H426" i="3"/>
  <c r="AZ398" i="11" s="1"/>
  <c r="CV275" i="7"/>
  <c r="CX275" i="7" s="1"/>
  <c r="CC274" i="7"/>
  <c r="CS274" i="7"/>
  <c r="CU274" i="7" s="1"/>
  <c r="CY274" i="7" s="1"/>
  <c r="CZ274" i="7" s="1"/>
  <c r="CV133" i="7"/>
  <c r="CX133" i="7" s="1"/>
  <c r="CQ273" i="7"/>
  <c r="BU276" i="7"/>
  <c r="AD276" i="11" s="1"/>
  <c r="H162" i="9"/>
  <c r="BA134" i="11" s="1"/>
  <c r="C162" i="9"/>
  <c r="E162" i="9" s="1"/>
  <c r="F162" i="9"/>
  <c r="AY134" i="11" s="1"/>
  <c r="K162" i="9"/>
  <c r="L161" i="9"/>
  <c r="BK133" i="7" s="1"/>
  <c r="CB133" i="7" s="1"/>
  <c r="M161" i="9"/>
  <c r="AR134" i="7" s="1"/>
  <c r="CA134" i="7" s="1"/>
  <c r="AO279" i="2"/>
  <c r="BC279" i="2" s="1"/>
  <c r="I273" i="11"/>
  <c r="D277" i="2"/>
  <c r="F277" i="2" s="1"/>
  <c r="L304" i="9"/>
  <c r="BK276" i="7" s="1"/>
  <c r="M304" i="9"/>
  <c r="AR277" i="7" s="1"/>
  <c r="CA277" i="7" s="1"/>
  <c r="O304" i="9"/>
  <c r="BL276" i="7"/>
  <c r="H305" i="9"/>
  <c r="BA277" i="11" s="1"/>
  <c r="C305" i="9"/>
  <c r="E305" i="9" s="1"/>
  <c r="B306" i="9"/>
  <c r="K305" i="9"/>
  <c r="G305" i="9"/>
  <c r="Q277" i="11" s="1"/>
  <c r="J305" i="9"/>
  <c r="R277" i="11" s="1"/>
  <c r="F305" i="9"/>
  <c r="AY277" i="11" s="1"/>
  <c r="I305" i="9"/>
  <c r="AT395" i="2" l="1"/>
  <c r="AW395" i="2" s="1"/>
  <c r="F395" i="11" s="1"/>
  <c r="CV119" i="7"/>
  <c r="CX119" i="7" s="1"/>
  <c r="BD396" i="2"/>
  <c r="BF396" i="2" s="1"/>
  <c r="BG396" i="2" s="1"/>
  <c r="W277" i="11"/>
  <c r="U277" i="2"/>
  <c r="AO277" i="11" s="1"/>
  <c r="J147" i="9"/>
  <c r="K147" i="9"/>
  <c r="I147" i="9"/>
  <c r="AD276" i="2"/>
  <c r="AP397" i="2"/>
  <c r="BD397" i="2" s="1"/>
  <c r="BF397" i="2" s="1"/>
  <c r="BG397" i="2" s="1"/>
  <c r="CF276" i="7"/>
  <c r="CH276" i="7" s="1"/>
  <c r="CI276" i="7" s="1"/>
  <c r="CB276" i="7"/>
  <c r="CV276" i="7"/>
  <c r="CX276" i="7" s="1"/>
  <c r="CQ132" i="7"/>
  <c r="CK274" i="7"/>
  <c r="CQ274" i="7" s="1"/>
  <c r="M426" i="3"/>
  <c r="V399" i="2" s="1"/>
  <c r="AK399" i="2" s="1"/>
  <c r="L426" i="3"/>
  <c r="AE398" i="2" s="1"/>
  <c r="B428" i="3"/>
  <c r="J427" i="3"/>
  <c r="P399" i="11" s="1"/>
  <c r="K427" i="3"/>
  <c r="C427" i="3"/>
  <c r="E427" i="3" s="1"/>
  <c r="F427" i="3"/>
  <c r="AX399" i="11" s="1"/>
  <c r="G427" i="3"/>
  <c r="O399" i="11" s="1"/>
  <c r="H427" i="3"/>
  <c r="AZ399" i="11" s="1"/>
  <c r="I427" i="3"/>
  <c r="AZ396" i="2"/>
  <c r="BB396" i="2" s="1"/>
  <c r="AM396" i="2"/>
  <c r="AT396" i="2" s="1"/>
  <c r="AW396" i="2" s="1"/>
  <c r="F396" i="11" s="1"/>
  <c r="O426" i="3"/>
  <c r="AF398" i="2"/>
  <c r="BA398" i="2"/>
  <c r="AL397" i="2"/>
  <c r="CC133" i="7"/>
  <c r="CS133" i="7"/>
  <c r="CU133" i="7" s="1"/>
  <c r="CY133" i="7" s="1"/>
  <c r="CZ133" i="7" s="1"/>
  <c r="CC275" i="7"/>
  <c r="CS275" i="7"/>
  <c r="CU275" i="7" s="1"/>
  <c r="CY275" i="7" s="1"/>
  <c r="CZ275" i="7" s="1"/>
  <c r="BU277" i="7"/>
  <c r="AD277" i="11" s="1"/>
  <c r="BL134" i="7"/>
  <c r="O162" i="9"/>
  <c r="G162" i="9"/>
  <c r="Q134" i="11" s="1"/>
  <c r="I162" i="9"/>
  <c r="L162" i="9"/>
  <c r="BK134" i="7" s="1"/>
  <c r="M162" i="9"/>
  <c r="AR135" i="7" s="1"/>
  <c r="CA135" i="7" s="1"/>
  <c r="J162" i="9"/>
  <c r="R134" i="11" s="1"/>
  <c r="AO280" i="2"/>
  <c r="BC280" i="2" s="1"/>
  <c r="L305" i="9"/>
  <c r="BK277" i="7" s="1"/>
  <c r="M305" i="9"/>
  <c r="AR278" i="7" s="1"/>
  <c r="CA278" i="7" s="1"/>
  <c r="O305" i="9"/>
  <c r="BL277" i="7"/>
  <c r="H306" i="9"/>
  <c r="BA278" i="11" s="1"/>
  <c r="C306" i="9"/>
  <c r="E306" i="9" s="1"/>
  <c r="B307" i="9"/>
  <c r="K306" i="9"/>
  <c r="G306" i="9"/>
  <c r="Q278" i="11" s="1"/>
  <c r="J306" i="9"/>
  <c r="R278" i="11" s="1"/>
  <c r="F306" i="9"/>
  <c r="AY278" i="11" s="1"/>
  <c r="I306" i="9"/>
  <c r="D278" i="2"/>
  <c r="F278" i="2" s="1"/>
  <c r="BH396" i="2" l="1"/>
  <c r="BI396" i="2" s="1"/>
  <c r="W278" i="11"/>
  <c r="U278" i="2"/>
  <c r="M147" i="9"/>
  <c r="AR120" i="7" s="1"/>
  <c r="CA120" i="7" s="1"/>
  <c r="L147" i="9"/>
  <c r="BK119" i="7" s="1"/>
  <c r="CB119" i="7" s="1"/>
  <c r="R119" i="11"/>
  <c r="C148" i="9"/>
  <c r="E148" i="9" s="1"/>
  <c r="F148" i="9"/>
  <c r="AY120" i="11" s="1"/>
  <c r="AR397" i="2"/>
  <c r="AS397" i="2" s="1"/>
  <c r="AD277" i="2"/>
  <c r="AP398" i="2"/>
  <c r="AR398" i="2" s="1"/>
  <c r="AS398" i="2" s="1"/>
  <c r="CF134" i="7"/>
  <c r="CH134" i="7" s="1"/>
  <c r="CI134" i="7" s="1"/>
  <c r="CB134" i="7"/>
  <c r="CB277" i="7"/>
  <c r="CF277" i="7"/>
  <c r="CH277" i="7" s="1"/>
  <c r="CI277" i="7" s="1"/>
  <c r="CN274" i="7"/>
  <c r="I274" i="11" s="1"/>
  <c r="CK133" i="7"/>
  <c r="CQ133" i="7" s="1"/>
  <c r="CK275" i="7"/>
  <c r="CN275" i="7" s="1"/>
  <c r="I275" i="11" s="1"/>
  <c r="O427" i="3"/>
  <c r="AF399" i="2"/>
  <c r="AL398" i="2"/>
  <c r="M427" i="3"/>
  <c r="V400" i="2" s="1"/>
  <c r="AK400" i="2" s="1"/>
  <c r="L427" i="3"/>
  <c r="AE399" i="2" s="1"/>
  <c r="CV277" i="7"/>
  <c r="CX277" i="7" s="1"/>
  <c r="AZ397" i="2"/>
  <c r="BB397" i="2" s="1"/>
  <c r="BH397" i="2" s="1"/>
  <c r="BI397" i="2" s="1"/>
  <c r="AM397" i="2"/>
  <c r="B429" i="3"/>
  <c r="J428" i="3"/>
  <c r="P400" i="11" s="1"/>
  <c r="K428" i="3"/>
  <c r="C428" i="3"/>
  <c r="E428" i="3" s="1"/>
  <c r="F428" i="3"/>
  <c r="AX400" i="11" s="1"/>
  <c r="G428" i="3"/>
  <c r="O400" i="11" s="1"/>
  <c r="H428" i="3"/>
  <c r="AZ400" i="11" s="1"/>
  <c r="I428" i="3"/>
  <c r="BA399" i="2"/>
  <c r="CV134" i="7"/>
  <c r="CX134" i="7" s="1"/>
  <c r="CC276" i="7"/>
  <c r="CS276" i="7"/>
  <c r="CU276" i="7" s="1"/>
  <c r="CY276" i="7" s="1"/>
  <c r="CZ276" i="7" s="1"/>
  <c r="AO278" i="11"/>
  <c r="BU278" i="7"/>
  <c r="AD278" i="11" s="1"/>
  <c r="C163" i="9"/>
  <c r="E163" i="9" s="1"/>
  <c r="H163" i="9"/>
  <c r="BA135" i="11" s="1"/>
  <c r="G163" i="9"/>
  <c r="Q135" i="11" s="1"/>
  <c r="F163" i="9"/>
  <c r="AY135" i="11" s="1"/>
  <c r="K163" i="9"/>
  <c r="AO281" i="2"/>
  <c r="BC281" i="2" s="1"/>
  <c r="D279" i="2"/>
  <c r="F279" i="2" s="1"/>
  <c r="O306" i="9"/>
  <c r="BL278" i="7"/>
  <c r="H307" i="9"/>
  <c r="BA279" i="11" s="1"/>
  <c r="C307" i="9"/>
  <c r="E307" i="9" s="1"/>
  <c r="B308" i="9"/>
  <c r="K307" i="9"/>
  <c r="G307" i="9"/>
  <c r="Q279" i="11" s="1"/>
  <c r="J307" i="9"/>
  <c r="R279" i="11" s="1"/>
  <c r="F307" i="9"/>
  <c r="AY279" i="11" s="1"/>
  <c r="I307" i="9"/>
  <c r="L306" i="9"/>
  <c r="BK278" i="7" s="1"/>
  <c r="M306" i="9"/>
  <c r="AR279" i="7" s="1"/>
  <c r="CA279" i="7" s="1"/>
  <c r="H148" i="9" l="1"/>
  <c r="W279" i="11"/>
  <c r="U279" i="2"/>
  <c r="G148" i="9"/>
  <c r="Q120" i="11" s="1"/>
  <c r="BL120" i="7"/>
  <c r="O148" i="9"/>
  <c r="CC119" i="7"/>
  <c r="CK119" i="7" s="1"/>
  <c r="CN119" i="7" s="1"/>
  <c r="I119" i="11" s="1"/>
  <c r="CS119" i="7"/>
  <c r="CU119" i="7" s="1"/>
  <c r="CY119" i="7" s="1"/>
  <c r="CZ119" i="7" s="1"/>
  <c r="AT397" i="2"/>
  <c r="AW397" i="2" s="1"/>
  <c r="F397" i="11" s="1"/>
  <c r="CG400" i="11"/>
  <c r="AN55" i="20" s="1"/>
  <c r="BD398" i="2"/>
  <c r="BF398" i="2" s="1"/>
  <c r="BG398" i="2" s="1"/>
  <c r="AD278" i="2"/>
  <c r="AP399" i="2"/>
  <c r="BD399" i="2" s="1"/>
  <c r="BF399" i="2" s="1"/>
  <c r="BG399" i="2" s="1"/>
  <c r="CI400" i="11"/>
  <c r="AN75" i="20" s="1"/>
  <c r="AL399" i="2"/>
  <c r="AZ399" i="2" s="1"/>
  <c r="BB399" i="2" s="1"/>
  <c r="CB278" i="7"/>
  <c r="CF278" i="7"/>
  <c r="CH278" i="7" s="1"/>
  <c r="CI278" i="7" s="1"/>
  <c r="CN133" i="7"/>
  <c r="I133" i="11" s="1"/>
  <c r="CK276" i="7"/>
  <c r="CQ276" i="7" s="1"/>
  <c r="CQ275" i="7"/>
  <c r="O428" i="3"/>
  <c r="AF400" i="2"/>
  <c r="BA400" i="2"/>
  <c r="M428" i="3"/>
  <c r="V401" i="2" s="1"/>
  <c r="AK401" i="2" s="1"/>
  <c r="L428" i="3"/>
  <c r="AE400" i="2" s="1"/>
  <c r="AZ398" i="2"/>
  <c r="BB398" i="2" s="1"/>
  <c r="AM398" i="2"/>
  <c r="AT398" i="2" s="1"/>
  <c r="AW398" i="2" s="1"/>
  <c r="F398" i="11" s="1"/>
  <c r="B430" i="3"/>
  <c r="J429" i="3"/>
  <c r="P401" i="11" s="1"/>
  <c r="K429" i="3"/>
  <c r="C429" i="3"/>
  <c r="E429" i="3" s="1"/>
  <c r="F429" i="3"/>
  <c r="AX401" i="11" s="1"/>
  <c r="G429" i="3"/>
  <c r="O401" i="11" s="1"/>
  <c r="H429" i="3"/>
  <c r="AZ401" i="11" s="1"/>
  <c r="I429" i="3"/>
  <c r="CV278" i="7"/>
  <c r="CX278" i="7" s="1"/>
  <c r="CC277" i="7"/>
  <c r="CS277" i="7"/>
  <c r="CU277" i="7" s="1"/>
  <c r="CY277" i="7" s="1"/>
  <c r="CZ277" i="7" s="1"/>
  <c r="CC134" i="7"/>
  <c r="CS134" i="7"/>
  <c r="CU134" i="7" s="1"/>
  <c r="CY134" i="7" s="1"/>
  <c r="CZ134" i="7" s="1"/>
  <c r="AO279" i="11"/>
  <c r="BU279" i="7"/>
  <c r="AD279" i="11" s="1"/>
  <c r="O163" i="9"/>
  <c r="BL135" i="7"/>
  <c r="I163" i="9"/>
  <c r="L163" i="9"/>
  <c r="BK135" i="7" s="1"/>
  <c r="M163" i="9"/>
  <c r="AR136" i="7" s="1"/>
  <c r="CA136" i="7" s="1"/>
  <c r="J163" i="9"/>
  <c r="R135" i="11" s="1"/>
  <c r="AO282" i="2"/>
  <c r="BC282" i="2" s="1"/>
  <c r="O307" i="9"/>
  <c r="BL279" i="7"/>
  <c r="H308" i="9"/>
  <c r="BA280" i="11" s="1"/>
  <c r="C308" i="9"/>
  <c r="E308" i="9" s="1"/>
  <c r="B309" i="9"/>
  <c r="K308" i="9"/>
  <c r="G308" i="9"/>
  <c r="Q280" i="11" s="1"/>
  <c r="J308" i="9"/>
  <c r="R280" i="11" s="1"/>
  <c r="F308" i="9"/>
  <c r="AY280" i="11" s="1"/>
  <c r="I308" i="9"/>
  <c r="D280" i="2"/>
  <c r="L307" i="9"/>
  <c r="BK279" i="7" s="1"/>
  <c r="M307" i="9"/>
  <c r="AR280" i="7" s="1"/>
  <c r="CA280" i="7" s="1"/>
  <c r="J148" i="9" l="1"/>
  <c r="F149" i="9" s="1"/>
  <c r="AY121" i="11" s="1"/>
  <c r="BA120" i="11"/>
  <c r="K148" i="9"/>
  <c r="I148" i="9"/>
  <c r="AR399" i="2"/>
  <c r="AS399" i="2" s="1"/>
  <c r="CQ119" i="7"/>
  <c r="CF120" i="7"/>
  <c r="CH120" i="7" s="1"/>
  <c r="CI120" i="7" s="1"/>
  <c r="CV120" i="7"/>
  <c r="CX120" i="7" s="1"/>
  <c r="CJ280" i="11"/>
  <c r="AD76" i="20" s="1"/>
  <c r="CH280" i="11"/>
  <c r="AD56" i="20" s="1"/>
  <c r="BH398" i="2"/>
  <c r="BI398" i="2" s="1"/>
  <c r="AM399" i="2"/>
  <c r="AD279" i="2"/>
  <c r="AP400" i="2"/>
  <c r="AR400" i="2" s="1"/>
  <c r="AS400" i="2" s="1"/>
  <c r="CF135" i="7"/>
  <c r="CH135" i="7" s="1"/>
  <c r="CI135" i="7" s="1"/>
  <c r="CB135" i="7"/>
  <c r="CN276" i="7"/>
  <c r="I276" i="11" s="1"/>
  <c r="CB279" i="7"/>
  <c r="CF279" i="7"/>
  <c r="CH279" i="7" s="1"/>
  <c r="CI279" i="7" s="1"/>
  <c r="CK134" i="7"/>
  <c r="CN134" i="7" s="1"/>
  <c r="I134" i="11" s="1"/>
  <c r="CK277" i="7"/>
  <c r="CN277" i="7" s="1"/>
  <c r="I277" i="11" s="1"/>
  <c r="BH399" i="2"/>
  <c r="BI399" i="2" s="1"/>
  <c r="M429" i="3"/>
  <c r="V402" i="2" s="1"/>
  <c r="AK402" i="2" s="1"/>
  <c r="L429" i="3"/>
  <c r="AE401" i="2" s="1"/>
  <c r="BA401" i="2"/>
  <c r="B431" i="3"/>
  <c r="K430" i="3"/>
  <c r="M430" i="3" s="1"/>
  <c r="V403" i="2" s="1"/>
  <c r="AK403" i="2" s="1"/>
  <c r="C430" i="3"/>
  <c r="E430" i="3" s="1"/>
  <c r="F430" i="3"/>
  <c r="AX402" i="11" s="1"/>
  <c r="G430" i="3"/>
  <c r="O402" i="11" s="1"/>
  <c r="H430" i="3"/>
  <c r="AZ402" i="11" s="1"/>
  <c r="I430" i="3"/>
  <c r="J430" i="3"/>
  <c r="P402" i="11" s="1"/>
  <c r="O429" i="3"/>
  <c r="AF401" i="2"/>
  <c r="AL400" i="2"/>
  <c r="CV279" i="7"/>
  <c r="CX279" i="7" s="1"/>
  <c r="CC278" i="7"/>
  <c r="CS278" i="7"/>
  <c r="CU278" i="7" s="1"/>
  <c r="CY278" i="7" s="1"/>
  <c r="CZ278" i="7" s="1"/>
  <c r="CV135" i="7"/>
  <c r="CX135" i="7" s="1"/>
  <c r="F280" i="2"/>
  <c r="U280" i="2" s="1"/>
  <c r="V43" i="5"/>
  <c r="W43" i="5" s="1"/>
  <c r="C164" i="9"/>
  <c r="E164" i="9" s="1"/>
  <c r="F164" i="9"/>
  <c r="AY136" i="11" s="1"/>
  <c r="AO283" i="2"/>
  <c r="BC283" i="2" s="1"/>
  <c r="O308" i="9"/>
  <c r="BL280" i="7"/>
  <c r="H309" i="9"/>
  <c r="BA281" i="11" s="1"/>
  <c r="C309" i="9"/>
  <c r="E309" i="9" s="1"/>
  <c r="B310" i="9"/>
  <c r="K309" i="9"/>
  <c r="G309" i="9"/>
  <c r="Q281" i="11" s="1"/>
  <c r="J309" i="9"/>
  <c r="R281" i="11" s="1"/>
  <c r="F309" i="9"/>
  <c r="AY281" i="11" s="1"/>
  <c r="I309" i="9"/>
  <c r="D281" i="2"/>
  <c r="F281" i="2" s="1"/>
  <c r="L308" i="9"/>
  <c r="BK280" i="7" s="1"/>
  <c r="M308" i="9"/>
  <c r="AR281" i="7" s="1"/>
  <c r="CA281" i="7" s="1"/>
  <c r="C149" i="9" l="1"/>
  <c r="E149" i="9" s="1"/>
  <c r="H149" i="9" s="1"/>
  <c r="BA121" i="11" s="1"/>
  <c r="BL121" i="7"/>
  <c r="CF121" i="7" s="1"/>
  <c r="CH121" i="7" s="1"/>
  <c r="CI121" i="7" s="1"/>
  <c r="R120" i="11"/>
  <c r="I149" i="9"/>
  <c r="O149" i="9"/>
  <c r="G149" i="9"/>
  <c r="Q121" i="11" s="1"/>
  <c r="L148" i="9"/>
  <c r="BK120" i="7" s="1"/>
  <c r="CB120" i="7" s="1"/>
  <c r="M148" i="9"/>
  <c r="AR121" i="7" s="1"/>
  <c r="CA121" i="7" s="1"/>
  <c r="AT399" i="2"/>
  <c r="AW399" i="2" s="1"/>
  <c r="F399" i="11" s="1"/>
  <c r="W281" i="11"/>
  <c r="U281" i="2"/>
  <c r="AO281" i="11" s="1"/>
  <c r="CH136" i="11"/>
  <c r="R56" i="20" s="1"/>
  <c r="BD400" i="2"/>
  <c r="BF400" i="2" s="1"/>
  <c r="BG400" i="2" s="1"/>
  <c r="AP401" i="2"/>
  <c r="BD401" i="2" s="1"/>
  <c r="BF401" i="2" s="1"/>
  <c r="BG401" i="2" s="1"/>
  <c r="AO280" i="11"/>
  <c r="W280" i="11"/>
  <c r="BF280" i="11" s="1"/>
  <c r="AD35" i="20" s="1"/>
  <c r="L430" i="3"/>
  <c r="AE402" i="2" s="1"/>
  <c r="CQ277" i="7"/>
  <c r="CQ134" i="7"/>
  <c r="CK278" i="7"/>
  <c r="CQ278" i="7" s="1"/>
  <c r="O430" i="3"/>
  <c r="AF402" i="2"/>
  <c r="BA403" i="2"/>
  <c r="AL401" i="2"/>
  <c r="B432" i="3"/>
  <c r="K431" i="3"/>
  <c r="C431" i="3"/>
  <c r="E431" i="3" s="1"/>
  <c r="F431" i="3"/>
  <c r="AX403" i="11" s="1"/>
  <c r="G431" i="3"/>
  <c r="O403" i="11" s="1"/>
  <c r="H431" i="3"/>
  <c r="AZ403" i="11" s="1"/>
  <c r="I431" i="3"/>
  <c r="J431" i="3"/>
  <c r="P403" i="11" s="1"/>
  <c r="AZ400" i="2"/>
  <c r="BB400" i="2" s="1"/>
  <c r="AM400" i="2"/>
  <c r="AT400" i="2" s="1"/>
  <c r="AW400" i="2" s="1"/>
  <c r="F400" i="11" s="1"/>
  <c r="BA402" i="2"/>
  <c r="CC279" i="7"/>
  <c r="CK279" i="7" s="1"/>
  <c r="CN279" i="7" s="1"/>
  <c r="I279" i="11" s="1"/>
  <c r="CS279" i="7"/>
  <c r="CU279" i="7" s="1"/>
  <c r="CY279" i="7" s="1"/>
  <c r="CZ279" i="7" s="1"/>
  <c r="CC135" i="7"/>
  <c r="CS135" i="7"/>
  <c r="CU135" i="7" s="1"/>
  <c r="CY135" i="7" s="1"/>
  <c r="CZ135" i="7" s="1"/>
  <c r="BU280" i="7"/>
  <c r="AD280" i="2"/>
  <c r="BU281" i="7"/>
  <c r="AD281" i="11" s="1"/>
  <c r="BL136" i="7"/>
  <c r="O164" i="9"/>
  <c r="H164" i="9"/>
  <c r="BA136" i="11" s="1"/>
  <c r="G164" i="9"/>
  <c r="Q136" i="11" s="1"/>
  <c r="AO284" i="2"/>
  <c r="BC284" i="2" s="1"/>
  <c r="L309" i="9"/>
  <c r="BK281" i="7" s="1"/>
  <c r="M309" i="9"/>
  <c r="AR282" i="7" s="1"/>
  <c r="CA282" i="7" s="1"/>
  <c r="D282" i="2"/>
  <c r="F282" i="2" s="1"/>
  <c r="O309" i="9"/>
  <c r="BL281" i="7"/>
  <c r="H310" i="9"/>
  <c r="BA282" i="11" s="1"/>
  <c r="C310" i="9"/>
  <c r="E310" i="9" s="1"/>
  <c r="B311" i="9"/>
  <c r="K310" i="9"/>
  <c r="G310" i="9"/>
  <c r="Q282" i="11" s="1"/>
  <c r="J310" i="9"/>
  <c r="R282" i="11" s="1"/>
  <c r="F310" i="9"/>
  <c r="AY282" i="11" s="1"/>
  <c r="I310" i="9"/>
  <c r="J149" i="9" l="1"/>
  <c r="F150" i="9" s="1"/>
  <c r="AY122" i="11" s="1"/>
  <c r="K149" i="9"/>
  <c r="L149" i="9" s="1"/>
  <c r="BK121" i="7" s="1"/>
  <c r="CB121" i="7" s="1"/>
  <c r="CS121" i="7" s="1"/>
  <c r="CU121" i="7" s="1"/>
  <c r="CV121" i="7"/>
  <c r="CX121" i="7" s="1"/>
  <c r="M149" i="9"/>
  <c r="AR122" i="7" s="1"/>
  <c r="CA122" i="7" s="1"/>
  <c r="R121" i="11"/>
  <c r="CS120" i="7"/>
  <c r="CU120" i="7" s="1"/>
  <c r="CY120" i="7" s="1"/>
  <c r="CZ120" i="7" s="1"/>
  <c r="CC120" i="7"/>
  <c r="CK120" i="7" s="1"/>
  <c r="CN120" i="7" s="1"/>
  <c r="I120" i="11" s="1"/>
  <c r="C150" i="9"/>
  <c r="E150" i="9" s="1"/>
  <c r="BH400" i="2"/>
  <c r="BI400" i="2" s="1"/>
  <c r="CC121" i="7"/>
  <c r="CK121" i="7" s="1"/>
  <c r="CQ121" i="7" s="1"/>
  <c r="W282" i="11"/>
  <c r="U282" i="2"/>
  <c r="AO282" i="11" s="1"/>
  <c r="CJ136" i="11"/>
  <c r="R76" i="20" s="1"/>
  <c r="AL402" i="2"/>
  <c r="AZ402" i="2" s="1"/>
  <c r="BB402" i="2" s="1"/>
  <c r="AD280" i="11"/>
  <c r="BM280" i="11" s="1"/>
  <c r="AD14" i="20" s="1"/>
  <c r="AD15" i="20" s="1"/>
  <c r="AD19" i="20" s="1"/>
  <c r="AD67" i="20" s="1"/>
  <c r="B278" i="19"/>
  <c r="BX280" i="11"/>
  <c r="AD36" i="20" s="1"/>
  <c r="AD40" i="20" s="1"/>
  <c r="AD41" i="20" s="1"/>
  <c r="CY121" i="7"/>
  <c r="CZ121" i="7" s="1"/>
  <c r="AR401" i="2"/>
  <c r="AS401" i="2" s="1"/>
  <c r="G150" i="9"/>
  <c r="Q122" i="11" s="1"/>
  <c r="O150" i="9"/>
  <c r="BL122" i="7"/>
  <c r="AP402" i="2"/>
  <c r="BD402" i="2" s="1"/>
  <c r="BF402" i="2" s="1"/>
  <c r="BG402" i="2" s="1"/>
  <c r="CF136" i="7"/>
  <c r="CH136" i="7" s="1"/>
  <c r="CI136" i="7" s="1"/>
  <c r="H150" i="9"/>
  <c r="BA122" i="11" s="1"/>
  <c r="CN278" i="7"/>
  <c r="I278" i="11" s="1"/>
  <c r="N278" i="19"/>
  <c r="CF280" i="7"/>
  <c r="CH280" i="7" s="1"/>
  <c r="CI280" i="7" s="1"/>
  <c r="CB280" i="7"/>
  <c r="CS280" i="7" s="1"/>
  <c r="CU280" i="7" s="1"/>
  <c r="CB281" i="7"/>
  <c r="CF281" i="7"/>
  <c r="CH281" i="7" s="1"/>
  <c r="CI281" i="7" s="1"/>
  <c r="CK135" i="7"/>
  <c r="CN135" i="7" s="1"/>
  <c r="I135" i="11" s="1"/>
  <c r="M431" i="3"/>
  <c r="V404" i="2" s="1"/>
  <c r="AK404" i="2" s="1"/>
  <c r="L431" i="3"/>
  <c r="AE403" i="2" s="1"/>
  <c r="B433" i="3"/>
  <c r="K432" i="3"/>
  <c r="C432" i="3"/>
  <c r="E432" i="3" s="1"/>
  <c r="F432" i="3"/>
  <c r="AX404" i="11" s="1"/>
  <c r="G432" i="3"/>
  <c r="O404" i="11" s="1"/>
  <c r="H432" i="3"/>
  <c r="AZ404" i="11" s="1"/>
  <c r="I432" i="3"/>
  <c r="J432" i="3"/>
  <c r="P404" i="11" s="1"/>
  <c r="AZ401" i="2"/>
  <c r="BB401" i="2" s="1"/>
  <c r="BH401" i="2" s="1"/>
  <c r="BI401" i="2" s="1"/>
  <c r="AM401" i="2"/>
  <c r="O431" i="3"/>
  <c r="AF403" i="2"/>
  <c r="CV281" i="7"/>
  <c r="CX281" i="7" s="1"/>
  <c r="CV280" i="7"/>
  <c r="CX280" i="7" s="1"/>
  <c r="CV136" i="7"/>
  <c r="CX136" i="7" s="1"/>
  <c r="AD281" i="2"/>
  <c r="BU282" i="7"/>
  <c r="AD282" i="11" s="1"/>
  <c r="CQ279" i="7"/>
  <c r="J164" i="9"/>
  <c r="R136" i="11" s="1"/>
  <c r="K164" i="9"/>
  <c r="I164" i="9"/>
  <c r="AO285" i="2"/>
  <c r="BC285" i="2" s="1"/>
  <c r="O310" i="9"/>
  <c r="BL282" i="7"/>
  <c r="H311" i="9"/>
  <c r="BA283" i="11" s="1"/>
  <c r="C311" i="9"/>
  <c r="E311" i="9" s="1"/>
  <c r="B312" i="9"/>
  <c r="K311" i="9"/>
  <c r="G311" i="9"/>
  <c r="Q283" i="11" s="1"/>
  <c r="J311" i="9"/>
  <c r="R283" i="11" s="1"/>
  <c r="F311" i="9"/>
  <c r="AY283" i="11" s="1"/>
  <c r="I311" i="9"/>
  <c r="L310" i="9"/>
  <c r="BK282" i="7" s="1"/>
  <c r="M310" i="9"/>
  <c r="AR283" i="7" s="1"/>
  <c r="CA283" i="7" s="1"/>
  <c r="D283" i="2"/>
  <c r="F283" i="2" s="1"/>
  <c r="CQ120" i="7" l="1"/>
  <c r="AM402" i="2"/>
  <c r="W283" i="11"/>
  <c r="U283" i="2"/>
  <c r="AO283" i="11" s="1"/>
  <c r="AD42" i="20"/>
  <c r="AT401" i="2"/>
  <c r="AW401" i="2" s="1"/>
  <c r="F401" i="11" s="1"/>
  <c r="J150" i="9"/>
  <c r="C151" i="9" s="1"/>
  <c r="E151" i="9" s="1"/>
  <c r="K150" i="9"/>
  <c r="L150" i="9" s="1"/>
  <c r="BK122" i="7" s="1"/>
  <c r="CB122" i="7" s="1"/>
  <c r="AD282" i="2"/>
  <c r="AR402" i="2"/>
  <c r="AS402" i="2" s="1"/>
  <c r="CV122" i="7"/>
  <c r="CX122" i="7" s="1"/>
  <c r="CF122" i="7"/>
  <c r="CH122" i="7" s="1"/>
  <c r="CI122" i="7" s="1"/>
  <c r="I150" i="9"/>
  <c r="AP403" i="2"/>
  <c r="BD403" i="2" s="1"/>
  <c r="BF403" i="2" s="1"/>
  <c r="BG403" i="2" s="1"/>
  <c r="BH402" i="2"/>
  <c r="BI402" i="2" s="1"/>
  <c r="CC280" i="7"/>
  <c r="CK280" i="7" s="1"/>
  <c r="CQ280" i="7" s="1"/>
  <c r="CY280" i="7"/>
  <c r="CZ280" i="7" s="1"/>
  <c r="CB282" i="7"/>
  <c r="CF282" i="7"/>
  <c r="CH282" i="7" s="1"/>
  <c r="CI282" i="7" s="1"/>
  <c r="CN121" i="7"/>
  <c r="I121" i="11" s="1"/>
  <c r="CQ135" i="7"/>
  <c r="CV282" i="7"/>
  <c r="CX282" i="7" s="1"/>
  <c r="AL403" i="2"/>
  <c r="AZ403" i="2" s="1"/>
  <c r="BB403" i="2" s="1"/>
  <c r="O432" i="3"/>
  <c r="AF404" i="2"/>
  <c r="L432" i="3"/>
  <c r="AE404" i="2" s="1"/>
  <c r="M432" i="3"/>
  <c r="V405" i="2" s="1"/>
  <c r="AK405" i="2" s="1"/>
  <c r="B434" i="3"/>
  <c r="C433" i="3"/>
  <c r="E433" i="3" s="1"/>
  <c r="F433" i="3"/>
  <c r="AX405" i="11" s="1"/>
  <c r="G433" i="3"/>
  <c r="O405" i="11" s="1"/>
  <c r="H433" i="3"/>
  <c r="AZ405" i="11" s="1"/>
  <c r="I433" i="3"/>
  <c r="J433" i="3"/>
  <c r="P405" i="11" s="1"/>
  <c r="K433" i="3"/>
  <c r="BA404" i="2"/>
  <c r="CC281" i="7"/>
  <c r="CS281" i="7"/>
  <c r="CU281" i="7" s="1"/>
  <c r="CY281" i="7" s="1"/>
  <c r="CZ281" i="7" s="1"/>
  <c r="BU283" i="7"/>
  <c r="AD283" i="11" s="1"/>
  <c r="M164" i="9"/>
  <c r="AR137" i="7" s="1"/>
  <c r="CA137" i="7" s="1"/>
  <c r="L164" i="9"/>
  <c r="BK136" i="7" s="1"/>
  <c r="CB136" i="7" s="1"/>
  <c r="C165" i="9"/>
  <c r="E165" i="9" s="1"/>
  <c r="H165" i="9"/>
  <c r="BA137" i="11" s="1"/>
  <c r="G165" i="9"/>
  <c r="Q137" i="11" s="1"/>
  <c r="F165" i="9"/>
  <c r="AY137" i="11" s="1"/>
  <c r="J165" i="9"/>
  <c r="R137" i="11" s="1"/>
  <c r="AO286" i="2"/>
  <c r="BC286" i="2" s="1"/>
  <c r="O311" i="9"/>
  <c r="BL283" i="7"/>
  <c r="H312" i="9"/>
  <c r="BA284" i="11" s="1"/>
  <c r="C312" i="9"/>
  <c r="E312" i="9" s="1"/>
  <c r="B313" i="9"/>
  <c r="K312" i="9"/>
  <c r="G312" i="9"/>
  <c r="Q284" i="11" s="1"/>
  <c r="J312" i="9"/>
  <c r="R284" i="11" s="1"/>
  <c r="F312" i="9"/>
  <c r="AY284" i="11" s="1"/>
  <c r="I312" i="9"/>
  <c r="L311" i="9"/>
  <c r="BK283" i="7" s="1"/>
  <c r="M311" i="9"/>
  <c r="AR284" i="7" s="1"/>
  <c r="CA284" i="7" s="1"/>
  <c r="D284" i="2"/>
  <c r="F284" i="2" s="1"/>
  <c r="R122" i="11" l="1"/>
  <c r="AT402" i="2"/>
  <c r="AW402" i="2" s="1"/>
  <c r="F402" i="11" s="1"/>
  <c r="F151" i="9"/>
  <c r="AY123" i="11" s="1"/>
  <c r="W284" i="11"/>
  <c r="U284" i="2"/>
  <c r="AO284" i="11" s="1"/>
  <c r="H151" i="9"/>
  <c r="BA123" i="11" s="1"/>
  <c r="M150" i="9"/>
  <c r="AR123" i="7" s="1"/>
  <c r="CA123" i="7" s="1"/>
  <c r="AD283" i="2"/>
  <c r="AR403" i="2"/>
  <c r="AS403" i="2" s="1"/>
  <c r="G151" i="9"/>
  <c r="Q123" i="11" s="1"/>
  <c r="AP404" i="2"/>
  <c r="AR404" i="2" s="1"/>
  <c r="AS404" i="2" s="1"/>
  <c r="AE405" i="2"/>
  <c r="I165" i="9"/>
  <c r="CB283" i="7"/>
  <c r="CF283" i="7"/>
  <c r="CH283" i="7" s="1"/>
  <c r="CI283" i="7" s="1"/>
  <c r="AM403" i="2"/>
  <c r="CK281" i="7"/>
  <c r="CN281" i="7" s="1"/>
  <c r="I281" i="11" s="1"/>
  <c r="CN280" i="7"/>
  <c r="I280" i="11" s="1"/>
  <c r="AL404" i="2"/>
  <c r="AZ404" i="2" s="1"/>
  <c r="BB404" i="2" s="1"/>
  <c r="B435" i="3"/>
  <c r="C434" i="3"/>
  <c r="E434" i="3" s="1"/>
  <c r="F434" i="3"/>
  <c r="AX406" i="11" s="1"/>
  <c r="G434" i="3"/>
  <c r="O406" i="11" s="1"/>
  <c r="H434" i="3"/>
  <c r="AZ406" i="11" s="1"/>
  <c r="I434" i="3"/>
  <c r="J434" i="3"/>
  <c r="P406" i="11" s="1"/>
  <c r="K434" i="3"/>
  <c r="L433" i="3"/>
  <c r="M433" i="3"/>
  <c r="V406" i="2" s="1"/>
  <c r="AK406" i="2" s="1"/>
  <c r="BA405" i="2"/>
  <c r="CV283" i="7"/>
  <c r="CX283" i="7" s="1"/>
  <c r="O433" i="3"/>
  <c r="AF405" i="2"/>
  <c r="BH403" i="2"/>
  <c r="BI403" i="2" s="1"/>
  <c r="CC122" i="7"/>
  <c r="CS122" i="7"/>
  <c r="CU122" i="7" s="1"/>
  <c r="CY122" i="7" s="1"/>
  <c r="CZ122" i="7" s="1"/>
  <c r="CC136" i="7"/>
  <c r="CS136" i="7"/>
  <c r="CU136" i="7" s="1"/>
  <c r="CY136" i="7" s="1"/>
  <c r="CZ136" i="7" s="1"/>
  <c r="CC282" i="7"/>
  <c r="CS282" i="7"/>
  <c r="CU282" i="7" s="1"/>
  <c r="CY282" i="7" s="1"/>
  <c r="CZ282" i="7" s="1"/>
  <c r="BU284" i="7"/>
  <c r="AD284" i="11" s="1"/>
  <c r="F166" i="9"/>
  <c r="AY138" i="11" s="1"/>
  <c r="C166" i="9"/>
  <c r="E166" i="9" s="1"/>
  <c r="H166" i="9" s="1"/>
  <c r="BA138" i="11" s="1"/>
  <c r="G166" i="9"/>
  <c r="Q138" i="11" s="1"/>
  <c r="K165" i="9"/>
  <c r="O165" i="9"/>
  <c r="BL137" i="7"/>
  <c r="AO287" i="2"/>
  <c r="BC287" i="2" s="1"/>
  <c r="L312" i="9"/>
  <c r="BK284" i="7" s="1"/>
  <c r="M312" i="9"/>
  <c r="AR285" i="7" s="1"/>
  <c r="CA285" i="7" s="1"/>
  <c r="D285" i="2"/>
  <c r="F285" i="2" s="1"/>
  <c r="O312" i="9"/>
  <c r="BL284" i="7"/>
  <c r="H313" i="9"/>
  <c r="BA285" i="11" s="1"/>
  <c r="C313" i="9"/>
  <c r="E313" i="9" s="1"/>
  <c r="B314" i="9"/>
  <c r="K313" i="9"/>
  <c r="G313" i="9"/>
  <c r="Q285" i="11" s="1"/>
  <c r="J313" i="9"/>
  <c r="R285" i="11" s="1"/>
  <c r="F313" i="9"/>
  <c r="AY285" i="11" s="1"/>
  <c r="I313" i="9"/>
  <c r="I151" i="9" l="1"/>
  <c r="O151" i="9"/>
  <c r="BL123" i="7"/>
  <c r="CF123" i="7" s="1"/>
  <c r="CH123" i="7" s="1"/>
  <c r="CI123" i="7" s="1"/>
  <c r="W285" i="11"/>
  <c r="U285" i="2"/>
  <c r="AO285" i="11" s="1"/>
  <c r="J151" i="9"/>
  <c r="C152" i="9" s="1"/>
  <c r="E152" i="9" s="1"/>
  <c r="K151" i="9"/>
  <c r="L151" i="9" s="1"/>
  <c r="BK123" i="7" s="1"/>
  <c r="AT403" i="2"/>
  <c r="AW403" i="2" s="1"/>
  <c r="F403" i="11" s="1"/>
  <c r="BD404" i="2"/>
  <c r="BF404" i="2" s="1"/>
  <c r="BG404" i="2" s="1"/>
  <c r="BH404" i="2" s="1"/>
  <c r="BI404" i="2" s="1"/>
  <c r="AD284" i="2"/>
  <c r="AP405" i="2"/>
  <c r="BD405" i="2" s="1"/>
  <c r="BF405" i="2" s="1"/>
  <c r="BG405" i="2" s="1"/>
  <c r="CF137" i="7"/>
  <c r="CH137" i="7" s="1"/>
  <c r="CI137" i="7" s="1"/>
  <c r="AL405" i="2"/>
  <c r="AZ405" i="2" s="1"/>
  <c r="BB405" i="2" s="1"/>
  <c r="CQ281" i="7"/>
  <c r="CF284" i="7"/>
  <c r="CH284" i="7" s="1"/>
  <c r="CI284" i="7" s="1"/>
  <c r="CB284" i="7"/>
  <c r="AM404" i="2"/>
  <c r="AT404" i="2" s="1"/>
  <c r="AW404" i="2" s="1"/>
  <c r="F404" i="11" s="1"/>
  <c r="CK282" i="7"/>
  <c r="CQ282" i="7" s="1"/>
  <c r="CK136" i="7"/>
  <c r="CQ136" i="7" s="1"/>
  <c r="CK122" i="7"/>
  <c r="CQ122" i="7" s="1"/>
  <c r="M434" i="3"/>
  <c r="V407" i="2" s="1"/>
  <c r="AK407" i="2" s="1"/>
  <c r="L434" i="3"/>
  <c r="AE406" i="2" s="1"/>
  <c r="O434" i="3"/>
  <c r="AF406" i="2"/>
  <c r="BA406" i="2"/>
  <c r="B436" i="3"/>
  <c r="C435" i="3"/>
  <c r="E435" i="3" s="1"/>
  <c r="F435" i="3"/>
  <c r="AX407" i="11" s="1"/>
  <c r="G435" i="3"/>
  <c r="O407" i="11" s="1"/>
  <c r="H435" i="3"/>
  <c r="AZ407" i="11" s="1"/>
  <c r="I435" i="3"/>
  <c r="J435" i="3"/>
  <c r="P407" i="11" s="1"/>
  <c r="K435" i="3"/>
  <c r="CV284" i="7"/>
  <c r="CX284" i="7" s="1"/>
  <c r="CV137" i="7"/>
  <c r="CX137" i="7" s="1"/>
  <c r="CC283" i="7"/>
  <c r="CS283" i="7"/>
  <c r="CU283" i="7" s="1"/>
  <c r="CY283" i="7" s="1"/>
  <c r="CZ283" i="7" s="1"/>
  <c r="BU285" i="7"/>
  <c r="AD285" i="11" s="1"/>
  <c r="J166" i="9"/>
  <c r="R138" i="11" s="1"/>
  <c r="I166" i="9"/>
  <c r="K166" i="9"/>
  <c r="O166" i="9"/>
  <c r="BL138" i="7"/>
  <c r="L165" i="9"/>
  <c r="BK137" i="7" s="1"/>
  <c r="CB137" i="7" s="1"/>
  <c r="M165" i="9"/>
  <c r="AR138" i="7" s="1"/>
  <c r="CA138" i="7" s="1"/>
  <c r="AO288" i="2"/>
  <c r="BC288" i="2" s="1"/>
  <c r="L313" i="9"/>
  <c r="BK285" i="7" s="1"/>
  <c r="M313" i="9"/>
  <c r="AR286" i="7" s="1"/>
  <c r="CA286" i="7" s="1"/>
  <c r="D286" i="2"/>
  <c r="F286" i="2" s="1"/>
  <c r="O313" i="9"/>
  <c r="BL285" i="7"/>
  <c r="H314" i="9"/>
  <c r="BA286" i="11" s="1"/>
  <c r="C314" i="9"/>
  <c r="E314" i="9" s="1"/>
  <c r="B315" i="9"/>
  <c r="K314" i="9"/>
  <c r="G314" i="9"/>
  <c r="Q286" i="11" s="1"/>
  <c r="J314" i="9"/>
  <c r="R286" i="11" s="1"/>
  <c r="F314" i="9"/>
  <c r="AY286" i="11" s="1"/>
  <c r="I314" i="9"/>
  <c r="R123" i="11" l="1"/>
  <c r="F152" i="9"/>
  <c r="CB123" i="7"/>
  <c r="CC123" i="7" s="1"/>
  <c r="CK123" i="7" s="1"/>
  <c r="CQ123" i="7" s="1"/>
  <c r="CV123" i="7"/>
  <c r="CX123" i="7" s="1"/>
  <c r="W286" i="11"/>
  <c r="U286" i="2"/>
  <c r="AO286" i="11" s="1"/>
  <c r="CS123" i="7"/>
  <c r="CU123" i="7" s="1"/>
  <c r="M151" i="9"/>
  <c r="AR124" i="7" s="1"/>
  <c r="CA124" i="7" s="1"/>
  <c r="AD285" i="2"/>
  <c r="G152" i="9"/>
  <c r="Q124" i="11" s="1"/>
  <c r="BH405" i="2"/>
  <c r="BI405" i="2" s="1"/>
  <c r="AR405" i="2"/>
  <c r="AS405" i="2" s="1"/>
  <c r="AP406" i="2"/>
  <c r="BD406" i="2" s="1"/>
  <c r="BF406" i="2" s="1"/>
  <c r="BG406" i="2" s="1"/>
  <c r="AM405" i="2"/>
  <c r="CF138" i="7"/>
  <c r="CH138" i="7" s="1"/>
  <c r="CI138" i="7" s="1"/>
  <c r="H152" i="9"/>
  <c r="BA124" i="11" s="1"/>
  <c r="AL406" i="2"/>
  <c r="AZ406" i="2" s="1"/>
  <c r="BB406" i="2" s="1"/>
  <c r="CN282" i="7"/>
  <c r="I282" i="11" s="1"/>
  <c r="CN136" i="7"/>
  <c r="I136" i="11" s="1"/>
  <c r="CB285" i="7"/>
  <c r="CF285" i="7"/>
  <c r="CH285" i="7" s="1"/>
  <c r="CI285" i="7" s="1"/>
  <c r="CK283" i="7"/>
  <c r="CQ283" i="7" s="1"/>
  <c r="CN122" i="7"/>
  <c r="O435" i="3"/>
  <c r="AF407" i="2"/>
  <c r="B437" i="3"/>
  <c r="K436" i="3"/>
  <c r="C436" i="3"/>
  <c r="E436" i="3" s="1"/>
  <c r="F436" i="3"/>
  <c r="AX408" i="11" s="1"/>
  <c r="G436" i="3"/>
  <c r="O408" i="11" s="1"/>
  <c r="H436" i="3"/>
  <c r="AZ408" i="11" s="1"/>
  <c r="I436" i="3"/>
  <c r="J436" i="3"/>
  <c r="P408" i="11" s="1"/>
  <c r="M435" i="3"/>
  <c r="V408" i="2" s="1"/>
  <c r="AK408" i="2" s="1"/>
  <c r="L435" i="3"/>
  <c r="AE407" i="2" s="1"/>
  <c r="BA407" i="2"/>
  <c r="CV285" i="7"/>
  <c r="CX285" i="7" s="1"/>
  <c r="CC137" i="7"/>
  <c r="CS137" i="7"/>
  <c r="CU137" i="7" s="1"/>
  <c r="CY137" i="7" s="1"/>
  <c r="CZ137" i="7" s="1"/>
  <c r="CV138" i="7"/>
  <c r="CX138" i="7" s="1"/>
  <c r="CC284" i="7"/>
  <c r="CS284" i="7"/>
  <c r="CU284" i="7" s="1"/>
  <c r="CY284" i="7" s="1"/>
  <c r="CZ284" i="7" s="1"/>
  <c r="BU286" i="7"/>
  <c r="AD286" i="11" s="1"/>
  <c r="L166" i="9"/>
  <c r="BK138" i="7" s="1"/>
  <c r="CB138" i="7" s="1"/>
  <c r="M166" i="9"/>
  <c r="AR139" i="7" s="1"/>
  <c r="CA139" i="7" s="1"/>
  <c r="C167" i="9"/>
  <c r="E167" i="9" s="1"/>
  <c r="H167" i="9" s="1"/>
  <c r="BA139" i="11" s="1"/>
  <c r="F167" i="9"/>
  <c r="AY139" i="11" s="1"/>
  <c r="G167" i="9"/>
  <c r="Q139" i="11" s="1"/>
  <c r="AO289" i="2"/>
  <c r="BC289" i="2" s="1"/>
  <c r="D287" i="2"/>
  <c r="F287" i="2" s="1"/>
  <c r="L314" i="9"/>
  <c r="BK286" i="7" s="1"/>
  <c r="M314" i="9"/>
  <c r="AR287" i="7" s="1"/>
  <c r="CA287" i="7" s="1"/>
  <c r="O314" i="9"/>
  <c r="BL286" i="7"/>
  <c r="H315" i="9"/>
  <c r="BA287" i="11" s="1"/>
  <c r="C315" i="9"/>
  <c r="E315" i="9" s="1"/>
  <c r="B316" i="9"/>
  <c r="K315" i="9"/>
  <c r="G315" i="9"/>
  <c r="Q287" i="11" s="1"/>
  <c r="J315" i="9"/>
  <c r="R287" i="11" s="1"/>
  <c r="F315" i="9"/>
  <c r="AY287" i="11" s="1"/>
  <c r="I315" i="9"/>
  <c r="O152" i="9" l="1"/>
  <c r="AY124" i="11"/>
  <c r="CH124" i="11" s="1"/>
  <c r="Q56" i="20" s="1"/>
  <c r="BL124" i="7"/>
  <c r="CV124" i="7" s="1"/>
  <c r="CX124" i="7" s="1"/>
  <c r="CY123" i="7"/>
  <c r="CZ123" i="7" s="1"/>
  <c r="W287" i="11"/>
  <c r="U287" i="2"/>
  <c r="AO287" i="11" s="1"/>
  <c r="CJ124" i="11"/>
  <c r="Q76" i="20" s="1"/>
  <c r="AD286" i="2"/>
  <c r="K152" i="9"/>
  <c r="M152" i="9" s="1"/>
  <c r="AR125" i="7" s="1"/>
  <c r="CA125" i="7" s="1"/>
  <c r="CC125" i="7" s="1"/>
  <c r="CK125" i="7" s="1"/>
  <c r="CN125" i="7" s="1"/>
  <c r="I125" i="11" s="1"/>
  <c r="AL407" i="2"/>
  <c r="AZ407" i="2" s="1"/>
  <c r="BB407" i="2" s="1"/>
  <c r="AR406" i="2"/>
  <c r="AS406" i="2" s="1"/>
  <c r="AT405" i="2"/>
  <c r="AW405" i="2" s="1"/>
  <c r="F405" i="11" s="1"/>
  <c r="AP407" i="2"/>
  <c r="BD407" i="2" s="1"/>
  <c r="BF407" i="2" s="1"/>
  <c r="BG407" i="2" s="1"/>
  <c r="J152" i="9"/>
  <c r="R124" i="11" s="1"/>
  <c r="I152" i="9"/>
  <c r="AM406" i="2"/>
  <c r="BH406" i="2"/>
  <c r="BI406" i="2" s="1"/>
  <c r="CN283" i="7"/>
  <c r="I283" i="11" s="1"/>
  <c r="CB286" i="7"/>
  <c r="CF286" i="7"/>
  <c r="CH286" i="7" s="1"/>
  <c r="CI286" i="7" s="1"/>
  <c r="CN123" i="7"/>
  <c r="I123" i="11" s="1"/>
  <c r="I122" i="11"/>
  <c r="CK137" i="7"/>
  <c r="CQ137" i="7" s="1"/>
  <c r="CK284" i="7"/>
  <c r="CN284" i="7" s="1"/>
  <c r="I284" i="11" s="1"/>
  <c r="O436" i="3"/>
  <c r="AF408" i="2"/>
  <c r="M436" i="3"/>
  <c r="V409" i="2" s="1"/>
  <c r="AK409" i="2" s="1"/>
  <c r="L436" i="3"/>
  <c r="AE408" i="2" s="1"/>
  <c r="BA408" i="2"/>
  <c r="B438" i="3"/>
  <c r="K437" i="3"/>
  <c r="C437" i="3"/>
  <c r="E437" i="3" s="1"/>
  <c r="F437" i="3"/>
  <c r="AX409" i="11" s="1"/>
  <c r="G437" i="3"/>
  <c r="O409" i="11" s="1"/>
  <c r="H437" i="3"/>
  <c r="AZ409" i="11" s="1"/>
  <c r="I437" i="3"/>
  <c r="J437" i="3"/>
  <c r="P409" i="11" s="1"/>
  <c r="CV286" i="7"/>
  <c r="CX286" i="7" s="1"/>
  <c r="CC138" i="7"/>
  <c r="CS138" i="7"/>
  <c r="CU138" i="7" s="1"/>
  <c r="CY138" i="7" s="1"/>
  <c r="CZ138" i="7" s="1"/>
  <c r="CC285" i="7"/>
  <c r="CS285" i="7"/>
  <c r="CU285" i="7" s="1"/>
  <c r="CY285" i="7" s="1"/>
  <c r="CZ285" i="7" s="1"/>
  <c r="BU287" i="7"/>
  <c r="AD287" i="11" s="1"/>
  <c r="K167" i="9"/>
  <c r="J167" i="9"/>
  <c r="R139" i="11" s="1"/>
  <c r="I167" i="9"/>
  <c r="O167" i="9"/>
  <c r="BL139" i="7"/>
  <c r="AO290" i="2"/>
  <c r="BC290" i="2" s="1"/>
  <c r="O315" i="9"/>
  <c r="BL287" i="7"/>
  <c r="H316" i="9"/>
  <c r="BA288" i="11" s="1"/>
  <c r="C316" i="9"/>
  <c r="E316" i="9" s="1"/>
  <c r="B317" i="9"/>
  <c r="K316" i="9"/>
  <c r="G316" i="9"/>
  <c r="Q288" i="11" s="1"/>
  <c r="J316" i="9"/>
  <c r="R288" i="11" s="1"/>
  <c r="F316" i="9"/>
  <c r="AY288" i="11" s="1"/>
  <c r="I316" i="9"/>
  <c r="D288" i="2"/>
  <c r="F288" i="2" s="1"/>
  <c r="L315" i="9"/>
  <c r="BK287" i="7" s="1"/>
  <c r="M315" i="9"/>
  <c r="AR288" i="7" s="1"/>
  <c r="CA288" i="7" s="1"/>
  <c r="CF124" i="7" l="1"/>
  <c r="CH124" i="7" s="1"/>
  <c r="CI124" i="7" s="1"/>
  <c r="L152" i="9"/>
  <c r="BK124" i="7" s="1"/>
  <c r="CB124" i="7" s="1"/>
  <c r="CC124" i="7" s="1"/>
  <c r="W288" i="11"/>
  <c r="U288" i="2"/>
  <c r="AO288" i="11" s="1"/>
  <c r="CQ125" i="7"/>
  <c r="AM407" i="2"/>
  <c r="AT406" i="2"/>
  <c r="AW406" i="2" s="1"/>
  <c r="F406" i="11" s="1"/>
  <c r="AD287" i="2"/>
  <c r="AR407" i="2"/>
  <c r="AS407" i="2" s="1"/>
  <c r="AP408" i="2"/>
  <c r="BD408" i="2" s="1"/>
  <c r="BF408" i="2" s="1"/>
  <c r="BG408" i="2" s="1"/>
  <c r="CF139" i="7"/>
  <c r="CH139" i="7" s="1"/>
  <c r="CI139" i="7" s="1"/>
  <c r="AL408" i="2"/>
  <c r="AZ408" i="2" s="1"/>
  <c r="BB408" i="2" s="1"/>
  <c r="CB287" i="7"/>
  <c r="CF287" i="7"/>
  <c r="CH287" i="7" s="1"/>
  <c r="CI287" i="7" s="1"/>
  <c r="CQ284" i="7"/>
  <c r="CK285" i="7"/>
  <c r="CN285" i="7" s="1"/>
  <c r="I285" i="11" s="1"/>
  <c r="CN137" i="7"/>
  <c r="I137" i="11" s="1"/>
  <c r="CK138" i="7"/>
  <c r="CQ138" i="7" s="1"/>
  <c r="B439" i="3"/>
  <c r="C438" i="3"/>
  <c r="E438" i="3" s="1"/>
  <c r="F438" i="3"/>
  <c r="AX410" i="11" s="1"/>
  <c r="G438" i="3"/>
  <c r="O410" i="11" s="1"/>
  <c r="H438" i="3"/>
  <c r="AZ410" i="11" s="1"/>
  <c r="I438" i="3"/>
  <c r="J438" i="3"/>
  <c r="P410" i="11" s="1"/>
  <c r="K438" i="3"/>
  <c r="BA409" i="2"/>
  <c r="BH407" i="2"/>
  <c r="BI407" i="2" s="1"/>
  <c r="O437" i="3"/>
  <c r="AF409" i="2"/>
  <c r="CV287" i="7"/>
  <c r="CX287" i="7" s="1"/>
  <c r="M437" i="3"/>
  <c r="V410" i="2" s="1"/>
  <c r="AK410" i="2" s="1"/>
  <c r="L437" i="3"/>
  <c r="AE409" i="2" s="1"/>
  <c r="CC286" i="7"/>
  <c r="CS286" i="7"/>
  <c r="CU286" i="7" s="1"/>
  <c r="CY286" i="7" s="1"/>
  <c r="CZ286" i="7" s="1"/>
  <c r="CV139" i="7"/>
  <c r="CX139" i="7" s="1"/>
  <c r="BU288" i="7"/>
  <c r="AD288" i="11" s="1"/>
  <c r="G168" i="9"/>
  <c r="Q140" i="11" s="1"/>
  <c r="F168" i="9"/>
  <c r="AY140" i="11" s="1"/>
  <c r="C168" i="9"/>
  <c r="E168" i="9" s="1"/>
  <c r="H168" i="9" s="1"/>
  <c r="BA140" i="11" s="1"/>
  <c r="L167" i="9"/>
  <c r="BK139" i="7" s="1"/>
  <c r="CB139" i="7" s="1"/>
  <c r="M167" i="9"/>
  <c r="AR140" i="7" s="1"/>
  <c r="CA140" i="7" s="1"/>
  <c r="AO291" i="2"/>
  <c r="BC291" i="2" s="1"/>
  <c r="D289" i="2"/>
  <c r="F289" i="2" s="1"/>
  <c r="L316" i="9"/>
  <c r="BK288" i="7" s="1"/>
  <c r="M316" i="9"/>
  <c r="AR289" i="7" s="1"/>
  <c r="CA289" i="7" s="1"/>
  <c r="O316" i="9"/>
  <c r="BL288" i="7"/>
  <c r="H317" i="9"/>
  <c r="BA289" i="11" s="1"/>
  <c r="C317" i="9"/>
  <c r="E317" i="9" s="1"/>
  <c r="B318" i="9"/>
  <c r="J317" i="9"/>
  <c r="R289" i="11" s="1"/>
  <c r="I317" i="9"/>
  <c r="G317" i="9"/>
  <c r="Q289" i="11" s="1"/>
  <c r="K317" i="9"/>
  <c r="F317" i="9"/>
  <c r="AY289" i="11" s="1"/>
  <c r="AT407" i="2" l="1"/>
  <c r="AW407" i="2" s="1"/>
  <c r="F407" i="11" s="1"/>
  <c r="CS124" i="7"/>
  <c r="CU124" i="7" s="1"/>
  <c r="CY124" i="7" s="1"/>
  <c r="CZ124" i="7" s="1"/>
  <c r="W289" i="11"/>
  <c r="U289" i="2"/>
  <c r="AO289" i="11" s="1"/>
  <c r="AD288" i="2"/>
  <c r="AR408" i="2"/>
  <c r="AS408" i="2" s="1"/>
  <c r="AP409" i="2"/>
  <c r="AR409" i="2" s="1"/>
  <c r="AS409" i="2" s="1"/>
  <c r="AM408" i="2"/>
  <c r="CQ285" i="7"/>
  <c r="BH408" i="2"/>
  <c r="BI408" i="2" s="1"/>
  <c r="CF288" i="7"/>
  <c r="CH288" i="7" s="1"/>
  <c r="CI288" i="7" s="1"/>
  <c r="CB288" i="7"/>
  <c r="CN138" i="7"/>
  <c r="I138" i="11" s="1"/>
  <c r="CK286" i="7"/>
  <c r="CQ286" i="7" s="1"/>
  <c r="CK124" i="7"/>
  <c r="CN124" i="7" s="1"/>
  <c r="CV288" i="7"/>
  <c r="CX288" i="7" s="1"/>
  <c r="L438" i="3"/>
  <c r="AE410" i="2" s="1"/>
  <c r="M438" i="3"/>
  <c r="V411" i="2" s="1"/>
  <c r="AK411" i="2" s="1"/>
  <c r="BA410" i="2"/>
  <c r="O438" i="3"/>
  <c r="AF410" i="2"/>
  <c r="AL409" i="2"/>
  <c r="B440" i="3"/>
  <c r="C439" i="3"/>
  <c r="E439" i="3" s="1"/>
  <c r="F439" i="3"/>
  <c r="AX411" i="11" s="1"/>
  <c r="G439" i="3"/>
  <c r="O411" i="11" s="1"/>
  <c r="H439" i="3"/>
  <c r="AZ411" i="11" s="1"/>
  <c r="I439" i="3"/>
  <c r="J439" i="3"/>
  <c r="P411" i="11" s="1"/>
  <c r="K439" i="3"/>
  <c r="CC287" i="7"/>
  <c r="CS287" i="7"/>
  <c r="CU287" i="7" s="1"/>
  <c r="CY287" i="7" s="1"/>
  <c r="CZ287" i="7" s="1"/>
  <c r="CC139" i="7"/>
  <c r="CS139" i="7"/>
  <c r="CU139" i="7" s="1"/>
  <c r="CY139" i="7" s="1"/>
  <c r="CZ139" i="7" s="1"/>
  <c r="BU289" i="7"/>
  <c r="AD289" i="11" s="1"/>
  <c r="K168" i="9"/>
  <c r="J168" i="9"/>
  <c r="R140" i="11" s="1"/>
  <c r="I168" i="9"/>
  <c r="BL140" i="7"/>
  <c r="O168" i="9"/>
  <c r="AO292" i="2"/>
  <c r="BC292" i="2" s="1"/>
  <c r="L317" i="9"/>
  <c r="BK289" i="7" s="1"/>
  <c r="M317" i="9"/>
  <c r="AR290" i="7" s="1"/>
  <c r="CA290" i="7" s="1"/>
  <c r="H318" i="9"/>
  <c r="BA290" i="11" s="1"/>
  <c r="C318" i="9"/>
  <c r="E318" i="9" s="1"/>
  <c r="I318" i="9"/>
  <c r="G318" i="9"/>
  <c r="Q290" i="11" s="1"/>
  <c r="K318" i="9"/>
  <c r="F318" i="9"/>
  <c r="AY290" i="11" s="1"/>
  <c r="J318" i="9"/>
  <c r="R290" i="11" s="1"/>
  <c r="B319" i="9"/>
  <c r="D290" i="2"/>
  <c r="F290" i="2" s="1"/>
  <c r="O317" i="9"/>
  <c r="BL289" i="7"/>
  <c r="BD409" i="2" l="1"/>
  <c r="BF409" i="2" s="1"/>
  <c r="BG409" i="2" s="1"/>
  <c r="W290" i="11"/>
  <c r="U290" i="2"/>
  <c r="AT408" i="2"/>
  <c r="AW408" i="2" s="1"/>
  <c r="F408" i="11" s="1"/>
  <c r="AD289" i="2"/>
  <c r="AP410" i="2"/>
  <c r="BD410" i="2" s="1"/>
  <c r="BF410" i="2" s="1"/>
  <c r="BG410" i="2" s="1"/>
  <c r="CF140" i="7"/>
  <c r="CH140" i="7" s="1"/>
  <c r="CI140" i="7" s="1"/>
  <c r="CN286" i="7"/>
  <c r="I286" i="11" s="1"/>
  <c r="AL410" i="2"/>
  <c r="AZ410" i="2" s="1"/>
  <c r="BB410" i="2" s="1"/>
  <c r="CV289" i="7"/>
  <c r="CX289" i="7" s="1"/>
  <c r="CF289" i="7"/>
  <c r="CH289" i="7" s="1"/>
  <c r="CI289" i="7" s="1"/>
  <c r="CB289" i="7"/>
  <c r="CQ124" i="7"/>
  <c r="I124" i="11"/>
  <c r="CK139" i="7"/>
  <c r="CQ139" i="7" s="1"/>
  <c r="CK287" i="7"/>
  <c r="CN287" i="7" s="1"/>
  <c r="I287" i="11" s="1"/>
  <c r="O439" i="3"/>
  <c r="AF411" i="2"/>
  <c r="B441" i="3"/>
  <c r="C440" i="3"/>
  <c r="E440" i="3" s="1"/>
  <c r="F440" i="3"/>
  <c r="AX412" i="11" s="1"/>
  <c r="G440" i="3"/>
  <c r="O412" i="11" s="1"/>
  <c r="H440" i="3"/>
  <c r="AZ412" i="11" s="1"/>
  <c r="I440" i="3"/>
  <c r="J440" i="3"/>
  <c r="P412" i="11" s="1"/>
  <c r="K440" i="3"/>
  <c r="BA411" i="2"/>
  <c r="M439" i="3"/>
  <c r="V412" i="2" s="1"/>
  <c r="AK412" i="2" s="1"/>
  <c r="L439" i="3"/>
  <c r="AE411" i="2" s="1"/>
  <c r="AZ409" i="2"/>
  <c r="BB409" i="2" s="1"/>
  <c r="AM409" i="2"/>
  <c r="AT409" i="2" s="1"/>
  <c r="AW409" i="2" s="1"/>
  <c r="F409" i="11" s="1"/>
  <c r="CV140" i="7"/>
  <c r="CX140" i="7" s="1"/>
  <c r="CC288" i="7"/>
  <c r="CS288" i="7"/>
  <c r="CU288" i="7" s="1"/>
  <c r="CY288" i="7" s="1"/>
  <c r="CZ288" i="7" s="1"/>
  <c r="AO290" i="11"/>
  <c r="BU290" i="7"/>
  <c r="AD290" i="11" s="1"/>
  <c r="G169" i="9"/>
  <c r="Q141" i="11" s="1"/>
  <c r="H169" i="9"/>
  <c r="BA141" i="11" s="1"/>
  <c r="F169" i="9"/>
  <c r="AY141" i="11" s="1"/>
  <c r="C169" i="9"/>
  <c r="E169" i="9" s="1"/>
  <c r="L168" i="9"/>
  <c r="BK140" i="7" s="1"/>
  <c r="CB140" i="7" s="1"/>
  <c r="M168" i="9"/>
  <c r="AR141" i="7" s="1"/>
  <c r="CA141" i="7" s="1"/>
  <c r="AO293" i="2"/>
  <c r="BC293" i="2" s="1"/>
  <c r="O318" i="9"/>
  <c r="BL290" i="7"/>
  <c r="L318" i="9"/>
  <c r="BK290" i="7" s="1"/>
  <c r="M318" i="9"/>
  <c r="AR291" i="7" s="1"/>
  <c r="CA291" i="7" s="1"/>
  <c r="D291" i="2"/>
  <c r="F291" i="2" s="1"/>
  <c r="I319" i="9"/>
  <c r="H319" i="9"/>
  <c r="BA291" i="11" s="1"/>
  <c r="C319" i="9"/>
  <c r="E319" i="9" s="1"/>
  <c r="B320" i="9"/>
  <c r="G319" i="9"/>
  <c r="Q291" i="11" s="1"/>
  <c r="F319" i="9"/>
  <c r="AY291" i="11" s="1"/>
  <c r="K319" i="9"/>
  <c r="J319" i="9"/>
  <c r="R291" i="11" s="1"/>
  <c r="BH409" i="2" l="1"/>
  <c r="BI409" i="2" s="1"/>
  <c r="AR410" i="2"/>
  <c r="AS410" i="2" s="1"/>
  <c r="W291" i="11"/>
  <c r="U291" i="2"/>
  <c r="AO291" i="11" s="1"/>
  <c r="CG412" i="11"/>
  <c r="AO55" i="20" s="1"/>
  <c r="AD290" i="2"/>
  <c r="AM410" i="2"/>
  <c r="CI412" i="11"/>
  <c r="AO75" i="20" s="1"/>
  <c r="AP411" i="2"/>
  <c r="AR411" i="2" s="1"/>
  <c r="AS411" i="2" s="1"/>
  <c r="CQ287" i="7"/>
  <c r="CN139" i="7"/>
  <c r="I139" i="11" s="1"/>
  <c r="CB290" i="7"/>
  <c r="CF290" i="7"/>
  <c r="CH290" i="7" s="1"/>
  <c r="CI290" i="7" s="1"/>
  <c r="CK288" i="7"/>
  <c r="CN288" i="7" s="1"/>
  <c r="I288" i="11" s="1"/>
  <c r="BA412" i="2"/>
  <c r="O440" i="3"/>
  <c r="AF412" i="2"/>
  <c r="B442" i="3"/>
  <c r="C441" i="3"/>
  <c r="E441" i="3" s="1"/>
  <c r="F441" i="3"/>
  <c r="AX413" i="11" s="1"/>
  <c r="G441" i="3"/>
  <c r="O413" i="11" s="1"/>
  <c r="H441" i="3"/>
  <c r="AZ413" i="11" s="1"/>
  <c r="I441" i="3"/>
  <c r="J441" i="3"/>
  <c r="P413" i="11" s="1"/>
  <c r="K441" i="3"/>
  <c r="M440" i="3"/>
  <c r="V413" i="2" s="1"/>
  <c r="AK413" i="2" s="1"/>
  <c r="L440" i="3"/>
  <c r="AE412" i="2" s="1"/>
  <c r="BH410" i="2"/>
  <c r="BI410" i="2" s="1"/>
  <c r="AL411" i="2"/>
  <c r="CV290" i="7"/>
  <c r="CX290" i="7" s="1"/>
  <c r="CC140" i="7"/>
  <c r="CS140" i="7"/>
  <c r="CU140" i="7" s="1"/>
  <c r="CY140" i="7" s="1"/>
  <c r="CZ140" i="7" s="1"/>
  <c r="CC289" i="7"/>
  <c r="CS289" i="7"/>
  <c r="CU289" i="7" s="1"/>
  <c r="CY289" i="7" s="1"/>
  <c r="CZ289" i="7" s="1"/>
  <c r="BU291" i="7"/>
  <c r="AD291" i="11" s="1"/>
  <c r="J169" i="9"/>
  <c r="R141" i="11" s="1"/>
  <c r="I169" i="9"/>
  <c r="K169" i="9"/>
  <c r="O169" i="9"/>
  <c r="BL141" i="7"/>
  <c r="AO294" i="2"/>
  <c r="BC294" i="2" s="1"/>
  <c r="I320" i="9"/>
  <c r="H320" i="9"/>
  <c r="BA292" i="11" s="1"/>
  <c r="C320" i="9"/>
  <c r="E320" i="9" s="1"/>
  <c r="K320" i="9"/>
  <c r="J320" i="9"/>
  <c r="R292" i="11" s="1"/>
  <c r="B321" i="9"/>
  <c r="G320" i="9"/>
  <c r="Q292" i="11" s="1"/>
  <c r="F320" i="9"/>
  <c r="AY292" i="11" s="1"/>
  <c r="O319" i="9"/>
  <c r="BL291" i="7"/>
  <c r="D292" i="2"/>
  <c r="M319" i="9"/>
  <c r="AR292" i="7" s="1"/>
  <c r="CA292" i="7" s="1"/>
  <c r="L319" i="9"/>
  <c r="BK291" i="7" s="1"/>
  <c r="AT410" i="2" l="1"/>
  <c r="AW410" i="2" s="1"/>
  <c r="F410" i="11" s="1"/>
  <c r="CH292" i="11"/>
  <c r="AE56" i="20" s="1"/>
  <c r="CJ292" i="11"/>
  <c r="AE76" i="20" s="1"/>
  <c r="BD411" i="2"/>
  <c r="BF411" i="2" s="1"/>
  <c r="BG411" i="2" s="1"/>
  <c r="AD291" i="2"/>
  <c r="AP412" i="2"/>
  <c r="AR412" i="2" s="1"/>
  <c r="AS412" i="2" s="1"/>
  <c r="CF141" i="7"/>
  <c r="CH141" i="7" s="1"/>
  <c r="CI141" i="7" s="1"/>
  <c r="CF291" i="7"/>
  <c r="CH291" i="7" s="1"/>
  <c r="CI291" i="7" s="1"/>
  <c r="CB291" i="7"/>
  <c r="CQ288" i="7"/>
  <c r="CK289" i="7"/>
  <c r="CQ289" i="7" s="1"/>
  <c r="CK140" i="7"/>
  <c r="CN140" i="7" s="1"/>
  <c r="I140" i="11" s="1"/>
  <c r="AL412" i="2"/>
  <c r="AZ412" i="2" s="1"/>
  <c r="BB412" i="2" s="1"/>
  <c r="O441" i="3"/>
  <c r="AF413" i="2"/>
  <c r="BA413" i="2"/>
  <c r="B443" i="3"/>
  <c r="F442" i="3"/>
  <c r="AX414" i="11" s="1"/>
  <c r="G442" i="3"/>
  <c r="O414" i="11" s="1"/>
  <c r="H442" i="3"/>
  <c r="AZ414" i="11" s="1"/>
  <c r="I442" i="3"/>
  <c r="J442" i="3"/>
  <c r="P414" i="11" s="1"/>
  <c r="K442" i="3"/>
  <c r="C442" i="3"/>
  <c r="E442" i="3" s="1"/>
  <c r="L441" i="3"/>
  <c r="AE413" i="2" s="1"/>
  <c r="M441" i="3"/>
  <c r="V414" i="2" s="1"/>
  <c r="AK414" i="2" s="1"/>
  <c r="AZ411" i="2"/>
  <c r="BB411" i="2" s="1"/>
  <c r="AM411" i="2"/>
  <c r="AT411" i="2" s="1"/>
  <c r="AW411" i="2" s="1"/>
  <c r="F411" i="11" s="1"/>
  <c r="CV291" i="7"/>
  <c r="CX291" i="7" s="1"/>
  <c r="CV141" i="7"/>
  <c r="CX141" i="7" s="1"/>
  <c r="CC290" i="7"/>
  <c r="CS290" i="7"/>
  <c r="CU290" i="7" s="1"/>
  <c r="CY290" i="7" s="1"/>
  <c r="CZ290" i="7" s="1"/>
  <c r="F292" i="2"/>
  <c r="U292" i="2" s="1"/>
  <c r="V44" i="5"/>
  <c r="W44" i="5" s="1"/>
  <c r="M169" i="9"/>
  <c r="AR142" i="7" s="1"/>
  <c r="CA142" i="7" s="1"/>
  <c r="L169" i="9"/>
  <c r="BK141" i="7" s="1"/>
  <c r="CB141" i="7" s="1"/>
  <c r="F170" i="9"/>
  <c r="AY142" i="11" s="1"/>
  <c r="G170" i="9"/>
  <c r="Q142" i="11" s="1"/>
  <c r="C170" i="9"/>
  <c r="E170" i="9" s="1"/>
  <c r="H170" i="9" s="1"/>
  <c r="BA142" i="11" s="1"/>
  <c r="AO295" i="2"/>
  <c r="BC295" i="2" s="1"/>
  <c r="O320" i="9"/>
  <c r="BL292" i="7"/>
  <c r="M320" i="9"/>
  <c r="AR293" i="7" s="1"/>
  <c r="CA293" i="7" s="1"/>
  <c r="L320" i="9"/>
  <c r="BK292" i="7" s="1"/>
  <c r="I321" i="9"/>
  <c r="H321" i="9"/>
  <c r="BA293" i="11" s="1"/>
  <c r="C321" i="9"/>
  <c r="E321" i="9" s="1"/>
  <c r="B322" i="9"/>
  <c r="G321" i="9"/>
  <c r="Q293" i="11" s="1"/>
  <c r="F321" i="9"/>
  <c r="AY293" i="11" s="1"/>
  <c r="K321" i="9"/>
  <c r="J321" i="9"/>
  <c r="R293" i="11" s="1"/>
  <c r="D293" i="2"/>
  <c r="F293" i="2" s="1"/>
  <c r="W293" i="11" l="1"/>
  <c r="U293" i="2"/>
  <c r="AO293" i="11" s="1"/>
  <c r="BD412" i="2"/>
  <c r="BF412" i="2" s="1"/>
  <c r="BG412" i="2" s="1"/>
  <c r="BH411" i="2"/>
  <c r="BI411" i="2" s="1"/>
  <c r="AP413" i="2"/>
  <c r="BD413" i="2" s="1"/>
  <c r="BF413" i="2" s="1"/>
  <c r="BG413" i="2" s="1"/>
  <c r="AO292" i="11"/>
  <c r="W292" i="11"/>
  <c r="BF292" i="11" s="1"/>
  <c r="AE35" i="20" s="1"/>
  <c r="AL413" i="2"/>
  <c r="AZ413" i="2" s="1"/>
  <c r="BB413" i="2" s="1"/>
  <c r="AM412" i="2"/>
  <c r="AT412" i="2" s="1"/>
  <c r="AW412" i="2" s="1"/>
  <c r="F412" i="11" s="1"/>
  <c r="BH412" i="2"/>
  <c r="BI412" i="2" s="1"/>
  <c r="CN289" i="7"/>
  <c r="I289" i="11" s="1"/>
  <c r="CK290" i="7"/>
  <c r="CN290" i="7" s="1"/>
  <c r="I290" i="11" s="1"/>
  <c r="CQ140" i="7"/>
  <c r="BA414" i="2"/>
  <c r="O442" i="3"/>
  <c r="AF414" i="2"/>
  <c r="B444" i="3"/>
  <c r="G443" i="3"/>
  <c r="O415" i="11" s="1"/>
  <c r="H443" i="3"/>
  <c r="AZ415" i="11" s="1"/>
  <c r="I443" i="3"/>
  <c r="J443" i="3"/>
  <c r="P415" i="11" s="1"/>
  <c r="K443" i="3"/>
  <c r="M443" i="3" s="1"/>
  <c r="V416" i="2" s="1"/>
  <c r="AK416" i="2" s="1"/>
  <c r="C443" i="3"/>
  <c r="E443" i="3" s="1"/>
  <c r="F443" i="3"/>
  <c r="AX415" i="11" s="1"/>
  <c r="M442" i="3"/>
  <c r="V415" i="2" s="1"/>
  <c r="AK415" i="2" s="1"/>
  <c r="L442" i="3"/>
  <c r="AE414" i="2" s="1"/>
  <c r="BU292" i="7"/>
  <c r="CC141" i="7"/>
  <c r="CS141" i="7"/>
  <c r="CU141" i="7" s="1"/>
  <c r="CY141" i="7" s="1"/>
  <c r="CZ141" i="7" s="1"/>
  <c r="CC291" i="7"/>
  <c r="CS291" i="7"/>
  <c r="CU291" i="7" s="1"/>
  <c r="CY291" i="7" s="1"/>
  <c r="CZ291" i="7" s="1"/>
  <c r="AD292" i="2"/>
  <c r="BU293" i="7"/>
  <c r="AD293" i="11" s="1"/>
  <c r="K170" i="9"/>
  <c r="I170" i="9"/>
  <c r="J170" i="9"/>
  <c r="R142" i="11" s="1"/>
  <c r="BL142" i="7"/>
  <c r="O170" i="9"/>
  <c r="AO296" i="2"/>
  <c r="BC296" i="2" s="1"/>
  <c r="M321" i="9"/>
  <c r="AR294" i="7" s="1"/>
  <c r="CA294" i="7" s="1"/>
  <c r="L321" i="9"/>
  <c r="BK293" i="7" s="1"/>
  <c r="I322" i="9"/>
  <c r="H322" i="9"/>
  <c r="BA294" i="11" s="1"/>
  <c r="C322" i="9"/>
  <c r="E322" i="9" s="1"/>
  <c r="K322" i="9"/>
  <c r="J322" i="9"/>
  <c r="R294" i="11" s="1"/>
  <c r="B323" i="9"/>
  <c r="G322" i="9"/>
  <c r="Q294" i="11" s="1"/>
  <c r="F322" i="9"/>
  <c r="AY294" i="11" s="1"/>
  <c r="O321" i="9"/>
  <c r="BL293" i="7"/>
  <c r="D294" i="2"/>
  <c r="F294" i="2" s="1"/>
  <c r="W294" i="11" l="1"/>
  <c r="U294" i="2"/>
  <c r="AO294" i="11" s="1"/>
  <c r="AD292" i="11"/>
  <c r="BM292" i="11" s="1"/>
  <c r="AE14" i="20" s="1"/>
  <c r="AE15" i="20" s="1"/>
  <c r="AE19" i="20" s="1"/>
  <c r="AE67" i="20" s="1"/>
  <c r="B290" i="19"/>
  <c r="BX292" i="11"/>
  <c r="AE36" i="20" s="1"/>
  <c r="AE40" i="20" s="1"/>
  <c r="AE41" i="20" s="1"/>
  <c r="AR413" i="2"/>
  <c r="AS413" i="2" s="1"/>
  <c r="AP414" i="2"/>
  <c r="BD414" i="2" s="1"/>
  <c r="BF414" i="2" s="1"/>
  <c r="BG414" i="2" s="1"/>
  <c r="CF142" i="7"/>
  <c r="CH142" i="7" s="1"/>
  <c r="CI142" i="7" s="1"/>
  <c r="BH413" i="2"/>
  <c r="BI413" i="2" s="1"/>
  <c r="AM413" i="2"/>
  <c r="L443" i="3"/>
  <c r="AE415" i="2" s="1"/>
  <c r="N290" i="19"/>
  <c r="CQ290" i="7"/>
  <c r="CV292" i="7"/>
  <c r="CX292" i="7" s="1"/>
  <c r="CF292" i="7"/>
  <c r="CH292" i="7" s="1"/>
  <c r="CI292" i="7" s="1"/>
  <c r="CB292" i="7"/>
  <c r="CC292" i="7" s="1"/>
  <c r="CB293" i="7"/>
  <c r="CF293" i="7"/>
  <c r="CH293" i="7" s="1"/>
  <c r="CI293" i="7" s="1"/>
  <c r="CK141" i="7"/>
  <c r="CN141" i="7" s="1"/>
  <c r="I141" i="11" s="1"/>
  <c r="CK291" i="7"/>
  <c r="CN291" i="7" s="1"/>
  <c r="I291" i="11" s="1"/>
  <c r="B445" i="3"/>
  <c r="G444" i="3"/>
  <c r="O416" i="11" s="1"/>
  <c r="H444" i="3"/>
  <c r="AZ416" i="11" s="1"/>
  <c r="I444" i="3"/>
  <c r="J444" i="3"/>
  <c r="P416" i="11" s="1"/>
  <c r="K444" i="3"/>
  <c r="C444" i="3"/>
  <c r="E444" i="3" s="1"/>
  <c r="F444" i="3"/>
  <c r="AX416" i="11" s="1"/>
  <c r="O443" i="3"/>
  <c r="AF415" i="2"/>
  <c r="BA416" i="2"/>
  <c r="CV293" i="7"/>
  <c r="CX293" i="7" s="1"/>
  <c r="BA415" i="2"/>
  <c r="AL414" i="2"/>
  <c r="CV142" i="7"/>
  <c r="CX142" i="7" s="1"/>
  <c r="AD293" i="2"/>
  <c r="BU294" i="7"/>
  <c r="AD294" i="11" s="1"/>
  <c r="C171" i="9"/>
  <c r="E171" i="9" s="1"/>
  <c r="F171" i="9"/>
  <c r="AY143" i="11" s="1"/>
  <c r="M170" i="9"/>
  <c r="AR143" i="7" s="1"/>
  <c r="CA143" i="7" s="1"/>
  <c r="L170" i="9"/>
  <c r="BK142" i="7" s="1"/>
  <c r="CB142" i="7" s="1"/>
  <c r="AO297" i="2"/>
  <c r="BC297" i="2" s="1"/>
  <c r="M322" i="9"/>
  <c r="AR295" i="7" s="1"/>
  <c r="CA295" i="7" s="1"/>
  <c r="L322" i="9"/>
  <c r="BK294" i="7" s="1"/>
  <c r="D295" i="2"/>
  <c r="F295" i="2" s="1"/>
  <c r="O322" i="9"/>
  <c r="BL294" i="7"/>
  <c r="I323" i="9"/>
  <c r="H323" i="9"/>
  <c r="BA295" i="11" s="1"/>
  <c r="C323" i="9"/>
  <c r="E323" i="9" s="1"/>
  <c r="B324" i="9"/>
  <c r="G323" i="9"/>
  <c r="Q295" i="11" s="1"/>
  <c r="F323" i="9"/>
  <c r="AY295" i="11" s="1"/>
  <c r="K323" i="9"/>
  <c r="J323" i="9"/>
  <c r="R295" i="11" s="1"/>
  <c r="W295" i="11" l="1"/>
  <c r="U295" i="2"/>
  <c r="AO295" i="11" s="1"/>
  <c r="AE42" i="20"/>
  <c r="AR414" i="2"/>
  <c r="AS414" i="2" s="1"/>
  <c r="AD294" i="2"/>
  <c r="AT413" i="2"/>
  <c r="AW413" i="2" s="1"/>
  <c r="F413" i="11" s="1"/>
  <c r="H171" i="9"/>
  <c r="BA143" i="11" s="1"/>
  <c r="AP415" i="2"/>
  <c r="BD415" i="2" s="1"/>
  <c r="BF415" i="2" s="1"/>
  <c r="BG415" i="2" s="1"/>
  <c r="CS292" i="7"/>
  <c r="CU292" i="7" s="1"/>
  <c r="CY292" i="7" s="1"/>
  <c r="CZ292" i="7" s="1"/>
  <c r="CV294" i="7"/>
  <c r="CX294" i="7" s="1"/>
  <c r="CK292" i="7"/>
  <c r="CN292" i="7" s="1"/>
  <c r="I292" i="11" s="1"/>
  <c r="CQ291" i="7"/>
  <c r="CB294" i="7"/>
  <c r="CF294" i="7"/>
  <c r="CH294" i="7" s="1"/>
  <c r="CI294" i="7" s="1"/>
  <c r="CQ141" i="7"/>
  <c r="AL415" i="2"/>
  <c r="AZ415" i="2" s="1"/>
  <c r="BB415" i="2" s="1"/>
  <c r="O444" i="3"/>
  <c r="AF416" i="2"/>
  <c r="M444" i="3"/>
  <c r="V417" i="2" s="1"/>
  <c r="AK417" i="2" s="1"/>
  <c r="L444" i="3"/>
  <c r="AE416" i="2" s="1"/>
  <c r="AZ414" i="2"/>
  <c r="BB414" i="2" s="1"/>
  <c r="BH414" i="2" s="1"/>
  <c r="BI414" i="2" s="1"/>
  <c r="AM414" i="2"/>
  <c r="AT414" i="2" s="1"/>
  <c r="AW414" i="2" s="1"/>
  <c r="F414" i="11" s="1"/>
  <c r="B446" i="3"/>
  <c r="F445" i="3"/>
  <c r="AX417" i="11" s="1"/>
  <c r="G445" i="3"/>
  <c r="O417" i="11" s="1"/>
  <c r="H445" i="3"/>
  <c r="AZ417" i="11" s="1"/>
  <c r="I445" i="3"/>
  <c r="J445" i="3"/>
  <c r="P417" i="11" s="1"/>
  <c r="K445" i="3"/>
  <c r="C445" i="3"/>
  <c r="E445" i="3" s="1"/>
  <c r="CC142" i="7"/>
  <c r="CS142" i="7"/>
  <c r="CU142" i="7" s="1"/>
  <c r="CY142" i="7" s="1"/>
  <c r="CZ142" i="7" s="1"/>
  <c r="CC293" i="7"/>
  <c r="CS293" i="7"/>
  <c r="CU293" i="7" s="1"/>
  <c r="CY293" i="7" s="1"/>
  <c r="CZ293" i="7" s="1"/>
  <c r="BU295" i="7"/>
  <c r="AD295" i="11" s="1"/>
  <c r="I171" i="9"/>
  <c r="K171" i="9"/>
  <c r="J171" i="9"/>
  <c r="R143" i="11" s="1"/>
  <c r="G171" i="9"/>
  <c r="Q143" i="11" s="1"/>
  <c r="O171" i="9"/>
  <c r="BL143" i="7"/>
  <c r="AO298" i="2"/>
  <c r="BC298" i="2" s="1"/>
  <c r="M323" i="9"/>
  <c r="AR296" i="7" s="1"/>
  <c r="CA296" i="7" s="1"/>
  <c r="L323" i="9"/>
  <c r="BK295" i="7" s="1"/>
  <c r="O323" i="9"/>
  <c r="BL295" i="7"/>
  <c r="D296" i="2"/>
  <c r="F296" i="2" s="1"/>
  <c r="I324" i="9"/>
  <c r="H324" i="9"/>
  <c r="BA296" i="11" s="1"/>
  <c r="C324" i="9"/>
  <c r="E324" i="9" s="1"/>
  <c r="K324" i="9"/>
  <c r="J324" i="9"/>
  <c r="R296" i="11" s="1"/>
  <c r="B325" i="9"/>
  <c r="G324" i="9"/>
  <c r="Q296" i="11" s="1"/>
  <c r="F324" i="9"/>
  <c r="AY296" i="11" s="1"/>
  <c r="W296" i="11" l="1"/>
  <c r="U296" i="2"/>
  <c r="AO296" i="11" s="1"/>
  <c r="AD295" i="2"/>
  <c r="AR415" i="2"/>
  <c r="AS415" i="2" s="1"/>
  <c r="AP416" i="2"/>
  <c r="BD416" i="2" s="1"/>
  <c r="BF416" i="2" s="1"/>
  <c r="BG416" i="2" s="1"/>
  <c r="CF143" i="7"/>
  <c r="CH143" i="7" s="1"/>
  <c r="CI143" i="7" s="1"/>
  <c r="CB295" i="7"/>
  <c r="CF295" i="7"/>
  <c r="CH295" i="7" s="1"/>
  <c r="CI295" i="7" s="1"/>
  <c r="AM415" i="2"/>
  <c r="CK293" i="7"/>
  <c r="CN293" i="7" s="1"/>
  <c r="I293" i="11" s="1"/>
  <c r="CK142" i="7"/>
  <c r="CQ142" i="7" s="1"/>
  <c r="CQ292" i="7"/>
  <c r="AL416" i="2"/>
  <c r="AZ416" i="2" s="1"/>
  <c r="BB416" i="2" s="1"/>
  <c r="BH415" i="2"/>
  <c r="BI415" i="2" s="1"/>
  <c r="O445" i="3"/>
  <c r="AF417" i="2"/>
  <c r="B447" i="3"/>
  <c r="G446" i="3"/>
  <c r="O418" i="11" s="1"/>
  <c r="H446" i="3"/>
  <c r="AZ418" i="11" s="1"/>
  <c r="I446" i="3"/>
  <c r="J446" i="3"/>
  <c r="P418" i="11" s="1"/>
  <c r="K446" i="3"/>
  <c r="C446" i="3"/>
  <c r="E446" i="3" s="1"/>
  <c r="F446" i="3"/>
  <c r="AX418" i="11" s="1"/>
  <c r="BA417" i="2"/>
  <c r="M445" i="3"/>
  <c r="V418" i="2" s="1"/>
  <c r="AK418" i="2" s="1"/>
  <c r="L445" i="3"/>
  <c r="AE417" i="2" s="1"/>
  <c r="CV295" i="7"/>
  <c r="CX295" i="7" s="1"/>
  <c r="CC294" i="7"/>
  <c r="CS294" i="7"/>
  <c r="CU294" i="7" s="1"/>
  <c r="CY294" i="7" s="1"/>
  <c r="CZ294" i="7" s="1"/>
  <c r="CV143" i="7"/>
  <c r="CX143" i="7" s="1"/>
  <c r="BU296" i="7"/>
  <c r="AD296" i="11" s="1"/>
  <c r="C172" i="9"/>
  <c r="E172" i="9" s="1"/>
  <c r="H172" i="9" s="1"/>
  <c r="BA144" i="11" s="1"/>
  <c r="F172" i="9"/>
  <c r="AY144" i="11" s="1"/>
  <c r="M171" i="9"/>
  <c r="AR144" i="7" s="1"/>
  <c r="CA144" i="7" s="1"/>
  <c r="L171" i="9"/>
  <c r="BK143" i="7" s="1"/>
  <c r="CB143" i="7" s="1"/>
  <c r="AO299" i="2"/>
  <c r="BC299" i="2" s="1"/>
  <c r="O324" i="9"/>
  <c r="BL296" i="7"/>
  <c r="I325" i="9"/>
  <c r="H325" i="9"/>
  <c r="BA297" i="11" s="1"/>
  <c r="C325" i="9"/>
  <c r="E325" i="9" s="1"/>
  <c r="B326" i="9"/>
  <c r="G325" i="9"/>
  <c r="Q297" i="11" s="1"/>
  <c r="F325" i="9"/>
  <c r="AY297" i="11" s="1"/>
  <c r="K325" i="9"/>
  <c r="J325" i="9"/>
  <c r="R297" i="11" s="1"/>
  <c r="D297" i="2"/>
  <c r="F297" i="2" s="1"/>
  <c r="M324" i="9"/>
  <c r="AR297" i="7" s="1"/>
  <c r="CA297" i="7" s="1"/>
  <c r="L324" i="9"/>
  <c r="BK296" i="7" s="1"/>
  <c r="AR416" i="2" l="1"/>
  <c r="AS416" i="2" s="1"/>
  <c r="W297" i="11"/>
  <c r="U297" i="2"/>
  <c r="AO297" i="11" s="1"/>
  <c r="AT415" i="2"/>
  <c r="AW415" i="2" s="1"/>
  <c r="F415" i="11" s="1"/>
  <c r="AD296" i="2"/>
  <c r="AP417" i="2"/>
  <c r="AR417" i="2" s="1"/>
  <c r="AS417" i="2" s="1"/>
  <c r="CQ293" i="7"/>
  <c r="AM416" i="2"/>
  <c r="CF296" i="7"/>
  <c r="CH296" i="7" s="1"/>
  <c r="CI296" i="7" s="1"/>
  <c r="CB296" i="7"/>
  <c r="CK294" i="7"/>
  <c r="CN294" i="7" s="1"/>
  <c r="I294" i="11" s="1"/>
  <c r="CN142" i="7"/>
  <c r="I142" i="11" s="1"/>
  <c r="BA418" i="2"/>
  <c r="B448" i="3"/>
  <c r="G447" i="3"/>
  <c r="O419" i="11" s="1"/>
  <c r="H447" i="3"/>
  <c r="AZ419" i="11" s="1"/>
  <c r="I447" i="3"/>
  <c r="J447" i="3"/>
  <c r="P419" i="11" s="1"/>
  <c r="K447" i="3"/>
  <c r="C447" i="3"/>
  <c r="E447" i="3" s="1"/>
  <c r="F447" i="3"/>
  <c r="AX419" i="11" s="1"/>
  <c r="O446" i="3"/>
  <c r="AF418" i="2"/>
  <c r="M446" i="3"/>
  <c r="V419" i="2" s="1"/>
  <c r="AK419" i="2" s="1"/>
  <c r="L446" i="3"/>
  <c r="AE418" i="2" s="1"/>
  <c r="BH416" i="2"/>
  <c r="BI416" i="2" s="1"/>
  <c r="AL417" i="2"/>
  <c r="CV296" i="7"/>
  <c r="CX296" i="7" s="1"/>
  <c r="CC295" i="7"/>
  <c r="CS295" i="7"/>
  <c r="CU295" i="7" s="1"/>
  <c r="CY295" i="7" s="1"/>
  <c r="CZ295" i="7" s="1"/>
  <c r="CC143" i="7"/>
  <c r="CS143" i="7"/>
  <c r="CU143" i="7" s="1"/>
  <c r="CY143" i="7" s="1"/>
  <c r="CZ143" i="7" s="1"/>
  <c r="BU297" i="7"/>
  <c r="AD297" i="11" s="1"/>
  <c r="I172" i="9"/>
  <c r="J172" i="9"/>
  <c r="R144" i="11" s="1"/>
  <c r="K172" i="9"/>
  <c r="BL144" i="7"/>
  <c r="O172" i="9"/>
  <c r="G172" i="9"/>
  <c r="Q144" i="11" s="1"/>
  <c r="AO300" i="2"/>
  <c r="BC300" i="2" s="1"/>
  <c r="I326" i="9"/>
  <c r="H326" i="9"/>
  <c r="BA298" i="11" s="1"/>
  <c r="C326" i="9"/>
  <c r="E326" i="9" s="1"/>
  <c r="K326" i="9"/>
  <c r="J326" i="9"/>
  <c r="R298" i="11" s="1"/>
  <c r="B327" i="9"/>
  <c r="G326" i="9"/>
  <c r="Q298" i="11" s="1"/>
  <c r="F326" i="9"/>
  <c r="AY298" i="11" s="1"/>
  <c r="M325" i="9"/>
  <c r="AR298" i="7" s="1"/>
  <c r="CA298" i="7" s="1"/>
  <c r="L325" i="9"/>
  <c r="BK297" i="7" s="1"/>
  <c r="O325" i="9"/>
  <c r="BL297" i="7"/>
  <c r="D298" i="2"/>
  <c r="F298" i="2" s="1"/>
  <c r="AT416" i="2" l="1"/>
  <c r="AW416" i="2" s="1"/>
  <c r="F416" i="11" s="1"/>
  <c r="W298" i="11"/>
  <c r="U298" i="2"/>
  <c r="AO298" i="11" s="1"/>
  <c r="BD417" i="2"/>
  <c r="BF417" i="2" s="1"/>
  <c r="BG417" i="2" s="1"/>
  <c r="AD297" i="2"/>
  <c r="AP418" i="2"/>
  <c r="AR418" i="2" s="1"/>
  <c r="AS418" i="2" s="1"/>
  <c r="CF144" i="7"/>
  <c r="CH144" i="7" s="1"/>
  <c r="CI144" i="7" s="1"/>
  <c r="CQ294" i="7"/>
  <c r="CV297" i="7"/>
  <c r="CX297" i="7" s="1"/>
  <c r="CF297" i="7"/>
  <c r="CH297" i="7" s="1"/>
  <c r="CI297" i="7" s="1"/>
  <c r="CB297" i="7"/>
  <c r="CK295" i="7"/>
  <c r="CQ295" i="7" s="1"/>
  <c r="CK143" i="7"/>
  <c r="CQ143" i="7" s="1"/>
  <c r="BA419" i="2"/>
  <c r="AZ417" i="2"/>
  <c r="BB417" i="2" s="1"/>
  <c r="AM417" i="2"/>
  <c r="AT417" i="2" s="1"/>
  <c r="AW417" i="2" s="1"/>
  <c r="F417" i="11" s="1"/>
  <c r="B449" i="3"/>
  <c r="G448" i="3"/>
  <c r="O420" i="11" s="1"/>
  <c r="H448" i="3"/>
  <c r="AZ420" i="11" s="1"/>
  <c r="I448" i="3"/>
  <c r="J448" i="3"/>
  <c r="P420" i="11" s="1"/>
  <c r="K448" i="3"/>
  <c r="C448" i="3"/>
  <c r="E448" i="3" s="1"/>
  <c r="F448" i="3"/>
  <c r="AX420" i="11" s="1"/>
  <c r="O447" i="3"/>
  <c r="AF419" i="2"/>
  <c r="AL418" i="2"/>
  <c r="M447" i="3"/>
  <c r="V420" i="2" s="1"/>
  <c r="AK420" i="2" s="1"/>
  <c r="L447" i="3"/>
  <c r="AE419" i="2" s="1"/>
  <c r="CV144" i="7"/>
  <c r="CX144" i="7" s="1"/>
  <c r="CC296" i="7"/>
  <c r="CS296" i="7"/>
  <c r="CU296" i="7" s="1"/>
  <c r="CY296" i="7" s="1"/>
  <c r="CZ296" i="7" s="1"/>
  <c r="BU298" i="7"/>
  <c r="AD298" i="11" s="1"/>
  <c r="F173" i="9"/>
  <c r="AY145" i="11" s="1"/>
  <c r="G173" i="9"/>
  <c r="Q145" i="11" s="1"/>
  <c r="C173" i="9"/>
  <c r="E173" i="9" s="1"/>
  <c r="H173" i="9" s="1"/>
  <c r="BA145" i="11" s="1"/>
  <c r="M172" i="9"/>
  <c r="AR145" i="7" s="1"/>
  <c r="CA145" i="7" s="1"/>
  <c r="L172" i="9"/>
  <c r="BK144" i="7" s="1"/>
  <c r="CB144" i="7" s="1"/>
  <c r="AO301" i="2"/>
  <c r="BC301" i="2" s="1"/>
  <c r="O326" i="9"/>
  <c r="BL298" i="7"/>
  <c r="M326" i="9"/>
  <c r="AR299" i="7" s="1"/>
  <c r="CA299" i="7" s="1"/>
  <c r="L326" i="9"/>
  <c r="BK298" i="7" s="1"/>
  <c r="I327" i="9"/>
  <c r="H327" i="9"/>
  <c r="BA299" i="11" s="1"/>
  <c r="C327" i="9"/>
  <c r="E327" i="9" s="1"/>
  <c r="B328" i="9"/>
  <c r="G327" i="9"/>
  <c r="Q299" i="11" s="1"/>
  <c r="F327" i="9"/>
  <c r="AY299" i="11" s="1"/>
  <c r="K327" i="9"/>
  <c r="J327" i="9"/>
  <c r="R299" i="11" s="1"/>
  <c r="D299" i="2"/>
  <c r="F299" i="2" s="1"/>
  <c r="W299" i="11" l="1"/>
  <c r="U299" i="2"/>
  <c r="AO299" i="11" s="1"/>
  <c r="BD418" i="2"/>
  <c r="BF418" i="2" s="1"/>
  <c r="BG418" i="2" s="1"/>
  <c r="BH417" i="2"/>
  <c r="BI417" i="2" s="1"/>
  <c r="AD298" i="2"/>
  <c r="AP419" i="2"/>
  <c r="AR419" i="2" s="1"/>
  <c r="AS419" i="2" s="1"/>
  <c r="CN143" i="7"/>
  <c r="I143" i="11" s="1"/>
  <c r="CN295" i="7"/>
  <c r="I295" i="11" s="1"/>
  <c r="CB298" i="7"/>
  <c r="CF298" i="7"/>
  <c r="CH298" i="7" s="1"/>
  <c r="CI298" i="7" s="1"/>
  <c r="CK296" i="7"/>
  <c r="CN296" i="7" s="1"/>
  <c r="I296" i="11" s="1"/>
  <c r="O448" i="3"/>
  <c r="AF420" i="2"/>
  <c r="L448" i="3"/>
  <c r="AE420" i="2" s="1"/>
  <c r="M448" i="3"/>
  <c r="V421" i="2" s="1"/>
  <c r="AK421" i="2" s="1"/>
  <c r="BA420" i="2"/>
  <c r="AZ418" i="2"/>
  <c r="BB418" i="2" s="1"/>
  <c r="AM418" i="2"/>
  <c r="AT418" i="2" s="1"/>
  <c r="AW418" i="2" s="1"/>
  <c r="F418" i="11" s="1"/>
  <c r="AL419" i="2"/>
  <c r="B450" i="3"/>
  <c r="G449" i="3"/>
  <c r="O421" i="11" s="1"/>
  <c r="H449" i="3"/>
  <c r="AZ421" i="11" s="1"/>
  <c r="I449" i="3"/>
  <c r="J449" i="3"/>
  <c r="P421" i="11" s="1"/>
  <c r="K449" i="3"/>
  <c r="C449" i="3"/>
  <c r="E449" i="3" s="1"/>
  <c r="F449" i="3"/>
  <c r="AX421" i="11" s="1"/>
  <c r="CV298" i="7"/>
  <c r="CX298" i="7" s="1"/>
  <c r="CC144" i="7"/>
  <c r="CS144" i="7"/>
  <c r="CU144" i="7" s="1"/>
  <c r="CY144" i="7" s="1"/>
  <c r="CZ144" i="7" s="1"/>
  <c r="CC297" i="7"/>
  <c r="CS297" i="7"/>
  <c r="CU297" i="7" s="1"/>
  <c r="CY297" i="7" s="1"/>
  <c r="CZ297" i="7" s="1"/>
  <c r="BU299" i="7"/>
  <c r="AD299" i="11" s="1"/>
  <c r="I173" i="9"/>
  <c r="K173" i="9"/>
  <c r="J173" i="9"/>
  <c r="R145" i="11" s="1"/>
  <c r="O173" i="9"/>
  <c r="BL145" i="7"/>
  <c r="AO302" i="2"/>
  <c r="BC302" i="2" s="1"/>
  <c r="M327" i="9"/>
  <c r="AR300" i="7" s="1"/>
  <c r="CA300" i="7" s="1"/>
  <c r="L327" i="9"/>
  <c r="BK299" i="7" s="1"/>
  <c r="D300" i="2"/>
  <c r="F300" i="2" s="1"/>
  <c r="O327" i="9"/>
  <c r="BL299" i="7"/>
  <c r="I328" i="9"/>
  <c r="H328" i="9"/>
  <c r="BA300" i="11" s="1"/>
  <c r="C328" i="9"/>
  <c r="E328" i="9" s="1"/>
  <c r="K328" i="9"/>
  <c r="J328" i="9"/>
  <c r="R300" i="11" s="1"/>
  <c r="B329" i="9"/>
  <c r="G328" i="9"/>
  <c r="Q300" i="11" s="1"/>
  <c r="F328" i="9"/>
  <c r="AY300" i="11" s="1"/>
  <c r="W300" i="11" l="1"/>
  <c r="U300" i="2"/>
  <c r="AO300" i="11" s="1"/>
  <c r="BH418" i="2"/>
  <c r="BI418" i="2" s="1"/>
  <c r="BD419" i="2"/>
  <c r="BF419" i="2" s="1"/>
  <c r="BG419" i="2" s="1"/>
  <c r="AD299" i="2"/>
  <c r="AP420" i="2"/>
  <c r="AR420" i="2" s="1"/>
  <c r="AS420" i="2" s="1"/>
  <c r="CF145" i="7"/>
  <c r="CH145" i="7" s="1"/>
  <c r="CI145" i="7" s="1"/>
  <c r="CQ296" i="7"/>
  <c r="CV299" i="7"/>
  <c r="CX299" i="7" s="1"/>
  <c r="CF299" i="7"/>
  <c r="CH299" i="7" s="1"/>
  <c r="CI299" i="7" s="1"/>
  <c r="CB299" i="7"/>
  <c r="CK144" i="7"/>
  <c r="CQ144" i="7" s="1"/>
  <c r="CK297" i="7"/>
  <c r="CN297" i="7" s="1"/>
  <c r="I297" i="11" s="1"/>
  <c r="AL420" i="2"/>
  <c r="B451" i="3"/>
  <c r="G450" i="3"/>
  <c r="O422" i="11" s="1"/>
  <c r="H450" i="3"/>
  <c r="AZ422" i="11" s="1"/>
  <c r="I450" i="3"/>
  <c r="J450" i="3"/>
  <c r="P422" i="11" s="1"/>
  <c r="K450" i="3"/>
  <c r="C450" i="3"/>
  <c r="E450" i="3" s="1"/>
  <c r="F450" i="3"/>
  <c r="AX422" i="11" s="1"/>
  <c r="O449" i="3"/>
  <c r="AF421" i="2"/>
  <c r="BA421" i="2"/>
  <c r="L449" i="3"/>
  <c r="AE421" i="2" s="1"/>
  <c r="M449" i="3"/>
  <c r="V422" i="2" s="1"/>
  <c r="AK422" i="2" s="1"/>
  <c r="AZ419" i="2"/>
  <c r="BB419" i="2" s="1"/>
  <c r="AM419" i="2"/>
  <c r="AT419" i="2" s="1"/>
  <c r="AW419" i="2" s="1"/>
  <c r="F419" i="11" s="1"/>
  <c r="CV145" i="7"/>
  <c r="CX145" i="7" s="1"/>
  <c r="CC298" i="7"/>
  <c r="CS298" i="7"/>
  <c r="CU298" i="7" s="1"/>
  <c r="CY298" i="7" s="1"/>
  <c r="CZ298" i="7" s="1"/>
  <c r="BU300" i="7"/>
  <c r="AD300" i="11" s="1"/>
  <c r="F174" i="9"/>
  <c r="AY146" i="11" s="1"/>
  <c r="G174" i="9"/>
  <c r="Q146" i="11" s="1"/>
  <c r="C174" i="9"/>
  <c r="E174" i="9" s="1"/>
  <c r="H174" i="9" s="1"/>
  <c r="BA146" i="11" s="1"/>
  <c r="L173" i="9"/>
  <c r="BK145" i="7" s="1"/>
  <c r="CB145" i="7" s="1"/>
  <c r="M173" i="9"/>
  <c r="AR146" i="7" s="1"/>
  <c r="CA146" i="7" s="1"/>
  <c r="AO303" i="2"/>
  <c r="BC303" i="2" s="1"/>
  <c r="I329" i="9"/>
  <c r="H329" i="9"/>
  <c r="BA301" i="11" s="1"/>
  <c r="C329" i="9"/>
  <c r="E329" i="9" s="1"/>
  <c r="B330" i="9"/>
  <c r="G329" i="9"/>
  <c r="Q301" i="11" s="1"/>
  <c r="F329" i="9"/>
  <c r="AY301" i="11" s="1"/>
  <c r="K329" i="9"/>
  <c r="J329" i="9"/>
  <c r="R301" i="11" s="1"/>
  <c r="D301" i="2"/>
  <c r="F301" i="2" s="1"/>
  <c r="O328" i="9"/>
  <c r="BL300" i="7"/>
  <c r="M328" i="9"/>
  <c r="AR301" i="7" s="1"/>
  <c r="CA301" i="7" s="1"/>
  <c r="L328" i="9"/>
  <c r="BK300" i="7" s="1"/>
  <c r="BD420" i="2" l="1"/>
  <c r="BF420" i="2" s="1"/>
  <c r="BG420" i="2" s="1"/>
  <c r="W301" i="11"/>
  <c r="U301" i="2"/>
  <c r="AO301" i="11" s="1"/>
  <c r="BH419" i="2"/>
  <c r="BI419" i="2" s="1"/>
  <c r="AD300" i="2"/>
  <c r="AP421" i="2"/>
  <c r="BD421" i="2" s="1"/>
  <c r="BF421" i="2" s="1"/>
  <c r="BG421" i="2" s="1"/>
  <c r="CN144" i="7"/>
  <c r="I144" i="11" s="1"/>
  <c r="CF300" i="7"/>
  <c r="CH300" i="7" s="1"/>
  <c r="CI300" i="7" s="1"/>
  <c r="CB300" i="7"/>
  <c r="CQ297" i="7"/>
  <c r="CK298" i="7"/>
  <c r="CQ298" i="7" s="1"/>
  <c r="AZ420" i="2"/>
  <c r="BB420" i="2" s="1"/>
  <c r="AM420" i="2"/>
  <c r="AT420" i="2" s="1"/>
  <c r="AW420" i="2" s="1"/>
  <c r="F420" i="11" s="1"/>
  <c r="BA422" i="2"/>
  <c r="M450" i="3"/>
  <c r="V423" i="2" s="1"/>
  <c r="AK423" i="2" s="1"/>
  <c r="L450" i="3"/>
  <c r="AE422" i="2" s="1"/>
  <c r="B452" i="3"/>
  <c r="H451" i="3"/>
  <c r="AZ423" i="11" s="1"/>
  <c r="I451" i="3"/>
  <c r="J451" i="3"/>
  <c r="P423" i="11" s="1"/>
  <c r="K451" i="3"/>
  <c r="C451" i="3"/>
  <c r="E451" i="3" s="1"/>
  <c r="F451" i="3"/>
  <c r="AX423" i="11" s="1"/>
  <c r="G451" i="3"/>
  <c r="O423" i="11" s="1"/>
  <c r="O450" i="3"/>
  <c r="AF422" i="2"/>
  <c r="AL421" i="2"/>
  <c r="CV300" i="7"/>
  <c r="CX300" i="7" s="1"/>
  <c r="CC145" i="7"/>
  <c r="CS145" i="7"/>
  <c r="CU145" i="7" s="1"/>
  <c r="CY145" i="7" s="1"/>
  <c r="CZ145" i="7" s="1"/>
  <c r="CC299" i="7"/>
  <c r="CS299" i="7"/>
  <c r="CU299" i="7" s="1"/>
  <c r="CY299" i="7" s="1"/>
  <c r="CZ299" i="7" s="1"/>
  <c r="BU301" i="7"/>
  <c r="AD301" i="11" s="1"/>
  <c r="AO304" i="2"/>
  <c r="BC304" i="2" s="1"/>
  <c r="J174" i="9"/>
  <c r="R146" i="11" s="1"/>
  <c r="I174" i="9"/>
  <c r="K174" i="9"/>
  <c r="BL146" i="7"/>
  <c r="O174" i="9"/>
  <c r="I330" i="9"/>
  <c r="H330" i="9"/>
  <c r="BA302" i="11" s="1"/>
  <c r="C330" i="9"/>
  <c r="E330" i="9" s="1"/>
  <c r="K330" i="9"/>
  <c r="J330" i="9"/>
  <c r="R302" i="11" s="1"/>
  <c r="B331" i="9"/>
  <c r="G330" i="9"/>
  <c r="Q302" i="11" s="1"/>
  <c r="F330" i="9"/>
  <c r="AY302" i="11" s="1"/>
  <c r="D302" i="2"/>
  <c r="F302" i="2" s="1"/>
  <c r="M329" i="9"/>
  <c r="AR302" i="7" s="1"/>
  <c r="CA302" i="7" s="1"/>
  <c r="L329" i="9"/>
  <c r="BK301" i="7" s="1"/>
  <c r="O329" i="9"/>
  <c r="BL301" i="7"/>
  <c r="BH420" i="2" l="1"/>
  <c r="BI420" i="2" s="1"/>
  <c r="W302" i="11"/>
  <c r="U302" i="2"/>
  <c r="AO302" i="11" s="1"/>
  <c r="AR421" i="2"/>
  <c r="AS421" i="2" s="1"/>
  <c r="AD301" i="2"/>
  <c r="AP422" i="2"/>
  <c r="AR422" i="2" s="1"/>
  <c r="AS422" i="2" s="1"/>
  <c r="CF146" i="7"/>
  <c r="CH146" i="7" s="1"/>
  <c r="CI146" i="7" s="1"/>
  <c r="CN298" i="7"/>
  <c r="I298" i="11" s="1"/>
  <c r="CB301" i="7"/>
  <c r="CF301" i="7"/>
  <c r="CH301" i="7" s="1"/>
  <c r="CI301" i="7" s="1"/>
  <c r="CK145" i="7"/>
  <c r="CQ145" i="7" s="1"/>
  <c r="CK299" i="7"/>
  <c r="CQ299" i="7" s="1"/>
  <c r="B453" i="3"/>
  <c r="I452" i="3"/>
  <c r="J452" i="3"/>
  <c r="P424" i="11" s="1"/>
  <c r="K452" i="3"/>
  <c r="C452" i="3"/>
  <c r="E452" i="3" s="1"/>
  <c r="F452" i="3"/>
  <c r="AX424" i="11" s="1"/>
  <c r="G452" i="3"/>
  <c r="O424" i="11" s="1"/>
  <c r="H452" i="3"/>
  <c r="AZ424" i="11" s="1"/>
  <c r="O451" i="3"/>
  <c r="AF423" i="2"/>
  <c r="AL422" i="2"/>
  <c r="M451" i="3"/>
  <c r="V424" i="2" s="1"/>
  <c r="AK424" i="2" s="1"/>
  <c r="L451" i="3"/>
  <c r="AE423" i="2" s="1"/>
  <c r="BA423" i="2"/>
  <c r="AZ421" i="2"/>
  <c r="BB421" i="2" s="1"/>
  <c r="BH421" i="2" s="1"/>
  <c r="BI421" i="2" s="1"/>
  <c r="AM421" i="2"/>
  <c r="CV301" i="7"/>
  <c r="CX301" i="7" s="1"/>
  <c r="CV146" i="7"/>
  <c r="CX146" i="7" s="1"/>
  <c r="CC300" i="7"/>
  <c r="CS300" i="7"/>
  <c r="CU300" i="7" s="1"/>
  <c r="CY300" i="7" s="1"/>
  <c r="CZ300" i="7" s="1"/>
  <c r="BU302" i="7"/>
  <c r="AD302" i="11" s="1"/>
  <c r="L174" i="9"/>
  <c r="BK146" i="7" s="1"/>
  <c r="CB146" i="7" s="1"/>
  <c r="M174" i="9"/>
  <c r="AR147" i="7" s="1"/>
  <c r="CA147" i="7" s="1"/>
  <c r="G175" i="9"/>
  <c r="Q147" i="11" s="1"/>
  <c r="F175" i="9"/>
  <c r="AY147" i="11" s="1"/>
  <c r="C175" i="9"/>
  <c r="E175" i="9" s="1"/>
  <c r="H175" i="9"/>
  <c r="BA147" i="11" s="1"/>
  <c r="I331" i="9"/>
  <c r="H331" i="9"/>
  <c r="BA303" i="11" s="1"/>
  <c r="C331" i="9"/>
  <c r="E331" i="9" s="1"/>
  <c r="B332" i="9"/>
  <c r="G331" i="9"/>
  <c r="Q303" i="11" s="1"/>
  <c r="F331" i="9"/>
  <c r="AY303" i="11" s="1"/>
  <c r="K331" i="9"/>
  <c r="J331" i="9"/>
  <c r="R303" i="11" s="1"/>
  <c r="O330" i="9"/>
  <c r="BL302" i="7"/>
  <c r="D303" i="2"/>
  <c r="F303" i="2" s="1"/>
  <c r="M330" i="9"/>
  <c r="AR303" i="7" s="1"/>
  <c r="CA303" i="7" s="1"/>
  <c r="L330" i="9"/>
  <c r="BK302" i="7" s="1"/>
  <c r="BD422" i="2" l="1"/>
  <c r="BF422" i="2" s="1"/>
  <c r="BG422" i="2" s="1"/>
  <c r="W303" i="11"/>
  <c r="U303" i="2"/>
  <c r="AO303" i="11" s="1"/>
  <c r="AT421" i="2"/>
  <c r="AW421" i="2" s="1"/>
  <c r="F421" i="11" s="1"/>
  <c r="CG424" i="11"/>
  <c r="AP55" i="20" s="1"/>
  <c r="AD302" i="2"/>
  <c r="AP423" i="2"/>
  <c r="BD423" i="2" s="1"/>
  <c r="BF423" i="2" s="1"/>
  <c r="BG423" i="2" s="1"/>
  <c r="CI424" i="11"/>
  <c r="AP75" i="20" s="1"/>
  <c r="AL423" i="2"/>
  <c r="AZ423" i="2" s="1"/>
  <c r="BB423" i="2" s="1"/>
  <c r="CV302" i="7"/>
  <c r="CX302" i="7" s="1"/>
  <c r="CB302" i="7"/>
  <c r="CF302" i="7"/>
  <c r="CH302" i="7" s="1"/>
  <c r="CI302" i="7" s="1"/>
  <c r="CN145" i="7"/>
  <c r="I145" i="11" s="1"/>
  <c r="CK300" i="7"/>
  <c r="CQ300" i="7" s="1"/>
  <c r="CN299" i="7"/>
  <c r="I299" i="11" s="1"/>
  <c r="O452" i="3"/>
  <c r="AF424" i="2"/>
  <c r="BA424" i="2"/>
  <c r="M452" i="3"/>
  <c r="V425" i="2" s="1"/>
  <c r="AK425" i="2" s="1"/>
  <c r="L452" i="3"/>
  <c r="AE424" i="2" s="1"/>
  <c r="AZ422" i="2"/>
  <c r="BB422" i="2" s="1"/>
  <c r="AM422" i="2"/>
  <c r="AT422" i="2" s="1"/>
  <c r="AW422" i="2" s="1"/>
  <c r="F422" i="11" s="1"/>
  <c r="B454" i="3"/>
  <c r="I453" i="3"/>
  <c r="J453" i="3"/>
  <c r="P425" i="11" s="1"/>
  <c r="K453" i="3"/>
  <c r="C453" i="3"/>
  <c r="E453" i="3" s="1"/>
  <c r="F453" i="3"/>
  <c r="AX425" i="11" s="1"/>
  <c r="G453" i="3"/>
  <c r="O425" i="11" s="1"/>
  <c r="H453" i="3"/>
  <c r="AZ425" i="11" s="1"/>
  <c r="CC146" i="7"/>
  <c r="CS146" i="7"/>
  <c r="CU146" i="7" s="1"/>
  <c r="CY146" i="7" s="1"/>
  <c r="CZ146" i="7" s="1"/>
  <c r="CC301" i="7"/>
  <c r="CS301" i="7"/>
  <c r="CU301" i="7" s="1"/>
  <c r="CY301" i="7" s="1"/>
  <c r="CZ301" i="7" s="1"/>
  <c r="BU303" i="7"/>
  <c r="AD303" i="11" s="1"/>
  <c r="O175" i="9"/>
  <c r="BL147" i="7"/>
  <c r="J175" i="9"/>
  <c r="R147" i="11" s="1"/>
  <c r="K175" i="9"/>
  <c r="I175" i="9"/>
  <c r="D304" i="2"/>
  <c r="V45" i="5" s="1"/>
  <c r="W45" i="5" s="1"/>
  <c r="M331" i="9"/>
  <c r="AR304" i="7" s="1"/>
  <c r="CA304" i="7" s="1"/>
  <c r="L331" i="9"/>
  <c r="BK303" i="7" s="1"/>
  <c r="O331" i="9"/>
  <c r="BL303" i="7"/>
  <c r="I332" i="9"/>
  <c r="H332" i="9"/>
  <c r="BA304" i="11" s="1"/>
  <c r="C332" i="9"/>
  <c r="E332" i="9" s="1"/>
  <c r="K332" i="9"/>
  <c r="J332" i="9"/>
  <c r="R304" i="11" s="1"/>
  <c r="B333" i="9"/>
  <c r="G332" i="9"/>
  <c r="Q304" i="11" s="1"/>
  <c r="F332" i="9"/>
  <c r="AY304" i="11" s="1"/>
  <c r="BH422" i="2" l="1"/>
  <c r="BI422" i="2" s="1"/>
  <c r="AR423" i="2"/>
  <c r="AS423" i="2" s="1"/>
  <c r="CJ304" i="11"/>
  <c r="AF76" i="20" s="1"/>
  <c r="CH304" i="11"/>
  <c r="AF56" i="20" s="1"/>
  <c r="AD303" i="2"/>
  <c r="AP424" i="2"/>
  <c r="BD424" i="2" s="1"/>
  <c r="BF424" i="2" s="1"/>
  <c r="BG424" i="2" s="1"/>
  <c r="CF147" i="7"/>
  <c r="CH147" i="7" s="1"/>
  <c r="CI147" i="7" s="1"/>
  <c r="BH423" i="2"/>
  <c r="BI423" i="2" s="1"/>
  <c r="AM423" i="2"/>
  <c r="CB303" i="7"/>
  <c r="CF303" i="7"/>
  <c r="CH303" i="7" s="1"/>
  <c r="CI303" i="7" s="1"/>
  <c r="CN300" i="7"/>
  <c r="I300" i="11" s="1"/>
  <c r="CK146" i="7"/>
  <c r="CQ146" i="7" s="1"/>
  <c r="CK301" i="7"/>
  <c r="CN301" i="7" s="1"/>
  <c r="I301" i="11" s="1"/>
  <c r="BA425" i="2"/>
  <c r="B455" i="3"/>
  <c r="J454" i="3"/>
  <c r="P426" i="11" s="1"/>
  <c r="K454" i="3"/>
  <c r="C454" i="3"/>
  <c r="E454" i="3" s="1"/>
  <c r="F454" i="3"/>
  <c r="AX426" i="11" s="1"/>
  <c r="G454" i="3"/>
  <c r="O426" i="11" s="1"/>
  <c r="H454" i="3"/>
  <c r="AZ426" i="11" s="1"/>
  <c r="I454" i="3"/>
  <c r="O453" i="3"/>
  <c r="AF425" i="2"/>
  <c r="M453" i="3"/>
  <c r="V426" i="2" s="1"/>
  <c r="AK426" i="2" s="1"/>
  <c r="L453" i="3"/>
  <c r="AE425" i="2" s="1"/>
  <c r="AL424" i="2"/>
  <c r="CV303" i="7"/>
  <c r="CX303" i="7" s="1"/>
  <c r="CV147" i="7"/>
  <c r="CX147" i="7" s="1"/>
  <c r="CC302" i="7"/>
  <c r="CS302" i="7"/>
  <c r="CU302" i="7" s="1"/>
  <c r="CY302" i="7" s="1"/>
  <c r="CZ302" i="7" s="1"/>
  <c r="F304" i="2"/>
  <c r="U304" i="2" s="1"/>
  <c r="D305" i="2"/>
  <c r="F176" i="9"/>
  <c r="AY148" i="11" s="1"/>
  <c r="C176" i="9"/>
  <c r="E176" i="9" s="1"/>
  <c r="M175" i="9"/>
  <c r="AR148" i="7" s="1"/>
  <c r="CA148" i="7" s="1"/>
  <c r="L175" i="9"/>
  <c r="BK147" i="7" s="1"/>
  <c r="CB147" i="7" s="1"/>
  <c r="M332" i="9"/>
  <c r="AR305" i="7" s="1"/>
  <c r="CA305" i="7" s="1"/>
  <c r="L332" i="9"/>
  <c r="BK304" i="7" s="1"/>
  <c r="O332" i="9"/>
  <c r="BL304" i="7"/>
  <c r="I333" i="9"/>
  <c r="H333" i="9"/>
  <c r="BA305" i="11" s="1"/>
  <c r="C333" i="9"/>
  <c r="E333" i="9" s="1"/>
  <c r="B334" i="9"/>
  <c r="G333" i="9"/>
  <c r="Q305" i="11" s="1"/>
  <c r="F333" i="9"/>
  <c r="AY305" i="11" s="1"/>
  <c r="K333" i="9"/>
  <c r="J333" i="9"/>
  <c r="R305" i="11" s="1"/>
  <c r="AT423" i="2" l="1"/>
  <c r="AW423" i="2" s="1"/>
  <c r="F423" i="11" s="1"/>
  <c r="AR424" i="2"/>
  <c r="AS424" i="2" s="1"/>
  <c r="G176" i="9"/>
  <c r="Q148" i="11" s="1"/>
  <c r="CH148" i="11"/>
  <c r="S56" i="20" s="1"/>
  <c r="O333" i="9"/>
  <c r="BL305" i="7"/>
  <c r="AE426" i="2"/>
  <c r="AP425" i="2"/>
  <c r="BD425" i="2" s="1"/>
  <c r="BF425" i="2" s="1"/>
  <c r="BG425" i="2" s="1"/>
  <c r="AO304" i="11"/>
  <c r="W304" i="11"/>
  <c r="BF304" i="11" s="1"/>
  <c r="AF35" i="20" s="1"/>
  <c r="CN146" i="7"/>
  <c r="I146" i="11" s="1"/>
  <c r="CQ301" i="7"/>
  <c r="CK302" i="7"/>
  <c r="CQ302" i="7" s="1"/>
  <c r="BA426" i="2"/>
  <c r="O454" i="3"/>
  <c r="AF426" i="2"/>
  <c r="M454" i="3"/>
  <c r="V427" i="2" s="1"/>
  <c r="AK427" i="2" s="1"/>
  <c r="L454" i="3"/>
  <c r="AL425" i="2"/>
  <c r="B456" i="3"/>
  <c r="J455" i="3"/>
  <c r="P427" i="11" s="1"/>
  <c r="K455" i="3"/>
  <c r="C455" i="3"/>
  <c r="E455" i="3" s="1"/>
  <c r="F455" i="3"/>
  <c r="AX427" i="11" s="1"/>
  <c r="G455" i="3"/>
  <c r="O427" i="11" s="1"/>
  <c r="H455" i="3"/>
  <c r="AZ427" i="11" s="1"/>
  <c r="I455" i="3"/>
  <c r="AZ424" i="2"/>
  <c r="BB424" i="2" s="1"/>
  <c r="BH424" i="2" s="1"/>
  <c r="BI424" i="2" s="1"/>
  <c r="AM424" i="2"/>
  <c r="CC147" i="7"/>
  <c r="CS147" i="7"/>
  <c r="CU147" i="7" s="1"/>
  <c r="CY147" i="7" s="1"/>
  <c r="CZ147" i="7" s="1"/>
  <c r="CC303" i="7"/>
  <c r="CS303" i="7"/>
  <c r="CU303" i="7" s="1"/>
  <c r="CY303" i="7" s="1"/>
  <c r="CZ303" i="7" s="1"/>
  <c r="D306" i="2"/>
  <c r="F305" i="2"/>
  <c r="BU304" i="7"/>
  <c r="O176" i="9"/>
  <c r="BL148" i="7"/>
  <c r="H176" i="9"/>
  <c r="BA148" i="11" s="1"/>
  <c r="AD304" i="2"/>
  <c r="I334" i="9"/>
  <c r="H334" i="9"/>
  <c r="BA306" i="11" s="1"/>
  <c r="C334" i="9"/>
  <c r="E334" i="9" s="1"/>
  <c r="K334" i="9"/>
  <c r="J334" i="9"/>
  <c r="R306" i="11" s="1"/>
  <c r="B335" i="9"/>
  <c r="G334" i="9"/>
  <c r="Q306" i="11" s="1"/>
  <c r="F334" i="9"/>
  <c r="AY306" i="11" s="1"/>
  <c r="M333" i="9"/>
  <c r="AR306" i="7" s="1"/>
  <c r="CA306" i="7" s="1"/>
  <c r="L333" i="9"/>
  <c r="BK305" i="7" s="1"/>
  <c r="AT424" i="2" l="1"/>
  <c r="AW424" i="2" s="1"/>
  <c r="F424" i="11" s="1"/>
  <c r="W305" i="11"/>
  <c r="U305" i="2"/>
  <c r="AO305" i="11" s="1"/>
  <c r="CJ148" i="11"/>
  <c r="S76" i="20" s="1"/>
  <c r="AD304" i="11"/>
  <c r="BM304" i="11" s="1"/>
  <c r="AF14" i="20" s="1"/>
  <c r="AF15" i="20" s="1"/>
  <c r="AF19" i="20" s="1"/>
  <c r="AF67" i="20" s="1"/>
  <c r="B302" i="19"/>
  <c r="BX304" i="11"/>
  <c r="AF36" i="20" s="1"/>
  <c r="AF40" i="20" s="1"/>
  <c r="AF41" i="20" s="1"/>
  <c r="AR425" i="2"/>
  <c r="AS425" i="2" s="1"/>
  <c r="O334" i="9"/>
  <c r="BL306" i="7"/>
  <c r="AP426" i="2"/>
  <c r="BD426" i="2" s="1"/>
  <c r="BF426" i="2" s="1"/>
  <c r="BG426" i="2" s="1"/>
  <c r="CF148" i="7"/>
  <c r="CH148" i="7" s="1"/>
  <c r="CI148" i="7" s="1"/>
  <c r="N302" i="19"/>
  <c r="CF304" i="7"/>
  <c r="CH304" i="7" s="1"/>
  <c r="CI304" i="7" s="1"/>
  <c r="CB304" i="7"/>
  <c r="CN302" i="7"/>
  <c r="I302" i="11" s="1"/>
  <c r="CK147" i="7"/>
  <c r="CN147" i="7" s="1"/>
  <c r="I147" i="11" s="1"/>
  <c r="CK303" i="7"/>
  <c r="CN303" i="7" s="1"/>
  <c r="I303" i="11" s="1"/>
  <c r="AL426" i="2"/>
  <c r="AZ426" i="2" s="1"/>
  <c r="BB426" i="2" s="1"/>
  <c r="BA427" i="2"/>
  <c r="O455" i="3"/>
  <c r="AF427" i="2"/>
  <c r="M455" i="3"/>
  <c r="V428" i="2" s="1"/>
  <c r="AK428" i="2" s="1"/>
  <c r="L455" i="3"/>
  <c r="AE427" i="2" s="1"/>
  <c r="B457" i="3"/>
  <c r="J456" i="3"/>
  <c r="P428" i="11" s="1"/>
  <c r="K456" i="3"/>
  <c r="C456" i="3"/>
  <c r="E456" i="3" s="1"/>
  <c r="F456" i="3"/>
  <c r="AX428" i="11" s="1"/>
  <c r="G456" i="3"/>
  <c r="O428" i="11" s="1"/>
  <c r="H456" i="3"/>
  <c r="AZ428" i="11" s="1"/>
  <c r="I456" i="3"/>
  <c r="AZ425" i="2"/>
  <c r="BB425" i="2" s="1"/>
  <c r="BH425" i="2" s="1"/>
  <c r="BI425" i="2" s="1"/>
  <c r="AM425" i="2"/>
  <c r="CV304" i="7"/>
  <c r="CX304" i="7" s="1"/>
  <c r="CV148" i="7"/>
  <c r="CX148" i="7" s="1"/>
  <c r="BU305" i="7"/>
  <c r="AD305" i="11" s="1"/>
  <c r="D307" i="2"/>
  <c r="F306" i="2"/>
  <c r="J176" i="9"/>
  <c r="R148" i="11" s="1"/>
  <c r="I176" i="9"/>
  <c r="K176" i="9"/>
  <c r="M334" i="9"/>
  <c r="AR307" i="7" s="1"/>
  <c r="CA307" i="7" s="1"/>
  <c r="L334" i="9"/>
  <c r="BK306" i="7" s="1"/>
  <c r="I335" i="9"/>
  <c r="H335" i="9"/>
  <c r="BA307" i="11" s="1"/>
  <c r="C335" i="9"/>
  <c r="E335" i="9" s="1"/>
  <c r="B336" i="9"/>
  <c r="G335" i="9"/>
  <c r="Q307" i="11" s="1"/>
  <c r="F335" i="9"/>
  <c r="AY307" i="11" s="1"/>
  <c r="K335" i="9"/>
  <c r="J335" i="9"/>
  <c r="R307" i="11" s="1"/>
  <c r="W306" i="11" l="1"/>
  <c r="U306" i="2"/>
  <c r="AO306" i="11" s="1"/>
  <c r="AW305" i="11"/>
  <c r="AT425" i="2"/>
  <c r="AW425" i="2" s="1"/>
  <c r="F425" i="11" s="1"/>
  <c r="AF42" i="20"/>
  <c r="AD305" i="2"/>
  <c r="AL305" i="2" s="1"/>
  <c r="AZ305" i="2" s="1"/>
  <c r="AR426" i="2"/>
  <c r="AS426" i="2" s="1"/>
  <c r="O335" i="9"/>
  <c r="BL307" i="7"/>
  <c r="AP427" i="2"/>
  <c r="BD427" i="2" s="1"/>
  <c r="BF427" i="2" s="1"/>
  <c r="BG427" i="2" s="1"/>
  <c r="AM426" i="2"/>
  <c r="CB305" i="7"/>
  <c r="CF305" i="7"/>
  <c r="CH305" i="7" s="1"/>
  <c r="CI305" i="7" s="1"/>
  <c r="BH426" i="2"/>
  <c r="BI426" i="2" s="1"/>
  <c r="CQ147" i="7"/>
  <c r="CQ303" i="7"/>
  <c r="O456" i="3"/>
  <c r="AF428" i="2"/>
  <c r="M456" i="3"/>
  <c r="V429" i="2" s="1"/>
  <c r="AK429" i="2" s="1"/>
  <c r="L456" i="3"/>
  <c r="AE428" i="2" s="1"/>
  <c r="B458" i="3"/>
  <c r="J457" i="3"/>
  <c r="P429" i="11" s="1"/>
  <c r="K457" i="3"/>
  <c r="C457" i="3"/>
  <c r="E457" i="3" s="1"/>
  <c r="F457" i="3"/>
  <c r="AX429" i="11" s="1"/>
  <c r="G457" i="3"/>
  <c r="O429" i="11" s="1"/>
  <c r="H457" i="3"/>
  <c r="AZ429" i="11" s="1"/>
  <c r="I457" i="3"/>
  <c r="BA428" i="2"/>
  <c r="AL427" i="2"/>
  <c r="CV305" i="7"/>
  <c r="CX305" i="7" s="1"/>
  <c r="CC304" i="7"/>
  <c r="CS304" i="7"/>
  <c r="CU304" i="7" s="1"/>
  <c r="CY304" i="7" s="1"/>
  <c r="CZ304" i="7" s="1"/>
  <c r="BU306" i="7"/>
  <c r="AD306" i="11" s="1"/>
  <c r="D308" i="2"/>
  <c r="F307" i="2"/>
  <c r="I177" i="9"/>
  <c r="C177" i="9"/>
  <c r="E177" i="9" s="1"/>
  <c r="H177" i="9"/>
  <c r="BA149" i="11" s="1"/>
  <c r="F177" i="9"/>
  <c r="AY149" i="11" s="1"/>
  <c r="G177" i="9"/>
  <c r="Q149" i="11" s="1"/>
  <c r="K177" i="9"/>
  <c r="M176" i="9"/>
  <c r="AR149" i="7" s="1"/>
  <c r="CA149" i="7" s="1"/>
  <c r="L176" i="9"/>
  <c r="BK148" i="7" s="1"/>
  <c r="CB148" i="7" s="1"/>
  <c r="I336" i="9"/>
  <c r="H336" i="9"/>
  <c r="BA308" i="11" s="1"/>
  <c r="C336" i="9"/>
  <c r="E336" i="9" s="1"/>
  <c r="K336" i="9"/>
  <c r="J336" i="9"/>
  <c r="R308" i="11" s="1"/>
  <c r="B337" i="9"/>
  <c r="G336" i="9"/>
  <c r="Q308" i="11" s="1"/>
  <c r="F336" i="9"/>
  <c r="AY308" i="11" s="1"/>
  <c r="M335" i="9"/>
  <c r="AR308" i="7" s="1"/>
  <c r="CA308" i="7" s="1"/>
  <c r="L335" i="9"/>
  <c r="BK307" i="7" s="1"/>
  <c r="W307" i="11" l="1"/>
  <c r="U307" i="2"/>
  <c r="AO307" i="11" s="1"/>
  <c r="AW306" i="11"/>
  <c r="AT426" i="2"/>
  <c r="AW426" i="2" s="1"/>
  <c r="F426" i="11" s="1"/>
  <c r="AR427" i="2"/>
  <c r="AS427" i="2" s="1"/>
  <c r="O336" i="9"/>
  <c r="BL308" i="7"/>
  <c r="AP428" i="2"/>
  <c r="BD428" i="2" s="1"/>
  <c r="BF428" i="2" s="1"/>
  <c r="BG428" i="2" s="1"/>
  <c r="AL428" i="2"/>
  <c r="AZ428" i="2" s="1"/>
  <c r="BB428" i="2" s="1"/>
  <c r="CB306" i="7"/>
  <c r="CF306" i="7"/>
  <c r="CH306" i="7" s="1"/>
  <c r="CI306" i="7" s="1"/>
  <c r="CK304" i="7"/>
  <c r="CN304" i="7" s="1"/>
  <c r="I304" i="11" s="1"/>
  <c r="B459" i="3"/>
  <c r="K458" i="3"/>
  <c r="C458" i="3"/>
  <c r="E458" i="3" s="1"/>
  <c r="F458" i="3"/>
  <c r="AX430" i="11" s="1"/>
  <c r="G458" i="3"/>
  <c r="O430" i="11" s="1"/>
  <c r="H458" i="3"/>
  <c r="AZ430" i="11" s="1"/>
  <c r="I458" i="3"/>
  <c r="J458" i="3"/>
  <c r="P430" i="11" s="1"/>
  <c r="O457" i="3"/>
  <c r="AF429" i="2"/>
  <c r="AZ427" i="2"/>
  <c r="BB427" i="2" s="1"/>
  <c r="BH427" i="2" s="1"/>
  <c r="BI427" i="2" s="1"/>
  <c r="AM427" i="2"/>
  <c r="BA429" i="2"/>
  <c r="L457" i="3"/>
  <c r="AE429" i="2" s="1"/>
  <c r="M457" i="3"/>
  <c r="V430" i="2" s="1"/>
  <c r="AK430" i="2" s="1"/>
  <c r="CV306" i="7"/>
  <c r="CX306" i="7" s="1"/>
  <c r="CC305" i="7"/>
  <c r="CS305" i="7"/>
  <c r="CU305" i="7" s="1"/>
  <c r="CY305" i="7" s="1"/>
  <c r="CC148" i="7"/>
  <c r="CS148" i="7"/>
  <c r="CU148" i="7" s="1"/>
  <c r="CY148" i="7" s="1"/>
  <c r="CZ148" i="7" s="1"/>
  <c r="BU307" i="7"/>
  <c r="AD307" i="11" s="1"/>
  <c r="D309" i="2"/>
  <c r="F308" i="2"/>
  <c r="AD306" i="2"/>
  <c r="AL306" i="2" s="1"/>
  <c r="AZ306" i="2" s="1"/>
  <c r="AK306" i="2"/>
  <c r="BA306" i="2" s="1"/>
  <c r="O177" i="9"/>
  <c r="BL149" i="7"/>
  <c r="L177" i="9"/>
  <c r="BK149" i="7" s="1"/>
  <c r="M177" i="9"/>
  <c r="AR150" i="7" s="1"/>
  <c r="CA150" i="7" s="1"/>
  <c r="J177" i="9"/>
  <c r="R149" i="11" s="1"/>
  <c r="M336" i="9"/>
  <c r="AR309" i="7" s="1"/>
  <c r="CA309" i="7" s="1"/>
  <c r="L336" i="9"/>
  <c r="BK308" i="7" s="1"/>
  <c r="I337" i="9"/>
  <c r="H337" i="9"/>
  <c r="BA309" i="11" s="1"/>
  <c r="C337" i="9"/>
  <c r="E337" i="9" s="1"/>
  <c r="B338" i="9"/>
  <c r="G337" i="9"/>
  <c r="Q309" i="11" s="1"/>
  <c r="F337" i="9"/>
  <c r="AY309" i="11" s="1"/>
  <c r="K337" i="9"/>
  <c r="J337" i="9"/>
  <c r="R309" i="11" s="1"/>
  <c r="W308" i="11" l="1"/>
  <c r="U308" i="2"/>
  <c r="AO308" i="11" s="1"/>
  <c r="AW307" i="11"/>
  <c r="AT427" i="2"/>
  <c r="AW427" i="2" s="1"/>
  <c r="F427" i="11" s="1"/>
  <c r="AR428" i="2"/>
  <c r="AS428" i="2" s="1"/>
  <c r="O337" i="9"/>
  <c r="BL309" i="7"/>
  <c r="AP429" i="2"/>
  <c r="AR429" i="2" s="1"/>
  <c r="AS429" i="2" s="1"/>
  <c r="CF149" i="7"/>
  <c r="CH149" i="7" s="1"/>
  <c r="CI149" i="7" s="1"/>
  <c r="AM428" i="2"/>
  <c r="CB149" i="7"/>
  <c r="BH428" i="2"/>
  <c r="BI428" i="2" s="1"/>
  <c r="CF307" i="7"/>
  <c r="CH307" i="7" s="1"/>
  <c r="CI307" i="7" s="1"/>
  <c r="CB307" i="7"/>
  <c r="CK305" i="7"/>
  <c r="CQ305" i="7" s="1"/>
  <c r="CQ304" i="7"/>
  <c r="CK148" i="7"/>
  <c r="CN148" i="7" s="1"/>
  <c r="I148" i="11" s="1"/>
  <c r="O458" i="3"/>
  <c r="AF430" i="2"/>
  <c r="BA430" i="2"/>
  <c r="M458" i="3"/>
  <c r="V431" i="2" s="1"/>
  <c r="AK431" i="2" s="1"/>
  <c r="L458" i="3"/>
  <c r="AE430" i="2" s="1"/>
  <c r="AL429" i="2"/>
  <c r="B460" i="3"/>
  <c r="C459" i="3"/>
  <c r="E459" i="3" s="1"/>
  <c r="F459" i="3"/>
  <c r="AX431" i="11" s="1"/>
  <c r="G459" i="3"/>
  <c r="O431" i="11" s="1"/>
  <c r="H459" i="3"/>
  <c r="AZ431" i="11" s="1"/>
  <c r="I459" i="3"/>
  <c r="J459" i="3"/>
  <c r="P431" i="11" s="1"/>
  <c r="K459" i="3"/>
  <c r="CV307" i="7"/>
  <c r="CX307" i="7" s="1"/>
  <c r="CC306" i="7"/>
  <c r="CS306" i="7"/>
  <c r="CU306" i="7" s="1"/>
  <c r="CY306" i="7" s="1"/>
  <c r="CV149" i="7"/>
  <c r="CX149" i="7" s="1"/>
  <c r="BB306" i="2"/>
  <c r="BH306" i="2" s="1"/>
  <c r="BI306" i="2" s="1"/>
  <c r="BU308" i="7"/>
  <c r="AD308" i="11" s="1"/>
  <c r="D310" i="2"/>
  <c r="F309" i="2"/>
  <c r="AM306" i="2"/>
  <c r="AT306" i="2" s="1"/>
  <c r="AD307" i="2"/>
  <c r="AL307" i="2" s="1"/>
  <c r="AZ307" i="2" s="1"/>
  <c r="AK307" i="2"/>
  <c r="BA307" i="2" s="1"/>
  <c r="F178" i="9"/>
  <c r="AY150" i="11" s="1"/>
  <c r="G178" i="9"/>
  <c r="Q150" i="11" s="1"/>
  <c r="C178" i="9"/>
  <c r="E178" i="9" s="1"/>
  <c r="H178" i="9" s="1"/>
  <c r="BA150" i="11" s="1"/>
  <c r="I338" i="9"/>
  <c r="H338" i="9"/>
  <c r="BA310" i="11" s="1"/>
  <c r="C338" i="9"/>
  <c r="E338" i="9" s="1"/>
  <c r="K338" i="9"/>
  <c r="J338" i="9"/>
  <c r="R310" i="11" s="1"/>
  <c r="B339" i="9"/>
  <c r="G338" i="9"/>
  <c r="Q310" i="11" s="1"/>
  <c r="F338" i="9"/>
  <c r="AY310" i="11" s="1"/>
  <c r="M337" i="9"/>
  <c r="AR310" i="7" s="1"/>
  <c r="CA310" i="7" s="1"/>
  <c r="L337" i="9"/>
  <c r="BK309" i="7" s="1"/>
  <c r="W309" i="11" l="1"/>
  <c r="U309" i="2"/>
  <c r="AW308" i="11"/>
  <c r="AT428" i="2"/>
  <c r="AW428" i="2" s="1"/>
  <c r="F428" i="11" s="1"/>
  <c r="BD429" i="2"/>
  <c r="BF429" i="2" s="1"/>
  <c r="BG429" i="2" s="1"/>
  <c r="O338" i="9"/>
  <c r="BL310" i="7"/>
  <c r="AP430" i="2"/>
  <c r="AR430" i="2" s="1"/>
  <c r="AS430" i="2" s="1"/>
  <c r="CF308" i="7"/>
  <c r="CH308" i="7" s="1"/>
  <c r="CI308" i="7" s="1"/>
  <c r="CB308" i="7"/>
  <c r="CQ148" i="7"/>
  <c r="CK306" i="7"/>
  <c r="CQ306" i="7" s="1"/>
  <c r="CN305" i="7"/>
  <c r="I305" i="11" s="1"/>
  <c r="BA431" i="2"/>
  <c r="O459" i="3"/>
  <c r="AF431" i="2"/>
  <c r="B461" i="3"/>
  <c r="C460" i="3"/>
  <c r="E460" i="3" s="1"/>
  <c r="F460" i="3"/>
  <c r="AX432" i="11" s="1"/>
  <c r="G460" i="3"/>
  <c r="O432" i="11" s="1"/>
  <c r="H460" i="3"/>
  <c r="AZ432" i="11" s="1"/>
  <c r="I460" i="3"/>
  <c r="J460" i="3"/>
  <c r="P432" i="11" s="1"/>
  <c r="K460" i="3"/>
  <c r="M459" i="3"/>
  <c r="V432" i="2" s="1"/>
  <c r="AK432" i="2" s="1"/>
  <c r="L459" i="3"/>
  <c r="AE431" i="2" s="1"/>
  <c r="AZ429" i="2"/>
  <c r="BB429" i="2" s="1"/>
  <c r="AM429" i="2"/>
  <c r="AT429" i="2" s="1"/>
  <c r="AW429" i="2" s="1"/>
  <c r="F429" i="11" s="1"/>
  <c r="AL430" i="2"/>
  <c r="CV308" i="7"/>
  <c r="CX308" i="7" s="1"/>
  <c r="CC149" i="7"/>
  <c r="CS149" i="7"/>
  <c r="CU149" i="7" s="1"/>
  <c r="CY149" i="7" s="1"/>
  <c r="CZ149" i="7" s="1"/>
  <c r="CC307" i="7"/>
  <c r="CS307" i="7"/>
  <c r="CU307" i="7" s="1"/>
  <c r="CY307" i="7" s="1"/>
  <c r="BB307" i="2"/>
  <c r="BH307" i="2" s="1"/>
  <c r="BI307" i="2" s="1"/>
  <c r="AM307" i="2"/>
  <c r="AT307" i="2" s="1"/>
  <c r="AW307" i="2" s="1"/>
  <c r="F307" i="11" s="1"/>
  <c r="AW306" i="2"/>
  <c r="F306" i="11" s="1"/>
  <c r="AO309" i="11"/>
  <c r="BU309" i="7"/>
  <c r="AD309" i="11" s="1"/>
  <c r="D311" i="2"/>
  <c r="F310" i="2"/>
  <c r="AD308" i="2"/>
  <c r="AL308" i="2" s="1"/>
  <c r="AZ308" i="2" s="1"/>
  <c r="AK308" i="2"/>
  <c r="BA308" i="2" s="1"/>
  <c r="I178" i="9"/>
  <c r="J178" i="9"/>
  <c r="R150" i="11" s="1"/>
  <c r="K178" i="9"/>
  <c r="BL150" i="7"/>
  <c r="O178" i="9"/>
  <c r="M338" i="9"/>
  <c r="AR311" i="7" s="1"/>
  <c r="CA311" i="7" s="1"/>
  <c r="L338" i="9"/>
  <c r="BK310" i="7" s="1"/>
  <c r="I339" i="9"/>
  <c r="H339" i="9"/>
  <c r="BA311" i="11" s="1"/>
  <c r="C339" i="9"/>
  <c r="E339" i="9" s="1"/>
  <c r="B340" i="9"/>
  <c r="G339" i="9"/>
  <c r="Q311" i="11" s="1"/>
  <c r="F339" i="9"/>
  <c r="AY311" i="11" s="1"/>
  <c r="K339" i="9"/>
  <c r="J339" i="9"/>
  <c r="R311" i="11" s="1"/>
  <c r="W310" i="11" l="1"/>
  <c r="U310" i="2"/>
  <c r="AO310" i="11" s="1"/>
  <c r="AW309" i="11"/>
  <c r="BH429" i="2"/>
  <c r="BI429" i="2" s="1"/>
  <c r="BD430" i="2"/>
  <c r="BF430" i="2" s="1"/>
  <c r="BG430" i="2" s="1"/>
  <c r="O339" i="9"/>
  <c r="BL311" i="7"/>
  <c r="AP431" i="2"/>
  <c r="AR431" i="2" s="1"/>
  <c r="AS431" i="2" s="1"/>
  <c r="CF150" i="7"/>
  <c r="CH150" i="7" s="1"/>
  <c r="CI150" i="7" s="1"/>
  <c r="D306" i="11"/>
  <c r="CN306" i="7"/>
  <c r="I306" i="11" s="1"/>
  <c r="L306" i="11" s="1"/>
  <c r="CB309" i="7"/>
  <c r="CF309" i="7"/>
  <c r="CH309" i="7" s="1"/>
  <c r="CI309" i="7" s="1"/>
  <c r="CK307" i="7"/>
  <c r="CN307" i="7" s="1"/>
  <c r="I307" i="11" s="1"/>
  <c r="L307" i="11" s="1"/>
  <c r="CK149" i="7"/>
  <c r="CN149" i="7" s="1"/>
  <c r="I149" i="11" s="1"/>
  <c r="BA432" i="2"/>
  <c r="O460" i="3"/>
  <c r="AF432" i="2"/>
  <c r="B462" i="3"/>
  <c r="F461" i="3"/>
  <c r="AX433" i="11" s="1"/>
  <c r="G461" i="3"/>
  <c r="O433" i="11" s="1"/>
  <c r="H461" i="3"/>
  <c r="AZ433" i="11" s="1"/>
  <c r="I461" i="3"/>
  <c r="J461" i="3"/>
  <c r="P433" i="11" s="1"/>
  <c r="K461" i="3"/>
  <c r="C461" i="3"/>
  <c r="E461" i="3" s="1"/>
  <c r="M460" i="3"/>
  <c r="V433" i="2" s="1"/>
  <c r="AK433" i="2" s="1"/>
  <c r="L460" i="3"/>
  <c r="AE432" i="2" s="1"/>
  <c r="AZ430" i="2"/>
  <c r="BB430" i="2" s="1"/>
  <c r="AM430" i="2"/>
  <c r="AT430" i="2" s="1"/>
  <c r="AW430" i="2" s="1"/>
  <c r="F430" i="11" s="1"/>
  <c r="AL431" i="2"/>
  <c r="CV309" i="7"/>
  <c r="CX309" i="7" s="1"/>
  <c r="CV150" i="7"/>
  <c r="CX150" i="7" s="1"/>
  <c r="CC308" i="7"/>
  <c r="CS308" i="7"/>
  <c r="CU308" i="7" s="1"/>
  <c r="CY308" i="7" s="1"/>
  <c r="BB308" i="2"/>
  <c r="BH308" i="2" s="1"/>
  <c r="BI308" i="2" s="1"/>
  <c r="AM308" i="2"/>
  <c r="AT308" i="2" s="1"/>
  <c r="AW308" i="2" s="1"/>
  <c r="F308" i="11" s="1"/>
  <c r="D312" i="2"/>
  <c r="F311" i="2"/>
  <c r="AD309" i="2"/>
  <c r="AL309" i="2" s="1"/>
  <c r="AZ309" i="2" s="1"/>
  <c r="AK309" i="2"/>
  <c r="BA309" i="2" s="1"/>
  <c r="BU310" i="7"/>
  <c r="AD310" i="11" s="1"/>
  <c r="M178" i="9"/>
  <c r="AR151" i="7" s="1"/>
  <c r="CA151" i="7" s="1"/>
  <c r="L178" i="9"/>
  <c r="BK150" i="7" s="1"/>
  <c r="CB150" i="7" s="1"/>
  <c r="G179" i="9"/>
  <c r="Q151" i="11" s="1"/>
  <c r="F179" i="9"/>
  <c r="AY151" i="11" s="1"/>
  <c r="C179" i="9"/>
  <c r="E179" i="9" s="1"/>
  <c r="H179" i="9" s="1"/>
  <c r="BA151" i="11" s="1"/>
  <c r="M339" i="9"/>
  <c r="AR312" i="7" s="1"/>
  <c r="CA312" i="7" s="1"/>
  <c r="L339" i="9"/>
  <c r="BK311" i="7" s="1"/>
  <c r="I340" i="9"/>
  <c r="H340" i="9"/>
  <c r="BA312" i="11" s="1"/>
  <c r="C340" i="9"/>
  <c r="E340" i="9" s="1"/>
  <c r="K340" i="9"/>
  <c r="J340" i="9"/>
  <c r="R312" i="11" s="1"/>
  <c r="B341" i="9"/>
  <c r="G340" i="9"/>
  <c r="Q312" i="11" s="1"/>
  <c r="F340" i="9"/>
  <c r="AY312" i="11" s="1"/>
  <c r="W311" i="11" l="1"/>
  <c r="U311" i="2"/>
  <c r="AO311" i="11" s="1"/>
  <c r="AW310" i="11"/>
  <c r="BD431" i="2"/>
  <c r="BF431" i="2" s="1"/>
  <c r="BG431" i="2" s="1"/>
  <c r="BH430" i="2"/>
  <c r="BI430" i="2" s="1"/>
  <c r="AL432" i="2"/>
  <c r="AZ432" i="2" s="1"/>
  <c r="BB432" i="2" s="1"/>
  <c r="O340" i="9"/>
  <c r="BL312" i="7"/>
  <c r="AP432" i="2"/>
  <c r="BD432" i="2" s="1"/>
  <c r="BF432" i="2" s="1"/>
  <c r="BG432" i="2" s="1"/>
  <c r="CQ307" i="7"/>
  <c r="CB310" i="7"/>
  <c r="CF310" i="7"/>
  <c r="CH310" i="7" s="1"/>
  <c r="CI310" i="7" s="1"/>
  <c r="D307" i="11"/>
  <c r="CQ149" i="7"/>
  <c r="CK308" i="7"/>
  <c r="CQ308" i="7" s="1"/>
  <c r="O461" i="3"/>
  <c r="AF433" i="2"/>
  <c r="BA433" i="2"/>
  <c r="B463" i="3"/>
  <c r="G462" i="3"/>
  <c r="O434" i="11" s="1"/>
  <c r="H462" i="3"/>
  <c r="AZ434" i="11" s="1"/>
  <c r="I462" i="3"/>
  <c r="J462" i="3"/>
  <c r="P434" i="11" s="1"/>
  <c r="K462" i="3"/>
  <c r="C462" i="3"/>
  <c r="E462" i="3" s="1"/>
  <c r="F462" i="3"/>
  <c r="AX434" i="11" s="1"/>
  <c r="AZ431" i="2"/>
  <c r="BB431" i="2" s="1"/>
  <c r="AM431" i="2"/>
  <c r="AT431" i="2" s="1"/>
  <c r="AW431" i="2" s="1"/>
  <c r="F431" i="11" s="1"/>
  <c r="M461" i="3"/>
  <c r="V434" i="2" s="1"/>
  <c r="AK434" i="2" s="1"/>
  <c r="L461" i="3"/>
  <c r="AE433" i="2" s="1"/>
  <c r="CV310" i="7"/>
  <c r="CX310" i="7" s="1"/>
  <c r="CC150" i="7"/>
  <c r="CS150" i="7"/>
  <c r="CU150" i="7" s="1"/>
  <c r="CY150" i="7" s="1"/>
  <c r="CZ150" i="7" s="1"/>
  <c r="CC309" i="7"/>
  <c r="CS309" i="7"/>
  <c r="CU309" i="7" s="1"/>
  <c r="CY309" i="7" s="1"/>
  <c r="BB309" i="2"/>
  <c r="BH309" i="2" s="1"/>
  <c r="BI309" i="2" s="1"/>
  <c r="AM309" i="2"/>
  <c r="AT309" i="2" s="1"/>
  <c r="AW309" i="2" s="1"/>
  <c r="F309" i="11" s="1"/>
  <c r="BU311" i="7"/>
  <c r="AD311" i="11" s="1"/>
  <c r="D313" i="2"/>
  <c r="F312" i="2"/>
  <c r="AD310" i="2"/>
  <c r="AL310" i="2" s="1"/>
  <c r="AZ310" i="2" s="1"/>
  <c r="AK310" i="2"/>
  <c r="BA310" i="2" s="1"/>
  <c r="I179" i="9"/>
  <c r="K179" i="9"/>
  <c r="J179" i="9"/>
  <c r="R151" i="11" s="1"/>
  <c r="BL151" i="7"/>
  <c r="O179" i="9"/>
  <c r="M340" i="9"/>
  <c r="AR313" i="7" s="1"/>
  <c r="CA313" i="7" s="1"/>
  <c r="L340" i="9"/>
  <c r="BK312" i="7" s="1"/>
  <c r="I341" i="9"/>
  <c r="H341" i="9"/>
  <c r="BA313" i="11" s="1"/>
  <c r="C341" i="9"/>
  <c r="E341" i="9" s="1"/>
  <c r="B342" i="9"/>
  <c r="G341" i="9"/>
  <c r="Q313" i="11" s="1"/>
  <c r="F341" i="9"/>
  <c r="AY313" i="11" s="1"/>
  <c r="K341" i="9"/>
  <c r="J341" i="9"/>
  <c r="R313" i="11" s="1"/>
  <c r="BH431" i="2" l="1"/>
  <c r="BI431" i="2" s="1"/>
  <c r="W312" i="11"/>
  <c r="U312" i="2"/>
  <c r="AO312" i="11" s="1"/>
  <c r="AM432" i="2"/>
  <c r="AW311" i="11"/>
  <c r="AR432" i="2"/>
  <c r="AS432" i="2" s="1"/>
  <c r="O341" i="9"/>
  <c r="BL313" i="7"/>
  <c r="AP433" i="2"/>
  <c r="AR433" i="2" s="1"/>
  <c r="AS433" i="2" s="1"/>
  <c r="CF151" i="7"/>
  <c r="CH151" i="7" s="1"/>
  <c r="CI151" i="7" s="1"/>
  <c r="CB311" i="7"/>
  <c r="CF311" i="7"/>
  <c r="CH311" i="7" s="1"/>
  <c r="CI311" i="7" s="1"/>
  <c r="CN308" i="7"/>
  <c r="I308" i="11" s="1"/>
  <c r="L308" i="11" s="1"/>
  <c r="BH432" i="2"/>
  <c r="BI432" i="2" s="1"/>
  <c r="D308" i="11"/>
  <c r="CK309" i="7"/>
  <c r="CN309" i="7" s="1"/>
  <c r="I309" i="11" s="1"/>
  <c r="L309" i="11" s="1"/>
  <c r="CK150" i="7"/>
  <c r="CN150" i="7" s="1"/>
  <c r="I150" i="11" s="1"/>
  <c r="B464" i="3"/>
  <c r="G463" i="3"/>
  <c r="O435" i="11" s="1"/>
  <c r="H463" i="3"/>
  <c r="AZ435" i="11" s="1"/>
  <c r="I463" i="3"/>
  <c r="J463" i="3"/>
  <c r="P435" i="11" s="1"/>
  <c r="K463" i="3"/>
  <c r="C463" i="3"/>
  <c r="E463" i="3" s="1"/>
  <c r="F463" i="3"/>
  <c r="AX435" i="11" s="1"/>
  <c r="O462" i="3"/>
  <c r="AF434" i="2"/>
  <c r="BA434" i="2"/>
  <c r="M462" i="3"/>
  <c r="V435" i="2" s="1"/>
  <c r="AK435" i="2" s="1"/>
  <c r="L462" i="3"/>
  <c r="AE434" i="2" s="1"/>
  <c r="AL433" i="2"/>
  <c r="CV311" i="7"/>
  <c r="CX311" i="7" s="1"/>
  <c r="CV151" i="7"/>
  <c r="CX151" i="7" s="1"/>
  <c r="CC310" i="7"/>
  <c r="CS310" i="7"/>
  <c r="CU310" i="7" s="1"/>
  <c r="CY310" i="7" s="1"/>
  <c r="BB310" i="2"/>
  <c r="BH310" i="2" s="1"/>
  <c r="BI310" i="2" s="1"/>
  <c r="AM310" i="2"/>
  <c r="AT310" i="2" s="1"/>
  <c r="AW310" i="2" s="1"/>
  <c r="F310" i="11" s="1"/>
  <c r="BU312" i="7"/>
  <c r="AD312" i="11" s="1"/>
  <c r="D314" i="2"/>
  <c r="F313" i="2"/>
  <c r="AD311" i="2"/>
  <c r="AL311" i="2" s="1"/>
  <c r="AZ311" i="2" s="1"/>
  <c r="AK311" i="2"/>
  <c r="BA311" i="2" s="1"/>
  <c r="C180" i="9"/>
  <c r="E180" i="9" s="1"/>
  <c r="F180" i="9"/>
  <c r="AY152" i="11" s="1"/>
  <c r="H180" i="9"/>
  <c r="BA152" i="11" s="1"/>
  <c r="G180" i="9"/>
  <c r="Q152" i="11" s="1"/>
  <c r="J180" i="9"/>
  <c r="R152" i="11" s="1"/>
  <c r="L179" i="9"/>
  <c r="BK151" i="7" s="1"/>
  <c r="CB151" i="7" s="1"/>
  <c r="M179" i="9"/>
  <c r="AR152" i="7" s="1"/>
  <c r="CA152" i="7" s="1"/>
  <c r="I342" i="9"/>
  <c r="H342" i="9"/>
  <c r="BA314" i="11" s="1"/>
  <c r="C342" i="9"/>
  <c r="E342" i="9" s="1"/>
  <c r="K342" i="9"/>
  <c r="J342" i="9"/>
  <c r="R314" i="11" s="1"/>
  <c r="B343" i="9"/>
  <c r="G342" i="9"/>
  <c r="Q314" i="11" s="1"/>
  <c r="F342" i="9"/>
  <c r="AY314" i="11" s="1"/>
  <c r="M341" i="9"/>
  <c r="AR314" i="7" s="1"/>
  <c r="CA314" i="7" s="1"/>
  <c r="L341" i="9"/>
  <c r="BK313" i="7" s="1"/>
  <c r="AT432" i="2" l="1"/>
  <c r="AW432" i="2" s="1"/>
  <c r="F432" i="11" s="1"/>
  <c r="W313" i="11"/>
  <c r="U313" i="2"/>
  <c r="AO313" i="11" s="1"/>
  <c r="BD433" i="2"/>
  <c r="BF433" i="2" s="1"/>
  <c r="BG433" i="2" s="1"/>
  <c r="AW312" i="11"/>
  <c r="O342" i="9"/>
  <c r="BL314" i="7"/>
  <c r="AP434" i="2"/>
  <c r="BD434" i="2" s="1"/>
  <c r="BF434" i="2" s="1"/>
  <c r="BG434" i="2" s="1"/>
  <c r="AE435" i="2"/>
  <c r="CB312" i="7"/>
  <c r="CF312" i="7"/>
  <c r="CH312" i="7" s="1"/>
  <c r="CI312" i="7" s="1"/>
  <c r="CQ150" i="7"/>
  <c r="D309" i="11"/>
  <c r="CK310" i="7"/>
  <c r="CN310" i="7" s="1"/>
  <c r="I310" i="11" s="1"/>
  <c r="L310" i="11" s="1"/>
  <c r="CQ309" i="7"/>
  <c r="BA435" i="2"/>
  <c r="M463" i="3"/>
  <c r="V436" i="2" s="1"/>
  <c r="AK436" i="2" s="1"/>
  <c r="L463" i="3"/>
  <c r="AZ433" i="2"/>
  <c r="BB433" i="2" s="1"/>
  <c r="AM433" i="2"/>
  <c r="AT433" i="2" s="1"/>
  <c r="AW433" i="2" s="1"/>
  <c r="F433" i="11" s="1"/>
  <c r="B465" i="3"/>
  <c r="G464" i="3"/>
  <c r="O436" i="11" s="1"/>
  <c r="H464" i="3"/>
  <c r="AZ436" i="11" s="1"/>
  <c r="I464" i="3"/>
  <c r="J464" i="3"/>
  <c r="P436" i="11" s="1"/>
  <c r="K464" i="3"/>
  <c r="C464" i="3"/>
  <c r="E464" i="3" s="1"/>
  <c r="F464" i="3"/>
  <c r="AX436" i="11" s="1"/>
  <c r="O463" i="3"/>
  <c r="AF435" i="2"/>
  <c r="AL434" i="2"/>
  <c r="CV312" i="7"/>
  <c r="CX312" i="7" s="1"/>
  <c r="CC311" i="7"/>
  <c r="CS311" i="7"/>
  <c r="CU311" i="7" s="1"/>
  <c r="CY311" i="7" s="1"/>
  <c r="CC151" i="7"/>
  <c r="CS151" i="7"/>
  <c r="CU151" i="7" s="1"/>
  <c r="CY151" i="7" s="1"/>
  <c r="CZ151" i="7" s="1"/>
  <c r="BB311" i="2"/>
  <c r="BH311" i="2" s="1"/>
  <c r="BI311" i="2" s="1"/>
  <c r="D315" i="2"/>
  <c r="F314" i="2"/>
  <c r="AM311" i="2"/>
  <c r="AT311" i="2" s="1"/>
  <c r="AD312" i="2"/>
  <c r="AL312" i="2" s="1"/>
  <c r="AZ312" i="2" s="1"/>
  <c r="AK312" i="2"/>
  <c r="BA312" i="2" s="1"/>
  <c r="BU313" i="7"/>
  <c r="AD313" i="11" s="1"/>
  <c r="C181" i="9"/>
  <c r="E181" i="9" s="1"/>
  <c r="F181" i="9"/>
  <c r="AY153" i="11" s="1"/>
  <c r="K180" i="9"/>
  <c r="O180" i="9"/>
  <c r="BL152" i="7"/>
  <c r="I180" i="9"/>
  <c r="I343" i="9"/>
  <c r="H343" i="9"/>
  <c r="BA315" i="11" s="1"/>
  <c r="C343" i="9"/>
  <c r="E343" i="9" s="1"/>
  <c r="B344" i="9"/>
  <c r="G343" i="9"/>
  <c r="Q315" i="11" s="1"/>
  <c r="F343" i="9"/>
  <c r="AY315" i="11" s="1"/>
  <c r="K343" i="9"/>
  <c r="J343" i="9"/>
  <c r="R315" i="11" s="1"/>
  <c r="M342" i="9"/>
  <c r="AR315" i="7" s="1"/>
  <c r="CA315" i="7" s="1"/>
  <c r="L342" i="9"/>
  <c r="BK314" i="7" s="1"/>
  <c r="BH433" i="2" l="1"/>
  <c r="BI433" i="2" s="1"/>
  <c r="W314" i="11"/>
  <c r="U314" i="2"/>
  <c r="AW313" i="11"/>
  <c r="CG436" i="11"/>
  <c r="AQ55" i="20" s="1"/>
  <c r="AR434" i="2"/>
  <c r="AS434" i="2" s="1"/>
  <c r="O343" i="9"/>
  <c r="BL315" i="7"/>
  <c r="CI436" i="11"/>
  <c r="AQ75" i="20" s="1"/>
  <c r="AP435" i="2"/>
  <c r="AR435" i="2" s="1"/>
  <c r="AS435" i="2" s="1"/>
  <c r="CF152" i="7"/>
  <c r="CH152" i="7" s="1"/>
  <c r="CI152" i="7" s="1"/>
  <c r="CF313" i="7"/>
  <c r="CH313" i="7" s="1"/>
  <c r="CI313" i="7" s="1"/>
  <c r="CB313" i="7"/>
  <c r="CQ310" i="7"/>
  <c r="D310" i="11"/>
  <c r="CK311" i="7"/>
  <c r="CQ311" i="7" s="1"/>
  <c r="CK151" i="7"/>
  <c r="CN151" i="7" s="1"/>
  <c r="I151" i="11" s="1"/>
  <c r="M464" i="3"/>
  <c r="V437" i="2" s="1"/>
  <c r="AK437" i="2" s="1"/>
  <c r="L464" i="3"/>
  <c r="AE436" i="2" s="1"/>
  <c r="AL435" i="2"/>
  <c r="AZ434" i="2"/>
  <c r="BB434" i="2" s="1"/>
  <c r="BH434" i="2" s="1"/>
  <c r="BI434" i="2" s="1"/>
  <c r="AM434" i="2"/>
  <c r="BA436" i="2"/>
  <c r="B466" i="3"/>
  <c r="G465" i="3"/>
  <c r="O437" i="11" s="1"/>
  <c r="H465" i="3"/>
  <c r="AZ437" i="11" s="1"/>
  <c r="I465" i="3"/>
  <c r="J465" i="3"/>
  <c r="P437" i="11" s="1"/>
  <c r="K465" i="3"/>
  <c r="C465" i="3"/>
  <c r="E465" i="3" s="1"/>
  <c r="F465" i="3"/>
  <c r="AX437" i="11" s="1"/>
  <c r="O464" i="3"/>
  <c r="AF436" i="2"/>
  <c r="CV313" i="7"/>
  <c r="CX313" i="7" s="1"/>
  <c r="CC312" i="7"/>
  <c r="CK312" i="7" s="1"/>
  <c r="CS312" i="7"/>
  <c r="CU312" i="7" s="1"/>
  <c r="CY312" i="7" s="1"/>
  <c r="CV152" i="7"/>
  <c r="CX152" i="7" s="1"/>
  <c r="BB312" i="2"/>
  <c r="BH312" i="2" s="1"/>
  <c r="BI312" i="2" s="1"/>
  <c r="AM312" i="2"/>
  <c r="AT312" i="2" s="1"/>
  <c r="AW312" i="2" s="1"/>
  <c r="F312" i="11" s="1"/>
  <c r="AD313" i="2"/>
  <c r="AL313" i="2" s="1"/>
  <c r="AZ313" i="2" s="1"/>
  <c r="AK313" i="2"/>
  <c r="BA313" i="2" s="1"/>
  <c r="AW311" i="2"/>
  <c r="F311" i="11" s="1"/>
  <c r="AO314" i="11"/>
  <c r="BU314" i="7"/>
  <c r="AD314" i="11" s="1"/>
  <c r="D316" i="2"/>
  <c r="F315" i="2"/>
  <c r="BL153" i="7"/>
  <c r="O181" i="9"/>
  <c r="H181" i="9"/>
  <c r="BA153" i="11" s="1"/>
  <c r="M180" i="9"/>
  <c r="AR153" i="7" s="1"/>
  <c r="CA153" i="7" s="1"/>
  <c r="L180" i="9"/>
  <c r="BK152" i="7" s="1"/>
  <c r="CB152" i="7" s="1"/>
  <c r="G181" i="9"/>
  <c r="Q153" i="11" s="1"/>
  <c r="I344" i="9"/>
  <c r="H344" i="9"/>
  <c r="BA316" i="11" s="1"/>
  <c r="C344" i="9"/>
  <c r="E344" i="9" s="1"/>
  <c r="K344" i="9"/>
  <c r="J344" i="9"/>
  <c r="R316" i="11" s="1"/>
  <c r="B345" i="9"/>
  <c r="G344" i="9"/>
  <c r="Q316" i="11" s="1"/>
  <c r="F344" i="9"/>
  <c r="AY316" i="11" s="1"/>
  <c r="M343" i="9"/>
  <c r="AR316" i="7" s="1"/>
  <c r="CA316" i="7" s="1"/>
  <c r="L343" i="9"/>
  <c r="BK315" i="7" s="1"/>
  <c r="W315" i="11" l="1"/>
  <c r="U315" i="2"/>
  <c r="AO315" i="11" s="1"/>
  <c r="AW314" i="11"/>
  <c r="CJ316" i="11"/>
  <c r="AG76" i="20" s="1"/>
  <c r="AG77" i="20" s="1"/>
  <c r="AG78" i="20" s="1"/>
  <c r="CH316" i="11"/>
  <c r="AG56" i="20" s="1"/>
  <c r="AG57" i="20" s="1"/>
  <c r="AT434" i="2"/>
  <c r="AW434" i="2" s="1"/>
  <c r="F434" i="11" s="1"/>
  <c r="BD435" i="2"/>
  <c r="BF435" i="2" s="1"/>
  <c r="BG435" i="2" s="1"/>
  <c r="O344" i="9"/>
  <c r="BL316" i="7"/>
  <c r="AP436" i="2"/>
  <c r="BD436" i="2" s="1"/>
  <c r="BF436" i="2" s="1"/>
  <c r="BG436" i="2" s="1"/>
  <c r="CF153" i="7"/>
  <c r="CH153" i="7" s="1"/>
  <c r="CI153" i="7" s="1"/>
  <c r="D311" i="11"/>
  <c r="CN311" i="7"/>
  <c r="I311" i="11" s="1"/>
  <c r="L311" i="11" s="1"/>
  <c r="CB314" i="7"/>
  <c r="CF314" i="7"/>
  <c r="CH314" i="7" s="1"/>
  <c r="CI314" i="7" s="1"/>
  <c r="CQ151" i="7"/>
  <c r="M465" i="3"/>
  <c r="V438" i="2" s="1"/>
  <c r="AK438" i="2" s="1"/>
  <c r="L465" i="3"/>
  <c r="AE437" i="2" s="1"/>
  <c r="AL436" i="2"/>
  <c r="B467" i="3"/>
  <c r="H466" i="3"/>
  <c r="AZ438" i="11" s="1"/>
  <c r="I466" i="3"/>
  <c r="J466" i="3"/>
  <c r="P438" i="11" s="1"/>
  <c r="K466" i="3"/>
  <c r="M466" i="3" s="1"/>
  <c r="V439" i="2" s="1"/>
  <c r="AK439" i="2" s="1"/>
  <c r="C466" i="3"/>
  <c r="E466" i="3" s="1"/>
  <c r="F466" i="3"/>
  <c r="AX438" i="11" s="1"/>
  <c r="G466" i="3"/>
  <c r="O438" i="11" s="1"/>
  <c r="AZ435" i="2"/>
  <c r="BB435" i="2" s="1"/>
  <c r="AM435" i="2"/>
  <c r="AT435" i="2" s="1"/>
  <c r="AW435" i="2" s="1"/>
  <c r="F435" i="11" s="1"/>
  <c r="O465" i="3"/>
  <c r="AF437" i="2"/>
  <c r="BA437" i="2"/>
  <c r="CV314" i="7"/>
  <c r="CX314" i="7" s="1"/>
  <c r="D312" i="11"/>
  <c r="CQ312" i="7"/>
  <c r="CN312" i="7"/>
  <c r="I312" i="11" s="1"/>
  <c r="L312" i="11" s="1"/>
  <c r="CC152" i="7"/>
  <c r="CS152" i="7"/>
  <c r="CU152" i="7" s="1"/>
  <c r="CY152" i="7" s="1"/>
  <c r="CZ152" i="7" s="1"/>
  <c r="CC313" i="7"/>
  <c r="CS313" i="7"/>
  <c r="CU313" i="7" s="1"/>
  <c r="CY313" i="7" s="1"/>
  <c r="CV153" i="7"/>
  <c r="CX153" i="7" s="1"/>
  <c r="BB313" i="2"/>
  <c r="BH313" i="2" s="1"/>
  <c r="BI313" i="2" s="1"/>
  <c r="AM313" i="2"/>
  <c r="AT313" i="2" s="1"/>
  <c r="AW313" i="2" s="1"/>
  <c r="F313" i="11" s="1"/>
  <c r="BU315" i="7"/>
  <c r="AD315" i="11" s="1"/>
  <c r="D317" i="2"/>
  <c r="V46" i="5"/>
  <c r="W46" i="5" s="1"/>
  <c r="F316" i="2"/>
  <c r="AD314" i="2"/>
  <c r="AL314" i="2" s="1"/>
  <c r="AZ314" i="2" s="1"/>
  <c r="AK314" i="2"/>
  <c r="BA314" i="2" s="1"/>
  <c r="I181" i="9"/>
  <c r="J181" i="9"/>
  <c r="R153" i="11" s="1"/>
  <c r="K181" i="9"/>
  <c r="I345" i="9"/>
  <c r="H345" i="9"/>
  <c r="BA317" i="11" s="1"/>
  <c r="C345" i="9"/>
  <c r="E345" i="9" s="1"/>
  <c r="B346" i="9"/>
  <c r="G345" i="9"/>
  <c r="Q317" i="11" s="1"/>
  <c r="F345" i="9"/>
  <c r="AY317" i="11" s="1"/>
  <c r="K345" i="9"/>
  <c r="J345" i="9"/>
  <c r="R317" i="11" s="1"/>
  <c r="M344" i="9"/>
  <c r="AR317" i="7" s="1"/>
  <c r="CA317" i="7" s="1"/>
  <c r="L344" i="9"/>
  <c r="BK316" i="7" s="1"/>
  <c r="W316" i="11" l="1"/>
  <c r="BF316" i="11" s="1"/>
  <c r="AG35" i="20" s="1"/>
  <c r="U316" i="2"/>
  <c r="AW315" i="11"/>
  <c r="BH435" i="2"/>
  <c r="BI435" i="2" s="1"/>
  <c r="AR436" i="2"/>
  <c r="AS436" i="2" s="1"/>
  <c r="O345" i="9"/>
  <c r="BL317" i="7"/>
  <c r="AP437" i="2"/>
  <c r="BD437" i="2" s="1"/>
  <c r="BF437" i="2" s="1"/>
  <c r="BG437" i="2" s="1"/>
  <c r="L466" i="3"/>
  <c r="AE438" i="2" s="1"/>
  <c r="CF315" i="7"/>
  <c r="CH315" i="7" s="1"/>
  <c r="CI315" i="7" s="1"/>
  <c r="CB315" i="7"/>
  <c r="CK313" i="7"/>
  <c r="CN313" i="7" s="1"/>
  <c r="I313" i="11" s="1"/>
  <c r="L313" i="11" s="1"/>
  <c r="CK152" i="7"/>
  <c r="CQ152" i="7" s="1"/>
  <c r="B468" i="3"/>
  <c r="H467" i="3"/>
  <c r="AZ439" i="11" s="1"/>
  <c r="I467" i="3"/>
  <c r="J467" i="3"/>
  <c r="P439" i="11" s="1"/>
  <c r="K467" i="3"/>
  <c r="C467" i="3"/>
  <c r="E467" i="3" s="1"/>
  <c r="F467" i="3"/>
  <c r="AX439" i="11" s="1"/>
  <c r="G467" i="3"/>
  <c r="O439" i="11" s="1"/>
  <c r="O466" i="3"/>
  <c r="AF438" i="2"/>
  <c r="AL437" i="2"/>
  <c r="BA439" i="2"/>
  <c r="AZ436" i="2"/>
  <c r="BB436" i="2" s="1"/>
  <c r="BH436" i="2" s="1"/>
  <c r="BI436" i="2" s="1"/>
  <c r="AM436" i="2"/>
  <c r="BA438" i="2"/>
  <c r="CV315" i="7"/>
  <c r="CX315" i="7" s="1"/>
  <c r="CC314" i="7"/>
  <c r="CS314" i="7"/>
  <c r="CU314" i="7" s="1"/>
  <c r="CY314" i="7" s="1"/>
  <c r="BB314" i="2"/>
  <c r="BH314" i="2" s="1"/>
  <c r="BI314" i="2" s="1"/>
  <c r="AM314" i="2"/>
  <c r="AT314" i="2" s="1"/>
  <c r="AW314" i="2" s="1"/>
  <c r="F314" i="11" s="1"/>
  <c r="D318" i="2"/>
  <c r="F317" i="2"/>
  <c r="AD315" i="2"/>
  <c r="AL315" i="2" s="1"/>
  <c r="AZ315" i="2" s="1"/>
  <c r="AK315" i="2"/>
  <c r="BA315" i="2" s="1"/>
  <c r="BU316" i="7"/>
  <c r="AW316" i="11" s="1"/>
  <c r="M181" i="9"/>
  <c r="AR154" i="7" s="1"/>
  <c r="CA154" i="7" s="1"/>
  <c r="L181" i="9"/>
  <c r="BK153" i="7" s="1"/>
  <c r="CB153" i="7" s="1"/>
  <c r="G182" i="9"/>
  <c r="Q154" i="11" s="1"/>
  <c r="F182" i="9"/>
  <c r="AY154" i="11" s="1"/>
  <c r="C182" i="9"/>
  <c r="E182" i="9" s="1"/>
  <c r="H182" i="9"/>
  <c r="BA154" i="11" s="1"/>
  <c r="I346" i="9"/>
  <c r="H346" i="9"/>
  <c r="BA318" i="11" s="1"/>
  <c r="C346" i="9"/>
  <c r="E346" i="9" s="1"/>
  <c r="K346" i="9"/>
  <c r="J346" i="9"/>
  <c r="R318" i="11" s="1"/>
  <c r="B347" i="9"/>
  <c r="G346" i="9"/>
  <c r="Q318" i="11" s="1"/>
  <c r="F346" i="9"/>
  <c r="AY318" i="11" s="1"/>
  <c r="M345" i="9"/>
  <c r="AR318" i="7" s="1"/>
  <c r="CA318" i="7" s="1"/>
  <c r="L345" i="9"/>
  <c r="BK317" i="7" s="1"/>
  <c r="W317" i="11" l="1"/>
  <c r="U317" i="2"/>
  <c r="AO317" i="11" s="1"/>
  <c r="AT436" i="2"/>
  <c r="AW436" i="2" s="1"/>
  <c r="F436" i="11" s="1"/>
  <c r="AD316" i="11"/>
  <c r="BM316" i="11" s="1"/>
  <c r="AG14" i="20" s="1"/>
  <c r="AG15" i="20" s="1"/>
  <c r="AG19" i="20" s="1"/>
  <c r="AG67" i="20" s="1"/>
  <c r="AO316" i="11"/>
  <c r="BX316" i="11" s="1"/>
  <c r="AG36" i="20" s="1"/>
  <c r="AG40" i="20" s="1"/>
  <c r="AG41" i="20" s="1"/>
  <c r="CF316" i="11"/>
  <c r="AG51" i="20" s="1"/>
  <c r="AG52" i="20" s="1"/>
  <c r="AG53" i="20" s="1"/>
  <c r="AG58" i="20" s="1"/>
  <c r="AR437" i="2"/>
  <c r="AS437" i="2" s="1"/>
  <c r="O346" i="9"/>
  <c r="BL318" i="7"/>
  <c r="AP438" i="2"/>
  <c r="BD438" i="2" s="1"/>
  <c r="BF438" i="2" s="1"/>
  <c r="BG438" i="2" s="1"/>
  <c r="AE439" i="2"/>
  <c r="CN152" i="7"/>
  <c r="I152" i="11" s="1"/>
  <c r="CQ313" i="7"/>
  <c r="CB316" i="7"/>
  <c r="CF316" i="7"/>
  <c r="CH316" i="7" s="1"/>
  <c r="CI316" i="7" s="1"/>
  <c r="D313" i="11"/>
  <c r="CK314" i="7"/>
  <c r="CQ314" i="7" s="1"/>
  <c r="O467" i="3"/>
  <c r="AF439" i="2"/>
  <c r="M467" i="3"/>
  <c r="V440" i="2" s="1"/>
  <c r="AK440" i="2" s="1"/>
  <c r="L467" i="3"/>
  <c r="AZ437" i="2"/>
  <c r="BB437" i="2" s="1"/>
  <c r="BH437" i="2" s="1"/>
  <c r="BI437" i="2" s="1"/>
  <c r="AM437" i="2"/>
  <c r="B469" i="3"/>
  <c r="H468" i="3"/>
  <c r="AZ440" i="11" s="1"/>
  <c r="I468" i="3"/>
  <c r="J468" i="3"/>
  <c r="P440" i="11" s="1"/>
  <c r="K468" i="3"/>
  <c r="C468" i="3"/>
  <c r="E468" i="3" s="1"/>
  <c r="F468" i="3"/>
  <c r="AX440" i="11" s="1"/>
  <c r="G468" i="3"/>
  <c r="O440" i="11" s="1"/>
  <c r="AL438" i="2"/>
  <c r="CV316" i="7"/>
  <c r="CX316" i="7" s="1"/>
  <c r="CC315" i="7"/>
  <c r="CS315" i="7"/>
  <c r="CU315" i="7" s="1"/>
  <c r="CY315" i="7" s="1"/>
  <c r="CC153" i="7"/>
  <c r="CS153" i="7"/>
  <c r="CU153" i="7" s="1"/>
  <c r="CY153" i="7" s="1"/>
  <c r="CZ153" i="7" s="1"/>
  <c r="BB315" i="2"/>
  <c r="BH315" i="2" s="1"/>
  <c r="BI315" i="2" s="1"/>
  <c r="BU317" i="7"/>
  <c r="AD317" i="11" s="1"/>
  <c r="AD316" i="2"/>
  <c r="AL316" i="2" s="1"/>
  <c r="AZ316" i="2" s="1"/>
  <c r="AK316" i="2"/>
  <c r="BA316" i="2" s="1"/>
  <c r="D319" i="2"/>
  <c r="F318" i="2"/>
  <c r="AM315" i="2"/>
  <c r="AT315" i="2" s="1"/>
  <c r="AW315" i="2" s="1"/>
  <c r="F315" i="11" s="1"/>
  <c r="K182" i="9"/>
  <c r="O182" i="9"/>
  <c r="BL154" i="7"/>
  <c r="J182" i="9"/>
  <c r="R154" i="11" s="1"/>
  <c r="I182" i="9"/>
  <c r="M346" i="9"/>
  <c r="AR319" i="7" s="1"/>
  <c r="CA319" i="7" s="1"/>
  <c r="L346" i="9"/>
  <c r="BK318" i="7" s="1"/>
  <c r="I347" i="9"/>
  <c r="H347" i="9"/>
  <c r="BA319" i="11" s="1"/>
  <c r="C347" i="9"/>
  <c r="E347" i="9" s="1"/>
  <c r="B348" i="9"/>
  <c r="G347" i="9"/>
  <c r="Q319" i="11" s="1"/>
  <c r="F347" i="9"/>
  <c r="AY319" i="11" s="1"/>
  <c r="K347" i="9"/>
  <c r="J347" i="9"/>
  <c r="R319" i="11" s="1"/>
  <c r="W318" i="11" l="1"/>
  <c r="U318" i="2"/>
  <c r="AO318" i="11" s="1"/>
  <c r="AW317" i="11"/>
  <c r="AG42" i="20"/>
  <c r="AG59" i="20" s="1"/>
  <c r="AT437" i="2"/>
  <c r="AW437" i="2" s="1"/>
  <c r="F437" i="11" s="1"/>
  <c r="AR438" i="2"/>
  <c r="AS438" i="2" s="1"/>
  <c r="AG68" i="20"/>
  <c r="AG69" i="20" s="1"/>
  <c r="AG79" i="20" s="1"/>
  <c r="AG81" i="20" s="1"/>
  <c r="O347" i="9"/>
  <c r="BL319" i="7"/>
  <c r="AP439" i="2"/>
  <c r="AR439" i="2" s="1"/>
  <c r="AS439" i="2" s="1"/>
  <c r="CF154" i="7"/>
  <c r="CH154" i="7" s="1"/>
  <c r="CI154" i="7" s="1"/>
  <c r="AL439" i="2"/>
  <c r="AZ439" i="2" s="1"/>
  <c r="BB439" i="2" s="1"/>
  <c r="D314" i="11"/>
  <c r="CB317" i="7"/>
  <c r="CF317" i="7"/>
  <c r="CH317" i="7" s="1"/>
  <c r="CI317" i="7" s="1"/>
  <c r="CN314" i="7"/>
  <c r="I314" i="11" s="1"/>
  <c r="L314" i="11" s="1"/>
  <c r="CK315" i="7"/>
  <c r="CN315" i="7" s="1"/>
  <c r="I315" i="11" s="1"/>
  <c r="L315" i="11" s="1"/>
  <c r="CK153" i="7"/>
  <c r="CQ153" i="7" s="1"/>
  <c r="O468" i="3"/>
  <c r="AF440" i="2"/>
  <c r="M468" i="3"/>
  <c r="V441" i="2" s="1"/>
  <c r="AK441" i="2" s="1"/>
  <c r="L468" i="3"/>
  <c r="AE440" i="2" s="1"/>
  <c r="BA440" i="2"/>
  <c r="AZ438" i="2"/>
  <c r="BB438" i="2" s="1"/>
  <c r="BH438" i="2" s="1"/>
  <c r="BI438" i="2" s="1"/>
  <c r="AM438" i="2"/>
  <c r="B470" i="3"/>
  <c r="H469" i="3"/>
  <c r="AZ441" i="11" s="1"/>
  <c r="I469" i="3"/>
  <c r="J469" i="3"/>
  <c r="P441" i="11" s="1"/>
  <c r="K469" i="3"/>
  <c r="C469" i="3"/>
  <c r="E469" i="3" s="1"/>
  <c r="F469" i="3"/>
  <c r="AX441" i="11" s="1"/>
  <c r="G469" i="3"/>
  <c r="O441" i="11" s="1"/>
  <c r="CV317" i="7"/>
  <c r="CX317" i="7" s="1"/>
  <c r="CV154" i="7"/>
  <c r="CX154" i="7" s="1"/>
  <c r="CC316" i="7"/>
  <c r="CS316" i="7"/>
  <c r="CU316" i="7" s="1"/>
  <c r="CY316" i="7" s="1"/>
  <c r="BB316" i="2"/>
  <c r="BH316" i="2" s="1"/>
  <c r="BI316" i="2" s="1"/>
  <c r="AM316" i="2"/>
  <c r="AT316" i="2" s="1"/>
  <c r="AW316" i="2" s="1"/>
  <c r="F316" i="11" s="1"/>
  <c r="AD317" i="2"/>
  <c r="AL317" i="2" s="1"/>
  <c r="AZ317" i="2" s="1"/>
  <c r="AK317" i="2"/>
  <c r="BA317" i="2" s="1"/>
  <c r="BU318" i="7"/>
  <c r="AD318" i="11" s="1"/>
  <c r="D320" i="2"/>
  <c r="F319" i="2"/>
  <c r="F183" i="9"/>
  <c r="AY155" i="11" s="1"/>
  <c r="G183" i="9"/>
  <c r="Q155" i="11" s="1"/>
  <c r="C183" i="9"/>
  <c r="E183" i="9" s="1"/>
  <c r="H183" i="9"/>
  <c r="BA155" i="11" s="1"/>
  <c r="L182" i="9"/>
  <c r="BK154" i="7" s="1"/>
  <c r="CB154" i="7" s="1"/>
  <c r="M182" i="9"/>
  <c r="AR155" i="7" s="1"/>
  <c r="CA155" i="7" s="1"/>
  <c r="M347" i="9"/>
  <c r="AR320" i="7" s="1"/>
  <c r="CA320" i="7" s="1"/>
  <c r="L347" i="9"/>
  <c r="BK319" i="7" s="1"/>
  <c r="I348" i="9"/>
  <c r="H348" i="9"/>
  <c r="BA320" i="11" s="1"/>
  <c r="C348" i="9"/>
  <c r="E348" i="9" s="1"/>
  <c r="K348" i="9"/>
  <c r="J348" i="9"/>
  <c r="R320" i="11" s="1"/>
  <c r="B349" i="9"/>
  <c r="G348" i="9"/>
  <c r="Q320" i="11" s="1"/>
  <c r="F348" i="9"/>
  <c r="AY320" i="11" s="1"/>
  <c r="W319" i="11" l="1"/>
  <c r="U319" i="2"/>
  <c r="AW318" i="11"/>
  <c r="AT438" i="2"/>
  <c r="AW438" i="2" s="1"/>
  <c r="F438" i="11" s="1"/>
  <c r="BD439" i="2"/>
  <c r="BF439" i="2" s="1"/>
  <c r="BG439" i="2" s="1"/>
  <c r="BH439" i="2" s="1"/>
  <c r="BI439" i="2" s="1"/>
  <c r="AM439" i="2"/>
  <c r="AT439" i="2" s="1"/>
  <c r="AW439" i="2" s="1"/>
  <c r="F439" i="11" s="1"/>
  <c r="O348" i="9"/>
  <c r="BL320" i="7"/>
  <c r="AP440" i="2"/>
  <c r="BD440" i="2" s="1"/>
  <c r="BF440" i="2" s="1"/>
  <c r="BG440" i="2" s="1"/>
  <c r="D315" i="11"/>
  <c r="CQ315" i="7"/>
  <c r="CN153" i="7"/>
  <c r="I153" i="11" s="1"/>
  <c r="AL440" i="2"/>
  <c r="CB318" i="7"/>
  <c r="CF318" i="7"/>
  <c r="CH318" i="7" s="1"/>
  <c r="CI318" i="7" s="1"/>
  <c r="CK316" i="7"/>
  <c r="CQ316" i="7" s="1"/>
  <c r="O469" i="3"/>
  <c r="AF441" i="2"/>
  <c r="M469" i="3"/>
  <c r="V442" i="2" s="1"/>
  <c r="AK442" i="2" s="1"/>
  <c r="L469" i="3"/>
  <c r="AE441" i="2" s="1"/>
  <c r="BA441" i="2"/>
  <c r="B471" i="3"/>
  <c r="H470" i="3"/>
  <c r="AZ442" i="11" s="1"/>
  <c r="I470" i="3"/>
  <c r="J470" i="3"/>
  <c r="P442" i="11" s="1"/>
  <c r="K470" i="3"/>
  <c r="M470" i="3" s="1"/>
  <c r="V443" i="2" s="1"/>
  <c r="AK443" i="2" s="1"/>
  <c r="C470" i="3"/>
  <c r="E470" i="3" s="1"/>
  <c r="F470" i="3"/>
  <c r="AX442" i="11" s="1"/>
  <c r="G470" i="3"/>
  <c r="O442" i="11" s="1"/>
  <c r="CV318" i="7"/>
  <c r="CX318" i="7" s="1"/>
  <c r="CC154" i="7"/>
  <c r="CS154" i="7"/>
  <c r="CU154" i="7" s="1"/>
  <c r="CY154" i="7" s="1"/>
  <c r="CZ154" i="7" s="1"/>
  <c r="CC317" i="7"/>
  <c r="CS317" i="7"/>
  <c r="CU317" i="7" s="1"/>
  <c r="CY317" i="7" s="1"/>
  <c r="BB317" i="2"/>
  <c r="BH317" i="2" s="1"/>
  <c r="BI317" i="2" s="1"/>
  <c r="AM317" i="2"/>
  <c r="AT317" i="2" s="1"/>
  <c r="AW317" i="2" s="1"/>
  <c r="F317" i="11" s="1"/>
  <c r="AD318" i="2"/>
  <c r="AL318" i="2" s="1"/>
  <c r="AZ318" i="2" s="1"/>
  <c r="AK318" i="2"/>
  <c r="BA318" i="2" s="1"/>
  <c r="AO319" i="11"/>
  <c r="BU319" i="7"/>
  <c r="AD319" i="11" s="1"/>
  <c r="D321" i="2"/>
  <c r="F320" i="2"/>
  <c r="J183" i="9"/>
  <c r="R155" i="11" s="1"/>
  <c r="I183" i="9"/>
  <c r="K183" i="9"/>
  <c r="BL155" i="7"/>
  <c r="O183" i="9"/>
  <c r="I349" i="9"/>
  <c r="H349" i="9"/>
  <c r="BA321" i="11" s="1"/>
  <c r="C349" i="9"/>
  <c r="E349" i="9" s="1"/>
  <c r="B350" i="9"/>
  <c r="G349" i="9"/>
  <c r="Q321" i="11" s="1"/>
  <c r="F349" i="9"/>
  <c r="AY321" i="11" s="1"/>
  <c r="K349" i="9"/>
  <c r="J349" i="9"/>
  <c r="R321" i="11" s="1"/>
  <c r="M348" i="9"/>
  <c r="AR321" i="7" s="1"/>
  <c r="CA321" i="7" s="1"/>
  <c r="L348" i="9"/>
  <c r="BK320" i="7" s="1"/>
  <c r="W320" i="11" l="1"/>
  <c r="U320" i="2"/>
  <c r="AO320" i="11" s="1"/>
  <c r="AW319" i="11"/>
  <c r="AR440" i="2"/>
  <c r="AS440" i="2" s="1"/>
  <c r="L470" i="3"/>
  <c r="AE442" i="2" s="1"/>
  <c r="O349" i="9"/>
  <c r="BL321" i="7"/>
  <c r="AP441" i="2"/>
  <c r="BD441" i="2" s="1"/>
  <c r="BF441" i="2" s="1"/>
  <c r="BG441" i="2" s="1"/>
  <c r="CF155" i="7"/>
  <c r="CH155" i="7" s="1"/>
  <c r="CI155" i="7" s="1"/>
  <c r="D316" i="11"/>
  <c r="CN316" i="7"/>
  <c r="I316" i="11" s="1"/>
  <c r="L316" i="11" s="1"/>
  <c r="AL441" i="2"/>
  <c r="AZ441" i="2" s="1"/>
  <c r="BB441" i="2" s="1"/>
  <c r="AZ440" i="2"/>
  <c r="BB440" i="2" s="1"/>
  <c r="BH440" i="2" s="1"/>
  <c r="BI440" i="2" s="1"/>
  <c r="AM440" i="2"/>
  <c r="CB319" i="7"/>
  <c r="CF319" i="7"/>
  <c r="CH319" i="7" s="1"/>
  <c r="CI319" i="7" s="1"/>
  <c r="CK317" i="7"/>
  <c r="CQ317" i="7" s="1"/>
  <c r="CK154" i="7"/>
  <c r="CN154" i="7" s="1"/>
  <c r="I154" i="11" s="1"/>
  <c r="O470" i="3"/>
  <c r="AF442" i="2"/>
  <c r="BA443" i="2"/>
  <c r="BA442" i="2"/>
  <c r="B472" i="3"/>
  <c r="I471" i="3"/>
  <c r="J471" i="3"/>
  <c r="P443" i="11" s="1"/>
  <c r="K471" i="3"/>
  <c r="C471" i="3"/>
  <c r="E471" i="3" s="1"/>
  <c r="F471" i="3"/>
  <c r="AX443" i="11" s="1"/>
  <c r="G471" i="3"/>
  <c r="O443" i="11" s="1"/>
  <c r="H471" i="3"/>
  <c r="AZ443" i="11" s="1"/>
  <c r="CV319" i="7"/>
  <c r="CX319" i="7" s="1"/>
  <c r="CV155" i="7"/>
  <c r="CX155" i="7" s="1"/>
  <c r="CC318" i="7"/>
  <c r="CS318" i="7"/>
  <c r="CU318" i="7" s="1"/>
  <c r="CY318" i="7" s="1"/>
  <c r="BB318" i="2"/>
  <c r="BH318" i="2" s="1"/>
  <c r="BI318" i="2" s="1"/>
  <c r="AM318" i="2"/>
  <c r="AT318" i="2" s="1"/>
  <c r="AW318" i="2" s="1"/>
  <c r="F318" i="11" s="1"/>
  <c r="D322" i="2"/>
  <c r="F321" i="2"/>
  <c r="AD319" i="2"/>
  <c r="AL319" i="2" s="1"/>
  <c r="AZ319" i="2" s="1"/>
  <c r="AK319" i="2"/>
  <c r="BA319" i="2" s="1"/>
  <c r="BU320" i="7"/>
  <c r="AD320" i="11" s="1"/>
  <c r="L183" i="9"/>
  <c r="BK155" i="7" s="1"/>
  <c r="CB155" i="7" s="1"/>
  <c r="M183" i="9"/>
  <c r="AR156" i="7" s="1"/>
  <c r="CA156" i="7" s="1"/>
  <c r="F184" i="9"/>
  <c r="AY156" i="11" s="1"/>
  <c r="G184" i="9"/>
  <c r="Q156" i="11" s="1"/>
  <c r="C184" i="9"/>
  <c r="E184" i="9" s="1"/>
  <c r="H184" i="9" s="1"/>
  <c r="BA156" i="11" s="1"/>
  <c r="I350" i="9"/>
  <c r="H350" i="9"/>
  <c r="BA322" i="11" s="1"/>
  <c r="C350" i="9"/>
  <c r="E350" i="9" s="1"/>
  <c r="K350" i="9"/>
  <c r="J350" i="9"/>
  <c r="R322" i="11" s="1"/>
  <c r="B351" i="9"/>
  <c r="G350" i="9"/>
  <c r="Q322" i="11" s="1"/>
  <c r="F350" i="9"/>
  <c r="AY322" i="11" s="1"/>
  <c r="M349" i="9"/>
  <c r="AR322" i="7" s="1"/>
  <c r="CA322" i="7" s="1"/>
  <c r="L349" i="9"/>
  <c r="BK321" i="7" s="1"/>
  <c r="AT440" i="2" l="1"/>
  <c r="AW440" i="2" s="1"/>
  <c r="F440" i="11" s="1"/>
  <c r="W321" i="11"/>
  <c r="U321" i="2"/>
  <c r="AO321" i="11" s="1"/>
  <c r="AW320" i="11"/>
  <c r="AR441" i="2"/>
  <c r="AS441" i="2" s="1"/>
  <c r="O350" i="9"/>
  <c r="BL322" i="7"/>
  <c r="AM441" i="2"/>
  <c r="AP442" i="2"/>
  <c r="BD442" i="2" s="1"/>
  <c r="BF442" i="2" s="1"/>
  <c r="BG442" i="2" s="1"/>
  <c r="D317" i="11"/>
  <c r="CQ154" i="7"/>
  <c r="CN317" i="7"/>
  <c r="I317" i="11" s="1"/>
  <c r="L317" i="11" s="1"/>
  <c r="CB320" i="7"/>
  <c r="CF320" i="7"/>
  <c r="CH320" i="7" s="1"/>
  <c r="CI320" i="7" s="1"/>
  <c r="BH441" i="2"/>
  <c r="BI441" i="2" s="1"/>
  <c r="CK318" i="7"/>
  <c r="CQ318" i="7" s="1"/>
  <c r="AL442" i="2"/>
  <c r="O471" i="3"/>
  <c r="AF443" i="2"/>
  <c r="M471" i="3"/>
  <c r="V444" i="2" s="1"/>
  <c r="AK444" i="2" s="1"/>
  <c r="L471" i="3"/>
  <c r="AE443" i="2" s="1"/>
  <c r="B473" i="3"/>
  <c r="J472" i="3"/>
  <c r="P444" i="11" s="1"/>
  <c r="K472" i="3"/>
  <c r="C472" i="3"/>
  <c r="E472" i="3" s="1"/>
  <c r="F472" i="3"/>
  <c r="AX444" i="11" s="1"/>
  <c r="G472" i="3"/>
  <c r="O444" i="11" s="1"/>
  <c r="H472" i="3"/>
  <c r="AZ444" i="11" s="1"/>
  <c r="I472" i="3"/>
  <c r="CV320" i="7"/>
  <c r="CX320" i="7" s="1"/>
  <c r="CC319" i="7"/>
  <c r="CS319" i="7"/>
  <c r="CU319" i="7" s="1"/>
  <c r="CY319" i="7" s="1"/>
  <c r="CC155" i="7"/>
  <c r="CS155" i="7"/>
  <c r="CU155" i="7" s="1"/>
  <c r="CY155" i="7" s="1"/>
  <c r="CZ155" i="7" s="1"/>
  <c r="BB319" i="2"/>
  <c r="BH319" i="2" s="1"/>
  <c r="BI319" i="2" s="1"/>
  <c r="AM319" i="2"/>
  <c r="AT319" i="2" s="1"/>
  <c r="AW319" i="2" s="1"/>
  <c r="F319" i="11" s="1"/>
  <c r="AD320" i="2"/>
  <c r="AL320" i="2" s="1"/>
  <c r="AZ320" i="2" s="1"/>
  <c r="AK320" i="2"/>
  <c r="BA320" i="2" s="1"/>
  <c r="BU321" i="7"/>
  <c r="AD321" i="11" s="1"/>
  <c r="D323" i="2"/>
  <c r="F322" i="2"/>
  <c r="I184" i="9"/>
  <c r="K184" i="9"/>
  <c r="J184" i="9"/>
  <c r="R156" i="11" s="1"/>
  <c r="BL156" i="7"/>
  <c r="O184" i="9"/>
  <c r="I351" i="9"/>
  <c r="H351" i="9"/>
  <c r="BA323" i="11" s="1"/>
  <c r="C351" i="9"/>
  <c r="E351" i="9" s="1"/>
  <c r="B352" i="9"/>
  <c r="G351" i="9"/>
  <c r="Q323" i="11" s="1"/>
  <c r="F351" i="9"/>
  <c r="AY323" i="11" s="1"/>
  <c r="K351" i="9"/>
  <c r="J351" i="9"/>
  <c r="R323" i="11" s="1"/>
  <c r="M350" i="9"/>
  <c r="AR323" i="7" s="1"/>
  <c r="CA323" i="7" s="1"/>
  <c r="L350" i="9"/>
  <c r="BK322" i="7" s="1"/>
  <c r="W322" i="11" l="1"/>
  <c r="U322" i="2"/>
  <c r="AO322" i="11" s="1"/>
  <c r="AW321" i="11"/>
  <c r="AT441" i="2"/>
  <c r="AW441" i="2" s="1"/>
  <c r="F441" i="11" s="1"/>
  <c r="AR442" i="2"/>
  <c r="AS442" i="2" s="1"/>
  <c r="O351" i="9"/>
  <c r="BL323" i="7"/>
  <c r="AP443" i="2"/>
  <c r="AR443" i="2" s="1"/>
  <c r="AS443" i="2" s="1"/>
  <c r="CF156" i="7"/>
  <c r="CH156" i="7" s="1"/>
  <c r="CI156" i="7" s="1"/>
  <c r="D318" i="11"/>
  <c r="CN318" i="7"/>
  <c r="I318" i="11" s="1"/>
  <c r="L318" i="11" s="1"/>
  <c r="CF321" i="7"/>
  <c r="CH321" i="7" s="1"/>
  <c r="CI321" i="7" s="1"/>
  <c r="CB321" i="7"/>
  <c r="CK319" i="7"/>
  <c r="CQ319" i="7" s="1"/>
  <c r="CK155" i="7"/>
  <c r="CN155" i="7" s="1"/>
  <c r="I155" i="11" s="1"/>
  <c r="AF444" i="2"/>
  <c r="O472" i="3"/>
  <c r="BA444" i="2"/>
  <c r="M472" i="3"/>
  <c r="V445" i="2" s="1"/>
  <c r="AK445" i="2" s="1"/>
  <c r="L472" i="3"/>
  <c r="AE444" i="2" s="1"/>
  <c r="AZ442" i="2"/>
  <c r="BB442" i="2" s="1"/>
  <c r="BH442" i="2" s="1"/>
  <c r="BI442" i="2" s="1"/>
  <c r="AM442" i="2"/>
  <c r="B474" i="3"/>
  <c r="J473" i="3"/>
  <c r="P445" i="11" s="1"/>
  <c r="K473" i="3"/>
  <c r="C473" i="3"/>
  <c r="E473" i="3" s="1"/>
  <c r="F473" i="3"/>
  <c r="AX445" i="11" s="1"/>
  <c r="G473" i="3"/>
  <c r="O445" i="11" s="1"/>
  <c r="H473" i="3"/>
  <c r="AZ445" i="11" s="1"/>
  <c r="I473" i="3"/>
  <c r="AL443" i="2"/>
  <c r="CV321" i="7"/>
  <c r="CX321" i="7" s="1"/>
  <c r="CC320" i="7"/>
  <c r="CS320" i="7"/>
  <c r="CU320" i="7" s="1"/>
  <c r="CY320" i="7" s="1"/>
  <c r="CV156" i="7"/>
  <c r="CX156" i="7" s="1"/>
  <c r="BB320" i="2"/>
  <c r="BH320" i="2" s="1"/>
  <c r="BI320" i="2" s="1"/>
  <c r="BU322" i="7"/>
  <c r="AD322" i="11" s="1"/>
  <c r="AD321" i="2"/>
  <c r="AL321" i="2" s="1"/>
  <c r="AZ321" i="2" s="1"/>
  <c r="AK321" i="2"/>
  <c r="BA321" i="2" s="1"/>
  <c r="AM320" i="2"/>
  <c r="AT320" i="2" s="1"/>
  <c r="D324" i="2"/>
  <c r="F323" i="2"/>
  <c r="F185" i="9"/>
  <c r="AY157" i="11" s="1"/>
  <c r="C185" i="9"/>
  <c r="E185" i="9" s="1"/>
  <c r="G185" i="9"/>
  <c r="Q157" i="11" s="1"/>
  <c r="L184" i="9"/>
  <c r="BK156" i="7" s="1"/>
  <c r="CB156" i="7" s="1"/>
  <c r="M184" i="9"/>
  <c r="AR157" i="7" s="1"/>
  <c r="CA157" i="7" s="1"/>
  <c r="I352" i="9"/>
  <c r="H352" i="9"/>
  <c r="BA324" i="11" s="1"/>
  <c r="C352" i="9"/>
  <c r="E352" i="9" s="1"/>
  <c r="K352" i="9"/>
  <c r="J352" i="9"/>
  <c r="R324" i="11" s="1"/>
  <c r="B353" i="9"/>
  <c r="G352" i="9"/>
  <c r="Q324" i="11" s="1"/>
  <c r="F352" i="9"/>
  <c r="AY324" i="11" s="1"/>
  <c r="M351" i="9"/>
  <c r="AR324" i="7" s="1"/>
  <c r="CA324" i="7" s="1"/>
  <c r="L351" i="9"/>
  <c r="BK323" i="7" s="1"/>
  <c r="AT442" i="2" l="1"/>
  <c r="AW442" i="2" s="1"/>
  <c r="F442" i="11" s="1"/>
  <c r="W323" i="11"/>
  <c r="U323" i="2"/>
  <c r="AO323" i="11" s="1"/>
  <c r="AW322" i="11"/>
  <c r="BD443" i="2"/>
  <c r="BF443" i="2" s="1"/>
  <c r="BG443" i="2" s="1"/>
  <c r="O352" i="9"/>
  <c r="BL324" i="7"/>
  <c r="AP444" i="2"/>
  <c r="BD444" i="2" s="1"/>
  <c r="BF444" i="2" s="1"/>
  <c r="BG444" i="2" s="1"/>
  <c r="D319" i="11"/>
  <c r="CB322" i="7"/>
  <c r="CF322" i="7"/>
  <c r="CH322" i="7" s="1"/>
  <c r="CI322" i="7" s="1"/>
  <c r="CQ155" i="7"/>
  <c r="CK320" i="7"/>
  <c r="CN320" i="7" s="1"/>
  <c r="I320" i="11" s="1"/>
  <c r="CN319" i="7"/>
  <c r="I319" i="11" s="1"/>
  <c r="L319" i="11" s="1"/>
  <c r="L473" i="3"/>
  <c r="AE445" i="2" s="1"/>
  <c r="M473" i="3"/>
  <c r="V446" i="2" s="1"/>
  <c r="AK446" i="2" s="1"/>
  <c r="BA445" i="2"/>
  <c r="O473" i="3"/>
  <c r="AF445" i="2"/>
  <c r="AZ443" i="2"/>
  <c r="BB443" i="2" s="1"/>
  <c r="AM443" i="2"/>
  <c r="AT443" i="2" s="1"/>
  <c r="AW443" i="2" s="1"/>
  <c r="F443" i="11" s="1"/>
  <c r="B475" i="3"/>
  <c r="J474" i="3"/>
  <c r="P446" i="11" s="1"/>
  <c r="K474" i="3"/>
  <c r="C474" i="3"/>
  <c r="E474" i="3" s="1"/>
  <c r="F474" i="3"/>
  <c r="AX446" i="11" s="1"/>
  <c r="G474" i="3"/>
  <c r="O446" i="11" s="1"/>
  <c r="H474" i="3"/>
  <c r="AZ446" i="11" s="1"/>
  <c r="I474" i="3"/>
  <c r="AL444" i="2"/>
  <c r="CV322" i="7"/>
  <c r="CX322" i="7" s="1"/>
  <c r="CC156" i="7"/>
  <c r="CS156" i="7"/>
  <c r="CU156" i="7" s="1"/>
  <c r="CY156" i="7" s="1"/>
  <c r="CZ156" i="7" s="1"/>
  <c r="CC321" i="7"/>
  <c r="CS321" i="7"/>
  <c r="CU321" i="7" s="1"/>
  <c r="CY321" i="7" s="1"/>
  <c r="BB321" i="2"/>
  <c r="BH321" i="2" s="1"/>
  <c r="BI321" i="2" s="1"/>
  <c r="D325" i="2"/>
  <c r="F324" i="2"/>
  <c r="AW320" i="2"/>
  <c r="F320" i="11" s="1"/>
  <c r="AM321" i="2"/>
  <c r="AT321" i="2" s="1"/>
  <c r="AW321" i="2" s="1"/>
  <c r="F321" i="11" s="1"/>
  <c r="BU323" i="7"/>
  <c r="AD323" i="11" s="1"/>
  <c r="AD322" i="2"/>
  <c r="AL322" i="2" s="1"/>
  <c r="AZ322" i="2" s="1"/>
  <c r="AK322" i="2"/>
  <c r="BA322" i="2" s="1"/>
  <c r="BL157" i="7"/>
  <c r="O185" i="9"/>
  <c r="H185" i="9"/>
  <c r="BA157" i="11" s="1"/>
  <c r="M352" i="9"/>
  <c r="AR325" i="7" s="1"/>
  <c r="CA325" i="7" s="1"/>
  <c r="L352" i="9"/>
  <c r="BK324" i="7" s="1"/>
  <c r="I353" i="9"/>
  <c r="H353" i="9"/>
  <c r="BA325" i="11" s="1"/>
  <c r="C353" i="9"/>
  <c r="E353" i="9" s="1"/>
  <c r="B354" i="9"/>
  <c r="G353" i="9"/>
  <c r="Q325" i="11" s="1"/>
  <c r="F353" i="9"/>
  <c r="AY325" i="11" s="1"/>
  <c r="K353" i="9"/>
  <c r="J353" i="9"/>
  <c r="R325" i="11" s="1"/>
  <c r="BH443" i="2" l="1"/>
  <c r="BI443" i="2" s="1"/>
  <c r="W324" i="11"/>
  <c r="U324" i="2"/>
  <c r="AO324" i="11" s="1"/>
  <c r="AW323" i="11"/>
  <c r="AR444" i="2"/>
  <c r="AS444" i="2" s="1"/>
  <c r="O353" i="9"/>
  <c r="BL325" i="7"/>
  <c r="AP445" i="2"/>
  <c r="BD445" i="2" s="1"/>
  <c r="BF445" i="2" s="1"/>
  <c r="BG445" i="2" s="1"/>
  <c r="CF157" i="7"/>
  <c r="CH157" i="7" s="1"/>
  <c r="CI157" i="7" s="1"/>
  <c r="D320" i="11"/>
  <c r="CF323" i="7"/>
  <c r="CH323" i="7" s="1"/>
  <c r="CI323" i="7" s="1"/>
  <c r="CB323" i="7"/>
  <c r="CQ320" i="7"/>
  <c r="CK321" i="7"/>
  <c r="CQ321" i="7" s="1"/>
  <c r="L320" i="11"/>
  <c r="CK156" i="7"/>
  <c r="CN156" i="7" s="1"/>
  <c r="I156" i="11" s="1"/>
  <c r="O474" i="3"/>
  <c r="AF446" i="2"/>
  <c r="AZ444" i="2"/>
  <c r="BB444" i="2" s="1"/>
  <c r="BH444" i="2" s="1"/>
  <c r="BI444" i="2" s="1"/>
  <c r="AM444" i="2"/>
  <c r="M474" i="3"/>
  <c r="V447" i="2" s="1"/>
  <c r="AK447" i="2" s="1"/>
  <c r="L474" i="3"/>
  <c r="AE446" i="2" s="1"/>
  <c r="BA446" i="2"/>
  <c r="AL445" i="2"/>
  <c r="B476" i="3"/>
  <c r="K475" i="3"/>
  <c r="M475" i="3" s="1"/>
  <c r="V448" i="2" s="1"/>
  <c r="AK448" i="2" s="1"/>
  <c r="C475" i="3"/>
  <c r="E475" i="3" s="1"/>
  <c r="F475" i="3"/>
  <c r="AX447" i="11" s="1"/>
  <c r="G475" i="3"/>
  <c r="O447" i="11" s="1"/>
  <c r="H475" i="3"/>
  <c r="AZ447" i="11" s="1"/>
  <c r="I475" i="3"/>
  <c r="J475" i="3"/>
  <c r="P447" i="11" s="1"/>
  <c r="CV323" i="7"/>
  <c r="CX323" i="7" s="1"/>
  <c r="CC322" i="7"/>
  <c r="CS322" i="7"/>
  <c r="CU322" i="7" s="1"/>
  <c r="CY322" i="7" s="1"/>
  <c r="CV157" i="7"/>
  <c r="CX157" i="7" s="1"/>
  <c r="BB322" i="2"/>
  <c r="BH322" i="2" s="1"/>
  <c r="BI322" i="2" s="1"/>
  <c r="AD323" i="2"/>
  <c r="AL323" i="2" s="1"/>
  <c r="AZ323" i="2" s="1"/>
  <c r="AK323" i="2"/>
  <c r="BA323" i="2" s="1"/>
  <c r="AM322" i="2"/>
  <c r="AT322" i="2" s="1"/>
  <c r="BU324" i="7"/>
  <c r="AD324" i="11" s="1"/>
  <c r="D326" i="2"/>
  <c r="F325" i="2"/>
  <c r="I185" i="9"/>
  <c r="K185" i="9"/>
  <c r="J185" i="9"/>
  <c r="R157" i="11" s="1"/>
  <c r="M353" i="9"/>
  <c r="AR326" i="7" s="1"/>
  <c r="CA326" i="7" s="1"/>
  <c r="L353" i="9"/>
  <c r="BK325" i="7" s="1"/>
  <c r="I354" i="9"/>
  <c r="H354" i="9"/>
  <c r="BA326" i="11" s="1"/>
  <c r="C354" i="9"/>
  <c r="E354" i="9" s="1"/>
  <c r="K354" i="9"/>
  <c r="J354" i="9"/>
  <c r="R326" i="11" s="1"/>
  <c r="B355" i="9"/>
  <c r="G354" i="9"/>
  <c r="Q326" i="11" s="1"/>
  <c r="F354" i="9"/>
  <c r="AY326" i="11" s="1"/>
  <c r="AT444" i="2" l="1"/>
  <c r="AW444" i="2" s="1"/>
  <c r="F444" i="11" s="1"/>
  <c r="W325" i="11"/>
  <c r="U325" i="2"/>
  <c r="AO325" i="11" s="1"/>
  <c r="AW324" i="11"/>
  <c r="AR445" i="2"/>
  <c r="AS445" i="2" s="1"/>
  <c r="O354" i="9"/>
  <c r="BL326" i="7"/>
  <c r="AP446" i="2"/>
  <c r="AR446" i="2" s="1"/>
  <c r="AS446" i="2" s="1"/>
  <c r="L475" i="3"/>
  <c r="AE447" i="2" s="1"/>
  <c r="D321" i="11"/>
  <c r="CB324" i="7"/>
  <c r="CF324" i="7"/>
  <c r="CH324" i="7" s="1"/>
  <c r="CI324" i="7" s="1"/>
  <c r="CK322" i="7"/>
  <c r="CQ322" i="7" s="1"/>
  <c r="CN321" i="7"/>
  <c r="I321" i="11" s="1"/>
  <c r="L321" i="11" s="1"/>
  <c r="CQ156" i="7"/>
  <c r="AL446" i="2"/>
  <c r="AZ446" i="2" s="1"/>
  <c r="BB446" i="2" s="1"/>
  <c r="BA448" i="2"/>
  <c r="B477" i="3"/>
  <c r="K476" i="3"/>
  <c r="M476" i="3" s="1"/>
  <c r="V449" i="2" s="1"/>
  <c r="AK449" i="2" s="1"/>
  <c r="C476" i="3"/>
  <c r="E476" i="3" s="1"/>
  <c r="F476" i="3"/>
  <c r="AX448" i="11" s="1"/>
  <c r="G476" i="3"/>
  <c r="O448" i="11" s="1"/>
  <c r="H476" i="3"/>
  <c r="AZ448" i="11" s="1"/>
  <c r="I476" i="3"/>
  <c r="J476" i="3"/>
  <c r="P448" i="11" s="1"/>
  <c r="AZ445" i="2"/>
  <c r="BB445" i="2" s="1"/>
  <c r="BH445" i="2" s="1"/>
  <c r="BI445" i="2" s="1"/>
  <c r="AM445" i="2"/>
  <c r="BA447" i="2"/>
  <c r="O475" i="3"/>
  <c r="AF447" i="2"/>
  <c r="CV324" i="7"/>
  <c r="CX324" i="7" s="1"/>
  <c r="CC323" i="7"/>
  <c r="CS323" i="7"/>
  <c r="CU323" i="7" s="1"/>
  <c r="CY323" i="7" s="1"/>
  <c r="BB323" i="2"/>
  <c r="BH323" i="2" s="1"/>
  <c r="BI323" i="2" s="1"/>
  <c r="AM323" i="2"/>
  <c r="AT323" i="2" s="1"/>
  <c r="AW323" i="2" s="1"/>
  <c r="F323" i="11" s="1"/>
  <c r="D327" i="2"/>
  <c r="F326" i="2"/>
  <c r="AW322" i="2"/>
  <c r="F322" i="11" s="1"/>
  <c r="AD324" i="2"/>
  <c r="AL324" i="2" s="1"/>
  <c r="AZ324" i="2" s="1"/>
  <c r="AK324" i="2"/>
  <c r="BA324" i="2" s="1"/>
  <c r="BU325" i="7"/>
  <c r="AD325" i="11" s="1"/>
  <c r="C186" i="9"/>
  <c r="E186" i="9" s="1"/>
  <c r="H186" i="9" s="1"/>
  <c r="BA158" i="11" s="1"/>
  <c r="F186" i="9"/>
  <c r="AY158" i="11" s="1"/>
  <c r="G186" i="9"/>
  <c r="Q158" i="11" s="1"/>
  <c r="L185" i="9"/>
  <c r="BK157" i="7" s="1"/>
  <c r="CB157" i="7" s="1"/>
  <c r="M185" i="9"/>
  <c r="AR158" i="7" s="1"/>
  <c r="CA158" i="7" s="1"/>
  <c r="I355" i="9"/>
  <c r="H355" i="9"/>
  <c r="BA327" i="11" s="1"/>
  <c r="C355" i="9"/>
  <c r="E355" i="9" s="1"/>
  <c r="B356" i="9"/>
  <c r="G355" i="9"/>
  <c r="Q327" i="11" s="1"/>
  <c r="F355" i="9"/>
  <c r="AY327" i="11" s="1"/>
  <c r="K355" i="9"/>
  <c r="J355" i="9"/>
  <c r="R327" i="11" s="1"/>
  <c r="M354" i="9"/>
  <c r="AR327" i="7" s="1"/>
  <c r="CA327" i="7" s="1"/>
  <c r="L354" i="9"/>
  <c r="BK326" i="7" s="1"/>
  <c r="W326" i="11" l="1"/>
  <c r="U326" i="2"/>
  <c r="AW325" i="11"/>
  <c r="AT445" i="2"/>
  <c r="AW445" i="2" s="1"/>
  <c r="F445" i="11" s="1"/>
  <c r="CG448" i="11"/>
  <c r="AR55" i="20" s="1"/>
  <c r="BD446" i="2"/>
  <c r="BF446" i="2" s="1"/>
  <c r="BG446" i="2" s="1"/>
  <c r="BH446" i="2" s="1"/>
  <c r="BI446" i="2" s="1"/>
  <c r="O355" i="9"/>
  <c r="BL327" i="7"/>
  <c r="CI448" i="11"/>
  <c r="AR75" i="20" s="1"/>
  <c r="AP447" i="2"/>
  <c r="AR447" i="2" s="1"/>
  <c r="AS447" i="2" s="1"/>
  <c r="L476" i="3"/>
  <c r="AE448" i="2" s="1"/>
  <c r="D322" i="11"/>
  <c r="AL447" i="2"/>
  <c r="AZ447" i="2" s="1"/>
  <c r="BB447" i="2" s="1"/>
  <c r="CB325" i="7"/>
  <c r="CF325" i="7"/>
  <c r="CH325" i="7" s="1"/>
  <c r="CI325" i="7" s="1"/>
  <c r="CK323" i="7"/>
  <c r="CN323" i="7" s="1"/>
  <c r="I323" i="11" s="1"/>
  <c r="L323" i="11" s="1"/>
  <c r="CN322" i="7"/>
  <c r="I322" i="11" s="1"/>
  <c r="L322" i="11" s="1"/>
  <c r="AM446" i="2"/>
  <c r="AT446" i="2" s="1"/>
  <c r="AW446" i="2" s="1"/>
  <c r="F446" i="11" s="1"/>
  <c r="O476" i="3"/>
  <c r="AF448" i="2"/>
  <c r="BA449" i="2"/>
  <c r="B478" i="3"/>
  <c r="K477" i="3"/>
  <c r="M477" i="3" s="1"/>
  <c r="V450" i="2" s="1"/>
  <c r="AK450" i="2" s="1"/>
  <c r="C477" i="3"/>
  <c r="E477" i="3" s="1"/>
  <c r="G477" i="3"/>
  <c r="O449" i="11" s="1"/>
  <c r="H477" i="3"/>
  <c r="AZ449" i="11" s="1"/>
  <c r="F477" i="3"/>
  <c r="AX449" i="11" s="1"/>
  <c r="I477" i="3"/>
  <c r="J477" i="3"/>
  <c r="P449" i="11" s="1"/>
  <c r="CV325" i="7"/>
  <c r="CX325" i="7" s="1"/>
  <c r="CC324" i="7"/>
  <c r="CS324" i="7"/>
  <c r="CU324" i="7" s="1"/>
  <c r="CY324" i="7" s="1"/>
  <c r="CC157" i="7"/>
  <c r="CS157" i="7"/>
  <c r="CU157" i="7" s="1"/>
  <c r="CY157" i="7" s="1"/>
  <c r="CZ157" i="7" s="1"/>
  <c r="BB324" i="2"/>
  <c r="BH324" i="2" s="1"/>
  <c r="BI324" i="2" s="1"/>
  <c r="AM324" i="2"/>
  <c r="AT324" i="2" s="1"/>
  <c r="AW324" i="2" s="1"/>
  <c r="F324" i="11" s="1"/>
  <c r="AD325" i="2"/>
  <c r="AL325" i="2" s="1"/>
  <c r="AZ325" i="2" s="1"/>
  <c r="AK325" i="2"/>
  <c r="BA325" i="2" s="1"/>
  <c r="AO326" i="11"/>
  <c r="BU326" i="7"/>
  <c r="AD326" i="11" s="1"/>
  <c r="D328" i="2"/>
  <c r="F327" i="2"/>
  <c r="J186" i="9"/>
  <c r="R158" i="11" s="1"/>
  <c r="I186" i="9"/>
  <c r="K186" i="9"/>
  <c r="O186" i="9"/>
  <c r="BL158" i="7"/>
  <c r="I356" i="9"/>
  <c r="H356" i="9"/>
  <c r="BA328" i="11" s="1"/>
  <c r="C356" i="9"/>
  <c r="E356" i="9" s="1"/>
  <c r="K356" i="9"/>
  <c r="J356" i="9"/>
  <c r="R328" i="11" s="1"/>
  <c r="B357" i="9"/>
  <c r="G356" i="9"/>
  <c r="Q328" i="11" s="1"/>
  <c r="F356" i="9"/>
  <c r="AY328" i="11" s="1"/>
  <c r="M355" i="9"/>
  <c r="AR328" i="7" s="1"/>
  <c r="CA328" i="7" s="1"/>
  <c r="L355" i="9"/>
  <c r="BK327" i="7" s="1"/>
  <c r="W327" i="11" l="1"/>
  <c r="U327" i="2"/>
  <c r="AW326" i="11"/>
  <c r="CJ328" i="11"/>
  <c r="AH76" i="20" s="1"/>
  <c r="AH77" i="20" s="1"/>
  <c r="AH78" i="20" s="1"/>
  <c r="CH328" i="11"/>
  <c r="AH56" i="20" s="1"/>
  <c r="AH57" i="20" s="1"/>
  <c r="BD447" i="2"/>
  <c r="BF447" i="2" s="1"/>
  <c r="BG447" i="2" s="1"/>
  <c r="BH447" i="2" s="1"/>
  <c r="BI447" i="2" s="1"/>
  <c r="O356" i="9"/>
  <c r="BL328" i="7"/>
  <c r="AP448" i="2"/>
  <c r="BD448" i="2" s="1"/>
  <c r="BF448" i="2" s="1"/>
  <c r="BG448" i="2" s="1"/>
  <c r="AM447" i="2"/>
  <c r="AT447" i="2" s="1"/>
  <c r="AW447" i="2" s="1"/>
  <c r="F447" i="11" s="1"/>
  <c r="CF158" i="7"/>
  <c r="CH158" i="7" s="1"/>
  <c r="CI158" i="7" s="1"/>
  <c r="D323" i="11"/>
  <c r="L477" i="3"/>
  <c r="AE449" i="2" s="1"/>
  <c r="CB326" i="7"/>
  <c r="CF326" i="7"/>
  <c r="CH326" i="7" s="1"/>
  <c r="CI326" i="7" s="1"/>
  <c r="CQ323" i="7"/>
  <c r="CK324" i="7"/>
  <c r="CQ324" i="7" s="1"/>
  <c r="CK157" i="7"/>
  <c r="CQ157" i="7" s="1"/>
  <c r="O477" i="3"/>
  <c r="AF449" i="2"/>
  <c r="BA450" i="2"/>
  <c r="AL448" i="2"/>
  <c r="B479" i="3"/>
  <c r="C478" i="3"/>
  <c r="E478" i="3" s="1"/>
  <c r="F478" i="3"/>
  <c r="AX450" i="11" s="1"/>
  <c r="H478" i="3"/>
  <c r="AZ450" i="11" s="1"/>
  <c r="I478" i="3"/>
  <c r="G478" i="3"/>
  <c r="O450" i="11" s="1"/>
  <c r="J478" i="3"/>
  <c r="P450" i="11" s="1"/>
  <c r="K478" i="3"/>
  <c r="M478" i="3" s="1"/>
  <c r="V451" i="2" s="1"/>
  <c r="AK451" i="2" s="1"/>
  <c r="CV326" i="7"/>
  <c r="CX326" i="7" s="1"/>
  <c r="CV158" i="7"/>
  <c r="CX158" i="7" s="1"/>
  <c r="CC325" i="7"/>
  <c r="CS325" i="7"/>
  <c r="CU325" i="7" s="1"/>
  <c r="CY325" i="7" s="1"/>
  <c r="BB325" i="2"/>
  <c r="BH325" i="2" s="1"/>
  <c r="BI325" i="2" s="1"/>
  <c r="AM325" i="2"/>
  <c r="AT325" i="2" s="1"/>
  <c r="AO327" i="11"/>
  <c r="BU327" i="7"/>
  <c r="AD327" i="11" s="1"/>
  <c r="D329" i="2"/>
  <c r="V47" i="5"/>
  <c r="W47" i="5" s="1"/>
  <c r="F328" i="2"/>
  <c r="AD326" i="2"/>
  <c r="AL326" i="2" s="1"/>
  <c r="AZ326" i="2" s="1"/>
  <c r="AK326" i="2"/>
  <c r="BA326" i="2" s="1"/>
  <c r="M186" i="9"/>
  <c r="AR159" i="7" s="1"/>
  <c r="CA159" i="7" s="1"/>
  <c r="L186" i="9"/>
  <c r="BK158" i="7" s="1"/>
  <c r="CB158" i="7" s="1"/>
  <c r="C187" i="9"/>
  <c r="E187" i="9" s="1"/>
  <c r="F187" i="9"/>
  <c r="AY159" i="11" s="1"/>
  <c r="H187" i="9"/>
  <c r="BA159" i="11" s="1"/>
  <c r="M356" i="9"/>
  <c r="AR329" i="7" s="1"/>
  <c r="CA329" i="7" s="1"/>
  <c r="L356" i="9"/>
  <c r="BK328" i="7" s="1"/>
  <c r="I357" i="9"/>
  <c r="H357" i="9"/>
  <c r="BA329" i="11" s="1"/>
  <c r="C357" i="9"/>
  <c r="E357" i="9" s="1"/>
  <c r="B358" i="9"/>
  <c r="G357" i="9"/>
  <c r="Q329" i="11" s="1"/>
  <c r="F357" i="9"/>
  <c r="AY329" i="11" s="1"/>
  <c r="K357" i="9"/>
  <c r="J357" i="9"/>
  <c r="R329" i="11" s="1"/>
  <c r="W328" i="11" l="1"/>
  <c r="BF328" i="11" s="1"/>
  <c r="AH35" i="20" s="1"/>
  <c r="U328" i="2"/>
  <c r="AW327" i="11"/>
  <c r="G187" i="9"/>
  <c r="Q159" i="11" s="1"/>
  <c r="AR448" i="2"/>
  <c r="AS448" i="2" s="1"/>
  <c r="O357" i="9"/>
  <c r="BL329" i="7"/>
  <c r="AP449" i="2"/>
  <c r="BD449" i="2" s="1"/>
  <c r="BF449" i="2" s="1"/>
  <c r="BG449" i="2" s="1"/>
  <c r="D324" i="11"/>
  <c r="CN324" i="7"/>
  <c r="I324" i="11" s="1"/>
  <c r="L324" i="11" s="1"/>
  <c r="CN157" i="7"/>
  <c r="I157" i="11" s="1"/>
  <c r="CB327" i="7"/>
  <c r="CF327" i="7"/>
  <c r="CH327" i="7" s="1"/>
  <c r="CI327" i="7" s="1"/>
  <c r="CK325" i="7"/>
  <c r="CN325" i="7" s="1"/>
  <c r="I325" i="11" s="1"/>
  <c r="AL449" i="2"/>
  <c r="AZ449" i="2" s="1"/>
  <c r="BB449" i="2" s="1"/>
  <c r="AZ448" i="2"/>
  <c r="BB448" i="2" s="1"/>
  <c r="BH448" i="2" s="1"/>
  <c r="BI448" i="2" s="1"/>
  <c r="AM448" i="2"/>
  <c r="O478" i="3"/>
  <c r="AF450" i="2"/>
  <c r="L478" i="3"/>
  <c r="AE450" i="2" s="1"/>
  <c r="BA451" i="2"/>
  <c r="B480" i="3"/>
  <c r="C479" i="3"/>
  <c r="E479" i="3" s="1"/>
  <c r="F479" i="3"/>
  <c r="AX451" i="11" s="1"/>
  <c r="G479" i="3"/>
  <c r="O451" i="11" s="1"/>
  <c r="I479" i="3"/>
  <c r="J479" i="3"/>
  <c r="P451" i="11" s="1"/>
  <c r="H479" i="3"/>
  <c r="AZ451" i="11" s="1"/>
  <c r="K479" i="3"/>
  <c r="CV327" i="7"/>
  <c r="CX327" i="7" s="1"/>
  <c r="CC158" i="7"/>
  <c r="CS158" i="7"/>
  <c r="CU158" i="7" s="1"/>
  <c r="CY158" i="7" s="1"/>
  <c r="CZ158" i="7" s="1"/>
  <c r="CC326" i="7"/>
  <c r="CS326" i="7"/>
  <c r="CU326" i="7" s="1"/>
  <c r="CY326" i="7" s="1"/>
  <c r="BB326" i="2"/>
  <c r="BH326" i="2" s="1"/>
  <c r="BI326" i="2" s="1"/>
  <c r="AM326" i="2"/>
  <c r="AT326" i="2" s="1"/>
  <c r="AW326" i="2" s="1"/>
  <c r="F326" i="11" s="1"/>
  <c r="D330" i="2"/>
  <c r="F329" i="2"/>
  <c r="BU328" i="7"/>
  <c r="AW328" i="11" s="1"/>
  <c r="AD327" i="2"/>
  <c r="AL327" i="2" s="1"/>
  <c r="AZ327" i="2" s="1"/>
  <c r="AK327" i="2"/>
  <c r="BA327" i="2" s="1"/>
  <c r="AW325" i="2"/>
  <c r="F325" i="11" s="1"/>
  <c r="J187" i="9"/>
  <c r="R159" i="11" s="1"/>
  <c r="O187" i="9"/>
  <c r="BL159" i="7"/>
  <c r="I187" i="9"/>
  <c r="K187" i="9"/>
  <c r="M357" i="9"/>
  <c r="AR330" i="7" s="1"/>
  <c r="CA330" i="7" s="1"/>
  <c r="L357" i="9"/>
  <c r="BK329" i="7" s="1"/>
  <c r="I358" i="9"/>
  <c r="H358" i="9"/>
  <c r="BA330" i="11" s="1"/>
  <c r="C358" i="9"/>
  <c r="E358" i="9" s="1"/>
  <c r="K358" i="9"/>
  <c r="J358" i="9"/>
  <c r="R330" i="11" s="1"/>
  <c r="B359" i="9"/>
  <c r="G358" i="9"/>
  <c r="Q330" i="11" s="1"/>
  <c r="F358" i="9"/>
  <c r="AY330" i="11" s="1"/>
  <c r="W329" i="11" l="1"/>
  <c r="U329" i="2"/>
  <c r="AO329" i="11" s="1"/>
  <c r="AD328" i="11"/>
  <c r="BM328" i="11" s="1"/>
  <c r="AH14" i="20" s="1"/>
  <c r="AH15" i="20" s="1"/>
  <c r="AH19" i="20" s="1"/>
  <c r="AH67" i="20" s="1"/>
  <c r="AO328" i="11"/>
  <c r="BX328" i="11" s="1"/>
  <c r="AH36" i="20" s="1"/>
  <c r="AH40" i="20" s="1"/>
  <c r="AH41" i="20" s="1"/>
  <c r="AT448" i="2"/>
  <c r="AW448" i="2" s="1"/>
  <c r="F448" i="11" s="1"/>
  <c r="CF328" i="11"/>
  <c r="AH51" i="20" s="1"/>
  <c r="AH52" i="20" s="1"/>
  <c r="AH53" i="20" s="1"/>
  <c r="AH58" i="20" s="1"/>
  <c r="AR449" i="2"/>
  <c r="AS449" i="2" s="1"/>
  <c r="O358" i="9"/>
  <c r="BL330" i="7"/>
  <c r="AP450" i="2"/>
  <c r="BD450" i="2" s="1"/>
  <c r="BF450" i="2" s="1"/>
  <c r="BG450" i="2" s="1"/>
  <c r="AE451" i="2"/>
  <c r="CF159" i="7"/>
  <c r="CH159" i="7" s="1"/>
  <c r="CI159" i="7" s="1"/>
  <c r="D325" i="11"/>
  <c r="AM449" i="2"/>
  <c r="CF328" i="7"/>
  <c r="CH328" i="7" s="1"/>
  <c r="CI328" i="7" s="1"/>
  <c r="CB328" i="7"/>
  <c r="CQ325" i="7"/>
  <c r="CK326" i="7"/>
  <c r="CQ326" i="7" s="1"/>
  <c r="L325" i="11"/>
  <c r="CK158" i="7"/>
  <c r="CN158" i="7" s="1"/>
  <c r="I158" i="11" s="1"/>
  <c r="BH449" i="2"/>
  <c r="BI449" i="2" s="1"/>
  <c r="B481" i="3"/>
  <c r="F480" i="3"/>
  <c r="AX452" i="11" s="1"/>
  <c r="H480" i="3"/>
  <c r="AZ452" i="11" s="1"/>
  <c r="C480" i="3"/>
  <c r="E480" i="3" s="1"/>
  <c r="G480" i="3"/>
  <c r="O452" i="11" s="1"/>
  <c r="I480" i="3"/>
  <c r="J480" i="3"/>
  <c r="P452" i="11" s="1"/>
  <c r="K480" i="3"/>
  <c r="L479" i="3"/>
  <c r="M479" i="3"/>
  <c r="V452" i="2" s="1"/>
  <c r="AK452" i="2" s="1"/>
  <c r="AL450" i="2"/>
  <c r="O479" i="3"/>
  <c r="AF451" i="2"/>
  <c r="CV328" i="7"/>
  <c r="CX328" i="7" s="1"/>
  <c r="CV159" i="7"/>
  <c r="CX159" i="7" s="1"/>
  <c r="CC327" i="7"/>
  <c r="CS327" i="7"/>
  <c r="CU327" i="7" s="1"/>
  <c r="CY327" i="7" s="1"/>
  <c r="BB327" i="2"/>
  <c r="BH327" i="2" s="1"/>
  <c r="BI327" i="2" s="1"/>
  <c r="AM327" i="2"/>
  <c r="AT327" i="2" s="1"/>
  <c r="AW327" i="2" s="1"/>
  <c r="F327" i="11" s="1"/>
  <c r="AD328" i="2"/>
  <c r="AL328" i="2" s="1"/>
  <c r="AZ328" i="2" s="1"/>
  <c r="AK328" i="2"/>
  <c r="BA328" i="2" s="1"/>
  <c r="BU329" i="7"/>
  <c r="AD329" i="11" s="1"/>
  <c r="D331" i="2"/>
  <c r="F330" i="2"/>
  <c r="L187" i="9"/>
  <c r="BK159" i="7" s="1"/>
  <c r="CB159" i="7" s="1"/>
  <c r="M187" i="9"/>
  <c r="AR160" i="7" s="1"/>
  <c r="CA160" i="7" s="1"/>
  <c r="F188" i="9"/>
  <c r="AY160" i="11" s="1"/>
  <c r="C188" i="9"/>
  <c r="E188" i="9" s="1"/>
  <c r="H188" i="9"/>
  <c r="BA160" i="11" s="1"/>
  <c r="G188" i="9"/>
  <c r="Q160" i="11" s="1"/>
  <c r="I359" i="9"/>
  <c r="H359" i="9"/>
  <c r="BA331" i="11" s="1"/>
  <c r="C359" i="9"/>
  <c r="E359" i="9" s="1"/>
  <c r="B360" i="9"/>
  <c r="G359" i="9"/>
  <c r="Q331" i="11" s="1"/>
  <c r="F359" i="9"/>
  <c r="AY331" i="11" s="1"/>
  <c r="K359" i="9"/>
  <c r="J359" i="9"/>
  <c r="R331" i="11" s="1"/>
  <c r="M358" i="9"/>
  <c r="AR331" i="7" s="1"/>
  <c r="CA331" i="7" s="1"/>
  <c r="L358" i="9"/>
  <c r="BK330" i="7" s="1"/>
  <c r="W330" i="11" l="1"/>
  <c r="U330" i="2"/>
  <c r="AO330" i="11" s="1"/>
  <c r="AW329" i="11"/>
  <c r="CH160" i="11"/>
  <c r="T56" i="20" s="1"/>
  <c r="CJ160" i="11"/>
  <c r="T76" i="20" s="1"/>
  <c r="AT449" i="2"/>
  <c r="AW449" i="2" s="1"/>
  <c r="F449" i="11" s="1"/>
  <c r="AH42" i="20"/>
  <c r="AH59" i="20" s="1"/>
  <c r="AR450" i="2"/>
  <c r="AS450" i="2" s="1"/>
  <c r="AH68" i="20"/>
  <c r="AH69" i="20" s="1"/>
  <c r="AH79" i="20" s="1"/>
  <c r="AH81" i="20" s="1"/>
  <c r="O359" i="9"/>
  <c r="BL331" i="7"/>
  <c r="AP451" i="2"/>
  <c r="BD451" i="2" s="1"/>
  <c r="BF451" i="2" s="1"/>
  <c r="BG451" i="2" s="1"/>
  <c r="D326" i="11"/>
  <c r="CF329" i="7"/>
  <c r="CH329" i="7" s="1"/>
  <c r="CI329" i="7" s="1"/>
  <c r="CB329" i="7"/>
  <c r="CN326" i="7"/>
  <c r="I326" i="11" s="1"/>
  <c r="L326" i="11" s="1"/>
  <c r="CK327" i="7"/>
  <c r="CQ327" i="7" s="1"/>
  <c r="CQ158" i="7"/>
  <c r="M480" i="3"/>
  <c r="V453" i="2" s="1"/>
  <c r="AK453" i="2" s="1"/>
  <c r="L480" i="3"/>
  <c r="AE452" i="2" s="1"/>
  <c r="AZ450" i="2"/>
  <c r="BB450" i="2" s="1"/>
  <c r="BH450" i="2" s="1"/>
  <c r="BI450" i="2" s="1"/>
  <c r="AM450" i="2"/>
  <c r="AL451" i="2"/>
  <c r="BA452" i="2"/>
  <c r="O480" i="3"/>
  <c r="AF452" i="2"/>
  <c r="B482" i="3"/>
  <c r="G481" i="3"/>
  <c r="O453" i="11" s="1"/>
  <c r="I481" i="3"/>
  <c r="J481" i="3"/>
  <c r="P453" i="11" s="1"/>
  <c r="K481" i="3"/>
  <c r="C481" i="3"/>
  <c r="E481" i="3" s="1"/>
  <c r="F481" i="3"/>
  <c r="AX453" i="11" s="1"/>
  <c r="H481" i="3"/>
  <c r="AZ453" i="11" s="1"/>
  <c r="CV329" i="7"/>
  <c r="CX329" i="7" s="1"/>
  <c r="CC159" i="7"/>
  <c r="CS159" i="7"/>
  <c r="CU159" i="7" s="1"/>
  <c r="CY159" i="7" s="1"/>
  <c r="CZ159" i="7" s="1"/>
  <c r="CC328" i="7"/>
  <c r="CS328" i="7"/>
  <c r="CU328" i="7" s="1"/>
  <c r="CY328" i="7" s="1"/>
  <c r="BB328" i="2"/>
  <c r="BH328" i="2" s="1"/>
  <c r="BI328" i="2" s="1"/>
  <c r="AM328" i="2"/>
  <c r="AT328" i="2" s="1"/>
  <c r="AW328" i="2" s="1"/>
  <c r="F328" i="11" s="1"/>
  <c r="D332" i="2"/>
  <c r="F331" i="2"/>
  <c r="BU330" i="7"/>
  <c r="AD330" i="11" s="1"/>
  <c r="AD329" i="2"/>
  <c r="AL329" i="2" s="1"/>
  <c r="AZ329" i="2" s="1"/>
  <c r="AK329" i="2"/>
  <c r="BA329" i="2" s="1"/>
  <c r="J188" i="9"/>
  <c r="R160" i="11" s="1"/>
  <c r="K188" i="9"/>
  <c r="I188" i="9"/>
  <c r="O188" i="9"/>
  <c r="BL160" i="7"/>
  <c r="I360" i="9"/>
  <c r="H360" i="9"/>
  <c r="BA332" i="11" s="1"/>
  <c r="C360" i="9"/>
  <c r="E360" i="9" s="1"/>
  <c r="K360" i="9"/>
  <c r="J360" i="9"/>
  <c r="R332" i="11" s="1"/>
  <c r="B361" i="9"/>
  <c r="G360" i="9"/>
  <c r="Q332" i="11" s="1"/>
  <c r="F360" i="9"/>
  <c r="AY332" i="11" s="1"/>
  <c r="M359" i="9"/>
  <c r="AR332" i="7" s="1"/>
  <c r="CA332" i="7" s="1"/>
  <c r="L359" i="9"/>
  <c r="BK331" i="7" s="1"/>
  <c r="W331" i="11" l="1"/>
  <c r="U331" i="2"/>
  <c r="AO331" i="11" s="1"/>
  <c r="AW330" i="11"/>
  <c r="AT450" i="2"/>
  <c r="AW450" i="2" s="1"/>
  <c r="F450" i="11" s="1"/>
  <c r="AR451" i="2"/>
  <c r="AS451" i="2" s="1"/>
  <c r="O360" i="9"/>
  <c r="BL332" i="7"/>
  <c r="AE453" i="2"/>
  <c r="AP452" i="2"/>
  <c r="BD452" i="2" s="1"/>
  <c r="BF452" i="2" s="1"/>
  <c r="BG452" i="2" s="1"/>
  <c r="CF160" i="7"/>
  <c r="CH160" i="7" s="1"/>
  <c r="CI160" i="7" s="1"/>
  <c r="D327" i="11"/>
  <c r="CB330" i="7"/>
  <c r="CF330" i="7"/>
  <c r="CH330" i="7" s="1"/>
  <c r="CI330" i="7" s="1"/>
  <c r="CN327" i="7"/>
  <c r="I327" i="11" s="1"/>
  <c r="L327" i="11" s="1"/>
  <c r="CK328" i="7"/>
  <c r="CQ328" i="7" s="1"/>
  <c r="CK159" i="7"/>
  <c r="CN159" i="7" s="1"/>
  <c r="I159" i="11" s="1"/>
  <c r="AZ451" i="2"/>
  <c r="BB451" i="2" s="1"/>
  <c r="BH451" i="2" s="1"/>
  <c r="BI451" i="2" s="1"/>
  <c r="AM451" i="2"/>
  <c r="B483" i="3"/>
  <c r="K482" i="3"/>
  <c r="C482" i="3"/>
  <c r="E482" i="3" s="1"/>
  <c r="F482" i="3"/>
  <c r="AX454" i="11" s="1"/>
  <c r="G482" i="3"/>
  <c r="O454" i="11" s="1"/>
  <c r="H482" i="3"/>
  <c r="AZ454" i="11" s="1"/>
  <c r="I482" i="3"/>
  <c r="J482" i="3"/>
  <c r="P454" i="11" s="1"/>
  <c r="O481" i="3"/>
  <c r="AF453" i="2"/>
  <c r="BA453" i="2"/>
  <c r="AL452" i="2"/>
  <c r="L481" i="3"/>
  <c r="M481" i="3"/>
  <c r="V454" i="2" s="1"/>
  <c r="AK454" i="2" s="1"/>
  <c r="CV330" i="7"/>
  <c r="CX330" i="7" s="1"/>
  <c r="CV160" i="7"/>
  <c r="CX160" i="7" s="1"/>
  <c r="CC329" i="7"/>
  <c r="CS329" i="7"/>
  <c r="CU329" i="7" s="1"/>
  <c r="CY329" i="7" s="1"/>
  <c r="BB329" i="2"/>
  <c r="BH329" i="2" s="1"/>
  <c r="BI329" i="2" s="1"/>
  <c r="AM329" i="2"/>
  <c r="AT329" i="2" s="1"/>
  <c r="AW329" i="2" s="1"/>
  <c r="F329" i="11" s="1"/>
  <c r="AD330" i="2"/>
  <c r="AL330" i="2" s="1"/>
  <c r="AZ330" i="2" s="1"/>
  <c r="AK330" i="2"/>
  <c r="BA330" i="2" s="1"/>
  <c r="BU331" i="7"/>
  <c r="AD331" i="11" s="1"/>
  <c r="D333" i="2"/>
  <c r="F332" i="2"/>
  <c r="L188" i="9"/>
  <c r="BK160" i="7" s="1"/>
  <c r="CB160" i="7" s="1"/>
  <c r="M188" i="9"/>
  <c r="AR161" i="7" s="1"/>
  <c r="CA161" i="7" s="1"/>
  <c r="H189" i="9"/>
  <c r="BA161" i="11" s="1"/>
  <c r="C189" i="9"/>
  <c r="E189" i="9" s="1"/>
  <c r="G189" i="9"/>
  <c r="Q161" i="11" s="1"/>
  <c r="F189" i="9"/>
  <c r="AY161" i="11" s="1"/>
  <c r="J189" i="9"/>
  <c r="R161" i="11" s="1"/>
  <c r="M360" i="9"/>
  <c r="AR333" i="7" s="1"/>
  <c r="CA333" i="7" s="1"/>
  <c r="L360" i="9"/>
  <c r="BK332" i="7" s="1"/>
  <c r="I361" i="9"/>
  <c r="H361" i="9"/>
  <c r="BA333" i="11" s="1"/>
  <c r="C361" i="9"/>
  <c r="E361" i="9" s="1"/>
  <c r="B362" i="9"/>
  <c r="G361" i="9"/>
  <c r="Q333" i="11" s="1"/>
  <c r="F361" i="9"/>
  <c r="AY333" i="11" s="1"/>
  <c r="K361" i="9"/>
  <c r="J361" i="9"/>
  <c r="R333" i="11" s="1"/>
  <c r="AT451" i="2" l="1"/>
  <c r="AW451" i="2" s="1"/>
  <c r="F451" i="11" s="1"/>
  <c r="W332" i="11"/>
  <c r="U332" i="2"/>
  <c r="AO332" i="11" s="1"/>
  <c r="AW331" i="11"/>
  <c r="AR452" i="2"/>
  <c r="AS452" i="2" s="1"/>
  <c r="O361" i="9"/>
  <c r="BL333" i="7"/>
  <c r="AP453" i="2"/>
  <c r="BD453" i="2" s="1"/>
  <c r="BF453" i="2" s="1"/>
  <c r="BG453" i="2" s="1"/>
  <c r="D328" i="11"/>
  <c r="CF331" i="7"/>
  <c r="CH331" i="7" s="1"/>
  <c r="CI331" i="7" s="1"/>
  <c r="CB331" i="7"/>
  <c r="CQ159" i="7"/>
  <c r="CK329" i="7"/>
  <c r="CQ329" i="7" s="1"/>
  <c r="CN328" i="7"/>
  <c r="I328" i="11" s="1"/>
  <c r="L328" i="11" s="1"/>
  <c r="O482" i="3"/>
  <c r="AF454" i="2"/>
  <c r="BA454" i="2"/>
  <c r="M482" i="3"/>
  <c r="V455" i="2" s="1"/>
  <c r="AK455" i="2" s="1"/>
  <c r="L482" i="3"/>
  <c r="AE454" i="2" s="1"/>
  <c r="AL453" i="2"/>
  <c r="B484" i="3"/>
  <c r="J483" i="3"/>
  <c r="P455" i="11" s="1"/>
  <c r="K483" i="3"/>
  <c r="C483" i="3"/>
  <c r="E483" i="3" s="1"/>
  <c r="F483" i="3"/>
  <c r="AX455" i="11" s="1"/>
  <c r="G483" i="3"/>
  <c r="O455" i="11" s="1"/>
  <c r="H483" i="3"/>
  <c r="AZ455" i="11" s="1"/>
  <c r="I483" i="3"/>
  <c r="AZ452" i="2"/>
  <c r="BB452" i="2" s="1"/>
  <c r="BH452" i="2" s="1"/>
  <c r="BI452" i="2" s="1"/>
  <c r="AM452" i="2"/>
  <c r="CV331" i="7"/>
  <c r="CX331" i="7" s="1"/>
  <c r="CC330" i="7"/>
  <c r="CS330" i="7"/>
  <c r="CU330" i="7" s="1"/>
  <c r="CY330" i="7" s="1"/>
  <c r="CC160" i="7"/>
  <c r="CS160" i="7"/>
  <c r="CU160" i="7" s="1"/>
  <c r="CY160" i="7" s="1"/>
  <c r="CZ160" i="7" s="1"/>
  <c r="BB330" i="2"/>
  <c r="BH330" i="2" s="1"/>
  <c r="BI330" i="2" s="1"/>
  <c r="AM330" i="2"/>
  <c r="AT330" i="2" s="1"/>
  <c r="AW330" i="2" s="1"/>
  <c r="F330" i="11" s="1"/>
  <c r="D334" i="2"/>
  <c r="F333" i="2"/>
  <c r="BU332" i="7"/>
  <c r="AD332" i="11" s="1"/>
  <c r="AD331" i="2"/>
  <c r="AL331" i="2" s="1"/>
  <c r="AZ331" i="2" s="1"/>
  <c r="AK331" i="2"/>
  <c r="BA331" i="2" s="1"/>
  <c r="F190" i="9"/>
  <c r="AY162" i="11" s="1"/>
  <c r="H190" i="9"/>
  <c r="BA162" i="11" s="1"/>
  <c r="K190" i="9"/>
  <c r="C190" i="9"/>
  <c r="E190" i="9" s="1"/>
  <c r="G190" i="9"/>
  <c r="Q162" i="11" s="1"/>
  <c r="J190" i="9"/>
  <c r="R162" i="11" s="1"/>
  <c r="O189" i="9"/>
  <c r="BL161" i="7"/>
  <c r="I189" i="9"/>
  <c r="K189" i="9"/>
  <c r="M361" i="9"/>
  <c r="AR334" i="7" s="1"/>
  <c r="CA334" i="7" s="1"/>
  <c r="L361" i="9"/>
  <c r="BK333" i="7" s="1"/>
  <c r="I362" i="9"/>
  <c r="H362" i="9"/>
  <c r="BA334" i="11" s="1"/>
  <c r="C362" i="9"/>
  <c r="E362" i="9" s="1"/>
  <c r="K362" i="9"/>
  <c r="J362" i="9"/>
  <c r="R334" i="11" s="1"/>
  <c r="B363" i="9"/>
  <c r="G362" i="9"/>
  <c r="Q334" i="11" s="1"/>
  <c r="F362" i="9"/>
  <c r="AY334" i="11" s="1"/>
  <c r="AT452" i="2" l="1"/>
  <c r="AW452" i="2" s="1"/>
  <c r="F452" i="11" s="1"/>
  <c r="W333" i="11"/>
  <c r="U333" i="2"/>
  <c r="AW332" i="11"/>
  <c r="AR453" i="2"/>
  <c r="AS453" i="2" s="1"/>
  <c r="O362" i="9"/>
  <c r="BL334" i="7"/>
  <c r="AP454" i="2"/>
  <c r="BD454" i="2" s="1"/>
  <c r="BF454" i="2" s="1"/>
  <c r="BG454" i="2" s="1"/>
  <c r="AE455" i="2"/>
  <c r="CF161" i="7"/>
  <c r="CH161" i="7" s="1"/>
  <c r="CI161" i="7" s="1"/>
  <c r="D329" i="11"/>
  <c r="CF332" i="7"/>
  <c r="CH332" i="7" s="1"/>
  <c r="CI332" i="7" s="1"/>
  <c r="CB332" i="7"/>
  <c r="CN329" i="7"/>
  <c r="I329" i="11" s="1"/>
  <c r="L329" i="11" s="1"/>
  <c r="CK330" i="7"/>
  <c r="CN330" i="7" s="1"/>
  <c r="I330" i="11" s="1"/>
  <c r="L330" i="11" s="1"/>
  <c r="CK160" i="7"/>
  <c r="CN160" i="7" s="1"/>
  <c r="I160" i="11" s="1"/>
  <c r="O483" i="3"/>
  <c r="AF455" i="2"/>
  <c r="M483" i="3"/>
  <c r="V456" i="2" s="1"/>
  <c r="AK456" i="2" s="1"/>
  <c r="L483" i="3"/>
  <c r="B485" i="3"/>
  <c r="K484" i="3"/>
  <c r="C484" i="3"/>
  <c r="E484" i="3" s="1"/>
  <c r="F484" i="3"/>
  <c r="AX456" i="11" s="1"/>
  <c r="G484" i="3"/>
  <c r="O456" i="11" s="1"/>
  <c r="H484" i="3"/>
  <c r="AZ456" i="11" s="1"/>
  <c r="I484" i="3"/>
  <c r="J484" i="3"/>
  <c r="P456" i="11" s="1"/>
  <c r="AZ453" i="2"/>
  <c r="BB453" i="2" s="1"/>
  <c r="BH453" i="2" s="1"/>
  <c r="BI453" i="2" s="1"/>
  <c r="AM453" i="2"/>
  <c r="BA455" i="2"/>
  <c r="AL454" i="2"/>
  <c r="CV332" i="7"/>
  <c r="CX332" i="7" s="1"/>
  <c r="CC331" i="7"/>
  <c r="CK331" i="7" s="1"/>
  <c r="CS331" i="7"/>
  <c r="CU331" i="7" s="1"/>
  <c r="CY331" i="7" s="1"/>
  <c r="CV161" i="7"/>
  <c r="CX161" i="7" s="1"/>
  <c r="BB331" i="2"/>
  <c r="BH331" i="2" s="1"/>
  <c r="BI331" i="2" s="1"/>
  <c r="AM331" i="2"/>
  <c r="AT331" i="2" s="1"/>
  <c r="AW331" i="2" s="1"/>
  <c r="F331" i="11" s="1"/>
  <c r="AO333" i="11"/>
  <c r="BU333" i="7"/>
  <c r="AD333" i="11" s="1"/>
  <c r="D335" i="2"/>
  <c r="F334" i="2"/>
  <c r="AD332" i="2"/>
  <c r="AL332" i="2" s="1"/>
  <c r="AZ332" i="2" s="1"/>
  <c r="AK332" i="2"/>
  <c r="BA332" i="2" s="1"/>
  <c r="M190" i="9"/>
  <c r="AR163" i="7" s="1"/>
  <c r="CA163" i="7" s="1"/>
  <c r="L190" i="9"/>
  <c r="BK162" i="7" s="1"/>
  <c r="M189" i="9"/>
  <c r="AR162" i="7" s="1"/>
  <c r="CA162" i="7" s="1"/>
  <c r="L189" i="9"/>
  <c r="BK161" i="7" s="1"/>
  <c r="CB161" i="7" s="1"/>
  <c r="I190" i="9"/>
  <c r="F191" i="9"/>
  <c r="AY163" i="11" s="1"/>
  <c r="C191" i="9"/>
  <c r="E191" i="9" s="1"/>
  <c r="H191" i="9"/>
  <c r="BA163" i="11" s="1"/>
  <c r="BL162" i="7"/>
  <c r="O190" i="9"/>
  <c r="M362" i="9"/>
  <c r="AR335" i="7" s="1"/>
  <c r="CA335" i="7" s="1"/>
  <c r="L362" i="9"/>
  <c r="BK334" i="7" s="1"/>
  <c r="I363" i="9"/>
  <c r="H363" i="9"/>
  <c r="BA335" i="11" s="1"/>
  <c r="C363" i="9"/>
  <c r="E363" i="9" s="1"/>
  <c r="B364" i="9"/>
  <c r="G363" i="9"/>
  <c r="Q335" i="11" s="1"/>
  <c r="F363" i="9"/>
  <c r="AY335" i="11" s="1"/>
  <c r="K363" i="9"/>
  <c r="J363" i="9"/>
  <c r="R335" i="11" s="1"/>
  <c r="W334" i="11" l="1"/>
  <c r="U334" i="2"/>
  <c r="AW333" i="11"/>
  <c r="AT453" i="2"/>
  <c r="AW453" i="2" s="1"/>
  <c r="F453" i="11" s="1"/>
  <c r="AR454" i="2"/>
  <c r="AS454" i="2" s="1"/>
  <c r="O363" i="9"/>
  <c r="BL335" i="7"/>
  <c r="AP455" i="2"/>
  <c r="AR455" i="2" s="1"/>
  <c r="AS455" i="2" s="1"/>
  <c r="CF162" i="7"/>
  <c r="CH162" i="7" s="1"/>
  <c r="CI162" i="7" s="1"/>
  <c r="D330" i="11"/>
  <c r="AL455" i="2"/>
  <c r="AZ455" i="2" s="1"/>
  <c r="BB455" i="2" s="1"/>
  <c r="CB162" i="7"/>
  <c r="CB333" i="7"/>
  <c r="CF333" i="7"/>
  <c r="CH333" i="7" s="1"/>
  <c r="CI333" i="7" s="1"/>
  <c r="CQ330" i="7"/>
  <c r="CQ160" i="7"/>
  <c r="M484" i="3"/>
  <c r="V457" i="2" s="1"/>
  <c r="AK457" i="2" s="1"/>
  <c r="L484" i="3"/>
  <c r="AE456" i="2" s="1"/>
  <c r="AZ454" i="2"/>
  <c r="BB454" i="2" s="1"/>
  <c r="BH454" i="2" s="1"/>
  <c r="BI454" i="2" s="1"/>
  <c r="AM454" i="2"/>
  <c r="BA456" i="2"/>
  <c r="O484" i="3"/>
  <c r="AF456" i="2"/>
  <c r="B486" i="3"/>
  <c r="C485" i="3"/>
  <c r="E485" i="3" s="1"/>
  <c r="F485" i="3"/>
  <c r="AX457" i="11" s="1"/>
  <c r="G485" i="3"/>
  <c r="O457" i="11" s="1"/>
  <c r="H485" i="3"/>
  <c r="AZ457" i="11" s="1"/>
  <c r="I485" i="3"/>
  <c r="J485" i="3"/>
  <c r="P457" i="11" s="1"/>
  <c r="K485" i="3"/>
  <c r="CV333" i="7"/>
  <c r="CX333" i="7" s="1"/>
  <c r="CC332" i="7"/>
  <c r="CS332" i="7"/>
  <c r="CU332" i="7" s="1"/>
  <c r="CY332" i="7" s="1"/>
  <c r="CC161" i="7"/>
  <c r="CS161" i="7"/>
  <c r="CU161" i="7" s="1"/>
  <c r="CY161" i="7" s="1"/>
  <c r="CZ161" i="7" s="1"/>
  <c r="CV162" i="7"/>
  <c r="CX162" i="7" s="1"/>
  <c r="CQ331" i="7"/>
  <c r="CN331" i="7"/>
  <c r="I331" i="11" s="1"/>
  <c r="L331" i="11" s="1"/>
  <c r="BB332" i="2"/>
  <c r="BH332" i="2" s="1"/>
  <c r="BI332" i="2" s="1"/>
  <c r="D331" i="11"/>
  <c r="AM332" i="2"/>
  <c r="AT332" i="2" s="1"/>
  <c r="AW332" i="2" s="1"/>
  <c r="F332" i="11" s="1"/>
  <c r="AO334" i="11"/>
  <c r="BU334" i="7"/>
  <c r="AD334" i="11" s="1"/>
  <c r="D336" i="2"/>
  <c r="F335" i="2"/>
  <c r="AD333" i="2"/>
  <c r="AL333" i="2" s="1"/>
  <c r="AZ333" i="2" s="1"/>
  <c r="AK333" i="2"/>
  <c r="BA333" i="2" s="1"/>
  <c r="K191" i="9"/>
  <c r="I191" i="9"/>
  <c r="O191" i="9"/>
  <c r="BL163" i="7"/>
  <c r="J191" i="9"/>
  <c r="R163" i="11" s="1"/>
  <c r="G191" i="9"/>
  <c r="Q163" i="11" s="1"/>
  <c r="I364" i="9"/>
  <c r="H364" i="9"/>
  <c r="BA336" i="11" s="1"/>
  <c r="C364" i="9"/>
  <c r="E364" i="9" s="1"/>
  <c r="K364" i="9"/>
  <c r="J364" i="9"/>
  <c r="R336" i="11" s="1"/>
  <c r="B365" i="9"/>
  <c r="G364" i="9"/>
  <c r="Q336" i="11" s="1"/>
  <c r="F364" i="9"/>
  <c r="AY336" i="11" s="1"/>
  <c r="M363" i="9"/>
  <c r="AR336" i="7" s="1"/>
  <c r="CA336" i="7" s="1"/>
  <c r="L363" i="9"/>
  <c r="BK335" i="7" s="1"/>
  <c r="AT454" i="2" l="1"/>
  <c r="AW454" i="2" s="1"/>
  <c r="F454" i="11" s="1"/>
  <c r="W335" i="11"/>
  <c r="U335" i="2"/>
  <c r="AW334" i="11"/>
  <c r="BD455" i="2"/>
  <c r="BF455" i="2" s="1"/>
  <c r="BG455" i="2" s="1"/>
  <c r="BH455" i="2" s="1"/>
  <c r="BI455" i="2" s="1"/>
  <c r="O364" i="9"/>
  <c r="BL336" i="7"/>
  <c r="AP456" i="2"/>
  <c r="AR456" i="2" s="1"/>
  <c r="AS456" i="2" s="1"/>
  <c r="CF163" i="7"/>
  <c r="CH163" i="7" s="1"/>
  <c r="CI163" i="7" s="1"/>
  <c r="AM455" i="2"/>
  <c r="AT455" i="2" s="1"/>
  <c r="AW455" i="2" s="1"/>
  <c r="F455" i="11" s="1"/>
  <c r="CB334" i="7"/>
  <c r="CF334" i="7"/>
  <c r="CH334" i="7" s="1"/>
  <c r="CI334" i="7" s="1"/>
  <c r="CK332" i="7"/>
  <c r="CN332" i="7" s="1"/>
  <c r="I332" i="11" s="1"/>
  <c r="L332" i="11" s="1"/>
  <c r="CK161" i="7"/>
  <c r="CQ161" i="7" s="1"/>
  <c r="O485" i="3"/>
  <c r="AF457" i="2"/>
  <c r="B487" i="3"/>
  <c r="C486" i="3"/>
  <c r="E486" i="3" s="1"/>
  <c r="F486" i="3"/>
  <c r="AX458" i="11" s="1"/>
  <c r="G486" i="3"/>
  <c r="O458" i="11" s="1"/>
  <c r="H486" i="3"/>
  <c r="AZ458" i="11" s="1"/>
  <c r="I486" i="3"/>
  <c r="J486" i="3"/>
  <c r="P458" i="11" s="1"/>
  <c r="K486" i="3"/>
  <c r="M485" i="3"/>
  <c r="V458" i="2" s="1"/>
  <c r="AK458" i="2" s="1"/>
  <c r="L485" i="3"/>
  <c r="AE457" i="2" s="1"/>
  <c r="AL456" i="2"/>
  <c r="BA457" i="2"/>
  <c r="CV334" i="7"/>
  <c r="CX334" i="7" s="1"/>
  <c r="CV163" i="7"/>
  <c r="CX163" i="7" s="1"/>
  <c r="CC333" i="7"/>
  <c r="CS333" i="7"/>
  <c r="CU333" i="7" s="1"/>
  <c r="CY333" i="7" s="1"/>
  <c r="CC162" i="7"/>
  <c r="CS162" i="7"/>
  <c r="CU162" i="7" s="1"/>
  <c r="CY162" i="7" s="1"/>
  <c r="CZ162" i="7" s="1"/>
  <c r="BB333" i="2"/>
  <c r="BH333" i="2" s="1"/>
  <c r="BI333" i="2" s="1"/>
  <c r="AM333" i="2"/>
  <c r="AT333" i="2" s="1"/>
  <c r="AW333" i="2" s="1"/>
  <c r="F333" i="11" s="1"/>
  <c r="D337" i="2"/>
  <c r="F336" i="2"/>
  <c r="AO335" i="11"/>
  <c r="BU335" i="7"/>
  <c r="AD335" i="11" s="1"/>
  <c r="AD334" i="2"/>
  <c r="AL334" i="2" s="1"/>
  <c r="AZ334" i="2" s="1"/>
  <c r="AK334" i="2"/>
  <c r="BA334" i="2" s="1"/>
  <c r="C192" i="9"/>
  <c r="E192" i="9" s="1"/>
  <c r="H192" i="9"/>
  <c r="BA164" i="11" s="1"/>
  <c r="F192" i="9"/>
  <c r="AY164" i="11" s="1"/>
  <c r="G192" i="9"/>
  <c r="Q164" i="11" s="1"/>
  <c r="M191" i="9"/>
  <c r="AR164" i="7" s="1"/>
  <c r="CA164" i="7" s="1"/>
  <c r="L191" i="9"/>
  <c r="BK163" i="7" s="1"/>
  <c r="CB163" i="7" s="1"/>
  <c r="M364" i="9"/>
  <c r="AR337" i="7" s="1"/>
  <c r="CA337" i="7" s="1"/>
  <c r="L364" i="9"/>
  <c r="BK336" i="7" s="1"/>
  <c r="I365" i="9"/>
  <c r="H365" i="9"/>
  <c r="BA337" i="11" s="1"/>
  <c r="C365" i="9"/>
  <c r="E365" i="9" s="1"/>
  <c r="B366" i="9"/>
  <c r="G365" i="9"/>
  <c r="Q337" i="11" s="1"/>
  <c r="F365" i="9"/>
  <c r="AY337" i="11" s="1"/>
  <c r="K365" i="9"/>
  <c r="J365" i="9"/>
  <c r="R337" i="11" s="1"/>
  <c r="W336" i="11" l="1"/>
  <c r="U336" i="2"/>
  <c r="AO336" i="11" s="1"/>
  <c r="AW335" i="11"/>
  <c r="BD456" i="2"/>
  <c r="BF456" i="2" s="1"/>
  <c r="BG456" i="2" s="1"/>
  <c r="O365" i="9"/>
  <c r="BL337" i="7"/>
  <c r="AP457" i="2"/>
  <c r="BD457" i="2" s="1"/>
  <c r="BF457" i="2" s="1"/>
  <c r="BG457" i="2" s="1"/>
  <c r="D332" i="11"/>
  <c r="CQ332" i="7"/>
  <c r="CB335" i="7"/>
  <c r="CF335" i="7"/>
  <c r="CH335" i="7" s="1"/>
  <c r="CI335" i="7" s="1"/>
  <c r="CK333" i="7"/>
  <c r="CQ333" i="7" s="1"/>
  <c r="CK162" i="7"/>
  <c r="CN162" i="7" s="1"/>
  <c r="I162" i="11" s="1"/>
  <c r="CN161" i="7"/>
  <c r="I161" i="11" s="1"/>
  <c r="AL457" i="2"/>
  <c r="AZ457" i="2" s="1"/>
  <c r="BB457" i="2" s="1"/>
  <c r="AZ456" i="2"/>
  <c r="BB456" i="2" s="1"/>
  <c r="AM456" i="2"/>
  <c r="AT456" i="2" s="1"/>
  <c r="AW456" i="2" s="1"/>
  <c r="F456" i="11" s="1"/>
  <c r="O486" i="3"/>
  <c r="AF458" i="2"/>
  <c r="BA458" i="2"/>
  <c r="B488" i="3"/>
  <c r="F487" i="3"/>
  <c r="AX459" i="11" s="1"/>
  <c r="G487" i="3"/>
  <c r="O459" i="11" s="1"/>
  <c r="H487" i="3"/>
  <c r="AZ459" i="11" s="1"/>
  <c r="I487" i="3"/>
  <c r="J487" i="3"/>
  <c r="P459" i="11" s="1"/>
  <c r="K487" i="3"/>
  <c r="C487" i="3"/>
  <c r="E487" i="3" s="1"/>
  <c r="M486" i="3"/>
  <c r="V459" i="2" s="1"/>
  <c r="AK459" i="2" s="1"/>
  <c r="L486" i="3"/>
  <c r="AE458" i="2" s="1"/>
  <c r="CV335" i="7"/>
  <c r="CX335" i="7" s="1"/>
  <c r="CC334" i="7"/>
  <c r="CS334" i="7"/>
  <c r="CU334" i="7" s="1"/>
  <c r="CY334" i="7" s="1"/>
  <c r="CC163" i="7"/>
  <c r="CS163" i="7"/>
  <c r="CU163" i="7" s="1"/>
  <c r="CY163" i="7" s="1"/>
  <c r="CZ163" i="7" s="1"/>
  <c r="BB334" i="2"/>
  <c r="BH334" i="2" s="1"/>
  <c r="BI334" i="2" s="1"/>
  <c r="AM334" i="2"/>
  <c r="AT334" i="2" s="1"/>
  <c r="AW334" i="2" s="1"/>
  <c r="F334" i="11" s="1"/>
  <c r="AD335" i="2"/>
  <c r="AL335" i="2" s="1"/>
  <c r="AZ335" i="2" s="1"/>
  <c r="AK335" i="2"/>
  <c r="BA335" i="2" s="1"/>
  <c r="BU336" i="7"/>
  <c r="AD336" i="11" s="1"/>
  <c r="D338" i="2"/>
  <c r="F337" i="2"/>
  <c r="I192" i="9"/>
  <c r="J192" i="9"/>
  <c r="R164" i="11" s="1"/>
  <c r="K192" i="9"/>
  <c r="O192" i="9"/>
  <c r="BL164" i="7"/>
  <c r="I366" i="9"/>
  <c r="H366" i="9"/>
  <c r="BA338" i="11" s="1"/>
  <c r="C366" i="9"/>
  <c r="E366" i="9" s="1"/>
  <c r="K366" i="9"/>
  <c r="J366" i="9"/>
  <c r="R338" i="11" s="1"/>
  <c r="B367" i="9"/>
  <c r="G366" i="9"/>
  <c r="Q338" i="11" s="1"/>
  <c r="F366" i="9"/>
  <c r="AY338" i="11" s="1"/>
  <c r="M365" i="9"/>
  <c r="AR338" i="7" s="1"/>
  <c r="CA338" i="7" s="1"/>
  <c r="L365" i="9"/>
  <c r="BK337" i="7" s="1"/>
  <c r="W337" i="11" l="1"/>
  <c r="U337" i="2"/>
  <c r="AR457" i="2"/>
  <c r="AS457" i="2" s="1"/>
  <c r="AW336" i="11"/>
  <c r="BH456" i="2"/>
  <c r="BI456" i="2" s="1"/>
  <c r="O366" i="9"/>
  <c r="BL338" i="7"/>
  <c r="AP458" i="2"/>
  <c r="AR458" i="2" s="1"/>
  <c r="AS458" i="2" s="1"/>
  <c r="CF164" i="7"/>
  <c r="CH164" i="7" s="1"/>
  <c r="CI164" i="7" s="1"/>
  <c r="BH457" i="2"/>
  <c r="BI457" i="2" s="1"/>
  <c r="CQ162" i="7"/>
  <c r="CN333" i="7"/>
  <c r="I333" i="11" s="1"/>
  <c r="L333" i="11" s="1"/>
  <c r="CF336" i="7"/>
  <c r="CH336" i="7" s="1"/>
  <c r="CI336" i="7" s="1"/>
  <c r="CB336" i="7"/>
  <c r="AM457" i="2"/>
  <c r="CK334" i="7"/>
  <c r="CN334" i="7" s="1"/>
  <c r="I334" i="11" s="1"/>
  <c r="L334" i="11" s="1"/>
  <c r="D333" i="11"/>
  <c r="CK163" i="7"/>
  <c r="CN163" i="7" s="1"/>
  <c r="I163" i="11" s="1"/>
  <c r="L487" i="3"/>
  <c r="AE459" i="2" s="1"/>
  <c r="M487" i="3"/>
  <c r="V460" i="2" s="1"/>
  <c r="AK460" i="2" s="1"/>
  <c r="O487" i="3"/>
  <c r="AF459" i="2"/>
  <c r="BA459" i="2"/>
  <c r="B489" i="3"/>
  <c r="F488" i="3"/>
  <c r="AX460" i="11" s="1"/>
  <c r="G488" i="3"/>
  <c r="O460" i="11" s="1"/>
  <c r="H488" i="3"/>
  <c r="AZ460" i="11" s="1"/>
  <c r="I488" i="3"/>
  <c r="J488" i="3"/>
  <c r="P460" i="11" s="1"/>
  <c r="K488" i="3"/>
  <c r="C488" i="3"/>
  <c r="E488" i="3" s="1"/>
  <c r="AL458" i="2"/>
  <c r="CV336" i="7"/>
  <c r="CX336" i="7" s="1"/>
  <c r="CV164" i="7"/>
  <c r="CX164" i="7" s="1"/>
  <c r="CC335" i="7"/>
  <c r="CS335" i="7"/>
  <c r="CU335" i="7" s="1"/>
  <c r="CY335" i="7" s="1"/>
  <c r="BB335" i="2"/>
  <c r="BH335" i="2" s="1"/>
  <c r="BI335" i="2" s="1"/>
  <c r="AD336" i="2"/>
  <c r="AL336" i="2" s="1"/>
  <c r="AZ336" i="2" s="1"/>
  <c r="AK336" i="2"/>
  <c r="BA336" i="2" s="1"/>
  <c r="AO337" i="11"/>
  <c r="BU337" i="7"/>
  <c r="AD337" i="11" s="1"/>
  <c r="D339" i="2"/>
  <c r="F338" i="2"/>
  <c r="AM335" i="2"/>
  <c r="AT335" i="2" s="1"/>
  <c r="AW335" i="2" s="1"/>
  <c r="F335" i="11" s="1"/>
  <c r="L192" i="9"/>
  <c r="BK164" i="7" s="1"/>
  <c r="CB164" i="7" s="1"/>
  <c r="M192" i="9"/>
  <c r="AR165" i="7" s="1"/>
  <c r="CA165" i="7" s="1"/>
  <c r="C193" i="9"/>
  <c r="E193" i="9" s="1"/>
  <c r="H193" i="9" s="1"/>
  <c r="BA165" i="11" s="1"/>
  <c r="F193" i="9"/>
  <c r="AY165" i="11" s="1"/>
  <c r="G193" i="9"/>
  <c r="Q165" i="11" s="1"/>
  <c r="M366" i="9"/>
  <c r="AR339" i="7" s="1"/>
  <c r="CA339" i="7" s="1"/>
  <c r="L366" i="9"/>
  <c r="BK338" i="7" s="1"/>
  <c r="I367" i="9"/>
  <c r="H367" i="9"/>
  <c r="BA339" i="11" s="1"/>
  <c r="C367" i="9"/>
  <c r="E367" i="9" s="1"/>
  <c r="B368" i="9"/>
  <c r="G367" i="9"/>
  <c r="Q339" i="11" s="1"/>
  <c r="F367" i="9"/>
  <c r="AY339" i="11" s="1"/>
  <c r="K367" i="9"/>
  <c r="J367" i="9"/>
  <c r="R339" i="11" s="1"/>
  <c r="AT457" i="2" l="1"/>
  <c r="AW457" i="2" s="1"/>
  <c r="F457" i="11" s="1"/>
  <c r="W338" i="11"/>
  <c r="U338" i="2"/>
  <c r="AW337" i="11"/>
  <c r="CG460" i="11"/>
  <c r="AS55" i="20" s="1"/>
  <c r="BD458" i="2"/>
  <c r="BF458" i="2" s="1"/>
  <c r="BG458" i="2" s="1"/>
  <c r="O367" i="9"/>
  <c r="BL339" i="7"/>
  <c r="AP459" i="2"/>
  <c r="BD459" i="2" s="1"/>
  <c r="BF459" i="2" s="1"/>
  <c r="BG459" i="2" s="1"/>
  <c r="AE460" i="2"/>
  <c r="CI460" i="11"/>
  <c r="AS75" i="20" s="1"/>
  <c r="CQ334" i="7"/>
  <c r="D334" i="11"/>
  <c r="CF337" i="7"/>
  <c r="CH337" i="7" s="1"/>
  <c r="CI337" i="7" s="1"/>
  <c r="CB337" i="7"/>
  <c r="CK335" i="7"/>
  <c r="CN335" i="7" s="1"/>
  <c r="I335" i="11" s="1"/>
  <c r="L335" i="11" s="1"/>
  <c r="CQ163" i="7"/>
  <c r="BA460" i="2"/>
  <c r="O488" i="3"/>
  <c r="AF460" i="2"/>
  <c r="AL459" i="2"/>
  <c r="AZ458" i="2"/>
  <c r="BB458" i="2" s="1"/>
  <c r="AM458" i="2"/>
  <c r="AT458" i="2" s="1"/>
  <c r="AW458" i="2" s="1"/>
  <c r="F458" i="11" s="1"/>
  <c r="B490" i="3"/>
  <c r="G489" i="3"/>
  <c r="O461" i="11" s="1"/>
  <c r="H489" i="3"/>
  <c r="AZ461" i="11" s="1"/>
  <c r="I489" i="3"/>
  <c r="J489" i="3"/>
  <c r="P461" i="11" s="1"/>
  <c r="K489" i="3"/>
  <c r="C489" i="3"/>
  <c r="E489" i="3" s="1"/>
  <c r="F489" i="3"/>
  <c r="AX461" i="11" s="1"/>
  <c r="L488" i="3"/>
  <c r="M488" i="3"/>
  <c r="V461" i="2" s="1"/>
  <c r="AK461" i="2" s="1"/>
  <c r="CV337" i="7"/>
  <c r="CX337" i="7" s="1"/>
  <c r="CC336" i="7"/>
  <c r="CS336" i="7"/>
  <c r="CU336" i="7" s="1"/>
  <c r="CY336" i="7" s="1"/>
  <c r="CC164" i="7"/>
  <c r="CS164" i="7"/>
  <c r="CU164" i="7" s="1"/>
  <c r="CY164" i="7" s="1"/>
  <c r="CZ164" i="7" s="1"/>
  <c r="BB336" i="2"/>
  <c r="BH336" i="2" s="1"/>
  <c r="BI336" i="2" s="1"/>
  <c r="AM336" i="2"/>
  <c r="AT336" i="2" s="1"/>
  <c r="AD337" i="2"/>
  <c r="AL337" i="2" s="1"/>
  <c r="AZ337" i="2" s="1"/>
  <c r="AK337" i="2"/>
  <c r="BA337" i="2" s="1"/>
  <c r="AO338" i="11"/>
  <c r="BU338" i="7"/>
  <c r="AD338" i="11" s="1"/>
  <c r="D340" i="2"/>
  <c r="F339" i="2"/>
  <c r="K193" i="9"/>
  <c r="J193" i="9"/>
  <c r="R165" i="11" s="1"/>
  <c r="I193" i="9"/>
  <c r="BL165" i="7"/>
  <c r="O193" i="9"/>
  <c r="I368" i="9"/>
  <c r="H368" i="9"/>
  <c r="BA340" i="11" s="1"/>
  <c r="C368" i="9"/>
  <c r="E368" i="9" s="1"/>
  <c r="K368" i="9"/>
  <c r="J368" i="9"/>
  <c r="R340" i="11" s="1"/>
  <c r="B369" i="9"/>
  <c r="G368" i="9"/>
  <c r="Q340" i="11" s="1"/>
  <c r="F368" i="9"/>
  <c r="AY340" i="11" s="1"/>
  <c r="M367" i="9"/>
  <c r="AR340" i="7" s="1"/>
  <c r="CA340" i="7" s="1"/>
  <c r="L367" i="9"/>
  <c r="BK339" i="7" s="1"/>
  <c r="BH458" i="2" l="1"/>
  <c r="BI458" i="2" s="1"/>
  <c r="W339" i="11"/>
  <c r="U339" i="2"/>
  <c r="AW338" i="11"/>
  <c r="CH340" i="11"/>
  <c r="AI56" i="20" s="1"/>
  <c r="AI57" i="20" s="1"/>
  <c r="CJ340" i="11"/>
  <c r="AI76" i="20" s="1"/>
  <c r="AI77" i="20" s="1"/>
  <c r="AI78" i="20" s="1"/>
  <c r="AR459" i="2"/>
  <c r="AS459" i="2" s="1"/>
  <c r="O368" i="9"/>
  <c r="BL340" i="7"/>
  <c r="AP460" i="2"/>
  <c r="BD460" i="2" s="1"/>
  <c r="BF460" i="2" s="1"/>
  <c r="BG460" i="2" s="1"/>
  <c r="CF165" i="7"/>
  <c r="CH165" i="7" s="1"/>
  <c r="CI165" i="7" s="1"/>
  <c r="CB338" i="7"/>
  <c r="CF338" i="7"/>
  <c r="CH338" i="7" s="1"/>
  <c r="CI338" i="7" s="1"/>
  <c r="D335" i="11"/>
  <c r="CQ335" i="7"/>
  <c r="CK336" i="7"/>
  <c r="CQ336" i="7" s="1"/>
  <c r="CK164" i="7"/>
  <c r="CN164" i="7" s="1"/>
  <c r="I164" i="11" s="1"/>
  <c r="L489" i="3"/>
  <c r="AE461" i="2" s="1"/>
  <c r="M489" i="3"/>
  <c r="V462" i="2" s="1"/>
  <c r="AK462" i="2" s="1"/>
  <c r="AZ459" i="2"/>
  <c r="BB459" i="2" s="1"/>
  <c r="BH459" i="2" s="1"/>
  <c r="BI459" i="2" s="1"/>
  <c r="AM459" i="2"/>
  <c r="BA461" i="2"/>
  <c r="B491" i="3"/>
  <c r="G490" i="3"/>
  <c r="O462" i="11" s="1"/>
  <c r="H490" i="3"/>
  <c r="AZ462" i="11" s="1"/>
  <c r="I490" i="3"/>
  <c r="J490" i="3"/>
  <c r="P462" i="11" s="1"/>
  <c r="K490" i="3"/>
  <c r="C490" i="3"/>
  <c r="E490" i="3" s="1"/>
  <c r="F490" i="3"/>
  <c r="AX462" i="11" s="1"/>
  <c r="AL460" i="2"/>
  <c r="O489" i="3"/>
  <c r="AF461" i="2"/>
  <c r="CV338" i="7"/>
  <c r="CX338" i="7" s="1"/>
  <c r="CV165" i="7"/>
  <c r="CX165" i="7" s="1"/>
  <c r="CC337" i="7"/>
  <c r="CS337" i="7"/>
  <c r="CU337" i="7" s="1"/>
  <c r="CY337" i="7" s="1"/>
  <c r="BB337" i="2"/>
  <c r="BH337" i="2" s="1"/>
  <c r="BI337" i="2" s="1"/>
  <c r="AM337" i="2"/>
  <c r="AT337" i="2" s="1"/>
  <c r="AW337" i="2" s="1"/>
  <c r="F337" i="11" s="1"/>
  <c r="AW336" i="2"/>
  <c r="F336" i="11" s="1"/>
  <c r="D341" i="2"/>
  <c r="V48" i="5"/>
  <c r="W48" i="5" s="1"/>
  <c r="F340" i="2"/>
  <c r="AD338" i="2"/>
  <c r="AL338" i="2" s="1"/>
  <c r="AZ338" i="2" s="1"/>
  <c r="AK338" i="2"/>
  <c r="BA338" i="2" s="1"/>
  <c r="AO339" i="11"/>
  <c r="BU339" i="7"/>
  <c r="AD339" i="11" s="1"/>
  <c r="C194" i="9"/>
  <c r="E194" i="9" s="1"/>
  <c r="G194" i="9"/>
  <c r="Q166" i="11" s="1"/>
  <c r="F194" i="9"/>
  <c r="AY166" i="11" s="1"/>
  <c r="H194" i="9"/>
  <c r="BA166" i="11" s="1"/>
  <c r="M193" i="9"/>
  <c r="AR166" i="7" s="1"/>
  <c r="CA166" i="7" s="1"/>
  <c r="L193" i="9"/>
  <c r="BK165" i="7" s="1"/>
  <c r="CB165" i="7" s="1"/>
  <c r="M368" i="9"/>
  <c r="AR341" i="7" s="1"/>
  <c r="CA341" i="7" s="1"/>
  <c r="L368" i="9"/>
  <c r="BK340" i="7" s="1"/>
  <c r="I369" i="9"/>
  <c r="H369" i="9"/>
  <c r="BA341" i="11" s="1"/>
  <c r="C369" i="9"/>
  <c r="E369" i="9" s="1"/>
  <c r="B370" i="9"/>
  <c r="G369" i="9"/>
  <c r="Q341" i="11" s="1"/>
  <c r="F369" i="9"/>
  <c r="AY341" i="11" s="1"/>
  <c r="K369" i="9"/>
  <c r="J369" i="9"/>
  <c r="R341" i="11" s="1"/>
  <c r="W340" i="11" l="1"/>
  <c r="BF340" i="11" s="1"/>
  <c r="AI35" i="20" s="1"/>
  <c r="U340" i="2"/>
  <c r="AT459" i="2"/>
  <c r="AW459" i="2" s="1"/>
  <c r="F459" i="11" s="1"/>
  <c r="AW339" i="11"/>
  <c r="AR460" i="2"/>
  <c r="AS460" i="2" s="1"/>
  <c r="O369" i="9"/>
  <c r="BL341" i="7"/>
  <c r="AP461" i="2"/>
  <c r="BD461" i="2" s="1"/>
  <c r="BF461" i="2" s="1"/>
  <c r="BG461" i="2" s="1"/>
  <c r="CN336" i="7"/>
  <c r="I336" i="11" s="1"/>
  <c r="L336" i="11" s="1"/>
  <c r="D336" i="11"/>
  <c r="CF339" i="7"/>
  <c r="CH339" i="7" s="1"/>
  <c r="CI339" i="7" s="1"/>
  <c r="CB339" i="7"/>
  <c r="CK337" i="7"/>
  <c r="CN337" i="7" s="1"/>
  <c r="I337" i="11" s="1"/>
  <c r="L337" i="11" s="1"/>
  <c r="CQ164" i="7"/>
  <c r="M490" i="3"/>
  <c r="V463" i="2" s="1"/>
  <c r="AK463" i="2" s="1"/>
  <c r="L490" i="3"/>
  <c r="AE462" i="2" s="1"/>
  <c r="AL461" i="2"/>
  <c r="AZ460" i="2"/>
  <c r="BB460" i="2" s="1"/>
  <c r="BH460" i="2" s="1"/>
  <c r="BI460" i="2" s="1"/>
  <c r="AM460" i="2"/>
  <c r="B492" i="3"/>
  <c r="H491" i="3"/>
  <c r="AZ463" i="11" s="1"/>
  <c r="I491" i="3"/>
  <c r="J491" i="3"/>
  <c r="P463" i="11" s="1"/>
  <c r="K491" i="3"/>
  <c r="C491" i="3"/>
  <c r="E491" i="3" s="1"/>
  <c r="F491" i="3"/>
  <c r="AX463" i="11" s="1"/>
  <c r="G491" i="3"/>
  <c r="O463" i="11" s="1"/>
  <c r="O490" i="3"/>
  <c r="AF462" i="2"/>
  <c r="BA462" i="2"/>
  <c r="CV339" i="7"/>
  <c r="CX339" i="7" s="1"/>
  <c r="CC165" i="7"/>
  <c r="CS165" i="7"/>
  <c r="CU165" i="7" s="1"/>
  <c r="CY165" i="7" s="1"/>
  <c r="CZ165" i="7" s="1"/>
  <c r="CC338" i="7"/>
  <c r="CS338" i="7"/>
  <c r="CU338" i="7" s="1"/>
  <c r="CY338" i="7" s="1"/>
  <c r="BB338" i="2"/>
  <c r="BH338" i="2" s="1"/>
  <c r="BI338" i="2" s="1"/>
  <c r="AM338" i="2"/>
  <c r="AT338" i="2" s="1"/>
  <c r="AD339" i="2"/>
  <c r="AL339" i="2" s="1"/>
  <c r="AZ339" i="2" s="1"/>
  <c r="AK339" i="2"/>
  <c r="BA339" i="2" s="1"/>
  <c r="BU340" i="7"/>
  <c r="AW340" i="11" s="1"/>
  <c r="D342" i="2"/>
  <c r="F341" i="2"/>
  <c r="J194" i="9"/>
  <c r="R166" i="11" s="1"/>
  <c r="BL166" i="7"/>
  <c r="O194" i="9"/>
  <c r="K194" i="9"/>
  <c r="I194" i="9"/>
  <c r="M369" i="9"/>
  <c r="AR342" i="7" s="1"/>
  <c r="CA342" i="7" s="1"/>
  <c r="L369" i="9"/>
  <c r="BK341" i="7" s="1"/>
  <c r="I370" i="9"/>
  <c r="H370" i="9"/>
  <c r="BA342" i="11" s="1"/>
  <c r="C370" i="9"/>
  <c r="E370" i="9" s="1"/>
  <c r="K370" i="9"/>
  <c r="J370" i="9"/>
  <c r="R342" i="11" s="1"/>
  <c r="B371" i="9"/>
  <c r="G370" i="9"/>
  <c r="Q342" i="11" s="1"/>
  <c r="F370" i="9"/>
  <c r="AY342" i="11" s="1"/>
  <c r="W341" i="11" l="1"/>
  <c r="U341" i="2"/>
  <c r="AO341" i="11" s="1"/>
  <c r="AT460" i="2"/>
  <c r="AW460" i="2" s="1"/>
  <c r="F460" i="11" s="1"/>
  <c r="AD340" i="11"/>
  <c r="BM340" i="11" s="1"/>
  <c r="AI14" i="20" s="1"/>
  <c r="AI15" i="20" s="1"/>
  <c r="AI19" i="20" s="1"/>
  <c r="AI67" i="20" s="1"/>
  <c r="AO340" i="11"/>
  <c r="BX340" i="11" s="1"/>
  <c r="AI36" i="20" s="1"/>
  <c r="AI40" i="20" s="1"/>
  <c r="AI41" i="20" s="1"/>
  <c r="CF340" i="11"/>
  <c r="AI51" i="20" s="1"/>
  <c r="AI52" i="20" s="1"/>
  <c r="AI53" i="20" s="1"/>
  <c r="AI58" i="20" s="1"/>
  <c r="AR461" i="2"/>
  <c r="AS461" i="2" s="1"/>
  <c r="O370" i="9"/>
  <c r="BL342" i="7"/>
  <c r="AP462" i="2"/>
  <c r="BD462" i="2" s="1"/>
  <c r="BF462" i="2" s="1"/>
  <c r="BG462" i="2" s="1"/>
  <c r="CF166" i="7"/>
  <c r="CH166" i="7" s="1"/>
  <c r="CI166" i="7" s="1"/>
  <c r="D337" i="11"/>
  <c r="CF340" i="7"/>
  <c r="CH340" i="7" s="1"/>
  <c r="CI340" i="7" s="1"/>
  <c r="CB340" i="7"/>
  <c r="CK338" i="7"/>
  <c r="CN338" i="7" s="1"/>
  <c r="I338" i="11" s="1"/>
  <c r="CQ337" i="7"/>
  <c r="CK165" i="7"/>
  <c r="CQ165" i="7" s="1"/>
  <c r="O491" i="3"/>
  <c r="AF463" i="2"/>
  <c r="AZ461" i="2"/>
  <c r="BB461" i="2" s="1"/>
  <c r="BH461" i="2" s="1"/>
  <c r="BI461" i="2" s="1"/>
  <c r="AM461" i="2"/>
  <c r="M491" i="3"/>
  <c r="V464" i="2" s="1"/>
  <c r="AK464" i="2" s="1"/>
  <c r="L491" i="3"/>
  <c r="AE463" i="2" s="1"/>
  <c r="AL462" i="2"/>
  <c r="B493" i="3"/>
  <c r="H492" i="3"/>
  <c r="AZ464" i="11" s="1"/>
  <c r="I492" i="3"/>
  <c r="J492" i="3"/>
  <c r="P464" i="11" s="1"/>
  <c r="K492" i="3"/>
  <c r="C492" i="3"/>
  <c r="E492" i="3" s="1"/>
  <c r="F492" i="3"/>
  <c r="AX464" i="11" s="1"/>
  <c r="G492" i="3"/>
  <c r="O464" i="11" s="1"/>
  <c r="BA463" i="2"/>
  <c r="CV340" i="7"/>
  <c r="CX340" i="7" s="1"/>
  <c r="CV166" i="7"/>
  <c r="CX166" i="7" s="1"/>
  <c r="CC339" i="7"/>
  <c r="CS339" i="7"/>
  <c r="CU339" i="7" s="1"/>
  <c r="CY339" i="7" s="1"/>
  <c r="BB339" i="2"/>
  <c r="BH339" i="2" s="1"/>
  <c r="BI339" i="2" s="1"/>
  <c r="AM339" i="2"/>
  <c r="AT339" i="2" s="1"/>
  <c r="AW339" i="2" s="1"/>
  <c r="F339" i="11" s="1"/>
  <c r="AD340" i="2"/>
  <c r="AL340" i="2" s="1"/>
  <c r="AZ340" i="2" s="1"/>
  <c r="AK340" i="2"/>
  <c r="BA340" i="2" s="1"/>
  <c r="BU341" i="7"/>
  <c r="AD341" i="11" s="1"/>
  <c r="AW338" i="2"/>
  <c r="F338" i="11" s="1"/>
  <c r="D343" i="2"/>
  <c r="F342" i="2"/>
  <c r="L194" i="9"/>
  <c r="BK166" i="7" s="1"/>
  <c r="CB166" i="7" s="1"/>
  <c r="M194" i="9"/>
  <c r="AR167" i="7" s="1"/>
  <c r="CA167" i="7" s="1"/>
  <c r="C195" i="9"/>
  <c r="E195" i="9" s="1"/>
  <c r="G195" i="9"/>
  <c r="Q167" i="11" s="1"/>
  <c r="F195" i="9"/>
  <c r="AY167" i="11" s="1"/>
  <c r="H195" i="9"/>
  <c r="BA167" i="11" s="1"/>
  <c r="M370" i="9"/>
  <c r="AR343" i="7" s="1"/>
  <c r="CA343" i="7" s="1"/>
  <c r="L370" i="9"/>
  <c r="BK342" i="7" s="1"/>
  <c r="I371" i="9"/>
  <c r="H371" i="9"/>
  <c r="BA343" i="11" s="1"/>
  <c r="C371" i="9"/>
  <c r="E371" i="9" s="1"/>
  <c r="B372" i="9"/>
  <c r="G371" i="9"/>
  <c r="Q343" i="11" s="1"/>
  <c r="F371" i="9"/>
  <c r="AY343" i="11" s="1"/>
  <c r="K371" i="9"/>
  <c r="J371" i="9"/>
  <c r="R343" i="11" s="1"/>
  <c r="W342" i="11" l="1"/>
  <c r="U342" i="2"/>
  <c r="AO342" i="11" s="1"/>
  <c r="AW341" i="11"/>
  <c r="AT461" i="2"/>
  <c r="AW461" i="2" s="1"/>
  <c r="F461" i="11" s="1"/>
  <c r="AI42" i="20"/>
  <c r="AI59" i="20" s="1"/>
  <c r="AR462" i="2"/>
  <c r="AS462" i="2" s="1"/>
  <c r="AI68" i="20"/>
  <c r="AI69" i="20" s="1"/>
  <c r="AI79" i="20" s="1"/>
  <c r="AI81" i="20" s="1"/>
  <c r="O371" i="9"/>
  <c r="BL343" i="7"/>
  <c r="AP463" i="2"/>
  <c r="AR463" i="2" s="1"/>
  <c r="AS463" i="2" s="1"/>
  <c r="AE464" i="2"/>
  <c r="D338" i="11"/>
  <c r="AL463" i="2"/>
  <c r="AZ463" i="2" s="1"/>
  <c r="BB463" i="2" s="1"/>
  <c r="CQ338" i="7"/>
  <c r="CB341" i="7"/>
  <c r="CF341" i="7"/>
  <c r="CH341" i="7" s="1"/>
  <c r="CI341" i="7" s="1"/>
  <c r="CK339" i="7"/>
  <c r="CQ339" i="7" s="1"/>
  <c r="L338" i="11"/>
  <c r="CN165" i="7"/>
  <c r="I165" i="11" s="1"/>
  <c r="BA464" i="2"/>
  <c r="AZ462" i="2"/>
  <c r="BB462" i="2" s="1"/>
  <c r="BH462" i="2" s="1"/>
  <c r="BI462" i="2" s="1"/>
  <c r="AM462" i="2"/>
  <c r="B494" i="3"/>
  <c r="H493" i="3"/>
  <c r="AZ465" i="11" s="1"/>
  <c r="I493" i="3"/>
  <c r="J493" i="3"/>
  <c r="P465" i="11" s="1"/>
  <c r="K493" i="3"/>
  <c r="C493" i="3"/>
  <c r="E493" i="3" s="1"/>
  <c r="F493" i="3"/>
  <c r="AX465" i="11" s="1"/>
  <c r="G493" i="3"/>
  <c r="O465" i="11" s="1"/>
  <c r="M492" i="3"/>
  <c r="V465" i="2" s="1"/>
  <c r="AK465" i="2" s="1"/>
  <c r="L492" i="3"/>
  <c r="O492" i="3"/>
  <c r="AF464" i="2"/>
  <c r="CV341" i="7"/>
  <c r="CX341" i="7" s="1"/>
  <c r="CC340" i="7"/>
  <c r="CS340" i="7"/>
  <c r="CU340" i="7" s="1"/>
  <c r="CY340" i="7" s="1"/>
  <c r="CC166" i="7"/>
  <c r="CS166" i="7"/>
  <c r="CU166" i="7" s="1"/>
  <c r="CY166" i="7" s="1"/>
  <c r="CZ166" i="7" s="1"/>
  <c r="BB340" i="2"/>
  <c r="BH340" i="2" s="1"/>
  <c r="BI340" i="2" s="1"/>
  <c r="D344" i="2"/>
  <c r="F343" i="2"/>
  <c r="AM340" i="2"/>
  <c r="AT340" i="2" s="1"/>
  <c r="BU342" i="7"/>
  <c r="AD342" i="11" s="1"/>
  <c r="AD341" i="2"/>
  <c r="AL341" i="2" s="1"/>
  <c r="AZ341" i="2" s="1"/>
  <c r="AK341" i="2"/>
  <c r="BA341" i="2" s="1"/>
  <c r="K195" i="9"/>
  <c r="BL167" i="7"/>
  <c r="O195" i="9"/>
  <c r="J195" i="9"/>
  <c r="R167" i="11" s="1"/>
  <c r="I195" i="9"/>
  <c r="I372" i="9"/>
  <c r="H372" i="9"/>
  <c r="BA344" i="11" s="1"/>
  <c r="C372" i="9"/>
  <c r="E372" i="9" s="1"/>
  <c r="K372" i="9"/>
  <c r="J372" i="9"/>
  <c r="R344" i="11" s="1"/>
  <c r="B373" i="9"/>
  <c r="G372" i="9"/>
  <c r="Q344" i="11" s="1"/>
  <c r="F372" i="9"/>
  <c r="AY344" i="11" s="1"/>
  <c r="M371" i="9"/>
  <c r="AR344" i="7" s="1"/>
  <c r="CA344" i="7" s="1"/>
  <c r="L371" i="9"/>
  <c r="BK343" i="7" s="1"/>
  <c r="AT462" i="2" l="1"/>
  <c r="AW462" i="2" s="1"/>
  <c r="F462" i="11" s="1"/>
  <c r="W343" i="11"/>
  <c r="U343" i="2"/>
  <c r="AW342" i="11"/>
  <c r="BD463" i="2"/>
  <c r="BF463" i="2" s="1"/>
  <c r="BG463" i="2" s="1"/>
  <c r="BH463" i="2" s="1"/>
  <c r="BI463" i="2" s="1"/>
  <c r="O372" i="9"/>
  <c r="BL344" i="7"/>
  <c r="AP464" i="2"/>
  <c r="BD464" i="2" s="1"/>
  <c r="BF464" i="2" s="1"/>
  <c r="BG464" i="2" s="1"/>
  <c r="AE465" i="2"/>
  <c r="AM463" i="2"/>
  <c r="AT463" i="2" s="1"/>
  <c r="AW463" i="2" s="1"/>
  <c r="F463" i="11" s="1"/>
  <c r="CF167" i="7"/>
  <c r="CH167" i="7" s="1"/>
  <c r="CI167" i="7" s="1"/>
  <c r="D339" i="11"/>
  <c r="CB342" i="7"/>
  <c r="CF342" i="7"/>
  <c r="CH342" i="7" s="1"/>
  <c r="CI342" i="7" s="1"/>
  <c r="CK340" i="7"/>
  <c r="CN340" i="7" s="1"/>
  <c r="I340" i="11" s="1"/>
  <c r="CN339" i="7"/>
  <c r="I339" i="11" s="1"/>
  <c r="L339" i="11" s="1"/>
  <c r="CK166" i="7"/>
  <c r="CQ166" i="7" s="1"/>
  <c r="BA465" i="2"/>
  <c r="B495" i="3"/>
  <c r="I494" i="3"/>
  <c r="J494" i="3"/>
  <c r="P466" i="11" s="1"/>
  <c r="K494" i="3"/>
  <c r="C494" i="3"/>
  <c r="E494" i="3" s="1"/>
  <c r="F494" i="3"/>
  <c r="AX466" i="11" s="1"/>
  <c r="G494" i="3"/>
  <c r="O466" i="11" s="1"/>
  <c r="H494" i="3"/>
  <c r="AZ466" i="11" s="1"/>
  <c r="O493" i="3"/>
  <c r="AF465" i="2"/>
  <c r="AL464" i="2"/>
  <c r="M493" i="3"/>
  <c r="V466" i="2" s="1"/>
  <c r="AK466" i="2" s="1"/>
  <c r="L493" i="3"/>
  <c r="CV342" i="7"/>
  <c r="CX342" i="7" s="1"/>
  <c r="CV167" i="7"/>
  <c r="CX167" i="7" s="1"/>
  <c r="CC341" i="7"/>
  <c r="CS341" i="7"/>
  <c r="CU341" i="7" s="1"/>
  <c r="CY341" i="7" s="1"/>
  <c r="BB341" i="2"/>
  <c r="BH341" i="2" s="1"/>
  <c r="BI341" i="2" s="1"/>
  <c r="AW340" i="2"/>
  <c r="F340" i="11" s="1"/>
  <c r="AM341" i="2"/>
  <c r="AT341" i="2" s="1"/>
  <c r="AO343" i="11"/>
  <c r="BU343" i="7"/>
  <c r="AD343" i="11" s="1"/>
  <c r="AD342" i="2"/>
  <c r="AL342" i="2" s="1"/>
  <c r="AZ342" i="2" s="1"/>
  <c r="AK342" i="2"/>
  <c r="BA342" i="2" s="1"/>
  <c r="D345" i="2"/>
  <c r="F344" i="2"/>
  <c r="C196" i="9"/>
  <c r="E196" i="9" s="1"/>
  <c r="H196" i="9" s="1"/>
  <c r="BA168" i="11" s="1"/>
  <c r="G196" i="9"/>
  <c r="Q168" i="11" s="1"/>
  <c r="F196" i="9"/>
  <c r="AY168" i="11" s="1"/>
  <c r="L195" i="9"/>
  <c r="BK167" i="7" s="1"/>
  <c r="CB167" i="7" s="1"/>
  <c r="M195" i="9"/>
  <c r="AR168" i="7" s="1"/>
  <c r="CA168" i="7" s="1"/>
  <c r="I373" i="9"/>
  <c r="H373" i="9"/>
  <c r="BA345" i="11" s="1"/>
  <c r="C373" i="9"/>
  <c r="E373" i="9" s="1"/>
  <c r="B374" i="9"/>
  <c r="G373" i="9"/>
  <c r="Q345" i="11" s="1"/>
  <c r="F373" i="9"/>
  <c r="AY345" i="11" s="1"/>
  <c r="K373" i="9"/>
  <c r="J373" i="9"/>
  <c r="R345" i="11" s="1"/>
  <c r="M372" i="9"/>
  <c r="AR345" i="7" s="1"/>
  <c r="CA345" i="7" s="1"/>
  <c r="L372" i="9"/>
  <c r="BK344" i="7" s="1"/>
  <c r="W344" i="11" l="1"/>
  <c r="U344" i="2"/>
  <c r="AW343" i="11"/>
  <c r="AR464" i="2"/>
  <c r="AS464" i="2" s="1"/>
  <c r="O373" i="9"/>
  <c r="BL345" i="7"/>
  <c r="AP465" i="2"/>
  <c r="AR465" i="2" s="1"/>
  <c r="AS465" i="2" s="1"/>
  <c r="CQ340" i="7"/>
  <c r="D340" i="11"/>
  <c r="CB343" i="7"/>
  <c r="CF343" i="7"/>
  <c r="CH343" i="7" s="1"/>
  <c r="CI343" i="7" s="1"/>
  <c r="CK341" i="7"/>
  <c r="CN341" i="7" s="1"/>
  <c r="I341" i="11" s="1"/>
  <c r="L340" i="11"/>
  <c r="CN166" i="7"/>
  <c r="I166" i="11" s="1"/>
  <c r="M494" i="3"/>
  <c r="V467" i="2" s="1"/>
  <c r="AK467" i="2" s="1"/>
  <c r="L494" i="3"/>
  <c r="AE466" i="2" s="1"/>
  <c r="B496" i="3"/>
  <c r="I495" i="3"/>
  <c r="J495" i="3"/>
  <c r="P467" i="11" s="1"/>
  <c r="K495" i="3"/>
  <c r="C495" i="3"/>
  <c r="E495" i="3" s="1"/>
  <c r="F495" i="3"/>
  <c r="AX467" i="11" s="1"/>
  <c r="G495" i="3"/>
  <c r="O467" i="11" s="1"/>
  <c r="H495" i="3"/>
  <c r="AZ467" i="11" s="1"/>
  <c r="AZ464" i="2"/>
  <c r="BB464" i="2" s="1"/>
  <c r="BH464" i="2" s="1"/>
  <c r="BI464" i="2" s="1"/>
  <c r="AM464" i="2"/>
  <c r="BA466" i="2"/>
  <c r="O494" i="3"/>
  <c r="AF466" i="2"/>
  <c r="AL465" i="2"/>
  <c r="CV343" i="7"/>
  <c r="CX343" i="7" s="1"/>
  <c r="CC342" i="7"/>
  <c r="CS342" i="7"/>
  <c r="CU342" i="7" s="1"/>
  <c r="CY342" i="7" s="1"/>
  <c r="CC167" i="7"/>
  <c r="CS167" i="7"/>
  <c r="CU167" i="7" s="1"/>
  <c r="CY167" i="7" s="1"/>
  <c r="CZ167" i="7" s="1"/>
  <c r="BB342" i="2"/>
  <c r="BH342" i="2" s="1"/>
  <c r="BI342" i="2" s="1"/>
  <c r="AM342" i="2"/>
  <c r="AT342" i="2" s="1"/>
  <c r="AW342" i="2" s="1"/>
  <c r="F342" i="11" s="1"/>
  <c r="AW341" i="2"/>
  <c r="F341" i="11" s="1"/>
  <c r="AO344" i="11"/>
  <c r="BU344" i="7"/>
  <c r="AD344" i="11" s="1"/>
  <c r="AD343" i="2"/>
  <c r="AL343" i="2" s="1"/>
  <c r="AZ343" i="2" s="1"/>
  <c r="AK343" i="2"/>
  <c r="BA343" i="2" s="1"/>
  <c r="D346" i="2"/>
  <c r="F345" i="2"/>
  <c r="K196" i="9"/>
  <c r="I196" i="9"/>
  <c r="J196" i="9"/>
  <c r="R168" i="11" s="1"/>
  <c r="BL168" i="7"/>
  <c r="O196" i="9"/>
  <c r="I374" i="9"/>
  <c r="H374" i="9"/>
  <c r="BA346" i="11" s="1"/>
  <c r="C374" i="9"/>
  <c r="E374" i="9" s="1"/>
  <c r="K374" i="9"/>
  <c r="J374" i="9"/>
  <c r="R346" i="11" s="1"/>
  <c r="B375" i="9"/>
  <c r="G374" i="9"/>
  <c r="Q346" i="11" s="1"/>
  <c r="F374" i="9"/>
  <c r="AY346" i="11" s="1"/>
  <c r="M373" i="9"/>
  <c r="AR346" i="7" s="1"/>
  <c r="CA346" i="7" s="1"/>
  <c r="L373" i="9"/>
  <c r="BK345" i="7" s="1"/>
  <c r="W345" i="11" l="1"/>
  <c r="U345" i="2"/>
  <c r="AW344" i="11"/>
  <c r="AT464" i="2"/>
  <c r="AW464" i="2" s="1"/>
  <c r="F464" i="11" s="1"/>
  <c r="BD465" i="2"/>
  <c r="BF465" i="2" s="1"/>
  <c r="BG465" i="2" s="1"/>
  <c r="O374" i="9"/>
  <c r="BL346" i="7"/>
  <c r="AE467" i="2"/>
  <c r="AP466" i="2"/>
  <c r="BD466" i="2" s="1"/>
  <c r="BF466" i="2" s="1"/>
  <c r="BG466" i="2" s="1"/>
  <c r="CF168" i="7"/>
  <c r="CH168" i="7" s="1"/>
  <c r="CI168" i="7" s="1"/>
  <c r="CF344" i="7"/>
  <c r="CH344" i="7" s="1"/>
  <c r="CI344" i="7" s="1"/>
  <c r="CB344" i="7"/>
  <c r="L341" i="11"/>
  <c r="CK342" i="7"/>
  <c r="CQ342" i="7" s="1"/>
  <c r="D341" i="11"/>
  <c r="CQ341" i="7"/>
  <c r="CK167" i="7"/>
  <c r="CQ167" i="7" s="1"/>
  <c r="L495" i="3"/>
  <c r="M495" i="3"/>
  <c r="V468" i="2" s="1"/>
  <c r="AK468" i="2" s="1"/>
  <c r="AL466" i="2"/>
  <c r="B497" i="3"/>
  <c r="J496" i="3"/>
  <c r="P468" i="11" s="1"/>
  <c r="K496" i="3"/>
  <c r="C496" i="3"/>
  <c r="E496" i="3" s="1"/>
  <c r="F496" i="3"/>
  <c r="AX468" i="11" s="1"/>
  <c r="G496" i="3"/>
  <c r="O468" i="11" s="1"/>
  <c r="H496" i="3"/>
  <c r="AZ468" i="11" s="1"/>
  <c r="I496" i="3"/>
  <c r="AZ465" i="2"/>
  <c r="BB465" i="2" s="1"/>
  <c r="AM465" i="2"/>
  <c r="AT465" i="2" s="1"/>
  <c r="AW465" i="2" s="1"/>
  <c r="F465" i="11" s="1"/>
  <c r="BA467" i="2"/>
  <c r="O495" i="3"/>
  <c r="AF467" i="2"/>
  <c r="CV344" i="7"/>
  <c r="CX344" i="7" s="1"/>
  <c r="CV168" i="7"/>
  <c r="CX168" i="7" s="1"/>
  <c r="CC343" i="7"/>
  <c r="CS343" i="7"/>
  <c r="CU343" i="7" s="1"/>
  <c r="CY343" i="7" s="1"/>
  <c r="BB343" i="2"/>
  <c r="BH343" i="2" s="1"/>
  <c r="BI343" i="2" s="1"/>
  <c r="AM343" i="2"/>
  <c r="AT343" i="2" s="1"/>
  <c r="AW343" i="2" s="1"/>
  <c r="F343" i="11" s="1"/>
  <c r="AD344" i="2"/>
  <c r="AL344" i="2" s="1"/>
  <c r="AZ344" i="2" s="1"/>
  <c r="AK344" i="2"/>
  <c r="BA344" i="2" s="1"/>
  <c r="AO345" i="11"/>
  <c r="BU345" i="7"/>
  <c r="AD345" i="11" s="1"/>
  <c r="D347" i="2"/>
  <c r="F346" i="2"/>
  <c r="F197" i="9"/>
  <c r="AY169" i="11" s="1"/>
  <c r="C197" i="9"/>
  <c r="E197" i="9" s="1"/>
  <c r="H197" i="9" s="1"/>
  <c r="BA169" i="11" s="1"/>
  <c r="M196" i="9"/>
  <c r="AR169" i="7" s="1"/>
  <c r="CA169" i="7" s="1"/>
  <c r="L196" i="9"/>
  <c r="BK168" i="7" s="1"/>
  <c r="CB168" i="7" s="1"/>
  <c r="M374" i="9"/>
  <c r="AR347" i="7" s="1"/>
  <c r="CA347" i="7" s="1"/>
  <c r="L374" i="9"/>
  <c r="BK346" i="7" s="1"/>
  <c r="I375" i="9"/>
  <c r="H375" i="9"/>
  <c r="BA347" i="11" s="1"/>
  <c r="C375" i="9"/>
  <c r="E375" i="9" s="1"/>
  <c r="B376" i="9"/>
  <c r="G375" i="9"/>
  <c r="Q347" i="11" s="1"/>
  <c r="F375" i="9"/>
  <c r="AY347" i="11" s="1"/>
  <c r="K375" i="9"/>
  <c r="J375" i="9"/>
  <c r="R347" i="11" s="1"/>
  <c r="BH465" i="2" l="1"/>
  <c r="BI465" i="2" s="1"/>
  <c r="W346" i="11"/>
  <c r="U346" i="2"/>
  <c r="AO346" i="11" s="1"/>
  <c r="AW345" i="11"/>
  <c r="AR466" i="2"/>
  <c r="AS466" i="2" s="1"/>
  <c r="O375" i="9"/>
  <c r="BL347" i="7"/>
  <c r="AP467" i="2"/>
  <c r="BD467" i="2" s="1"/>
  <c r="BF467" i="2" s="1"/>
  <c r="BG467" i="2" s="1"/>
  <c r="CB345" i="7"/>
  <c r="CF345" i="7"/>
  <c r="CH345" i="7" s="1"/>
  <c r="CI345" i="7" s="1"/>
  <c r="CK343" i="7"/>
  <c r="CQ343" i="7" s="1"/>
  <c r="CN167" i="7"/>
  <c r="I167" i="11" s="1"/>
  <c r="CN342" i="7"/>
  <c r="I342" i="11" s="1"/>
  <c r="L342" i="11" s="1"/>
  <c r="D342" i="11"/>
  <c r="O496" i="3"/>
  <c r="AF468" i="2"/>
  <c r="AL467" i="2"/>
  <c r="M496" i="3"/>
  <c r="V469" i="2" s="1"/>
  <c r="AK469" i="2" s="1"/>
  <c r="L496" i="3"/>
  <c r="AE468" i="2" s="1"/>
  <c r="B498" i="3"/>
  <c r="J497" i="3"/>
  <c r="P469" i="11" s="1"/>
  <c r="K497" i="3"/>
  <c r="C497" i="3"/>
  <c r="E497" i="3" s="1"/>
  <c r="F497" i="3"/>
  <c r="AX469" i="11" s="1"/>
  <c r="G497" i="3"/>
  <c r="O469" i="11" s="1"/>
  <c r="H497" i="3"/>
  <c r="AZ469" i="11" s="1"/>
  <c r="I497" i="3"/>
  <c r="AZ466" i="2"/>
  <c r="BB466" i="2" s="1"/>
  <c r="BH466" i="2" s="1"/>
  <c r="BI466" i="2" s="1"/>
  <c r="AM466" i="2"/>
  <c r="BA468" i="2"/>
  <c r="CV345" i="7"/>
  <c r="CX345" i="7" s="1"/>
  <c r="CC168" i="7"/>
  <c r="CS168" i="7"/>
  <c r="CU168" i="7" s="1"/>
  <c r="CY168" i="7" s="1"/>
  <c r="CZ168" i="7" s="1"/>
  <c r="CC344" i="7"/>
  <c r="CS344" i="7"/>
  <c r="CU344" i="7" s="1"/>
  <c r="CY344" i="7" s="1"/>
  <c r="BB344" i="2"/>
  <c r="BH344" i="2" s="1"/>
  <c r="BI344" i="2" s="1"/>
  <c r="AM344" i="2"/>
  <c r="AT344" i="2" s="1"/>
  <c r="AW344" i="2" s="1"/>
  <c r="F344" i="11" s="1"/>
  <c r="BU346" i="7"/>
  <c r="AD346" i="11" s="1"/>
  <c r="D348" i="2"/>
  <c r="F347" i="2"/>
  <c r="AD345" i="2"/>
  <c r="AL345" i="2" s="1"/>
  <c r="AZ345" i="2" s="1"/>
  <c r="AK345" i="2"/>
  <c r="BA345" i="2" s="1"/>
  <c r="K197" i="9"/>
  <c r="J197" i="9"/>
  <c r="R169" i="11" s="1"/>
  <c r="I197" i="9"/>
  <c r="BL169" i="7"/>
  <c r="O197" i="9"/>
  <c r="G197" i="9"/>
  <c r="Q169" i="11" s="1"/>
  <c r="I376" i="9"/>
  <c r="H376" i="9"/>
  <c r="BA348" i="11" s="1"/>
  <c r="C376" i="9"/>
  <c r="E376" i="9" s="1"/>
  <c r="K376" i="9"/>
  <c r="J376" i="9"/>
  <c r="R348" i="11" s="1"/>
  <c r="B377" i="9"/>
  <c r="G376" i="9"/>
  <c r="Q348" i="11" s="1"/>
  <c r="F376" i="9"/>
  <c r="AY348" i="11" s="1"/>
  <c r="M375" i="9"/>
  <c r="AR348" i="7" s="1"/>
  <c r="CA348" i="7" s="1"/>
  <c r="L375" i="9"/>
  <c r="BK347" i="7" s="1"/>
  <c r="AT466" i="2" l="1"/>
  <c r="AW466" i="2" s="1"/>
  <c r="F466" i="11" s="1"/>
  <c r="W347" i="11"/>
  <c r="U347" i="2"/>
  <c r="AW346" i="11"/>
  <c r="AR467" i="2"/>
  <c r="AS467" i="2" s="1"/>
  <c r="O376" i="9"/>
  <c r="BL348" i="7"/>
  <c r="AP468" i="2"/>
  <c r="BD468" i="2" s="1"/>
  <c r="BF468" i="2" s="1"/>
  <c r="BG468" i="2" s="1"/>
  <c r="CF169" i="7"/>
  <c r="CH169" i="7" s="1"/>
  <c r="CI169" i="7" s="1"/>
  <c r="AL468" i="2"/>
  <c r="AZ468" i="2" s="1"/>
  <c r="BB468" i="2" s="1"/>
  <c r="CN343" i="7"/>
  <c r="I343" i="11" s="1"/>
  <c r="L343" i="11" s="1"/>
  <c r="D343" i="11"/>
  <c r="CB346" i="7"/>
  <c r="CF346" i="7"/>
  <c r="CH346" i="7" s="1"/>
  <c r="CI346" i="7" s="1"/>
  <c r="CK344" i="7"/>
  <c r="CQ344" i="7" s="1"/>
  <c r="CK168" i="7"/>
  <c r="CQ168" i="7" s="1"/>
  <c r="B499" i="3"/>
  <c r="I498" i="3"/>
  <c r="J498" i="3"/>
  <c r="P470" i="11" s="1"/>
  <c r="K498" i="3"/>
  <c r="C498" i="3"/>
  <c r="E498" i="3" s="1"/>
  <c r="F498" i="3"/>
  <c r="AX470" i="11" s="1"/>
  <c r="G498" i="3"/>
  <c r="O470" i="11" s="1"/>
  <c r="H498" i="3"/>
  <c r="AZ470" i="11" s="1"/>
  <c r="O497" i="3"/>
  <c r="AF469" i="2"/>
  <c r="BA469" i="2"/>
  <c r="AZ467" i="2"/>
  <c r="BB467" i="2" s="1"/>
  <c r="BH467" i="2" s="1"/>
  <c r="BI467" i="2" s="1"/>
  <c r="AM467" i="2"/>
  <c r="L497" i="3"/>
  <c r="AE469" i="2" s="1"/>
  <c r="M497" i="3"/>
  <c r="V470" i="2" s="1"/>
  <c r="AK470" i="2" s="1"/>
  <c r="CV346" i="7"/>
  <c r="CX346" i="7" s="1"/>
  <c r="CV169" i="7"/>
  <c r="CX169" i="7" s="1"/>
  <c r="CC345" i="7"/>
  <c r="CS345" i="7"/>
  <c r="CU345" i="7" s="1"/>
  <c r="CY345" i="7" s="1"/>
  <c r="BB345" i="2"/>
  <c r="BH345" i="2" s="1"/>
  <c r="BI345" i="2" s="1"/>
  <c r="AM345" i="2"/>
  <c r="AT345" i="2" s="1"/>
  <c r="AW345" i="2" s="1"/>
  <c r="F345" i="11" s="1"/>
  <c r="AO347" i="11"/>
  <c r="BU347" i="7"/>
  <c r="AD347" i="11" s="1"/>
  <c r="D349" i="2"/>
  <c r="F348" i="2"/>
  <c r="AD346" i="2"/>
  <c r="AL346" i="2" s="1"/>
  <c r="AZ346" i="2" s="1"/>
  <c r="AK346" i="2"/>
  <c r="BA346" i="2" s="1"/>
  <c r="C198" i="9"/>
  <c r="E198" i="9" s="1"/>
  <c r="H198" i="9" s="1"/>
  <c r="BA170" i="11" s="1"/>
  <c r="F198" i="9"/>
  <c r="AY170" i="11" s="1"/>
  <c r="G198" i="9"/>
  <c r="Q170" i="11" s="1"/>
  <c r="M197" i="9"/>
  <c r="AR170" i="7" s="1"/>
  <c r="CA170" i="7" s="1"/>
  <c r="L197" i="9"/>
  <c r="BK169" i="7" s="1"/>
  <c r="CB169" i="7" s="1"/>
  <c r="M376" i="9"/>
  <c r="AR349" i="7" s="1"/>
  <c r="CA349" i="7" s="1"/>
  <c r="L376" i="9"/>
  <c r="BK348" i="7" s="1"/>
  <c r="I377" i="9"/>
  <c r="H377" i="9"/>
  <c r="BA349" i="11" s="1"/>
  <c r="C377" i="9"/>
  <c r="E377" i="9" s="1"/>
  <c r="B378" i="9"/>
  <c r="G377" i="9"/>
  <c r="Q349" i="11" s="1"/>
  <c r="F377" i="9"/>
  <c r="AY349" i="11" s="1"/>
  <c r="K377" i="9"/>
  <c r="J377" i="9"/>
  <c r="R349" i="11" s="1"/>
  <c r="W348" i="11" l="1"/>
  <c r="U348" i="2"/>
  <c r="AT467" i="2"/>
  <c r="AW467" i="2" s="1"/>
  <c r="F467" i="11" s="1"/>
  <c r="AW347" i="11"/>
  <c r="AR468" i="2"/>
  <c r="AS468" i="2" s="1"/>
  <c r="O377" i="9"/>
  <c r="BL349" i="7"/>
  <c r="AP469" i="2"/>
  <c r="AR469" i="2" s="1"/>
  <c r="AS469" i="2" s="1"/>
  <c r="AM468" i="2"/>
  <c r="D344" i="11"/>
  <c r="CN344" i="7"/>
  <c r="I344" i="11" s="1"/>
  <c r="L344" i="11" s="1"/>
  <c r="CB347" i="7"/>
  <c r="CF347" i="7"/>
  <c r="CH347" i="7" s="1"/>
  <c r="CI347" i="7" s="1"/>
  <c r="CK345" i="7"/>
  <c r="CN345" i="7" s="1"/>
  <c r="I345" i="11" s="1"/>
  <c r="L345" i="11" s="1"/>
  <c r="CN168" i="7"/>
  <c r="I168" i="11" s="1"/>
  <c r="O498" i="3"/>
  <c r="AF470" i="2"/>
  <c r="M498" i="3"/>
  <c r="V471" i="2" s="1"/>
  <c r="AK471" i="2" s="1"/>
  <c r="L498" i="3"/>
  <c r="AE470" i="2" s="1"/>
  <c r="BA470" i="2"/>
  <c r="BH468" i="2"/>
  <c r="BI468" i="2" s="1"/>
  <c r="AL469" i="2"/>
  <c r="B500" i="3"/>
  <c r="I499" i="3"/>
  <c r="J499" i="3"/>
  <c r="P471" i="11" s="1"/>
  <c r="K499" i="3"/>
  <c r="C499" i="3"/>
  <c r="E499" i="3" s="1"/>
  <c r="F499" i="3"/>
  <c r="AX471" i="11" s="1"/>
  <c r="G499" i="3"/>
  <c r="O471" i="11" s="1"/>
  <c r="H499" i="3"/>
  <c r="AZ471" i="11" s="1"/>
  <c r="CV347" i="7"/>
  <c r="CX347" i="7" s="1"/>
  <c r="CC169" i="7"/>
  <c r="CS169" i="7"/>
  <c r="CU169" i="7" s="1"/>
  <c r="CY169" i="7" s="1"/>
  <c r="CZ169" i="7" s="1"/>
  <c r="CC346" i="7"/>
  <c r="CS346" i="7"/>
  <c r="CU346" i="7" s="1"/>
  <c r="CY346" i="7" s="1"/>
  <c r="BB346" i="2"/>
  <c r="BH346" i="2" s="1"/>
  <c r="BI346" i="2" s="1"/>
  <c r="AM346" i="2"/>
  <c r="AT346" i="2" s="1"/>
  <c r="AW346" i="2" s="1"/>
  <c r="F346" i="11" s="1"/>
  <c r="AO348" i="11"/>
  <c r="BU348" i="7"/>
  <c r="AD348" i="11" s="1"/>
  <c r="D350" i="2"/>
  <c r="F349" i="2"/>
  <c r="AD347" i="2"/>
  <c r="AL347" i="2" s="1"/>
  <c r="AZ347" i="2" s="1"/>
  <c r="AK347" i="2"/>
  <c r="BA347" i="2" s="1"/>
  <c r="I198" i="9"/>
  <c r="K198" i="9"/>
  <c r="J198" i="9"/>
  <c r="R170" i="11" s="1"/>
  <c r="BL170" i="7"/>
  <c r="O198" i="9"/>
  <c r="I378" i="9"/>
  <c r="H378" i="9"/>
  <c r="BA350" i="11" s="1"/>
  <c r="C378" i="9"/>
  <c r="E378" i="9" s="1"/>
  <c r="K378" i="9"/>
  <c r="J378" i="9"/>
  <c r="R350" i="11" s="1"/>
  <c r="B379" i="9"/>
  <c r="G378" i="9"/>
  <c r="Q350" i="11" s="1"/>
  <c r="F378" i="9"/>
  <c r="AY350" i="11" s="1"/>
  <c r="M377" i="9"/>
  <c r="AR350" i="7" s="1"/>
  <c r="CA350" i="7" s="1"/>
  <c r="L377" i="9"/>
  <c r="BK349" i="7" s="1"/>
  <c r="W349" i="11" l="1"/>
  <c r="U349" i="2"/>
  <c r="AO349" i="11" s="1"/>
  <c r="AT468" i="2"/>
  <c r="AW468" i="2" s="1"/>
  <c r="F468" i="11" s="1"/>
  <c r="AW348" i="11"/>
  <c r="BD469" i="2"/>
  <c r="BF469" i="2" s="1"/>
  <c r="BG469" i="2" s="1"/>
  <c r="O378" i="9"/>
  <c r="BL350" i="7"/>
  <c r="AP470" i="2"/>
  <c r="AR470" i="2" s="1"/>
  <c r="AS470" i="2" s="1"/>
  <c r="AE471" i="2"/>
  <c r="CF170" i="7"/>
  <c r="CH170" i="7" s="1"/>
  <c r="CI170" i="7" s="1"/>
  <c r="D345" i="11"/>
  <c r="CQ345" i="7"/>
  <c r="CF348" i="7"/>
  <c r="CH348" i="7" s="1"/>
  <c r="CI348" i="7" s="1"/>
  <c r="CB348" i="7"/>
  <c r="CK346" i="7"/>
  <c r="CQ346" i="7" s="1"/>
  <c r="CK169" i="7"/>
  <c r="CQ169" i="7" s="1"/>
  <c r="M499" i="3"/>
  <c r="V472" i="2" s="1"/>
  <c r="AK472" i="2" s="1"/>
  <c r="L499" i="3"/>
  <c r="BA471" i="2"/>
  <c r="J500" i="3"/>
  <c r="P472" i="11" s="1"/>
  <c r="K500" i="3"/>
  <c r="B501" i="3"/>
  <c r="C500" i="3"/>
  <c r="E500" i="3" s="1"/>
  <c r="F500" i="3"/>
  <c r="AX472" i="11" s="1"/>
  <c r="G500" i="3"/>
  <c r="O472" i="11" s="1"/>
  <c r="H500" i="3"/>
  <c r="AZ472" i="11" s="1"/>
  <c r="I500" i="3"/>
  <c r="AZ469" i="2"/>
  <c r="BB469" i="2" s="1"/>
  <c r="AM469" i="2"/>
  <c r="AT469" i="2" s="1"/>
  <c r="AW469" i="2" s="1"/>
  <c r="F469" i="11" s="1"/>
  <c r="O499" i="3"/>
  <c r="AF471" i="2"/>
  <c r="AL470" i="2"/>
  <c r="CV348" i="7"/>
  <c r="CX348" i="7" s="1"/>
  <c r="CC347" i="7"/>
  <c r="CS347" i="7"/>
  <c r="CU347" i="7" s="1"/>
  <c r="CY347" i="7" s="1"/>
  <c r="CV170" i="7"/>
  <c r="CX170" i="7" s="1"/>
  <c r="BB347" i="2"/>
  <c r="BH347" i="2" s="1"/>
  <c r="BI347" i="2" s="1"/>
  <c r="D351" i="2"/>
  <c r="F350" i="2"/>
  <c r="AM347" i="2"/>
  <c r="AT347" i="2" s="1"/>
  <c r="AD348" i="2"/>
  <c r="AL348" i="2" s="1"/>
  <c r="AZ348" i="2" s="1"/>
  <c r="AK348" i="2"/>
  <c r="BA348" i="2" s="1"/>
  <c r="BU349" i="7"/>
  <c r="AD349" i="11" s="1"/>
  <c r="C199" i="9"/>
  <c r="E199" i="9" s="1"/>
  <c r="G199" i="9"/>
  <c r="Q171" i="11" s="1"/>
  <c r="F199" i="9"/>
  <c r="AY171" i="11" s="1"/>
  <c r="L198" i="9"/>
  <c r="BK170" i="7" s="1"/>
  <c r="CB170" i="7" s="1"/>
  <c r="M198" i="9"/>
  <c r="AR171" i="7" s="1"/>
  <c r="CA171" i="7" s="1"/>
  <c r="M378" i="9"/>
  <c r="AR351" i="7" s="1"/>
  <c r="CA351" i="7" s="1"/>
  <c r="L378" i="9"/>
  <c r="BK350" i="7" s="1"/>
  <c r="I379" i="9"/>
  <c r="H379" i="9"/>
  <c r="BA351" i="11" s="1"/>
  <c r="C379" i="9"/>
  <c r="E379" i="9" s="1"/>
  <c r="B380" i="9"/>
  <c r="G379" i="9"/>
  <c r="Q351" i="11" s="1"/>
  <c r="F379" i="9"/>
  <c r="AY351" i="11" s="1"/>
  <c r="K379" i="9"/>
  <c r="J379" i="9"/>
  <c r="R351" i="11" s="1"/>
  <c r="BH469" i="2" l="1"/>
  <c r="BI469" i="2" s="1"/>
  <c r="W350" i="11"/>
  <c r="U350" i="2"/>
  <c r="AO350" i="11" s="1"/>
  <c r="AW349" i="11"/>
  <c r="CG472" i="11"/>
  <c r="AT55" i="20" s="1"/>
  <c r="BD470" i="2"/>
  <c r="BF470" i="2" s="1"/>
  <c r="BG470" i="2" s="1"/>
  <c r="H199" i="9"/>
  <c r="BA171" i="11" s="1"/>
  <c r="O379" i="9"/>
  <c r="BL351" i="7"/>
  <c r="CI472" i="11"/>
  <c r="AT75" i="20" s="1"/>
  <c r="AP471" i="2"/>
  <c r="BD471" i="2" s="1"/>
  <c r="BF471" i="2" s="1"/>
  <c r="BG471" i="2" s="1"/>
  <c r="D346" i="11"/>
  <c r="CB349" i="7"/>
  <c r="CF349" i="7"/>
  <c r="CH349" i="7" s="1"/>
  <c r="CI349" i="7" s="1"/>
  <c r="CN169" i="7"/>
  <c r="I169" i="11" s="1"/>
  <c r="CK347" i="7"/>
  <c r="CQ347" i="7" s="1"/>
  <c r="CN346" i="7"/>
  <c r="I346" i="11" s="1"/>
  <c r="L346" i="11" s="1"/>
  <c r="B502" i="3"/>
  <c r="K501" i="3"/>
  <c r="M501" i="3" s="1"/>
  <c r="V474" i="2" s="1"/>
  <c r="AK474" i="2" s="1"/>
  <c r="C501" i="3"/>
  <c r="E501" i="3" s="1"/>
  <c r="F501" i="3"/>
  <c r="AX473" i="11" s="1"/>
  <c r="G501" i="3"/>
  <c r="O473" i="11" s="1"/>
  <c r="H501" i="3"/>
  <c r="AZ473" i="11" s="1"/>
  <c r="I501" i="3"/>
  <c r="J501" i="3"/>
  <c r="P473" i="11" s="1"/>
  <c r="M500" i="3"/>
  <c r="V473" i="2" s="1"/>
  <c r="AK473" i="2" s="1"/>
  <c r="L500" i="3"/>
  <c r="AE472" i="2" s="1"/>
  <c r="AL471" i="2"/>
  <c r="AZ470" i="2"/>
  <c r="BB470" i="2" s="1"/>
  <c r="AM470" i="2"/>
  <c r="AT470" i="2" s="1"/>
  <c r="AW470" i="2" s="1"/>
  <c r="F470" i="11" s="1"/>
  <c r="O500" i="3"/>
  <c r="AF472" i="2"/>
  <c r="BA472" i="2"/>
  <c r="CV349" i="7"/>
  <c r="CX349" i="7" s="1"/>
  <c r="CC170" i="7"/>
  <c r="CS170" i="7"/>
  <c r="CU170" i="7" s="1"/>
  <c r="CY170" i="7" s="1"/>
  <c r="CZ170" i="7" s="1"/>
  <c r="CC348" i="7"/>
  <c r="CS348" i="7"/>
  <c r="CU348" i="7" s="1"/>
  <c r="CY348" i="7" s="1"/>
  <c r="BB348" i="2"/>
  <c r="BH348" i="2" s="1"/>
  <c r="BI348" i="2" s="1"/>
  <c r="AM348" i="2"/>
  <c r="AT348" i="2" s="1"/>
  <c r="AW348" i="2" s="1"/>
  <c r="F348" i="11" s="1"/>
  <c r="BU350" i="7"/>
  <c r="AD350" i="11" s="1"/>
  <c r="AW347" i="2"/>
  <c r="F347" i="11" s="1"/>
  <c r="D352" i="2"/>
  <c r="F351" i="2"/>
  <c r="AD349" i="2"/>
  <c r="AL349" i="2" s="1"/>
  <c r="AZ349" i="2" s="1"/>
  <c r="AK349" i="2"/>
  <c r="BA349" i="2" s="1"/>
  <c r="K199" i="9"/>
  <c r="J199" i="9"/>
  <c r="R171" i="11" s="1"/>
  <c r="I199" i="9"/>
  <c r="O199" i="9"/>
  <c r="BL171" i="7"/>
  <c r="I380" i="9"/>
  <c r="H380" i="9"/>
  <c r="BA352" i="11" s="1"/>
  <c r="C380" i="9"/>
  <c r="E380" i="9" s="1"/>
  <c r="K380" i="9"/>
  <c r="J380" i="9"/>
  <c r="R352" i="11" s="1"/>
  <c r="B381" i="9"/>
  <c r="G380" i="9"/>
  <c r="Q352" i="11" s="1"/>
  <c r="F380" i="9"/>
  <c r="AY352" i="11" s="1"/>
  <c r="M379" i="9"/>
  <c r="AR352" i="7" s="1"/>
  <c r="CA352" i="7" s="1"/>
  <c r="L379" i="9"/>
  <c r="BK351" i="7" s="1"/>
  <c r="BH470" i="2" l="1"/>
  <c r="BI470" i="2" s="1"/>
  <c r="W351" i="11"/>
  <c r="U351" i="2"/>
  <c r="AO351" i="11" s="1"/>
  <c r="AW350" i="11"/>
  <c r="CJ352" i="11"/>
  <c r="AJ76" i="20" s="1"/>
  <c r="AJ77" i="20" s="1"/>
  <c r="AJ78" i="20" s="1"/>
  <c r="CH352" i="11"/>
  <c r="AJ56" i="20" s="1"/>
  <c r="AJ57" i="20" s="1"/>
  <c r="AR471" i="2"/>
  <c r="AS471" i="2" s="1"/>
  <c r="O380" i="9"/>
  <c r="BL352" i="7"/>
  <c r="AP472" i="2"/>
  <c r="BD472" i="2" s="1"/>
  <c r="BF472" i="2" s="1"/>
  <c r="BG472" i="2" s="1"/>
  <c r="CF171" i="7"/>
  <c r="CH171" i="7" s="1"/>
  <c r="CI171" i="7" s="1"/>
  <c r="L501" i="3"/>
  <c r="AE473" i="2" s="1"/>
  <c r="D347" i="11"/>
  <c r="AL472" i="2"/>
  <c r="AZ472" i="2" s="1"/>
  <c r="BB472" i="2" s="1"/>
  <c r="CB350" i="7"/>
  <c r="CF350" i="7"/>
  <c r="CH350" i="7" s="1"/>
  <c r="CI350" i="7" s="1"/>
  <c r="CK348" i="7"/>
  <c r="CN348" i="7" s="1"/>
  <c r="I348" i="11" s="1"/>
  <c r="L348" i="11" s="1"/>
  <c r="CN347" i="7"/>
  <c r="I347" i="11" s="1"/>
  <c r="L347" i="11" s="1"/>
  <c r="CK170" i="7"/>
  <c r="CQ170" i="7" s="1"/>
  <c r="AF473" i="2"/>
  <c r="O501" i="3"/>
  <c r="AZ471" i="2"/>
  <c r="BB471" i="2" s="1"/>
  <c r="BH471" i="2" s="1"/>
  <c r="BI471" i="2" s="1"/>
  <c r="AM471" i="2"/>
  <c r="BA474" i="2"/>
  <c r="BA473" i="2"/>
  <c r="B503" i="3"/>
  <c r="C502" i="3"/>
  <c r="E502" i="3" s="1"/>
  <c r="F502" i="3"/>
  <c r="AX474" i="11" s="1"/>
  <c r="G502" i="3"/>
  <c r="O474" i="11" s="1"/>
  <c r="H502" i="3"/>
  <c r="AZ474" i="11" s="1"/>
  <c r="I502" i="3"/>
  <c r="J502" i="3"/>
  <c r="P474" i="11" s="1"/>
  <c r="K502" i="3"/>
  <c r="CV350" i="7"/>
  <c r="CX350" i="7" s="1"/>
  <c r="CC349" i="7"/>
  <c r="CS349" i="7"/>
  <c r="CU349" i="7" s="1"/>
  <c r="CY349" i="7" s="1"/>
  <c r="CV171" i="7"/>
  <c r="CX171" i="7" s="1"/>
  <c r="BB349" i="2"/>
  <c r="BH349" i="2" s="1"/>
  <c r="BI349" i="2" s="1"/>
  <c r="AD350" i="2"/>
  <c r="AL350" i="2" s="1"/>
  <c r="AZ350" i="2" s="1"/>
  <c r="AK350" i="2"/>
  <c r="BA350" i="2" s="1"/>
  <c r="AM349" i="2"/>
  <c r="AT349" i="2" s="1"/>
  <c r="BU351" i="7"/>
  <c r="AD351" i="11" s="1"/>
  <c r="D353" i="2"/>
  <c r="V49" i="5"/>
  <c r="W49" i="5" s="1"/>
  <c r="F352" i="2"/>
  <c r="L199" i="9"/>
  <c r="BK171" i="7" s="1"/>
  <c r="CB171" i="7" s="1"/>
  <c r="M199" i="9"/>
  <c r="AR172" i="7" s="1"/>
  <c r="CA172" i="7" s="1"/>
  <c r="F200" i="9"/>
  <c r="AY172" i="11" s="1"/>
  <c r="G200" i="9"/>
  <c r="Q172" i="11" s="1"/>
  <c r="C200" i="9"/>
  <c r="E200" i="9" s="1"/>
  <c r="H200" i="9" s="1"/>
  <c r="BA172" i="11" s="1"/>
  <c r="M380" i="9"/>
  <c r="AR353" i="7" s="1"/>
  <c r="CA353" i="7" s="1"/>
  <c r="L380" i="9"/>
  <c r="BK352" i="7" s="1"/>
  <c r="I381" i="9"/>
  <c r="H381" i="9"/>
  <c r="BA353" i="11" s="1"/>
  <c r="C381" i="9"/>
  <c r="E381" i="9" s="1"/>
  <c r="B382" i="9"/>
  <c r="G381" i="9"/>
  <c r="Q353" i="11" s="1"/>
  <c r="F381" i="9"/>
  <c r="AY353" i="11" s="1"/>
  <c r="K381" i="9"/>
  <c r="J381" i="9"/>
  <c r="R353" i="11" s="1"/>
  <c r="AT471" i="2" l="1"/>
  <c r="AW471" i="2" s="1"/>
  <c r="F471" i="11" s="1"/>
  <c r="W352" i="11"/>
  <c r="BF352" i="11" s="1"/>
  <c r="AJ35" i="20" s="1"/>
  <c r="U352" i="2"/>
  <c r="AW351" i="11"/>
  <c r="CJ172" i="11"/>
  <c r="U76" i="20" s="1"/>
  <c r="CH172" i="11"/>
  <c r="U56" i="20" s="1"/>
  <c r="AR472" i="2"/>
  <c r="AS472" i="2" s="1"/>
  <c r="O381" i="9"/>
  <c r="BL353" i="7"/>
  <c r="AP473" i="2"/>
  <c r="AR473" i="2" s="1"/>
  <c r="AS473" i="2" s="1"/>
  <c r="BH472" i="2"/>
  <c r="BI472" i="2" s="1"/>
  <c r="AM472" i="2"/>
  <c r="CQ348" i="7"/>
  <c r="CB351" i="7"/>
  <c r="CF351" i="7"/>
  <c r="CH351" i="7" s="1"/>
  <c r="CI351" i="7" s="1"/>
  <c r="CN170" i="7"/>
  <c r="I170" i="11" s="1"/>
  <c r="CK349" i="7"/>
  <c r="CN349" i="7" s="1"/>
  <c r="I349" i="11" s="1"/>
  <c r="D348" i="11"/>
  <c r="M502" i="3"/>
  <c r="V475" i="2" s="1"/>
  <c r="AK475" i="2" s="1"/>
  <c r="L502" i="3"/>
  <c r="AE474" i="2" s="1"/>
  <c r="B504" i="3"/>
  <c r="C503" i="3"/>
  <c r="E503" i="3" s="1"/>
  <c r="F503" i="3"/>
  <c r="AX475" i="11" s="1"/>
  <c r="G503" i="3"/>
  <c r="O475" i="11" s="1"/>
  <c r="H503" i="3"/>
  <c r="AZ475" i="11" s="1"/>
  <c r="I503" i="3"/>
  <c r="J503" i="3"/>
  <c r="P475" i="11" s="1"/>
  <c r="K503" i="3"/>
  <c r="O502" i="3"/>
  <c r="AF474" i="2"/>
  <c r="AL473" i="2"/>
  <c r="CV351" i="7"/>
  <c r="CX351" i="7" s="1"/>
  <c r="CC350" i="7"/>
  <c r="CS350" i="7"/>
  <c r="CU350" i="7" s="1"/>
  <c r="CY350" i="7" s="1"/>
  <c r="CC171" i="7"/>
  <c r="CS171" i="7"/>
  <c r="CU171" i="7" s="1"/>
  <c r="CY171" i="7" s="1"/>
  <c r="CZ171" i="7" s="1"/>
  <c r="BB350" i="2"/>
  <c r="BH350" i="2" s="1"/>
  <c r="BI350" i="2" s="1"/>
  <c r="AM350" i="2"/>
  <c r="AT350" i="2" s="1"/>
  <c r="AW350" i="2" s="1"/>
  <c r="F350" i="11" s="1"/>
  <c r="BU352" i="7"/>
  <c r="AW352" i="11" s="1"/>
  <c r="AD351" i="2"/>
  <c r="AL351" i="2" s="1"/>
  <c r="AZ351" i="2" s="1"/>
  <c r="AK351" i="2"/>
  <c r="BA351" i="2" s="1"/>
  <c r="D354" i="2"/>
  <c r="F353" i="2"/>
  <c r="AW349" i="2"/>
  <c r="F349" i="11" s="1"/>
  <c r="J200" i="9"/>
  <c r="R172" i="11" s="1"/>
  <c r="K200" i="9"/>
  <c r="I200" i="9"/>
  <c r="BL172" i="7"/>
  <c r="O200" i="9"/>
  <c r="I382" i="9"/>
  <c r="H382" i="9"/>
  <c r="BA354" i="11" s="1"/>
  <c r="C382" i="9"/>
  <c r="E382" i="9" s="1"/>
  <c r="K382" i="9"/>
  <c r="J382" i="9"/>
  <c r="R354" i="11" s="1"/>
  <c r="B383" i="9"/>
  <c r="G382" i="9"/>
  <c r="Q354" i="11" s="1"/>
  <c r="F382" i="9"/>
  <c r="AY354" i="11" s="1"/>
  <c r="M381" i="9"/>
  <c r="AR354" i="7" s="1"/>
  <c r="CA354" i="7" s="1"/>
  <c r="L381" i="9"/>
  <c r="BK353" i="7" s="1"/>
  <c r="W353" i="11" l="1"/>
  <c r="U353" i="2"/>
  <c r="AO353" i="11" s="1"/>
  <c r="AD352" i="11"/>
  <c r="BM352" i="11" s="1"/>
  <c r="AJ14" i="20" s="1"/>
  <c r="AJ15" i="20" s="1"/>
  <c r="AJ19" i="20" s="1"/>
  <c r="AJ67" i="20" s="1"/>
  <c r="AO352" i="11"/>
  <c r="BX352" i="11" s="1"/>
  <c r="AJ36" i="20" s="1"/>
  <c r="AJ40" i="20" s="1"/>
  <c r="AJ41" i="20" s="1"/>
  <c r="CF352" i="11"/>
  <c r="AJ51" i="20" s="1"/>
  <c r="AJ52" i="20" s="1"/>
  <c r="AJ53" i="20" s="1"/>
  <c r="AJ58" i="20" s="1"/>
  <c r="AT472" i="2"/>
  <c r="AW472" i="2" s="1"/>
  <c r="F472" i="11" s="1"/>
  <c r="BD473" i="2"/>
  <c r="BF473" i="2" s="1"/>
  <c r="BG473" i="2" s="1"/>
  <c r="O382" i="9"/>
  <c r="BL354" i="7"/>
  <c r="AP474" i="2"/>
  <c r="BD474" i="2" s="1"/>
  <c r="BF474" i="2" s="1"/>
  <c r="BG474" i="2" s="1"/>
  <c r="CF172" i="7"/>
  <c r="CH172" i="7" s="1"/>
  <c r="CI172" i="7" s="1"/>
  <c r="D349" i="11"/>
  <c r="CQ349" i="7"/>
  <c r="CF352" i="7"/>
  <c r="CH352" i="7" s="1"/>
  <c r="CI352" i="7" s="1"/>
  <c r="CB352" i="7"/>
  <c r="CK350" i="7"/>
  <c r="CQ350" i="7" s="1"/>
  <c r="L349" i="11"/>
  <c r="CK171" i="7"/>
  <c r="CQ171" i="7" s="1"/>
  <c r="AZ473" i="2"/>
  <c r="BB473" i="2" s="1"/>
  <c r="AM473" i="2"/>
  <c r="AT473" i="2" s="1"/>
  <c r="AW473" i="2" s="1"/>
  <c r="F473" i="11" s="1"/>
  <c r="O503" i="3"/>
  <c r="AF475" i="2"/>
  <c r="AL474" i="2"/>
  <c r="B505" i="3"/>
  <c r="C504" i="3"/>
  <c r="E504" i="3" s="1"/>
  <c r="F504" i="3"/>
  <c r="AX476" i="11" s="1"/>
  <c r="G504" i="3"/>
  <c r="O476" i="11" s="1"/>
  <c r="H504" i="3"/>
  <c r="AZ476" i="11" s="1"/>
  <c r="I504" i="3"/>
  <c r="J504" i="3"/>
  <c r="P476" i="11" s="1"/>
  <c r="K504" i="3"/>
  <c r="M503" i="3"/>
  <c r="V476" i="2" s="1"/>
  <c r="AK476" i="2" s="1"/>
  <c r="L503" i="3"/>
  <c r="AE475" i="2" s="1"/>
  <c r="BA475" i="2"/>
  <c r="CV352" i="7"/>
  <c r="CX352" i="7" s="1"/>
  <c r="CV172" i="7"/>
  <c r="CX172" i="7" s="1"/>
  <c r="CC351" i="7"/>
  <c r="CS351" i="7"/>
  <c r="CU351" i="7" s="1"/>
  <c r="CY351" i="7" s="1"/>
  <c r="BB351" i="2"/>
  <c r="BH351" i="2" s="1"/>
  <c r="BI351" i="2" s="1"/>
  <c r="AM351" i="2"/>
  <c r="AT351" i="2" s="1"/>
  <c r="AW351" i="2" s="1"/>
  <c r="F351" i="11" s="1"/>
  <c r="D355" i="2"/>
  <c r="F354" i="2"/>
  <c r="BU353" i="7"/>
  <c r="AD353" i="11" s="1"/>
  <c r="AD352" i="2"/>
  <c r="AL352" i="2" s="1"/>
  <c r="AZ352" i="2" s="1"/>
  <c r="AK352" i="2"/>
  <c r="BA352" i="2" s="1"/>
  <c r="M200" i="9"/>
  <c r="AR173" i="7" s="1"/>
  <c r="CA173" i="7" s="1"/>
  <c r="L200" i="9"/>
  <c r="BK172" i="7" s="1"/>
  <c r="CB172" i="7" s="1"/>
  <c r="F201" i="9"/>
  <c r="AY173" i="11" s="1"/>
  <c r="C201" i="9"/>
  <c r="E201" i="9" s="1"/>
  <c r="H201" i="9" s="1"/>
  <c r="BA173" i="11" s="1"/>
  <c r="G201" i="9"/>
  <c r="Q173" i="11" s="1"/>
  <c r="M382" i="9"/>
  <c r="AR355" i="7" s="1"/>
  <c r="CA355" i="7" s="1"/>
  <c r="L382" i="9"/>
  <c r="BK354" i="7" s="1"/>
  <c r="I383" i="9"/>
  <c r="H383" i="9"/>
  <c r="BA355" i="11" s="1"/>
  <c r="C383" i="9"/>
  <c r="E383" i="9" s="1"/>
  <c r="B384" i="9"/>
  <c r="G383" i="9"/>
  <c r="Q355" i="11" s="1"/>
  <c r="F383" i="9"/>
  <c r="AY355" i="11" s="1"/>
  <c r="K383" i="9"/>
  <c r="J383" i="9"/>
  <c r="R355" i="11" s="1"/>
  <c r="W354" i="11" l="1"/>
  <c r="U354" i="2"/>
  <c r="AO354" i="11" s="1"/>
  <c r="AW353" i="11"/>
  <c r="AJ42" i="20"/>
  <c r="AJ59" i="20" s="1"/>
  <c r="BH473" i="2"/>
  <c r="BI473" i="2" s="1"/>
  <c r="AJ68" i="20"/>
  <c r="AJ69" i="20" s="1"/>
  <c r="AJ79" i="20" s="1"/>
  <c r="AJ81" i="20" s="1"/>
  <c r="AR474" i="2"/>
  <c r="AS474" i="2" s="1"/>
  <c r="O383" i="9"/>
  <c r="BL355" i="7"/>
  <c r="AP475" i="2"/>
  <c r="BD475" i="2" s="1"/>
  <c r="BF475" i="2" s="1"/>
  <c r="BG475" i="2" s="1"/>
  <c r="AE476" i="2"/>
  <c r="D350" i="11"/>
  <c r="CB353" i="7"/>
  <c r="CF353" i="7"/>
  <c r="CH353" i="7" s="1"/>
  <c r="CI353" i="7" s="1"/>
  <c r="CK351" i="7"/>
  <c r="CQ351" i="7" s="1"/>
  <c r="CN171" i="7"/>
  <c r="I171" i="11" s="1"/>
  <c r="CN350" i="7"/>
  <c r="I350" i="11" s="1"/>
  <c r="L350" i="11" s="1"/>
  <c r="M504" i="3"/>
  <c r="V477" i="2" s="1"/>
  <c r="AK477" i="2" s="1"/>
  <c r="L504" i="3"/>
  <c r="AZ474" i="2"/>
  <c r="BB474" i="2" s="1"/>
  <c r="BH474" i="2" s="1"/>
  <c r="BI474" i="2" s="1"/>
  <c r="AM474" i="2"/>
  <c r="O504" i="3"/>
  <c r="AF476" i="2"/>
  <c r="AL475" i="2"/>
  <c r="BA476" i="2"/>
  <c r="B506" i="3"/>
  <c r="C505" i="3"/>
  <c r="E505" i="3" s="1"/>
  <c r="F505" i="3"/>
  <c r="AX477" i="11" s="1"/>
  <c r="G505" i="3"/>
  <c r="O477" i="11" s="1"/>
  <c r="H505" i="3"/>
  <c r="AZ477" i="11" s="1"/>
  <c r="I505" i="3"/>
  <c r="J505" i="3"/>
  <c r="P477" i="11" s="1"/>
  <c r="K505" i="3"/>
  <c r="CV353" i="7"/>
  <c r="CX353" i="7" s="1"/>
  <c r="CC352" i="7"/>
  <c r="CS352" i="7"/>
  <c r="CU352" i="7" s="1"/>
  <c r="CY352" i="7" s="1"/>
  <c r="CC172" i="7"/>
  <c r="CS172" i="7"/>
  <c r="CU172" i="7" s="1"/>
  <c r="CY172" i="7" s="1"/>
  <c r="CZ172" i="7" s="1"/>
  <c r="BB352" i="2"/>
  <c r="BH352" i="2" s="1"/>
  <c r="BI352" i="2" s="1"/>
  <c r="AD353" i="2"/>
  <c r="AL353" i="2" s="1"/>
  <c r="AZ353" i="2" s="1"/>
  <c r="AK353" i="2"/>
  <c r="BA353" i="2" s="1"/>
  <c r="AM352" i="2"/>
  <c r="AT352" i="2" s="1"/>
  <c r="BU354" i="7"/>
  <c r="AD354" i="11" s="1"/>
  <c r="D356" i="2"/>
  <c r="F355" i="2"/>
  <c r="K201" i="9"/>
  <c r="I201" i="9"/>
  <c r="J201" i="9"/>
  <c r="R173" i="11" s="1"/>
  <c r="BL173" i="7"/>
  <c r="O201" i="9"/>
  <c r="I384" i="9"/>
  <c r="H384" i="9"/>
  <c r="BA356" i="11" s="1"/>
  <c r="C384" i="9"/>
  <c r="E384" i="9" s="1"/>
  <c r="K384" i="9"/>
  <c r="J384" i="9"/>
  <c r="R356" i="11" s="1"/>
  <c r="B385" i="9"/>
  <c r="G384" i="9"/>
  <c r="Q356" i="11" s="1"/>
  <c r="F384" i="9"/>
  <c r="AY356" i="11" s="1"/>
  <c r="M383" i="9"/>
  <c r="AR356" i="7" s="1"/>
  <c r="CA356" i="7" s="1"/>
  <c r="L383" i="9"/>
  <c r="BK355" i="7" s="1"/>
  <c r="W355" i="11" l="1"/>
  <c r="U355" i="2"/>
  <c r="AO355" i="11" s="1"/>
  <c r="AW354" i="11"/>
  <c r="AT474" i="2"/>
  <c r="AW474" i="2" s="1"/>
  <c r="F474" i="11" s="1"/>
  <c r="AR475" i="2"/>
  <c r="AS475" i="2" s="1"/>
  <c r="O384" i="9"/>
  <c r="BL356" i="7"/>
  <c r="AP476" i="2"/>
  <c r="BD476" i="2" s="1"/>
  <c r="BF476" i="2" s="1"/>
  <c r="BG476" i="2" s="1"/>
  <c r="CF173" i="7"/>
  <c r="CH173" i="7" s="1"/>
  <c r="CI173" i="7" s="1"/>
  <c r="D351" i="11"/>
  <c r="CN351" i="7"/>
  <c r="I351" i="11" s="1"/>
  <c r="L351" i="11" s="1"/>
  <c r="AL476" i="2"/>
  <c r="AZ476" i="2" s="1"/>
  <c r="BB476" i="2" s="1"/>
  <c r="CB354" i="7"/>
  <c r="CF354" i="7"/>
  <c r="CH354" i="7" s="1"/>
  <c r="CI354" i="7" s="1"/>
  <c r="CK352" i="7"/>
  <c r="CN352" i="7" s="1"/>
  <c r="I352" i="11" s="1"/>
  <c r="CK172" i="7"/>
  <c r="CQ172" i="7" s="1"/>
  <c r="O505" i="3"/>
  <c r="AF477" i="2"/>
  <c r="B507" i="3"/>
  <c r="C506" i="3"/>
  <c r="E506" i="3" s="1"/>
  <c r="F506" i="3"/>
  <c r="AX478" i="11" s="1"/>
  <c r="G506" i="3"/>
  <c r="O478" i="11" s="1"/>
  <c r="H506" i="3"/>
  <c r="AZ478" i="11" s="1"/>
  <c r="I506" i="3"/>
  <c r="J506" i="3"/>
  <c r="P478" i="11" s="1"/>
  <c r="K506" i="3"/>
  <c r="L505" i="3"/>
  <c r="AE477" i="2" s="1"/>
  <c r="M505" i="3"/>
  <c r="V478" i="2" s="1"/>
  <c r="AK478" i="2" s="1"/>
  <c r="BA477" i="2"/>
  <c r="AZ475" i="2"/>
  <c r="BB475" i="2" s="1"/>
  <c r="BH475" i="2" s="1"/>
  <c r="BI475" i="2" s="1"/>
  <c r="AM475" i="2"/>
  <c r="CV354" i="7"/>
  <c r="CX354" i="7" s="1"/>
  <c r="CC353" i="7"/>
  <c r="CS353" i="7"/>
  <c r="CU353" i="7" s="1"/>
  <c r="CY353" i="7" s="1"/>
  <c r="CV173" i="7"/>
  <c r="CX173" i="7" s="1"/>
  <c r="BB353" i="2"/>
  <c r="BH353" i="2" s="1"/>
  <c r="BI353" i="2" s="1"/>
  <c r="AD354" i="2"/>
  <c r="AL354" i="2" s="1"/>
  <c r="AZ354" i="2" s="1"/>
  <c r="AK354" i="2"/>
  <c r="BA354" i="2" s="1"/>
  <c r="AW352" i="2"/>
  <c r="F352" i="11" s="1"/>
  <c r="BU355" i="7"/>
  <c r="AD355" i="11" s="1"/>
  <c r="AM353" i="2"/>
  <c r="AT353" i="2" s="1"/>
  <c r="AW353" i="2" s="1"/>
  <c r="F353" i="11" s="1"/>
  <c r="D357" i="2"/>
  <c r="F356" i="2"/>
  <c r="C202" i="9"/>
  <c r="E202" i="9" s="1"/>
  <c r="I202" i="9"/>
  <c r="H202" i="9"/>
  <c r="BA174" i="11" s="1"/>
  <c r="F202" i="9"/>
  <c r="AY174" i="11" s="1"/>
  <c r="M201" i="9"/>
  <c r="AR174" i="7" s="1"/>
  <c r="CA174" i="7" s="1"/>
  <c r="L201" i="9"/>
  <c r="BK173" i="7" s="1"/>
  <c r="CB173" i="7" s="1"/>
  <c r="I385" i="9"/>
  <c r="H385" i="9"/>
  <c r="BA357" i="11" s="1"/>
  <c r="C385" i="9"/>
  <c r="E385" i="9" s="1"/>
  <c r="B386" i="9"/>
  <c r="G385" i="9"/>
  <c r="Q357" i="11" s="1"/>
  <c r="F385" i="9"/>
  <c r="AY357" i="11" s="1"/>
  <c r="K385" i="9"/>
  <c r="J385" i="9"/>
  <c r="R357" i="11" s="1"/>
  <c r="M384" i="9"/>
  <c r="AR357" i="7" s="1"/>
  <c r="CA357" i="7" s="1"/>
  <c r="L384" i="9"/>
  <c r="BK356" i="7" s="1"/>
  <c r="W356" i="11" l="1"/>
  <c r="U356" i="2"/>
  <c r="AW355" i="11"/>
  <c r="AT475" i="2"/>
  <c r="AW475" i="2" s="1"/>
  <c r="F475" i="11" s="1"/>
  <c r="AR476" i="2"/>
  <c r="AS476" i="2" s="1"/>
  <c r="O385" i="9"/>
  <c r="BL357" i="7"/>
  <c r="AP477" i="2"/>
  <c r="BD477" i="2" s="1"/>
  <c r="BF477" i="2" s="1"/>
  <c r="BG477" i="2" s="1"/>
  <c r="AE478" i="2"/>
  <c r="AL477" i="2"/>
  <c r="AZ477" i="2" s="1"/>
  <c r="BB477" i="2" s="1"/>
  <c r="AM476" i="2"/>
  <c r="BH476" i="2"/>
  <c r="BI476" i="2" s="1"/>
  <c r="D352" i="11"/>
  <c r="CQ352" i="7"/>
  <c r="CF355" i="7"/>
  <c r="CH355" i="7" s="1"/>
  <c r="CI355" i="7" s="1"/>
  <c r="CB355" i="7"/>
  <c r="CK353" i="7"/>
  <c r="CQ353" i="7" s="1"/>
  <c r="L352" i="11"/>
  <c r="CN172" i="7"/>
  <c r="I172" i="11" s="1"/>
  <c r="O506" i="3"/>
  <c r="AF478" i="2"/>
  <c r="BA478" i="2"/>
  <c r="B508" i="3"/>
  <c r="C507" i="3"/>
  <c r="E507" i="3" s="1"/>
  <c r="F507" i="3"/>
  <c r="AX479" i="11" s="1"/>
  <c r="G507" i="3"/>
  <c r="O479" i="11" s="1"/>
  <c r="H507" i="3"/>
  <c r="AZ479" i="11" s="1"/>
  <c r="I507" i="3"/>
  <c r="J507" i="3"/>
  <c r="P479" i="11" s="1"/>
  <c r="K507" i="3"/>
  <c r="M507" i="3" s="1"/>
  <c r="V480" i="2" s="1"/>
  <c r="AK480" i="2" s="1"/>
  <c r="M506" i="3"/>
  <c r="V479" i="2" s="1"/>
  <c r="AK479" i="2" s="1"/>
  <c r="L506" i="3"/>
  <c r="CV355" i="7"/>
  <c r="CX355" i="7" s="1"/>
  <c r="CC173" i="7"/>
  <c r="CS173" i="7"/>
  <c r="CU173" i="7" s="1"/>
  <c r="CY173" i="7" s="1"/>
  <c r="CZ173" i="7" s="1"/>
  <c r="CC354" i="7"/>
  <c r="CS354" i="7"/>
  <c r="CU354" i="7" s="1"/>
  <c r="CY354" i="7" s="1"/>
  <c r="BB354" i="2"/>
  <c r="BH354" i="2" s="1"/>
  <c r="BI354" i="2" s="1"/>
  <c r="AM354" i="2"/>
  <c r="AT354" i="2" s="1"/>
  <c r="AW354" i="2" s="1"/>
  <c r="F354" i="11" s="1"/>
  <c r="D358" i="2"/>
  <c r="F357" i="2"/>
  <c r="AO356" i="11"/>
  <c r="BU356" i="7"/>
  <c r="AD356" i="11" s="1"/>
  <c r="AD355" i="2"/>
  <c r="AL355" i="2" s="1"/>
  <c r="AZ355" i="2" s="1"/>
  <c r="AK355" i="2"/>
  <c r="BA355" i="2" s="1"/>
  <c r="K202" i="9"/>
  <c r="J202" i="9"/>
  <c r="R174" i="11" s="1"/>
  <c r="BL174" i="7"/>
  <c r="O202" i="9"/>
  <c r="G202" i="9"/>
  <c r="Q174" i="11" s="1"/>
  <c r="I386" i="9"/>
  <c r="H386" i="9"/>
  <c r="BA358" i="11" s="1"/>
  <c r="C386" i="9"/>
  <c r="E386" i="9" s="1"/>
  <c r="K386" i="9"/>
  <c r="J386" i="9"/>
  <c r="R358" i="11" s="1"/>
  <c r="B387" i="9"/>
  <c r="G386" i="9"/>
  <c r="Q358" i="11" s="1"/>
  <c r="F386" i="9"/>
  <c r="AY358" i="11" s="1"/>
  <c r="M385" i="9"/>
  <c r="AR358" i="7" s="1"/>
  <c r="CA358" i="7" s="1"/>
  <c r="L385" i="9"/>
  <c r="BK357" i="7" s="1"/>
  <c r="W357" i="11" l="1"/>
  <c r="U357" i="2"/>
  <c r="AO357" i="11" s="1"/>
  <c r="AW356" i="11"/>
  <c r="AT476" i="2"/>
  <c r="AW476" i="2" s="1"/>
  <c r="F476" i="11" s="1"/>
  <c r="AR477" i="2"/>
  <c r="AS477" i="2" s="1"/>
  <c r="O386" i="9"/>
  <c r="BL358" i="7"/>
  <c r="AM477" i="2"/>
  <c r="AP478" i="2"/>
  <c r="BD478" i="2" s="1"/>
  <c r="BF478" i="2" s="1"/>
  <c r="BG478" i="2" s="1"/>
  <c r="CF174" i="7"/>
  <c r="CH174" i="7" s="1"/>
  <c r="CI174" i="7" s="1"/>
  <c r="L507" i="3"/>
  <c r="AE479" i="2" s="1"/>
  <c r="CF356" i="7"/>
  <c r="CH356" i="7" s="1"/>
  <c r="CI356" i="7" s="1"/>
  <c r="CB356" i="7"/>
  <c r="CN353" i="7"/>
  <c r="I353" i="11" s="1"/>
  <c r="L353" i="11" s="1"/>
  <c r="D353" i="11"/>
  <c r="CK354" i="7"/>
  <c r="CN354" i="7" s="1"/>
  <c r="I354" i="11" s="1"/>
  <c r="L354" i="11" s="1"/>
  <c r="CK173" i="7"/>
  <c r="CQ173" i="7" s="1"/>
  <c r="BH477" i="2"/>
  <c r="BI477" i="2" s="1"/>
  <c r="AL478" i="2"/>
  <c r="B509" i="3"/>
  <c r="C508" i="3"/>
  <c r="E508" i="3" s="1"/>
  <c r="F508" i="3"/>
  <c r="AX480" i="11" s="1"/>
  <c r="G508" i="3"/>
  <c r="O480" i="11" s="1"/>
  <c r="H508" i="3"/>
  <c r="AZ480" i="11" s="1"/>
  <c r="I508" i="3"/>
  <c r="J508" i="3"/>
  <c r="P480" i="11" s="1"/>
  <c r="K508" i="3"/>
  <c r="BA480" i="2"/>
  <c r="BA479" i="2"/>
  <c r="O507" i="3"/>
  <c r="AF479" i="2"/>
  <c r="CV356" i="7"/>
  <c r="CX356" i="7" s="1"/>
  <c r="CC355" i="7"/>
  <c r="CS355" i="7"/>
  <c r="CU355" i="7" s="1"/>
  <c r="CY355" i="7" s="1"/>
  <c r="CV174" i="7"/>
  <c r="CX174" i="7" s="1"/>
  <c r="BB355" i="2"/>
  <c r="BH355" i="2" s="1"/>
  <c r="BI355" i="2" s="1"/>
  <c r="AM355" i="2"/>
  <c r="AT355" i="2" s="1"/>
  <c r="AW355" i="2" s="1"/>
  <c r="F355" i="11" s="1"/>
  <c r="AD356" i="2"/>
  <c r="AL356" i="2" s="1"/>
  <c r="AZ356" i="2" s="1"/>
  <c r="AK356" i="2"/>
  <c r="BA356" i="2" s="1"/>
  <c r="BU357" i="7"/>
  <c r="AD357" i="11" s="1"/>
  <c r="D359" i="2"/>
  <c r="F358" i="2"/>
  <c r="F203" i="9"/>
  <c r="AY175" i="11" s="1"/>
  <c r="C203" i="9"/>
  <c r="E203" i="9" s="1"/>
  <c r="H203" i="9" s="1"/>
  <c r="BA175" i="11" s="1"/>
  <c r="M202" i="9"/>
  <c r="AR175" i="7" s="1"/>
  <c r="CA175" i="7" s="1"/>
  <c r="L202" i="9"/>
  <c r="BK174" i="7" s="1"/>
  <c r="CB174" i="7" s="1"/>
  <c r="I387" i="9"/>
  <c r="H387" i="9"/>
  <c r="BA359" i="11" s="1"/>
  <c r="C387" i="9"/>
  <c r="E387" i="9" s="1"/>
  <c r="B388" i="9"/>
  <c r="G387" i="9"/>
  <c r="Q359" i="11" s="1"/>
  <c r="F387" i="9"/>
  <c r="AY359" i="11" s="1"/>
  <c r="K387" i="9"/>
  <c r="J387" i="9"/>
  <c r="R359" i="11" s="1"/>
  <c r="M386" i="9"/>
  <c r="AR359" i="7" s="1"/>
  <c r="CA359" i="7" s="1"/>
  <c r="L386" i="9"/>
  <c r="BK358" i="7" s="1"/>
  <c r="W358" i="11" l="1"/>
  <c r="U358" i="2"/>
  <c r="AO358" i="11" s="1"/>
  <c r="AT477" i="2"/>
  <c r="AW477" i="2" s="1"/>
  <c r="F477" i="11" s="1"/>
  <c r="AW357" i="11"/>
  <c r="G203" i="9"/>
  <c r="Q175" i="11" s="1"/>
  <c r="AR478" i="2"/>
  <c r="AS478" i="2" s="1"/>
  <c r="O387" i="9"/>
  <c r="BL359" i="7"/>
  <c r="AP479" i="2"/>
  <c r="BD479" i="2" s="1"/>
  <c r="BF479" i="2" s="1"/>
  <c r="BG479" i="2" s="1"/>
  <c r="D354" i="11"/>
  <c r="CB357" i="7"/>
  <c r="CF357" i="7"/>
  <c r="CH357" i="7" s="1"/>
  <c r="CI357" i="7" s="1"/>
  <c r="CQ354" i="7"/>
  <c r="CN173" i="7"/>
  <c r="I173" i="11" s="1"/>
  <c r="CK355" i="7"/>
  <c r="CQ355" i="7" s="1"/>
  <c r="AL479" i="2"/>
  <c r="AZ479" i="2" s="1"/>
  <c r="BB479" i="2" s="1"/>
  <c r="AZ478" i="2"/>
  <c r="BB478" i="2" s="1"/>
  <c r="BH478" i="2" s="1"/>
  <c r="BI478" i="2" s="1"/>
  <c r="AM478" i="2"/>
  <c r="M508" i="3"/>
  <c r="V481" i="2" s="1"/>
  <c r="AK481" i="2" s="1"/>
  <c r="L508" i="3"/>
  <c r="AE480" i="2" s="1"/>
  <c r="O508" i="3"/>
  <c r="AF480" i="2"/>
  <c r="B510" i="3"/>
  <c r="C509" i="3"/>
  <c r="E509" i="3" s="1"/>
  <c r="F509" i="3"/>
  <c r="AX481" i="11" s="1"/>
  <c r="G509" i="3"/>
  <c r="O481" i="11" s="1"/>
  <c r="H509" i="3"/>
  <c r="AZ481" i="11" s="1"/>
  <c r="I509" i="3"/>
  <c r="J509" i="3"/>
  <c r="P481" i="11" s="1"/>
  <c r="K509" i="3"/>
  <c r="CV357" i="7"/>
  <c r="CX357" i="7" s="1"/>
  <c r="CC356" i="7"/>
  <c r="CS356" i="7"/>
  <c r="CU356" i="7" s="1"/>
  <c r="CY356" i="7" s="1"/>
  <c r="CC174" i="7"/>
  <c r="CS174" i="7"/>
  <c r="CU174" i="7" s="1"/>
  <c r="CY174" i="7" s="1"/>
  <c r="CZ174" i="7" s="1"/>
  <c r="BB356" i="2"/>
  <c r="BH356" i="2" s="1"/>
  <c r="BI356" i="2" s="1"/>
  <c r="AM356" i="2"/>
  <c r="AT356" i="2" s="1"/>
  <c r="AW356" i="2" s="1"/>
  <c r="F356" i="11" s="1"/>
  <c r="AD357" i="2"/>
  <c r="AL357" i="2" s="1"/>
  <c r="AZ357" i="2" s="1"/>
  <c r="AK357" i="2"/>
  <c r="BA357" i="2" s="1"/>
  <c r="D360" i="2"/>
  <c r="F359" i="2"/>
  <c r="BU358" i="7"/>
  <c r="AD358" i="11" s="1"/>
  <c r="I203" i="9"/>
  <c r="K203" i="9"/>
  <c r="J203" i="9"/>
  <c r="R175" i="11" s="1"/>
  <c r="BL175" i="7"/>
  <c r="O203" i="9"/>
  <c r="I388" i="9"/>
  <c r="H388" i="9"/>
  <c r="BA360" i="11" s="1"/>
  <c r="C388" i="9"/>
  <c r="E388" i="9" s="1"/>
  <c r="K388" i="9"/>
  <c r="J388" i="9"/>
  <c r="R360" i="11" s="1"/>
  <c r="B389" i="9"/>
  <c r="G388" i="9"/>
  <c r="Q360" i="11" s="1"/>
  <c r="F388" i="9"/>
  <c r="AY360" i="11" s="1"/>
  <c r="M387" i="9"/>
  <c r="AR360" i="7" s="1"/>
  <c r="CA360" i="7" s="1"/>
  <c r="L387" i="9"/>
  <c r="BK359" i="7" s="1"/>
  <c r="W359" i="11" l="1"/>
  <c r="U359" i="2"/>
  <c r="AW358" i="11"/>
  <c r="AT478" i="2"/>
  <c r="AW478" i="2" s="1"/>
  <c r="F478" i="11" s="1"/>
  <c r="AR479" i="2"/>
  <c r="AS479" i="2" s="1"/>
  <c r="O388" i="9"/>
  <c r="BL360" i="7"/>
  <c r="AP480" i="2"/>
  <c r="AR480" i="2" s="1"/>
  <c r="AS480" i="2" s="1"/>
  <c r="CF175" i="7"/>
  <c r="CH175" i="7" s="1"/>
  <c r="CI175" i="7" s="1"/>
  <c r="BH479" i="2"/>
  <c r="BI479" i="2" s="1"/>
  <c r="CN355" i="7"/>
  <c r="I355" i="11" s="1"/>
  <c r="L355" i="11" s="1"/>
  <c r="CB358" i="7"/>
  <c r="CF358" i="7"/>
  <c r="CH358" i="7" s="1"/>
  <c r="CI358" i="7" s="1"/>
  <c r="D355" i="11"/>
  <c r="AM479" i="2"/>
  <c r="CK356" i="7"/>
  <c r="CQ356" i="7" s="1"/>
  <c r="CK174" i="7"/>
  <c r="CQ174" i="7" s="1"/>
  <c r="O509" i="3"/>
  <c r="AF481" i="2"/>
  <c r="BA481" i="2"/>
  <c r="B511" i="3"/>
  <c r="C510" i="3"/>
  <c r="E510" i="3" s="1"/>
  <c r="F510" i="3"/>
  <c r="AX482" i="11" s="1"/>
  <c r="G510" i="3"/>
  <c r="O482" i="11" s="1"/>
  <c r="H510" i="3"/>
  <c r="AZ482" i="11" s="1"/>
  <c r="I510" i="3"/>
  <c r="J510" i="3"/>
  <c r="P482" i="11" s="1"/>
  <c r="K510" i="3"/>
  <c r="AL480" i="2"/>
  <c r="M509" i="3"/>
  <c r="V482" i="2" s="1"/>
  <c r="AK482" i="2" s="1"/>
  <c r="L509" i="3"/>
  <c r="AE481" i="2" s="1"/>
  <c r="CV358" i="7"/>
  <c r="CX358" i="7" s="1"/>
  <c r="CV175" i="7"/>
  <c r="CX175" i="7" s="1"/>
  <c r="CC357" i="7"/>
  <c r="CS357" i="7"/>
  <c r="CU357" i="7" s="1"/>
  <c r="CY357" i="7" s="1"/>
  <c r="BB357" i="2"/>
  <c r="BH357" i="2" s="1"/>
  <c r="BI357" i="2" s="1"/>
  <c r="AM357" i="2"/>
  <c r="AT357" i="2" s="1"/>
  <c r="AW357" i="2" s="1"/>
  <c r="F357" i="11" s="1"/>
  <c r="AO359" i="11"/>
  <c r="BU359" i="7"/>
  <c r="AD359" i="11" s="1"/>
  <c r="D361" i="2"/>
  <c r="F360" i="2"/>
  <c r="AD358" i="2"/>
  <c r="AL358" i="2" s="1"/>
  <c r="AZ358" i="2" s="1"/>
  <c r="AK358" i="2"/>
  <c r="BA358" i="2" s="1"/>
  <c r="F204" i="9"/>
  <c r="AY176" i="11" s="1"/>
  <c r="G204" i="9"/>
  <c r="Q176" i="11" s="1"/>
  <c r="C204" i="9"/>
  <c r="E204" i="9" s="1"/>
  <c r="H204" i="9" s="1"/>
  <c r="BA176" i="11" s="1"/>
  <c r="M203" i="9"/>
  <c r="AR176" i="7" s="1"/>
  <c r="CA176" i="7" s="1"/>
  <c r="L203" i="9"/>
  <c r="BK175" i="7" s="1"/>
  <c r="CB175" i="7" s="1"/>
  <c r="M388" i="9"/>
  <c r="AR361" i="7" s="1"/>
  <c r="CA361" i="7" s="1"/>
  <c r="L388" i="9"/>
  <c r="BK360" i="7" s="1"/>
  <c r="I389" i="9"/>
  <c r="H389" i="9"/>
  <c r="BA361" i="11" s="1"/>
  <c r="C389" i="9"/>
  <c r="E389" i="9" s="1"/>
  <c r="B390" i="9"/>
  <c r="G389" i="9"/>
  <c r="Q361" i="11" s="1"/>
  <c r="F389" i="9"/>
  <c r="AY361" i="11" s="1"/>
  <c r="K389" i="9"/>
  <c r="J389" i="9"/>
  <c r="R361" i="11" s="1"/>
  <c r="AT479" i="2" l="1"/>
  <c r="AW479" i="2" s="1"/>
  <c r="F479" i="11" s="1"/>
  <c r="W360" i="11"/>
  <c r="U360" i="2"/>
  <c r="AO360" i="11" s="1"/>
  <c r="AW359" i="11"/>
  <c r="BD480" i="2"/>
  <c r="BF480" i="2" s="1"/>
  <c r="BG480" i="2" s="1"/>
  <c r="O389" i="9"/>
  <c r="BL361" i="7"/>
  <c r="AP481" i="2"/>
  <c r="BD481" i="2" s="1"/>
  <c r="BF481" i="2" s="1"/>
  <c r="BG481" i="2" s="1"/>
  <c r="CB359" i="7"/>
  <c r="CF359" i="7"/>
  <c r="CH359" i="7" s="1"/>
  <c r="CI359" i="7" s="1"/>
  <c r="CN174" i="7"/>
  <c r="I174" i="11" s="1"/>
  <c r="D356" i="11"/>
  <c r="CN356" i="7"/>
  <c r="I356" i="11" s="1"/>
  <c r="L356" i="11" s="1"/>
  <c r="CK357" i="7"/>
  <c r="CQ357" i="7" s="1"/>
  <c r="AZ480" i="2"/>
  <c r="BB480" i="2" s="1"/>
  <c r="AM480" i="2"/>
  <c r="AT480" i="2" s="1"/>
  <c r="AW480" i="2" s="1"/>
  <c r="F480" i="11" s="1"/>
  <c r="B512" i="3"/>
  <c r="C511" i="3"/>
  <c r="E511" i="3" s="1"/>
  <c r="F511" i="3"/>
  <c r="AX483" i="11" s="1"/>
  <c r="G511" i="3"/>
  <c r="O483" i="11" s="1"/>
  <c r="H511" i="3"/>
  <c r="AZ483" i="11" s="1"/>
  <c r="I511" i="3"/>
  <c r="J511" i="3"/>
  <c r="P483" i="11" s="1"/>
  <c r="K511" i="3"/>
  <c r="M510" i="3"/>
  <c r="V483" i="2" s="1"/>
  <c r="AK483" i="2" s="1"/>
  <c r="L510" i="3"/>
  <c r="AE482" i="2" s="1"/>
  <c r="BA482" i="2"/>
  <c r="O510" i="3"/>
  <c r="AF482" i="2"/>
  <c r="AL481" i="2"/>
  <c r="CV359" i="7"/>
  <c r="CX359" i="7" s="1"/>
  <c r="CC175" i="7"/>
  <c r="CS175" i="7"/>
  <c r="CU175" i="7" s="1"/>
  <c r="CY175" i="7" s="1"/>
  <c r="CZ175" i="7" s="1"/>
  <c r="CC358" i="7"/>
  <c r="CS358" i="7"/>
  <c r="CU358" i="7" s="1"/>
  <c r="CY358" i="7" s="1"/>
  <c r="BB358" i="2"/>
  <c r="BH358" i="2" s="1"/>
  <c r="BI358" i="2" s="1"/>
  <c r="AM358" i="2"/>
  <c r="AT358" i="2" s="1"/>
  <c r="AW358" i="2" s="1"/>
  <c r="F358" i="11" s="1"/>
  <c r="BU360" i="7"/>
  <c r="AD360" i="11" s="1"/>
  <c r="D362" i="2"/>
  <c r="F361" i="2"/>
  <c r="AD359" i="2"/>
  <c r="AL359" i="2" s="1"/>
  <c r="AZ359" i="2" s="1"/>
  <c r="AK359" i="2"/>
  <c r="BA359" i="2" s="1"/>
  <c r="I204" i="9"/>
  <c r="J204" i="9"/>
  <c r="R176" i="11" s="1"/>
  <c r="K204" i="9"/>
  <c r="O204" i="9"/>
  <c r="BL176" i="7"/>
  <c r="M389" i="9"/>
  <c r="AR362" i="7" s="1"/>
  <c r="CA362" i="7" s="1"/>
  <c r="L389" i="9"/>
  <c r="BK361" i="7" s="1"/>
  <c r="I390" i="9"/>
  <c r="H390" i="9"/>
  <c r="BA362" i="11" s="1"/>
  <c r="C390" i="9"/>
  <c r="E390" i="9" s="1"/>
  <c r="K390" i="9"/>
  <c r="J390" i="9"/>
  <c r="R362" i="11" s="1"/>
  <c r="B391" i="9"/>
  <c r="G390" i="9"/>
  <c r="Q362" i="11" s="1"/>
  <c r="F390" i="9"/>
  <c r="AY362" i="11" s="1"/>
  <c r="W361" i="11" l="1"/>
  <c r="U361" i="2"/>
  <c r="AW360" i="11"/>
  <c r="BH480" i="2"/>
  <c r="BI480" i="2" s="1"/>
  <c r="AR481" i="2"/>
  <c r="AS481" i="2" s="1"/>
  <c r="O390" i="9"/>
  <c r="BL362" i="7"/>
  <c r="AP482" i="2"/>
  <c r="BD482" i="2" s="1"/>
  <c r="BF482" i="2" s="1"/>
  <c r="BG482" i="2" s="1"/>
  <c r="AE483" i="2"/>
  <c r="CF176" i="7"/>
  <c r="CH176" i="7" s="1"/>
  <c r="CI176" i="7" s="1"/>
  <c r="CF360" i="7"/>
  <c r="CH360" i="7" s="1"/>
  <c r="CI360" i="7" s="1"/>
  <c r="CB360" i="7"/>
  <c r="D357" i="11"/>
  <c r="CN357" i="7"/>
  <c r="I357" i="11" s="1"/>
  <c r="L357" i="11" s="1"/>
  <c r="CK358" i="7"/>
  <c r="CN358" i="7" s="1"/>
  <c r="I358" i="11" s="1"/>
  <c r="L358" i="11" s="1"/>
  <c r="CK175" i="7"/>
  <c r="CQ175" i="7" s="1"/>
  <c r="O511" i="3"/>
  <c r="AF483" i="2"/>
  <c r="AZ481" i="2"/>
  <c r="BB481" i="2" s="1"/>
  <c r="BH481" i="2" s="1"/>
  <c r="BI481" i="2" s="1"/>
  <c r="AM481" i="2"/>
  <c r="AL482" i="2"/>
  <c r="BA483" i="2"/>
  <c r="C512" i="3"/>
  <c r="E512" i="3" s="1"/>
  <c r="F512" i="3"/>
  <c r="AX484" i="11" s="1"/>
  <c r="G512" i="3"/>
  <c r="O484" i="11" s="1"/>
  <c r="H512" i="3"/>
  <c r="AZ484" i="11" s="1"/>
  <c r="I512" i="3"/>
  <c r="J512" i="3"/>
  <c r="P484" i="11" s="1"/>
  <c r="K512" i="3"/>
  <c r="M511" i="3"/>
  <c r="V484" i="2" s="1"/>
  <c r="AK484" i="2" s="1"/>
  <c r="L511" i="3"/>
  <c r="CV360" i="7"/>
  <c r="CX360" i="7" s="1"/>
  <c r="CC359" i="7"/>
  <c r="CS359" i="7"/>
  <c r="CU359" i="7" s="1"/>
  <c r="CY359" i="7" s="1"/>
  <c r="CV176" i="7"/>
  <c r="CX176" i="7" s="1"/>
  <c r="BB359" i="2"/>
  <c r="BH359" i="2" s="1"/>
  <c r="BI359" i="2" s="1"/>
  <c r="AM359" i="2"/>
  <c r="AT359" i="2" s="1"/>
  <c r="AW359" i="2" s="1"/>
  <c r="F359" i="11" s="1"/>
  <c r="BU361" i="7"/>
  <c r="AD361" i="11" s="1"/>
  <c r="AO361" i="11"/>
  <c r="D363" i="2"/>
  <c r="F362" i="2"/>
  <c r="AD360" i="2"/>
  <c r="AL360" i="2" s="1"/>
  <c r="AZ360" i="2" s="1"/>
  <c r="AK360" i="2"/>
  <c r="BA360" i="2" s="1"/>
  <c r="L204" i="9"/>
  <c r="BK176" i="7" s="1"/>
  <c r="CB176" i="7" s="1"/>
  <c r="M204" i="9"/>
  <c r="AR177" i="7" s="1"/>
  <c r="CA177" i="7" s="1"/>
  <c r="F205" i="9"/>
  <c r="AY177" i="11" s="1"/>
  <c r="H205" i="9"/>
  <c r="BA177" i="11" s="1"/>
  <c r="C205" i="9"/>
  <c r="E205" i="9" s="1"/>
  <c r="I205" i="9"/>
  <c r="G205" i="9"/>
  <c r="Q177" i="11" s="1"/>
  <c r="K205" i="9"/>
  <c r="I391" i="9"/>
  <c r="H391" i="9"/>
  <c r="BA363" i="11" s="1"/>
  <c r="C391" i="9"/>
  <c r="E391" i="9" s="1"/>
  <c r="B392" i="9"/>
  <c r="B393" i="9" s="1"/>
  <c r="G391" i="9"/>
  <c r="Q363" i="11" s="1"/>
  <c r="F391" i="9"/>
  <c r="AY363" i="11" s="1"/>
  <c r="K391" i="9"/>
  <c r="J391" i="9"/>
  <c r="R363" i="11" s="1"/>
  <c r="M390" i="9"/>
  <c r="AR363" i="7" s="1"/>
  <c r="CA363" i="7" s="1"/>
  <c r="L390" i="9"/>
  <c r="BK362" i="7" s="1"/>
  <c r="AT481" i="2" l="1"/>
  <c r="AW481" i="2" s="1"/>
  <c r="F481" i="11" s="1"/>
  <c r="W362" i="11"/>
  <c r="U362" i="2"/>
  <c r="AO362" i="11" s="1"/>
  <c r="AW361" i="11"/>
  <c r="CG484" i="11"/>
  <c r="AU55" i="20" s="1"/>
  <c r="AR482" i="2"/>
  <c r="AS482" i="2" s="1"/>
  <c r="O391" i="9"/>
  <c r="BL363" i="7"/>
  <c r="AP483" i="2"/>
  <c r="BD483" i="2" s="1"/>
  <c r="BF483" i="2" s="1"/>
  <c r="BG483" i="2" s="1"/>
  <c r="CI484" i="11"/>
  <c r="AU75" i="20" s="1"/>
  <c r="D358" i="11"/>
  <c r="CF361" i="7"/>
  <c r="CH361" i="7" s="1"/>
  <c r="CI361" i="7" s="1"/>
  <c r="CB361" i="7"/>
  <c r="CQ358" i="7"/>
  <c r="CN175" i="7"/>
  <c r="I175" i="11" s="1"/>
  <c r="CK359" i="7"/>
  <c r="CQ359" i="7" s="1"/>
  <c r="M512" i="3"/>
  <c r="L512" i="3"/>
  <c r="AE484" i="2" s="1"/>
  <c r="AZ482" i="2"/>
  <c r="BB482" i="2" s="1"/>
  <c r="BH482" i="2" s="1"/>
  <c r="BI482" i="2" s="1"/>
  <c r="AM482" i="2"/>
  <c r="BA484" i="2"/>
  <c r="O512" i="3"/>
  <c r="AF484" i="2"/>
  <c r="AL483" i="2"/>
  <c r="CV361" i="7"/>
  <c r="CX361" i="7" s="1"/>
  <c r="CC360" i="7"/>
  <c r="CS360" i="7"/>
  <c r="CU360" i="7" s="1"/>
  <c r="CY360" i="7" s="1"/>
  <c r="CC176" i="7"/>
  <c r="CS176" i="7"/>
  <c r="CU176" i="7" s="1"/>
  <c r="CY176" i="7" s="1"/>
  <c r="CZ176" i="7" s="1"/>
  <c r="B394" i="9"/>
  <c r="C393" i="9"/>
  <c r="E393" i="9" s="1"/>
  <c r="F393" i="9"/>
  <c r="AY365" i="11" s="1"/>
  <c r="G393" i="9"/>
  <c r="Q365" i="11" s="1"/>
  <c r="H393" i="9"/>
  <c r="BA365" i="11" s="1"/>
  <c r="I393" i="9"/>
  <c r="J393" i="9"/>
  <c r="R365" i="11" s="1"/>
  <c r="K393" i="9"/>
  <c r="BB360" i="2"/>
  <c r="BH360" i="2" s="1"/>
  <c r="BI360" i="2" s="1"/>
  <c r="BU362" i="7"/>
  <c r="AD362" i="11" s="1"/>
  <c r="AD361" i="2"/>
  <c r="AL361" i="2" s="1"/>
  <c r="AZ361" i="2" s="1"/>
  <c r="AK361" i="2"/>
  <c r="BA361" i="2" s="1"/>
  <c r="D364" i="2"/>
  <c r="D365" i="2" s="1"/>
  <c r="D366" i="2" s="1"/>
  <c r="D367" i="2" s="1"/>
  <c r="D368" i="2" s="1"/>
  <c r="D369" i="2" s="1"/>
  <c r="D370" i="2" s="1"/>
  <c r="D371" i="2" s="1"/>
  <c r="D372" i="2" s="1"/>
  <c r="D373" i="2" s="1"/>
  <c r="D374" i="2" s="1"/>
  <c r="D375" i="2" s="1"/>
  <c r="D376" i="2" s="1"/>
  <c r="F363" i="2"/>
  <c r="AM360" i="2"/>
  <c r="AT360" i="2" s="1"/>
  <c r="J205" i="9"/>
  <c r="R177" i="11" s="1"/>
  <c r="L205" i="9"/>
  <c r="BK177" i="7" s="1"/>
  <c r="M205" i="9"/>
  <c r="AR178" i="7" s="1"/>
  <c r="CA178" i="7" s="1"/>
  <c r="BL177" i="7"/>
  <c r="O205" i="9"/>
  <c r="I392" i="9"/>
  <c r="H392" i="9"/>
  <c r="BA364" i="11" s="1"/>
  <c r="C392" i="9"/>
  <c r="E392" i="9" s="1"/>
  <c r="K392" i="9"/>
  <c r="J392" i="9"/>
  <c r="R364" i="11" s="1"/>
  <c r="G392" i="9"/>
  <c r="Q364" i="11" s="1"/>
  <c r="F392" i="9"/>
  <c r="AY364" i="11" s="1"/>
  <c r="M391" i="9"/>
  <c r="AR364" i="7" s="1"/>
  <c r="CA364" i="7" s="1"/>
  <c r="L391" i="9"/>
  <c r="BK363" i="7" s="1"/>
  <c r="AT482" i="2" l="1"/>
  <c r="AW482" i="2" s="1"/>
  <c r="F482" i="11" s="1"/>
  <c r="W363" i="11"/>
  <c r="U363" i="2"/>
  <c r="AW362" i="11"/>
  <c r="CH364" i="11"/>
  <c r="AK56" i="20" s="1"/>
  <c r="AK57" i="20" s="1"/>
  <c r="CJ364" i="11"/>
  <c r="AK76" i="20" s="1"/>
  <c r="AK77" i="20" s="1"/>
  <c r="AK78" i="20" s="1"/>
  <c r="AR483" i="2"/>
  <c r="AS483" i="2" s="1"/>
  <c r="O393" i="9"/>
  <c r="BL365" i="7"/>
  <c r="AW365" i="11" s="1"/>
  <c r="O392" i="9"/>
  <c r="BL364" i="7"/>
  <c r="CB177" i="7"/>
  <c r="AP484" i="2"/>
  <c r="BD484" i="2" s="1"/>
  <c r="BF484" i="2" s="1"/>
  <c r="BG484" i="2" s="1"/>
  <c r="CF177" i="7"/>
  <c r="CH177" i="7" s="1"/>
  <c r="CI177" i="7" s="1"/>
  <c r="D359" i="11"/>
  <c r="CB362" i="7"/>
  <c r="CF362" i="7"/>
  <c r="CH362" i="7" s="1"/>
  <c r="CI362" i="7" s="1"/>
  <c r="CN359" i="7"/>
  <c r="I359" i="11" s="1"/>
  <c r="L359" i="11" s="1"/>
  <c r="CK360" i="7"/>
  <c r="CN360" i="7" s="1"/>
  <c r="I360" i="11" s="1"/>
  <c r="CK176" i="7"/>
  <c r="CQ176" i="7" s="1"/>
  <c r="AZ483" i="2"/>
  <c r="BB483" i="2" s="1"/>
  <c r="BH483" i="2" s="1"/>
  <c r="BI483" i="2" s="1"/>
  <c r="AM483" i="2"/>
  <c r="AL484" i="2"/>
  <c r="D377" i="2"/>
  <c r="D378" i="2" s="1"/>
  <c r="D379" i="2" s="1"/>
  <c r="D380" i="2" s="1"/>
  <c r="D381" i="2" s="1"/>
  <c r="D382" i="2" s="1"/>
  <c r="D383" i="2" s="1"/>
  <c r="D384" i="2" s="1"/>
  <c r="D385" i="2" s="1"/>
  <c r="D386" i="2" s="1"/>
  <c r="D387" i="2" s="1"/>
  <c r="D388" i="2" s="1"/>
  <c r="V51" i="5"/>
  <c r="CV362" i="7"/>
  <c r="CX362" i="7" s="1"/>
  <c r="CV177" i="7"/>
  <c r="CX177" i="7" s="1"/>
  <c r="CC361" i="7"/>
  <c r="CS361" i="7"/>
  <c r="CU361" i="7" s="1"/>
  <c r="CY361" i="7" s="1"/>
  <c r="L393" i="9"/>
  <c r="BK365" i="7" s="1"/>
  <c r="M393" i="9"/>
  <c r="AR366" i="7" s="1"/>
  <c r="CA366" i="7" s="1"/>
  <c r="B395" i="9"/>
  <c r="C394" i="9"/>
  <c r="E394" i="9" s="1"/>
  <c r="F394" i="9"/>
  <c r="AY366" i="11" s="1"/>
  <c r="G394" i="9"/>
  <c r="Q366" i="11" s="1"/>
  <c r="H394" i="9"/>
  <c r="BA366" i="11" s="1"/>
  <c r="I394" i="9"/>
  <c r="J394" i="9"/>
  <c r="R366" i="11" s="1"/>
  <c r="K394" i="9"/>
  <c r="BB361" i="2"/>
  <c r="BH361" i="2" s="1"/>
  <c r="BI361" i="2" s="1"/>
  <c r="AM361" i="2"/>
  <c r="AT361" i="2" s="1"/>
  <c r="AW361" i="2" s="1"/>
  <c r="F361" i="11" s="1"/>
  <c r="V50" i="5"/>
  <c r="W50" i="5" s="1"/>
  <c r="F364" i="2"/>
  <c r="AW360" i="2"/>
  <c r="F360" i="11" s="1"/>
  <c r="BU363" i="7"/>
  <c r="AD363" i="11" s="1"/>
  <c r="AO363" i="11"/>
  <c r="AD362" i="2"/>
  <c r="AL362" i="2" s="1"/>
  <c r="AZ362" i="2" s="1"/>
  <c r="AK362" i="2"/>
  <c r="BA362" i="2" s="1"/>
  <c r="C206" i="9"/>
  <c r="E206" i="9" s="1"/>
  <c r="H206" i="9" s="1"/>
  <c r="BA178" i="11" s="1"/>
  <c r="F206" i="9"/>
  <c r="AY178" i="11" s="1"/>
  <c r="M392" i="9"/>
  <c r="AR365" i="7" s="1"/>
  <c r="CA365" i="7" s="1"/>
  <c r="L392" i="9"/>
  <c r="BK364" i="7" s="1"/>
  <c r="W364" i="11" l="1"/>
  <c r="BF364" i="11" s="1"/>
  <c r="AK35" i="20" s="1"/>
  <c r="U364" i="2"/>
  <c r="AT483" i="2"/>
  <c r="AW483" i="2" s="1"/>
  <c r="F483" i="11" s="1"/>
  <c r="AW363" i="11"/>
  <c r="G206" i="9"/>
  <c r="Q178" i="11" s="1"/>
  <c r="AR484" i="2"/>
  <c r="AS484" i="2" s="1"/>
  <c r="CF365" i="7"/>
  <c r="CH365" i="7" s="1"/>
  <c r="CI365" i="7" s="1"/>
  <c r="CV365" i="7"/>
  <c r="CX365" i="7" s="1"/>
  <c r="O394" i="9"/>
  <c r="BL366" i="7"/>
  <c r="AW366" i="11" s="1"/>
  <c r="CQ360" i="7"/>
  <c r="CN176" i="7"/>
  <c r="I176" i="11" s="1"/>
  <c r="CB365" i="7"/>
  <c r="CS365" i="7" s="1"/>
  <c r="CU365" i="7" s="1"/>
  <c r="D360" i="11"/>
  <c r="CF363" i="7"/>
  <c r="CH363" i="7" s="1"/>
  <c r="CI363" i="7" s="1"/>
  <c r="CB363" i="7"/>
  <c r="L360" i="11"/>
  <c r="CK361" i="7"/>
  <c r="CN361" i="7" s="1"/>
  <c r="I361" i="11" s="1"/>
  <c r="L361" i="11" s="1"/>
  <c r="AZ484" i="2"/>
  <c r="BB484" i="2" s="1"/>
  <c r="BH484" i="2" s="1"/>
  <c r="BI484" i="2" s="1"/>
  <c r="AM484" i="2"/>
  <c r="D389" i="2"/>
  <c r="D390" i="2" s="1"/>
  <c r="D391" i="2" s="1"/>
  <c r="D392" i="2" s="1"/>
  <c r="D393" i="2" s="1"/>
  <c r="D394" i="2" s="1"/>
  <c r="D395" i="2" s="1"/>
  <c r="D396" i="2" s="1"/>
  <c r="D397" i="2" s="1"/>
  <c r="D398" i="2" s="1"/>
  <c r="D399" i="2" s="1"/>
  <c r="D400" i="2" s="1"/>
  <c r="V52" i="5"/>
  <c r="CV363" i="7"/>
  <c r="CX363" i="7" s="1"/>
  <c r="CC177" i="7"/>
  <c r="CS177" i="7"/>
  <c r="CU177" i="7" s="1"/>
  <c r="CY177" i="7" s="1"/>
  <c r="CZ177" i="7" s="1"/>
  <c r="CC362" i="7"/>
  <c r="CS362" i="7"/>
  <c r="CU362" i="7" s="1"/>
  <c r="CY362" i="7" s="1"/>
  <c r="B396" i="9"/>
  <c r="C395" i="9"/>
  <c r="E395" i="9" s="1"/>
  <c r="F395" i="9"/>
  <c r="AY367" i="11" s="1"/>
  <c r="G395" i="9"/>
  <c r="Q367" i="11" s="1"/>
  <c r="H395" i="9"/>
  <c r="BA367" i="11" s="1"/>
  <c r="I395" i="9"/>
  <c r="J395" i="9"/>
  <c r="R367" i="11" s="1"/>
  <c r="K395" i="9"/>
  <c r="L394" i="9"/>
  <c r="BK366" i="7" s="1"/>
  <c r="M394" i="9"/>
  <c r="AR367" i="7" s="1"/>
  <c r="CA367" i="7" s="1"/>
  <c r="BB362" i="2"/>
  <c r="BH362" i="2" s="1"/>
  <c r="BI362" i="2" s="1"/>
  <c r="AM362" i="2"/>
  <c r="AT362" i="2" s="1"/>
  <c r="AW362" i="2" s="1"/>
  <c r="F362" i="11" s="1"/>
  <c r="BU364" i="7"/>
  <c r="AW364" i="11" s="1"/>
  <c r="AD363" i="2"/>
  <c r="AL363" i="2" s="1"/>
  <c r="AZ363" i="2" s="1"/>
  <c r="AK363" i="2"/>
  <c r="BA363" i="2" s="1"/>
  <c r="J206" i="9"/>
  <c r="R178" i="11" s="1"/>
  <c r="I206" i="9"/>
  <c r="K206" i="9"/>
  <c r="BL178" i="7"/>
  <c r="O206" i="9"/>
  <c r="AD364" i="11" l="1"/>
  <c r="BM364" i="11" s="1"/>
  <c r="AK14" i="20" s="1"/>
  <c r="AK15" i="20" s="1"/>
  <c r="AK19" i="20" s="1"/>
  <c r="AK67" i="20" s="1"/>
  <c r="AO364" i="11"/>
  <c r="BX364" i="11" s="1"/>
  <c r="AK36" i="20" s="1"/>
  <c r="AK40" i="20" s="1"/>
  <c r="AK41" i="20" s="1"/>
  <c r="CB366" i="7"/>
  <c r="CS366" i="7" s="1"/>
  <c r="CU366" i="7" s="1"/>
  <c r="AT484" i="2"/>
  <c r="AW484" i="2" s="1"/>
  <c r="F484" i="11" s="1"/>
  <c r="CF364" i="11"/>
  <c r="AK51" i="20" s="1"/>
  <c r="AK52" i="20" s="1"/>
  <c r="AK53" i="20" s="1"/>
  <c r="CY365" i="7"/>
  <c r="CF366" i="7"/>
  <c r="CH366" i="7" s="1"/>
  <c r="CI366" i="7" s="1"/>
  <c r="CV366" i="7"/>
  <c r="CX366" i="7" s="1"/>
  <c r="CC365" i="7"/>
  <c r="D365" i="11" s="1"/>
  <c r="O395" i="9"/>
  <c r="BL367" i="7"/>
  <c r="AW367" i="11" s="1"/>
  <c r="CF178" i="7"/>
  <c r="CH178" i="7" s="1"/>
  <c r="CI178" i="7" s="1"/>
  <c r="CF364" i="7"/>
  <c r="CH364" i="7" s="1"/>
  <c r="CI364" i="7" s="1"/>
  <c r="CB364" i="7"/>
  <c r="D361" i="11"/>
  <c r="CQ361" i="7"/>
  <c r="CK362" i="7"/>
  <c r="CQ362" i="7" s="1"/>
  <c r="CK177" i="7"/>
  <c r="CN177" i="7" s="1"/>
  <c r="I177" i="11" s="1"/>
  <c r="D401" i="2"/>
  <c r="V53" i="5"/>
  <c r="CV364" i="7"/>
  <c r="CX364" i="7" s="1"/>
  <c r="CQ365" i="7"/>
  <c r="CN365" i="7"/>
  <c r="I365" i="11" s="1"/>
  <c r="L365" i="11" s="1"/>
  <c r="CV178" i="7"/>
  <c r="CX178" i="7" s="1"/>
  <c r="CC363" i="7"/>
  <c r="CS363" i="7"/>
  <c r="CU363" i="7" s="1"/>
  <c r="CY363" i="7" s="1"/>
  <c r="M395" i="9"/>
  <c r="AR368" i="7" s="1"/>
  <c r="CA368" i="7" s="1"/>
  <c r="L395" i="9"/>
  <c r="BK367" i="7" s="1"/>
  <c r="B397" i="9"/>
  <c r="C396" i="9"/>
  <c r="E396" i="9" s="1"/>
  <c r="F396" i="9"/>
  <c r="AY368" i="11" s="1"/>
  <c r="G396" i="9"/>
  <c r="Q368" i="11" s="1"/>
  <c r="H396" i="9"/>
  <c r="BA368" i="11" s="1"/>
  <c r="I396" i="9"/>
  <c r="J396" i="9"/>
  <c r="R368" i="11" s="1"/>
  <c r="K396" i="9"/>
  <c r="BB363" i="2"/>
  <c r="BH363" i="2" s="1"/>
  <c r="BI363" i="2" s="1"/>
  <c r="AM363" i="2"/>
  <c r="AT363" i="2" s="1"/>
  <c r="AW363" i="2" s="1"/>
  <c r="F363" i="11" s="1"/>
  <c r="AD364" i="2"/>
  <c r="AL364" i="2" s="1"/>
  <c r="AZ364" i="2" s="1"/>
  <c r="AK364" i="2"/>
  <c r="BA364" i="2" s="1"/>
  <c r="M206" i="9"/>
  <c r="AR179" i="7" s="1"/>
  <c r="CA179" i="7" s="1"/>
  <c r="L206" i="9"/>
  <c r="BK178" i="7" s="1"/>
  <c r="CB178" i="7" s="1"/>
  <c r="I207" i="9"/>
  <c r="C207" i="9"/>
  <c r="E207" i="9" s="1"/>
  <c r="K207" i="9"/>
  <c r="F207" i="9"/>
  <c r="AY179" i="11" s="1"/>
  <c r="J207" i="9"/>
  <c r="R179" i="11" s="1"/>
  <c r="H207" i="9"/>
  <c r="BA179" i="11" s="1"/>
  <c r="G207" i="9"/>
  <c r="Q179" i="11" s="1"/>
  <c r="CC366" i="7" l="1"/>
  <c r="CN366" i="7" s="1"/>
  <c r="I366" i="11" s="1"/>
  <c r="L366" i="11" s="1"/>
  <c r="AK42" i="20"/>
  <c r="CY366" i="7"/>
  <c r="AK68" i="20"/>
  <c r="AK69" i="20" s="1"/>
  <c r="AK79" i="20" s="1"/>
  <c r="AK81" i="20" s="1"/>
  <c r="AK58" i="20"/>
  <c r="CB367" i="7"/>
  <c r="CS367" i="7" s="1"/>
  <c r="CU367" i="7" s="1"/>
  <c r="CV367" i="7"/>
  <c r="CX367" i="7" s="1"/>
  <c r="CF367" i="7"/>
  <c r="CH367" i="7" s="1"/>
  <c r="CI367" i="7" s="1"/>
  <c r="O396" i="9"/>
  <c r="BL368" i="7"/>
  <c r="AW368" i="11" s="1"/>
  <c r="D362" i="11"/>
  <c r="CN362" i="7"/>
  <c r="I362" i="11" s="1"/>
  <c r="L362" i="11" s="1"/>
  <c r="CK363" i="7"/>
  <c r="CQ363" i="7" s="1"/>
  <c r="CQ177" i="7"/>
  <c r="D402" i="2"/>
  <c r="V54" i="5"/>
  <c r="D366" i="11"/>
  <c r="CQ366" i="7"/>
  <c r="CC364" i="7"/>
  <c r="CS364" i="7"/>
  <c r="CU364" i="7" s="1"/>
  <c r="CY364" i="7" s="1"/>
  <c r="CC178" i="7"/>
  <c r="CS178" i="7"/>
  <c r="CU178" i="7" s="1"/>
  <c r="CY178" i="7" s="1"/>
  <c r="CZ178" i="7" s="1"/>
  <c r="B398" i="9"/>
  <c r="C397" i="9"/>
  <c r="E397" i="9" s="1"/>
  <c r="F397" i="9"/>
  <c r="AY369" i="11" s="1"/>
  <c r="G397" i="9"/>
  <c r="Q369" i="11" s="1"/>
  <c r="H397" i="9"/>
  <c r="BA369" i="11" s="1"/>
  <c r="I397" i="9"/>
  <c r="J397" i="9"/>
  <c r="R369" i="11" s="1"/>
  <c r="K397" i="9"/>
  <c r="M396" i="9"/>
  <c r="AR369" i="7" s="1"/>
  <c r="CA369" i="7" s="1"/>
  <c r="L396" i="9"/>
  <c r="BK368" i="7" s="1"/>
  <c r="BB364" i="2"/>
  <c r="BH364" i="2" s="1"/>
  <c r="BI364" i="2" s="1"/>
  <c r="AM364" i="2"/>
  <c r="AT364" i="2" s="1"/>
  <c r="AW364" i="2" s="1"/>
  <c r="F364" i="11" s="1"/>
  <c r="O207" i="9"/>
  <c r="BL179" i="7"/>
  <c r="M207" i="9"/>
  <c r="AR180" i="7" s="1"/>
  <c r="CA180" i="7" s="1"/>
  <c r="L207" i="9"/>
  <c r="BK179" i="7" s="1"/>
  <c r="C208" i="9"/>
  <c r="E208" i="9" s="1"/>
  <c r="F208" i="9"/>
  <c r="AY180" i="11" s="1"/>
  <c r="CB368" i="7" l="1"/>
  <c r="CC368" i="7" s="1"/>
  <c r="D368" i="11" s="1"/>
  <c r="AK59" i="20"/>
  <c r="CB179" i="7"/>
  <c r="CC367" i="7"/>
  <c r="CN367" i="7" s="1"/>
  <c r="I367" i="11" s="1"/>
  <c r="L367" i="11" s="1"/>
  <c r="CY367" i="7"/>
  <c r="G208" i="9"/>
  <c r="Q180" i="11" s="1"/>
  <c r="O397" i="9"/>
  <c r="BL369" i="7"/>
  <c r="AW369" i="11" s="1"/>
  <c r="CF368" i="7"/>
  <c r="CH368" i="7" s="1"/>
  <c r="CI368" i="7" s="1"/>
  <c r="CV368" i="7"/>
  <c r="CX368" i="7" s="1"/>
  <c r="CF179" i="7"/>
  <c r="CH179" i="7" s="1"/>
  <c r="CI179" i="7" s="1"/>
  <c r="CN363" i="7"/>
  <c r="I363" i="11" s="1"/>
  <c r="L363" i="11" s="1"/>
  <c r="D363" i="11"/>
  <c r="CK364" i="7"/>
  <c r="CQ364" i="7" s="1"/>
  <c r="CK178" i="7"/>
  <c r="CN178" i="7" s="1"/>
  <c r="I178" i="11" s="1"/>
  <c r="D403" i="2"/>
  <c r="V55" i="5"/>
  <c r="CQ367" i="7"/>
  <c r="D367" i="11"/>
  <c r="CV179" i="7"/>
  <c r="CX179" i="7" s="1"/>
  <c r="M397" i="9"/>
  <c r="AR370" i="7" s="1"/>
  <c r="CA370" i="7" s="1"/>
  <c r="L397" i="9"/>
  <c r="BK369" i="7" s="1"/>
  <c r="B399" i="9"/>
  <c r="C398" i="9"/>
  <c r="E398" i="9" s="1"/>
  <c r="F398" i="9"/>
  <c r="AY370" i="11" s="1"/>
  <c r="G398" i="9"/>
  <c r="Q370" i="11" s="1"/>
  <c r="H398" i="9"/>
  <c r="BA370" i="11" s="1"/>
  <c r="I398" i="9"/>
  <c r="J398" i="9"/>
  <c r="R370" i="11" s="1"/>
  <c r="K398" i="9"/>
  <c r="BL180" i="7"/>
  <c r="O208" i="9"/>
  <c r="H208" i="9"/>
  <c r="BA180" i="11" s="1"/>
  <c r="CS368" i="7" l="1"/>
  <c r="CU368" i="7" s="1"/>
  <c r="CY368" i="7" s="1"/>
  <c r="CB369" i="7"/>
  <c r="CC369" i="7" s="1"/>
  <c r="CN369" i="7" s="1"/>
  <c r="I369" i="11" s="1"/>
  <c r="L369" i="11" s="1"/>
  <c r="CF369" i="7"/>
  <c r="CH369" i="7" s="1"/>
  <c r="CI369" i="7" s="1"/>
  <c r="CV369" i="7"/>
  <c r="CX369" i="7" s="1"/>
  <c r="O398" i="9"/>
  <c r="BL370" i="7"/>
  <c r="AW370" i="11" s="1"/>
  <c r="CF180" i="7"/>
  <c r="CH180" i="7" s="1"/>
  <c r="CI180" i="7" s="1"/>
  <c r="D364" i="11"/>
  <c r="CQ178" i="7"/>
  <c r="CN364" i="7"/>
  <c r="I364" i="11" s="1"/>
  <c r="L364" i="11" s="1"/>
  <c r="D404" i="2"/>
  <c r="V56" i="5"/>
  <c r="CQ368" i="7"/>
  <c r="CN368" i="7"/>
  <c r="I368" i="11" s="1"/>
  <c r="L368" i="11" s="1"/>
  <c r="CC179" i="7"/>
  <c r="CS179" i="7"/>
  <c r="CU179" i="7" s="1"/>
  <c r="CY179" i="7" s="1"/>
  <c r="CZ179" i="7" s="1"/>
  <c r="CV180" i="7"/>
  <c r="CX180" i="7" s="1"/>
  <c r="B400" i="9"/>
  <c r="C399" i="9"/>
  <c r="E399" i="9" s="1"/>
  <c r="F399" i="9"/>
  <c r="AY371" i="11" s="1"/>
  <c r="G399" i="9"/>
  <c r="Q371" i="11" s="1"/>
  <c r="H399" i="9"/>
  <c r="BA371" i="11" s="1"/>
  <c r="I399" i="9"/>
  <c r="J399" i="9"/>
  <c r="R371" i="11" s="1"/>
  <c r="K399" i="9"/>
  <c r="M398" i="9"/>
  <c r="AR371" i="7" s="1"/>
  <c r="CA371" i="7" s="1"/>
  <c r="L398" i="9"/>
  <c r="BK370" i="7" s="1"/>
  <c r="I208" i="9"/>
  <c r="J208" i="9"/>
  <c r="R180" i="11" s="1"/>
  <c r="K208" i="9"/>
  <c r="CS369" i="7" l="1"/>
  <c r="CU369" i="7" s="1"/>
  <c r="CY369" i="7" s="1"/>
  <c r="CB370" i="7"/>
  <c r="CC370" i="7" s="1"/>
  <c r="CQ370" i="7" s="1"/>
  <c r="CF370" i="7"/>
  <c r="CH370" i="7" s="1"/>
  <c r="CI370" i="7" s="1"/>
  <c r="CV370" i="7"/>
  <c r="CX370" i="7" s="1"/>
  <c r="O399" i="9"/>
  <c r="BL371" i="7"/>
  <c r="AW371" i="11" s="1"/>
  <c r="CK179" i="7"/>
  <c r="CN179" i="7" s="1"/>
  <c r="I179" i="11" s="1"/>
  <c r="D405" i="2"/>
  <c r="V57" i="5"/>
  <c r="CQ369" i="7"/>
  <c r="D369" i="11"/>
  <c r="M399" i="9"/>
  <c r="AR372" i="7" s="1"/>
  <c r="CA372" i="7" s="1"/>
  <c r="L399" i="9"/>
  <c r="BK371" i="7" s="1"/>
  <c r="B401" i="9"/>
  <c r="C400" i="9"/>
  <c r="E400" i="9" s="1"/>
  <c r="F400" i="9"/>
  <c r="AY372" i="11" s="1"/>
  <c r="G400" i="9"/>
  <c r="Q372" i="11" s="1"/>
  <c r="H400" i="9"/>
  <c r="BA372" i="11" s="1"/>
  <c r="I400" i="9"/>
  <c r="J400" i="9"/>
  <c r="R372" i="11" s="1"/>
  <c r="K400" i="9"/>
  <c r="C209" i="9"/>
  <c r="E209" i="9" s="1"/>
  <c r="H209" i="9" s="1"/>
  <c r="BA181" i="11" s="1"/>
  <c r="F209" i="9"/>
  <c r="AY181" i="11" s="1"/>
  <c r="L208" i="9"/>
  <c r="BK180" i="7" s="1"/>
  <c r="CB180" i="7" s="1"/>
  <c r="M208" i="9"/>
  <c r="AR181" i="7" s="1"/>
  <c r="CA181" i="7" s="1"/>
  <c r="CB371" i="7" l="1"/>
  <c r="CC371" i="7" s="1"/>
  <c r="CQ371" i="7" s="1"/>
  <c r="CS370" i="7"/>
  <c r="CU370" i="7" s="1"/>
  <c r="CY370" i="7" s="1"/>
  <c r="CF371" i="7"/>
  <c r="CH371" i="7" s="1"/>
  <c r="CI371" i="7" s="1"/>
  <c r="CV371" i="7"/>
  <c r="CX371" i="7" s="1"/>
  <c r="O400" i="9"/>
  <c r="BL372" i="7"/>
  <c r="AW372" i="11" s="1"/>
  <c r="CQ179" i="7"/>
  <c r="D406" i="2"/>
  <c r="V58" i="5"/>
  <c r="D370" i="11"/>
  <c r="CN370" i="7"/>
  <c r="I370" i="11" s="1"/>
  <c r="L370" i="11" s="1"/>
  <c r="CC180" i="7"/>
  <c r="CS180" i="7"/>
  <c r="CU180" i="7" s="1"/>
  <c r="CY180" i="7" s="1"/>
  <c r="CZ180" i="7" s="1"/>
  <c r="M400" i="9"/>
  <c r="AR373" i="7" s="1"/>
  <c r="CA373" i="7" s="1"/>
  <c r="L400" i="9"/>
  <c r="BK372" i="7" s="1"/>
  <c r="B402" i="9"/>
  <c r="C401" i="9"/>
  <c r="E401" i="9" s="1"/>
  <c r="F401" i="9"/>
  <c r="AY373" i="11" s="1"/>
  <c r="G401" i="9"/>
  <c r="Q373" i="11" s="1"/>
  <c r="H401" i="9"/>
  <c r="BA373" i="11" s="1"/>
  <c r="I401" i="9"/>
  <c r="J401" i="9"/>
  <c r="R373" i="11" s="1"/>
  <c r="K401" i="9"/>
  <c r="K209" i="9"/>
  <c r="J209" i="9"/>
  <c r="R181" i="11" s="1"/>
  <c r="I209" i="9"/>
  <c r="BL181" i="7"/>
  <c r="O209" i="9"/>
  <c r="G209" i="9"/>
  <c r="Q181" i="11" s="1"/>
  <c r="CS371" i="7" l="1"/>
  <c r="CU371" i="7" s="1"/>
  <c r="CY371" i="7" s="1"/>
  <c r="CB372" i="7"/>
  <c r="CS372" i="7" s="1"/>
  <c r="CU372" i="7" s="1"/>
  <c r="CF372" i="7"/>
  <c r="CH372" i="7" s="1"/>
  <c r="CI372" i="7" s="1"/>
  <c r="CV372" i="7"/>
  <c r="CX372" i="7" s="1"/>
  <c r="O401" i="9"/>
  <c r="BL373" i="7"/>
  <c r="AW373" i="11" s="1"/>
  <c r="CF181" i="7"/>
  <c r="CH181" i="7" s="1"/>
  <c r="CI181" i="7" s="1"/>
  <c r="CK180" i="7"/>
  <c r="CQ180" i="7" s="1"/>
  <c r="D407" i="2"/>
  <c r="V59" i="5"/>
  <c r="CN371" i="7"/>
  <c r="I371" i="11" s="1"/>
  <c r="L371" i="11" s="1"/>
  <c r="D371" i="11"/>
  <c r="CV181" i="7"/>
  <c r="CX181" i="7" s="1"/>
  <c r="B403" i="9"/>
  <c r="C402" i="9"/>
  <c r="E402" i="9" s="1"/>
  <c r="F402" i="9"/>
  <c r="AY374" i="11" s="1"/>
  <c r="G402" i="9"/>
  <c r="Q374" i="11" s="1"/>
  <c r="H402" i="9"/>
  <c r="BA374" i="11" s="1"/>
  <c r="I402" i="9"/>
  <c r="J402" i="9"/>
  <c r="R374" i="11" s="1"/>
  <c r="K402" i="9"/>
  <c r="L401" i="9"/>
  <c r="BK373" i="7" s="1"/>
  <c r="M401" i="9"/>
  <c r="AR374" i="7" s="1"/>
  <c r="CA374" i="7" s="1"/>
  <c r="C210" i="9"/>
  <c r="E210" i="9" s="1"/>
  <c r="H210" i="9" s="1"/>
  <c r="BA182" i="11" s="1"/>
  <c r="F210" i="9"/>
  <c r="AY182" i="11" s="1"/>
  <c r="G210" i="9"/>
  <c r="Q182" i="11" s="1"/>
  <c r="L209" i="9"/>
  <c r="BK181" i="7" s="1"/>
  <c r="CB181" i="7" s="1"/>
  <c r="M209" i="9"/>
  <c r="AR182" i="7" s="1"/>
  <c r="CA182" i="7" s="1"/>
  <c r="CB373" i="7" l="1"/>
  <c r="CC373" i="7" s="1"/>
  <c r="CN373" i="7" s="1"/>
  <c r="I373" i="11" s="1"/>
  <c r="L373" i="11" s="1"/>
  <c r="CY372" i="7"/>
  <c r="CC372" i="7"/>
  <c r="D372" i="11" s="1"/>
  <c r="CF373" i="7"/>
  <c r="CH373" i="7" s="1"/>
  <c r="CI373" i="7" s="1"/>
  <c r="CV373" i="7"/>
  <c r="CX373" i="7" s="1"/>
  <c r="O402" i="9"/>
  <c r="BL374" i="7"/>
  <c r="AW374" i="11" s="1"/>
  <c r="CN180" i="7"/>
  <c r="I180" i="11" s="1"/>
  <c r="D408" i="2"/>
  <c r="V60" i="5"/>
  <c r="CN372" i="7"/>
  <c r="I372" i="11" s="1"/>
  <c r="L372" i="11" s="1"/>
  <c r="CQ372" i="7"/>
  <c r="CC181" i="7"/>
  <c r="CS181" i="7"/>
  <c r="CU181" i="7" s="1"/>
  <c r="CY181" i="7" s="1"/>
  <c r="CZ181" i="7" s="1"/>
  <c r="L402" i="9"/>
  <c r="BK374" i="7" s="1"/>
  <c r="M402" i="9"/>
  <c r="AR375" i="7" s="1"/>
  <c r="CA375" i="7" s="1"/>
  <c r="B404" i="9"/>
  <c r="C403" i="9"/>
  <c r="E403" i="9" s="1"/>
  <c r="F403" i="9"/>
  <c r="AY375" i="11" s="1"/>
  <c r="G403" i="9"/>
  <c r="Q375" i="11" s="1"/>
  <c r="H403" i="9"/>
  <c r="BA375" i="11" s="1"/>
  <c r="I403" i="9"/>
  <c r="J403" i="9"/>
  <c r="R375" i="11" s="1"/>
  <c r="K403" i="9"/>
  <c r="I210" i="9"/>
  <c r="J210" i="9"/>
  <c r="R182" i="11" s="1"/>
  <c r="K210" i="9"/>
  <c r="O210" i="9"/>
  <c r="BL182" i="7"/>
  <c r="CS373" i="7" l="1"/>
  <c r="CU373" i="7" s="1"/>
  <c r="CY373" i="7" s="1"/>
  <c r="CB374" i="7"/>
  <c r="CF374" i="7"/>
  <c r="CH374" i="7" s="1"/>
  <c r="CI374" i="7" s="1"/>
  <c r="CV374" i="7"/>
  <c r="CX374" i="7" s="1"/>
  <c r="O403" i="9"/>
  <c r="BL375" i="7"/>
  <c r="AW375" i="11" s="1"/>
  <c r="CF182" i="7"/>
  <c r="CH182" i="7" s="1"/>
  <c r="CI182" i="7" s="1"/>
  <c r="CK181" i="7"/>
  <c r="CQ181" i="7" s="1"/>
  <c r="D409" i="2"/>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V61" i="5"/>
  <c r="D373" i="11"/>
  <c r="CQ373" i="7"/>
  <c r="CV182" i="7"/>
  <c r="CX182" i="7" s="1"/>
  <c r="CC374" i="7"/>
  <c r="CQ374" i="7" s="1"/>
  <c r="CS374" i="7"/>
  <c r="CU374" i="7" s="1"/>
  <c r="B405" i="9"/>
  <c r="C404" i="9"/>
  <c r="E404" i="9" s="1"/>
  <c r="F404" i="9"/>
  <c r="AY376" i="11" s="1"/>
  <c r="G404" i="9"/>
  <c r="Q376" i="11" s="1"/>
  <c r="H404" i="9"/>
  <c r="BA376" i="11" s="1"/>
  <c r="I404" i="9"/>
  <c r="J404" i="9"/>
  <c r="R376" i="11" s="1"/>
  <c r="K404" i="9"/>
  <c r="M403" i="9"/>
  <c r="AR376" i="7" s="1"/>
  <c r="CA376" i="7" s="1"/>
  <c r="L403" i="9"/>
  <c r="BK375" i="7" s="1"/>
  <c r="M210" i="9"/>
  <c r="AR183" i="7" s="1"/>
  <c r="CA183" i="7" s="1"/>
  <c r="L210" i="9"/>
  <c r="BK182" i="7" s="1"/>
  <c r="CB182" i="7" s="1"/>
  <c r="G211" i="9"/>
  <c r="Q183" i="11" s="1"/>
  <c r="C211" i="9"/>
  <c r="E211" i="9" s="1"/>
  <c r="F211" i="9"/>
  <c r="AY183" i="11" s="1"/>
  <c r="H211" i="9"/>
  <c r="BA183" i="11" s="1"/>
  <c r="CY374" i="7" l="1"/>
  <c r="CJ376" i="11"/>
  <c r="AL76" i="20" s="1"/>
  <c r="AL77" i="20" s="1"/>
  <c r="AL78" i="20" s="1"/>
  <c r="CH376" i="11"/>
  <c r="AL56" i="20" s="1"/>
  <c r="AL57" i="20" s="1"/>
  <c r="CB375" i="7"/>
  <c r="CS375" i="7" s="1"/>
  <c r="CU375" i="7" s="1"/>
  <c r="CF375" i="7"/>
  <c r="CH375" i="7" s="1"/>
  <c r="CI375" i="7" s="1"/>
  <c r="CV375" i="7"/>
  <c r="CX375" i="7" s="1"/>
  <c r="O404" i="9"/>
  <c r="BL376" i="7"/>
  <c r="AW376" i="11" s="1"/>
  <c r="CN181" i="7"/>
  <c r="I181" i="11" s="1"/>
  <c r="D374" i="11"/>
  <c r="CN374" i="7"/>
  <c r="I374" i="11" s="1"/>
  <c r="L374" i="11" s="1"/>
  <c r="CC182" i="7"/>
  <c r="CS182" i="7"/>
  <c r="CU182" i="7" s="1"/>
  <c r="CY182" i="7" s="1"/>
  <c r="CZ182" i="7" s="1"/>
  <c r="M404" i="9"/>
  <c r="AR377" i="7" s="1"/>
  <c r="CA377" i="7" s="1"/>
  <c r="L404" i="9"/>
  <c r="BK376" i="7" s="1"/>
  <c r="B406" i="9"/>
  <c r="C405" i="9"/>
  <c r="E405" i="9" s="1"/>
  <c r="F405" i="9"/>
  <c r="AY377" i="11" s="1"/>
  <c r="G405" i="9"/>
  <c r="Q377" i="11" s="1"/>
  <c r="H405" i="9"/>
  <c r="BA377" i="11" s="1"/>
  <c r="I405" i="9"/>
  <c r="J405" i="9"/>
  <c r="R377" i="11" s="1"/>
  <c r="K405" i="9"/>
  <c r="J211" i="9"/>
  <c r="R183" i="11" s="1"/>
  <c r="O211" i="9"/>
  <c r="BL183" i="7"/>
  <c r="K211" i="9"/>
  <c r="I211" i="9"/>
  <c r="CC375" i="7" l="1"/>
  <c r="CN375" i="7" s="1"/>
  <c r="I375" i="11" s="1"/>
  <c r="L375" i="11" s="1"/>
  <c r="CY375" i="7"/>
  <c r="CB376" i="7"/>
  <c r="CC376" i="7" s="1"/>
  <c r="D376" i="11" s="1"/>
  <c r="CF376" i="7"/>
  <c r="CH376" i="7" s="1"/>
  <c r="CI376" i="7" s="1"/>
  <c r="CV376" i="7"/>
  <c r="CX376" i="7" s="1"/>
  <c r="CF376" i="11"/>
  <c r="AL51" i="20" s="1"/>
  <c r="AL52" i="20" s="1"/>
  <c r="AL53" i="20" s="1"/>
  <c r="O405" i="9"/>
  <c r="BL377" i="7"/>
  <c r="AW377" i="11" s="1"/>
  <c r="CF183" i="7"/>
  <c r="CH183" i="7" s="1"/>
  <c r="CI183" i="7" s="1"/>
  <c r="CK182" i="7"/>
  <c r="CN182" i="7" s="1"/>
  <c r="I182" i="11" s="1"/>
  <c r="CQ375" i="7"/>
  <c r="D375" i="11"/>
  <c r="CV183" i="7"/>
  <c r="CX183" i="7" s="1"/>
  <c r="B407" i="9"/>
  <c r="C406" i="9"/>
  <c r="E406" i="9" s="1"/>
  <c r="F406" i="9"/>
  <c r="AY378" i="11" s="1"/>
  <c r="G406" i="9"/>
  <c r="Q378" i="11" s="1"/>
  <c r="H406" i="9"/>
  <c r="BA378" i="11" s="1"/>
  <c r="I406" i="9"/>
  <c r="J406" i="9"/>
  <c r="R378" i="11" s="1"/>
  <c r="K406" i="9"/>
  <c r="M405" i="9"/>
  <c r="AR378" i="7" s="1"/>
  <c r="CA378" i="7" s="1"/>
  <c r="L405" i="9"/>
  <c r="BK377" i="7" s="1"/>
  <c r="C212" i="9"/>
  <c r="E212" i="9" s="1"/>
  <c r="H212" i="9" s="1"/>
  <c r="BA184" i="11" s="1"/>
  <c r="F212" i="9"/>
  <c r="AY184" i="11" s="1"/>
  <c r="M211" i="9"/>
  <c r="AR184" i="7" s="1"/>
  <c r="CA184" i="7" s="1"/>
  <c r="L211" i="9"/>
  <c r="BK183" i="7" s="1"/>
  <c r="CB183" i="7" s="1"/>
  <c r="CS376" i="7" l="1"/>
  <c r="CU376" i="7" s="1"/>
  <c r="CY376" i="7" s="1"/>
  <c r="CB377" i="7"/>
  <c r="CS377" i="7" s="1"/>
  <c r="CU377" i="7" s="1"/>
  <c r="CJ184" i="11"/>
  <c r="V76" i="20" s="1"/>
  <c r="CH184" i="11"/>
  <c r="V56" i="20" s="1"/>
  <c r="AL58" i="20"/>
  <c r="AL59" i="20" s="1"/>
  <c r="AL68" i="20"/>
  <c r="AL69" i="20" s="1"/>
  <c r="AL79" i="20" s="1"/>
  <c r="AL81" i="20" s="1"/>
  <c r="O406" i="9"/>
  <c r="BL378" i="7"/>
  <c r="AW378" i="11" s="1"/>
  <c r="CV377" i="7"/>
  <c r="CX377" i="7" s="1"/>
  <c r="CF377" i="7"/>
  <c r="CH377" i="7" s="1"/>
  <c r="CI377" i="7" s="1"/>
  <c r="CQ182" i="7"/>
  <c r="CN376" i="7"/>
  <c r="I376" i="11" s="1"/>
  <c r="L376" i="11" s="1"/>
  <c r="CQ376" i="7"/>
  <c r="CC183" i="7"/>
  <c r="CS183" i="7"/>
  <c r="CU183" i="7" s="1"/>
  <c r="CY183" i="7" s="1"/>
  <c r="CZ183" i="7" s="1"/>
  <c r="L406" i="9"/>
  <c r="BK378" i="7" s="1"/>
  <c r="M406" i="9"/>
  <c r="AR379" i="7" s="1"/>
  <c r="CA379" i="7" s="1"/>
  <c r="B408" i="9"/>
  <c r="C407" i="9"/>
  <c r="E407" i="9" s="1"/>
  <c r="F407" i="9"/>
  <c r="AY379" i="11" s="1"/>
  <c r="G407" i="9"/>
  <c r="Q379" i="11" s="1"/>
  <c r="H407" i="9"/>
  <c r="BA379" i="11" s="1"/>
  <c r="I407" i="9"/>
  <c r="J407" i="9"/>
  <c r="R379" i="11" s="1"/>
  <c r="K407" i="9"/>
  <c r="I212" i="9"/>
  <c r="K212" i="9"/>
  <c r="J212" i="9"/>
  <c r="R184" i="11" s="1"/>
  <c r="BL184" i="7"/>
  <c r="O212" i="9"/>
  <c r="G212" i="9"/>
  <c r="Q184" i="11" s="1"/>
  <c r="CC377" i="7" l="1"/>
  <c r="CN377" i="7" s="1"/>
  <c r="I377" i="11" s="1"/>
  <c r="L377" i="11" s="1"/>
  <c r="CB378" i="7"/>
  <c r="CC378" i="7" s="1"/>
  <c r="CN378" i="7" s="1"/>
  <c r="I378" i="11" s="1"/>
  <c r="L378" i="11" s="1"/>
  <c r="CY377" i="7"/>
  <c r="CV378" i="7"/>
  <c r="CX378" i="7" s="1"/>
  <c r="CF378" i="7"/>
  <c r="CH378" i="7" s="1"/>
  <c r="CI378" i="7" s="1"/>
  <c r="O407" i="9"/>
  <c r="BL379" i="7"/>
  <c r="AW379" i="11" s="1"/>
  <c r="CF184" i="7"/>
  <c r="CH184" i="7" s="1"/>
  <c r="CI184" i="7" s="1"/>
  <c r="CK183" i="7"/>
  <c r="CQ183" i="7" s="1"/>
  <c r="CQ377" i="7"/>
  <c r="D377" i="11"/>
  <c r="CV184" i="7"/>
  <c r="CX184" i="7" s="1"/>
  <c r="B409" i="9"/>
  <c r="C408" i="9"/>
  <c r="E408" i="9" s="1"/>
  <c r="F408" i="9"/>
  <c r="AY380" i="11" s="1"/>
  <c r="G408" i="9"/>
  <c r="Q380" i="11" s="1"/>
  <c r="H408" i="9"/>
  <c r="BA380" i="11" s="1"/>
  <c r="I408" i="9"/>
  <c r="J408" i="9"/>
  <c r="R380" i="11" s="1"/>
  <c r="K408" i="9"/>
  <c r="M407" i="9"/>
  <c r="AR380" i="7" s="1"/>
  <c r="CA380" i="7" s="1"/>
  <c r="L407" i="9"/>
  <c r="BK379" i="7" s="1"/>
  <c r="G213" i="9"/>
  <c r="Q185" i="11" s="1"/>
  <c r="C213" i="9"/>
  <c r="E213" i="9" s="1"/>
  <c r="H213" i="9" s="1"/>
  <c r="BA185" i="11" s="1"/>
  <c r="F213" i="9"/>
  <c r="AY185" i="11" s="1"/>
  <c r="M212" i="9"/>
  <c r="AR185" i="7" s="1"/>
  <c r="CA185" i="7" s="1"/>
  <c r="L212" i="9"/>
  <c r="BK184" i="7" s="1"/>
  <c r="CB184" i="7" s="1"/>
  <c r="CB379" i="7" l="1"/>
  <c r="CC379" i="7" s="1"/>
  <c r="D379" i="11" s="1"/>
  <c r="CS378" i="7"/>
  <c r="CU378" i="7" s="1"/>
  <c r="CY378" i="7" s="1"/>
  <c r="CV379" i="7"/>
  <c r="CX379" i="7" s="1"/>
  <c r="CF379" i="7"/>
  <c r="CH379" i="7" s="1"/>
  <c r="CI379" i="7" s="1"/>
  <c r="O408" i="9"/>
  <c r="BL380" i="7"/>
  <c r="AW380" i="11" s="1"/>
  <c r="CN183" i="7"/>
  <c r="I183" i="11" s="1"/>
  <c r="CQ378" i="7"/>
  <c r="D378" i="11"/>
  <c r="CC184" i="7"/>
  <c r="CS184" i="7"/>
  <c r="CU184" i="7" s="1"/>
  <c r="CY184" i="7" s="1"/>
  <c r="CZ184" i="7" s="1"/>
  <c r="M408" i="9"/>
  <c r="AR381" i="7" s="1"/>
  <c r="CA381" i="7" s="1"/>
  <c r="L408" i="9"/>
  <c r="BK380" i="7" s="1"/>
  <c r="B410" i="9"/>
  <c r="C409" i="9"/>
  <c r="E409" i="9" s="1"/>
  <c r="F409" i="9"/>
  <c r="AY381" i="11" s="1"/>
  <c r="G409" i="9"/>
  <c r="Q381" i="11" s="1"/>
  <c r="H409" i="9"/>
  <c r="BA381" i="11" s="1"/>
  <c r="I409" i="9"/>
  <c r="J409" i="9"/>
  <c r="R381" i="11" s="1"/>
  <c r="K409" i="9"/>
  <c r="K213" i="9"/>
  <c r="J213" i="9"/>
  <c r="R185" i="11" s="1"/>
  <c r="I213" i="9"/>
  <c r="BL185" i="7"/>
  <c r="O213" i="9"/>
  <c r="CS379" i="7" l="1"/>
  <c r="CU379" i="7" s="1"/>
  <c r="CY379" i="7" s="1"/>
  <c r="CB380" i="7"/>
  <c r="CC380" i="7" s="1"/>
  <c r="CN380" i="7" s="1"/>
  <c r="I380" i="11" s="1"/>
  <c r="L380" i="11" s="1"/>
  <c r="CF380" i="7"/>
  <c r="CH380" i="7" s="1"/>
  <c r="CI380" i="7" s="1"/>
  <c r="CV380" i="7"/>
  <c r="CX380" i="7" s="1"/>
  <c r="O409" i="9"/>
  <c r="BL381" i="7"/>
  <c r="AW381" i="11" s="1"/>
  <c r="CF185" i="7"/>
  <c r="CH185" i="7" s="1"/>
  <c r="CI185" i="7" s="1"/>
  <c r="CK184" i="7"/>
  <c r="CN184" i="7" s="1"/>
  <c r="I184" i="11" s="1"/>
  <c r="CN379" i="7"/>
  <c r="I379" i="11" s="1"/>
  <c r="L379" i="11" s="1"/>
  <c r="CQ379" i="7"/>
  <c r="CV185" i="7"/>
  <c r="CX185" i="7" s="1"/>
  <c r="B411" i="9"/>
  <c r="C410" i="9"/>
  <c r="E410" i="9" s="1"/>
  <c r="F410" i="9"/>
  <c r="AY382" i="11" s="1"/>
  <c r="G410" i="9"/>
  <c r="Q382" i="11" s="1"/>
  <c r="H410" i="9"/>
  <c r="BA382" i="11" s="1"/>
  <c r="I410" i="9"/>
  <c r="J410" i="9"/>
  <c r="R382" i="11" s="1"/>
  <c r="K410" i="9"/>
  <c r="L409" i="9"/>
  <c r="BK381" i="7" s="1"/>
  <c r="M409" i="9"/>
  <c r="AR382" i="7" s="1"/>
  <c r="CA382" i="7" s="1"/>
  <c r="G214" i="9"/>
  <c r="Q186" i="11" s="1"/>
  <c r="C214" i="9"/>
  <c r="E214" i="9" s="1"/>
  <c r="H214" i="9" s="1"/>
  <c r="BA186" i="11" s="1"/>
  <c r="F214" i="9"/>
  <c r="AY186" i="11" s="1"/>
  <c r="L213" i="9"/>
  <c r="BK185" i="7" s="1"/>
  <c r="CB185" i="7" s="1"/>
  <c r="M213" i="9"/>
  <c r="AR186" i="7" s="1"/>
  <c r="CA186" i="7" s="1"/>
  <c r="CB381" i="7" l="1"/>
  <c r="CC381" i="7" s="1"/>
  <c r="D381" i="11" s="1"/>
  <c r="CS380" i="7"/>
  <c r="CU380" i="7" s="1"/>
  <c r="CY380" i="7" s="1"/>
  <c r="O410" i="9"/>
  <c r="BL382" i="7"/>
  <c r="AW382" i="11" s="1"/>
  <c r="CV381" i="7"/>
  <c r="CX381" i="7" s="1"/>
  <c r="CF381" i="7"/>
  <c r="CH381" i="7" s="1"/>
  <c r="CI381" i="7" s="1"/>
  <c r="CQ184" i="7"/>
  <c r="D380" i="11"/>
  <c r="CQ380" i="7"/>
  <c r="CC185" i="7"/>
  <c r="CS185" i="7"/>
  <c r="CU185" i="7" s="1"/>
  <c r="CY185" i="7" s="1"/>
  <c r="CZ185" i="7" s="1"/>
  <c r="L410" i="9"/>
  <c r="BK382" i="7" s="1"/>
  <c r="M410" i="9"/>
  <c r="AR383" i="7" s="1"/>
  <c r="CA383" i="7" s="1"/>
  <c r="B412" i="9"/>
  <c r="C411" i="9"/>
  <c r="E411" i="9" s="1"/>
  <c r="F411" i="9"/>
  <c r="AY383" i="11" s="1"/>
  <c r="G411" i="9"/>
  <c r="Q383" i="11" s="1"/>
  <c r="H411" i="9"/>
  <c r="BA383" i="11" s="1"/>
  <c r="I411" i="9"/>
  <c r="J411" i="9"/>
  <c r="R383" i="11" s="1"/>
  <c r="K411" i="9"/>
  <c r="K214" i="9"/>
  <c r="J214" i="9"/>
  <c r="R186" i="11" s="1"/>
  <c r="I214" i="9"/>
  <c r="O214" i="9"/>
  <c r="BL186" i="7"/>
  <c r="CB382" i="7" l="1"/>
  <c r="CC382" i="7" s="1"/>
  <c r="CN382" i="7" s="1"/>
  <c r="I382" i="11" s="1"/>
  <c r="L382" i="11" s="1"/>
  <c r="CS381" i="7"/>
  <c r="CU381" i="7" s="1"/>
  <c r="CY381" i="7" s="1"/>
  <c r="CF382" i="7"/>
  <c r="CH382" i="7" s="1"/>
  <c r="CI382" i="7" s="1"/>
  <c r="CV382" i="7"/>
  <c r="CX382" i="7" s="1"/>
  <c r="O411" i="9"/>
  <c r="BL383" i="7"/>
  <c r="AW383" i="11" s="1"/>
  <c r="CF186" i="7"/>
  <c r="CH186" i="7" s="1"/>
  <c r="CI186" i="7" s="1"/>
  <c r="CK185" i="7"/>
  <c r="CQ185" i="7" s="1"/>
  <c r="CQ381" i="7"/>
  <c r="CN381" i="7"/>
  <c r="I381" i="11" s="1"/>
  <c r="L381" i="11" s="1"/>
  <c r="CV186" i="7"/>
  <c r="CX186" i="7" s="1"/>
  <c r="B413" i="9"/>
  <c r="C412" i="9"/>
  <c r="E412" i="9" s="1"/>
  <c r="F412" i="9"/>
  <c r="AY384" i="11" s="1"/>
  <c r="G412" i="9"/>
  <c r="Q384" i="11" s="1"/>
  <c r="H412" i="9"/>
  <c r="BA384" i="11" s="1"/>
  <c r="I412" i="9"/>
  <c r="J412" i="9"/>
  <c r="R384" i="11" s="1"/>
  <c r="K412" i="9"/>
  <c r="M411" i="9"/>
  <c r="AR384" i="7" s="1"/>
  <c r="CA384" i="7" s="1"/>
  <c r="L411" i="9"/>
  <c r="BK383" i="7" s="1"/>
  <c r="F215" i="9"/>
  <c r="AY187" i="11" s="1"/>
  <c r="C215" i="9"/>
  <c r="E215" i="9" s="1"/>
  <c r="H215" i="9" s="1"/>
  <c r="BA187" i="11" s="1"/>
  <c r="L214" i="9"/>
  <c r="BK186" i="7" s="1"/>
  <c r="CB186" i="7" s="1"/>
  <c r="M214" i="9"/>
  <c r="AR187" i="7" s="1"/>
  <c r="CA187" i="7" s="1"/>
  <c r="CB383" i="7" l="1"/>
  <c r="CC383" i="7" s="1"/>
  <c r="D383" i="11" s="1"/>
  <c r="CS382" i="7"/>
  <c r="CU382" i="7" s="1"/>
  <c r="CY382" i="7" s="1"/>
  <c r="G215" i="9"/>
  <c r="Q187" i="11" s="1"/>
  <c r="CV383" i="7"/>
  <c r="CX383" i="7" s="1"/>
  <c r="CF383" i="7"/>
  <c r="CH383" i="7" s="1"/>
  <c r="CI383" i="7" s="1"/>
  <c r="O412" i="9"/>
  <c r="BL384" i="7"/>
  <c r="AW384" i="11" s="1"/>
  <c r="CN185" i="7"/>
  <c r="I185" i="11" s="1"/>
  <c r="D382" i="11"/>
  <c r="CQ382" i="7"/>
  <c r="CC186" i="7"/>
  <c r="CS186" i="7"/>
  <c r="CU186" i="7" s="1"/>
  <c r="CY186" i="7" s="1"/>
  <c r="CZ186" i="7" s="1"/>
  <c r="M412" i="9"/>
  <c r="AR385" i="7" s="1"/>
  <c r="CA385" i="7" s="1"/>
  <c r="L412" i="9"/>
  <c r="BK384" i="7" s="1"/>
  <c r="B414" i="9"/>
  <c r="C413" i="9"/>
  <c r="E413" i="9" s="1"/>
  <c r="F413" i="9"/>
  <c r="AY385" i="11" s="1"/>
  <c r="G413" i="9"/>
  <c r="Q385" i="11" s="1"/>
  <c r="H413" i="9"/>
  <c r="BA385" i="11" s="1"/>
  <c r="I413" i="9"/>
  <c r="J413" i="9"/>
  <c r="R385" i="11" s="1"/>
  <c r="K413" i="9"/>
  <c r="I215" i="9"/>
  <c r="K215" i="9"/>
  <c r="J215" i="9"/>
  <c r="R187" i="11" s="1"/>
  <c r="BL187" i="7"/>
  <c r="O215" i="9"/>
  <c r="CS383" i="7" l="1"/>
  <c r="CU383" i="7" s="1"/>
  <c r="CY383" i="7" s="1"/>
  <c r="CB384" i="7"/>
  <c r="CC384" i="7" s="1"/>
  <c r="CQ384" i="7" s="1"/>
  <c r="CF384" i="7"/>
  <c r="CH384" i="7" s="1"/>
  <c r="CI384" i="7" s="1"/>
  <c r="CV384" i="7"/>
  <c r="CX384" i="7" s="1"/>
  <c r="O413" i="9"/>
  <c r="BL385" i="7"/>
  <c r="AW385" i="11" s="1"/>
  <c r="CF187" i="7"/>
  <c r="CH187" i="7" s="1"/>
  <c r="CI187" i="7" s="1"/>
  <c r="CK186" i="7"/>
  <c r="CN186" i="7" s="1"/>
  <c r="I186" i="11" s="1"/>
  <c r="CN383" i="7"/>
  <c r="I383" i="11" s="1"/>
  <c r="L383" i="11" s="1"/>
  <c r="CQ383" i="7"/>
  <c r="CV187" i="7"/>
  <c r="CX187" i="7" s="1"/>
  <c r="B415" i="9"/>
  <c r="C414" i="9"/>
  <c r="E414" i="9" s="1"/>
  <c r="F414" i="9"/>
  <c r="AY386" i="11" s="1"/>
  <c r="G414" i="9"/>
  <c r="Q386" i="11" s="1"/>
  <c r="H414" i="9"/>
  <c r="BA386" i="11" s="1"/>
  <c r="I414" i="9"/>
  <c r="J414" i="9"/>
  <c r="R386" i="11" s="1"/>
  <c r="K414" i="9"/>
  <c r="M413" i="9"/>
  <c r="AR386" i="7" s="1"/>
  <c r="CA386" i="7" s="1"/>
  <c r="L413" i="9"/>
  <c r="BK385" i="7" s="1"/>
  <c r="F216" i="9"/>
  <c r="AY188" i="11" s="1"/>
  <c r="G216" i="9"/>
  <c r="Q188" i="11" s="1"/>
  <c r="C216" i="9"/>
  <c r="E216" i="9" s="1"/>
  <c r="H216" i="9" s="1"/>
  <c r="BA188" i="11" s="1"/>
  <c r="M215" i="9"/>
  <c r="AR188" i="7" s="1"/>
  <c r="CA188" i="7" s="1"/>
  <c r="L215" i="9"/>
  <c r="BK187" i="7" s="1"/>
  <c r="CB187" i="7" s="1"/>
  <c r="CB385" i="7" l="1"/>
  <c r="CS385" i="7" s="1"/>
  <c r="CU385" i="7" s="1"/>
  <c r="CS384" i="7"/>
  <c r="CU384" i="7" s="1"/>
  <c r="CY384" i="7" s="1"/>
  <c r="O414" i="9"/>
  <c r="BL386" i="7"/>
  <c r="AW386" i="11" s="1"/>
  <c r="CV385" i="7"/>
  <c r="CX385" i="7" s="1"/>
  <c r="CF385" i="7"/>
  <c r="CH385" i="7" s="1"/>
  <c r="CI385" i="7" s="1"/>
  <c r="CQ186" i="7"/>
  <c r="CN384" i="7"/>
  <c r="I384" i="11" s="1"/>
  <c r="L384" i="11" s="1"/>
  <c r="D384" i="11"/>
  <c r="CC187" i="7"/>
  <c r="CS187" i="7"/>
  <c r="CU187" i="7" s="1"/>
  <c r="CY187" i="7" s="1"/>
  <c r="CZ187" i="7" s="1"/>
  <c r="M414" i="9"/>
  <c r="AR387" i="7" s="1"/>
  <c r="CA387" i="7" s="1"/>
  <c r="L414" i="9"/>
  <c r="BK386" i="7" s="1"/>
  <c r="B416" i="9"/>
  <c r="C415" i="9"/>
  <c r="E415" i="9" s="1"/>
  <c r="F415" i="9"/>
  <c r="AY387" i="11" s="1"/>
  <c r="G415" i="9"/>
  <c r="Q387" i="11" s="1"/>
  <c r="H415" i="9"/>
  <c r="BA387" i="11" s="1"/>
  <c r="I415" i="9"/>
  <c r="J415" i="9"/>
  <c r="R387" i="11" s="1"/>
  <c r="K415" i="9"/>
  <c r="K216" i="9"/>
  <c r="I216" i="9"/>
  <c r="J216" i="9"/>
  <c r="R188" i="11" s="1"/>
  <c r="BL188" i="7"/>
  <c r="O216" i="9"/>
  <c r="CC385" i="7" l="1"/>
  <c r="CN385" i="7" s="1"/>
  <c r="I385" i="11" s="1"/>
  <c r="L385" i="11" s="1"/>
  <c r="CB386" i="7"/>
  <c r="CC386" i="7" s="1"/>
  <c r="CQ386" i="7" s="1"/>
  <c r="CY385" i="7"/>
  <c r="CF386" i="7"/>
  <c r="CH386" i="7" s="1"/>
  <c r="CI386" i="7" s="1"/>
  <c r="CV386" i="7"/>
  <c r="CX386" i="7" s="1"/>
  <c r="O415" i="9"/>
  <c r="BL387" i="7"/>
  <c r="AW387" i="11" s="1"/>
  <c r="CF188" i="7"/>
  <c r="CH188" i="7" s="1"/>
  <c r="CI188" i="7" s="1"/>
  <c r="CK187" i="7"/>
  <c r="CN187" i="7" s="1"/>
  <c r="I187" i="11" s="1"/>
  <c r="D385" i="11"/>
  <c r="CQ385" i="7"/>
  <c r="CV188" i="7"/>
  <c r="CX188" i="7" s="1"/>
  <c r="B417" i="9"/>
  <c r="C416" i="9"/>
  <c r="E416" i="9" s="1"/>
  <c r="F416" i="9"/>
  <c r="AY388" i="11" s="1"/>
  <c r="G416" i="9"/>
  <c r="Q388" i="11" s="1"/>
  <c r="H416" i="9"/>
  <c r="BA388" i="11" s="1"/>
  <c r="I416" i="9"/>
  <c r="J416" i="9"/>
  <c r="R388" i="11" s="1"/>
  <c r="K416" i="9"/>
  <c r="M415" i="9"/>
  <c r="AR388" i="7" s="1"/>
  <c r="CA388" i="7" s="1"/>
  <c r="L415" i="9"/>
  <c r="BK387" i="7" s="1"/>
  <c r="F217" i="9"/>
  <c r="AY189" i="11" s="1"/>
  <c r="C217" i="9"/>
  <c r="E217" i="9" s="1"/>
  <c r="G217" i="9"/>
  <c r="Q189" i="11" s="1"/>
  <c r="I217" i="9"/>
  <c r="H217" i="9"/>
  <c r="BA189" i="11" s="1"/>
  <c r="K217" i="9"/>
  <c r="L216" i="9"/>
  <c r="BK188" i="7" s="1"/>
  <c r="CB188" i="7" s="1"/>
  <c r="M216" i="9"/>
  <c r="AR189" i="7" s="1"/>
  <c r="CA189" i="7" s="1"/>
  <c r="CB387" i="7" l="1"/>
  <c r="CS387" i="7" s="1"/>
  <c r="CU387" i="7" s="1"/>
  <c r="CS386" i="7"/>
  <c r="CU386" i="7" s="1"/>
  <c r="CY386" i="7" s="1"/>
  <c r="CH388" i="11"/>
  <c r="AM56" i="20" s="1"/>
  <c r="AM57" i="20" s="1"/>
  <c r="CJ388" i="11"/>
  <c r="AM76" i="20" s="1"/>
  <c r="AM77" i="20" s="1"/>
  <c r="AM78" i="20" s="1"/>
  <c r="CF387" i="7"/>
  <c r="CH387" i="7" s="1"/>
  <c r="CI387" i="7" s="1"/>
  <c r="CV387" i="7"/>
  <c r="CX387" i="7" s="1"/>
  <c r="O416" i="9"/>
  <c r="BL388" i="7"/>
  <c r="AW388" i="11" s="1"/>
  <c r="CQ187" i="7"/>
  <c r="D386" i="11"/>
  <c r="CN386" i="7"/>
  <c r="I386" i="11" s="1"/>
  <c r="L386" i="11" s="1"/>
  <c r="CC188" i="7"/>
  <c r="CS188" i="7"/>
  <c r="CU188" i="7" s="1"/>
  <c r="CY188" i="7" s="1"/>
  <c r="CZ188" i="7" s="1"/>
  <c r="M416" i="9"/>
  <c r="AR389" i="7" s="1"/>
  <c r="CA389" i="7" s="1"/>
  <c r="L416" i="9"/>
  <c r="BK388" i="7" s="1"/>
  <c r="B418" i="9"/>
  <c r="C417" i="9"/>
  <c r="E417" i="9" s="1"/>
  <c r="F417" i="9"/>
  <c r="AY389" i="11" s="1"/>
  <c r="G417" i="9"/>
  <c r="Q389" i="11" s="1"/>
  <c r="H417" i="9"/>
  <c r="BA389" i="11" s="1"/>
  <c r="I417" i="9"/>
  <c r="J417" i="9"/>
  <c r="R389" i="11" s="1"/>
  <c r="K417" i="9"/>
  <c r="M217" i="9"/>
  <c r="AR190" i="7" s="1"/>
  <c r="CA190" i="7" s="1"/>
  <c r="L217" i="9"/>
  <c r="BK189" i="7" s="1"/>
  <c r="J217" i="9"/>
  <c r="R189" i="11" s="1"/>
  <c r="O217" i="9"/>
  <c r="BL189" i="7"/>
  <c r="CC387" i="7" l="1"/>
  <c r="D387" i="11" s="1"/>
  <c r="CY387" i="7"/>
  <c r="CB388" i="7"/>
  <c r="CC388" i="7" s="1"/>
  <c r="D388" i="11" s="1"/>
  <c r="CF388" i="7"/>
  <c r="CH388" i="7" s="1"/>
  <c r="CI388" i="7" s="1"/>
  <c r="CV388" i="7"/>
  <c r="CX388" i="7" s="1"/>
  <c r="CF388" i="11"/>
  <c r="AM51" i="20" s="1"/>
  <c r="AM52" i="20" s="1"/>
  <c r="AM53" i="20" s="1"/>
  <c r="O417" i="9"/>
  <c r="BL389" i="7"/>
  <c r="AW389" i="11" s="1"/>
  <c r="CF189" i="7"/>
  <c r="CH189" i="7" s="1"/>
  <c r="CI189" i="7" s="1"/>
  <c r="CB189" i="7"/>
  <c r="CK188" i="7"/>
  <c r="CQ188" i="7" s="1"/>
  <c r="CQ387" i="7"/>
  <c r="CN387" i="7"/>
  <c r="I387" i="11" s="1"/>
  <c r="L387" i="11" s="1"/>
  <c r="CV189" i="7"/>
  <c r="CX189" i="7" s="1"/>
  <c r="B419" i="9"/>
  <c r="C418" i="9"/>
  <c r="E418" i="9" s="1"/>
  <c r="F418" i="9"/>
  <c r="AY390" i="11" s="1"/>
  <c r="G418" i="9"/>
  <c r="Q390" i="11" s="1"/>
  <c r="H418" i="9"/>
  <c r="BA390" i="11" s="1"/>
  <c r="I418" i="9"/>
  <c r="J418" i="9"/>
  <c r="R390" i="11" s="1"/>
  <c r="K418" i="9"/>
  <c r="M417" i="9"/>
  <c r="AR390" i="7" s="1"/>
  <c r="CA390" i="7" s="1"/>
  <c r="L417" i="9"/>
  <c r="BK389" i="7" s="1"/>
  <c r="CB389" i="7" s="1"/>
  <c r="G218" i="9"/>
  <c r="Q190" i="11" s="1"/>
  <c r="F218" i="9"/>
  <c r="AY190" i="11" s="1"/>
  <c r="C218" i="9"/>
  <c r="E218" i="9" s="1"/>
  <c r="H218" i="9" s="1"/>
  <c r="BA190" i="11" s="1"/>
  <c r="CS388" i="7" l="1"/>
  <c r="CU388" i="7" s="1"/>
  <c r="CY388" i="7" s="1"/>
  <c r="AM58" i="20"/>
  <c r="AM59" i="20" s="1"/>
  <c r="AM68" i="20"/>
  <c r="AM69" i="20" s="1"/>
  <c r="AM79" i="20" s="1"/>
  <c r="AM81" i="20" s="1"/>
  <c r="CF389" i="7"/>
  <c r="CH389" i="7" s="1"/>
  <c r="CI389" i="7" s="1"/>
  <c r="CV389" i="7"/>
  <c r="CX389" i="7" s="1"/>
  <c r="O418" i="9"/>
  <c r="BL390" i="7"/>
  <c r="AW390" i="11" s="1"/>
  <c r="CN188" i="7"/>
  <c r="I188" i="11" s="1"/>
  <c r="CN388" i="7"/>
  <c r="I388" i="11" s="1"/>
  <c r="L388" i="11" s="1"/>
  <c r="CQ388" i="7"/>
  <c r="CC189" i="7"/>
  <c r="CS189" i="7"/>
  <c r="CU189" i="7" s="1"/>
  <c r="CY189" i="7" s="1"/>
  <c r="CZ189" i="7" s="1"/>
  <c r="CC389" i="7"/>
  <c r="CQ389" i="7" s="1"/>
  <c r="CS389" i="7"/>
  <c r="CU389" i="7" s="1"/>
  <c r="L418" i="9"/>
  <c r="BK390" i="7" s="1"/>
  <c r="M418" i="9"/>
  <c r="AR391" i="7" s="1"/>
  <c r="CA391" i="7" s="1"/>
  <c r="B420" i="9"/>
  <c r="C419" i="9"/>
  <c r="E419" i="9" s="1"/>
  <c r="F419" i="9"/>
  <c r="AY391" i="11" s="1"/>
  <c r="G419" i="9"/>
  <c r="Q391" i="11" s="1"/>
  <c r="H419" i="9"/>
  <c r="BA391" i="11" s="1"/>
  <c r="I419" i="9"/>
  <c r="J419" i="9"/>
  <c r="R391" i="11" s="1"/>
  <c r="K419" i="9"/>
  <c r="J218" i="9"/>
  <c r="R190" i="11" s="1"/>
  <c r="I218" i="9"/>
  <c r="K218" i="9"/>
  <c r="O218" i="9"/>
  <c r="BL190" i="7"/>
  <c r="CB390" i="7" l="1"/>
  <c r="CS390" i="7" s="1"/>
  <c r="CU390" i="7" s="1"/>
  <c r="CY389" i="7"/>
  <c r="CF390" i="7"/>
  <c r="CH390" i="7" s="1"/>
  <c r="CI390" i="7" s="1"/>
  <c r="CV390" i="7"/>
  <c r="CX390" i="7" s="1"/>
  <c r="O419" i="9"/>
  <c r="BL391" i="7"/>
  <c r="AW391" i="11" s="1"/>
  <c r="CF190" i="7"/>
  <c r="CH190" i="7" s="1"/>
  <c r="CI190" i="7" s="1"/>
  <c r="CK189" i="7"/>
  <c r="CN189" i="7" s="1"/>
  <c r="I189" i="11" s="1"/>
  <c r="D389" i="11"/>
  <c r="CN389" i="7"/>
  <c r="I389" i="11" s="1"/>
  <c r="L389" i="11" s="1"/>
  <c r="CV190" i="7"/>
  <c r="CX190" i="7" s="1"/>
  <c r="B421" i="9"/>
  <c r="C420" i="9"/>
  <c r="E420" i="9" s="1"/>
  <c r="F420" i="9"/>
  <c r="AY392" i="11" s="1"/>
  <c r="G420" i="9"/>
  <c r="Q392" i="11" s="1"/>
  <c r="H420" i="9"/>
  <c r="BA392" i="11" s="1"/>
  <c r="I420" i="9"/>
  <c r="J420" i="9"/>
  <c r="R392" i="11" s="1"/>
  <c r="K420" i="9"/>
  <c r="M419" i="9"/>
  <c r="AR392" i="7" s="1"/>
  <c r="CA392" i="7" s="1"/>
  <c r="L419" i="9"/>
  <c r="BK391" i="7" s="1"/>
  <c r="L218" i="9"/>
  <c r="BK190" i="7" s="1"/>
  <c r="CB190" i="7" s="1"/>
  <c r="M218" i="9"/>
  <c r="AR191" i="7" s="1"/>
  <c r="CA191" i="7" s="1"/>
  <c r="I219" i="9"/>
  <c r="G219" i="9"/>
  <c r="Q191" i="11" s="1"/>
  <c r="F219" i="9"/>
  <c r="AY191" i="11" s="1"/>
  <c r="C219" i="9"/>
  <c r="E219" i="9" s="1"/>
  <c r="H219" i="9"/>
  <c r="BA191" i="11" s="1"/>
  <c r="K219" i="9"/>
  <c r="CC390" i="7" l="1"/>
  <c r="D390" i="11" s="1"/>
  <c r="CY390" i="7"/>
  <c r="CB391" i="7"/>
  <c r="CC391" i="7" s="1"/>
  <c r="D391" i="11" s="1"/>
  <c r="O420" i="9"/>
  <c r="BL392" i="7"/>
  <c r="AW392" i="11" s="1"/>
  <c r="CF391" i="7"/>
  <c r="CH391" i="7" s="1"/>
  <c r="CI391" i="7" s="1"/>
  <c r="CV391" i="7"/>
  <c r="CX391" i="7" s="1"/>
  <c r="CQ189" i="7"/>
  <c r="CQ390" i="7"/>
  <c r="CN390" i="7"/>
  <c r="I390" i="11" s="1"/>
  <c r="L390" i="11" s="1"/>
  <c r="CC190" i="7"/>
  <c r="CS190" i="7"/>
  <c r="CU190" i="7" s="1"/>
  <c r="CY190" i="7" s="1"/>
  <c r="CZ190" i="7" s="1"/>
  <c r="L420" i="9"/>
  <c r="BK392" i="7" s="1"/>
  <c r="M420" i="9"/>
  <c r="AR393" i="7" s="1"/>
  <c r="CA393" i="7" s="1"/>
  <c r="B422" i="9"/>
  <c r="C421" i="9"/>
  <c r="E421" i="9" s="1"/>
  <c r="F421" i="9"/>
  <c r="AY393" i="11" s="1"/>
  <c r="G421" i="9"/>
  <c r="Q393" i="11" s="1"/>
  <c r="H421" i="9"/>
  <c r="BA393" i="11" s="1"/>
  <c r="I421" i="9"/>
  <c r="J421" i="9"/>
  <c r="R393" i="11" s="1"/>
  <c r="K421" i="9"/>
  <c r="L219" i="9"/>
  <c r="BK191" i="7" s="1"/>
  <c r="M219" i="9"/>
  <c r="AR192" i="7" s="1"/>
  <c r="CA192" i="7" s="1"/>
  <c r="J219" i="9"/>
  <c r="R191" i="11" s="1"/>
  <c r="O219" i="9"/>
  <c r="BL191" i="7"/>
  <c r="CB392" i="7" l="1"/>
  <c r="CS392" i="7" s="1"/>
  <c r="CU392" i="7" s="1"/>
  <c r="CS391" i="7"/>
  <c r="CU391" i="7" s="1"/>
  <c r="CY391" i="7" s="1"/>
  <c r="CV392" i="7"/>
  <c r="CX392" i="7" s="1"/>
  <c r="CF392" i="7"/>
  <c r="CH392" i="7" s="1"/>
  <c r="CI392" i="7" s="1"/>
  <c r="O421" i="9"/>
  <c r="BL393" i="7"/>
  <c r="AW393" i="11" s="1"/>
  <c r="CF191" i="7"/>
  <c r="CH191" i="7" s="1"/>
  <c r="CI191" i="7" s="1"/>
  <c r="CB191" i="7"/>
  <c r="CK190" i="7"/>
  <c r="CQ190" i="7" s="1"/>
  <c r="CQ391" i="7"/>
  <c r="CN391" i="7"/>
  <c r="I391" i="11" s="1"/>
  <c r="L391" i="11" s="1"/>
  <c r="CV191" i="7"/>
  <c r="CX191" i="7" s="1"/>
  <c r="CC392" i="7"/>
  <c r="CN392" i="7" s="1"/>
  <c r="I392" i="11" s="1"/>
  <c r="L392" i="11" s="1"/>
  <c r="B423" i="9"/>
  <c r="C422" i="9"/>
  <c r="E422" i="9" s="1"/>
  <c r="F422" i="9"/>
  <c r="AY394" i="11" s="1"/>
  <c r="G422" i="9"/>
  <c r="Q394" i="11" s="1"/>
  <c r="H422" i="9"/>
  <c r="BA394" i="11" s="1"/>
  <c r="I422" i="9"/>
  <c r="J422" i="9"/>
  <c r="R394" i="11" s="1"/>
  <c r="K422" i="9"/>
  <c r="M421" i="9"/>
  <c r="AR394" i="7" s="1"/>
  <c r="CA394" i="7" s="1"/>
  <c r="L421" i="9"/>
  <c r="BK393" i="7" s="1"/>
  <c r="C220" i="9"/>
  <c r="E220" i="9" s="1"/>
  <c r="H220" i="9" s="1"/>
  <c r="BA192" i="11" s="1"/>
  <c r="F220" i="9"/>
  <c r="AY192" i="11" s="1"/>
  <c r="CY392" i="7" l="1"/>
  <c r="CB393" i="7"/>
  <c r="CS393" i="7" s="1"/>
  <c r="CU393" i="7" s="1"/>
  <c r="CF393" i="7"/>
  <c r="CH393" i="7" s="1"/>
  <c r="CI393" i="7" s="1"/>
  <c r="CV393" i="7"/>
  <c r="CX393" i="7" s="1"/>
  <c r="O422" i="9"/>
  <c r="BL394" i="7"/>
  <c r="AW394" i="11" s="1"/>
  <c r="CN190" i="7"/>
  <c r="I190" i="11" s="1"/>
  <c r="CQ392" i="7"/>
  <c r="D392" i="11"/>
  <c r="CC191" i="7"/>
  <c r="CS191" i="7"/>
  <c r="CU191" i="7" s="1"/>
  <c r="CY191" i="7" s="1"/>
  <c r="CZ191" i="7" s="1"/>
  <c r="M422" i="9"/>
  <c r="AR395" i="7" s="1"/>
  <c r="CA395" i="7" s="1"/>
  <c r="L422" i="9"/>
  <c r="BK394" i="7" s="1"/>
  <c r="B424" i="9"/>
  <c r="C423" i="9"/>
  <c r="E423" i="9" s="1"/>
  <c r="F423" i="9"/>
  <c r="AY395" i="11" s="1"/>
  <c r="G423" i="9"/>
  <c r="Q395" i="11" s="1"/>
  <c r="H423" i="9"/>
  <c r="BA395" i="11" s="1"/>
  <c r="I423" i="9"/>
  <c r="J423" i="9"/>
  <c r="R395" i="11" s="1"/>
  <c r="K423" i="9"/>
  <c r="I220" i="9"/>
  <c r="J220" i="9"/>
  <c r="R192" i="11" s="1"/>
  <c r="K220" i="9"/>
  <c r="BL192" i="7"/>
  <c r="O220" i="9"/>
  <c r="G220" i="9"/>
  <c r="Q192" i="11" s="1"/>
  <c r="CC393" i="7" l="1"/>
  <c r="D393" i="11" s="1"/>
  <c r="CY393" i="7"/>
  <c r="CB394" i="7"/>
  <c r="CC394" i="7" s="1"/>
  <c r="CN394" i="7" s="1"/>
  <c r="I394" i="11" s="1"/>
  <c r="L394" i="11" s="1"/>
  <c r="CF394" i="7"/>
  <c r="CH394" i="7" s="1"/>
  <c r="CI394" i="7" s="1"/>
  <c r="CV394" i="7"/>
  <c r="CX394" i="7" s="1"/>
  <c r="O423" i="9"/>
  <c r="BL395" i="7"/>
  <c r="AW395" i="11" s="1"/>
  <c r="CF192" i="7"/>
  <c r="CH192" i="7" s="1"/>
  <c r="CI192" i="7" s="1"/>
  <c r="CK191" i="7"/>
  <c r="CQ191" i="7" s="1"/>
  <c r="CN393" i="7"/>
  <c r="I393" i="11" s="1"/>
  <c r="L393" i="11" s="1"/>
  <c r="CQ393" i="7"/>
  <c r="CV192" i="7"/>
  <c r="CX192" i="7" s="1"/>
  <c r="B425" i="9"/>
  <c r="C424" i="9"/>
  <c r="E424" i="9" s="1"/>
  <c r="F424" i="9"/>
  <c r="AY396" i="11" s="1"/>
  <c r="G424" i="9"/>
  <c r="Q396" i="11" s="1"/>
  <c r="H424" i="9"/>
  <c r="BA396" i="11" s="1"/>
  <c r="I424" i="9"/>
  <c r="J424" i="9"/>
  <c r="R396" i="11" s="1"/>
  <c r="K424" i="9"/>
  <c r="M423" i="9"/>
  <c r="AR396" i="7" s="1"/>
  <c r="CA396" i="7" s="1"/>
  <c r="L423" i="9"/>
  <c r="BK395" i="7" s="1"/>
  <c r="M220" i="9"/>
  <c r="AR193" i="7" s="1"/>
  <c r="CA193" i="7" s="1"/>
  <c r="L220" i="9"/>
  <c r="BK192" i="7" s="1"/>
  <c r="CB192" i="7" s="1"/>
  <c r="C221" i="9"/>
  <c r="E221" i="9" s="1"/>
  <c r="H221" i="9" s="1"/>
  <c r="BA193" i="11" s="1"/>
  <c r="F221" i="9"/>
  <c r="AY193" i="11" s="1"/>
  <c r="G221" i="9"/>
  <c r="Q193" i="11" s="1"/>
  <c r="CB395" i="7" l="1"/>
  <c r="CS395" i="7" s="1"/>
  <c r="CU395" i="7" s="1"/>
  <c r="CS394" i="7"/>
  <c r="CU394" i="7" s="1"/>
  <c r="CY394" i="7" s="1"/>
  <c r="O424" i="9"/>
  <c r="BL396" i="7"/>
  <c r="AW396" i="11" s="1"/>
  <c r="CF395" i="7"/>
  <c r="CH395" i="7" s="1"/>
  <c r="CI395" i="7" s="1"/>
  <c r="CV395" i="7"/>
  <c r="CX395" i="7" s="1"/>
  <c r="CN191" i="7"/>
  <c r="I191" i="11" s="1"/>
  <c r="CQ394" i="7"/>
  <c r="D394" i="11"/>
  <c r="CC192" i="7"/>
  <c r="CS192" i="7"/>
  <c r="CU192" i="7" s="1"/>
  <c r="CY192" i="7" s="1"/>
  <c r="CZ192" i="7" s="1"/>
  <c r="M424" i="9"/>
  <c r="AR397" i="7" s="1"/>
  <c r="CA397" i="7" s="1"/>
  <c r="L424" i="9"/>
  <c r="BK396" i="7" s="1"/>
  <c r="B426" i="9"/>
  <c r="C425" i="9"/>
  <c r="E425" i="9" s="1"/>
  <c r="F425" i="9"/>
  <c r="AY397" i="11" s="1"/>
  <c r="G425" i="9"/>
  <c r="Q397" i="11" s="1"/>
  <c r="H425" i="9"/>
  <c r="BA397" i="11" s="1"/>
  <c r="I425" i="9"/>
  <c r="J425" i="9"/>
  <c r="R397" i="11" s="1"/>
  <c r="K425" i="9"/>
  <c r="J221" i="9"/>
  <c r="R193" i="11" s="1"/>
  <c r="I221" i="9"/>
  <c r="K221" i="9"/>
  <c r="O221" i="9"/>
  <c r="BL193" i="7"/>
  <c r="CB396" i="7" l="1"/>
  <c r="CS396" i="7" s="1"/>
  <c r="CU396" i="7" s="1"/>
  <c r="CC395" i="7"/>
  <c r="CQ395" i="7" s="1"/>
  <c r="CY395" i="7"/>
  <c r="CF396" i="7"/>
  <c r="CH396" i="7" s="1"/>
  <c r="CI396" i="7" s="1"/>
  <c r="CV396" i="7"/>
  <c r="CX396" i="7" s="1"/>
  <c r="O425" i="9"/>
  <c r="BL397" i="7"/>
  <c r="AW397" i="11" s="1"/>
  <c r="CF193" i="7"/>
  <c r="CH193" i="7" s="1"/>
  <c r="CI193" i="7" s="1"/>
  <c r="CK192" i="7"/>
  <c r="CN192" i="7" s="1"/>
  <c r="I192" i="11" s="1"/>
  <c r="CN395" i="7"/>
  <c r="I395" i="11" s="1"/>
  <c r="L395" i="11" s="1"/>
  <c r="D395" i="11"/>
  <c r="CV193" i="7"/>
  <c r="CX193" i="7" s="1"/>
  <c r="B427" i="9"/>
  <c r="C426" i="9"/>
  <c r="E426" i="9" s="1"/>
  <c r="F426" i="9"/>
  <c r="AY398" i="11" s="1"/>
  <c r="G426" i="9"/>
  <c r="Q398" i="11" s="1"/>
  <c r="H426" i="9"/>
  <c r="BA398" i="11" s="1"/>
  <c r="I426" i="9"/>
  <c r="J426" i="9"/>
  <c r="R398" i="11" s="1"/>
  <c r="K426" i="9"/>
  <c r="L425" i="9"/>
  <c r="BK397" i="7" s="1"/>
  <c r="CB397" i="7" s="1"/>
  <c r="M425" i="9"/>
  <c r="AR398" i="7" s="1"/>
  <c r="CA398" i="7" s="1"/>
  <c r="L221" i="9"/>
  <c r="BK193" i="7" s="1"/>
  <c r="CB193" i="7" s="1"/>
  <c r="M221" i="9"/>
  <c r="AR194" i="7" s="1"/>
  <c r="CA194" i="7" s="1"/>
  <c r="G222" i="9"/>
  <c r="Q194" i="11" s="1"/>
  <c r="C222" i="9"/>
  <c r="E222" i="9" s="1"/>
  <c r="H222" i="9" s="1"/>
  <c r="BA194" i="11" s="1"/>
  <c r="F222" i="9"/>
  <c r="AY194" i="11" s="1"/>
  <c r="CC396" i="7" l="1"/>
  <c r="CN396" i="7" s="1"/>
  <c r="I396" i="11" s="1"/>
  <c r="L396" i="11" s="1"/>
  <c r="CY396" i="7"/>
  <c r="O426" i="9"/>
  <c r="BL398" i="7"/>
  <c r="AW398" i="11" s="1"/>
  <c r="CF397" i="7"/>
  <c r="CH397" i="7" s="1"/>
  <c r="CI397" i="7" s="1"/>
  <c r="CV397" i="7"/>
  <c r="CX397" i="7" s="1"/>
  <c r="CQ192" i="7"/>
  <c r="D396" i="11"/>
  <c r="CQ396" i="7"/>
  <c r="CC397" i="7"/>
  <c r="CN397" i="7" s="1"/>
  <c r="I397" i="11" s="1"/>
  <c r="L397" i="11" s="1"/>
  <c r="CS397" i="7"/>
  <c r="CU397" i="7" s="1"/>
  <c r="CC193" i="7"/>
  <c r="CS193" i="7"/>
  <c r="CU193" i="7" s="1"/>
  <c r="CY193" i="7" s="1"/>
  <c r="CZ193" i="7" s="1"/>
  <c r="L426" i="9"/>
  <c r="BK398" i="7" s="1"/>
  <c r="M426" i="9"/>
  <c r="AR399" i="7" s="1"/>
  <c r="CA399" i="7" s="1"/>
  <c r="B428" i="9"/>
  <c r="C427" i="9"/>
  <c r="E427" i="9" s="1"/>
  <c r="F427" i="9"/>
  <c r="AY399" i="11" s="1"/>
  <c r="G427" i="9"/>
  <c r="Q399" i="11" s="1"/>
  <c r="H427" i="9"/>
  <c r="BA399" i="11" s="1"/>
  <c r="I427" i="9"/>
  <c r="J427" i="9"/>
  <c r="R399" i="11" s="1"/>
  <c r="K427" i="9"/>
  <c r="I222" i="9"/>
  <c r="K222" i="9"/>
  <c r="J222" i="9"/>
  <c r="R194" i="11" s="1"/>
  <c r="O222" i="9"/>
  <c r="BL194" i="7"/>
  <c r="CB398" i="7" l="1"/>
  <c r="CC398" i="7" s="1"/>
  <c r="CQ398" i="7" s="1"/>
  <c r="CY397" i="7"/>
  <c r="CF398" i="7"/>
  <c r="CH398" i="7" s="1"/>
  <c r="CI398" i="7" s="1"/>
  <c r="CV398" i="7"/>
  <c r="CX398" i="7" s="1"/>
  <c r="O427" i="9"/>
  <c r="BL399" i="7"/>
  <c r="AW399" i="11" s="1"/>
  <c r="CF194" i="7"/>
  <c r="CH194" i="7" s="1"/>
  <c r="CI194" i="7" s="1"/>
  <c r="CK193" i="7"/>
  <c r="CQ193" i="7" s="1"/>
  <c r="D397" i="11"/>
  <c r="CQ397" i="7"/>
  <c r="CV194" i="7"/>
  <c r="CX194" i="7" s="1"/>
  <c r="B429" i="9"/>
  <c r="C428" i="9"/>
  <c r="E428" i="9" s="1"/>
  <c r="F428" i="9"/>
  <c r="AY400" i="11" s="1"/>
  <c r="G428" i="9"/>
  <c r="Q400" i="11" s="1"/>
  <c r="H428" i="9"/>
  <c r="BA400" i="11" s="1"/>
  <c r="I428" i="9"/>
  <c r="J428" i="9"/>
  <c r="R400" i="11" s="1"/>
  <c r="K428" i="9"/>
  <c r="L427" i="9"/>
  <c r="BK399" i="7" s="1"/>
  <c r="M427" i="9"/>
  <c r="AR400" i="7" s="1"/>
  <c r="CA400" i="7" s="1"/>
  <c r="C223" i="9"/>
  <c r="E223" i="9" s="1"/>
  <c r="H223" i="9" s="1"/>
  <c r="BA195" i="11" s="1"/>
  <c r="F223" i="9"/>
  <c r="AY195" i="11" s="1"/>
  <c r="L222" i="9"/>
  <c r="BK194" i="7" s="1"/>
  <c r="CB194" i="7" s="1"/>
  <c r="M222" i="9"/>
  <c r="AR195" i="7" s="1"/>
  <c r="CA195" i="7" s="1"/>
  <c r="CB399" i="7" l="1"/>
  <c r="CC399" i="7" s="1"/>
  <c r="CQ399" i="7" s="1"/>
  <c r="CS398" i="7"/>
  <c r="CU398" i="7" s="1"/>
  <c r="CY398" i="7" s="1"/>
  <c r="CH400" i="11"/>
  <c r="AN56" i="20" s="1"/>
  <c r="AN57" i="20" s="1"/>
  <c r="CJ400" i="11"/>
  <c r="AN76" i="20" s="1"/>
  <c r="AN77" i="20" s="1"/>
  <c r="AN78" i="20" s="1"/>
  <c r="CF399" i="7"/>
  <c r="CH399" i="7" s="1"/>
  <c r="CI399" i="7" s="1"/>
  <c r="CV399" i="7"/>
  <c r="CX399" i="7" s="1"/>
  <c r="O428" i="9"/>
  <c r="BL400" i="7"/>
  <c r="AW400" i="11" s="1"/>
  <c r="CN193" i="7"/>
  <c r="I193" i="11" s="1"/>
  <c r="D398" i="11"/>
  <c r="CN398" i="7"/>
  <c r="I398" i="11" s="1"/>
  <c r="L398" i="11" s="1"/>
  <c r="CC194" i="7"/>
  <c r="CS194" i="7"/>
  <c r="CU194" i="7" s="1"/>
  <c r="CY194" i="7" s="1"/>
  <c r="CZ194" i="7" s="1"/>
  <c r="M428" i="9"/>
  <c r="AR401" i="7" s="1"/>
  <c r="CA401" i="7" s="1"/>
  <c r="L428" i="9"/>
  <c r="BK400" i="7" s="1"/>
  <c r="B430" i="9"/>
  <c r="C429" i="9"/>
  <c r="E429" i="9" s="1"/>
  <c r="F429" i="9"/>
  <c r="AY401" i="11" s="1"/>
  <c r="G429" i="9"/>
  <c r="Q401" i="11" s="1"/>
  <c r="H429" i="9"/>
  <c r="BA401" i="11" s="1"/>
  <c r="I429" i="9"/>
  <c r="J429" i="9"/>
  <c r="R401" i="11" s="1"/>
  <c r="K429" i="9"/>
  <c r="K223" i="9"/>
  <c r="I223" i="9"/>
  <c r="J223" i="9"/>
  <c r="R195" i="11" s="1"/>
  <c r="O223" i="9"/>
  <c r="BL195" i="7"/>
  <c r="G223" i="9"/>
  <c r="Q195" i="11" s="1"/>
  <c r="CS399" i="7" l="1"/>
  <c r="CU399" i="7" s="1"/>
  <c r="CY399" i="7" s="1"/>
  <c r="CB400" i="7"/>
  <c r="CC400" i="7" s="1"/>
  <c r="D400" i="11" s="1"/>
  <c r="CF400" i="7"/>
  <c r="CH400" i="7" s="1"/>
  <c r="CI400" i="7" s="1"/>
  <c r="CV400" i="7"/>
  <c r="CX400" i="7" s="1"/>
  <c r="CF400" i="11"/>
  <c r="AN51" i="20" s="1"/>
  <c r="AN52" i="20" s="1"/>
  <c r="AN53" i="20" s="1"/>
  <c r="O429" i="9"/>
  <c r="BL401" i="7"/>
  <c r="AW401" i="11" s="1"/>
  <c r="CF195" i="7"/>
  <c r="CH195" i="7" s="1"/>
  <c r="CI195" i="7" s="1"/>
  <c r="CK194" i="7"/>
  <c r="CN194" i="7" s="1"/>
  <c r="I194" i="11" s="1"/>
  <c r="D399" i="11"/>
  <c r="CN399" i="7"/>
  <c r="I399" i="11" s="1"/>
  <c r="L399" i="11" s="1"/>
  <c r="CV195" i="7"/>
  <c r="CX195" i="7" s="1"/>
  <c r="B431" i="9"/>
  <c r="C430" i="9"/>
  <c r="E430" i="9" s="1"/>
  <c r="F430" i="9"/>
  <c r="AY402" i="11" s="1"/>
  <c r="G430" i="9"/>
  <c r="Q402" i="11" s="1"/>
  <c r="H430" i="9"/>
  <c r="BA402" i="11" s="1"/>
  <c r="I430" i="9"/>
  <c r="J430" i="9"/>
  <c r="R402" i="11" s="1"/>
  <c r="K430" i="9"/>
  <c r="M429" i="9"/>
  <c r="AR402" i="7" s="1"/>
  <c r="CA402" i="7" s="1"/>
  <c r="L429" i="9"/>
  <c r="BK401" i="7" s="1"/>
  <c r="C224" i="9"/>
  <c r="E224" i="9" s="1"/>
  <c r="G224" i="9"/>
  <c r="Q196" i="11" s="1"/>
  <c r="F224" i="9"/>
  <c r="AY196" i="11" s="1"/>
  <c r="M223" i="9"/>
  <c r="AR196" i="7" s="1"/>
  <c r="CA196" i="7" s="1"/>
  <c r="L223" i="9"/>
  <c r="BK195" i="7" s="1"/>
  <c r="CB195" i="7" s="1"/>
  <c r="CB401" i="7" l="1"/>
  <c r="CC401" i="7" s="1"/>
  <c r="D401" i="11" s="1"/>
  <c r="CS400" i="7"/>
  <c r="CU400" i="7" s="1"/>
  <c r="CY400" i="7" s="1"/>
  <c r="CH196" i="11"/>
  <c r="W56" i="20" s="1"/>
  <c r="AN58" i="20"/>
  <c r="AN59" i="20" s="1"/>
  <c r="AN68" i="20"/>
  <c r="AN69" i="20" s="1"/>
  <c r="AN79" i="20" s="1"/>
  <c r="AN81" i="20" s="1"/>
  <c r="O430" i="9"/>
  <c r="BL402" i="7"/>
  <c r="AW402" i="11" s="1"/>
  <c r="CF401" i="7"/>
  <c r="CH401" i="7" s="1"/>
  <c r="CI401" i="7" s="1"/>
  <c r="CV401" i="7"/>
  <c r="CX401" i="7" s="1"/>
  <c r="CQ194" i="7"/>
  <c r="CN400" i="7"/>
  <c r="I400" i="11" s="1"/>
  <c r="L400" i="11" s="1"/>
  <c r="CQ400" i="7"/>
  <c r="CC195" i="7"/>
  <c r="CS195" i="7"/>
  <c r="CU195" i="7" s="1"/>
  <c r="CY195" i="7" s="1"/>
  <c r="CZ195" i="7" s="1"/>
  <c r="M430" i="9"/>
  <c r="AR403" i="7" s="1"/>
  <c r="CA403" i="7" s="1"/>
  <c r="L430" i="9"/>
  <c r="BK402" i="7" s="1"/>
  <c r="B432" i="9"/>
  <c r="C431" i="9"/>
  <c r="E431" i="9" s="1"/>
  <c r="F431" i="9"/>
  <c r="AY403" i="11" s="1"/>
  <c r="G431" i="9"/>
  <c r="Q403" i="11" s="1"/>
  <c r="H431" i="9"/>
  <c r="BA403" i="11" s="1"/>
  <c r="I431" i="9"/>
  <c r="J431" i="9"/>
  <c r="R403" i="11" s="1"/>
  <c r="K431" i="9"/>
  <c r="BL196" i="7"/>
  <c r="O224" i="9"/>
  <c r="H224" i="9"/>
  <c r="BA196" i="11" s="1"/>
  <c r="CS401" i="7" l="1"/>
  <c r="CU401" i="7" s="1"/>
  <c r="CY401" i="7" s="1"/>
  <c r="CJ196" i="11"/>
  <c r="W76" i="20" s="1"/>
  <c r="CB402" i="7"/>
  <c r="CC402" i="7" s="1"/>
  <c r="CQ402" i="7" s="1"/>
  <c r="CF402" i="7"/>
  <c r="CH402" i="7" s="1"/>
  <c r="CI402" i="7" s="1"/>
  <c r="CV402" i="7"/>
  <c r="CX402" i="7" s="1"/>
  <c r="O431" i="9"/>
  <c r="BL403" i="7"/>
  <c r="AW403" i="11" s="1"/>
  <c r="CF196" i="7"/>
  <c r="CH196" i="7" s="1"/>
  <c r="CI196" i="7" s="1"/>
  <c r="CK195" i="7"/>
  <c r="CQ195" i="7" s="1"/>
  <c r="CQ401" i="7"/>
  <c r="CN401" i="7"/>
  <c r="I401" i="11" s="1"/>
  <c r="L401" i="11" s="1"/>
  <c r="CV196" i="7"/>
  <c r="CX196" i="7" s="1"/>
  <c r="B433" i="9"/>
  <c r="C432" i="9"/>
  <c r="E432" i="9" s="1"/>
  <c r="F432" i="9"/>
  <c r="AY404" i="11" s="1"/>
  <c r="G432" i="9"/>
  <c r="Q404" i="11" s="1"/>
  <c r="H432" i="9"/>
  <c r="BA404" i="11" s="1"/>
  <c r="I432" i="9"/>
  <c r="J432" i="9"/>
  <c r="R404" i="11" s="1"/>
  <c r="K432" i="9"/>
  <c r="M431" i="9"/>
  <c r="AR404" i="7" s="1"/>
  <c r="CA404" i="7" s="1"/>
  <c r="L431" i="9"/>
  <c r="BK403" i="7" s="1"/>
  <c r="I224" i="9"/>
  <c r="J224" i="9"/>
  <c r="R196" i="11" s="1"/>
  <c r="K224" i="9"/>
  <c r="CS402" i="7" l="1"/>
  <c r="CU402" i="7" s="1"/>
  <c r="CY402" i="7" s="1"/>
  <c r="CB403" i="7"/>
  <c r="CC403" i="7" s="1"/>
  <c r="D403" i="11" s="1"/>
  <c r="CF403" i="7"/>
  <c r="CH403" i="7" s="1"/>
  <c r="CI403" i="7" s="1"/>
  <c r="CV403" i="7"/>
  <c r="CX403" i="7" s="1"/>
  <c r="O432" i="9"/>
  <c r="BL404" i="7"/>
  <c r="AW404" i="11" s="1"/>
  <c r="CN195" i="7"/>
  <c r="I195" i="11" s="1"/>
  <c r="D402" i="11"/>
  <c r="CN402" i="7"/>
  <c r="I402" i="11" s="1"/>
  <c r="L402" i="11" s="1"/>
  <c r="M432" i="9"/>
  <c r="AR405" i="7" s="1"/>
  <c r="CA405" i="7" s="1"/>
  <c r="L432" i="9"/>
  <c r="BK404" i="7" s="1"/>
  <c r="B434" i="9"/>
  <c r="C433" i="9"/>
  <c r="E433" i="9" s="1"/>
  <c r="F433" i="9"/>
  <c r="AY405" i="11" s="1"/>
  <c r="G433" i="9"/>
  <c r="Q405" i="11" s="1"/>
  <c r="H433" i="9"/>
  <c r="BA405" i="11" s="1"/>
  <c r="I433" i="9"/>
  <c r="J433" i="9"/>
  <c r="R405" i="11" s="1"/>
  <c r="K433" i="9"/>
  <c r="L224" i="9"/>
  <c r="BK196" i="7" s="1"/>
  <c r="CB196" i="7" s="1"/>
  <c r="M224" i="9"/>
  <c r="AR197" i="7" s="1"/>
  <c r="CA197" i="7" s="1"/>
  <c r="F225" i="9"/>
  <c r="AY197" i="11" s="1"/>
  <c r="G225" i="9"/>
  <c r="Q197" i="11" s="1"/>
  <c r="I225" i="9"/>
  <c r="H225" i="9"/>
  <c r="BA197" i="11" s="1"/>
  <c r="C225" i="9"/>
  <c r="E225" i="9" s="1"/>
  <c r="K225" i="9"/>
  <c r="J225" i="9"/>
  <c r="R197" i="11" s="1"/>
  <c r="CS403" i="7" l="1"/>
  <c r="CU403" i="7" s="1"/>
  <c r="CY403" i="7" s="1"/>
  <c r="CB404" i="7"/>
  <c r="O433" i="9"/>
  <c r="BL405" i="7"/>
  <c r="AW405" i="11" s="1"/>
  <c r="CV404" i="7"/>
  <c r="CX404" i="7" s="1"/>
  <c r="CF404" i="7"/>
  <c r="CH404" i="7" s="1"/>
  <c r="CI404" i="7" s="1"/>
  <c r="CN403" i="7"/>
  <c r="I403" i="11" s="1"/>
  <c r="L403" i="11" s="1"/>
  <c r="CQ403" i="7"/>
  <c r="CC196" i="7"/>
  <c r="CS196" i="7"/>
  <c r="CU196" i="7" s="1"/>
  <c r="CY196" i="7" s="1"/>
  <c r="CZ196" i="7" s="1"/>
  <c r="CC404" i="7"/>
  <c r="D404" i="11" s="1"/>
  <c r="CS404" i="7"/>
  <c r="CU404" i="7" s="1"/>
  <c r="B435" i="9"/>
  <c r="C434" i="9"/>
  <c r="E434" i="9" s="1"/>
  <c r="F434" i="9"/>
  <c r="AY406" i="11" s="1"/>
  <c r="G434" i="9"/>
  <c r="Q406" i="11" s="1"/>
  <c r="H434" i="9"/>
  <c r="BA406" i="11" s="1"/>
  <c r="I434" i="9"/>
  <c r="J434" i="9"/>
  <c r="R406" i="11" s="1"/>
  <c r="K434" i="9"/>
  <c r="M433" i="9"/>
  <c r="AR406" i="7" s="1"/>
  <c r="CA406" i="7" s="1"/>
  <c r="L433" i="9"/>
  <c r="BK405" i="7" s="1"/>
  <c r="CB405" i="7" s="1"/>
  <c r="M225" i="9"/>
  <c r="AR198" i="7" s="1"/>
  <c r="CA198" i="7" s="1"/>
  <c r="L225" i="9"/>
  <c r="BK197" i="7" s="1"/>
  <c r="BL197" i="7"/>
  <c r="O225" i="9"/>
  <c r="G226" i="9"/>
  <c r="Q198" i="11" s="1"/>
  <c r="C226" i="9"/>
  <c r="E226" i="9" s="1"/>
  <c r="F226" i="9"/>
  <c r="AY198" i="11" s="1"/>
  <c r="H226" i="9"/>
  <c r="BA198" i="11" s="1"/>
  <c r="I226" i="9"/>
  <c r="CY404" i="7" l="1"/>
  <c r="O434" i="9"/>
  <c r="BL406" i="7"/>
  <c r="AW406" i="11" s="1"/>
  <c r="CF405" i="7"/>
  <c r="CH405" i="7" s="1"/>
  <c r="CI405" i="7" s="1"/>
  <c r="CV405" i="7"/>
  <c r="CX405" i="7" s="1"/>
  <c r="CF197" i="7"/>
  <c r="CH197" i="7" s="1"/>
  <c r="CI197" i="7" s="1"/>
  <c r="CB197" i="7"/>
  <c r="CK196" i="7"/>
  <c r="CQ196" i="7" s="1"/>
  <c r="CQ404" i="7"/>
  <c r="CN404" i="7"/>
  <c r="I404" i="11" s="1"/>
  <c r="L404" i="11" s="1"/>
  <c r="CC405" i="7"/>
  <c r="CQ405" i="7" s="1"/>
  <c r="CS405" i="7"/>
  <c r="CU405" i="7" s="1"/>
  <c r="CV197" i="7"/>
  <c r="CX197" i="7" s="1"/>
  <c r="L434" i="9"/>
  <c r="BK406" i="7" s="1"/>
  <c r="M434" i="9"/>
  <c r="AR407" i="7" s="1"/>
  <c r="CA407" i="7" s="1"/>
  <c r="B436" i="9"/>
  <c r="C435" i="9"/>
  <c r="E435" i="9" s="1"/>
  <c r="F435" i="9"/>
  <c r="AY407" i="11" s="1"/>
  <c r="G435" i="9"/>
  <c r="Q407" i="11" s="1"/>
  <c r="H435" i="9"/>
  <c r="BA407" i="11" s="1"/>
  <c r="I435" i="9"/>
  <c r="J435" i="9"/>
  <c r="R407" i="11" s="1"/>
  <c r="K435" i="9"/>
  <c r="J226" i="9"/>
  <c r="R198" i="11" s="1"/>
  <c r="K226" i="9"/>
  <c r="BL198" i="7"/>
  <c r="O226" i="9"/>
  <c r="CB406" i="7" l="1"/>
  <c r="CC406" i="7" s="1"/>
  <c r="CN406" i="7" s="1"/>
  <c r="I406" i="11" s="1"/>
  <c r="L406" i="11" s="1"/>
  <c r="CY405" i="7"/>
  <c r="O435" i="9"/>
  <c r="BL407" i="7"/>
  <c r="AW407" i="11" s="1"/>
  <c r="CF406" i="7"/>
  <c r="CH406" i="7" s="1"/>
  <c r="CI406" i="7" s="1"/>
  <c r="CV406" i="7"/>
  <c r="CX406" i="7" s="1"/>
  <c r="CF198" i="7"/>
  <c r="CH198" i="7" s="1"/>
  <c r="CI198" i="7" s="1"/>
  <c r="CN196" i="7"/>
  <c r="I196" i="11" s="1"/>
  <c r="CN405" i="7"/>
  <c r="I405" i="11" s="1"/>
  <c r="L405" i="11" s="1"/>
  <c r="D405" i="11"/>
  <c r="CC197" i="7"/>
  <c r="CS197" i="7"/>
  <c r="CU197" i="7" s="1"/>
  <c r="CY197" i="7" s="1"/>
  <c r="CZ197" i="7" s="1"/>
  <c r="CV198" i="7"/>
  <c r="CX198" i="7" s="1"/>
  <c r="B437" i="9"/>
  <c r="C436" i="9"/>
  <c r="E436" i="9" s="1"/>
  <c r="F436" i="9"/>
  <c r="AY408" i="11" s="1"/>
  <c r="G436" i="9"/>
  <c r="Q408" i="11" s="1"/>
  <c r="H436" i="9"/>
  <c r="BA408" i="11" s="1"/>
  <c r="I436" i="9"/>
  <c r="J436" i="9"/>
  <c r="R408" i="11" s="1"/>
  <c r="K436" i="9"/>
  <c r="M435" i="9"/>
  <c r="AR408" i="7" s="1"/>
  <c r="CA408" i="7" s="1"/>
  <c r="L435" i="9"/>
  <c r="BK407" i="7" s="1"/>
  <c r="L226" i="9"/>
  <c r="BK198" i="7" s="1"/>
  <c r="CB198" i="7" s="1"/>
  <c r="M226" i="9"/>
  <c r="AR199" i="7" s="1"/>
  <c r="CA199" i="7" s="1"/>
  <c r="C227" i="9"/>
  <c r="E227" i="9" s="1"/>
  <c r="G227" i="9"/>
  <c r="Q199" i="11" s="1"/>
  <c r="F227" i="9"/>
  <c r="AY199" i="11" s="1"/>
  <c r="H227" i="9"/>
  <c r="BA199" i="11" s="1"/>
  <c r="CS406" i="7" l="1"/>
  <c r="CU406" i="7" s="1"/>
  <c r="CY406" i="7" s="1"/>
  <c r="CB407" i="7"/>
  <c r="CC407" i="7" s="1"/>
  <c r="D407" i="11" s="1"/>
  <c r="O436" i="9"/>
  <c r="BL408" i="7"/>
  <c r="AW408" i="11" s="1"/>
  <c r="CF407" i="7"/>
  <c r="CH407" i="7" s="1"/>
  <c r="CI407" i="7" s="1"/>
  <c r="CV407" i="7"/>
  <c r="CX407" i="7" s="1"/>
  <c r="CK197" i="7"/>
  <c r="CN197" i="7" s="1"/>
  <c r="I197" i="11" s="1"/>
  <c r="D406" i="11"/>
  <c r="CQ406" i="7"/>
  <c r="CC198" i="7"/>
  <c r="CS198" i="7"/>
  <c r="CU198" i="7" s="1"/>
  <c r="CY198" i="7" s="1"/>
  <c r="CZ198" i="7" s="1"/>
  <c r="M436" i="9"/>
  <c r="AR409" i="7" s="1"/>
  <c r="CA409" i="7" s="1"/>
  <c r="L436" i="9"/>
  <c r="BK408" i="7" s="1"/>
  <c r="B438" i="9"/>
  <c r="C437" i="9"/>
  <c r="E437" i="9" s="1"/>
  <c r="F437" i="9"/>
  <c r="AY409" i="11" s="1"/>
  <c r="G437" i="9"/>
  <c r="Q409" i="11" s="1"/>
  <c r="H437" i="9"/>
  <c r="BA409" i="11" s="1"/>
  <c r="I437" i="9"/>
  <c r="J437" i="9"/>
  <c r="R409" i="11" s="1"/>
  <c r="K437" i="9"/>
  <c r="I227" i="9"/>
  <c r="K227" i="9"/>
  <c r="O227" i="9"/>
  <c r="BL199" i="7"/>
  <c r="J227" i="9"/>
  <c r="R199" i="11" s="1"/>
  <c r="CB408" i="7" l="1"/>
  <c r="CC408" i="7" s="1"/>
  <c r="CN408" i="7" s="1"/>
  <c r="I408" i="11" s="1"/>
  <c r="L408" i="11" s="1"/>
  <c r="CS407" i="7"/>
  <c r="CU407" i="7" s="1"/>
  <c r="CY407" i="7" s="1"/>
  <c r="CF408" i="7"/>
  <c r="CH408" i="7" s="1"/>
  <c r="CI408" i="7" s="1"/>
  <c r="CV408" i="7"/>
  <c r="CX408" i="7" s="1"/>
  <c r="O437" i="9"/>
  <c r="BL409" i="7"/>
  <c r="AW409" i="11" s="1"/>
  <c r="CF199" i="7"/>
  <c r="CH199" i="7" s="1"/>
  <c r="CI199" i="7" s="1"/>
  <c r="CQ197" i="7"/>
  <c r="CK198" i="7"/>
  <c r="CN198" i="7" s="1"/>
  <c r="I198" i="11" s="1"/>
  <c r="CN407" i="7"/>
  <c r="I407" i="11" s="1"/>
  <c r="L407" i="11" s="1"/>
  <c r="CQ407" i="7"/>
  <c r="CV199" i="7"/>
  <c r="CX199" i="7" s="1"/>
  <c r="B439" i="9"/>
  <c r="C438" i="9"/>
  <c r="E438" i="9" s="1"/>
  <c r="F438" i="9"/>
  <c r="AY410" i="11" s="1"/>
  <c r="G438" i="9"/>
  <c r="Q410" i="11" s="1"/>
  <c r="H438" i="9"/>
  <c r="BA410" i="11" s="1"/>
  <c r="I438" i="9"/>
  <c r="J438" i="9"/>
  <c r="R410" i="11" s="1"/>
  <c r="K438" i="9"/>
  <c r="M437" i="9"/>
  <c r="AR410" i="7" s="1"/>
  <c r="CA410" i="7" s="1"/>
  <c r="L437" i="9"/>
  <c r="BK409" i="7" s="1"/>
  <c r="C228" i="9"/>
  <c r="E228" i="9" s="1"/>
  <c r="H228" i="9" s="1"/>
  <c r="BA200" i="11" s="1"/>
  <c r="F228" i="9"/>
  <c r="AY200" i="11" s="1"/>
  <c r="L227" i="9"/>
  <c r="BK199" i="7" s="1"/>
  <c r="CB199" i="7" s="1"/>
  <c r="M227" i="9"/>
  <c r="AR200" i="7" s="1"/>
  <c r="CA200" i="7" s="1"/>
  <c r="CS408" i="7" l="1"/>
  <c r="CU408" i="7" s="1"/>
  <c r="CY408" i="7" s="1"/>
  <c r="CB409" i="7"/>
  <c r="CC409" i="7" s="1"/>
  <c r="CN409" i="7" s="1"/>
  <c r="I409" i="11" s="1"/>
  <c r="L409" i="11" s="1"/>
  <c r="CF409" i="7"/>
  <c r="CH409" i="7" s="1"/>
  <c r="CI409" i="7" s="1"/>
  <c r="CV409" i="7"/>
  <c r="CX409" i="7" s="1"/>
  <c r="O438" i="9"/>
  <c r="BL410" i="7"/>
  <c r="AW410" i="11" s="1"/>
  <c r="CQ198" i="7"/>
  <c r="CQ408" i="7"/>
  <c r="D408" i="11"/>
  <c r="CC199" i="7"/>
  <c r="CS199" i="7"/>
  <c r="CU199" i="7" s="1"/>
  <c r="CY199" i="7" s="1"/>
  <c r="CZ199" i="7" s="1"/>
  <c r="M438" i="9"/>
  <c r="AR411" i="7" s="1"/>
  <c r="CA411" i="7" s="1"/>
  <c r="L438" i="9"/>
  <c r="BK410" i="7" s="1"/>
  <c r="B440" i="9"/>
  <c r="C439" i="9"/>
  <c r="E439" i="9" s="1"/>
  <c r="F439" i="9"/>
  <c r="AY411" i="11" s="1"/>
  <c r="G439" i="9"/>
  <c r="Q411" i="11" s="1"/>
  <c r="H439" i="9"/>
  <c r="BA411" i="11" s="1"/>
  <c r="I439" i="9"/>
  <c r="J439" i="9"/>
  <c r="R411" i="11" s="1"/>
  <c r="K439" i="9"/>
  <c r="I228" i="9"/>
  <c r="J228" i="9"/>
  <c r="R200" i="11" s="1"/>
  <c r="K228" i="9"/>
  <c r="BL200" i="7"/>
  <c r="O228" i="9"/>
  <c r="G228" i="9"/>
  <c r="Q200" i="11" s="1"/>
  <c r="CS409" i="7" l="1"/>
  <c r="CU409" i="7" s="1"/>
  <c r="CY409" i="7" s="1"/>
  <c r="CB410" i="7"/>
  <c r="CC410" i="7" s="1"/>
  <c r="CN410" i="7" s="1"/>
  <c r="I410" i="11" s="1"/>
  <c r="L410" i="11" s="1"/>
  <c r="CF410" i="7"/>
  <c r="CH410" i="7" s="1"/>
  <c r="CI410" i="7" s="1"/>
  <c r="CV410" i="7"/>
  <c r="CX410" i="7" s="1"/>
  <c r="O439" i="9"/>
  <c r="BL411" i="7"/>
  <c r="AW411" i="11" s="1"/>
  <c r="CF200" i="7"/>
  <c r="CH200" i="7" s="1"/>
  <c r="CI200" i="7" s="1"/>
  <c r="CK199" i="7"/>
  <c r="CQ199" i="7" s="1"/>
  <c r="CQ409" i="7"/>
  <c r="D409" i="11"/>
  <c r="CV200" i="7"/>
  <c r="CX200" i="7" s="1"/>
  <c r="B441" i="9"/>
  <c r="C440" i="9"/>
  <c r="E440" i="9" s="1"/>
  <c r="F440" i="9"/>
  <c r="AY412" i="11" s="1"/>
  <c r="G440" i="9"/>
  <c r="Q412" i="11" s="1"/>
  <c r="H440" i="9"/>
  <c r="BA412" i="11" s="1"/>
  <c r="I440" i="9"/>
  <c r="J440" i="9"/>
  <c r="R412" i="11" s="1"/>
  <c r="K440" i="9"/>
  <c r="M439" i="9"/>
  <c r="AR412" i="7" s="1"/>
  <c r="CA412" i="7" s="1"/>
  <c r="L439" i="9"/>
  <c r="BK411" i="7" s="1"/>
  <c r="L228" i="9"/>
  <c r="BK200" i="7" s="1"/>
  <c r="CB200" i="7" s="1"/>
  <c r="M228" i="9"/>
  <c r="AR201" i="7" s="1"/>
  <c r="CA201" i="7" s="1"/>
  <c r="F229" i="9"/>
  <c r="AY201" i="11" s="1"/>
  <c r="C229" i="9"/>
  <c r="E229" i="9" s="1"/>
  <c r="H229" i="9" s="1"/>
  <c r="BA201" i="11" s="1"/>
  <c r="G229" i="9"/>
  <c r="Q201" i="11" s="1"/>
  <c r="CB411" i="7" l="1"/>
  <c r="CC411" i="7" s="1"/>
  <c r="CQ411" i="7" s="1"/>
  <c r="CS410" i="7"/>
  <c r="CU410" i="7" s="1"/>
  <c r="CY410" i="7" s="1"/>
  <c r="CH412" i="11"/>
  <c r="AO56" i="20" s="1"/>
  <c r="AO57" i="20" s="1"/>
  <c r="CJ412" i="11"/>
  <c r="AO76" i="20" s="1"/>
  <c r="AO77" i="20" s="1"/>
  <c r="AO78" i="20" s="1"/>
  <c r="O440" i="9"/>
  <c r="BL412" i="7"/>
  <c r="AW412" i="11" s="1"/>
  <c r="CF411" i="7"/>
  <c r="CH411" i="7" s="1"/>
  <c r="CI411" i="7" s="1"/>
  <c r="CV411" i="7"/>
  <c r="CX411" i="7" s="1"/>
  <c r="CN199" i="7"/>
  <c r="I199" i="11" s="1"/>
  <c r="D410" i="11"/>
  <c r="CQ410" i="7"/>
  <c r="CC200" i="7"/>
  <c r="CS200" i="7"/>
  <c r="CU200" i="7" s="1"/>
  <c r="CY200" i="7" s="1"/>
  <c r="CZ200" i="7" s="1"/>
  <c r="M440" i="9"/>
  <c r="AR413" i="7" s="1"/>
  <c r="CA413" i="7" s="1"/>
  <c r="L440" i="9"/>
  <c r="BK412" i="7" s="1"/>
  <c r="B442" i="9"/>
  <c r="C441" i="9"/>
  <c r="E441" i="9" s="1"/>
  <c r="F441" i="9"/>
  <c r="AY413" i="11" s="1"/>
  <c r="G441" i="9"/>
  <c r="Q413" i="11" s="1"/>
  <c r="H441" i="9"/>
  <c r="BA413" i="11" s="1"/>
  <c r="I441" i="9"/>
  <c r="J441" i="9"/>
  <c r="R413" i="11" s="1"/>
  <c r="K441" i="9"/>
  <c r="K229" i="9"/>
  <c r="I229" i="9"/>
  <c r="J229" i="9"/>
  <c r="R201" i="11" s="1"/>
  <c r="BL201" i="7"/>
  <c r="O229" i="9"/>
  <c r="CS411" i="7" l="1"/>
  <c r="CU411" i="7" s="1"/>
  <c r="CY411" i="7" s="1"/>
  <c r="CB412" i="7"/>
  <c r="CC412" i="7" s="1"/>
  <c r="CQ412" i="7" s="1"/>
  <c r="CV412" i="7"/>
  <c r="CX412" i="7" s="1"/>
  <c r="CF412" i="7"/>
  <c r="CH412" i="7" s="1"/>
  <c r="CI412" i="7" s="1"/>
  <c r="CF412" i="11"/>
  <c r="AO51" i="20" s="1"/>
  <c r="AO52" i="20" s="1"/>
  <c r="AO53" i="20" s="1"/>
  <c r="O441" i="9"/>
  <c r="BL413" i="7"/>
  <c r="AW413" i="11" s="1"/>
  <c r="CF201" i="7"/>
  <c r="CH201" i="7" s="1"/>
  <c r="CI201" i="7" s="1"/>
  <c r="CK200" i="7"/>
  <c r="CQ200" i="7" s="1"/>
  <c r="D411" i="11"/>
  <c r="CN411" i="7"/>
  <c r="I411" i="11" s="1"/>
  <c r="L411" i="11" s="1"/>
  <c r="CV201" i="7"/>
  <c r="CX201" i="7" s="1"/>
  <c r="B443" i="9"/>
  <c r="C442" i="9"/>
  <c r="E442" i="9" s="1"/>
  <c r="F442" i="9"/>
  <c r="AY414" i="11" s="1"/>
  <c r="G442" i="9"/>
  <c r="Q414" i="11" s="1"/>
  <c r="H442" i="9"/>
  <c r="BA414" i="11" s="1"/>
  <c r="I442" i="9"/>
  <c r="J442" i="9"/>
  <c r="R414" i="11" s="1"/>
  <c r="K442" i="9"/>
  <c r="M441" i="9"/>
  <c r="AR414" i="7" s="1"/>
  <c r="CA414" i="7" s="1"/>
  <c r="L441" i="9"/>
  <c r="BK413" i="7" s="1"/>
  <c r="F230" i="9"/>
  <c r="AY202" i="11" s="1"/>
  <c r="G230" i="9"/>
  <c r="Q202" i="11" s="1"/>
  <c r="C230" i="9"/>
  <c r="E230" i="9" s="1"/>
  <c r="H230" i="9" s="1"/>
  <c r="BA202" i="11" s="1"/>
  <c r="M229" i="9"/>
  <c r="AR202" i="7" s="1"/>
  <c r="CA202" i="7" s="1"/>
  <c r="L229" i="9"/>
  <c r="BK201" i="7" s="1"/>
  <c r="CB201" i="7" s="1"/>
  <c r="CS412" i="7" l="1"/>
  <c r="CU412" i="7" s="1"/>
  <c r="CY412" i="7" s="1"/>
  <c r="CB413" i="7"/>
  <c r="CC413" i="7" s="1"/>
  <c r="CQ413" i="7" s="1"/>
  <c r="AO68" i="20"/>
  <c r="AO69" i="20" s="1"/>
  <c r="AO79" i="20" s="1"/>
  <c r="AO81" i="20" s="1"/>
  <c r="AO58" i="20"/>
  <c r="AO59" i="20" s="1"/>
  <c r="CV413" i="7"/>
  <c r="CX413" i="7" s="1"/>
  <c r="CF413" i="7"/>
  <c r="CH413" i="7" s="1"/>
  <c r="CI413" i="7" s="1"/>
  <c r="O442" i="9"/>
  <c r="BL414" i="7"/>
  <c r="AW414" i="11" s="1"/>
  <c r="CN200" i="7"/>
  <c r="I200" i="11" s="1"/>
  <c r="D412" i="11"/>
  <c r="CN412" i="7"/>
  <c r="I412" i="11" s="1"/>
  <c r="L412" i="11" s="1"/>
  <c r="CC201" i="7"/>
  <c r="CS201" i="7"/>
  <c r="CU201" i="7" s="1"/>
  <c r="CY201" i="7" s="1"/>
  <c r="CZ201" i="7" s="1"/>
  <c r="L442" i="9"/>
  <c r="BK414" i="7" s="1"/>
  <c r="M442" i="9"/>
  <c r="AR415" i="7" s="1"/>
  <c r="CA415" i="7" s="1"/>
  <c r="B444" i="9"/>
  <c r="C443" i="9"/>
  <c r="E443" i="9" s="1"/>
  <c r="F443" i="9"/>
  <c r="AY415" i="11" s="1"/>
  <c r="G443" i="9"/>
  <c r="Q415" i="11" s="1"/>
  <c r="H443" i="9"/>
  <c r="BA415" i="11" s="1"/>
  <c r="I443" i="9"/>
  <c r="J443" i="9"/>
  <c r="R415" i="11" s="1"/>
  <c r="K443" i="9"/>
  <c r="K230" i="9"/>
  <c r="I230" i="9"/>
  <c r="J230" i="9"/>
  <c r="R202" i="11" s="1"/>
  <c r="O230" i="9"/>
  <c r="BL202" i="7"/>
  <c r="CB414" i="7" l="1"/>
  <c r="CC414" i="7" s="1"/>
  <c r="CN414" i="7" s="1"/>
  <c r="I414" i="11" s="1"/>
  <c r="L414" i="11" s="1"/>
  <c r="CS413" i="7"/>
  <c r="CU413" i="7" s="1"/>
  <c r="CY413" i="7" s="1"/>
  <c r="CF414" i="7"/>
  <c r="CH414" i="7" s="1"/>
  <c r="CI414" i="7" s="1"/>
  <c r="CV414" i="7"/>
  <c r="CX414" i="7" s="1"/>
  <c r="O443" i="9"/>
  <c r="BL415" i="7"/>
  <c r="AW415" i="11" s="1"/>
  <c r="CF202" i="7"/>
  <c r="CH202" i="7" s="1"/>
  <c r="CI202" i="7" s="1"/>
  <c r="CK201" i="7"/>
  <c r="CN201" i="7" s="1"/>
  <c r="I201" i="11" s="1"/>
  <c r="D413" i="11"/>
  <c r="CN413" i="7"/>
  <c r="I413" i="11" s="1"/>
  <c r="L413" i="11" s="1"/>
  <c r="CV202" i="7"/>
  <c r="CX202" i="7" s="1"/>
  <c r="B445" i="9"/>
  <c r="C444" i="9"/>
  <c r="E444" i="9" s="1"/>
  <c r="F444" i="9"/>
  <c r="AY416" i="11" s="1"/>
  <c r="G444" i="9"/>
  <c r="Q416" i="11" s="1"/>
  <c r="H444" i="9"/>
  <c r="BA416" i="11" s="1"/>
  <c r="I444" i="9"/>
  <c r="J444" i="9"/>
  <c r="R416" i="11" s="1"/>
  <c r="K444" i="9"/>
  <c r="L443" i="9"/>
  <c r="BK415" i="7" s="1"/>
  <c r="M443" i="9"/>
  <c r="AR416" i="7" s="1"/>
  <c r="CA416" i="7" s="1"/>
  <c r="L230" i="9"/>
  <c r="BK202" i="7" s="1"/>
  <c r="CB202" i="7" s="1"/>
  <c r="M230" i="9"/>
  <c r="AR203" i="7" s="1"/>
  <c r="CA203" i="7" s="1"/>
  <c r="G231" i="9"/>
  <c r="Q203" i="11" s="1"/>
  <c r="F231" i="9"/>
  <c r="AY203" i="11" s="1"/>
  <c r="C231" i="9"/>
  <c r="E231" i="9" s="1"/>
  <c r="H231" i="9" s="1"/>
  <c r="BA203" i="11" s="1"/>
  <c r="CB415" i="7" l="1"/>
  <c r="CC415" i="7" s="1"/>
  <c r="CN415" i="7" s="1"/>
  <c r="I415" i="11" s="1"/>
  <c r="L415" i="11" s="1"/>
  <c r="CS414" i="7"/>
  <c r="CU414" i="7" s="1"/>
  <c r="CY414" i="7" s="1"/>
  <c r="O444" i="9"/>
  <c r="BL416" i="7"/>
  <c r="AW416" i="11" s="1"/>
  <c r="CF415" i="7"/>
  <c r="CH415" i="7" s="1"/>
  <c r="CI415" i="7" s="1"/>
  <c r="CV415" i="7"/>
  <c r="CX415" i="7" s="1"/>
  <c r="CQ201" i="7"/>
  <c r="D414" i="11"/>
  <c r="CQ414" i="7"/>
  <c r="CC202" i="7"/>
  <c r="CS202" i="7"/>
  <c r="CU202" i="7" s="1"/>
  <c r="CY202" i="7" s="1"/>
  <c r="CZ202" i="7" s="1"/>
  <c r="M444" i="9"/>
  <c r="AR417" i="7" s="1"/>
  <c r="CA417" i="7" s="1"/>
  <c r="L444" i="9"/>
  <c r="BK416" i="7" s="1"/>
  <c r="B446" i="9"/>
  <c r="C445" i="9"/>
  <c r="E445" i="9" s="1"/>
  <c r="F445" i="9"/>
  <c r="AY417" i="11" s="1"/>
  <c r="G445" i="9"/>
  <c r="Q417" i="11" s="1"/>
  <c r="H445" i="9"/>
  <c r="BA417" i="11" s="1"/>
  <c r="I445" i="9"/>
  <c r="J445" i="9"/>
  <c r="R417" i="11" s="1"/>
  <c r="K445" i="9"/>
  <c r="K231" i="9"/>
  <c r="J231" i="9"/>
  <c r="R203" i="11" s="1"/>
  <c r="I231" i="9"/>
  <c r="BL203" i="7"/>
  <c r="O231" i="9"/>
  <c r="CB416" i="7" l="1"/>
  <c r="CC416" i="7" s="1"/>
  <c r="CN416" i="7" s="1"/>
  <c r="I416" i="11" s="1"/>
  <c r="L416" i="11" s="1"/>
  <c r="CS415" i="7"/>
  <c r="CU415" i="7" s="1"/>
  <c r="CY415" i="7" s="1"/>
  <c r="CV416" i="7"/>
  <c r="CX416" i="7" s="1"/>
  <c r="CF416" i="7"/>
  <c r="CH416" i="7" s="1"/>
  <c r="CI416" i="7" s="1"/>
  <c r="O445" i="9"/>
  <c r="BL417" i="7"/>
  <c r="AW417" i="11" s="1"/>
  <c r="CF203" i="7"/>
  <c r="CH203" i="7" s="1"/>
  <c r="CI203" i="7" s="1"/>
  <c r="CK202" i="7"/>
  <c r="CN202" i="7" s="1"/>
  <c r="I202" i="11" s="1"/>
  <c r="D415" i="11"/>
  <c r="CQ415" i="7"/>
  <c r="CV203" i="7"/>
  <c r="CX203" i="7" s="1"/>
  <c r="B447" i="9"/>
  <c r="C446" i="9"/>
  <c r="E446" i="9" s="1"/>
  <c r="F446" i="9"/>
  <c r="AY418" i="11" s="1"/>
  <c r="G446" i="9"/>
  <c r="Q418" i="11" s="1"/>
  <c r="H446" i="9"/>
  <c r="BA418" i="11" s="1"/>
  <c r="I446" i="9"/>
  <c r="J446" i="9"/>
  <c r="R418" i="11" s="1"/>
  <c r="K446" i="9"/>
  <c r="M445" i="9"/>
  <c r="AR418" i="7" s="1"/>
  <c r="CA418" i="7" s="1"/>
  <c r="L445" i="9"/>
  <c r="BK417" i="7" s="1"/>
  <c r="F232" i="9"/>
  <c r="AY204" i="11" s="1"/>
  <c r="C232" i="9"/>
  <c r="E232" i="9" s="1"/>
  <c r="H232" i="9" s="1"/>
  <c r="BA204" i="11" s="1"/>
  <c r="L231" i="9"/>
  <c r="BK203" i="7" s="1"/>
  <c r="CB203" i="7" s="1"/>
  <c r="M231" i="9"/>
  <c r="AR204" i="7" s="1"/>
  <c r="CA204" i="7" s="1"/>
  <c r="CB417" i="7" l="1"/>
  <c r="CC417" i="7" s="1"/>
  <c r="D417" i="11" s="1"/>
  <c r="CS416" i="7"/>
  <c r="CU416" i="7" s="1"/>
  <c r="CY416" i="7" s="1"/>
  <c r="CF417" i="7"/>
  <c r="CH417" i="7" s="1"/>
  <c r="CI417" i="7" s="1"/>
  <c r="CV417" i="7"/>
  <c r="CX417" i="7" s="1"/>
  <c r="O446" i="9"/>
  <c r="BL418" i="7"/>
  <c r="AW418" i="11" s="1"/>
  <c r="CQ202" i="7"/>
  <c r="D416" i="11"/>
  <c r="CQ416" i="7"/>
  <c r="CC203" i="7"/>
  <c r="CS203" i="7"/>
  <c r="CU203" i="7" s="1"/>
  <c r="CY203" i="7" s="1"/>
  <c r="CZ203" i="7" s="1"/>
  <c r="M446" i="9"/>
  <c r="AR419" i="7" s="1"/>
  <c r="CA419" i="7" s="1"/>
  <c r="L446" i="9"/>
  <c r="BK418" i="7" s="1"/>
  <c r="B448" i="9"/>
  <c r="C447" i="9"/>
  <c r="E447" i="9" s="1"/>
  <c r="F447" i="9"/>
  <c r="AY419" i="11" s="1"/>
  <c r="G447" i="9"/>
  <c r="Q419" i="11" s="1"/>
  <c r="H447" i="9"/>
  <c r="BA419" i="11" s="1"/>
  <c r="I447" i="9"/>
  <c r="J447" i="9"/>
  <c r="R419" i="11" s="1"/>
  <c r="K447" i="9"/>
  <c r="J232" i="9"/>
  <c r="R204" i="11" s="1"/>
  <c r="I232" i="9"/>
  <c r="K232" i="9"/>
  <c r="BL204" i="7"/>
  <c r="O232" i="9"/>
  <c r="G232" i="9"/>
  <c r="Q204" i="11" s="1"/>
  <c r="CS417" i="7" l="1"/>
  <c r="CU417" i="7" s="1"/>
  <c r="CY417" i="7" s="1"/>
  <c r="CB418" i="7"/>
  <c r="CC418" i="7" s="1"/>
  <c r="D418" i="11" s="1"/>
  <c r="CF418" i="7"/>
  <c r="CH418" i="7" s="1"/>
  <c r="CI418" i="7" s="1"/>
  <c r="CV418" i="7"/>
  <c r="CX418" i="7" s="1"/>
  <c r="O447" i="9"/>
  <c r="BL419" i="7"/>
  <c r="AW419" i="11" s="1"/>
  <c r="CF204" i="7"/>
  <c r="CH204" i="7" s="1"/>
  <c r="CI204" i="7" s="1"/>
  <c r="CK203" i="7"/>
  <c r="CN203" i="7" s="1"/>
  <c r="I203" i="11" s="1"/>
  <c r="CQ417" i="7"/>
  <c r="CN417" i="7"/>
  <c r="I417" i="11" s="1"/>
  <c r="L417" i="11" s="1"/>
  <c r="CV204" i="7"/>
  <c r="CX204" i="7" s="1"/>
  <c r="B449" i="9"/>
  <c r="C448" i="9"/>
  <c r="E448" i="9" s="1"/>
  <c r="F448" i="9"/>
  <c r="AY420" i="11" s="1"/>
  <c r="G448" i="9"/>
  <c r="Q420" i="11" s="1"/>
  <c r="H448" i="9"/>
  <c r="BA420" i="11" s="1"/>
  <c r="I448" i="9"/>
  <c r="J448" i="9"/>
  <c r="R420" i="11" s="1"/>
  <c r="K448" i="9"/>
  <c r="M447" i="9"/>
  <c r="AR420" i="7" s="1"/>
  <c r="CA420" i="7" s="1"/>
  <c r="L447" i="9"/>
  <c r="BK419" i="7" s="1"/>
  <c r="M232" i="9"/>
  <c r="AR205" i="7" s="1"/>
  <c r="CA205" i="7" s="1"/>
  <c r="L232" i="9"/>
  <c r="BK204" i="7" s="1"/>
  <c r="CB204" i="7" s="1"/>
  <c r="F233" i="9"/>
  <c r="AY205" i="11" s="1"/>
  <c r="C233" i="9"/>
  <c r="E233" i="9" s="1"/>
  <c r="H233" i="9" s="1"/>
  <c r="BA205" i="11" s="1"/>
  <c r="G233" i="9"/>
  <c r="Q205" i="11" s="1"/>
  <c r="CB419" i="7" l="1"/>
  <c r="CC419" i="7" s="1"/>
  <c r="CQ419" i="7" s="1"/>
  <c r="CS418" i="7"/>
  <c r="CU418" i="7" s="1"/>
  <c r="CY418" i="7" s="1"/>
  <c r="O448" i="9"/>
  <c r="BL420" i="7"/>
  <c r="AW420" i="11" s="1"/>
  <c r="CF419" i="7"/>
  <c r="CH419" i="7" s="1"/>
  <c r="CI419" i="7" s="1"/>
  <c r="CV419" i="7"/>
  <c r="CX419" i="7" s="1"/>
  <c r="CQ203" i="7"/>
  <c r="CN418" i="7"/>
  <c r="I418" i="11" s="1"/>
  <c r="L418" i="11" s="1"/>
  <c r="CQ418" i="7"/>
  <c r="CC204" i="7"/>
  <c r="CS204" i="7"/>
  <c r="CU204" i="7" s="1"/>
  <c r="CY204" i="7" s="1"/>
  <c r="CZ204" i="7" s="1"/>
  <c r="M448" i="9"/>
  <c r="AR421" i="7" s="1"/>
  <c r="CA421" i="7" s="1"/>
  <c r="L448" i="9"/>
  <c r="BK420" i="7" s="1"/>
  <c r="B450" i="9"/>
  <c r="C449" i="9"/>
  <c r="E449" i="9" s="1"/>
  <c r="F449" i="9"/>
  <c r="AY421" i="11" s="1"/>
  <c r="G449" i="9"/>
  <c r="Q421" i="11" s="1"/>
  <c r="H449" i="9"/>
  <c r="BA421" i="11" s="1"/>
  <c r="I449" i="9"/>
  <c r="J449" i="9"/>
  <c r="R421" i="11" s="1"/>
  <c r="K449" i="9"/>
  <c r="I233" i="9"/>
  <c r="K233" i="9"/>
  <c r="J233" i="9"/>
  <c r="R205" i="11" s="1"/>
  <c r="BL205" i="7"/>
  <c r="O233" i="9"/>
  <c r="CS419" i="7" l="1"/>
  <c r="CU419" i="7" s="1"/>
  <c r="CY419" i="7" s="1"/>
  <c r="CB420" i="7"/>
  <c r="CC420" i="7" s="1"/>
  <c r="D420" i="11" s="1"/>
  <c r="O449" i="9"/>
  <c r="BL421" i="7"/>
  <c r="AW421" i="11" s="1"/>
  <c r="CV420" i="7"/>
  <c r="CX420" i="7" s="1"/>
  <c r="CF420" i="7"/>
  <c r="CH420" i="7" s="1"/>
  <c r="CI420" i="7" s="1"/>
  <c r="CF205" i="7"/>
  <c r="CH205" i="7" s="1"/>
  <c r="CI205" i="7" s="1"/>
  <c r="CK204" i="7"/>
  <c r="CN204" i="7" s="1"/>
  <c r="I204" i="11" s="1"/>
  <c r="CN419" i="7"/>
  <c r="I419" i="11" s="1"/>
  <c r="L419" i="11" s="1"/>
  <c r="D419" i="11"/>
  <c r="CV205" i="7"/>
  <c r="CX205" i="7" s="1"/>
  <c r="B451" i="9"/>
  <c r="C450" i="9"/>
  <c r="E450" i="9" s="1"/>
  <c r="F450" i="9"/>
  <c r="AY422" i="11" s="1"/>
  <c r="G450" i="9"/>
  <c r="Q422" i="11" s="1"/>
  <c r="H450" i="9"/>
  <c r="BA422" i="11" s="1"/>
  <c r="I450" i="9"/>
  <c r="J450" i="9"/>
  <c r="R422" i="11" s="1"/>
  <c r="K450" i="9"/>
  <c r="M449" i="9"/>
  <c r="AR422" i="7" s="1"/>
  <c r="CA422" i="7" s="1"/>
  <c r="L449" i="9"/>
  <c r="BK421" i="7" s="1"/>
  <c r="C234" i="9"/>
  <c r="E234" i="9" s="1"/>
  <c r="H234" i="9" s="1"/>
  <c r="BA206" i="11" s="1"/>
  <c r="F234" i="9"/>
  <c r="AY206" i="11" s="1"/>
  <c r="G234" i="9"/>
  <c r="Q206" i="11" s="1"/>
  <c r="L233" i="9"/>
  <c r="BK205" i="7" s="1"/>
  <c r="CB205" i="7" s="1"/>
  <c r="M233" i="9"/>
  <c r="AR206" i="7" s="1"/>
  <c r="CA206" i="7" s="1"/>
  <c r="CB421" i="7" l="1"/>
  <c r="CC421" i="7" s="1"/>
  <c r="D421" i="11" s="1"/>
  <c r="CS420" i="7"/>
  <c r="CU420" i="7" s="1"/>
  <c r="CY420" i="7" s="1"/>
  <c r="CF421" i="7"/>
  <c r="CH421" i="7" s="1"/>
  <c r="CI421" i="7" s="1"/>
  <c r="CV421" i="7"/>
  <c r="CX421" i="7" s="1"/>
  <c r="O450" i="9"/>
  <c r="BL422" i="7"/>
  <c r="AW422" i="11" s="1"/>
  <c r="CQ204" i="7"/>
  <c r="CQ420" i="7"/>
  <c r="CN420" i="7"/>
  <c r="I420" i="11" s="1"/>
  <c r="L420" i="11" s="1"/>
  <c r="CC205" i="7"/>
  <c r="CS205" i="7"/>
  <c r="CU205" i="7" s="1"/>
  <c r="CY205" i="7" s="1"/>
  <c r="CZ205" i="7" s="1"/>
  <c r="L450" i="9"/>
  <c r="BK422" i="7" s="1"/>
  <c r="M450" i="9"/>
  <c r="AR423" i="7" s="1"/>
  <c r="CA423" i="7" s="1"/>
  <c r="B452" i="9"/>
  <c r="C451" i="9"/>
  <c r="E451" i="9" s="1"/>
  <c r="F451" i="9"/>
  <c r="AY423" i="11" s="1"/>
  <c r="G451" i="9"/>
  <c r="Q423" i="11" s="1"/>
  <c r="H451" i="9"/>
  <c r="BA423" i="11" s="1"/>
  <c r="I451" i="9"/>
  <c r="J451" i="9"/>
  <c r="R423" i="11" s="1"/>
  <c r="K451" i="9"/>
  <c r="J234" i="9"/>
  <c r="R206" i="11" s="1"/>
  <c r="K234" i="9"/>
  <c r="I234" i="9"/>
  <c r="O234" i="9"/>
  <c r="BL206" i="7"/>
  <c r="CS421" i="7" l="1"/>
  <c r="CU421" i="7" s="1"/>
  <c r="CY421" i="7" s="1"/>
  <c r="CB422" i="7"/>
  <c r="CC422" i="7" s="1"/>
  <c r="D422" i="11" s="1"/>
  <c r="CF422" i="7"/>
  <c r="CH422" i="7" s="1"/>
  <c r="CI422" i="7" s="1"/>
  <c r="CV422" i="7"/>
  <c r="CX422" i="7" s="1"/>
  <c r="O451" i="9"/>
  <c r="BL423" i="7"/>
  <c r="AW423" i="11" s="1"/>
  <c r="CF206" i="7"/>
  <c r="CH206" i="7" s="1"/>
  <c r="CI206" i="7" s="1"/>
  <c r="CK205" i="7"/>
  <c r="CN205" i="7" s="1"/>
  <c r="I205" i="11" s="1"/>
  <c r="CQ421" i="7"/>
  <c r="CN421" i="7"/>
  <c r="I421" i="11" s="1"/>
  <c r="L421" i="11" s="1"/>
  <c r="CV206" i="7"/>
  <c r="CX206" i="7" s="1"/>
  <c r="B453" i="9"/>
  <c r="C452" i="9"/>
  <c r="E452" i="9" s="1"/>
  <c r="F452" i="9"/>
  <c r="AY424" i="11" s="1"/>
  <c r="G452" i="9"/>
  <c r="Q424" i="11" s="1"/>
  <c r="H452" i="9"/>
  <c r="BA424" i="11" s="1"/>
  <c r="I452" i="9"/>
  <c r="J452" i="9"/>
  <c r="R424" i="11" s="1"/>
  <c r="K452" i="9"/>
  <c r="L451" i="9"/>
  <c r="BK423" i="7" s="1"/>
  <c r="M451" i="9"/>
  <c r="AR424" i="7" s="1"/>
  <c r="CA424" i="7" s="1"/>
  <c r="M234" i="9"/>
  <c r="AR207" i="7" s="1"/>
  <c r="CA207" i="7" s="1"/>
  <c r="L234" i="9"/>
  <c r="BK206" i="7" s="1"/>
  <c r="CB206" i="7" s="1"/>
  <c r="C235" i="9"/>
  <c r="E235" i="9" s="1"/>
  <c r="H235" i="9" s="1"/>
  <c r="BA207" i="11" s="1"/>
  <c r="G235" i="9"/>
  <c r="Q207" i="11" s="1"/>
  <c r="F235" i="9"/>
  <c r="AY207" i="11" s="1"/>
  <c r="CS422" i="7" l="1"/>
  <c r="CU422" i="7" s="1"/>
  <c r="CY422" i="7" s="1"/>
  <c r="CB423" i="7"/>
  <c r="CS423" i="7" s="1"/>
  <c r="CU423" i="7" s="1"/>
  <c r="CH424" i="11"/>
  <c r="AP56" i="20" s="1"/>
  <c r="AP57" i="20" s="1"/>
  <c r="CJ424" i="11"/>
  <c r="AP76" i="20" s="1"/>
  <c r="AP77" i="20" s="1"/>
  <c r="AP78" i="20" s="1"/>
  <c r="O452" i="9"/>
  <c r="BL424" i="7"/>
  <c r="AW424" i="11" s="1"/>
  <c r="CF423" i="7"/>
  <c r="CH423" i="7" s="1"/>
  <c r="CI423" i="7" s="1"/>
  <c r="CV423" i="7"/>
  <c r="CX423" i="7" s="1"/>
  <c r="CQ205" i="7"/>
  <c r="CN422" i="7"/>
  <c r="I422" i="11" s="1"/>
  <c r="L422" i="11" s="1"/>
  <c r="CQ422" i="7"/>
  <c r="CC206" i="7"/>
  <c r="CS206" i="7"/>
  <c r="CU206" i="7" s="1"/>
  <c r="CY206" i="7" s="1"/>
  <c r="CZ206" i="7" s="1"/>
  <c r="M452" i="9"/>
  <c r="AR425" i="7" s="1"/>
  <c r="CA425" i="7" s="1"/>
  <c r="L452" i="9"/>
  <c r="BK424" i="7" s="1"/>
  <c r="B454" i="9"/>
  <c r="C453" i="9"/>
  <c r="E453" i="9" s="1"/>
  <c r="F453" i="9"/>
  <c r="AY425" i="11" s="1"/>
  <c r="G453" i="9"/>
  <c r="Q425" i="11" s="1"/>
  <c r="H453" i="9"/>
  <c r="BA425" i="11" s="1"/>
  <c r="I453" i="9"/>
  <c r="J453" i="9"/>
  <c r="R425" i="11" s="1"/>
  <c r="K453" i="9"/>
  <c r="I235" i="9"/>
  <c r="K235" i="9"/>
  <c r="J235" i="9"/>
  <c r="R207" i="11" s="1"/>
  <c r="BL207" i="7"/>
  <c r="O235" i="9"/>
  <c r="CC423" i="7" l="1"/>
  <c r="CQ423" i="7" s="1"/>
  <c r="CB424" i="7"/>
  <c r="CC424" i="7" s="1"/>
  <c r="D424" i="11" s="1"/>
  <c r="CY423" i="7"/>
  <c r="CF424" i="7"/>
  <c r="CH424" i="7" s="1"/>
  <c r="CI424" i="7" s="1"/>
  <c r="CV424" i="7"/>
  <c r="CX424" i="7" s="1"/>
  <c r="CF424" i="11"/>
  <c r="AP51" i="20" s="1"/>
  <c r="AP52" i="20" s="1"/>
  <c r="AP53" i="20" s="1"/>
  <c r="O453" i="9"/>
  <c r="BL425" i="7"/>
  <c r="AW425" i="11" s="1"/>
  <c r="CF207" i="7"/>
  <c r="CH207" i="7" s="1"/>
  <c r="CI207" i="7" s="1"/>
  <c r="CK206" i="7"/>
  <c r="CQ206" i="7" s="1"/>
  <c r="CN423" i="7"/>
  <c r="I423" i="11" s="1"/>
  <c r="L423" i="11" s="1"/>
  <c r="D423" i="11"/>
  <c r="CV207" i="7"/>
  <c r="CX207" i="7" s="1"/>
  <c r="B455" i="9"/>
  <c r="C454" i="9"/>
  <c r="E454" i="9" s="1"/>
  <c r="F454" i="9"/>
  <c r="AY426" i="11" s="1"/>
  <c r="G454" i="9"/>
  <c r="Q426" i="11" s="1"/>
  <c r="H454" i="9"/>
  <c r="BA426" i="11" s="1"/>
  <c r="I454" i="9"/>
  <c r="J454" i="9"/>
  <c r="R426" i="11" s="1"/>
  <c r="K454" i="9"/>
  <c r="M453" i="9"/>
  <c r="AR426" i="7" s="1"/>
  <c r="CA426" i="7" s="1"/>
  <c r="L453" i="9"/>
  <c r="BK425" i="7" s="1"/>
  <c r="F236" i="9"/>
  <c r="AY208" i="11" s="1"/>
  <c r="C236" i="9"/>
  <c r="E236" i="9" s="1"/>
  <c r="H236" i="9" s="1"/>
  <c r="BA208" i="11" s="1"/>
  <c r="G236" i="9"/>
  <c r="Q208" i="11" s="1"/>
  <c r="M235" i="9"/>
  <c r="AR208" i="7" s="1"/>
  <c r="CA208" i="7" s="1"/>
  <c r="L235" i="9"/>
  <c r="BK207" i="7" s="1"/>
  <c r="CB207" i="7" s="1"/>
  <c r="CS424" i="7" l="1"/>
  <c r="CU424" i="7" s="1"/>
  <c r="CY424" i="7" s="1"/>
  <c r="CB425" i="7"/>
  <c r="CC425" i="7" s="1"/>
  <c r="CN425" i="7" s="1"/>
  <c r="I425" i="11" s="1"/>
  <c r="L425" i="11" s="1"/>
  <c r="CH208" i="11"/>
  <c r="X56" i="20" s="1"/>
  <c r="CJ208" i="11"/>
  <c r="X76" i="20" s="1"/>
  <c r="AP68" i="20"/>
  <c r="AP69" i="20" s="1"/>
  <c r="AP79" i="20" s="1"/>
  <c r="AP81" i="20" s="1"/>
  <c r="AP58" i="20"/>
  <c r="AP59" i="20" s="1"/>
  <c r="CF425" i="7"/>
  <c r="CH425" i="7" s="1"/>
  <c r="CI425" i="7" s="1"/>
  <c r="CV425" i="7"/>
  <c r="CX425" i="7" s="1"/>
  <c r="O454" i="9"/>
  <c r="BL426" i="7"/>
  <c r="AW426" i="11" s="1"/>
  <c r="CN206" i="7"/>
  <c r="I206" i="11" s="1"/>
  <c r="CN424" i="7"/>
  <c r="I424" i="11" s="1"/>
  <c r="L424" i="11" s="1"/>
  <c r="CQ424" i="7"/>
  <c r="CC207" i="7"/>
  <c r="CS207" i="7"/>
  <c r="CU207" i="7" s="1"/>
  <c r="CY207" i="7" s="1"/>
  <c r="CZ207" i="7" s="1"/>
  <c r="M454" i="9"/>
  <c r="AR427" i="7" s="1"/>
  <c r="CA427" i="7" s="1"/>
  <c r="L454" i="9"/>
  <c r="BK426" i="7" s="1"/>
  <c r="B456" i="9"/>
  <c r="C455" i="9"/>
  <c r="E455" i="9" s="1"/>
  <c r="F455" i="9"/>
  <c r="AY427" i="11" s="1"/>
  <c r="G455" i="9"/>
  <c r="Q427" i="11" s="1"/>
  <c r="H455" i="9"/>
  <c r="BA427" i="11" s="1"/>
  <c r="I455" i="9"/>
  <c r="J455" i="9"/>
  <c r="R427" i="11" s="1"/>
  <c r="K455" i="9"/>
  <c r="I236" i="9"/>
  <c r="K236" i="9"/>
  <c r="J236" i="9"/>
  <c r="R208" i="11" s="1"/>
  <c r="O236" i="9"/>
  <c r="BL208" i="7"/>
  <c r="CS425" i="7" l="1"/>
  <c r="CU425" i="7" s="1"/>
  <c r="CY425" i="7" s="1"/>
  <c r="CB426" i="7"/>
  <c r="CC426" i="7" s="1"/>
  <c r="CQ426" i="7" s="1"/>
  <c r="CV426" i="7"/>
  <c r="CX426" i="7" s="1"/>
  <c r="CF426" i="7"/>
  <c r="CH426" i="7" s="1"/>
  <c r="CI426" i="7" s="1"/>
  <c r="O455" i="9"/>
  <c r="BL427" i="7"/>
  <c r="AW427" i="11" s="1"/>
  <c r="CF208" i="7"/>
  <c r="CH208" i="7" s="1"/>
  <c r="CI208" i="7" s="1"/>
  <c r="CK207" i="7"/>
  <c r="CQ207" i="7" s="1"/>
  <c r="D425" i="11"/>
  <c r="CQ425" i="7"/>
  <c r="CV208" i="7"/>
  <c r="CX208" i="7" s="1"/>
  <c r="B457" i="9"/>
  <c r="C456" i="9"/>
  <c r="E456" i="9" s="1"/>
  <c r="F456" i="9"/>
  <c r="AY428" i="11" s="1"/>
  <c r="G456" i="9"/>
  <c r="Q428" i="11" s="1"/>
  <c r="H456" i="9"/>
  <c r="BA428" i="11" s="1"/>
  <c r="I456" i="9"/>
  <c r="J456" i="9"/>
  <c r="R428" i="11" s="1"/>
  <c r="K456" i="9"/>
  <c r="M455" i="9"/>
  <c r="AR428" i="7" s="1"/>
  <c r="CA428" i="7" s="1"/>
  <c r="L455" i="9"/>
  <c r="BK427" i="7" s="1"/>
  <c r="L236" i="9"/>
  <c r="BK208" i="7" s="1"/>
  <c r="CB208" i="7" s="1"/>
  <c r="M236" i="9"/>
  <c r="AR209" i="7" s="1"/>
  <c r="CA209" i="7" s="1"/>
  <c r="G237" i="9"/>
  <c r="Q209" i="11" s="1"/>
  <c r="F237" i="9"/>
  <c r="AY209" i="11" s="1"/>
  <c r="C237" i="9"/>
  <c r="E237" i="9" s="1"/>
  <c r="H237" i="9"/>
  <c r="BA209" i="11" s="1"/>
  <c r="CB427" i="7" l="1"/>
  <c r="CC427" i="7" s="1"/>
  <c r="CQ427" i="7" s="1"/>
  <c r="CS426" i="7"/>
  <c r="CU426" i="7" s="1"/>
  <c r="CY426" i="7" s="1"/>
  <c r="O456" i="9"/>
  <c r="BL428" i="7"/>
  <c r="AW428" i="11" s="1"/>
  <c r="CV427" i="7"/>
  <c r="CX427" i="7" s="1"/>
  <c r="CF427" i="7"/>
  <c r="CH427" i="7" s="1"/>
  <c r="CI427" i="7" s="1"/>
  <c r="CN207" i="7"/>
  <c r="I207" i="11" s="1"/>
  <c r="D426" i="11"/>
  <c r="CN426" i="7"/>
  <c r="I426" i="11" s="1"/>
  <c r="L426" i="11" s="1"/>
  <c r="CC208" i="7"/>
  <c r="CS208" i="7"/>
  <c r="CU208" i="7" s="1"/>
  <c r="CY208" i="7" s="1"/>
  <c r="CZ208" i="7" s="1"/>
  <c r="M456" i="9"/>
  <c r="AR429" i="7" s="1"/>
  <c r="CA429" i="7" s="1"/>
  <c r="L456" i="9"/>
  <c r="BK428" i="7" s="1"/>
  <c r="B458" i="9"/>
  <c r="C457" i="9"/>
  <c r="E457" i="9" s="1"/>
  <c r="F457" i="9"/>
  <c r="AY429" i="11" s="1"/>
  <c r="G457" i="9"/>
  <c r="Q429" i="11" s="1"/>
  <c r="H457" i="9"/>
  <c r="BA429" i="11" s="1"/>
  <c r="I457" i="9"/>
  <c r="J457" i="9"/>
  <c r="R429" i="11" s="1"/>
  <c r="K457" i="9"/>
  <c r="K237" i="9"/>
  <c r="I237" i="9"/>
  <c r="J237" i="9"/>
  <c r="R209" i="11" s="1"/>
  <c r="BL209" i="7"/>
  <c r="O237" i="9"/>
  <c r="CS427" i="7" l="1"/>
  <c r="CU427" i="7" s="1"/>
  <c r="CY427" i="7" s="1"/>
  <c r="CB428" i="7"/>
  <c r="CS428" i="7" s="1"/>
  <c r="CU428" i="7" s="1"/>
  <c r="CV428" i="7"/>
  <c r="CX428" i="7" s="1"/>
  <c r="CF428" i="7"/>
  <c r="CH428" i="7" s="1"/>
  <c r="CI428" i="7" s="1"/>
  <c r="O457" i="9"/>
  <c r="BL429" i="7"/>
  <c r="AW429" i="11" s="1"/>
  <c r="CF209" i="7"/>
  <c r="CH209" i="7" s="1"/>
  <c r="CI209" i="7" s="1"/>
  <c r="CK208" i="7"/>
  <c r="CN208" i="7" s="1"/>
  <c r="I208" i="11" s="1"/>
  <c r="CN427" i="7"/>
  <c r="I427" i="11" s="1"/>
  <c r="L427" i="11" s="1"/>
  <c r="D427" i="11"/>
  <c r="CV209" i="7"/>
  <c r="CX209" i="7" s="1"/>
  <c r="B459" i="9"/>
  <c r="C458" i="9"/>
  <c r="E458" i="9" s="1"/>
  <c r="F458" i="9"/>
  <c r="AY430" i="11" s="1"/>
  <c r="G458" i="9"/>
  <c r="Q430" i="11" s="1"/>
  <c r="H458" i="9"/>
  <c r="BA430" i="11" s="1"/>
  <c r="I458" i="9"/>
  <c r="J458" i="9"/>
  <c r="R430" i="11" s="1"/>
  <c r="K458" i="9"/>
  <c r="L457" i="9"/>
  <c r="BK429" i="7" s="1"/>
  <c r="M457" i="9"/>
  <c r="AR430" i="7" s="1"/>
  <c r="CA430" i="7" s="1"/>
  <c r="G238" i="9"/>
  <c r="Q210" i="11" s="1"/>
  <c r="F238" i="9"/>
  <c r="AY210" i="11" s="1"/>
  <c r="C238" i="9"/>
  <c r="E238" i="9" s="1"/>
  <c r="H238" i="9" s="1"/>
  <c r="BA210" i="11" s="1"/>
  <c r="M237" i="9"/>
  <c r="AR210" i="7" s="1"/>
  <c r="CA210" i="7" s="1"/>
  <c r="L237" i="9"/>
  <c r="BK209" i="7" s="1"/>
  <c r="CB209" i="7" s="1"/>
  <c r="CC428" i="7" l="1"/>
  <c r="CN428" i="7" s="1"/>
  <c r="I428" i="11" s="1"/>
  <c r="L428" i="11" s="1"/>
  <c r="CB429" i="7"/>
  <c r="CC429" i="7" s="1"/>
  <c r="CQ429" i="7" s="1"/>
  <c r="CY428" i="7"/>
  <c r="CV429" i="7"/>
  <c r="CX429" i="7" s="1"/>
  <c r="CF429" i="7"/>
  <c r="CH429" i="7" s="1"/>
  <c r="CI429" i="7" s="1"/>
  <c r="O458" i="9"/>
  <c r="BL430" i="7"/>
  <c r="AW430" i="11" s="1"/>
  <c r="CQ208" i="7"/>
  <c r="D428" i="11"/>
  <c r="CQ428" i="7"/>
  <c r="CC209" i="7"/>
  <c r="CS209" i="7"/>
  <c r="CU209" i="7" s="1"/>
  <c r="CY209" i="7" s="1"/>
  <c r="CZ209" i="7" s="1"/>
  <c r="M458" i="9"/>
  <c r="AR431" i="7" s="1"/>
  <c r="CA431" i="7" s="1"/>
  <c r="L458" i="9"/>
  <c r="BK430" i="7" s="1"/>
  <c r="B460" i="9"/>
  <c r="C459" i="9"/>
  <c r="E459" i="9" s="1"/>
  <c r="F459" i="9"/>
  <c r="AY431" i="11" s="1"/>
  <c r="G459" i="9"/>
  <c r="Q431" i="11" s="1"/>
  <c r="H459" i="9"/>
  <c r="BA431" i="11" s="1"/>
  <c r="I459" i="9"/>
  <c r="J459" i="9"/>
  <c r="R431" i="11" s="1"/>
  <c r="K459" i="9"/>
  <c r="K238" i="9"/>
  <c r="I238" i="9"/>
  <c r="J238" i="9"/>
  <c r="R210" i="11" s="1"/>
  <c r="O238" i="9"/>
  <c r="BL210" i="7"/>
  <c r="CS429" i="7" l="1"/>
  <c r="CU429" i="7" s="1"/>
  <c r="CY429" i="7" s="1"/>
  <c r="CB430" i="7"/>
  <c r="CC430" i="7" s="1"/>
  <c r="CN430" i="7" s="1"/>
  <c r="I430" i="11" s="1"/>
  <c r="L430" i="11" s="1"/>
  <c r="CV430" i="7"/>
  <c r="CX430" i="7" s="1"/>
  <c r="CF430" i="7"/>
  <c r="CH430" i="7" s="1"/>
  <c r="CI430" i="7" s="1"/>
  <c r="O459" i="9"/>
  <c r="BL431" i="7"/>
  <c r="AW431" i="11" s="1"/>
  <c r="CF210" i="7"/>
  <c r="CH210" i="7" s="1"/>
  <c r="CI210" i="7" s="1"/>
  <c r="CK209" i="7"/>
  <c r="CQ209" i="7" s="1"/>
  <c r="D429" i="11"/>
  <c r="CN429" i="7"/>
  <c r="I429" i="11" s="1"/>
  <c r="L429" i="11" s="1"/>
  <c r="CV210" i="7"/>
  <c r="CX210" i="7" s="1"/>
  <c r="B461" i="9"/>
  <c r="C460" i="9"/>
  <c r="E460" i="9" s="1"/>
  <c r="F460" i="9"/>
  <c r="AY432" i="11" s="1"/>
  <c r="G460" i="9"/>
  <c r="Q432" i="11" s="1"/>
  <c r="H460" i="9"/>
  <c r="BA432" i="11" s="1"/>
  <c r="I460" i="9"/>
  <c r="J460" i="9"/>
  <c r="R432" i="11" s="1"/>
  <c r="K460" i="9"/>
  <c r="M459" i="9"/>
  <c r="AR432" i="7" s="1"/>
  <c r="CA432" i="7" s="1"/>
  <c r="L459" i="9"/>
  <c r="BK431" i="7" s="1"/>
  <c r="C239" i="9"/>
  <c r="E239" i="9" s="1"/>
  <c r="F239" i="9"/>
  <c r="AY211" i="11" s="1"/>
  <c r="G239" i="9"/>
  <c r="Q211" i="11" s="1"/>
  <c r="H239" i="9"/>
  <c r="BA211" i="11" s="1"/>
  <c r="L238" i="9"/>
  <c r="BK210" i="7" s="1"/>
  <c r="CB210" i="7" s="1"/>
  <c r="M238" i="9"/>
  <c r="AR211" i="7" s="1"/>
  <c r="CA211" i="7" s="1"/>
  <c r="CB431" i="7" l="1"/>
  <c r="CC431" i="7" s="1"/>
  <c r="D431" i="11" s="1"/>
  <c r="CS430" i="7"/>
  <c r="CU430" i="7" s="1"/>
  <c r="CY430" i="7" s="1"/>
  <c r="O460" i="9"/>
  <c r="BL432" i="7"/>
  <c r="AW432" i="11" s="1"/>
  <c r="CF431" i="7"/>
  <c r="CH431" i="7" s="1"/>
  <c r="CI431" i="7" s="1"/>
  <c r="CV431" i="7"/>
  <c r="CX431" i="7" s="1"/>
  <c r="CN209" i="7"/>
  <c r="I209" i="11" s="1"/>
  <c r="CQ430" i="7"/>
  <c r="D430" i="11"/>
  <c r="CC210" i="7"/>
  <c r="CS210" i="7"/>
  <c r="CU210" i="7" s="1"/>
  <c r="CY210" i="7" s="1"/>
  <c r="CZ210" i="7" s="1"/>
  <c r="M460" i="9"/>
  <c r="AR433" i="7" s="1"/>
  <c r="CA433" i="7" s="1"/>
  <c r="L460" i="9"/>
  <c r="BK432" i="7" s="1"/>
  <c r="B462" i="9"/>
  <c r="C461" i="9"/>
  <c r="E461" i="9" s="1"/>
  <c r="F461" i="9"/>
  <c r="AY433" i="11" s="1"/>
  <c r="G461" i="9"/>
  <c r="Q433" i="11" s="1"/>
  <c r="H461" i="9"/>
  <c r="BA433" i="11" s="1"/>
  <c r="I461" i="9"/>
  <c r="J461" i="9"/>
  <c r="R433" i="11" s="1"/>
  <c r="K461" i="9"/>
  <c r="K239" i="9"/>
  <c r="I239" i="9"/>
  <c r="J239" i="9"/>
  <c r="R211" i="11" s="1"/>
  <c r="O239" i="9"/>
  <c r="BL211" i="7"/>
  <c r="CS431" i="7" l="1"/>
  <c r="CU431" i="7" s="1"/>
  <c r="CY431" i="7" s="1"/>
  <c r="CB432" i="7"/>
  <c r="CC432" i="7" s="1"/>
  <c r="CN432" i="7" s="1"/>
  <c r="I432" i="11" s="1"/>
  <c r="L432" i="11" s="1"/>
  <c r="CF432" i="7"/>
  <c r="CH432" i="7" s="1"/>
  <c r="CI432" i="7" s="1"/>
  <c r="CV432" i="7"/>
  <c r="CX432" i="7" s="1"/>
  <c r="O461" i="9"/>
  <c r="BL433" i="7"/>
  <c r="AW433" i="11" s="1"/>
  <c r="CF211" i="7"/>
  <c r="CH211" i="7" s="1"/>
  <c r="CI211" i="7" s="1"/>
  <c r="CK210" i="7"/>
  <c r="CQ210" i="7" s="1"/>
  <c r="CN431" i="7"/>
  <c r="I431" i="11" s="1"/>
  <c r="L431" i="11" s="1"/>
  <c r="CQ431" i="7"/>
  <c r="CV211" i="7"/>
  <c r="CX211" i="7" s="1"/>
  <c r="B463" i="9"/>
  <c r="C462" i="9"/>
  <c r="E462" i="9" s="1"/>
  <c r="F462" i="9"/>
  <c r="AY434" i="11" s="1"/>
  <c r="G462" i="9"/>
  <c r="Q434" i="11" s="1"/>
  <c r="H462" i="9"/>
  <c r="BA434" i="11" s="1"/>
  <c r="I462" i="9"/>
  <c r="J462" i="9"/>
  <c r="R434" i="11" s="1"/>
  <c r="K462" i="9"/>
  <c r="M461" i="9"/>
  <c r="AR434" i="7" s="1"/>
  <c r="CA434" i="7" s="1"/>
  <c r="L461" i="9"/>
  <c r="BK433" i="7" s="1"/>
  <c r="C240" i="9"/>
  <c r="E240" i="9" s="1"/>
  <c r="H240" i="9" s="1"/>
  <c r="BA212" i="11" s="1"/>
  <c r="F240" i="9"/>
  <c r="AY212" i="11" s="1"/>
  <c r="G240" i="9"/>
  <c r="Q212" i="11" s="1"/>
  <c r="L239" i="9"/>
  <c r="BK211" i="7" s="1"/>
  <c r="CB211" i="7" s="1"/>
  <c r="M239" i="9"/>
  <c r="AR212" i="7" s="1"/>
  <c r="CA212" i="7" s="1"/>
  <c r="CS432" i="7" l="1"/>
  <c r="CU432" i="7" s="1"/>
  <c r="CY432" i="7" s="1"/>
  <c r="CB433" i="7"/>
  <c r="CC433" i="7" s="1"/>
  <c r="D433" i="11" s="1"/>
  <c r="CV433" i="7"/>
  <c r="CX433" i="7" s="1"/>
  <c r="CF433" i="7"/>
  <c r="CH433" i="7" s="1"/>
  <c r="CI433" i="7" s="1"/>
  <c r="O462" i="9"/>
  <c r="BL434" i="7"/>
  <c r="AW434" i="11" s="1"/>
  <c r="CN210" i="7"/>
  <c r="I210" i="11" s="1"/>
  <c r="D432" i="11"/>
  <c r="CQ432" i="7"/>
  <c r="CC211" i="7"/>
  <c r="CS211" i="7"/>
  <c r="CU211" i="7" s="1"/>
  <c r="CY211" i="7" s="1"/>
  <c r="CZ211" i="7" s="1"/>
  <c r="L462" i="9"/>
  <c r="BK434" i="7" s="1"/>
  <c r="M462" i="9"/>
  <c r="AR435" i="7" s="1"/>
  <c r="CA435" i="7" s="1"/>
  <c r="B464" i="9"/>
  <c r="C463" i="9"/>
  <c r="E463" i="9" s="1"/>
  <c r="F463" i="9"/>
  <c r="AY435" i="11" s="1"/>
  <c r="G463" i="9"/>
  <c r="Q435" i="11" s="1"/>
  <c r="H463" i="9"/>
  <c r="BA435" i="11" s="1"/>
  <c r="I463" i="9"/>
  <c r="J463" i="9"/>
  <c r="R435" i="11" s="1"/>
  <c r="K463" i="9"/>
  <c r="J240" i="9"/>
  <c r="R212" i="11" s="1"/>
  <c r="I240" i="9"/>
  <c r="K240" i="9"/>
  <c r="BL212" i="7"/>
  <c r="O240" i="9"/>
  <c r="CS433" i="7" l="1"/>
  <c r="CU433" i="7" s="1"/>
  <c r="CY433" i="7" s="1"/>
  <c r="CB434" i="7"/>
  <c r="CC434" i="7" s="1"/>
  <c r="CQ434" i="7" s="1"/>
  <c r="CV434" i="7"/>
  <c r="CX434" i="7" s="1"/>
  <c r="CF434" i="7"/>
  <c r="CH434" i="7" s="1"/>
  <c r="CI434" i="7" s="1"/>
  <c r="O463" i="9"/>
  <c r="BL435" i="7"/>
  <c r="AW435" i="11" s="1"/>
  <c r="CF212" i="7"/>
  <c r="CH212" i="7" s="1"/>
  <c r="CI212" i="7" s="1"/>
  <c r="CK211" i="7"/>
  <c r="CQ211" i="7" s="1"/>
  <c r="CQ433" i="7"/>
  <c r="CN433" i="7"/>
  <c r="I433" i="11" s="1"/>
  <c r="L433" i="11" s="1"/>
  <c r="CV212" i="7"/>
  <c r="CX212" i="7" s="1"/>
  <c r="B465" i="9"/>
  <c r="C464" i="9"/>
  <c r="E464" i="9" s="1"/>
  <c r="F464" i="9"/>
  <c r="AY436" i="11" s="1"/>
  <c r="G464" i="9"/>
  <c r="Q436" i="11" s="1"/>
  <c r="H464" i="9"/>
  <c r="BA436" i="11" s="1"/>
  <c r="I464" i="9"/>
  <c r="J464" i="9"/>
  <c r="R436" i="11" s="1"/>
  <c r="K464" i="9"/>
  <c r="M463" i="9"/>
  <c r="AR436" i="7" s="1"/>
  <c r="CA436" i="7" s="1"/>
  <c r="L463" i="9"/>
  <c r="BK435" i="7" s="1"/>
  <c r="L240" i="9"/>
  <c r="BK212" i="7" s="1"/>
  <c r="CB212" i="7" s="1"/>
  <c r="M240" i="9"/>
  <c r="AR213" i="7" s="1"/>
  <c r="CA213" i="7" s="1"/>
  <c r="G241" i="9"/>
  <c r="Q213" i="11" s="1"/>
  <c r="C241" i="9"/>
  <c r="E241" i="9" s="1"/>
  <c r="H241" i="9" s="1"/>
  <c r="BA213" i="11" s="1"/>
  <c r="F241" i="9"/>
  <c r="AY213" i="11" s="1"/>
  <c r="CB435" i="7" l="1"/>
  <c r="CC435" i="7" s="1"/>
  <c r="D435" i="11" s="1"/>
  <c r="CS434" i="7"/>
  <c r="CU434" i="7" s="1"/>
  <c r="CY434" i="7" s="1"/>
  <c r="CH436" i="11"/>
  <c r="AQ56" i="20" s="1"/>
  <c r="AQ57" i="20" s="1"/>
  <c r="CJ436" i="11"/>
  <c r="AQ76" i="20" s="1"/>
  <c r="AQ77" i="20" s="1"/>
  <c r="AQ78" i="20" s="1"/>
  <c r="O464" i="9"/>
  <c r="BL436" i="7"/>
  <c r="AW436" i="11" s="1"/>
  <c r="CV435" i="7"/>
  <c r="CX435" i="7" s="1"/>
  <c r="CF435" i="7"/>
  <c r="CH435" i="7" s="1"/>
  <c r="CI435" i="7" s="1"/>
  <c r="CN211" i="7"/>
  <c r="I211" i="11" s="1"/>
  <c r="CN434" i="7"/>
  <c r="I434" i="11" s="1"/>
  <c r="L434" i="11" s="1"/>
  <c r="D434" i="11"/>
  <c r="CC212" i="7"/>
  <c r="CS212" i="7"/>
  <c r="CU212" i="7" s="1"/>
  <c r="CY212" i="7" s="1"/>
  <c r="CZ212" i="7" s="1"/>
  <c r="M464" i="9"/>
  <c r="AR437" i="7" s="1"/>
  <c r="CA437" i="7" s="1"/>
  <c r="L464" i="9"/>
  <c r="BK436" i="7" s="1"/>
  <c r="B466" i="9"/>
  <c r="C465" i="9"/>
  <c r="E465" i="9" s="1"/>
  <c r="F465" i="9"/>
  <c r="AY437" i="11" s="1"/>
  <c r="G465" i="9"/>
  <c r="Q437" i="11" s="1"/>
  <c r="H465" i="9"/>
  <c r="BA437" i="11" s="1"/>
  <c r="I465" i="9"/>
  <c r="J465" i="9"/>
  <c r="R437" i="11" s="1"/>
  <c r="K465" i="9"/>
  <c r="K241" i="9"/>
  <c r="I241" i="9"/>
  <c r="J241" i="9"/>
  <c r="R213" i="11" s="1"/>
  <c r="BL213" i="7"/>
  <c r="O241" i="9"/>
  <c r="CS435" i="7" l="1"/>
  <c r="CU435" i="7" s="1"/>
  <c r="CY435" i="7" s="1"/>
  <c r="CB436" i="7"/>
  <c r="CC436" i="7" s="1"/>
  <c r="D436" i="11" s="1"/>
  <c r="CF436" i="7"/>
  <c r="CH436" i="7" s="1"/>
  <c r="CI436" i="7" s="1"/>
  <c r="CV436" i="7"/>
  <c r="CX436" i="7" s="1"/>
  <c r="CF436" i="11"/>
  <c r="AQ51" i="20" s="1"/>
  <c r="AQ52" i="20" s="1"/>
  <c r="AQ53" i="20" s="1"/>
  <c r="O465" i="9"/>
  <c r="BL437" i="7"/>
  <c r="AW437" i="11" s="1"/>
  <c r="CF213" i="7"/>
  <c r="CH213" i="7" s="1"/>
  <c r="CI213" i="7" s="1"/>
  <c r="CK212" i="7"/>
  <c r="CQ212" i="7" s="1"/>
  <c r="CQ435" i="7"/>
  <c r="CN435" i="7"/>
  <c r="I435" i="11" s="1"/>
  <c r="L435" i="11" s="1"/>
  <c r="CV213" i="7"/>
  <c r="CX213" i="7" s="1"/>
  <c r="B467" i="9"/>
  <c r="C466" i="9"/>
  <c r="E466" i="9" s="1"/>
  <c r="F466" i="9"/>
  <c r="AY438" i="11" s="1"/>
  <c r="G466" i="9"/>
  <c r="Q438" i="11" s="1"/>
  <c r="H466" i="9"/>
  <c r="BA438" i="11" s="1"/>
  <c r="I466" i="9"/>
  <c r="J466" i="9"/>
  <c r="R438" i="11" s="1"/>
  <c r="K466" i="9"/>
  <c r="L465" i="9"/>
  <c r="BK437" i="7" s="1"/>
  <c r="M465" i="9"/>
  <c r="AR438" i="7" s="1"/>
  <c r="CA438" i="7" s="1"/>
  <c r="H242" i="9"/>
  <c r="BA214" i="11" s="1"/>
  <c r="G242" i="9"/>
  <c r="Q214" i="11" s="1"/>
  <c r="C242" i="9"/>
  <c r="E242" i="9" s="1"/>
  <c r="F242" i="9"/>
  <c r="AY214" i="11" s="1"/>
  <c r="I242" i="9"/>
  <c r="M241" i="9"/>
  <c r="AR214" i="7" s="1"/>
  <c r="CA214" i="7" s="1"/>
  <c r="L241" i="9"/>
  <c r="BK213" i="7" s="1"/>
  <c r="CB213" i="7" s="1"/>
  <c r="CS436" i="7" l="1"/>
  <c r="CU436" i="7" s="1"/>
  <c r="CY436" i="7" s="1"/>
  <c r="CB437" i="7"/>
  <c r="CC437" i="7" s="1"/>
  <c r="CQ437" i="7" s="1"/>
  <c r="AQ68" i="20"/>
  <c r="AQ69" i="20" s="1"/>
  <c r="AQ79" i="20" s="1"/>
  <c r="AQ81" i="20" s="1"/>
  <c r="AQ58" i="20"/>
  <c r="AQ59" i="20" s="1"/>
  <c r="CF437" i="7"/>
  <c r="CH437" i="7" s="1"/>
  <c r="CI437" i="7" s="1"/>
  <c r="CV437" i="7"/>
  <c r="CX437" i="7" s="1"/>
  <c r="O466" i="9"/>
  <c r="BL438" i="7"/>
  <c r="AW438" i="11" s="1"/>
  <c r="CN212" i="7"/>
  <c r="I212" i="11" s="1"/>
  <c r="CN436" i="7"/>
  <c r="I436" i="11" s="1"/>
  <c r="L436" i="11" s="1"/>
  <c r="CQ436" i="7"/>
  <c r="CC213" i="7"/>
  <c r="CS213" i="7"/>
  <c r="CU213" i="7" s="1"/>
  <c r="CY213" i="7" s="1"/>
  <c r="CZ213" i="7" s="1"/>
  <c r="L466" i="9"/>
  <c r="BK438" i="7" s="1"/>
  <c r="M466" i="9"/>
  <c r="AR439" i="7" s="1"/>
  <c r="CA439" i="7" s="1"/>
  <c r="B468" i="9"/>
  <c r="C467" i="9"/>
  <c r="E467" i="9" s="1"/>
  <c r="F467" i="9"/>
  <c r="AY439" i="11" s="1"/>
  <c r="G467" i="9"/>
  <c r="Q439" i="11" s="1"/>
  <c r="H467" i="9"/>
  <c r="BA439" i="11" s="1"/>
  <c r="I467" i="9"/>
  <c r="J467" i="9"/>
  <c r="R439" i="11" s="1"/>
  <c r="K467" i="9"/>
  <c r="K242" i="9"/>
  <c r="J242" i="9"/>
  <c r="R214" i="11" s="1"/>
  <c r="BL214" i="7"/>
  <c r="O242" i="9"/>
  <c r="CB438" i="7" l="1"/>
  <c r="CC438" i="7" s="1"/>
  <c r="CQ438" i="7" s="1"/>
  <c r="CS437" i="7"/>
  <c r="CU437" i="7" s="1"/>
  <c r="CY437" i="7" s="1"/>
  <c r="CV438" i="7"/>
  <c r="CX438" i="7" s="1"/>
  <c r="CF438" i="7"/>
  <c r="CH438" i="7" s="1"/>
  <c r="CI438" i="7" s="1"/>
  <c r="O467" i="9"/>
  <c r="BL439" i="7"/>
  <c r="AW439" i="11" s="1"/>
  <c r="CF214" i="7"/>
  <c r="CH214" i="7" s="1"/>
  <c r="CI214" i="7" s="1"/>
  <c r="CK213" i="7"/>
  <c r="CQ213" i="7" s="1"/>
  <c r="CN437" i="7"/>
  <c r="I437" i="11" s="1"/>
  <c r="L437" i="11" s="1"/>
  <c r="D437" i="11"/>
  <c r="CV214" i="7"/>
  <c r="CX214" i="7" s="1"/>
  <c r="B469" i="9"/>
  <c r="C468" i="9"/>
  <c r="E468" i="9" s="1"/>
  <c r="F468" i="9"/>
  <c r="AY440" i="11" s="1"/>
  <c r="G468" i="9"/>
  <c r="Q440" i="11" s="1"/>
  <c r="H468" i="9"/>
  <c r="BA440" i="11" s="1"/>
  <c r="I468" i="9"/>
  <c r="J468" i="9"/>
  <c r="R440" i="11" s="1"/>
  <c r="K468" i="9"/>
  <c r="M467" i="9"/>
  <c r="AR440" i="7" s="1"/>
  <c r="CA440" i="7" s="1"/>
  <c r="L467" i="9"/>
  <c r="BK439" i="7" s="1"/>
  <c r="M242" i="9"/>
  <c r="AR215" i="7" s="1"/>
  <c r="CA215" i="7" s="1"/>
  <c r="L242" i="9"/>
  <c r="BK214" i="7" s="1"/>
  <c r="CB214" i="7" s="1"/>
  <c r="C243" i="9"/>
  <c r="E243" i="9" s="1"/>
  <c r="G243" i="9"/>
  <c r="Q215" i="11" s="1"/>
  <c r="F243" i="9"/>
  <c r="AY215" i="11" s="1"/>
  <c r="CB439" i="7" l="1"/>
  <c r="CS439" i="7" s="1"/>
  <c r="CU439" i="7" s="1"/>
  <c r="CS438" i="7"/>
  <c r="CU438" i="7" s="1"/>
  <c r="CY438" i="7" s="1"/>
  <c r="H243" i="9"/>
  <c r="BA215" i="11" s="1"/>
  <c r="O468" i="9"/>
  <c r="BL440" i="7"/>
  <c r="AW440" i="11" s="1"/>
  <c r="CF439" i="7"/>
  <c r="CH439" i="7" s="1"/>
  <c r="CI439" i="7" s="1"/>
  <c r="CV439" i="7"/>
  <c r="CX439" i="7" s="1"/>
  <c r="CN213" i="7"/>
  <c r="I213" i="11" s="1"/>
  <c r="CN438" i="7"/>
  <c r="I438" i="11" s="1"/>
  <c r="L438" i="11" s="1"/>
  <c r="D438" i="11"/>
  <c r="CC214" i="7"/>
  <c r="CS214" i="7"/>
  <c r="CU214" i="7" s="1"/>
  <c r="CY214" i="7" s="1"/>
  <c r="CZ214" i="7" s="1"/>
  <c r="L468" i="9"/>
  <c r="BK440" i="7" s="1"/>
  <c r="M468" i="9"/>
  <c r="AR441" i="7" s="1"/>
  <c r="CA441" i="7" s="1"/>
  <c r="B470" i="9"/>
  <c r="C469" i="9"/>
  <c r="E469" i="9" s="1"/>
  <c r="F469" i="9"/>
  <c r="AY441" i="11" s="1"/>
  <c r="G469" i="9"/>
  <c r="Q441" i="11" s="1"/>
  <c r="H469" i="9"/>
  <c r="BA441" i="11" s="1"/>
  <c r="I469" i="9"/>
  <c r="J469" i="9"/>
  <c r="R441" i="11" s="1"/>
  <c r="K469" i="9"/>
  <c r="I243" i="9"/>
  <c r="K243" i="9"/>
  <c r="J243" i="9"/>
  <c r="R215" i="11" s="1"/>
  <c r="O243" i="9"/>
  <c r="BL215" i="7"/>
  <c r="CC439" i="7" l="1"/>
  <c r="CN439" i="7" s="1"/>
  <c r="I439" i="11" s="1"/>
  <c r="L439" i="11" s="1"/>
  <c r="CB440" i="7"/>
  <c r="CC440" i="7" s="1"/>
  <c r="D440" i="11" s="1"/>
  <c r="CY439" i="7"/>
  <c r="CF440" i="7"/>
  <c r="CH440" i="7" s="1"/>
  <c r="CI440" i="7" s="1"/>
  <c r="CV440" i="7"/>
  <c r="CX440" i="7" s="1"/>
  <c r="O469" i="9"/>
  <c r="BL441" i="7"/>
  <c r="AW441" i="11" s="1"/>
  <c r="CF215" i="7"/>
  <c r="CH215" i="7" s="1"/>
  <c r="CI215" i="7" s="1"/>
  <c r="CK214" i="7"/>
  <c r="CN214" i="7" s="1"/>
  <c r="I214" i="11" s="1"/>
  <c r="D439" i="11"/>
  <c r="CQ439" i="7"/>
  <c r="CV215" i="7"/>
  <c r="CX215" i="7" s="1"/>
  <c r="B471" i="9"/>
  <c r="C470" i="9"/>
  <c r="E470" i="9" s="1"/>
  <c r="F470" i="9"/>
  <c r="AY442" i="11" s="1"/>
  <c r="G470" i="9"/>
  <c r="Q442" i="11" s="1"/>
  <c r="H470" i="9"/>
  <c r="BA442" i="11" s="1"/>
  <c r="I470" i="9"/>
  <c r="J470" i="9"/>
  <c r="R442" i="11" s="1"/>
  <c r="K470" i="9"/>
  <c r="M469" i="9"/>
  <c r="AR442" i="7" s="1"/>
  <c r="CA442" i="7" s="1"/>
  <c r="L469" i="9"/>
  <c r="BK441" i="7" s="1"/>
  <c r="L243" i="9"/>
  <c r="BK215" i="7" s="1"/>
  <c r="CB215" i="7" s="1"/>
  <c r="M243" i="9"/>
  <c r="AR216" i="7" s="1"/>
  <c r="CA216" i="7" s="1"/>
  <c r="F244" i="9"/>
  <c r="AY216" i="11" s="1"/>
  <c r="C244" i="9"/>
  <c r="E244" i="9" s="1"/>
  <c r="H244" i="9"/>
  <c r="BA216" i="11" s="1"/>
  <c r="CB441" i="7" l="1"/>
  <c r="CC441" i="7" s="1"/>
  <c r="CQ441" i="7" s="1"/>
  <c r="CS440" i="7"/>
  <c r="CU440" i="7" s="1"/>
  <c r="CY440" i="7" s="1"/>
  <c r="CF441" i="7"/>
  <c r="CH441" i="7" s="1"/>
  <c r="CI441" i="7" s="1"/>
  <c r="CV441" i="7"/>
  <c r="CX441" i="7" s="1"/>
  <c r="O470" i="9"/>
  <c r="BL442" i="7"/>
  <c r="AW442" i="11" s="1"/>
  <c r="CQ214" i="7"/>
  <c r="CN440" i="7"/>
  <c r="I440" i="11" s="1"/>
  <c r="L440" i="11" s="1"/>
  <c r="CQ440" i="7"/>
  <c r="CC215" i="7"/>
  <c r="CS215" i="7"/>
  <c r="CU215" i="7" s="1"/>
  <c r="CY215" i="7" s="1"/>
  <c r="CZ215" i="7" s="1"/>
  <c r="M470" i="9"/>
  <c r="AR443" i="7" s="1"/>
  <c r="CA443" i="7" s="1"/>
  <c r="L470" i="9"/>
  <c r="BK442" i="7" s="1"/>
  <c r="B472" i="9"/>
  <c r="C471" i="9"/>
  <c r="E471" i="9" s="1"/>
  <c r="F471" i="9"/>
  <c r="AY443" i="11" s="1"/>
  <c r="G471" i="9"/>
  <c r="Q443" i="11" s="1"/>
  <c r="H471" i="9"/>
  <c r="BA443" i="11" s="1"/>
  <c r="I471" i="9"/>
  <c r="J471" i="9"/>
  <c r="R443" i="11" s="1"/>
  <c r="K471" i="9"/>
  <c r="J244" i="9"/>
  <c r="R216" i="11" s="1"/>
  <c r="I244" i="9"/>
  <c r="K244" i="9"/>
  <c r="O244" i="9"/>
  <c r="BL216" i="7"/>
  <c r="G244" i="9"/>
  <c r="Q216" i="11" s="1"/>
  <c r="CS441" i="7" l="1"/>
  <c r="CU441" i="7" s="1"/>
  <c r="CY441" i="7" s="1"/>
  <c r="CB442" i="7"/>
  <c r="CC442" i="7" s="1"/>
  <c r="CN442" i="7" s="1"/>
  <c r="I442" i="11" s="1"/>
  <c r="L442" i="11" s="1"/>
  <c r="CV442" i="7"/>
  <c r="CX442" i="7" s="1"/>
  <c r="CF442" i="7"/>
  <c r="CH442" i="7" s="1"/>
  <c r="CI442" i="7" s="1"/>
  <c r="O471" i="9"/>
  <c r="BL443" i="7"/>
  <c r="AW443" i="11" s="1"/>
  <c r="CF216" i="7"/>
  <c r="CH216" i="7" s="1"/>
  <c r="CI216" i="7" s="1"/>
  <c r="CK215" i="7"/>
  <c r="CN215" i="7" s="1"/>
  <c r="I215" i="11" s="1"/>
  <c r="D441" i="11"/>
  <c r="CN441" i="7"/>
  <c r="I441" i="11" s="1"/>
  <c r="L441" i="11" s="1"/>
  <c r="CV216" i="7"/>
  <c r="CX216" i="7" s="1"/>
  <c r="B473" i="9"/>
  <c r="C472" i="9"/>
  <c r="E472" i="9" s="1"/>
  <c r="F472" i="9"/>
  <c r="AY444" i="11" s="1"/>
  <c r="G472" i="9"/>
  <c r="Q444" i="11" s="1"/>
  <c r="H472" i="9"/>
  <c r="BA444" i="11" s="1"/>
  <c r="I472" i="9"/>
  <c r="J472" i="9"/>
  <c r="R444" i="11" s="1"/>
  <c r="K472" i="9"/>
  <c r="M471" i="9"/>
  <c r="AR444" i="7" s="1"/>
  <c r="CA444" i="7" s="1"/>
  <c r="L471" i="9"/>
  <c r="BK443" i="7" s="1"/>
  <c r="L244" i="9"/>
  <c r="BK216" i="7" s="1"/>
  <c r="CB216" i="7" s="1"/>
  <c r="M244" i="9"/>
  <c r="AR217" i="7" s="1"/>
  <c r="CA217" i="7" s="1"/>
  <c r="G245" i="9"/>
  <c r="Q217" i="11" s="1"/>
  <c r="C245" i="9"/>
  <c r="E245" i="9" s="1"/>
  <c r="H245" i="9" s="1"/>
  <c r="BA217" i="11" s="1"/>
  <c r="F245" i="9"/>
  <c r="AY217" i="11" s="1"/>
  <c r="CB443" i="7" l="1"/>
  <c r="CC443" i="7" s="1"/>
  <c r="CN443" i="7" s="1"/>
  <c r="I443" i="11" s="1"/>
  <c r="L443" i="11" s="1"/>
  <c r="CS442" i="7"/>
  <c r="CU442" i="7" s="1"/>
  <c r="CY442" i="7" s="1"/>
  <c r="O472" i="9"/>
  <c r="BL444" i="7"/>
  <c r="AW444" i="11" s="1"/>
  <c r="CV443" i="7"/>
  <c r="CX443" i="7" s="1"/>
  <c r="CF443" i="7"/>
  <c r="CH443" i="7" s="1"/>
  <c r="CI443" i="7" s="1"/>
  <c r="CQ215" i="7"/>
  <c r="CQ442" i="7"/>
  <c r="D442" i="11"/>
  <c r="CC216" i="7"/>
  <c r="CS216" i="7"/>
  <c r="CU216" i="7" s="1"/>
  <c r="CY216" i="7" s="1"/>
  <c r="CZ216" i="7" s="1"/>
  <c r="M472" i="9"/>
  <c r="AR445" i="7" s="1"/>
  <c r="CA445" i="7" s="1"/>
  <c r="L472" i="9"/>
  <c r="BK444" i="7" s="1"/>
  <c r="B474" i="9"/>
  <c r="C473" i="9"/>
  <c r="E473" i="9" s="1"/>
  <c r="F473" i="9"/>
  <c r="AY445" i="11" s="1"/>
  <c r="G473" i="9"/>
  <c r="Q445" i="11" s="1"/>
  <c r="H473" i="9"/>
  <c r="BA445" i="11" s="1"/>
  <c r="I473" i="9"/>
  <c r="J473" i="9"/>
  <c r="R445" i="11" s="1"/>
  <c r="K473" i="9"/>
  <c r="J245" i="9"/>
  <c r="R217" i="11" s="1"/>
  <c r="K245" i="9"/>
  <c r="I245" i="9"/>
  <c r="O245" i="9"/>
  <c r="BL217" i="7"/>
  <c r="CB444" i="7" l="1"/>
  <c r="CS443" i="7"/>
  <c r="CU443" i="7" s="1"/>
  <c r="CY443" i="7" s="1"/>
  <c r="CF444" i="7"/>
  <c r="CH444" i="7" s="1"/>
  <c r="CI444" i="7" s="1"/>
  <c r="CV444" i="7"/>
  <c r="CX444" i="7" s="1"/>
  <c r="O473" i="9"/>
  <c r="BL445" i="7"/>
  <c r="AW445" i="11" s="1"/>
  <c r="CF217" i="7"/>
  <c r="CH217" i="7" s="1"/>
  <c r="CI217" i="7" s="1"/>
  <c r="CK216" i="7"/>
  <c r="CN216" i="7" s="1"/>
  <c r="I216" i="11" s="1"/>
  <c r="CQ443" i="7"/>
  <c r="D443" i="11"/>
  <c r="CC444" i="7"/>
  <c r="CQ444" i="7" s="1"/>
  <c r="CS444" i="7"/>
  <c r="CU444" i="7" s="1"/>
  <c r="CV217" i="7"/>
  <c r="CX217" i="7" s="1"/>
  <c r="B475" i="9"/>
  <c r="C474" i="9"/>
  <c r="E474" i="9" s="1"/>
  <c r="F474" i="9"/>
  <c r="AY446" i="11" s="1"/>
  <c r="G474" i="9"/>
  <c r="Q446" i="11" s="1"/>
  <c r="H474" i="9"/>
  <c r="BA446" i="11" s="1"/>
  <c r="I474" i="9"/>
  <c r="J474" i="9"/>
  <c r="R446" i="11" s="1"/>
  <c r="K474" i="9"/>
  <c r="L473" i="9"/>
  <c r="BK445" i="7" s="1"/>
  <c r="M473" i="9"/>
  <c r="AR446" i="7" s="1"/>
  <c r="CA446" i="7" s="1"/>
  <c r="L245" i="9"/>
  <c r="BK217" i="7" s="1"/>
  <c r="CB217" i="7" s="1"/>
  <c r="M245" i="9"/>
  <c r="AR218" i="7" s="1"/>
  <c r="CA218" i="7" s="1"/>
  <c r="G246" i="9"/>
  <c r="Q218" i="11" s="1"/>
  <c r="F246" i="9"/>
  <c r="AY218" i="11" s="1"/>
  <c r="C246" i="9"/>
  <c r="E246" i="9" s="1"/>
  <c r="H246" i="9"/>
  <c r="BA218" i="11" s="1"/>
  <c r="CB445" i="7" l="1"/>
  <c r="CC445" i="7" s="1"/>
  <c r="CN445" i="7" s="1"/>
  <c r="I445" i="11" s="1"/>
  <c r="L445" i="11" s="1"/>
  <c r="CY444" i="7"/>
  <c r="CV445" i="7"/>
  <c r="CX445" i="7" s="1"/>
  <c r="CF445" i="7"/>
  <c r="CH445" i="7" s="1"/>
  <c r="CI445" i="7" s="1"/>
  <c r="O474" i="9"/>
  <c r="BL446" i="7"/>
  <c r="AW446" i="11" s="1"/>
  <c r="CQ216" i="7"/>
  <c r="CN444" i="7"/>
  <c r="I444" i="11" s="1"/>
  <c r="L444" i="11" s="1"/>
  <c r="D444" i="11"/>
  <c r="CC217" i="7"/>
  <c r="CS217" i="7"/>
  <c r="CU217" i="7" s="1"/>
  <c r="CY217" i="7" s="1"/>
  <c r="CZ217" i="7" s="1"/>
  <c r="L474" i="9"/>
  <c r="BK446" i="7" s="1"/>
  <c r="M474" i="9"/>
  <c r="AR447" i="7" s="1"/>
  <c r="CA447" i="7" s="1"/>
  <c r="B476" i="9"/>
  <c r="C475" i="9"/>
  <c r="E475" i="9" s="1"/>
  <c r="F475" i="9"/>
  <c r="AY447" i="11" s="1"/>
  <c r="G475" i="9"/>
  <c r="Q447" i="11" s="1"/>
  <c r="H475" i="9"/>
  <c r="BA447" i="11" s="1"/>
  <c r="I475" i="9"/>
  <c r="J475" i="9"/>
  <c r="R447" i="11" s="1"/>
  <c r="K475" i="9"/>
  <c r="K246" i="9"/>
  <c r="I246" i="9"/>
  <c r="J246" i="9"/>
  <c r="R218" i="11" s="1"/>
  <c r="BL218" i="7"/>
  <c r="O246" i="9"/>
  <c r="CS445" i="7" l="1"/>
  <c r="CU445" i="7" s="1"/>
  <c r="CY445" i="7" s="1"/>
  <c r="CB446" i="7"/>
  <c r="CF446" i="7"/>
  <c r="CH446" i="7" s="1"/>
  <c r="CI446" i="7" s="1"/>
  <c r="CV446" i="7"/>
  <c r="CX446" i="7" s="1"/>
  <c r="O475" i="9"/>
  <c r="BL447" i="7"/>
  <c r="AW447" i="11" s="1"/>
  <c r="CF218" i="7"/>
  <c r="CH218" i="7" s="1"/>
  <c r="CI218" i="7" s="1"/>
  <c r="CK217" i="7"/>
  <c r="CN217" i="7" s="1"/>
  <c r="I217" i="11" s="1"/>
  <c r="CQ445" i="7"/>
  <c r="D445" i="11"/>
  <c r="CC446" i="7"/>
  <c r="CN446" i="7" s="1"/>
  <c r="I446" i="11" s="1"/>
  <c r="L446" i="11" s="1"/>
  <c r="CS446" i="7"/>
  <c r="CU446" i="7" s="1"/>
  <c r="CV218" i="7"/>
  <c r="CX218" i="7" s="1"/>
  <c r="B477" i="9"/>
  <c r="C476" i="9"/>
  <c r="E476" i="9" s="1"/>
  <c r="F476" i="9"/>
  <c r="AY448" i="11" s="1"/>
  <c r="H476" i="9"/>
  <c r="BA448" i="11" s="1"/>
  <c r="I476" i="9"/>
  <c r="J476" i="9"/>
  <c r="R448" i="11" s="1"/>
  <c r="G476" i="9"/>
  <c r="Q448" i="11" s="1"/>
  <c r="K476" i="9"/>
  <c r="M475" i="9"/>
  <c r="AR448" i="7" s="1"/>
  <c r="CA448" i="7" s="1"/>
  <c r="L475" i="9"/>
  <c r="BK447" i="7" s="1"/>
  <c r="C247" i="9"/>
  <c r="E247" i="9" s="1"/>
  <c r="F247" i="9"/>
  <c r="AY219" i="11" s="1"/>
  <c r="G247" i="9"/>
  <c r="Q219" i="11" s="1"/>
  <c r="I247" i="9"/>
  <c r="H247" i="9"/>
  <c r="BA219" i="11" s="1"/>
  <c r="K247" i="9"/>
  <c r="L246" i="9"/>
  <c r="BK218" i="7" s="1"/>
  <c r="CB218" i="7" s="1"/>
  <c r="M246" i="9"/>
  <c r="AR219" i="7" s="1"/>
  <c r="CA219" i="7" s="1"/>
  <c r="CB447" i="7" l="1"/>
  <c r="CC447" i="7" s="1"/>
  <c r="CQ447" i="7" s="1"/>
  <c r="CY446" i="7"/>
  <c r="CH448" i="11"/>
  <c r="AR56" i="20" s="1"/>
  <c r="AR57" i="20" s="1"/>
  <c r="CJ448" i="11"/>
  <c r="AR76" i="20" s="1"/>
  <c r="AR77" i="20" s="1"/>
  <c r="AR78" i="20" s="1"/>
  <c r="O476" i="9"/>
  <c r="BL448" i="7"/>
  <c r="AW448" i="11" s="1"/>
  <c r="CV447" i="7"/>
  <c r="CX447" i="7" s="1"/>
  <c r="CF447" i="7"/>
  <c r="CH447" i="7" s="1"/>
  <c r="CI447" i="7" s="1"/>
  <c r="CQ217" i="7"/>
  <c r="CQ446" i="7"/>
  <c r="D446" i="11"/>
  <c r="CC218" i="7"/>
  <c r="CS218" i="7"/>
  <c r="CU218" i="7" s="1"/>
  <c r="CY218" i="7" s="1"/>
  <c r="CZ218" i="7" s="1"/>
  <c r="M476" i="9"/>
  <c r="AR449" i="7" s="1"/>
  <c r="CA449" i="7" s="1"/>
  <c r="L476" i="9"/>
  <c r="BK448" i="7" s="1"/>
  <c r="B478" i="9"/>
  <c r="C477" i="9"/>
  <c r="E477" i="9" s="1"/>
  <c r="F477" i="9"/>
  <c r="AY449" i="11" s="1"/>
  <c r="J477" i="9"/>
  <c r="R449" i="11" s="1"/>
  <c r="I477" i="9"/>
  <c r="K477" i="9"/>
  <c r="G477" i="9"/>
  <c r="Q449" i="11" s="1"/>
  <c r="H477" i="9"/>
  <c r="BA449" i="11" s="1"/>
  <c r="M247" i="9"/>
  <c r="AR220" i="7" s="1"/>
  <c r="CA220" i="7" s="1"/>
  <c r="L247" i="9"/>
  <c r="BK219" i="7" s="1"/>
  <c r="J247" i="9"/>
  <c r="R219" i="11" s="1"/>
  <c r="BL219" i="7"/>
  <c r="O247" i="9"/>
  <c r="CS447" i="7" l="1"/>
  <c r="CU447" i="7" s="1"/>
  <c r="CY447" i="7" s="1"/>
  <c r="CB448" i="7"/>
  <c r="CC448" i="7" s="1"/>
  <c r="CQ448" i="7" s="1"/>
  <c r="CF448" i="7"/>
  <c r="CH448" i="7" s="1"/>
  <c r="CI448" i="7" s="1"/>
  <c r="CV448" i="7"/>
  <c r="CX448" i="7" s="1"/>
  <c r="CF448" i="11"/>
  <c r="AR51" i="20" s="1"/>
  <c r="AR52" i="20" s="1"/>
  <c r="AR53" i="20" s="1"/>
  <c r="O477" i="9"/>
  <c r="BL449" i="7"/>
  <c r="AW449" i="11" s="1"/>
  <c r="CF219" i="7"/>
  <c r="CH219" i="7" s="1"/>
  <c r="CI219" i="7" s="1"/>
  <c r="CB219" i="7"/>
  <c r="CK218" i="7"/>
  <c r="CQ218" i="7" s="1"/>
  <c r="CN447" i="7"/>
  <c r="I447" i="11" s="1"/>
  <c r="L447" i="11" s="1"/>
  <c r="D447" i="11"/>
  <c r="CV219" i="7"/>
  <c r="CX219" i="7" s="1"/>
  <c r="B479" i="9"/>
  <c r="J478" i="9"/>
  <c r="R450" i="11" s="1"/>
  <c r="K478" i="9"/>
  <c r="C478" i="9"/>
  <c r="E478" i="9" s="1"/>
  <c r="F478" i="9"/>
  <c r="AY450" i="11" s="1"/>
  <c r="G478" i="9"/>
  <c r="Q450" i="11" s="1"/>
  <c r="H478" i="9"/>
  <c r="BA450" i="11" s="1"/>
  <c r="I478" i="9"/>
  <c r="M477" i="9"/>
  <c r="AR450" i="7" s="1"/>
  <c r="CA450" i="7" s="1"/>
  <c r="L477" i="9"/>
  <c r="BK449" i="7" s="1"/>
  <c r="F248" i="9"/>
  <c r="AY220" i="11" s="1"/>
  <c r="C248" i="9"/>
  <c r="E248" i="9" s="1"/>
  <c r="H248" i="9" s="1"/>
  <c r="BA220" i="11" s="1"/>
  <c r="G248" i="9"/>
  <c r="Q220" i="11" s="1"/>
  <c r="CS448" i="7" l="1"/>
  <c r="CU448" i="7" s="1"/>
  <c r="CY448" i="7" s="1"/>
  <c r="CH220" i="11"/>
  <c r="Y56" i="20" s="1"/>
  <c r="CJ220" i="11"/>
  <c r="Y76" i="20" s="1"/>
  <c r="CB449" i="7"/>
  <c r="CS449" i="7" s="1"/>
  <c r="CU449" i="7" s="1"/>
  <c r="AR68" i="20"/>
  <c r="AR69" i="20" s="1"/>
  <c r="AR79" i="20" s="1"/>
  <c r="AR81" i="20" s="1"/>
  <c r="AR58" i="20"/>
  <c r="AR59" i="20" s="1"/>
  <c r="CV449" i="7"/>
  <c r="CX449" i="7" s="1"/>
  <c r="CF449" i="7"/>
  <c r="CH449" i="7" s="1"/>
  <c r="CI449" i="7" s="1"/>
  <c r="O478" i="9"/>
  <c r="BL450" i="7"/>
  <c r="AW450" i="11" s="1"/>
  <c r="CN218" i="7"/>
  <c r="I218" i="11" s="1"/>
  <c r="D448" i="11"/>
  <c r="CN448" i="7"/>
  <c r="I448" i="11" s="1"/>
  <c r="L448" i="11" s="1"/>
  <c r="CC219" i="7"/>
  <c r="CS219" i="7"/>
  <c r="CU219" i="7" s="1"/>
  <c r="CY219" i="7" s="1"/>
  <c r="CZ219" i="7" s="1"/>
  <c r="M478" i="9"/>
  <c r="AR451" i="7" s="1"/>
  <c r="CA451" i="7" s="1"/>
  <c r="L478" i="9"/>
  <c r="BK450" i="7" s="1"/>
  <c r="B480" i="9"/>
  <c r="J479" i="9"/>
  <c r="R451" i="11" s="1"/>
  <c r="K479" i="9"/>
  <c r="C479" i="9"/>
  <c r="E479" i="9" s="1"/>
  <c r="F479" i="9"/>
  <c r="AY451" i="11" s="1"/>
  <c r="G479" i="9"/>
  <c r="Q451" i="11" s="1"/>
  <c r="H479" i="9"/>
  <c r="BA451" i="11" s="1"/>
  <c r="I479" i="9"/>
  <c r="K248" i="9"/>
  <c r="J248" i="9"/>
  <c r="R220" i="11" s="1"/>
  <c r="I248" i="9"/>
  <c r="O248" i="9"/>
  <c r="BL220" i="7"/>
  <c r="CC449" i="7" l="1"/>
  <c r="D449" i="11" s="1"/>
  <c r="CY449" i="7"/>
  <c r="CB450" i="7"/>
  <c r="CC450" i="7" s="1"/>
  <c r="CQ450" i="7" s="1"/>
  <c r="CV450" i="7"/>
  <c r="CX450" i="7" s="1"/>
  <c r="CF450" i="7"/>
  <c r="CH450" i="7" s="1"/>
  <c r="CI450" i="7" s="1"/>
  <c r="O479" i="9"/>
  <c r="BL451" i="7"/>
  <c r="AW451" i="11" s="1"/>
  <c r="CF220" i="7"/>
  <c r="CH220" i="7" s="1"/>
  <c r="CI220" i="7" s="1"/>
  <c r="CK219" i="7"/>
  <c r="CQ219" i="7" s="1"/>
  <c r="CN449" i="7"/>
  <c r="I449" i="11" s="1"/>
  <c r="L449" i="11" s="1"/>
  <c r="CQ449" i="7"/>
  <c r="CV220" i="7"/>
  <c r="CX220" i="7" s="1"/>
  <c r="B481" i="9"/>
  <c r="J480" i="9"/>
  <c r="R452" i="11" s="1"/>
  <c r="K480" i="9"/>
  <c r="C480" i="9"/>
  <c r="E480" i="9" s="1"/>
  <c r="F480" i="9"/>
  <c r="AY452" i="11" s="1"/>
  <c r="G480" i="9"/>
  <c r="Q452" i="11" s="1"/>
  <c r="H480" i="9"/>
  <c r="BA452" i="11" s="1"/>
  <c r="I480" i="9"/>
  <c r="M479" i="9"/>
  <c r="AR452" i="7" s="1"/>
  <c r="CA452" i="7" s="1"/>
  <c r="L479" i="9"/>
  <c r="BK451" i="7" s="1"/>
  <c r="C249" i="9"/>
  <c r="E249" i="9" s="1"/>
  <c r="H249" i="9" s="1"/>
  <c r="BA221" i="11" s="1"/>
  <c r="F249" i="9"/>
  <c r="AY221" i="11" s="1"/>
  <c r="G249" i="9"/>
  <c r="Q221" i="11" s="1"/>
  <c r="M248" i="9"/>
  <c r="AR221" i="7" s="1"/>
  <c r="CA221" i="7" s="1"/>
  <c r="L248" i="9"/>
  <c r="BK220" i="7" s="1"/>
  <c r="CB220" i="7" s="1"/>
  <c r="CB451" i="7" l="1"/>
  <c r="CC451" i="7" s="1"/>
  <c r="CN451" i="7" s="1"/>
  <c r="I451" i="11" s="1"/>
  <c r="L451" i="11" s="1"/>
  <c r="CS450" i="7"/>
  <c r="CU450" i="7" s="1"/>
  <c r="CY450" i="7" s="1"/>
  <c r="CF451" i="7"/>
  <c r="CH451" i="7" s="1"/>
  <c r="CI451" i="7" s="1"/>
  <c r="CV451" i="7"/>
  <c r="CX451" i="7" s="1"/>
  <c r="O480" i="9"/>
  <c r="BL452" i="7"/>
  <c r="AW452" i="11" s="1"/>
  <c r="CN219" i="7"/>
  <c r="I219" i="11" s="1"/>
  <c r="D450" i="11"/>
  <c r="CN450" i="7"/>
  <c r="I450" i="11" s="1"/>
  <c r="L450" i="11" s="1"/>
  <c r="CC220" i="7"/>
  <c r="CS220" i="7"/>
  <c r="CU220" i="7" s="1"/>
  <c r="CY220" i="7" s="1"/>
  <c r="CZ220" i="7" s="1"/>
  <c r="M480" i="9"/>
  <c r="AR453" i="7" s="1"/>
  <c r="CA453" i="7" s="1"/>
  <c r="L480" i="9"/>
  <c r="BK452" i="7" s="1"/>
  <c r="B482" i="9"/>
  <c r="J481" i="9"/>
  <c r="R453" i="11" s="1"/>
  <c r="K481" i="9"/>
  <c r="C481" i="9"/>
  <c r="E481" i="9" s="1"/>
  <c r="F481" i="9"/>
  <c r="AY453" i="11" s="1"/>
  <c r="G481" i="9"/>
  <c r="Q453" i="11" s="1"/>
  <c r="H481" i="9"/>
  <c r="BA453" i="11" s="1"/>
  <c r="I481" i="9"/>
  <c r="I249" i="9"/>
  <c r="J249" i="9"/>
  <c r="R221" i="11" s="1"/>
  <c r="K249" i="9"/>
  <c r="BL221" i="7"/>
  <c r="O249" i="9"/>
  <c r="CS451" i="7" l="1"/>
  <c r="CU451" i="7" s="1"/>
  <c r="CY451" i="7" s="1"/>
  <c r="CB452" i="7"/>
  <c r="CC452" i="7" s="1"/>
  <c r="D452" i="11" s="1"/>
  <c r="CV452" i="7"/>
  <c r="CX452" i="7" s="1"/>
  <c r="CF452" i="7"/>
  <c r="CH452" i="7" s="1"/>
  <c r="CI452" i="7" s="1"/>
  <c r="O481" i="9"/>
  <c r="BL453" i="7"/>
  <c r="AW453" i="11" s="1"/>
  <c r="CF221" i="7"/>
  <c r="CH221" i="7" s="1"/>
  <c r="CI221" i="7" s="1"/>
  <c r="CK220" i="7"/>
  <c r="CN220" i="7" s="1"/>
  <c r="I220" i="11" s="1"/>
  <c r="CQ451" i="7"/>
  <c r="D451" i="11"/>
  <c r="CV221" i="7"/>
  <c r="CX221" i="7" s="1"/>
  <c r="L481" i="9"/>
  <c r="BK453" i="7" s="1"/>
  <c r="M481" i="9"/>
  <c r="AR454" i="7" s="1"/>
  <c r="CA454" i="7" s="1"/>
  <c r="B483" i="9"/>
  <c r="J482" i="9"/>
  <c r="R454" i="11" s="1"/>
  <c r="K482" i="9"/>
  <c r="C482" i="9"/>
  <c r="E482" i="9" s="1"/>
  <c r="F482" i="9"/>
  <c r="AY454" i="11" s="1"/>
  <c r="G482" i="9"/>
  <c r="Q454" i="11" s="1"/>
  <c r="H482" i="9"/>
  <c r="BA454" i="11" s="1"/>
  <c r="I482" i="9"/>
  <c r="C250" i="9"/>
  <c r="E250" i="9" s="1"/>
  <c r="H250" i="9" s="1"/>
  <c r="BA222" i="11" s="1"/>
  <c r="F250" i="9"/>
  <c r="AY222" i="11" s="1"/>
  <c r="G250" i="9"/>
  <c r="Q222" i="11" s="1"/>
  <c r="M249" i="9"/>
  <c r="AR222" i="7" s="1"/>
  <c r="CA222" i="7" s="1"/>
  <c r="L249" i="9"/>
  <c r="BK221" i="7" s="1"/>
  <c r="CB221" i="7" s="1"/>
  <c r="CS452" i="7" l="1"/>
  <c r="CU452" i="7" s="1"/>
  <c r="CY452" i="7" s="1"/>
  <c r="CB453" i="7"/>
  <c r="CC453" i="7" s="1"/>
  <c r="CN453" i="7" s="1"/>
  <c r="I453" i="11" s="1"/>
  <c r="L453" i="11" s="1"/>
  <c r="CF453" i="7"/>
  <c r="CH453" i="7" s="1"/>
  <c r="CI453" i="7" s="1"/>
  <c r="CV453" i="7"/>
  <c r="CX453" i="7" s="1"/>
  <c r="O482" i="9"/>
  <c r="BL454" i="7"/>
  <c r="AW454" i="11" s="1"/>
  <c r="CQ220" i="7"/>
  <c r="CQ452" i="7"/>
  <c r="CN452" i="7"/>
  <c r="I452" i="11" s="1"/>
  <c r="L452" i="11" s="1"/>
  <c r="CC221" i="7"/>
  <c r="CS221" i="7"/>
  <c r="CU221" i="7" s="1"/>
  <c r="CY221" i="7" s="1"/>
  <c r="CZ221" i="7" s="1"/>
  <c r="L482" i="9"/>
  <c r="BK454" i="7" s="1"/>
  <c r="M482" i="9"/>
  <c r="AR455" i="7" s="1"/>
  <c r="CA455" i="7" s="1"/>
  <c r="B484" i="9"/>
  <c r="J483" i="9"/>
  <c r="R455" i="11" s="1"/>
  <c r="K483" i="9"/>
  <c r="C483" i="9"/>
  <c r="E483" i="9" s="1"/>
  <c r="F483" i="9"/>
  <c r="AY455" i="11" s="1"/>
  <c r="G483" i="9"/>
  <c r="Q455" i="11" s="1"/>
  <c r="H483" i="9"/>
  <c r="BA455" i="11" s="1"/>
  <c r="I483" i="9"/>
  <c r="J250" i="9"/>
  <c r="R222" i="11" s="1"/>
  <c r="K250" i="9"/>
  <c r="I250" i="9"/>
  <c r="O250" i="9"/>
  <c r="BL222" i="7"/>
  <c r="CS453" i="7" l="1"/>
  <c r="CU453" i="7" s="1"/>
  <c r="CY453" i="7" s="1"/>
  <c r="CB454" i="7"/>
  <c r="CC454" i="7" s="1"/>
  <c r="D454" i="11" s="1"/>
  <c r="CF454" i="7"/>
  <c r="CH454" i="7" s="1"/>
  <c r="CI454" i="7" s="1"/>
  <c r="CV454" i="7"/>
  <c r="CX454" i="7" s="1"/>
  <c r="O483" i="9"/>
  <c r="BL455" i="7"/>
  <c r="AW455" i="11" s="1"/>
  <c r="CF222" i="7"/>
  <c r="CH222" i="7" s="1"/>
  <c r="CI222" i="7" s="1"/>
  <c r="CK221" i="7"/>
  <c r="CN221" i="7" s="1"/>
  <c r="I221" i="11" s="1"/>
  <c r="D453" i="11"/>
  <c r="CQ453" i="7"/>
  <c r="CV222" i="7"/>
  <c r="CX222" i="7" s="1"/>
  <c r="M483" i="9"/>
  <c r="AR456" i="7" s="1"/>
  <c r="CA456" i="7" s="1"/>
  <c r="L483" i="9"/>
  <c r="BK455" i="7" s="1"/>
  <c r="B485" i="9"/>
  <c r="J484" i="9"/>
  <c r="R456" i="11" s="1"/>
  <c r="K484" i="9"/>
  <c r="C484" i="9"/>
  <c r="E484" i="9" s="1"/>
  <c r="F484" i="9"/>
  <c r="AY456" i="11" s="1"/>
  <c r="G484" i="9"/>
  <c r="Q456" i="11" s="1"/>
  <c r="H484" i="9"/>
  <c r="BA456" i="11" s="1"/>
  <c r="I484" i="9"/>
  <c r="L250" i="9"/>
  <c r="BK222" i="7" s="1"/>
  <c r="CB222" i="7" s="1"/>
  <c r="M250" i="9"/>
  <c r="AR223" i="7" s="1"/>
  <c r="CA223" i="7" s="1"/>
  <c r="F251" i="9"/>
  <c r="AY223" i="11" s="1"/>
  <c r="C251" i="9"/>
  <c r="E251" i="9" s="1"/>
  <c r="H251" i="9" s="1"/>
  <c r="BA223" i="11" s="1"/>
  <c r="G251" i="9"/>
  <c r="Q223" i="11" s="1"/>
  <c r="CS454" i="7" l="1"/>
  <c r="CU454" i="7" s="1"/>
  <c r="CY454" i="7" s="1"/>
  <c r="CB455" i="7"/>
  <c r="CS455" i="7" s="1"/>
  <c r="CU455" i="7" s="1"/>
  <c r="CF455" i="7"/>
  <c r="CH455" i="7" s="1"/>
  <c r="CI455" i="7" s="1"/>
  <c r="CV455" i="7"/>
  <c r="CX455" i="7" s="1"/>
  <c r="O484" i="9"/>
  <c r="BL456" i="7"/>
  <c r="AW456" i="11" s="1"/>
  <c r="CQ221" i="7"/>
  <c r="CN454" i="7"/>
  <c r="I454" i="11" s="1"/>
  <c r="L454" i="11" s="1"/>
  <c r="CQ454" i="7"/>
  <c r="CC222" i="7"/>
  <c r="CS222" i="7"/>
  <c r="CU222" i="7" s="1"/>
  <c r="CY222" i="7" s="1"/>
  <c r="CZ222" i="7" s="1"/>
  <c r="L484" i="9"/>
  <c r="BK456" i="7" s="1"/>
  <c r="M484" i="9"/>
  <c r="AR457" i="7" s="1"/>
  <c r="CA457" i="7" s="1"/>
  <c r="B486" i="9"/>
  <c r="J485" i="9"/>
  <c r="R457" i="11" s="1"/>
  <c r="K485" i="9"/>
  <c r="C485" i="9"/>
  <c r="E485" i="9" s="1"/>
  <c r="F485" i="9"/>
  <c r="AY457" i="11" s="1"/>
  <c r="G485" i="9"/>
  <c r="Q457" i="11" s="1"/>
  <c r="H485" i="9"/>
  <c r="BA457" i="11" s="1"/>
  <c r="I485" i="9"/>
  <c r="J251" i="9"/>
  <c r="R223" i="11" s="1"/>
  <c r="K251" i="9"/>
  <c r="I251" i="9"/>
  <c r="O251" i="9"/>
  <c r="BL223" i="7"/>
  <c r="CC455" i="7" l="1"/>
  <c r="D455" i="11" s="1"/>
  <c r="CB456" i="7"/>
  <c r="CC456" i="7" s="1"/>
  <c r="CN456" i="7" s="1"/>
  <c r="I456" i="11" s="1"/>
  <c r="L456" i="11" s="1"/>
  <c r="CY455" i="7"/>
  <c r="CV456" i="7"/>
  <c r="CX456" i="7" s="1"/>
  <c r="CF456" i="7"/>
  <c r="CH456" i="7" s="1"/>
  <c r="CI456" i="7" s="1"/>
  <c r="O485" i="9"/>
  <c r="BL457" i="7"/>
  <c r="AW457" i="11" s="1"/>
  <c r="CF223" i="7"/>
  <c r="CH223" i="7" s="1"/>
  <c r="CI223" i="7" s="1"/>
  <c r="CK222" i="7"/>
  <c r="CN222" i="7" s="1"/>
  <c r="I222" i="11" s="1"/>
  <c r="CQ455" i="7"/>
  <c r="CN455" i="7"/>
  <c r="I455" i="11" s="1"/>
  <c r="L455" i="11" s="1"/>
  <c r="CV223" i="7"/>
  <c r="CX223" i="7" s="1"/>
  <c r="M485" i="9"/>
  <c r="AR458" i="7" s="1"/>
  <c r="CA458" i="7" s="1"/>
  <c r="L485" i="9"/>
  <c r="BK457" i="7" s="1"/>
  <c r="B487" i="9"/>
  <c r="J486" i="9"/>
  <c r="R458" i="11" s="1"/>
  <c r="K486" i="9"/>
  <c r="C486" i="9"/>
  <c r="E486" i="9" s="1"/>
  <c r="F486" i="9"/>
  <c r="AY458" i="11" s="1"/>
  <c r="G486" i="9"/>
  <c r="Q458" i="11" s="1"/>
  <c r="H486" i="9"/>
  <c r="BA458" i="11" s="1"/>
  <c r="I486" i="9"/>
  <c r="L251" i="9"/>
  <c r="BK223" i="7" s="1"/>
  <c r="CB223" i="7" s="1"/>
  <c r="M251" i="9"/>
  <c r="AR224" i="7" s="1"/>
  <c r="CA224" i="7" s="1"/>
  <c r="G252" i="9"/>
  <c r="Q224" i="11" s="1"/>
  <c r="F252" i="9"/>
  <c r="AY224" i="11" s="1"/>
  <c r="C252" i="9"/>
  <c r="E252" i="9" s="1"/>
  <c r="I252" i="9"/>
  <c r="H252" i="9"/>
  <c r="BA224" i="11" s="1"/>
  <c r="CS456" i="7" l="1"/>
  <c r="CU456" i="7" s="1"/>
  <c r="CY456" i="7" s="1"/>
  <c r="CB457" i="7"/>
  <c r="CS457" i="7" s="1"/>
  <c r="CU457" i="7" s="1"/>
  <c r="CF457" i="7"/>
  <c r="CH457" i="7" s="1"/>
  <c r="CI457" i="7" s="1"/>
  <c r="CV457" i="7"/>
  <c r="CX457" i="7" s="1"/>
  <c r="O486" i="9"/>
  <c r="BL458" i="7"/>
  <c r="AW458" i="11" s="1"/>
  <c r="CQ222" i="7"/>
  <c r="CQ456" i="7"/>
  <c r="D456" i="11"/>
  <c r="CC223" i="7"/>
  <c r="CS223" i="7"/>
  <c r="CU223" i="7" s="1"/>
  <c r="CY223" i="7" s="1"/>
  <c r="CZ223" i="7" s="1"/>
  <c r="M486" i="9"/>
  <c r="AR459" i="7" s="1"/>
  <c r="CA459" i="7" s="1"/>
  <c r="L486" i="9"/>
  <c r="BK458" i="7" s="1"/>
  <c r="B488" i="9"/>
  <c r="J487" i="9"/>
  <c r="R459" i="11" s="1"/>
  <c r="K487" i="9"/>
  <c r="C487" i="9"/>
  <c r="E487" i="9" s="1"/>
  <c r="F487" i="9"/>
  <c r="AY459" i="11" s="1"/>
  <c r="G487" i="9"/>
  <c r="Q459" i="11" s="1"/>
  <c r="H487" i="9"/>
  <c r="BA459" i="11" s="1"/>
  <c r="I487" i="9"/>
  <c r="J252" i="9"/>
  <c r="R224" i="11" s="1"/>
  <c r="O252" i="9"/>
  <c r="BL224" i="7"/>
  <c r="K252" i="9"/>
  <c r="CB458" i="7" l="1"/>
  <c r="CC458" i="7" s="1"/>
  <c r="D458" i="11" s="1"/>
  <c r="CC457" i="7"/>
  <c r="CN457" i="7" s="1"/>
  <c r="I457" i="11" s="1"/>
  <c r="L457" i="11" s="1"/>
  <c r="CY457" i="7"/>
  <c r="CF458" i="7"/>
  <c r="CH458" i="7" s="1"/>
  <c r="CI458" i="7" s="1"/>
  <c r="CV458" i="7"/>
  <c r="CX458" i="7" s="1"/>
  <c r="O487" i="9"/>
  <c r="BL459" i="7"/>
  <c r="AW459" i="11" s="1"/>
  <c r="CF224" i="7"/>
  <c r="CH224" i="7" s="1"/>
  <c r="CI224" i="7" s="1"/>
  <c r="CK223" i="7"/>
  <c r="CN223" i="7" s="1"/>
  <c r="I223" i="11" s="1"/>
  <c r="CQ457" i="7"/>
  <c r="D457" i="11"/>
  <c r="CV224" i="7"/>
  <c r="CX224" i="7" s="1"/>
  <c r="M487" i="9"/>
  <c r="AR460" i="7" s="1"/>
  <c r="CA460" i="7" s="1"/>
  <c r="L487" i="9"/>
  <c r="BK459" i="7" s="1"/>
  <c r="B489" i="9"/>
  <c r="J488" i="9"/>
  <c r="R460" i="11" s="1"/>
  <c r="K488" i="9"/>
  <c r="C488" i="9"/>
  <c r="E488" i="9" s="1"/>
  <c r="F488" i="9"/>
  <c r="AY460" i="11" s="1"/>
  <c r="G488" i="9"/>
  <c r="Q460" i="11" s="1"/>
  <c r="H488" i="9"/>
  <c r="BA460" i="11" s="1"/>
  <c r="I488" i="9"/>
  <c r="L252" i="9"/>
  <c r="BK224" i="7" s="1"/>
  <c r="CB224" i="7" s="1"/>
  <c r="M252" i="9"/>
  <c r="AR225" i="7" s="1"/>
  <c r="CA225" i="7" s="1"/>
  <c r="H253" i="9"/>
  <c r="BA225" i="11" s="1"/>
  <c r="F253" i="9"/>
  <c r="AY225" i="11" s="1"/>
  <c r="G253" i="9"/>
  <c r="Q225" i="11" s="1"/>
  <c r="C253" i="9"/>
  <c r="E253" i="9" s="1"/>
  <c r="I253" i="9"/>
  <c r="CS458" i="7" l="1"/>
  <c r="CU458" i="7" s="1"/>
  <c r="CY458" i="7" s="1"/>
  <c r="CH460" i="11"/>
  <c r="AS56" i="20" s="1"/>
  <c r="AS57" i="20" s="1"/>
  <c r="CJ460" i="11"/>
  <c r="AS76" i="20" s="1"/>
  <c r="AS77" i="20" s="1"/>
  <c r="AS78" i="20" s="1"/>
  <c r="CB459" i="7"/>
  <c r="CS459" i="7" s="1"/>
  <c r="CU459" i="7" s="1"/>
  <c r="CV459" i="7"/>
  <c r="CX459" i="7" s="1"/>
  <c r="CF459" i="7"/>
  <c r="CH459" i="7" s="1"/>
  <c r="CI459" i="7" s="1"/>
  <c r="O488" i="9"/>
  <c r="BL460" i="7"/>
  <c r="AW460" i="11" s="1"/>
  <c r="CQ223" i="7"/>
  <c r="CQ458" i="7"/>
  <c r="CN458" i="7"/>
  <c r="I458" i="11" s="1"/>
  <c r="L458" i="11" s="1"/>
  <c r="CC224" i="7"/>
  <c r="CS224" i="7"/>
  <c r="CU224" i="7" s="1"/>
  <c r="CY224" i="7" s="1"/>
  <c r="CZ224" i="7" s="1"/>
  <c r="M488" i="9"/>
  <c r="AR461" i="7" s="1"/>
  <c r="CA461" i="7" s="1"/>
  <c r="L488" i="9"/>
  <c r="BK460" i="7" s="1"/>
  <c r="B490" i="9"/>
  <c r="J489" i="9"/>
  <c r="R461" i="11" s="1"/>
  <c r="K489" i="9"/>
  <c r="C489" i="9"/>
  <c r="E489" i="9" s="1"/>
  <c r="F489" i="9"/>
  <c r="AY461" i="11" s="1"/>
  <c r="G489" i="9"/>
  <c r="Q461" i="11" s="1"/>
  <c r="H489" i="9"/>
  <c r="BA461" i="11" s="1"/>
  <c r="I489" i="9"/>
  <c r="O253" i="9"/>
  <c r="BL225" i="7"/>
  <c r="K253" i="9"/>
  <c r="J253" i="9"/>
  <c r="R225" i="11" s="1"/>
  <c r="CC459" i="7" l="1"/>
  <c r="CQ459" i="7" s="1"/>
  <c r="CY459" i="7"/>
  <c r="CB460" i="7"/>
  <c r="CC460" i="7" s="1"/>
  <c r="CN460" i="7" s="1"/>
  <c r="I460" i="11" s="1"/>
  <c r="L460" i="11" s="1"/>
  <c r="CF460" i="7"/>
  <c r="CH460" i="7" s="1"/>
  <c r="CI460" i="7" s="1"/>
  <c r="CV460" i="7"/>
  <c r="CX460" i="7" s="1"/>
  <c r="CF460" i="11"/>
  <c r="AS51" i="20" s="1"/>
  <c r="AS52" i="20" s="1"/>
  <c r="AS53" i="20" s="1"/>
  <c r="O489" i="9"/>
  <c r="BL461" i="7"/>
  <c r="AW461" i="11" s="1"/>
  <c r="CF225" i="7"/>
  <c r="CH225" i="7" s="1"/>
  <c r="CI225" i="7" s="1"/>
  <c r="CK224" i="7"/>
  <c r="CN224" i="7" s="1"/>
  <c r="I224" i="11" s="1"/>
  <c r="CN459" i="7"/>
  <c r="I459" i="11" s="1"/>
  <c r="L459" i="11" s="1"/>
  <c r="D459" i="11"/>
  <c r="CV225" i="7"/>
  <c r="CX225" i="7" s="1"/>
  <c r="L489" i="9"/>
  <c r="BK461" i="7" s="1"/>
  <c r="M489" i="9"/>
  <c r="AR462" i="7" s="1"/>
  <c r="CA462" i="7" s="1"/>
  <c r="B491" i="9"/>
  <c r="J490" i="9"/>
  <c r="R462" i="11" s="1"/>
  <c r="K490" i="9"/>
  <c r="C490" i="9"/>
  <c r="E490" i="9" s="1"/>
  <c r="F490" i="9"/>
  <c r="AY462" i="11" s="1"/>
  <c r="G490" i="9"/>
  <c r="Q462" i="11" s="1"/>
  <c r="H490" i="9"/>
  <c r="BA462" i="11" s="1"/>
  <c r="I490" i="9"/>
  <c r="F254" i="9"/>
  <c r="AY226" i="11" s="1"/>
  <c r="C254" i="9"/>
  <c r="E254" i="9" s="1"/>
  <c r="H254" i="9" s="1"/>
  <c r="BA226" i="11" s="1"/>
  <c r="G254" i="9"/>
  <c r="Q226" i="11" s="1"/>
  <c r="L253" i="9"/>
  <c r="BK225" i="7" s="1"/>
  <c r="CB225" i="7" s="1"/>
  <c r="M253" i="9"/>
  <c r="AR226" i="7" s="1"/>
  <c r="CA226" i="7" s="1"/>
  <c r="CS460" i="7" l="1"/>
  <c r="CU460" i="7" s="1"/>
  <c r="CY460" i="7" s="1"/>
  <c r="CB461" i="7"/>
  <c r="CC461" i="7" s="1"/>
  <c r="CN461" i="7" s="1"/>
  <c r="I461" i="11" s="1"/>
  <c r="L461" i="11" s="1"/>
  <c r="AS68" i="20"/>
  <c r="AS69" i="20" s="1"/>
  <c r="AS79" i="20" s="1"/>
  <c r="AS81" i="20" s="1"/>
  <c r="AS58" i="20"/>
  <c r="AS59" i="20" s="1"/>
  <c r="CF461" i="7"/>
  <c r="CH461" i="7" s="1"/>
  <c r="CI461" i="7" s="1"/>
  <c r="CV461" i="7"/>
  <c r="CX461" i="7" s="1"/>
  <c r="O490" i="9"/>
  <c r="BL462" i="7"/>
  <c r="AW462" i="11" s="1"/>
  <c r="CQ224" i="7"/>
  <c r="D460" i="11"/>
  <c r="CQ460" i="7"/>
  <c r="CC225" i="7"/>
  <c r="CS225" i="7"/>
  <c r="CU225" i="7" s="1"/>
  <c r="CY225" i="7" s="1"/>
  <c r="CZ225" i="7" s="1"/>
  <c r="M490" i="9"/>
  <c r="AR463" i="7" s="1"/>
  <c r="CA463" i="7" s="1"/>
  <c r="L490" i="9"/>
  <c r="BK462" i="7" s="1"/>
  <c r="B492" i="9"/>
  <c r="J491" i="9"/>
  <c r="R463" i="11" s="1"/>
  <c r="K491" i="9"/>
  <c r="C491" i="9"/>
  <c r="E491" i="9" s="1"/>
  <c r="F491" i="9"/>
  <c r="AY463" i="11" s="1"/>
  <c r="G491" i="9"/>
  <c r="Q463" i="11" s="1"/>
  <c r="H491" i="9"/>
  <c r="BA463" i="11" s="1"/>
  <c r="I491" i="9"/>
  <c r="J254" i="9"/>
  <c r="R226" i="11" s="1"/>
  <c r="I254" i="9"/>
  <c r="K254" i="9"/>
  <c r="O254" i="9"/>
  <c r="BL226" i="7"/>
  <c r="CS461" i="7" l="1"/>
  <c r="CU461" i="7" s="1"/>
  <c r="CY461" i="7" s="1"/>
  <c r="CB462" i="7"/>
  <c r="CC462" i="7" s="1"/>
  <c r="CN462" i="7" s="1"/>
  <c r="I462" i="11" s="1"/>
  <c r="L462" i="11" s="1"/>
  <c r="CV462" i="7"/>
  <c r="CX462" i="7" s="1"/>
  <c r="CF462" i="7"/>
  <c r="CH462" i="7" s="1"/>
  <c r="CI462" i="7" s="1"/>
  <c r="O491" i="9"/>
  <c r="BL463" i="7"/>
  <c r="AW463" i="11" s="1"/>
  <c r="CF226" i="7"/>
  <c r="CH226" i="7" s="1"/>
  <c r="CI226" i="7" s="1"/>
  <c r="CK225" i="7"/>
  <c r="CQ225" i="7" s="1"/>
  <c r="D461" i="11"/>
  <c r="CQ461" i="7"/>
  <c r="CV226" i="7"/>
  <c r="CX226" i="7" s="1"/>
  <c r="M491" i="9"/>
  <c r="AR464" i="7" s="1"/>
  <c r="CA464" i="7" s="1"/>
  <c r="L491" i="9"/>
  <c r="BK463" i="7" s="1"/>
  <c r="B493" i="9"/>
  <c r="J492" i="9"/>
  <c r="R464" i="11" s="1"/>
  <c r="K492" i="9"/>
  <c r="C492" i="9"/>
  <c r="E492" i="9" s="1"/>
  <c r="F492" i="9"/>
  <c r="AY464" i="11" s="1"/>
  <c r="G492" i="9"/>
  <c r="Q464" i="11" s="1"/>
  <c r="H492" i="9"/>
  <c r="BA464" i="11" s="1"/>
  <c r="I492" i="9"/>
  <c r="M254" i="9"/>
  <c r="AR227" i="7" s="1"/>
  <c r="CA227" i="7" s="1"/>
  <c r="L254" i="9"/>
  <c r="BK226" i="7" s="1"/>
  <c r="CB226" i="7" s="1"/>
  <c r="F255" i="9"/>
  <c r="AY227" i="11" s="1"/>
  <c r="C255" i="9"/>
  <c r="E255" i="9" s="1"/>
  <c r="H255" i="9" s="1"/>
  <c r="BA227" i="11" s="1"/>
  <c r="CS462" i="7" l="1"/>
  <c r="CU462" i="7" s="1"/>
  <c r="CY462" i="7" s="1"/>
  <c r="CB463" i="7"/>
  <c r="CS463" i="7" s="1"/>
  <c r="CU463" i="7" s="1"/>
  <c r="CV463" i="7"/>
  <c r="CX463" i="7" s="1"/>
  <c r="CF463" i="7"/>
  <c r="CH463" i="7" s="1"/>
  <c r="CI463" i="7" s="1"/>
  <c r="O492" i="9"/>
  <c r="BL464" i="7"/>
  <c r="AW464" i="11" s="1"/>
  <c r="CN225" i="7"/>
  <c r="I225" i="11" s="1"/>
  <c r="D462" i="11"/>
  <c r="CQ462" i="7"/>
  <c r="CC226" i="7"/>
  <c r="CS226" i="7"/>
  <c r="CU226" i="7" s="1"/>
  <c r="CY226" i="7" s="1"/>
  <c r="CZ226" i="7" s="1"/>
  <c r="M492" i="9"/>
  <c r="AR465" i="7" s="1"/>
  <c r="CA465" i="7" s="1"/>
  <c r="L492" i="9"/>
  <c r="BK464" i="7" s="1"/>
  <c r="B494" i="9"/>
  <c r="J493" i="9"/>
  <c r="R465" i="11" s="1"/>
  <c r="K493" i="9"/>
  <c r="C493" i="9"/>
  <c r="E493" i="9" s="1"/>
  <c r="F493" i="9"/>
  <c r="AY465" i="11" s="1"/>
  <c r="G493" i="9"/>
  <c r="Q465" i="11" s="1"/>
  <c r="H493" i="9"/>
  <c r="BA465" i="11" s="1"/>
  <c r="I493" i="9"/>
  <c r="K255" i="9"/>
  <c r="J255" i="9"/>
  <c r="R227" i="11" s="1"/>
  <c r="I255" i="9"/>
  <c r="BL227" i="7"/>
  <c r="O255" i="9"/>
  <c r="G255" i="9"/>
  <c r="Q227" i="11" s="1"/>
  <c r="CB464" i="7" l="1"/>
  <c r="CC464" i="7" s="1"/>
  <c r="D464" i="11" s="1"/>
  <c r="CC463" i="7"/>
  <c r="CN463" i="7" s="1"/>
  <c r="I463" i="11" s="1"/>
  <c r="L463" i="11" s="1"/>
  <c r="CY463" i="7"/>
  <c r="CV464" i="7"/>
  <c r="CX464" i="7" s="1"/>
  <c r="CF464" i="7"/>
  <c r="CH464" i="7" s="1"/>
  <c r="CI464" i="7" s="1"/>
  <c r="O493" i="9"/>
  <c r="BL465" i="7"/>
  <c r="AW465" i="11" s="1"/>
  <c r="CF227" i="7"/>
  <c r="CH227" i="7" s="1"/>
  <c r="CI227" i="7" s="1"/>
  <c r="CK226" i="7"/>
  <c r="CQ226" i="7" s="1"/>
  <c r="D463" i="11"/>
  <c r="CQ463" i="7"/>
  <c r="CV227" i="7"/>
  <c r="CX227" i="7" s="1"/>
  <c r="M493" i="9"/>
  <c r="AR466" i="7" s="1"/>
  <c r="CA466" i="7" s="1"/>
  <c r="L493" i="9"/>
  <c r="BK465" i="7" s="1"/>
  <c r="B495" i="9"/>
  <c r="J494" i="9"/>
  <c r="R466" i="11" s="1"/>
  <c r="K494" i="9"/>
  <c r="C494" i="9"/>
  <c r="E494" i="9" s="1"/>
  <c r="F494" i="9"/>
  <c r="AY466" i="11" s="1"/>
  <c r="G494" i="9"/>
  <c r="Q466" i="11" s="1"/>
  <c r="H494" i="9"/>
  <c r="BA466" i="11" s="1"/>
  <c r="I494" i="9"/>
  <c r="C256" i="9"/>
  <c r="E256" i="9" s="1"/>
  <c r="G256" i="9"/>
  <c r="Q228" i="11" s="1"/>
  <c r="F256" i="9"/>
  <c r="AY228" i="11" s="1"/>
  <c r="M255" i="9"/>
  <c r="AR228" i="7" s="1"/>
  <c r="CA228" i="7" s="1"/>
  <c r="L255" i="9"/>
  <c r="BK227" i="7" s="1"/>
  <c r="CB227" i="7" s="1"/>
  <c r="CS464" i="7" l="1"/>
  <c r="CU464" i="7" s="1"/>
  <c r="CY464" i="7" s="1"/>
  <c r="CB465" i="7"/>
  <c r="CC465" i="7" s="1"/>
  <c r="CN465" i="7" s="1"/>
  <c r="I465" i="11" s="1"/>
  <c r="L465" i="11" s="1"/>
  <c r="CF465" i="7"/>
  <c r="CH465" i="7" s="1"/>
  <c r="CI465" i="7" s="1"/>
  <c r="CV465" i="7"/>
  <c r="CX465" i="7" s="1"/>
  <c r="O494" i="9"/>
  <c r="BL466" i="7"/>
  <c r="AW466" i="11" s="1"/>
  <c r="CN226" i="7"/>
  <c r="I226" i="11" s="1"/>
  <c r="CN464" i="7"/>
  <c r="I464" i="11" s="1"/>
  <c r="L464" i="11" s="1"/>
  <c r="CQ464" i="7"/>
  <c r="CC227" i="7"/>
  <c r="CS227" i="7"/>
  <c r="CU227" i="7" s="1"/>
  <c r="CY227" i="7" s="1"/>
  <c r="CZ227" i="7" s="1"/>
  <c r="M494" i="9"/>
  <c r="AR467" i="7" s="1"/>
  <c r="CA467" i="7" s="1"/>
  <c r="L494" i="9"/>
  <c r="BK466" i="7" s="1"/>
  <c r="B496" i="9"/>
  <c r="J495" i="9"/>
  <c r="R467" i="11" s="1"/>
  <c r="K495" i="9"/>
  <c r="C495" i="9"/>
  <c r="E495" i="9" s="1"/>
  <c r="F495" i="9"/>
  <c r="AY467" i="11" s="1"/>
  <c r="G495" i="9"/>
  <c r="Q467" i="11" s="1"/>
  <c r="H495" i="9"/>
  <c r="BA467" i="11" s="1"/>
  <c r="I495" i="9"/>
  <c r="O256" i="9"/>
  <c r="BL228" i="7"/>
  <c r="H256" i="9"/>
  <c r="BA228" i="11" s="1"/>
  <c r="CS465" i="7" l="1"/>
  <c r="CU465" i="7" s="1"/>
  <c r="CY465" i="7" s="1"/>
  <c r="CB466" i="7"/>
  <c r="CS466" i="7" s="1"/>
  <c r="CU466" i="7" s="1"/>
  <c r="CV466" i="7"/>
  <c r="CX466" i="7" s="1"/>
  <c r="CF466" i="7"/>
  <c r="CH466" i="7" s="1"/>
  <c r="CI466" i="7" s="1"/>
  <c r="O495" i="9"/>
  <c r="BL467" i="7"/>
  <c r="AW467" i="11" s="1"/>
  <c r="CF228" i="7"/>
  <c r="CH228" i="7" s="1"/>
  <c r="CI228" i="7" s="1"/>
  <c r="CK227" i="7"/>
  <c r="CQ227" i="7" s="1"/>
  <c r="CQ465" i="7"/>
  <c r="D465" i="11"/>
  <c r="CV228" i="7"/>
  <c r="CX228" i="7" s="1"/>
  <c r="M495" i="9"/>
  <c r="AR468" i="7" s="1"/>
  <c r="CA468" i="7" s="1"/>
  <c r="L495" i="9"/>
  <c r="BK467" i="7" s="1"/>
  <c r="B497" i="9"/>
  <c r="J496" i="9"/>
  <c r="R468" i="11" s="1"/>
  <c r="K496" i="9"/>
  <c r="C496" i="9"/>
  <c r="E496" i="9" s="1"/>
  <c r="F496" i="9"/>
  <c r="AY468" i="11" s="1"/>
  <c r="G496" i="9"/>
  <c r="Q468" i="11" s="1"/>
  <c r="H496" i="9"/>
  <c r="BA468" i="11" s="1"/>
  <c r="I496" i="9"/>
  <c r="I256" i="9"/>
  <c r="J256" i="9"/>
  <c r="R228" i="11" s="1"/>
  <c r="K256" i="9"/>
  <c r="CC466" i="7" l="1"/>
  <c r="D466" i="11" s="1"/>
  <c r="CB467" i="7"/>
  <c r="CS467" i="7" s="1"/>
  <c r="CU467" i="7" s="1"/>
  <c r="CY466" i="7"/>
  <c r="CV467" i="7"/>
  <c r="CX467" i="7" s="1"/>
  <c r="CF467" i="7"/>
  <c r="CH467" i="7" s="1"/>
  <c r="CI467" i="7" s="1"/>
  <c r="O496" i="9"/>
  <c r="BL468" i="7"/>
  <c r="AW468" i="11" s="1"/>
  <c r="CN227" i="7"/>
  <c r="I227" i="11" s="1"/>
  <c r="CQ466" i="7"/>
  <c r="CN466" i="7"/>
  <c r="I466" i="11" s="1"/>
  <c r="L466" i="11" s="1"/>
  <c r="M496" i="9"/>
  <c r="AR469" i="7" s="1"/>
  <c r="CA469" i="7" s="1"/>
  <c r="L496" i="9"/>
  <c r="BK468" i="7" s="1"/>
  <c r="B498" i="9"/>
  <c r="J497" i="9"/>
  <c r="R469" i="11" s="1"/>
  <c r="K497" i="9"/>
  <c r="C497" i="9"/>
  <c r="E497" i="9" s="1"/>
  <c r="F497" i="9"/>
  <c r="AY469" i="11" s="1"/>
  <c r="G497" i="9"/>
  <c r="Q469" i="11" s="1"/>
  <c r="H497" i="9"/>
  <c r="BA469" i="11" s="1"/>
  <c r="I497" i="9"/>
  <c r="L256" i="9"/>
  <c r="BK228" i="7" s="1"/>
  <c r="CB228" i="7" s="1"/>
  <c r="M256" i="9"/>
  <c r="AR229" i="7" s="1"/>
  <c r="CA229" i="7" s="1"/>
  <c r="F257" i="9"/>
  <c r="AY229" i="11" s="1"/>
  <c r="C257" i="9"/>
  <c r="E257" i="9" s="1"/>
  <c r="H257" i="9" s="1"/>
  <c r="BA229" i="11" s="1"/>
  <c r="G257" i="9"/>
  <c r="Q229" i="11" s="1"/>
  <c r="CC467" i="7" l="1"/>
  <c r="D467" i="11" s="1"/>
  <c r="CY467" i="7"/>
  <c r="CB468" i="7"/>
  <c r="CS468" i="7" s="1"/>
  <c r="CU468" i="7" s="1"/>
  <c r="CF468" i="7"/>
  <c r="CH468" i="7" s="1"/>
  <c r="CI468" i="7" s="1"/>
  <c r="CV468" i="7"/>
  <c r="CX468" i="7" s="1"/>
  <c r="O497" i="9"/>
  <c r="BL469" i="7"/>
  <c r="AW469" i="11" s="1"/>
  <c r="CQ467" i="7"/>
  <c r="CN467" i="7"/>
  <c r="I467" i="11" s="1"/>
  <c r="L467" i="11" s="1"/>
  <c r="CC228" i="7"/>
  <c r="CS228" i="7"/>
  <c r="CU228" i="7" s="1"/>
  <c r="CY228" i="7" s="1"/>
  <c r="CZ228" i="7" s="1"/>
  <c r="M497" i="9"/>
  <c r="AR470" i="7" s="1"/>
  <c r="CA470" i="7" s="1"/>
  <c r="L497" i="9"/>
  <c r="BK469" i="7" s="1"/>
  <c r="B499" i="9"/>
  <c r="J498" i="9"/>
  <c r="R470" i="11" s="1"/>
  <c r="K498" i="9"/>
  <c r="C498" i="9"/>
  <c r="E498" i="9" s="1"/>
  <c r="F498" i="9"/>
  <c r="AY470" i="11" s="1"/>
  <c r="G498" i="9"/>
  <c r="Q470" i="11" s="1"/>
  <c r="H498" i="9"/>
  <c r="BA470" i="11" s="1"/>
  <c r="I498" i="9"/>
  <c r="I257" i="9"/>
  <c r="J257" i="9"/>
  <c r="R229" i="11" s="1"/>
  <c r="K257" i="9"/>
  <c r="BL229" i="7"/>
  <c r="O257" i="9"/>
  <c r="CC468" i="7" l="1"/>
  <c r="D468" i="11" s="1"/>
  <c r="CB469" i="7"/>
  <c r="CC469" i="7" s="1"/>
  <c r="CQ469" i="7" s="1"/>
  <c r="CY468" i="7"/>
  <c r="CF469" i="7"/>
  <c r="CH469" i="7" s="1"/>
  <c r="CI469" i="7" s="1"/>
  <c r="CV469" i="7"/>
  <c r="CX469" i="7" s="1"/>
  <c r="O498" i="9"/>
  <c r="BL470" i="7"/>
  <c r="AW470" i="11" s="1"/>
  <c r="CF229" i="7"/>
  <c r="CH229" i="7" s="1"/>
  <c r="CI229" i="7" s="1"/>
  <c r="CK228" i="7"/>
  <c r="CQ228" i="7" s="1"/>
  <c r="CN468" i="7"/>
  <c r="I468" i="11" s="1"/>
  <c r="L468" i="11" s="1"/>
  <c r="CQ468" i="7"/>
  <c r="CV229" i="7"/>
  <c r="CX229" i="7" s="1"/>
  <c r="M498" i="9"/>
  <c r="AR471" i="7" s="1"/>
  <c r="CA471" i="7" s="1"/>
  <c r="L498" i="9"/>
  <c r="BK470" i="7" s="1"/>
  <c r="B500" i="9"/>
  <c r="J499" i="9"/>
  <c r="R471" i="11" s="1"/>
  <c r="K499" i="9"/>
  <c r="C499" i="9"/>
  <c r="E499" i="9" s="1"/>
  <c r="F499" i="9"/>
  <c r="AY471" i="11" s="1"/>
  <c r="G499" i="9"/>
  <c r="Q471" i="11" s="1"/>
  <c r="H499" i="9"/>
  <c r="BA471" i="11" s="1"/>
  <c r="I499" i="9"/>
  <c r="L257" i="9"/>
  <c r="BK229" i="7" s="1"/>
  <c r="CB229" i="7" s="1"/>
  <c r="M257" i="9"/>
  <c r="AR230" i="7" s="1"/>
  <c r="CA230" i="7" s="1"/>
  <c r="C258" i="9"/>
  <c r="E258" i="9" s="1"/>
  <c r="F258" i="9"/>
  <c r="AY230" i="11" s="1"/>
  <c r="H258" i="9"/>
  <c r="BA230" i="11" s="1"/>
  <c r="CB470" i="7" l="1"/>
  <c r="CC470" i="7" s="1"/>
  <c r="CQ470" i="7" s="1"/>
  <c r="CS469" i="7"/>
  <c r="CU469" i="7" s="1"/>
  <c r="CY469" i="7" s="1"/>
  <c r="CV470" i="7"/>
  <c r="CX470" i="7" s="1"/>
  <c r="CF470" i="7"/>
  <c r="CH470" i="7" s="1"/>
  <c r="CI470" i="7" s="1"/>
  <c r="O499" i="9"/>
  <c r="BL471" i="7"/>
  <c r="AW471" i="11" s="1"/>
  <c r="CN228" i="7"/>
  <c r="I228" i="11" s="1"/>
  <c r="CN469" i="7"/>
  <c r="I469" i="11" s="1"/>
  <c r="L469" i="11" s="1"/>
  <c r="D469" i="11"/>
  <c r="CC229" i="7"/>
  <c r="CS229" i="7"/>
  <c r="CU229" i="7" s="1"/>
  <c r="CY229" i="7" s="1"/>
  <c r="CZ229" i="7" s="1"/>
  <c r="M499" i="9"/>
  <c r="AR472" i="7" s="1"/>
  <c r="CA472" i="7" s="1"/>
  <c r="L499" i="9"/>
  <c r="BK471" i="7" s="1"/>
  <c r="B501" i="9"/>
  <c r="J500" i="9"/>
  <c r="R472" i="11" s="1"/>
  <c r="K500" i="9"/>
  <c r="C500" i="9"/>
  <c r="E500" i="9" s="1"/>
  <c r="F500" i="9"/>
  <c r="AY472" i="11" s="1"/>
  <c r="G500" i="9"/>
  <c r="Q472" i="11" s="1"/>
  <c r="H500" i="9"/>
  <c r="BA472" i="11" s="1"/>
  <c r="I500" i="9"/>
  <c r="J258" i="9"/>
  <c r="R230" i="11" s="1"/>
  <c r="I258" i="9"/>
  <c r="BL230" i="7"/>
  <c r="O258" i="9"/>
  <c r="K258" i="9"/>
  <c r="G258" i="9"/>
  <c r="Q230" i="11" s="1"/>
  <c r="CS470" i="7" l="1"/>
  <c r="CU470" i="7" s="1"/>
  <c r="CY470" i="7" s="1"/>
  <c r="CH472" i="11"/>
  <c r="AT56" i="20" s="1"/>
  <c r="AT57" i="20" s="1"/>
  <c r="CJ472" i="11"/>
  <c r="AT76" i="20" s="1"/>
  <c r="AT77" i="20" s="1"/>
  <c r="AT78" i="20" s="1"/>
  <c r="CB471" i="7"/>
  <c r="CC471" i="7" s="1"/>
  <c r="CN471" i="7" s="1"/>
  <c r="I471" i="11" s="1"/>
  <c r="L471" i="11" s="1"/>
  <c r="CF471" i="7"/>
  <c r="CH471" i="7" s="1"/>
  <c r="CI471" i="7" s="1"/>
  <c r="CV471" i="7"/>
  <c r="CX471" i="7" s="1"/>
  <c r="O500" i="9"/>
  <c r="BL472" i="7"/>
  <c r="AW472" i="11" s="1"/>
  <c r="CF230" i="7"/>
  <c r="CH230" i="7" s="1"/>
  <c r="CI230" i="7" s="1"/>
  <c r="CK229" i="7"/>
  <c r="CN229" i="7" s="1"/>
  <c r="I229" i="11" s="1"/>
  <c r="CN470" i="7"/>
  <c r="I470" i="11" s="1"/>
  <c r="L470" i="11" s="1"/>
  <c r="D470" i="11"/>
  <c r="CV230" i="7"/>
  <c r="CX230" i="7" s="1"/>
  <c r="M500" i="9"/>
  <c r="AR473" i="7" s="1"/>
  <c r="CA473" i="7" s="1"/>
  <c r="L500" i="9"/>
  <c r="BK472" i="7" s="1"/>
  <c r="B502" i="9"/>
  <c r="J501" i="9"/>
  <c r="R473" i="11" s="1"/>
  <c r="K501" i="9"/>
  <c r="C501" i="9"/>
  <c r="E501" i="9" s="1"/>
  <c r="F501" i="9"/>
  <c r="AY473" i="11" s="1"/>
  <c r="G501" i="9"/>
  <c r="Q473" i="11" s="1"/>
  <c r="H501" i="9"/>
  <c r="BA473" i="11" s="1"/>
  <c r="I501" i="9"/>
  <c r="M258" i="9"/>
  <c r="AR231" i="7" s="1"/>
  <c r="CA231" i="7" s="1"/>
  <c r="L258" i="9"/>
  <c r="BK230" i="7" s="1"/>
  <c r="CB230" i="7" s="1"/>
  <c r="G259" i="9"/>
  <c r="Q231" i="11" s="1"/>
  <c r="F259" i="9"/>
  <c r="AY231" i="11" s="1"/>
  <c r="C259" i="9"/>
  <c r="E259" i="9" s="1"/>
  <c r="H259" i="9" s="1"/>
  <c r="BA231" i="11" s="1"/>
  <c r="CS471" i="7" l="1"/>
  <c r="CU471" i="7" s="1"/>
  <c r="CY471" i="7" s="1"/>
  <c r="CB472" i="7"/>
  <c r="CC472" i="7" s="1"/>
  <c r="CN472" i="7" s="1"/>
  <c r="I472" i="11" s="1"/>
  <c r="L472" i="11" s="1"/>
  <c r="CF472" i="7"/>
  <c r="CH472" i="7" s="1"/>
  <c r="CI472" i="7" s="1"/>
  <c r="CV472" i="7"/>
  <c r="CX472" i="7" s="1"/>
  <c r="CF472" i="11"/>
  <c r="AT51" i="20" s="1"/>
  <c r="AT52" i="20" s="1"/>
  <c r="AT53" i="20" s="1"/>
  <c r="O501" i="9"/>
  <c r="BL473" i="7"/>
  <c r="AW473" i="11" s="1"/>
  <c r="CQ229" i="7"/>
  <c r="CQ471" i="7"/>
  <c r="D471" i="11"/>
  <c r="CC230" i="7"/>
  <c r="CS230" i="7"/>
  <c r="CU230" i="7" s="1"/>
  <c r="CY230" i="7" s="1"/>
  <c r="CZ230" i="7" s="1"/>
  <c r="M501" i="9"/>
  <c r="AR474" i="7" s="1"/>
  <c r="CA474" i="7" s="1"/>
  <c r="L501" i="9"/>
  <c r="BK473" i="7" s="1"/>
  <c r="B503" i="9"/>
  <c r="J502" i="9"/>
  <c r="R474" i="11" s="1"/>
  <c r="K502" i="9"/>
  <c r="C502" i="9"/>
  <c r="E502" i="9" s="1"/>
  <c r="F502" i="9"/>
  <c r="AY474" i="11" s="1"/>
  <c r="G502" i="9"/>
  <c r="Q474" i="11" s="1"/>
  <c r="H502" i="9"/>
  <c r="BA474" i="11" s="1"/>
  <c r="I502" i="9"/>
  <c r="I259" i="9"/>
  <c r="J259" i="9"/>
  <c r="R231" i="11" s="1"/>
  <c r="K259" i="9"/>
  <c r="BL231" i="7"/>
  <c r="O259" i="9"/>
  <c r="CS472" i="7" l="1"/>
  <c r="CU472" i="7" s="1"/>
  <c r="CY472" i="7" s="1"/>
  <c r="CB473" i="7"/>
  <c r="CC473" i="7" s="1"/>
  <c r="D473" i="11" s="1"/>
  <c r="AT58" i="20"/>
  <c r="AT59" i="20" s="1"/>
  <c r="AT68" i="20"/>
  <c r="AT69" i="20" s="1"/>
  <c r="AT79" i="20" s="1"/>
  <c r="AT81" i="20" s="1"/>
  <c r="CF473" i="7"/>
  <c r="CH473" i="7" s="1"/>
  <c r="CI473" i="7" s="1"/>
  <c r="CV473" i="7"/>
  <c r="CX473" i="7" s="1"/>
  <c r="O502" i="9"/>
  <c r="BL474" i="7"/>
  <c r="AW474" i="11" s="1"/>
  <c r="CF231" i="7"/>
  <c r="CH231" i="7" s="1"/>
  <c r="CI231" i="7" s="1"/>
  <c r="CK230" i="7"/>
  <c r="CN230" i="7" s="1"/>
  <c r="I230" i="11" s="1"/>
  <c r="D472" i="11"/>
  <c r="CQ472" i="7"/>
  <c r="CV231" i="7"/>
  <c r="CX231" i="7" s="1"/>
  <c r="M502" i="9"/>
  <c r="AR475" i="7" s="1"/>
  <c r="CA475" i="7" s="1"/>
  <c r="L502" i="9"/>
  <c r="BK474" i="7" s="1"/>
  <c r="B504" i="9"/>
  <c r="J503" i="9"/>
  <c r="R475" i="11" s="1"/>
  <c r="K503" i="9"/>
  <c r="C503" i="9"/>
  <c r="E503" i="9" s="1"/>
  <c r="F503" i="9"/>
  <c r="AY475" i="11" s="1"/>
  <c r="G503" i="9"/>
  <c r="Q475" i="11" s="1"/>
  <c r="H503" i="9"/>
  <c r="BA475" i="11" s="1"/>
  <c r="I503" i="9"/>
  <c r="M259" i="9"/>
  <c r="AR232" i="7" s="1"/>
  <c r="CA232" i="7" s="1"/>
  <c r="L259" i="9"/>
  <c r="BK231" i="7" s="1"/>
  <c r="CB231" i="7" s="1"/>
  <c r="I260" i="9"/>
  <c r="F260" i="9"/>
  <c r="AY232" i="11" s="1"/>
  <c r="G260" i="9"/>
  <c r="Q232" i="11" s="1"/>
  <c r="H260" i="9"/>
  <c r="BA232" i="11" s="1"/>
  <c r="C260" i="9"/>
  <c r="E260" i="9" s="1"/>
  <c r="CS473" i="7" l="1"/>
  <c r="CU473" i="7" s="1"/>
  <c r="CY473" i="7" s="1"/>
  <c r="CJ232" i="11"/>
  <c r="Z76" i="20" s="1"/>
  <c r="CH232" i="11"/>
  <c r="Z56" i="20" s="1"/>
  <c r="CB474" i="7"/>
  <c r="CC474" i="7" s="1"/>
  <c r="D474" i="11" s="1"/>
  <c r="CV474" i="7"/>
  <c r="CX474" i="7" s="1"/>
  <c r="CF474" i="7"/>
  <c r="CH474" i="7" s="1"/>
  <c r="CI474" i="7" s="1"/>
  <c r="O503" i="9"/>
  <c r="BL475" i="7"/>
  <c r="AW475" i="11" s="1"/>
  <c r="CQ230" i="7"/>
  <c r="CQ473" i="7"/>
  <c r="CN473" i="7"/>
  <c r="I473" i="11" s="1"/>
  <c r="L473" i="11" s="1"/>
  <c r="CC231" i="7"/>
  <c r="CS231" i="7"/>
  <c r="CU231" i="7" s="1"/>
  <c r="CY231" i="7" s="1"/>
  <c r="CZ231" i="7" s="1"/>
  <c r="M503" i="9"/>
  <c r="AR476" i="7" s="1"/>
  <c r="CA476" i="7" s="1"/>
  <c r="L503" i="9"/>
  <c r="BK475" i="7" s="1"/>
  <c r="B505" i="9"/>
  <c r="J504" i="9"/>
  <c r="R476" i="11" s="1"/>
  <c r="K504" i="9"/>
  <c r="C504" i="9"/>
  <c r="E504" i="9" s="1"/>
  <c r="F504" i="9"/>
  <c r="AY476" i="11" s="1"/>
  <c r="G504" i="9"/>
  <c r="Q476" i="11" s="1"/>
  <c r="H504" i="9"/>
  <c r="BA476" i="11" s="1"/>
  <c r="I504" i="9"/>
  <c r="O260" i="9"/>
  <c r="BL232" i="7"/>
  <c r="K260" i="9"/>
  <c r="J260" i="9"/>
  <c r="R232" i="11" s="1"/>
  <c r="CS474" i="7" l="1"/>
  <c r="CU474" i="7" s="1"/>
  <c r="CY474" i="7" s="1"/>
  <c r="CB475" i="7"/>
  <c r="CC475" i="7" s="1"/>
  <c r="CQ475" i="7" s="1"/>
  <c r="CF475" i="7"/>
  <c r="CH475" i="7" s="1"/>
  <c r="CI475" i="7" s="1"/>
  <c r="CV475" i="7"/>
  <c r="CX475" i="7" s="1"/>
  <c r="O504" i="9"/>
  <c r="BL476" i="7"/>
  <c r="AW476" i="11" s="1"/>
  <c r="CF232" i="7"/>
  <c r="CH232" i="7" s="1"/>
  <c r="CI232" i="7" s="1"/>
  <c r="CK231" i="7"/>
  <c r="CQ231" i="7" s="1"/>
  <c r="CQ474" i="7"/>
  <c r="CN474" i="7"/>
  <c r="I474" i="11" s="1"/>
  <c r="L474" i="11" s="1"/>
  <c r="CV232" i="7"/>
  <c r="CX232" i="7" s="1"/>
  <c r="M504" i="9"/>
  <c r="AR477" i="7" s="1"/>
  <c r="CA477" i="7" s="1"/>
  <c r="L504" i="9"/>
  <c r="BK476" i="7" s="1"/>
  <c r="B506" i="9"/>
  <c r="J505" i="9"/>
  <c r="R477" i="11" s="1"/>
  <c r="K505" i="9"/>
  <c r="C505" i="9"/>
  <c r="E505" i="9" s="1"/>
  <c r="F505" i="9"/>
  <c r="AY477" i="11" s="1"/>
  <c r="G505" i="9"/>
  <c r="Q477" i="11" s="1"/>
  <c r="H505" i="9"/>
  <c r="BA477" i="11" s="1"/>
  <c r="I505" i="9"/>
  <c r="L260" i="9"/>
  <c r="BK232" i="7" s="1"/>
  <c r="CB232" i="7" s="1"/>
  <c r="M260" i="9"/>
  <c r="AR233" i="7" s="1"/>
  <c r="CA233" i="7" s="1"/>
  <c r="C261" i="9"/>
  <c r="E261" i="9" s="1"/>
  <c r="H261" i="9" s="1"/>
  <c r="BA233" i="11" s="1"/>
  <c r="G261" i="9"/>
  <c r="Q233" i="11" s="1"/>
  <c r="F261" i="9"/>
  <c r="AY233" i="11" s="1"/>
  <c r="CS475" i="7" l="1"/>
  <c r="CU475" i="7" s="1"/>
  <c r="CY475" i="7" s="1"/>
  <c r="CB476" i="7"/>
  <c r="CC476" i="7" s="1"/>
  <c r="CQ476" i="7" s="1"/>
  <c r="CV476" i="7"/>
  <c r="CX476" i="7" s="1"/>
  <c r="CF476" i="7"/>
  <c r="CH476" i="7" s="1"/>
  <c r="CI476" i="7" s="1"/>
  <c r="O505" i="9"/>
  <c r="BL477" i="7"/>
  <c r="AW477" i="11" s="1"/>
  <c r="CN231" i="7"/>
  <c r="I231" i="11" s="1"/>
  <c r="CN475" i="7"/>
  <c r="I475" i="11" s="1"/>
  <c r="L475" i="11" s="1"/>
  <c r="D475" i="11"/>
  <c r="CC232" i="7"/>
  <c r="CS232" i="7"/>
  <c r="CU232" i="7" s="1"/>
  <c r="CY232" i="7" s="1"/>
  <c r="CZ232" i="7" s="1"/>
  <c r="M505" i="9"/>
  <c r="AR478" i="7" s="1"/>
  <c r="CA478" i="7" s="1"/>
  <c r="L505" i="9"/>
  <c r="BK477" i="7" s="1"/>
  <c r="B507" i="9"/>
  <c r="J506" i="9"/>
  <c r="R478" i="11" s="1"/>
  <c r="K506" i="9"/>
  <c r="C506" i="9"/>
  <c r="E506" i="9" s="1"/>
  <c r="F506" i="9"/>
  <c r="AY478" i="11" s="1"/>
  <c r="G506" i="9"/>
  <c r="Q478" i="11" s="1"/>
  <c r="H506" i="9"/>
  <c r="BA478" i="11" s="1"/>
  <c r="I506" i="9"/>
  <c r="J261" i="9"/>
  <c r="R233" i="11" s="1"/>
  <c r="K261" i="9"/>
  <c r="I261" i="9"/>
  <c r="O261" i="9"/>
  <c r="BL233" i="7"/>
  <c r="CS476" i="7" l="1"/>
  <c r="CU476" i="7" s="1"/>
  <c r="CY476" i="7" s="1"/>
  <c r="CB477" i="7"/>
  <c r="CC477" i="7" s="1"/>
  <c r="CQ477" i="7" s="1"/>
  <c r="CV477" i="7"/>
  <c r="CX477" i="7" s="1"/>
  <c r="CF477" i="7"/>
  <c r="CH477" i="7" s="1"/>
  <c r="CI477" i="7" s="1"/>
  <c r="O506" i="9"/>
  <c r="BL478" i="7"/>
  <c r="AW478" i="11" s="1"/>
  <c r="CF233" i="7"/>
  <c r="CH233" i="7" s="1"/>
  <c r="CI233" i="7" s="1"/>
  <c r="CK232" i="7"/>
  <c r="CQ232" i="7" s="1"/>
  <c r="D476" i="11"/>
  <c r="CN476" i="7"/>
  <c r="I476" i="11" s="1"/>
  <c r="L476" i="11" s="1"/>
  <c r="CV233" i="7"/>
  <c r="CX233" i="7" s="1"/>
  <c r="M506" i="9"/>
  <c r="AR479" i="7" s="1"/>
  <c r="CA479" i="7" s="1"/>
  <c r="L506" i="9"/>
  <c r="BK478" i="7" s="1"/>
  <c r="B508" i="9"/>
  <c r="J507" i="9"/>
  <c r="R479" i="11" s="1"/>
  <c r="K507" i="9"/>
  <c r="C507" i="9"/>
  <c r="E507" i="9" s="1"/>
  <c r="F507" i="9"/>
  <c r="AY479" i="11" s="1"/>
  <c r="G507" i="9"/>
  <c r="Q479" i="11" s="1"/>
  <c r="H507" i="9"/>
  <c r="BA479" i="11" s="1"/>
  <c r="I507" i="9"/>
  <c r="L261" i="9"/>
  <c r="BK233" i="7" s="1"/>
  <c r="CB233" i="7" s="1"/>
  <c r="M261" i="9"/>
  <c r="AR234" i="7" s="1"/>
  <c r="CA234" i="7" s="1"/>
  <c r="G262" i="9"/>
  <c r="Q234" i="11" s="1"/>
  <c r="H262" i="9"/>
  <c r="BA234" i="11" s="1"/>
  <c r="F262" i="9"/>
  <c r="AY234" i="11" s="1"/>
  <c r="C262" i="9"/>
  <c r="E262" i="9" s="1"/>
  <c r="I262" i="9"/>
  <c r="CS477" i="7" l="1"/>
  <c r="CU477" i="7" s="1"/>
  <c r="CY477" i="7" s="1"/>
  <c r="CB478" i="7"/>
  <c r="CC478" i="7" s="1"/>
  <c r="CN478" i="7" s="1"/>
  <c r="I478" i="11" s="1"/>
  <c r="L478" i="11" s="1"/>
  <c r="CV478" i="7"/>
  <c r="CX478" i="7" s="1"/>
  <c r="CF478" i="7"/>
  <c r="CH478" i="7" s="1"/>
  <c r="CI478" i="7" s="1"/>
  <c r="O507" i="9"/>
  <c r="BL479" i="7"/>
  <c r="AW479" i="11" s="1"/>
  <c r="CN232" i="7"/>
  <c r="I232" i="11" s="1"/>
  <c r="CN477" i="7"/>
  <c r="I477" i="11" s="1"/>
  <c r="L477" i="11" s="1"/>
  <c r="D477" i="11"/>
  <c r="CC233" i="7"/>
  <c r="CS233" i="7"/>
  <c r="CU233" i="7" s="1"/>
  <c r="CY233" i="7" s="1"/>
  <c r="CZ233" i="7" s="1"/>
  <c r="M507" i="9"/>
  <c r="AR480" i="7" s="1"/>
  <c r="CA480" i="7" s="1"/>
  <c r="L507" i="9"/>
  <c r="BK479" i="7" s="1"/>
  <c r="B509" i="9"/>
  <c r="J508" i="9"/>
  <c r="R480" i="11" s="1"/>
  <c r="K508" i="9"/>
  <c r="C508" i="9"/>
  <c r="E508" i="9" s="1"/>
  <c r="F508" i="9"/>
  <c r="AY480" i="11" s="1"/>
  <c r="G508" i="9"/>
  <c r="Q480" i="11" s="1"/>
  <c r="H508" i="9"/>
  <c r="BA480" i="11" s="1"/>
  <c r="I508" i="9"/>
  <c r="O262" i="9"/>
  <c r="BL234" i="7"/>
  <c r="J262" i="9"/>
  <c r="R234" i="11" s="1"/>
  <c r="K262" i="9"/>
  <c r="CS478" i="7" l="1"/>
  <c r="CU478" i="7" s="1"/>
  <c r="CY478" i="7" s="1"/>
  <c r="CB479" i="7"/>
  <c r="CC479" i="7" s="1"/>
  <c r="CN479" i="7" s="1"/>
  <c r="I479" i="11" s="1"/>
  <c r="L479" i="11" s="1"/>
  <c r="CV479" i="7"/>
  <c r="CX479" i="7" s="1"/>
  <c r="CF479" i="7"/>
  <c r="CH479" i="7" s="1"/>
  <c r="CI479" i="7" s="1"/>
  <c r="O508" i="9"/>
  <c r="BL480" i="7"/>
  <c r="AW480" i="11" s="1"/>
  <c r="CF234" i="7"/>
  <c r="CH234" i="7" s="1"/>
  <c r="CI234" i="7" s="1"/>
  <c r="CK233" i="7"/>
  <c r="CQ233" i="7" s="1"/>
  <c r="CQ478" i="7"/>
  <c r="D478" i="11"/>
  <c r="CV234" i="7"/>
  <c r="CX234" i="7" s="1"/>
  <c r="M508" i="9"/>
  <c r="AR481" i="7" s="1"/>
  <c r="CA481" i="7" s="1"/>
  <c r="L508" i="9"/>
  <c r="BK480" i="7" s="1"/>
  <c r="B510" i="9"/>
  <c r="J509" i="9"/>
  <c r="R481" i="11" s="1"/>
  <c r="K509" i="9"/>
  <c r="C509" i="9"/>
  <c r="E509" i="9" s="1"/>
  <c r="F509" i="9"/>
  <c r="AY481" i="11" s="1"/>
  <c r="G509" i="9"/>
  <c r="Q481" i="11" s="1"/>
  <c r="H509" i="9"/>
  <c r="BA481" i="11" s="1"/>
  <c r="I509" i="9"/>
  <c r="F263" i="9"/>
  <c r="AY235" i="11" s="1"/>
  <c r="G263" i="9"/>
  <c r="Q235" i="11" s="1"/>
  <c r="C263" i="9"/>
  <c r="E263" i="9" s="1"/>
  <c r="H263" i="9" s="1"/>
  <c r="BA235" i="11" s="1"/>
  <c r="L262" i="9"/>
  <c r="BK234" i="7" s="1"/>
  <c r="CB234" i="7" s="1"/>
  <c r="M262" i="9"/>
  <c r="AR235" i="7" s="1"/>
  <c r="CA235" i="7" s="1"/>
  <c r="CB480" i="7" l="1"/>
  <c r="CC480" i="7" s="1"/>
  <c r="CQ480" i="7" s="1"/>
  <c r="CS479" i="7"/>
  <c r="CU479" i="7" s="1"/>
  <c r="CY479" i="7" s="1"/>
  <c r="CV480" i="7"/>
  <c r="CX480" i="7" s="1"/>
  <c r="CF480" i="7"/>
  <c r="CH480" i="7" s="1"/>
  <c r="CI480" i="7" s="1"/>
  <c r="O509" i="9"/>
  <c r="BL481" i="7"/>
  <c r="AW481" i="11" s="1"/>
  <c r="CN233" i="7"/>
  <c r="I233" i="11" s="1"/>
  <c r="D479" i="11"/>
  <c r="CQ479" i="7"/>
  <c r="CC234" i="7"/>
  <c r="CS234" i="7"/>
  <c r="CU234" i="7" s="1"/>
  <c r="CY234" i="7" s="1"/>
  <c r="CZ234" i="7" s="1"/>
  <c r="M509" i="9"/>
  <c r="AR482" i="7" s="1"/>
  <c r="CA482" i="7" s="1"/>
  <c r="L509" i="9"/>
  <c r="BK481" i="7" s="1"/>
  <c r="B511" i="9"/>
  <c r="J510" i="9"/>
  <c r="R482" i="11" s="1"/>
  <c r="K510" i="9"/>
  <c r="C510" i="9"/>
  <c r="E510" i="9" s="1"/>
  <c r="F510" i="9"/>
  <c r="AY482" i="11" s="1"/>
  <c r="G510" i="9"/>
  <c r="Q482" i="11" s="1"/>
  <c r="H510" i="9"/>
  <c r="BA482" i="11" s="1"/>
  <c r="I510" i="9"/>
  <c r="I263" i="9"/>
  <c r="K263" i="9"/>
  <c r="J263" i="9"/>
  <c r="R235" i="11" s="1"/>
  <c r="BL235" i="7"/>
  <c r="O263" i="9"/>
  <c r="CS480" i="7" l="1"/>
  <c r="CU480" i="7" s="1"/>
  <c r="CY480" i="7" s="1"/>
  <c r="CB481" i="7"/>
  <c r="CC481" i="7" s="1"/>
  <c r="CN481" i="7" s="1"/>
  <c r="I481" i="11" s="1"/>
  <c r="L481" i="11" s="1"/>
  <c r="CV481" i="7"/>
  <c r="CX481" i="7" s="1"/>
  <c r="CF481" i="7"/>
  <c r="CH481" i="7" s="1"/>
  <c r="CI481" i="7" s="1"/>
  <c r="O510" i="9"/>
  <c r="BL482" i="7"/>
  <c r="AW482" i="11" s="1"/>
  <c r="CF235" i="7"/>
  <c r="CH235" i="7" s="1"/>
  <c r="CI235" i="7" s="1"/>
  <c r="CK234" i="7"/>
  <c r="CQ234" i="7" s="1"/>
  <c r="CN480" i="7"/>
  <c r="I480" i="11" s="1"/>
  <c r="L480" i="11" s="1"/>
  <c r="D480" i="11"/>
  <c r="CV235" i="7"/>
  <c r="CX235" i="7" s="1"/>
  <c r="M510" i="9"/>
  <c r="AR483" i="7" s="1"/>
  <c r="CA483" i="7" s="1"/>
  <c r="L510" i="9"/>
  <c r="BK482" i="7" s="1"/>
  <c r="B512" i="9"/>
  <c r="J511" i="9"/>
  <c r="R483" i="11" s="1"/>
  <c r="K511" i="9"/>
  <c r="C511" i="9"/>
  <c r="E511" i="9" s="1"/>
  <c r="F511" i="9"/>
  <c r="AY483" i="11" s="1"/>
  <c r="G511" i="9"/>
  <c r="Q483" i="11" s="1"/>
  <c r="H511" i="9"/>
  <c r="BA483" i="11" s="1"/>
  <c r="I511" i="9"/>
  <c r="C264" i="9"/>
  <c r="E264" i="9" s="1"/>
  <c r="G264" i="9"/>
  <c r="Q236" i="11" s="1"/>
  <c r="F264" i="9"/>
  <c r="AY236" i="11" s="1"/>
  <c r="H264" i="9"/>
  <c r="BA236" i="11" s="1"/>
  <c r="M263" i="9"/>
  <c r="AR236" i="7" s="1"/>
  <c r="CA236" i="7" s="1"/>
  <c r="L263" i="9"/>
  <c r="BK235" i="7" s="1"/>
  <c r="CB235" i="7" s="1"/>
  <c r="CB482" i="7" l="1"/>
  <c r="CC482" i="7" s="1"/>
  <c r="CQ482" i="7" s="1"/>
  <c r="CS481" i="7"/>
  <c r="CU481" i="7" s="1"/>
  <c r="CY481" i="7" s="1"/>
  <c r="CV482" i="7"/>
  <c r="CX482" i="7" s="1"/>
  <c r="CF482" i="7"/>
  <c r="CH482" i="7" s="1"/>
  <c r="CI482" i="7" s="1"/>
  <c r="O511" i="9"/>
  <c r="BL483" i="7"/>
  <c r="AW483" i="11" s="1"/>
  <c r="CN234" i="7"/>
  <c r="I234" i="11" s="1"/>
  <c r="D481" i="11"/>
  <c r="CQ481" i="7"/>
  <c r="CC235" i="7"/>
  <c r="CS235" i="7"/>
  <c r="CU235" i="7" s="1"/>
  <c r="CY235" i="7" s="1"/>
  <c r="CZ235" i="7" s="1"/>
  <c r="M511" i="9"/>
  <c r="AR484" i="7" s="1"/>
  <c r="CA484" i="7" s="1"/>
  <c r="L511" i="9"/>
  <c r="BK483" i="7" s="1"/>
  <c r="J512" i="9"/>
  <c r="R484" i="11" s="1"/>
  <c r="K512" i="9"/>
  <c r="C512" i="9"/>
  <c r="E512" i="9" s="1"/>
  <c r="F512" i="9"/>
  <c r="AY484" i="11" s="1"/>
  <c r="G512" i="9"/>
  <c r="Q484" i="11" s="1"/>
  <c r="H512" i="9"/>
  <c r="BA484" i="11" s="1"/>
  <c r="I512" i="9"/>
  <c r="BL236" i="7"/>
  <c r="O264" i="9"/>
  <c r="I264" i="9"/>
  <c r="J264" i="9"/>
  <c r="R236" i="11" s="1"/>
  <c r="K264" i="9"/>
  <c r="CS482" i="7" l="1"/>
  <c r="CU482" i="7" s="1"/>
  <c r="CY482" i="7" s="1"/>
  <c r="CJ484" i="11"/>
  <c r="AU76" i="20" s="1"/>
  <c r="AU77" i="20" s="1"/>
  <c r="AU78" i="20" s="1"/>
  <c r="CH484" i="11"/>
  <c r="AU56" i="20" s="1"/>
  <c r="AU57" i="20" s="1"/>
  <c r="CB483" i="7"/>
  <c r="CS483" i="7" s="1"/>
  <c r="CU483" i="7" s="1"/>
  <c r="CF483" i="7"/>
  <c r="CH483" i="7" s="1"/>
  <c r="CI483" i="7" s="1"/>
  <c r="CV483" i="7"/>
  <c r="CX483" i="7" s="1"/>
  <c r="O512" i="9"/>
  <c r="BL484" i="7"/>
  <c r="AW484" i="11" s="1"/>
  <c r="CF236" i="7"/>
  <c r="CH236" i="7" s="1"/>
  <c r="CI236" i="7" s="1"/>
  <c r="CK235" i="7"/>
  <c r="CN235" i="7" s="1"/>
  <c r="I235" i="11" s="1"/>
  <c r="CN482" i="7"/>
  <c r="I482" i="11" s="1"/>
  <c r="L482" i="11" s="1"/>
  <c r="D482" i="11"/>
  <c r="CV236" i="7"/>
  <c r="CX236" i="7" s="1"/>
  <c r="M512" i="9"/>
  <c r="L512" i="9"/>
  <c r="BK484" i="7" s="1"/>
  <c r="L264" i="9"/>
  <c r="BK236" i="7" s="1"/>
  <c r="CB236" i="7" s="1"/>
  <c r="M264" i="9"/>
  <c r="AR237" i="7" s="1"/>
  <c r="CA237" i="7" s="1"/>
  <c r="F265" i="9"/>
  <c r="AY237" i="11" s="1"/>
  <c r="C265" i="9"/>
  <c r="E265" i="9" s="1"/>
  <c r="H265" i="9" s="1"/>
  <c r="BA237" i="11" s="1"/>
  <c r="CC483" i="7" l="1"/>
  <c r="CQ483" i="7" s="1"/>
  <c r="CY483" i="7"/>
  <c r="CB484" i="7"/>
  <c r="CC484" i="7" s="1"/>
  <c r="CQ484" i="7" s="1"/>
  <c r="CF484" i="7"/>
  <c r="CH484" i="7" s="1"/>
  <c r="CI484" i="7" s="1"/>
  <c r="CV484" i="7"/>
  <c r="CX484" i="7" s="1"/>
  <c r="CF484" i="11"/>
  <c r="AU51" i="20" s="1"/>
  <c r="AU52" i="20" s="1"/>
  <c r="AU53" i="20" s="1"/>
  <c r="CQ235" i="7"/>
  <c r="CN483" i="7"/>
  <c r="I483" i="11" s="1"/>
  <c r="L483" i="11" s="1"/>
  <c r="D483" i="11"/>
  <c r="CC236" i="7"/>
  <c r="CS236" i="7"/>
  <c r="CU236" i="7" s="1"/>
  <c r="CY236" i="7" s="1"/>
  <c r="CZ236" i="7" s="1"/>
  <c r="J265" i="9"/>
  <c r="R237" i="11" s="1"/>
  <c r="K265" i="9"/>
  <c r="I265" i="9"/>
  <c r="BL237" i="7"/>
  <c r="O265" i="9"/>
  <c r="G265" i="9"/>
  <c r="Q237" i="11" s="1"/>
  <c r="CS484" i="7" l="1"/>
  <c r="CU484" i="7" s="1"/>
  <c r="CY484" i="7" s="1"/>
  <c r="AU58" i="20"/>
  <c r="AU59" i="20" s="1"/>
  <c r="AU68" i="20"/>
  <c r="AU69" i="20" s="1"/>
  <c r="AU79" i="20" s="1"/>
  <c r="AU81" i="20" s="1"/>
  <c r="CF237" i="7"/>
  <c r="CH237" i="7" s="1"/>
  <c r="CI237" i="7" s="1"/>
  <c r="CK236" i="7"/>
  <c r="CQ236" i="7" s="1"/>
  <c r="D484" i="11"/>
  <c r="CN484" i="7"/>
  <c r="I484" i="11" s="1"/>
  <c r="L484" i="11" s="1"/>
  <c r="CV237" i="7"/>
  <c r="CX237" i="7" s="1"/>
  <c r="L265" i="9"/>
  <c r="BK237" i="7" s="1"/>
  <c r="CB237" i="7" s="1"/>
  <c r="M265" i="9"/>
  <c r="AR238" i="7" s="1"/>
  <c r="CA238" i="7" s="1"/>
  <c r="F266" i="9"/>
  <c r="AY238" i="11" s="1"/>
  <c r="C266" i="9"/>
  <c r="E266" i="9" s="1"/>
  <c r="G266" i="9"/>
  <c r="Q238" i="11" s="1"/>
  <c r="I266" i="9"/>
  <c r="H266" i="9"/>
  <c r="BA238" i="11" s="1"/>
  <c r="J266" i="9"/>
  <c r="R238" i="11" s="1"/>
  <c r="CN236" i="7" l="1"/>
  <c r="I236" i="11" s="1"/>
  <c r="CC237" i="7"/>
  <c r="CS237" i="7"/>
  <c r="CU237" i="7" s="1"/>
  <c r="CY237" i="7" s="1"/>
  <c r="CZ237" i="7" s="1"/>
  <c r="K266" i="9"/>
  <c r="BL238" i="7"/>
  <c r="O266" i="9"/>
  <c r="C267" i="9"/>
  <c r="E267" i="9" s="1"/>
  <c r="H267" i="9" s="1"/>
  <c r="BA239" i="11" s="1"/>
  <c r="F267" i="9"/>
  <c r="AY239" i="11" s="1"/>
  <c r="CF238" i="7" l="1"/>
  <c r="CH238" i="7" s="1"/>
  <c r="CI238" i="7" s="1"/>
  <c r="CK237" i="7"/>
  <c r="CN237" i="7" s="1"/>
  <c r="I237" i="11" s="1"/>
  <c r="CV238" i="7"/>
  <c r="CX238" i="7" s="1"/>
  <c r="K267" i="9"/>
  <c r="J267" i="9"/>
  <c r="R239" i="11" s="1"/>
  <c r="I267" i="9"/>
  <c r="BL239" i="7"/>
  <c r="O267" i="9"/>
  <c r="G267" i="9"/>
  <c r="Q239" i="11" s="1"/>
  <c r="L266" i="9"/>
  <c r="BK238" i="7" s="1"/>
  <c r="CB238" i="7" s="1"/>
  <c r="M266" i="9"/>
  <c r="AR239" i="7" s="1"/>
  <c r="CA239" i="7" s="1"/>
  <c r="CF239" i="7" l="1"/>
  <c r="CH239" i="7" s="1"/>
  <c r="CI239" i="7" s="1"/>
  <c r="CQ237" i="7"/>
  <c r="CC238" i="7"/>
  <c r="CS238" i="7"/>
  <c r="CU238" i="7" s="1"/>
  <c r="CY238" i="7" s="1"/>
  <c r="CZ238" i="7" s="1"/>
  <c r="CV239" i="7"/>
  <c r="CX239" i="7" s="1"/>
  <c r="C268" i="9"/>
  <c r="E268" i="9" s="1"/>
  <c r="F268" i="9"/>
  <c r="AY240" i="11" s="1"/>
  <c r="G268" i="9"/>
  <c r="Q240" i="11" s="1"/>
  <c r="M267" i="9"/>
  <c r="AR240" i="7" s="1"/>
  <c r="CA240" i="7" s="1"/>
  <c r="L267" i="9"/>
  <c r="BK239" i="7" s="1"/>
  <c r="CB239" i="7" s="1"/>
  <c r="CK238" i="7" l="1"/>
  <c r="CN238" i="7" s="1"/>
  <c r="I238" i="11" s="1"/>
  <c r="CC239" i="7"/>
  <c r="CS239" i="7"/>
  <c r="CU239" i="7" s="1"/>
  <c r="CY239" i="7" s="1"/>
  <c r="CZ239" i="7" s="1"/>
  <c r="BL240" i="7"/>
  <c r="O268" i="9"/>
  <c r="H268" i="9"/>
  <c r="BA240" i="11" s="1"/>
  <c r="CF240" i="7" l="1"/>
  <c r="CH240" i="7" s="1"/>
  <c r="CI240" i="7" s="1"/>
  <c r="CK239" i="7"/>
  <c r="CQ239" i="7" s="1"/>
  <c r="CQ238" i="7"/>
  <c r="CV240" i="7"/>
  <c r="CX240" i="7" s="1"/>
  <c r="K268" i="9"/>
  <c r="J268" i="9"/>
  <c r="R240" i="11" s="1"/>
  <c r="I268" i="9"/>
  <c r="CN239" i="7" l="1"/>
  <c r="I239" i="11" s="1"/>
  <c r="M268" i="9"/>
  <c r="AR241" i="7" s="1"/>
  <c r="CA241" i="7" s="1"/>
  <c r="L268" i="9"/>
  <c r="BK240" i="7" s="1"/>
  <c r="CB240" i="7" s="1"/>
  <c r="F269" i="9"/>
  <c r="AY241" i="11" s="1"/>
  <c r="G269" i="9"/>
  <c r="Q241" i="11" s="1"/>
  <c r="C269" i="9"/>
  <c r="E269" i="9" s="1"/>
  <c r="H269" i="9" s="1"/>
  <c r="BA241" i="11" s="1"/>
  <c r="CC240" i="7" l="1"/>
  <c r="CS240" i="7"/>
  <c r="CU240" i="7" s="1"/>
  <c r="CY240" i="7" s="1"/>
  <c r="CZ240" i="7" s="1"/>
  <c r="K269" i="9"/>
  <c r="I269" i="9"/>
  <c r="J269" i="9"/>
  <c r="R241" i="11" s="1"/>
  <c r="O269" i="9"/>
  <c r="BL241" i="7"/>
  <c r="CF241" i="7" l="1"/>
  <c r="CH241" i="7" s="1"/>
  <c r="CI241" i="7" s="1"/>
  <c r="CK240" i="7"/>
  <c r="CQ240" i="7" s="1"/>
  <c r="CV241" i="7"/>
  <c r="CX241" i="7" s="1"/>
  <c r="I270" i="9"/>
  <c r="C270" i="9"/>
  <c r="E270" i="9" s="1"/>
  <c r="G270" i="9"/>
  <c r="Q242" i="11" s="1"/>
  <c r="H270" i="9"/>
  <c r="BA242" i="11" s="1"/>
  <c r="F270" i="9"/>
  <c r="AY242" i="11" s="1"/>
  <c r="M269" i="9"/>
  <c r="AR242" i="7" s="1"/>
  <c r="CA242" i="7" s="1"/>
  <c r="L269" i="9"/>
  <c r="BK241" i="7" s="1"/>
  <c r="CB241" i="7" s="1"/>
  <c r="CN240" i="7" l="1"/>
  <c r="I240" i="11" s="1"/>
  <c r="CC241" i="7"/>
  <c r="CS241" i="7"/>
  <c r="CU241" i="7" s="1"/>
  <c r="CY241" i="7" s="1"/>
  <c r="CZ241" i="7" s="1"/>
  <c r="K270" i="9"/>
  <c r="BL242" i="7"/>
  <c r="O270" i="9"/>
  <c r="J270" i="9"/>
  <c r="R242" i="11" s="1"/>
  <c r="CF242" i="7" l="1"/>
  <c r="CH242" i="7" s="1"/>
  <c r="CI242" i="7" s="1"/>
  <c r="CK241" i="7"/>
  <c r="CN241" i="7" s="1"/>
  <c r="I241" i="11" s="1"/>
  <c r="CV242" i="7"/>
  <c r="CX242" i="7" s="1"/>
  <c r="C271" i="9"/>
  <c r="E271" i="9" s="1"/>
  <c r="H271" i="9" s="1"/>
  <c r="BA243" i="11" s="1"/>
  <c r="G271" i="9"/>
  <c r="Q243" i="11" s="1"/>
  <c r="F271" i="9"/>
  <c r="AY243" i="11" s="1"/>
  <c r="M270" i="9"/>
  <c r="AR243" i="7" s="1"/>
  <c r="CA243" i="7" s="1"/>
  <c r="L270" i="9"/>
  <c r="BK242" i="7" s="1"/>
  <c r="CB242" i="7" s="1"/>
  <c r="CQ241" i="7" l="1"/>
  <c r="CC242" i="7"/>
  <c r="CS242" i="7"/>
  <c r="CU242" i="7" s="1"/>
  <c r="CY242" i="7" s="1"/>
  <c r="CZ242" i="7" s="1"/>
  <c r="I271" i="9"/>
  <c r="J271" i="9"/>
  <c r="R243" i="11" s="1"/>
  <c r="K271" i="9"/>
  <c r="O271" i="9"/>
  <c r="BL243" i="7"/>
  <c r="CF243" i="7" l="1"/>
  <c r="CH243" i="7" s="1"/>
  <c r="CI243" i="7" s="1"/>
  <c r="CK242" i="7"/>
  <c r="CQ242" i="7" s="1"/>
  <c r="CV243" i="7"/>
  <c r="CX243" i="7" s="1"/>
  <c r="L271" i="9"/>
  <c r="BK243" i="7" s="1"/>
  <c r="CB243" i="7" s="1"/>
  <c r="M271" i="9"/>
  <c r="AR244" i="7" s="1"/>
  <c r="CA244" i="7" s="1"/>
  <c r="F272" i="9"/>
  <c r="AY244" i="11" s="1"/>
  <c r="C272" i="9"/>
  <c r="E272" i="9" s="1"/>
  <c r="H272" i="9"/>
  <c r="BA244" i="11" s="1"/>
  <c r="G272" i="9"/>
  <c r="Q244" i="11" s="1"/>
  <c r="CH244" i="11" l="1"/>
  <c r="AA56" i="20" s="1"/>
  <c r="CJ244" i="11"/>
  <c r="AA76" i="20" s="1"/>
  <c r="CN242" i="7"/>
  <c r="I242" i="11" s="1"/>
  <c r="CC243" i="7"/>
  <c r="CS243" i="7"/>
  <c r="CU243" i="7" s="1"/>
  <c r="CY243" i="7" s="1"/>
  <c r="CZ243" i="7" s="1"/>
  <c r="K272" i="9"/>
  <c r="BL244" i="7"/>
  <c r="O272" i="9"/>
  <c r="J272" i="9"/>
  <c r="R244" i="11" s="1"/>
  <c r="I272" i="9"/>
  <c r="CF244" i="7" l="1"/>
  <c r="CH244" i="7" s="1"/>
  <c r="CI244" i="7" s="1"/>
  <c r="CK243" i="7"/>
  <c r="CN243" i="7" s="1"/>
  <c r="I243" i="11" s="1"/>
  <c r="CV244" i="7"/>
  <c r="CX244" i="7" s="1"/>
  <c r="M272" i="9"/>
  <c r="AR245" i="7" s="1"/>
  <c r="CA245" i="7" s="1"/>
  <c r="CC245" i="7" s="1"/>
  <c r="CK245" i="7" s="1"/>
  <c r="L272" i="9"/>
  <c r="BK244" i="7" s="1"/>
  <c r="CB244" i="7" s="1"/>
  <c r="CQ243" i="7" l="1"/>
  <c r="CC244" i="7"/>
  <c r="CK244" i="7" s="1"/>
  <c r="CQ244" i="7" s="1"/>
  <c r="CS244" i="7"/>
  <c r="CU244" i="7" s="1"/>
  <c r="CY244" i="7" s="1"/>
  <c r="CZ244" i="7" s="1"/>
  <c r="CQ245" i="7"/>
  <c r="CN245" i="7"/>
  <c r="CN244" i="7" l="1"/>
  <c r="I244" i="11" s="1"/>
  <c r="I245" i="11"/>
  <c r="C273" i="3" l="1"/>
  <c r="F273" i="3"/>
  <c r="AX245" i="11" s="1"/>
  <c r="G273" i="3"/>
  <c r="O245" i="11" s="1"/>
  <c r="H273" i="3" l="1"/>
  <c r="AZ245" i="11" s="1"/>
  <c r="E273" i="3"/>
  <c r="I273" i="3"/>
  <c r="J273" i="3"/>
  <c r="P245" i="11" s="1"/>
  <c r="K273" i="3"/>
  <c r="O273" i="3"/>
  <c r="AF245" i="2"/>
  <c r="AW245" i="11" s="1"/>
  <c r="AP245" i="2" l="1"/>
  <c r="BD245" i="2" s="1"/>
  <c r="BF245" i="2" s="1"/>
  <c r="BG245" i="2" s="1"/>
  <c r="M273" i="3"/>
  <c r="V246" i="2" s="1"/>
  <c r="AK246" i="2" s="1"/>
  <c r="BA246" i="2" s="1"/>
  <c r="L273" i="3"/>
  <c r="AE245" i="2" s="1"/>
  <c r="F274" i="3"/>
  <c r="AX246" i="11" s="1"/>
  <c r="C274" i="3"/>
  <c r="AR245" i="2" l="1"/>
  <c r="AS245" i="2" s="1"/>
  <c r="AL245" i="2"/>
  <c r="AZ245" i="2" s="1"/>
  <c r="H274" i="3"/>
  <c r="AZ246" i="11" s="1"/>
  <c r="E274" i="3"/>
  <c r="I274" i="3"/>
  <c r="K274" i="3"/>
  <c r="J274" i="3"/>
  <c r="P246" i="11" s="1"/>
  <c r="G274" i="3"/>
  <c r="O246" i="11" s="1"/>
  <c r="O274" i="3"/>
  <c r="AF246" i="2"/>
  <c r="AW246" i="11" s="1"/>
  <c r="AP246" i="2" l="1"/>
  <c r="AR246" i="2" s="1"/>
  <c r="AS246" i="2" s="1"/>
  <c r="C275" i="3"/>
  <c r="E275" i="3" s="1"/>
  <c r="F275" i="3"/>
  <c r="AX247" i="11" s="1"/>
  <c r="H275" i="3"/>
  <c r="AZ247" i="11" s="1"/>
  <c r="I275" i="3"/>
  <c r="L274" i="3"/>
  <c r="AE246" i="2" s="1"/>
  <c r="M274" i="3"/>
  <c r="V247" i="2" s="1"/>
  <c r="AK247" i="2" s="1"/>
  <c r="BA247" i="2" s="1"/>
  <c r="BD246" i="2" l="1"/>
  <c r="BF246" i="2" s="1"/>
  <c r="BG246" i="2" s="1"/>
  <c r="AL246" i="2"/>
  <c r="AF247" i="2"/>
  <c r="AW247" i="11" s="1"/>
  <c r="O275" i="3"/>
  <c r="J275" i="3"/>
  <c r="P247" i="11" s="1"/>
  <c r="K275" i="3"/>
  <c r="G275" i="3"/>
  <c r="O247" i="11" s="1"/>
  <c r="AP247" i="2" l="1"/>
  <c r="AR247" i="2" s="1"/>
  <c r="AS247" i="2" s="1"/>
  <c r="AM246" i="2"/>
  <c r="AT246" i="2" s="1"/>
  <c r="D246" i="11" s="1"/>
  <c r="AZ246" i="2"/>
  <c r="BB246" i="2" s="1"/>
  <c r="BH246" i="2" s="1"/>
  <c r="BI246" i="2" s="1"/>
  <c r="L275" i="3"/>
  <c r="AE247" i="2" s="1"/>
  <c r="M275" i="3"/>
  <c r="V248" i="2" s="1"/>
  <c r="AK248" i="2" s="1"/>
  <c r="BA248" i="2" s="1"/>
  <c r="F276" i="3"/>
  <c r="AX248" i="11" s="1"/>
  <c r="C276" i="3"/>
  <c r="I276" i="3"/>
  <c r="BD247" i="2" l="1"/>
  <c r="BF247" i="2" s="1"/>
  <c r="BG247" i="2" s="1"/>
  <c r="AW246" i="2"/>
  <c r="F246" i="11" s="1"/>
  <c r="L246" i="11" s="1"/>
  <c r="AL247" i="2"/>
  <c r="H276" i="3"/>
  <c r="AZ248" i="11" s="1"/>
  <c r="E276" i="3"/>
  <c r="K276" i="3"/>
  <c r="G276" i="3"/>
  <c r="O248" i="11" s="1"/>
  <c r="AF248" i="2"/>
  <c r="AW248" i="11" s="1"/>
  <c r="O276" i="3"/>
  <c r="J276" i="3"/>
  <c r="P248" i="11" s="1"/>
  <c r="AP248" i="2" l="1"/>
  <c r="AR248" i="2" s="1"/>
  <c r="AS248" i="2" s="1"/>
  <c r="AM247" i="2"/>
  <c r="AT247" i="2" s="1"/>
  <c r="D247" i="11" s="1"/>
  <c r="AZ247" i="2"/>
  <c r="BB247" i="2" s="1"/>
  <c r="BH247" i="2" s="1"/>
  <c r="BI247" i="2" s="1"/>
  <c r="F277" i="3"/>
  <c r="AX249" i="11" s="1"/>
  <c r="G277" i="3"/>
  <c r="O249" i="11" s="1"/>
  <c r="C277" i="3"/>
  <c r="L276" i="3"/>
  <c r="AE248" i="2" s="1"/>
  <c r="M276" i="3"/>
  <c r="V249" i="2" s="1"/>
  <c r="AK249" i="2" s="1"/>
  <c r="BA249" i="2" s="1"/>
  <c r="BD248" i="2" l="1"/>
  <c r="BF248" i="2" s="1"/>
  <c r="BG248" i="2" s="1"/>
  <c r="AW247" i="2"/>
  <c r="F247" i="11" s="1"/>
  <c r="L247" i="11" s="1"/>
  <c r="AL248" i="2"/>
  <c r="H277" i="3"/>
  <c r="AZ249" i="11" s="1"/>
  <c r="E277" i="3"/>
  <c r="K277" i="3"/>
  <c r="I277" i="3"/>
  <c r="J277" i="3"/>
  <c r="P249" i="11" s="1"/>
  <c r="O277" i="3"/>
  <c r="AF249" i="2"/>
  <c r="AW249" i="11" s="1"/>
  <c r="AP249" i="2" l="1"/>
  <c r="AR249" i="2" s="1"/>
  <c r="AS249" i="2" s="1"/>
  <c r="AM248" i="2"/>
  <c r="AT248" i="2" s="1"/>
  <c r="D248" i="11" s="1"/>
  <c r="AZ248" i="2"/>
  <c r="BB248" i="2" s="1"/>
  <c r="BH248" i="2" s="1"/>
  <c r="BI248" i="2" s="1"/>
  <c r="G278" i="3"/>
  <c r="O250" i="11" s="1"/>
  <c r="F278" i="3"/>
  <c r="AX250" i="11" s="1"/>
  <c r="C278" i="3"/>
  <c r="M277" i="3"/>
  <c r="V250" i="2" s="1"/>
  <c r="AK250" i="2" s="1"/>
  <c r="BA250" i="2" s="1"/>
  <c r="L277" i="3"/>
  <c r="AE249" i="2" s="1"/>
  <c r="BD249" i="2" l="1"/>
  <c r="BF249" i="2" s="1"/>
  <c r="BG249" i="2" s="1"/>
  <c r="AW248" i="2"/>
  <c r="F248" i="11" s="1"/>
  <c r="L248" i="11" s="1"/>
  <c r="AL249" i="2"/>
  <c r="H278" i="3"/>
  <c r="AZ250" i="11" s="1"/>
  <c r="E278" i="3"/>
  <c r="I278" i="3"/>
  <c r="J278" i="3"/>
  <c r="P250" i="11" s="1"/>
  <c r="AF250" i="2"/>
  <c r="AW250" i="11" s="1"/>
  <c r="O278" i="3"/>
  <c r="K278" i="3"/>
  <c r="AP250" i="2" l="1"/>
  <c r="AR250" i="2" s="1"/>
  <c r="AS250" i="2" s="1"/>
  <c r="AM249" i="2"/>
  <c r="AT249" i="2" s="1"/>
  <c r="D249" i="11" s="1"/>
  <c r="AZ249" i="2"/>
  <c r="BB249" i="2" s="1"/>
  <c r="BH249" i="2" s="1"/>
  <c r="BI249" i="2" s="1"/>
  <c r="L278" i="3"/>
  <c r="AE250" i="2" s="1"/>
  <c r="AL250" i="2" s="1"/>
  <c r="M278" i="3"/>
  <c r="V251" i="2" s="1"/>
  <c r="AK251" i="2" s="1"/>
  <c r="BA251" i="2" s="1"/>
  <c r="F279" i="3"/>
  <c r="AX251" i="11" s="1"/>
  <c r="G279" i="3"/>
  <c r="O251" i="11" s="1"/>
  <c r="C279" i="3"/>
  <c r="BD250" i="2" l="1"/>
  <c r="BF250" i="2" s="1"/>
  <c r="BG250" i="2" s="1"/>
  <c r="AM250" i="2"/>
  <c r="AT250" i="2" s="1"/>
  <c r="D250" i="11" s="1"/>
  <c r="AZ250" i="2"/>
  <c r="BB250" i="2" s="1"/>
  <c r="AW249" i="2"/>
  <c r="F249" i="11" s="1"/>
  <c r="L249" i="11" s="1"/>
  <c r="H279" i="3"/>
  <c r="AZ251" i="11" s="1"/>
  <c r="E279" i="3"/>
  <c r="K279" i="3"/>
  <c r="I279" i="3"/>
  <c r="J279" i="3"/>
  <c r="P251" i="11" s="1"/>
  <c r="O279" i="3"/>
  <c r="AF251" i="2"/>
  <c r="AW251" i="11" s="1"/>
  <c r="BH250" i="2" l="1"/>
  <c r="BI250" i="2" s="1"/>
  <c r="AP251" i="2"/>
  <c r="AR251" i="2" s="1"/>
  <c r="AS251" i="2" s="1"/>
  <c r="AW250" i="2"/>
  <c r="F250" i="11" s="1"/>
  <c r="L250" i="11" s="1"/>
  <c r="C280" i="3"/>
  <c r="E280" i="3" s="1"/>
  <c r="F280" i="3"/>
  <c r="AX252" i="11" s="1"/>
  <c r="G280" i="3"/>
  <c r="O252" i="11" s="1"/>
  <c r="M279" i="3"/>
  <c r="V252" i="2" s="1"/>
  <c r="AK252" i="2" s="1"/>
  <c r="BA252" i="2" s="1"/>
  <c r="L279" i="3"/>
  <c r="AE251" i="2" s="1"/>
  <c r="AL251" i="2" s="1"/>
  <c r="BD251" i="2" l="1"/>
  <c r="BF251" i="2" s="1"/>
  <c r="BG251" i="2" s="1"/>
  <c r="AM251" i="2"/>
  <c r="AT251" i="2" s="1"/>
  <c r="D251" i="11" s="1"/>
  <c r="AZ251" i="2"/>
  <c r="BB251" i="2" s="1"/>
  <c r="AF252" i="2"/>
  <c r="AW252" i="11" s="1"/>
  <c r="O280" i="3"/>
  <c r="H280" i="3"/>
  <c r="AZ252" i="11" s="1"/>
  <c r="BH251" i="2" l="1"/>
  <c r="BI251" i="2" s="1"/>
  <c r="AP252" i="2"/>
  <c r="AR252" i="2" s="1"/>
  <c r="AS252" i="2" s="1"/>
  <c r="AW251" i="2"/>
  <c r="F251" i="11" s="1"/>
  <c r="L251" i="11" s="1"/>
  <c r="K280" i="3"/>
  <c r="I280" i="3"/>
  <c r="J280" i="3"/>
  <c r="P252" i="11" s="1"/>
  <c r="BD252" i="2" l="1"/>
  <c r="BF252" i="2" s="1"/>
  <c r="BG252" i="2" s="1"/>
  <c r="L280" i="3"/>
  <c r="AE252" i="2" s="1"/>
  <c r="AL252" i="2" s="1"/>
  <c r="M280" i="3"/>
  <c r="V253" i="2" s="1"/>
  <c r="AK253" i="2" s="1"/>
  <c r="BA253" i="2" s="1"/>
  <c r="F281" i="3"/>
  <c r="AX253" i="11" s="1"/>
  <c r="C281" i="3"/>
  <c r="AM252" i="2" l="1"/>
  <c r="AT252" i="2" s="1"/>
  <c r="D252" i="11" s="1"/>
  <c r="AZ252" i="2"/>
  <c r="BB252" i="2" s="1"/>
  <c r="BH252" i="2" s="1"/>
  <c r="BI252" i="2" s="1"/>
  <c r="H281" i="3"/>
  <c r="AZ253" i="11" s="1"/>
  <c r="E281" i="3"/>
  <c r="K281" i="3"/>
  <c r="I281" i="3"/>
  <c r="J281" i="3"/>
  <c r="P253" i="11" s="1"/>
  <c r="AF253" i="2"/>
  <c r="AW253" i="11" s="1"/>
  <c r="O281" i="3"/>
  <c r="G281" i="3"/>
  <c r="O253" i="11" s="1"/>
  <c r="AP253" i="2" l="1"/>
  <c r="BD253" i="2" s="1"/>
  <c r="BF253" i="2" s="1"/>
  <c r="BG253" i="2" s="1"/>
  <c r="AW252" i="2"/>
  <c r="F252" i="11" s="1"/>
  <c r="L252" i="11" s="1"/>
  <c r="C282" i="3"/>
  <c r="F282" i="3"/>
  <c r="AX254" i="11" s="1"/>
  <c r="M281" i="3"/>
  <c r="V254" i="2" s="1"/>
  <c r="AK254" i="2" s="1"/>
  <c r="BA254" i="2" s="1"/>
  <c r="L281" i="3"/>
  <c r="AE253" i="2" s="1"/>
  <c r="AL253" i="2" s="1"/>
  <c r="AR253" i="2" l="1"/>
  <c r="AS253" i="2" s="1"/>
  <c r="AM253" i="2"/>
  <c r="AZ253" i="2"/>
  <c r="BB253" i="2" s="1"/>
  <c r="BH253" i="2" s="1"/>
  <c r="BI253" i="2" s="1"/>
  <c r="H282" i="3"/>
  <c r="AZ254" i="11" s="1"/>
  <c r="E282" i="3"/>
  <c r="J282" i="3"/>
  <c r="P254" i="11" s="1"/>
  <c r="K282" i="3"/>
  <c r="I282" i="3"/>
  <c r="G282" i="3"/>
  <c r="O254" i="11" s="1"/>
  <c r="AF254" i="2"/>
  <c r="AW254" i="11" s="1"/>
  <c r="O282" i="3"/>
  <c r="AT253" i="2" l="1"/>
  <c r="D253" i="11" s="1"/>
  <c r="AP254" i="2"/>
  <c r="AR254" i="2" s="1"/>
  <c r="AS254" i="2" s="1"/>
  <c r="M282" i="3"/>
  <c r="V255" i="2" s="1"/>
  <c r="AK255" i="2" s="1"/>
  <c r="BA255" i="2" s="1"/>
  <c r="L282" i="3"/>
  <c r="AE254" i="2" s="1"/>
  <c r="AL254" i="2" s="1"/>
  <c r="G283" i="3"/>
  <c r="O255" i="11" s="1"/>
  <c r="F283" i="3"/>
  <c r="AX255" i="11" s="1"/>
  <c r="I283" i="3"/>
  <c r="C283" i="3"/>
  <c r="K283" i="3"/>
  <c r="AW253" i="2" l="1"/>
  <c r="F253" i="11" s="1"/>
  <c r="L253" i="11" s="1"/>
  <c r="BD254" i="2"/>
  <c r="BF254" i="2" s="1"/>
  <c r="BG254" i="2" s="1"/>
  <c r="AM254" i="2"/>
  <c r="AT254" i="2" s="1"/>
  <c r="D254" i="11" s="1"/>
  <c r="AZ254" i="2"/>
  <c r="BB254" i="2" s="1"/>
  <c r="H283" i="3"/>
  <c r="AZ255" i="11" s="1"/>
  <c r="E283" i="3"/>
  <c r="L283" i="3" s="1"/>
  <c r="M283" i="3"/>
  <c r="V256" i="2" s="1"/>
  <c r="AK256" i="2" s="1"/>
  <c r="BA256" i="2" s="1"/>
  <c r="J283" i="3"/>
  <c r="P255" i="11" s="1"/>
  <c r="AF255" i="2"/>
  <c r="AW255" i="11" s="1"/>
  <c r="O283" i="3"/>
  <c r="BH254" i="2" l="1"/>
  <c r="BI254" i="2" s="1"/>
  <c r="AP255" i="2"/>
  <c r="AR255" i="2" s="1"/>
  <c r="AS255" i="2" s="1"/>
  <c r="AW254" i="2"/>
  <c r="F254" i="11" s="1"/>
  <c r="L254" i="11" s="1"/>
  <c r="AE255" i="2"/>
  <c r="AL255" i="2" s="1"/>
  <c r="C284" i="3"/>
  <c r="E284" i="3" s="1"/>
  <c r="F284" i="3"/>
  <c r="AX256" i="11" s="1"/>
  <c r="BD255" i="2" l="1"/>
  <c r="BF255" i="2" s="1"/>
  <c r="BG255" i="2" s="1"/>
  <c r="CG256" i="11"/>
  <c r="AB55" i="20" s="1"/>
  <c r="AB57" i="20" s="1"/>
  <c r="AM255" i="2"/>
  <c r="AT255" i="2" s="1"/>
  <c r="D255" i="11" s="1"/>
  <c r="AZ255" i="2"/>
  <c r="BB255" i="2" s="1"/>
  <c r="AF256" i="2"/>
  <c r="O284" i="3"/>
  <c r="H284" i="3"/>
  <c r="AZ256" i="11" s="1"/>
  <c r="G284" i="3"/>
  <c r="O256" i="11" s="1"/>
  <c r="BH255" i="2" l="1"/>
  <c r="BI255" i="2" s="1"/>
  <c r="AW256" i="11"/>
  <c r="CF256" i="11" s="1"/>
  <c r="AB51" i="20" s="1"/>
  <c r="AB52" i="20" s="1"/>
  <c r="AB53" i="20" s="1"/>
  <c r="CI256" i="11"/>
  <c r="AB75" i="20" s="1"/>
  <c r="AB77" i="20" s="1"/>
  <c r="AB78" i="20" s="1"/>
  <c r="AW255" i="2"/>
  <c r="F255" i="11" s="1"/>
  <c r="L255" i="11" s="1"/>
  <c r="AP256" i="2"/>
  <c r="J284" i="3"/>
  <c r="P256" i="11" s="1"/>
  <c r="I284" i="3"/>
  <c r="K284" i="3"/>
  <c r="AB58" i="20" l="1"/>
  <c r="AB59" i="20" s="1"/>
  <c r="AB68" i="20"/>
  <c r="AB69" i="20" s="1"/>
  <c r="AB79" i="20" s="1"/>
  <c r="AB81" i="20" s="1"/>
  <c r="AR256" i="2"/>
  <c r="AS256" i="2" s="1"/>
  <c r="BD256" i="2"/>
  <c r="BF256" i="2" s="1"/>
  <c r="BG256" i="2" s="1"/>
  <c r="L284" i="3"/>
  <c r="AE256" i="2" s="1"/>
  <c r="M284" i="3"/>
  <c r="V257" i="2" s="1"/>
  <c r="AK257" i="2" s="1"/>
  <c r="BA257" i="2" s="1"/>
  <c r="F285" i="3"/>
  <c r="AX257" i="11" s="1"/>
  <c r="C285" i="3"/>
  <c r="E285" i="3" s="1"/>
  <c r="H285" i="3"/>
  <c r="AZ257" i="11" s="1"/>
  <c r="AL256" i="2" l="1"/>
  <c r="O254" i="19"/>
  <c r="I285" i="3"/>
  <c r="J285" i="3"/>
  <c r="P257" i="11" s="1"/>
  <c r="AF257" i="2"/>
  <c r="AW257" i="11" s="1"/>
  <c r="O285" i="3"/>
  <c r="K285" i="3"/>
  <c r="G285" i="3"/>
  <c r="O257" i="11" s="1"/>
  <c r="AP257" i="2" l="1"/>
  <c r="AR257" i="2" s="1"/>
  <c r="AS257" i="2" s="1"/>
  <c r="AM256" i="2"/>
  <c r="AT256" i="2" s="1"/>
  <c r="D256" i="11" s="1"/>
  <c r="AZ256" i="2"/>
  <c r="BB256" i="2" s="1"/>
  <c r="BH256" i="2" s="1"/>
  <c r="BI256" i="2" s="1"/>
  <c r="C286" i="3"/>
  <c r="E286" i="3" s="1"/>
  <c r="G286" i="3"/>
  <c r="O258" i="11" s="1"/>
  <c r="F286" i="3"/>
  <c r="AX258" i="11" s="1"/>
  <c r="H286" i="3"/>
  <c r="AZ258" i="11" s="1"/>
  <c r="I286" i="3"/>
  <c r="M285" i="3"/>
  <c r="V258" i="2" s="1"/>
  <c r="AK258" i="2" s="1"/>
  <c r="BA258" i="2" s="1"/>
  <c r="L285" i="3"/>
  <c r="AE257" i="2" s="1"/>
  <c r="BD257" i="2" l="1"/>
  <c r="BF257" i="2" s="1"/>
  <c r="BG257" i="2" s="1"/>
  <c r="AW256" i="2"/>
  <c r="F256" i="11" s="1"/>
  <c r="L256" i="11" s="1"/>
  <c r="AL257" i="2"/>
  <c r="AF258" i="2"/>
  <c r="AW258" i="11" s="1"/>
  <c r="O286" i="3"/>
  <c r="K286" i="3"/>
  <c r="J286" i="3"/>
  <c r="P258" i="11" s="1"/>
  <c r="AP258" i="2" l="1"/>
  <c r="AR258" i="2" s="1"/>
  <c r="AS258" i="2" s="1"/>
  <c r="AM257" i="2"/>
  <c r="AT257" i="2" s="1"/>
  <c r="D257" i="11" s="1"/>
  <c r="AZ257" i="2"/>
  <c r="BB257" i="2" s="1"/>
  <c r="BH257" i="2" s="1"/>
  <c r="BI257" i="2" s="1"/>
  <c r="G287" i="3"/>
  <c r="O259" i="11" s="1"/>
  <c r="F287" i="3"/>
  <c r="AX259" i="11" s="1"/>
  <c r="C287" i="3"/>
  <c r="M286" i="3"/>
  <c r="V259" i="2" s="1"/>
  <c r="AK259" i="2" s="1"/>
  <c r="BA259" i="2" s="1"/>
  <c r="L286" i="3"/>
  <c r="AE258" i="2" s="1"/>
  <c r="BD258" i="2" l="1"/>
  <c r="BF258" i="2" s="1"/>
  <c r="BG258" i="2" s="1"/>
  <c r="AW257" i="2"/>
  <c r="F257" i="11" s="1"/>
  <c r="L257" i="11" s="1"/>
  <c r="AL258" i="2"/>
  <c r="H287" i="3"/>
  <c r="AZ259" i="11" s="1"/>
  <c r="E287" i="3"/>
  <c r="K287" i="3"/>
  <c r="I287" i="3"/>
  <c r="J287" i="3"/>
  <c r="P259" i="11" s="1"/>
  <c r="O287" i="3"/>
  <c r="AF259" i="2"/>
  <c r="AW259" i="11" s="1"/>
  <c r="AP259" i="2" l="1"/>
  <c r="AR259" i="2" s="1"/>
  <c r="AS259" i="2" s="1"/>
  <c r="AM258" i="2"/>
  <c r="AT258" i="2" s="1"/>
  <c r="D258" i="11" s="1"/>
  <c r="AZ258" i="2"/>
  <c r="BB258" i="2" s="1"/>
  <c r="BH258" i="2" s="1"/>
  <c r="BI258" i="2" s="1"/>
  <c r="L287" i="3"/>
  <c r="AE259" i="2" s="1"/>
  <c r="M287" i="3"/>
  <c r="V260" i="2" s="1"/>
  <c r="AK260" i="2" s="1"/>
  <c r="BA260" i="2" s="1"/>
  <c r="F288" i="3"/>
  <c r="AX260" i="11" s="1"/>
  <c r="C288" i="3"/>
  <c r="E288" i="3" s="1"/>
  <c r="BD259" i="2" l="1"/>
  <c r="BF259" i="2" s="1"/>
  <c r="BG259" i="2" s="1"/>
  <c r="G288" i="3"/>
  <c r="O260" i="11" s="1"/>
  <c r="AW258" i="2"/>
  <c r="F258" i="11" s="1"/>
  <c r="L258" i="11" s="1"/>
  <c r="AL259" i="2"/>
  <c r="O288" i="3"/>
  <c r="AF260" i="2"/>
  <c r="AW260" i="11" s="1"/>
  <c r="H288" i="3"/>
  <c r="AZ260" i="11" s="1"/>
  <c r="AP260" i="2" l="1"/>
  <c r="BD260" i="2" s="1"/>
  <c r="BF260" i="2" s="1"/>
  <c r="BG260" i="2" s="1"/>
  <c r="AM259" i="2"/>
  <c r="AT259" i="2" s="1"/>
  <c r="D259" i="11" s="1"/>
  <c r="AZ259" i="2"/>
  <c r="BB259" i="2" s="1"/>
  <c r="BH259" i="2" s="1"/>
  <c r="BI259" i="2" s="1"/>
  <c r="K288" i="3"/>
  <c r="I288" i="3"/>
  <c r="J288" i="3"/>
  <c r="P260" i="11" s="1"/>
  <c r="AR260" i="2" l="1"/>
  <c r="AS260" i="2" s="1"/>
  <c r="AW259" i="2"/>
  <c r="F259" i="11" s="1"/>
  <c r="L259" i="11" s="1"/>
  <c r="M288" i="3"/>
  <c r="V261" i="2" s="1"/>
  <c r="AK261" i="2" s="1"/>
  <c r="BA261" i="2" s="1"/>
  <c r="L288" i="3"/>
  <c r="AE260" i="2" s="1"/>
  <c r="F289" i="3"/>
  <c r="AX261" i="11" s="1"/>
  <c r="G289" i="3"/>
  <c r="O261" i="11" s="1"/>
  <c r="C289" i="3"/>
  <c r="AL260" i="2" l="1"/>
  <c r="H289" i="3"/>
  <c r="AZ261" i="11" s="1"/>
  <c r="E289" i="3"/>
  <c r="J289" i="3"/>
  <c r="P261" i="11" s="1"/>
  <c r="K289" i="3"/>
  <c r="I289" i="3"/>
  <c r="O289" i="3"/>
  <c r="AF261" i="2"/>
  <c r="AW261" i="11" s="1"/>
  <c r="AP261" i="2" l="1"/>
  <c r="AR261" i="2" s="1"/>
  <c r="AS261" i="2" s="1"/>
  <c r="AM260" i="2"/>
  <c r="AT260" i="2" s="1"/>
  <c r="D260" i="11" s="1"/>
  <c r="AZ260" i="2"/>
  <c r="BB260" i="2" s="1"/>
  <c r="BH260" i="2" s="1"/>
  <c r="BI260" i="2" s="1"/>
  <c r="C290" i="3"/>
  <c r="F290" i="3"/>
  <c r="AX262" i="11" s="1"/>
  <c r="M289" i="3"/>
  <c r="V262" i="2" s="1"/>
  <c r="AK262" i="2" s="1"/>
  <c r="BA262" i="2" s="1"/>
  <c r="L289" i="3"/>
  <c r="AE261" i="2" s="1"/>
  <c r="BD261" i="2" l="1"/>
  <c r="BF261" i="2" s="1"/>
  <c r="BG261" i="2" s="1"/>
  <c r="AW260" i="2"/>
  <c r="F260" i="11" s="1"/>
  <c r="L260" i="11" s="1"/>
  <c r="AL261" i="2"/>
  <c r="H290" i="3"/>
  <c r="AZ262" i="11" s="1"/>
  <c r="E290" i="3"/>
  <c r="J290" i="3"/>
  <c r="P262" i="11" s="1"/>
  <c r="I290" i="3"/>
  <c r="K290" i="3"/>
  <c r="AF262" i="2"/>
  <c r="AW262" i="11" s="1"/>
  <c r="O290" i="3"/>
  <c r="G290" i="3"/>
  <c r="O262" i="11" s="1"/>
  <c r="AP262" i="2" l="1"/>
  <c r="AR262" i="2" s="1"/>
  <c r="AS262" i="2" s="1"/>
  <c r="AM261" i="2"/>
  <c r="AT261" i="2" s="1"/>
  <c r="D261" i="11" s="1"/>
  <c r="AZ261" i="2"/>
  <c r="BB261" i="2" s="1"/>
  <c r="BH261" i="2" s="1"/>
  <c r="BI261" i="2" s="1"/>
  <c r="L290" i="3"/>
  <c r="AE262" i="2" s="1"/>
  <c r="AL262" i="2" s="1"/>
  <c r="M290" i="3"/>
  <c r="V263" i="2" s="1"/>
  <c r="AK263" i="2" s="1"/>
  <c r="BA263" i="2" s="1"/>
  <c r="C291" i="3"/>
  <c r="I291" i="3"/>
  <c r="G291" i="3"/>
  <c r="O263" i="11" s="1"/>
  <c r="F291" i="3"/>
  <c r="AX263" i="11" s="1"/>
  <c r="J291" i="3"/>
  <c r="P263" i="11" s="1"/>
  <c r="K291" i="3"/>
  <c r="BD262" i="2" l="1"/>
  <c r="BF262" i="2" s="1"/>
  <c r="BG262" i="2" s="1"/>
  <c r="AW261" i="2"/>
  <c r="F261" i="11" s="1"/>
  <c r="L261" i="11" s="1"/>
  <c r="AM262" i="2"/>
  <c r="AT262" i="2" s="1"/>
  <c r="D262" i="11" s="1"/>
  <c r="AZ262" i="2"/>
  <c r="BB262" i="2" s="1"/>
  <c r="H291" i="3"/>
  <c r="AZ263" i="11" s="1"/>
  <c r="E291" i="3"/>
  <c r="L291" i="3" s="1"/>
  <c r="M291" i="3"/>
  <c r="V264" i="2" s="1"/>
  <c r="AK264" i="2" s="1"/>
  <c r="BA264" i="2" s="1"/>
  <c r="G292" i="3"/>
  <c r="O264" i="11" s="1"/>
  <c r="C292" i="3"/>
  <c r="F292" i="3"/>
  <c r="AX264" i="11" s="1"/>
  <c r="AF263" i="2"/>
  <c r="AW263" i="11" s="1"/>
  <c r="O291" i="3"/>
  <c r="BH262" i="2" l="1"/>
  <c r="BI262" i="2" s="1"/>
  <c r="AP263" i="2"/>
  <c r="AR263" i="2" s="1"/>
  <c r="AS263" i="2" s="1"/>
  <c r="AW262" i="2"/>
  <c r="F262" i="11" s="1"/>
  <c r="L262" i="11" s="1"/>
  <c r="AE263" i="2"/>
  <c r="AL263" i="2" s="1"/>
  <c r="H292" i="3"/>
  <c r="AZ264" i="11" s="1"/>
  <c r="E292" i="3"/>
  <c r="J292" i="3"/>
  <c r="P264" i="11" s="1"/>
  <c r="K292" i="3"/>
  <c r="I292" i="3"/>
  <c r="O292" i="3"/>
  <c r="AF264" i="2"/>
  <c r="AW264" i="11" s="1"/>
  <c r="BD263" i="2" l="1"/>
  <c r="BF263" i="2" s="1"/>
  <c r="BG263" i="2" s="1"/>
  <c r="AP264" i="2"/>
  <c r="AR264" i="2" s="1"/>
  <c r="AS264" i="2" s="1"/>
  <c r="AM263" i="2"/>
  <c r="AT263" i="2" s="1"/>
  <c r="D263" i="11" s="1"/>
  <c r="AZ263" i="2"/>
  <c r="BB263" i="2" s="1"/>
  <c r="F293" i="3"/>
  <c r="AX265" i="11" s="1"/>
  <c r="C293" i="3"/>
  <c r="M292" i="3"/>
  <c r="V265" i="2" s="1"/>
  <c r="AK265" i="2" s="1"/>
  <c r="BA265" i="2" s="1"/>
  <c r="L292" i="3"/>
  <c r="AE264" i="2" s="1"/>
  <c r="AL264" i="2" s="1"/>
  <c r="BH263" i="2" l="1"/>
  <c r="BI263" i="2" s="1"/>
  <c r="BD264" i="2"/>
  <c r="BF264" i="2" s="1"/>
  <c r="BG264" i="2" s="1"/>
  <c r="AW263" i="2"/>
  <c r="F263" i="11" s="1"/>
  <c r="L263" i="11" s="1"/>
  <c r="AM264" i="2"/>
  <c r="AT264" i="2" s="1"/>
  <c r="D264" i="11" s="1"/>
  <c r="AZ264" i="2"/>
  <c r="BB264" i="2" s="1"/>
  <c r="H293" i="3"/>
  <c r="AZ265" i="11" s="1"/>
  <c r="E293" i="3"/>
  <c r="K293" i="3"/>
  <c r="I293" i="3"/>
  <c r="G293" i="3"/>
  <c r="O265" i="11" s="1"/>
  <c r="AF265" i="2"/>
  <c r="AW265" i="11" s="1"/>
  <c r="O293" i="3"/>
  <c r="J293" i="3"/>
  <c r="P265" i="11" s="1"/>
  <c r="BH264" i="2" l="1"/>
  <c r="BI264" i="2" s="1"/>
  <c r="AP265" i="2"/>
  <c r="AR265" i="2" s="1"/>
  <c r="AS265" i="2" s="1"/>
  <c r="AW264" i="2"/>
  <c r="F264" i="11" s="1"/>
  <c r="L264" i="11" s="1"/>
  <c r="C294" i="3"/>
  <c r="E294" i="3" s="1"/>
  <c r="F294" i="3"/>
  <c r="AX266" i="11" s="1"/>
  <c r="H294" i="3"/>
  <c r="AZ266" i="11" s="1"/>
  <c r="G294" i="3"/>
  <c r="O266" i="11" s="1"/>
  <c r="K294" i="3"/>
  <c r="M293" i="3"/>
  <c r="V266" i="2" s="1"/>
  <c r="AK266" i="2" s="1"/>
  <c r="BA266" i="2" s="1"/>
  <c r="L293" i="3"/>
  <c r="AE265" i="2" s="1"/>
  <c r="AL265" i="2" s="1"/>
  <c r="BD265" i="2" l="1"/>
  <c r="BF265" i="2" s="1"/>
  <c r="BG265" i="2" s="1"/>
  <c r="AM265" i="2"/>
  <c r="AT265" i="2" s="1"/>
  <c r="D265" i="11" s="1"/>
  <c r="AZ265" i="2"/>
  <c r="BB265" i="2" s="1"/>
  <c r="I294" i="3"/>
  <c r="AF266" i="2"/>
  <c r="AW266" i="11" s="1"/>
  <c r="O294" i="3"/>
  <c r="M294" i="3"/>
  <c r="V267" i="2" s="1"/>
  <c r="AK267" i="2" s="1"/>
  <c r="BA267" i="2" s="1"/>
  <c r="L294" i="3"/>
  <c r="AE266" i="2" s="1"/>
  <c r="J294" i="3"/>
  <c r="P266" i="11" s="1"/>
  <c r="BH265" i="2" l="1"/>
  <c r="BI265" i="2" s="1"/>
  <c r="AP266" i="2"/>
  <c r="AR266" i="2" s="1"/>
  <c r="AS266" i="2" s="1"/>
  <c r="AW265" i="2"/>
  <c r="F265" i="11" s="1"/>
  <c r="L265" i="11" s="1"/>
  <c r="G295" i="3"/>
  <c r="O267" i="11" s="1"/>
  <c r="F295" i="3"/>
  <c r="AX267" i="11" s="1"/>
  <c r="C295" i="3"/>
  <c r="E295" i="3" s="1"/>
  <c r="H295" i="3"/>
  <c r="AZ267" i="11" s="1"/>
  <c r="AL266" i="2"/>
  <c r="BD266" i="2" l="1"/>
  <c r="BF266" i="2" s="1"/>
  <c r="BG266" i="2" s="1"/>
  <c r="AM266" i="2"/>
  <c r="AT266" i="2" s="1"/>
  <c r="D266" i="11" s="1"/>
  <c r="AZ266" i="2"/>
  <c r="BB266" i="2" s="1"/>
  <c r="K295" i="3"/>
  <c r="I295" i="3"/>
  <c r="O295" i="3"/>
  <c r="AF267" i="2"/>
  <c r="AW267" i="11" s="1"/>
  <c r="J295" i="3"/>
  <c r="P267" i="11" s="1"/>
  <c r="BH266" i="2" l="1"/>
  <c r="BI266" i="2" s="1"/>
  <c r="AP267" i="2"/>
  <c r="BD267" i="2" s="1"/>
  <c r="BF267" i="2" s="1"/>
  <c r="BG267" i="2" s="1"/>
  <c r="AW266" i="2"/>
  <c r="F266" i="11" s="1"/>
  <c r="L266" i="11" s="1"/>
  <c r="F296" i="3"/>
  <c r="AX268" i="11" s="1"/>
  <c r="C296" i="3"/>
  <c r="M295" i="3"/>
  <c r="V268" i="2" s="1"/>
  <c r="AK268" i="2" s="1"/>
  <c r="BA268" i="2" s="1"/>
  <c r="L295" i="3"/>
  <c r="AE267" i="2" s="1"/>
  <c r="AL267" i="2" s="1"/>
  <c r="AR267" i="2" l="1"/>
  <c r="AS267" i="2" s="1"/>
  <c r="CG268" i="11"/>
  <c r="AC55" i="20" s="1"/>
  <c r="AC57" i="20" s="1"/>
  <c r="AM267" i="2"/>
  <c r="AZ267" i="2"/>
  <c r="BB267" i="2" s="1"/>
  <c r="BH267" i="2" s="1"/>
  <c r="BI267" i="2" s="1"/>
  <c r="H296" i="3"/>
  <c r="AZ268" i="11" s="1"/>
  <c r="E296" i="3"/>
  <c r="J296" i="3"/>
  <c r="P268" i="11" s="1"/>
  <c r="G296" i="3"/>
  <c r="O268" i="11" s="1"/>
  <c r="AF268" i="2"/>
  <c r="O296" i="3"/>
  <c r="K296" i="3"/>
  <c r="I296" i="3"/>
  <c r="AT267" i="2" l="1"/>
  <c r="D267" i="11" s="1"/>
  <c r="AW268" i="11"/>
  <c r="CF268" i="11" s="1"/>
  <c r="AC51" i="20" s="1"/>
  <c r="AC52" i="20" s="1"/>
  <c r="AC53" i="20" s="1"/>
  <c r="CI268" i="11"/>
  <c r="AC75" i="20" s="1"/>
  <c r="AC77" i="20" s="1"/>
  <c r="AC78" i="20" s="1"/>
  <c r="AP268" i="2"/>
  <c r="L296" i="3"/>
  <c r="AE268" i="2" s="1"/>
  <c r="AL268" i="2" s="1"/>
  <c r="M296" i="3"/>
  <c r="V269" i="2" s="1"/>
  <c r="AK269" i="2" s="1"/>
  <c r="BA269" i="2" s="1"/>
  <c r="F297" i="3"/>
  <c r="AX269" i="11" s="1"/>
  <c r="C297" i="3"/>
  <c r="AW267" i="2" l="1"/>
  <c r="F267" i="11" s="1"/>
  <c r="L267" i="11" s="1"/>
  <c r="AC58" i="20"/>
  <c r="AC59" i="20" s="1"/>
  <c r="AC68" i="20"/>
  <c r="AC69" i="20" s="1"/>
  <c r="AC79" i="20" s="1"/>
  <c r="AC81" i="20" s="1"/>
  <c r="AR268" i="2"/>
  <c r="AS268" i="2" s="1"/>
  <c r="BD268" i="2"/>
  <c r="BF268" i="2" s="1"/>
  <c r="BG268" i="2" s="1"/>
  <c r="AM268" i="2"/>
  <c r="AZ268" i="2"/>
  <c r="BB268" i="2" s="1"/>
  <c r="O266" i="19"/>
  <c r="H297" i="3"/>
  <c r="AZ269" i="11" s="1"/>
  <c r="E297" i="3"/>
  <c r="I297" i="3"/>
  <c r="J297" i="3"/>
  <c r="P269" i="11" s="1"/>
  <c r="K297" i="3"/>
  <c r="G297" i="3"/>
  <c r="O269" i="11" s="1"/>
  <c r="O297" i="3"/>
  <c r="AF269" i="2"/>
  <c r="AW269" i="11" s="1"/>
  <c r="AP269" i="2" l="1"/>
  <c r="AR269" i="2" s="1"/>
  <c r="AS269" i="2" s="1"/>
  <c r="AT268" i="2"/>
  <c r="D268" i="11" s="1"/>
  <c r="BH268" i="2"/>
  <c r="BI268" i="2" s="1"/>
  <c r="L297" i="3"/>
  <c r="AE269" i="2" s="1"/>
  <c r="M297" i="3"/>
  <c r="V270" i="2" s="1"/>
  <c r="AK270" i="2" s="1"/>
  <c r="BA270" i="2" s="1"/>
  <c r="G298" i="3"/>
  <c r="O270" i="11" s="1"/>
  <c r="C298" i="3"/>
  <c r="F298" i="3"/>
  <c r="AX270" i="11" s="1"/>
  <c r="BD269" i="2" l="1"/>
  <c r="BF269" i="2" s="1"/>
  <c r="BG269" i="2" s="1"/>
  <c r="AW268" i="2"/>
  <c r="F268" i="11" s="1"/>
  <c r="L268" i="11" s="1"/>
  <c r="AL269" i="2"/>
  <c r="H298" i="3"/>
  <c r="AZ270" i="11" s="1"/>
  <c r="E298" i="3"/>
  <c r="J298" i="3"/>
  <c r="P270" i="11" s="1"/>
  <c r="K298" i="3"/>
  <c r="O298" i="3"/>
  <c r="AF270" i="2"/>
  <c r="AW270" i="11" s="1"/>
  <c r="I298" i="3"/>
  <c r="AP270" i="2" l="1"/>
  <c r="AR270" i="2" s="1"/>
  <c r="AS270" i="2" s="1"/>
  <c r="AM269" i="2"/>
  <c r="AT269" i="2" s="1"/>
  <c r="D269" i="11" s="1"/>
  <c r="AZ269" i="2"/>
  <c r="BB269" i="2" s="1"/>
  <c r="BH269" i="2" s="1"/>
  <c r="BI269" i="2" s="1"/>
  <c r="L298" i="3"/>
  <c r="AE270" i="2" s="1"/>
  <c r="M298" i="3"/>
  <c r="V271" i="2" s="1"/>
  <c r="AK271" i="2" s="1"/>
  <c r="BA271" i="2" s="1"/>
  <c r="F299" i="3"/>
  <c r="AX271" i="11" s="1"/>
  <c r="C299" i="3"/>
  <c r="G299" i="3"/>
  <c r="O271" i="11" s="1"/>
  <c r="I299" i="3"/>
  <c r="BD270" i="2" l="1"/>
  <c r="BF270" i="2" s="1"/>
  <c r="BG270" i="2" s="1"/>
  <c r="AW269" i="2"/>
  <c r="F269" i="11" s="1"/>
  <c r="L269" i="11" s="1"/>
  <c r="AL270" i="2"/>
  <c r="H299" i="3"/>
  <c r="AZ271" i="11" s="1"/>
  <c r="E299" i="3"/>
  <c r="J299" i="3"/>
  <c r="P271" i="11" s="1"/>
  <c r="K299" i="3"/>
  <c r="AF271" i="2"/>
  <c r="AW271" i="11" s="1"/>
  <c r="O299" i="3"/>
  <c r="AP271" i="2" l="1"/>
  <c r="BD271" i="2" s="1"/>
  <c r="BF271" i="2" s="1"/>
  <c r="BG271" i="2" s="1"/>
  <c r="AM270" i="2"/>
  <c r="AT270" i="2" s="1"/>
  <c r="D270" i="11" s="1"/>
  <c r="AZ270" i="2"/>
  <c r="BB270" i="2" s="1"/>
  <c r="BH270" i="2" s="1"/>
  <c r="BI270" i="2" s="1"/>
  <c r="F300" i="3"/>
  <c r="AX272" i="11" s="1"/>
  <c r="C300" i="3"/>
  <c r="E300" i="3" s="1"/>
  <c r="M299" i="3"/>
  <c r="V272" i="2" s="1"/>
  <c r="AK272" i="2" s="1"/>
  <c r="BA272" i="2" s="1"/>
  <c r="L299" i="3"/>
  <c r="AE271" i="2" s="1"/>
  <c r="AR271" i="2" l="1"/>
  <c r="AS271" i="2" s="1"/>
  <c r="AW270" i="2"/>
  <c r="F270" i="11" s="1"/>
  <c r="L270" i="11" s="1"/>
  <c r="AL271" i="2"/>
  <c r="O300" i="3"/>
  <c r="AF272" i="2"/>
  <c r="AW272" i="11" s="1"/>
  <c r="H300" i="3"/>
  <c r="AZ272" i="11" s="1"/>
  <c r="G300" i="3"/>
  <c r="O272" i="11" s="1"/>
  <c r="AP272" i="2" l="1"/>
  <c r="AR272" i="2" s="1"/>
  <c r="AS272" i="2" s="1"/>
  <c r="AM271" i="2"/>
  <c r="AT271" i="2" s="1"/>
  <c r="D271" i="11" s="1"/>
  <c r="AZ271" i="2"/>
  <c r="BB271" i="2" s="1"/>
  <c r="BH271" i="2" s="1"/>
  <c r="BI271" i="2" s="1"/>
  <c r="K300" i="3"/>
  <c r="J300" i="3"/>
  <c r="P272" i="11" s="1"/>
  <c r="I300" i="3"/>
  <c r="BD272" i="2" l="1"/>
  <c r="BF272" i="2" s="1"/>
  <c r="BG272" i="2" s="1"/>
  <c r="AW271" i="2"/>
  <c r="F271" i="11" s="1"/>
  <c r="L271" i="11" s="1"/>
  <c r="L300" i="3"/>
  <c r="AE272" i="2" s="1"/>
  <c r="M300" i="3"/>
  <c r="V273" i="2" s="1"/>
  <c r="AK273" i="2" s="1"/>
  <c r="BA273" i="2" s="1"/>
  <c r="C301" i="3"/>
  <c r="G301" i="3"/>
  <c r="O273" i="11" s="1"/>
  <c r="F301" i="3"/>
  <c r="AX273" i="11" s="1"/>
  <c r="AL272" i="2" l="1"/>
  <c r="H301" i="3"/>
  <c r="AZ273" i="11" s="1"/>
  <c r="E301" i="3"/>
  <c r="J301" i="3"/>
  <c r="P273" i="11" s="1"/>
  <c r="I301" i="3"/>
  <c r="K301" i="3"/>
  <c r="AF273" i="2"/>
  <c r="AW273" i="11" s="1"/>
  <c r="O301" i="3"/>
  <c r="AP273" i="2" l="1"/>
  <c r="BD273" i="2" s="1"/>
  <c r="BF273" i="2" s="1"/>
  <c r="BG273" i="2" s="1"/>
  <c r="AM272" i="2"/>
  <c r="AT272" i="2" s="1"/>
  <c r="D272" i="11" s="1"/>
  <c r="AZ272" i="2"/>
  <c r="BB272" i="2" s="1"/>
  <c r="BH272" i="2" s="1"/>
  <c r="BI272" i="2" s="1"/>
  <c r="M301" i="3"/>
  <c r="V274" i="2" s="1"/>
  <c r="AK274" i="2" s="1"/>
  <c r="BA274" i="2" s="1"/>
  <c r="L301" i="3"/>
  <c r="AE273" i="2" s="1"/>
  <c r="G302" i="3"/>
  <c r="O274" i="11" s="1"/>
  <c r="F302" i="3"/>
  <c r="AX274" i="11" s="1"/>
  <c r="C302" i="3"/>
  <c r="I302" i="3"/>
  <c r="K302" i="3"/>
  <c r="AR273" i="2" l="1"/>
  <c r="AS273" i="2" s="1"/>
  <c r="AW272" i="2"/>
  <c r="F272" i="11" s="1"/>
  <c r="L272" i="11" s="1"/>
  <c r="AL273" i="2"/>
  <c r="H302" i="3"/>
  <c r="AZ274" i="11" s="1"/>
  <c r="E302" i="3"/>
  <c r="L302" i="3" s="1"/>
  <c r="M302" i="3"/>
  <c r="V275" i="2" s="1"/>
  <c r="AK275" i="2" s="1"/>
  <c r="BA275" i="2" s="1"/>
  <c r="J302" i="3"/>
  <c r="P274" i="11" s="1"/>
  <c r="AF274" i="2"/>
  <c r="AW274" i="11" s="1"/>
  <c r="O302" i="3"/>
  <c r="AP274" i="2" l="1"/>
  <c r="AR274" i="2" s="1"/>
  <c r="AS274" i="2" s="1"/>
  <c r="AM273" i="2"/>
  <c r="AT273" i="2" s="1"/>
  <c r="D273" i="11" s="1"/>
  <c r="AZ273" i="2"/>
  <c r="BB273" i="2" s="1"/>
  <c r="BH273" i="2" s="1"/>
  <c r="BI273" i="2" s="1"/>
  <c r="AE274" i="2"/>
  <c r="AL274" i="2" s="1"/>
  <c r="F303" i="3"/>
  <c r="AX275" i="11" s="1"/>
  <c r="C303" i="3"/>
  <c r="E303" i="3" s="1"/>
  <c r="G303" i="3"/>
  <c r="O275" i="11" s="1"/>
  <c r="BD274" i="2" l="1"/>
  <c r="BF274" i="2" s="1"/>
  <c r="BG274" i="2" s="1"/>
  <c r="AW273" i="2"/>
  <c r="F273" i="11" s="1"/>
  <c r="L273" i="11" s="1"/>
  <c r="AM274" i="2"/>
  <c r="AT274" i="2" s="1"/>
  <c r="D274" i="11" s="1"/>
  <c r="AZ274" i="2"/>
  <c r="BB274" i="2" s="1"/>
  <c r="AF275" i="2"/>
  <c r="AW275" i="11" s="1"/>
  <c r="O303" i="3"/>
  <c r="H303" i="3"/>
  <c r="AZ275" i="11" s="1"/>
  <c r="BH274" i="2" l="1"/>
  <c r="BI274" i="2" s="1"/>
  <c r="AP275" i="2"/>
  <c r="AR275" i="2" s="1"/>
  <c r="AS275" i="2" s="1"/>
  <c r="AW274" i="2"/>
  <c r="F274" i="11" s="1"/>
  <c r="L274" i="11" s="1"/>
  <c r="I303" i="3"/>
  <c r="J303" i="3"/>
  <c r="P275" i="11" s="1"/>
  <c r="K303" i="3"/>
  <c r="BD275" i="2" l="1"/>
  <c r="BF275" i="2" s="1"/>
  <c r="BG275" i="2" s="1"/>
  <c r="M303" i="3"/>
  <c r="V276" i="2" s="1"/>
  <c r="AK276" i="2" s="1"/>
  <c r="BA276" i="2" s="1"/>
  <c r="L303" i="3"/>
  <c r="AE275" i="2" s="1"/>
  <c r="AL275" i="2" s="1"/>
  <c r="C304" i="3"/>
  <c r="G304" i="3"/>
  <c r="O276" i="11" s="1"/>
  <c r="F304" i="3"/>
  <c r="AX276" i="11" s="1"/>
  <c r="I304" i="3"/>
  <c r="J304" i="3"/>
  <c r="P276" i="11" s="1"/>
  <c r="K304" i="3"/>
  <c r="AM275" i="2" l="1"/>
  <c r="AT275" i="2" s="1"/>
  <c r="D275" i="11" s="1"/>
  <c r="AZ275" i="2"/>
  <c r="BB275" i="2" s="1"/>
  <c r="BH275" i="2" s="1"/>
  <c r="BI275" i="2" s="1"/>
  <c r="H304" i="3"/>
  <c r="AZ276" i="11" s="1"/>
  <c r="E304" i="3"/>
  <c r="L304" i="3" s="1"/>
  <c r="O304" i="3"/>
  <c r="AF276" i="2"/>
  <c r="AW276" i="11" s="1"/>
  <c r="M304" i="3"/>
  <c r="V277" i="2" s="1"/>
  <c r="AK277" i="2" s="1"/>
  <c r="BA277" i="2" s="1"/>
  <c r="F305" i="3"/>
  <c r="AX277" i="11" s="1"/>
  <c r="G305" i="3"/>
  <c r="O277" i="11" s="1"/>
  <c r="C305" i="3"/>
  <c r="E305" i="3" s="1"/>
  <c r="AP276" i="2" l="1"/>
  <c r="AR276" i="2" s="1"/>
  <c r="AS276" i="2" s="1"/>
  <c r="AW275" i="2"/>
  <c r="F275" i="11" s="1"/>
  <c r="L275" i="11" s="1"/>
  <c r="AE276" i="2"/>
  <c r="AL276" i="2" s="1"/>
  <c r="O305" i="3"/>
  <c r="AF277" i="2"/>
  <c r="AW277" i="11" s="1"/>
  <c r="H305" i="3"/>
  <c r="AZ277" i="11" s="1"/>
  <c r="BD276" i="2" l="1"/>
  <c r="BF276" i="2" s="1"/>
  <c r="BG276" i="2" s="1"/>
  <c r="AP277" i="2"/>
  <c r="AR277" i="2" s="1"/>
  <c r="AS277" i="2" s="1"/>
  <c r="AM276" i="2"/>
  <c r="AT276" i="2" s="1"/>
  <c r="D276" i="11" s="1"/>
  <c r="AZ276" i="2"/>
  <c r="BB276" i="2" s="1"/>
  <c r="J305" i="3"/>
  <c r="P277" i="11" s="1"/>
  <c r="K305" i="3"/>
  <c r="I305" i="3"/>
  <c r="BD277" i="2" l="1"/>
  <c r="BF277" i="2" s="1"/>
  <c r="BG277" i="2" s="1"/>
  <c r="BH276" i="2"/>
  <c r="BI276" i="2" s="1"/>
  <c r="AW276" i="2"/>
  <c r="F276" i="11" s="1"/>
  <c r="L276" i="11" s="1"/>
  <c r="M305" i="3"/>
  <c r="V278" i="2" s="1"/>
  <c r="AK278" i="2" s="1"/>
  <c r="BA278" i="2" s="1"/>
  <c r="L305" i="3"/>
  <c r="AE277" i="2" s="1"/>
  <c r="AL277" i="2" s="1"/>
  <c r="C306" i="3"/>
  <c r="E306" i="3" s="1"/>
  <c r="F306" i="3"/>
  <c r="AX278" i="11" s="1"/>
  <c r="G306" i="3"/>
  <c r="O278" i="11" s="1"/>
  <c r="AM277" i="2" l="1"/>
  <c r="AT277" i="2" s="1"/>
  <c r="D277" i="11" s="1"/>
  <c r="AZ277" i="2"/>
  <c r="BB277" i="2" s="1"/>
  <c r="BH277" i="2" s="1"/>
  <c r="BI277" i="2" s="1"/>
  <c r="H306" i="3"/>
  <c r="AZ278" i="11" s="1"/>
  <c r="AF278" i="2"/>
  <c r="AW278" i="11" s="1"/>
  <c r="O306" i="3"/>
  <c r="AP278" i="2" l="1"/>
  <c r="AR278" i="2" s="1"/>
  <c r="AS278" i="2" s="1"/>
  <c r="AW277" i="2"/>
  <c r="F277" i="11" s="1"/>
  <c r="L277" i="11" s="1"/>
  <c r="K306" i="3"/>
  <c r="J306" i="3"/>
  <c r="P278" i="11" s="1"/>
  <c r="I306" i="3"/>
  <c r="BD278" i="2" l="1"/>
  <c r="BF278" i="2" s="1"/>
  <c r="BG278" i="2" s="1"/>
  <c r="F307" i="3"/>
  <c r="AX279" i="11" s="1"/>
  <c r="G307" i="3"/>
  <c r="O279" i="11" s="1"/>
  <c r="C307" i="3"/>
  <c r="I307" i="3"/>
  <c r="K307" i="3"/>
  <c r="M306" i="3"/>
  <c r="V279" i="2" s="1"/>
  <c r="AK279" i="2" s="1"/>
  <c r="BA279" i="2" s="1"/>
  <c r="L306" i="3"/>
  <c r="AE278" i="2" s="1"/>
  <c r="AL278" i="2" s="1"/>
  <c r="AM278" i="2" l="1"/>
  <c r="AT278" i="2" s="1"/>
  <c r="D278" i="11" s="1"/>
  <c r="AZ278" i="2"/>
  <c r="BB278" i="2" s="1"/>
  <c r="BH278" i="2" s="1"/>
  <c r="BI278" i="2" s="1"/>
  <c r="H307" i="3"/>
  <c r="AZ279" i="11" s="1"/>
  <c r="E307" i="3"/>
  <c r="L307" i="3" s="1"/>
  <c r="M307" i="3"/>
  <c r="V280" i="2" s="1"/>
  <c r="AK280" i="2" s="1"/>
  <c r="BA280" i="2" s="1"/>
  <c r="J307" i="3"/>
  <c r="P279" i="11" s="1"/>
  <c r="O307" i="3"/>
  <c r="AF279" i="2"/>
  <c r="AW279" i="11" s="1"/>
  <c r="AP279" i="2" l="1"/>
  <c r="BD279" i="2" s="1"/>
  <c r="BF279" i="2" s="1"/>
  <c r="BG279" i="2" s="1"/>
  <c r="AW278" i="2"/>
  <c r="F278" i="11" s="1"/>
  <c r="L278" i="11" s="1"/>
  <c r="AE279" i="2"/>
  <c r="AL279" i="2" s="1"/>
  <c r="F308" i="3"/>
  <c r="AX280" i="11" s="1"/>
  <c r="I308" i="3"/>
  <c r="C308" i="3"/>
  <c r="G308" i="3"/>
  <c r="O280" i="11" s="1"/>
  <c r="AR279" i="2" l="1"/>
  <c r="AS279" i="2" s="1"/>
  <c r="CG280" i="11"/>
  <c r="AD55" i="20" s="1"/>
  <c r="AD57" i="20" s="1"/>
  <c r="AM279" i="2"/>
  <c r="AZ279" i="2"/>
  <c r="BB279" i="2" s="1"/>
  <c r="BH279" i="2" s="1"/>
  <c r="BI279" i="2" s="1"/>
  <c r="H308" i="3"/>
  <c r="AZ280" i="11" s="1"/>
  <c r="E308" i="3"/>
  <c r="K308" i="3"/>
  <c r="J308" i="3"/>
  <c r="P280" i="11" s="1"/>
  <c r="O308" i="3"/>
  <c r="AF280" i="2"/>
  <c r="AT279" i="2" l="1"/>
  <c r="D279" i="11" s="1"/>
  <c r="AW280" i="11"/>
  <c r="CF280" i="11" s="1"/>
  <c r="AD51" i="20" s="1"/>
  <c r="AD52" i="20" s="1"/>
  <c r="AD53" i="20" s="1"/>
  <c r="CI280" i="11"/>
  <c r="AD75" i="20" s="1"/>
  <c r="AD77" i="20" s="1"/>
  <c r="AD78" i="20" s="1"/>
  <c r="AP280" i="2"/>
  <c r="G309" i="3"/>
  <c r="O281" i="11" s="1"/>
  <c r="F309" i="3"/>
  <c r="AX281" i="11" s="1"/>
  <c r="C309" i="3"/>
  <c r="E309" i="3" s="1"/>
  <c r="M308" i="3"/>
  <c r="V281" i="2" s="1"/>
  <c r="AK281" i="2" s="1"/>
  <c r="BA281" i="2" s="1"/>
  <c r="L308" i="3"/>
  <c r="AE280" i="2" s="1"/>
  <c r="AL280" i="2" s="1"/>
  <c r="AW279" i="2" l="1"/>
  <c r="F279" i="11" s="1"/>
  <c r="L279" i="11" s="1"/>
  <c r="AD58" i="20"/>
  <c r="AD59" i="20" s="1"/>
  <c r="AD68" i="20"/>
  <c r="AD69" i="20" s="1"/>
  <c r="AD79" i="20" s="1"/>
  <c r="AD81" i="20" s="1"/>
  <c r="AR280" i="2"/>
  <c r="AS280" i="2" s="1"/>
  <c r="BD280" i="2"/>
  <c r="BF280" i="2" s="1"/>
  <c r="BG280" i="2" s="1"/>
  <c r="AM280" i="2"/>
  <c r="AZ280" i="2"/>
  <c r="BB280" i="2" s="1"/>
  <c r="O278" i="19"/>
  <c r="H309" i="3"/>
  <c r="AZ281" i="11" s="1"/>
  <c r="O309" i="3"/>
  <c r="AF281" i="2"/>
  <c r="AW281" i="11" s="1"/>
  <c r="AT280" i="2" l="1"/>
  <c r="D280" i="11" s="1"/>
  <c r="AP281" i="2"/>
  <c r="BD281" i="2" s="1"/>
  <c r="BF281" i="2" s="1"/>
  <c r="BG281" i="2" s="1"/>
  <c r="BH280" i="2"/>
  <c r="BI280" i="2" s="1"/>
  <c r="I309" i="3"/>
  <c r="J309" i="3"/>
  <c r="P281" i="11" s="1"/>
  <c r="K309" i="3"/>
  <c r="AW280" i="2" l="1"/>
  <c r="F280" i="11" s="1"/>
  <c r="L280" i="11" s="1"/>
  <c r="AR281" i="2"/>
  <c r="AS281" i="2" s="1"/>
  <c r="L309" i="3"/>
  <c r="AE281" i="2" s="1"/>
  <c r="M309" i="3"/>
  <c r="V282" i="2" s="1"/>
  <c r="AK282" i="2" s="1"/>
  <c r="BA282" i="2" s="1"/>
  <c r="F310" i="3"/>
  <c r="AX282" i="11" s="1"/>
  <c r="C310" i="3"/>
  <c r="E310" i="3" s="1"/>
  <c r="G310" i="3"/>
  <c r="O282" i="11" s="1"/>
  <c r="AL281" i="2" l="1"/>
  <c r="AF282" i="2"/>
  <c r="AW282" i="11" s="1"/>
  <c r="O310" i="3"/>
  <c r="H310" i="3"/>
  <c r="AZ282" i="11" s="1"/>
  <c r="AP282" i="2" l="1"/>
  <c r="AR282" i="2" s="1"/>
  <c r="AS282" i="2" s="1"/>
  <c r="AM281" i="2"/>
  <c r="AT281" i="2" s="1"/>
  <c r="D281" i="11" s="1"/>
  <c r="AZ281" i="2"/>
  <c r="BB281" i="2" s="1"/>
  <c r="BH281" i="2" s="1"/>
  <c r="BI281" i="2" s="1"/>
  <c r="J310" i="3"/>
  <c r="P282" i="11" s="1"/>
  <c r="K310" i="3"/>
  <c r="I310" i="3"/>
  <c r="BD282" i="2" l="1"/>
  <c r="BF282" i="2" s="1"/>
  <c r="BG282" i="2" s="1"/>
  <c r="AW281" i="2"/>
  <c r="F281" i="11" s="1"/>
  <c r="L281" i="11" s="1"/>
  <c r="L310" i="3"/>
  <c r="AE282" i="2" s="1"/>
  <c r="M310" i="3"/>
  <c r="V283" i="2" s="1"/>
  <c r="AK283" i="2" s="1"/>
  <c r="BA283" i="2" s="1"/>
  <c r="F311" i="3"/>
  <c r="AX283" i="11" s="1"/>
  <c r="G311" i="3"/>
  <c r="O283" i="11" s="1"/>
  <c r="C311" i="3"/>
  <c r="AL282" i="2" l="1"/>
  <c r="H311" i="3"/>
  <c r="AZ283" i="11" s="1"/>
  <c r="E311" i="3"/>
  <c r="K311" i="3"/>
  <c r="AF283" i="2"/>
  <c r="AW283" i="11" s="1"/>
  <c r="O311" i="3"/>
  <c r="J311" i="3"/>
  <c r="P283" i="11" s="1"/>
  <c r="I311" i="3"/>
  <c r="AP283" i="2" l="1"/>
  <c r="AR283" i="2" s="1"/>
  <c r="AS283" i="2" s="1"/>
  <c r="AM282" i="2"/>
  <c r="AT282" i="2" s="1"/>
  <c r="D282" i="11" s="1"/>
  <c r="AZ282" i="2"/>
  <c r="BB282" i="2" s="1"/>
  <c r="BH282" i="2" s="1"/>
  <c r="BI282" i="2" s="1"/>
  <c r="C312" i="3"/>
  <c r="E312" i="3" s="1"/>
  <c r="F312" i="3"/>
  <c r="AX284" i="11" s="1"/>
  <c r="G312" i="3"/>
  <c r="O284" i="11" s="1"/>
  <c r="M311" i="3"/>
  <c r="V284" i="2" s="1"/>
  <c r="AK284" i="2" s="1"/>
  <c r="BA284" i="2" s="1"/>
  <c r="L311" i="3"/>
  <c r="AE283" i="2" s="1"/>
  <c r="BD283" i="2" l="1"/>
  <c r="BF283" i="2" s="1"/>
  <c r="BG283" i="2" s="1"/>
  <c r="AW282" i="2"/>
  <c r="F282" i="11" s="1"/>
  <c r="L282" i="11" s="1"/>
  <c r="AL283" i="2"/>
  <c r="O312" i="3"/>
  <c r="AF284" i="2"/>
  <c r="AW284" i="11" s="1"/>
  <c r="H312" i="3"/>
  <c r="AZ284" i="11" s="1"/>
  <c r="AP284" i="2" l="1"/>
  <c r="AR284" i="2" s="1"/>
  <c r="AS284" i="2" s="1"/>
  <c r="AM283" i="2"/>
  <c r="AT283" i="2" s="1"/>
  <c r="D283" i="11" s="1"/>
  <c r="AZ283" i="2"/>
  <c r="BB283" i="2" s="1"/>
  <c r="BH283" i="2" s="1"/>
  <c r="BI283" i="2" s="1"/>
  <c r="K312" i="3"/>
  <c r="I312" i="3"/>
  <c r="J312" i="3"/>
  <c r="P284" i="11" s="1"/>
  <c r="BD284" i="2" l="1"/>
  <c r="BF284" i="2" s="1"/>
  <c r="BG284" i="2" s="1"/>
  <c r="AW283" i="2"/>
  <c r="F283" i="11" s="1"/>
  <c r="L283" i="11" s="1"/>
  <c r="M312" i="3"/>
  <c r="V285" i="2" s="1"/>
  <c r="AK285" i="2" s="1"/>
  <c r="BA285" i="2" s="1"/>
  <c r="L312" i="3"/>
  <c r="AE284" i="2" s="1"/>
  <c r="F313" i="3"/>
  <c r="AX285" i="11" s="1"/>
  <c r="G313" i="3"/>
  <c r="O285" i="11" s="1"/>
  <c r="C313" i="3"/>
  <c r="AL284" i="2" l="1"/>
  <c r="H313" i="3"/>
  <c r="AZ285" i="11" s="1"/>
  <c r="E313" i="3"/>
  <c r="J313" i="3"/>
  <c r="P285" i="11" s="1"/>
  <c r="I313" i="3"/>
  <c r="K313" i="3"/>
  <c r="AF285" i="2"/>
  <c r="AW285" i="11" s="1"/>
  <c r="O313" i="3"/>
  <c r="AP285" i="2" l="1"/>
  <c r="AR285" i="2" s="1"/>
  <c r="AS285" i="2" s="1"/>
  <c r="AM284" i="2"/>
  <c r="AT284" i="2" s="1"/>
  <c r="D284" i="11" s="1"/>
  <c r="AZ284" i="2"/>
  <c r="BB284" i="2" s="1"/>
  <c r="BH284" i="2" s="1"/>
  <c r="BI284" i="2" s="1"/>
  <c r="L313" i="3"/>
  <c r="AE285" i="2" s="1"/>
  <c r="M313" i="3"/>
  <c r="V286" i="2" s="1"/>
  <c r="AK286" i="2" s="1"/>
  <c r="BA286" i="2" s="1"/>
  <c r="F314" i="3"/>
  <c r="AX286" i="11" s="1"/>
  <c r="C314" i="3"/>
  <c r="G314" i="3"/>
  <c r="O286" i="11" s="1"/>
  <c r="BD285" i="2" l="1"/>
  <c r="BF285" i="2" s="1"/>
  <c r="BG285" i="2" s="1"/>
  <c r="AW284" i="2"/>
  <c r="F284" i="11" s="1"/>
  <c r="L284" i="11" s="1"/>
  <c r="AL285" i="2"/>
  <c r="H314" i="3"/>
  <c r="AZ286" i="11" s="1"/>
  <c r="E314" i="3"/>
  <c r="I314" i="3"/>
  <c r="AF286" i="2"/>
  <c r="AW286" i="11" s="1"/>
  <c r="O314" i="3"/>
  <c r="K314" i="3"/>
  <c r="J314" i="3"/>
  <c r="P286" i="11" s="1"/>
  <c r="AP286" i="2" l="1"/>
  <c r="AR286" i="2" s="1"/>
  <c r="AS286" i="2" s="1"/>
  <c r="AM285" i="2"/>
  <c r="AT285" i="2" s="1"/>
  <c r="D285" i="11" s="1"/>
  <c r="AZ285" i="2"/>
  <c r="BB285" i="2" s="1"/>
  <c r="BH285" i="2" s="1"/>
  <c r="BI285" i="2" s="1"/>
  <c r="C315" i="3"/>
  <c r="F315" i="3"/>
  <c r="AX287" i="11" s="1"/>
  <c r="G315" i="3"/>
  <c r="O287" i="11" s="1"/>
  <c r="M314" i="3"/>
  <c r="V287" i="2" s="1"/>
  <c r="AK287" i="2" s="1"/>
  <c r="BA287" i="2" s="1"/>
  <c r="L314" i="3"/>
  <c r="AE286" i="2" s="1"/>
  <c r="AL286" i="2" s="1"/>
  <c r="BD286" i="2" l="1"/>
  <c r="BF286" i="2" s="1"/>
  <c r="BG286" i="2" s="1"/>
  <c r="AW285" i="2"/>
  <c r="F285" i="11" s="1"/>
  <c r="L285" i="11" s="1"/>
  <c r="AM286" i="2"/>
  <c r="AT286" i="2" s="1"/>
  <c r="D286" i="11" s="1"/>
  <c r="AZ286" i="2"/>
  <c r="BB286" i="2" s="1"/>
  <c r="H315" i="3"/>
  <c r="AZ287" i="11" s="1"/>
  <c r="E315" i="3"/>
  <c r="J315" i="3"/>
  <c r="P287" i="11" s="1"/>
  <c r="I315" i="3"/>
  <c r="K315" i="3"/>
  <c r="AF287" i="2"/>
  <c r="AW287" i="11" s="1"/>
  <c r="O315" i="3"/>
  <c r="BH286" i="2" l="1"/>
  <c r="BI286" i="2" s="1"/>
  <c r="AP287" i="2"/>
  <c r="AR287" i="2" s="1"/>
  <c r="AS287" i="2" s="1"/>
  <c r="AW286" i="2"/>
  <c r="F286" i="11" s="1"/>
  <c r="L286" i="11" s="1"/>
  <c r="L315" i="3"/>
  <c r="AE287" i="2" s="1"/>
  <c r="AL287" i="2" s="1"/>
  <c r="M315" i="3"/>
  <c r="V288" i="2" s="1"/>
  <c r="AK288" i="2" s="1"/>
  <c r="BA288" i="2" s="1"/>
  <c r="C316" i="3"/>
  <c r="F316" i="3"/>
  <c r="AX288" i="11" s="1"/>
  <c r="BD287" i="2" l="1"/>
  <c r="BF287" i="2" s="1"/>
  <c r="BG287" i="2" s="1"/>
  <c r="AM287" i="2"/>
  <c r="AT287" i="2" s="1"/>
  <c r="D287" i="11" s="1"/>
  <c r="AZ287" i="2"/>
  <c r="BB287" i="2" s="1"/>
  <c r="H316" i="3"/>
  <c r="AZ288" i="11" s="1"/>
  <c r="E316" i="3"/>
  <c r="K316" i="3"/>
  <c r="J316" i="3"/>
  <c r="P288" i="11" s="1"/>
  <c r="I316" i="3"/>
  <c r="AF288" i="2"/>
  <c r="AW288" i="11" s="1"/>
  <c r="O316" i="3"/>
  <c r="G316" i="3"/>
  <c r="O288" i="11" s="1"/>
  <c r="BH287" i="2" l="1"/>
  <c r="BI287" i="2" s="1"/>
  <c r="AP288" i="2"/>
  <c r="AR288" i="2" s="1"/>
  <c r="AS288" i="2" s="1"/>
  <c r="AW287" i="2"/>
  <c r="F287" i="11" s="1"/>
  <c r="L287" i="11" s="1"/>
  <c r="F317" i="3"/>
  <c r="AX289" i="11" s="1"/>
  <c r="C317" i="3"/>
  <c r="G317" i="3"/>
  <c r="O289" i="11" s="1"/>
  <c r="I317" i="3"/>
  <c r="J317" i="3"/>
  <c r="P289" i="11" s="1"/>
  <c r="L316" i="3"/>
  <c r="AE288" i="2" s="1"/>
  <c r="AL288" i="2" s="1"/>
  <c r="M316" i="3"/>
  <c r="V289" i="2" s="1"/>
  <c r="AK289" i="2" s="1"/>
  <c r="BA289" i="2" s="1"/>
  <c r="BD288" i="2" l="1"/>
  <c r="BF288" i="2" s="1"/>
  <c r="BG288" i="2" s="1"/>
  <c r="AM288" i="2"/>
  <c r="AT288" i="2" s="1"/>
  <c r="D288" i="11" s="1"/>
  <c r="AZ288" i="2"/>
  <c r="BB288" i="2" s="1"/>
  <c r="H317" i="3"/>
  <c r="AZ289" i="11" s="1"/>
  <c r="E317" i="3"/>
  <c r="F318" i="3"/>
  <c r="AX290" i="11" s="1"/>
  <c r="C318" i="3"/>
  <c r="E318" i="3" s="1"/>
  <c r="G318" i="3"/>
  <c r="O290" i="11" s="1"/>
  <c r="K317" i="3"/>
  <c r="AF289" i="2"/>
  <c r="AW289" i="11" s="1"/>
  <c r="O317" i="3"/>
  <c r="BH288" i="2" l="1"/>
  <c r="BI288" i="2" s="1"/>
  <c r="AP289" i="2"/>
  <c r="AR289" i="2" s="1"/>
  <c r="AS289" i="2" s="1"/>
  <c r="AW288" i="2"/>
  <c r="F288" i="11" s="1"/>
  <c r="L288" i="11" s="1"/>
  <c r="O318" i="3"/>
  <c r="AF290" i="2"/>
  <c r="AW290" i="11" s="1"/>
  <c r="M317" i="3"/>
  <c r="V290" i="2" s="1"/>
  <c r="AK290" i="2" s="1"/>
  <c r="BA290" i="2" s="1"/>
  <c r="L317" i="3"/>
  <c r="AE289" i="2" s="1"/>
  <c r="AL289" i="2" s="1"/>
  <c r="H318" i="3"/>
  <c r="AZ290" i="11" s="1"/>
  <c r="BD289" i="2" l="1"/>
  <c r="BF289" i="2" s="1"/>
  <c r="BG289" i="2" s="1"/>
  <c r="AP290" i="2"/>
  <c r="AR290" i="2" s="1"/>
  <c r="AS290" i="2" s="1"/>
  <c r="AM289" i="2"/>
  <c r="AT289" i="2" s="1"/>
  <c r="D289" i="11" s="1"/>
  <c r="AZ289" i="2"/>
  <c r="BB289" i="2" s="1"/>
  <c r="K318" i="3"/>
  <c r="I318" i="3"/>
  <c r="J318" i="3"/>
  <c r="P290" i="11" s="1"/>
  <c r="BH289" i="2" l="1"/>
  <c r="BI289" i="2" s="1"/>
  <c r="BD290" i="2"/>
  <c r="BF290" i="2" s="1"/>
  <c r="BG290" i="2" s="1"/>
  <c r="AW289" i="2"/>
  <c r="F289" i="11" s="1"/>
  <c r="L289" i="11" s="1"/>
  <c r="L318" i="3"/>
  <c r="AE290" i="2" s="1"/>
  <c r="AL290" i="2" s="1"/>
  <c r="M318" i="3"/>
  <c r="V291" i="2" s="1"/>
  <c r="AK291" i="2" s="1"/>
  <c r="BA291" i="2" s="1"/>
  <c r="F319" i="3"/>
  <c r="AX291" i="11" s="1"/>
  <c r="C319" i="3"/>
  <c r="K319" i="3"/>
  <c r="G319" i="3"/>
  <c r="O291" i="11" s="1"/>
  <c r="AM290" i="2" l="1"/>
  <c r="AT290" i="2" s="1"/>
  <c r="D290" i="11" s="1"/>
  <c r="AZ290" i="2"/>
  <c r="BB290" i="2" s="1"/>
  <c r="BH290" i="2" s="1"/>
  <c r="BI290" i="2" s="1"/>
  <c r="H319" i="3"/>
  <c r="AZ291" i="11" s="1"/>
  <c r="E319" i="3"/>
  <c r="L319" i="3" s="1"/>
  <c r="J319" i="3"/>
  <c r="P291" i="11" s="1"/>
  <c r="AF291" i="2"/>
  <c r="AW291" i="11" s="1"/>
  <c r="O319" i="3"/>
  <c r="I319" i="3"/>
  <c r="M319" i="3"/>
  <c r="V292" i="2" s="1"/>
  <c r="AK292" i="2" s="1"/>
  <c r="BA292" i="2" s="1"/>
  <c r="AP291" i="2" l="1"/>
  <c r="BD291" i="2" s="1"/>
  <c r="BF291" i="2" s="1"/>
  <c r="BG291" i="2" s="1"/>
  <c r="AW290" i="2"/>
  <c r="F290" i="11" s="1"/>
  <c r="L290" i="11" s="1"/>
  <c r="AE291" i="2"/>
  <c r="AL291" i="2" s="1"/>
  <c r="F320" i="3"/>
  <c r="AX292" i="11" s="1"/>
  <c r="I320" i="3"/>
  <c r="C320" i="3"/>
  <c r="K320" i="3"/>
  <c r="CG292" i="11" l="1"/>
  <c r="AE55" i="20" s="1"/>
  <c r="AE57" i="20" s="1"/>
  <c r="AR291" i="2"/>
  <c r="AS291" i="2" s="1"/>
  <c r="AM291" i="2"/>
  <c r="AZ291" i="2"/>
  <c r="BB291" i="2" s="1"/>
  <c r="BH291" i="2" s="1"/>
  <c r="BI291" i="2" s="1"/>
  <c r="H320" i="3"/>
  <c r="AZ292" i="11" s="1"/>
  <c r="E320" i="3"/>
  <c r="L320" i="3" s="1"/>
  <c r="M320" i="3"/>
  <c r="V293" i="2" s="1"/>
  <c r="AK293" i="2" s="1"/>
  <c r="BA293" i="2" s="1"/>
  <c r="J320" i="3"/>
  <c r="P292" i="11" s="1"/>
  <c r="G320" i="3"/>
  <c r="O292" i="11" s="1"/>
  <c r="O320" i="3"/>
  <c r="AF292" i="2"/>
  <c r="AW292" i="11" l="1"/>
  <c r="CF292" i="11" s="1"/>
  <c r="AE51" i="20" s="1"/>
  <c r="AE52" i="20" s="1"/>
  <c r="AE53" i="20" s="1"/>
  <c r="CI292" i="11"/>
  <c r="AE75" i="20" s="1"/>
  <c r="AE77" i="20" s="1"/>
  <c r="AE78" i="20" s="1"/>
  <c r="AT291" i="2"/>
  <c r="D291" i="11" s="1"/>
  <c r="AP292" i="2"/>
  <c r="AE292" i="2"/>
  <c r="AL292" i="2" s="1"/>
  <c r="F321" i="3"/>
  <c r="AX293" i="11" s="1"/>
  <c r="I321" i="3"/>
  <c r="C321" i="3"/>
  <c r="AE58" i="20" l="1"/>
  <c r="AE59" i="20" s="1"/>
  <c r="AE68" i="20"/>
  <c r="AE69" i="20" s="1"/>
  <c r="AE79" i="20" s="1"/>
  <c r="AE81" i="20" s="1"/>
  <c r="AW291" i="2"/>
  <c r="F291" i="11" s="1"/>
  <c r="L291" i="11" s="1"/>
  <c r="AR292" i="2"/>
  <c r="AS292" i="2" s="1"/>
  <c r="BD292" i="2"/>
  <c r="BF292" i="2" s="1"/>
  <c r="BG292" i="2" s="1"/>
  <c r="AM292" i="2"/>
  <c r="AZ292" i="2"/>
  <c r="BB292" i="2" s="1"/>
  <c r="O290" i="19"/>
  <c r="H321" i="3"/>
  <c r="AZ293" i="11" s="1"/>
  <c r="E321" i="3"/>
  <c r="G321" i="3"/>
  <c r="O293" i="11" s="1"/>
  <c r="AF293" i="2"/>
  <c r="AW293" i="11" s="1"/>
  <c r="O321" i="3"/>
  <c r="J321" i="3"/>
  <c r="P293" i="11" s="1"/>
  <c r="K321" i="3" l="1"/>
  <c r="M321" i="3" s="1"/>
  <c r="V294" i="2" s="1"/>
  <c r="AK294" i="2" s="1"/>
  <c r="BA294" i="2" s="1"/>
  <c r="AP293" i="2"/>
  <c r="BD293" i="2" s="1"/>
  <c r="BF293" i="2" s="1"/>
  <c r="BG293" i="2" s="1"/>
  <c r="AT292" i="2"/>
  <c r="BH292" i="2"/>
  <c r="BI292" i="2" s="1"/>
  <c r="C322" i="3"/>
  <c r="F322" i="3"/>
  <c r="AX294" i="11" s="1"/>
  <c r="L321" i="3" l="1"/>
  <c r="AE293" i="2" s="1"/>
  <c r="AL293" i="2" s="1"/>
  <c r="AR293" i="2"/>
  <c r="AS293" i="2" s="1"/>
  <c r="D292" i="11"/>
  <c r="AW292" i="2"/>
  <c r="F292" i="11" s="1"/>
  <c r="L292" i="11" s="1"/>
  <c r="H322" i="3"/>
  <c r="AZ294" i="11" s="1"/>
  <c r="E322" i="3"/>
  <c r="J322" i="3"/>
  <c r="P294" i="11" s="1"/>
  <c r="I322" i="3"/>
  <c r="K322" i="3"/>
  <c r="G322" i="3"/>
  <c r="O294" i="11" s="1"/>
  <c r="AF294" i="2"/>
  <c r="AW294" i="11" s="1"/>
  <c r="O322" i="3"/>
  <c r="AP294" i="2" l="1"/>
  <c r="AR294" i="2" s="1"/>
  <c r="AS294" i="2" s="1"/>
  <c r="AM293" i="2"/>
  <c r="AT293" i="2" s="1"/>
  <c r="D293" i="11" s="1"/>
  <c r="AZ293" i="2"/>
  <c r="BB293" i="2" s="1"/>
  <c r="BH293" i="2" s="1"/>
  <c r="BI293" i="2" s="1"/>
  <c r="G323" i="3"/>
  <c r="O295" i="11" s="1"/>
  <c r="C323" i="3"/>
  <c r="F323" i="3"/>
  <c r="AX295" i="11" s="1"/>
  <c r="L322" i="3"/>
  <c r="AE294" i="2" s="1"/>
  <c r="M322" i="3"/>
  <c r="V295" i="2" s="1"/>
  <c r="AK295" i="2" s="1"/>
  <c r="BA295" i="2" s="1"/>
  <c r="BD294" i="2" l="1"/>
  <c r="BF294" i="2" s="1"/>
  <c r="BG294" i="2" s="1"/>
  <c r="AW293" i="2"/>
  <c r="F293" i="11" s="1"/>
  <c r="L293" i="11" s="1"/>
  <c r="AL294" i="2"/>
  <c r="H323" i="3"/>
  <c r="AZ295" i="11" s="1"/>
  <c r="E323" i="3"/>
  <c r="J323" i="3"/>
  <c r="P295" i="11" s="1"/>
  <c r="K323" i="3"/>
  <c r="I323" i="3"/>
  <c r="AF295" i="2"/>
  <c r="AW295" i="11" s="1"/>
  <c r="O323" i="3"/>
  <c r="AP295" i="2" l="1"/>
  <c r="BD295" i="2" s="1"/>
  <c r="BF295" i="2" s="1"/>
  <c r="BG295" i="2" s="1"/>
  <c r="AM294" i="2"/>
  <c r="AT294" i="2" s="1"/>
  <c r="D294" i="11" s="1"/>
  <c r="AZ294" i="2"/>
  <c r="BB294" i="2" s="1"/>
  <c r="BH294" i="2" s="1"/>
  <c r="BI294" i="2" s="1"/>
  <c r="L323" i="3"/>
  <c r="AE295" i="2" s="1"/>
  <c r="M323" i="3"/>
  <c r="V296" i="2" s="1"/>
  <c r="AK296" i="2" s="1"/>
  <c r="BA296" i="2" s="1"/>
  <c r="F324" i="3"/>
  <c r="AX296" i="11" s="1"/>
  <c r="C324" i="3"/>
  <c r="AR295" i="2" l="1"/>
  <c r="AS295" i="2" s="1"/>
  <c r="G324" i="3"/>
  <c r="O296" i="11" s="1"/>
  <c r="AW294" i="2"/>
  <c r="F294" i="11" s="1"/>
  <c r="L294" i="11" s="1"/>
  <c r="AL295" i="2"/>
  <c r="H324" i="3"/>
  <c r="AZ296" i="11" s="1"/>
  <c r="E324" i="3"/>
  <c r="K324" i="3"/>
  <c r="J324" i="3"/>
  <c r="P296" i="11" s="1"/>
  <c r="AF296" i="2"/>
  <c r="AW296" i="11" s="1"/>
  <c r="O324" i="3"/>
  <c r="I324" i="3"/>
  <c r="AP296" i="2" l="1"/>
  <c r="AR296" i="2" s="1"/>
  <c r="AS296" i="2" s="1"/>
  <c r="AM295" i="2"/>
  <c r="AT295" i="2" s="1"/>
  <c r="D295" i="11" s="1"/>
  <c r="AZ295" i="2"/>
  <c r="BB295" i="2" s="1"/>
  <c r="BH295" i="2" s="1"/>
  <c r="BI295" i="2" s="1"/>
  <c r="G325" i="3"/>
  <c r="O297" i="11" s="1"/>
  <c r="C325" i="3"/>
  <c r="F325" i="3"/>
  <c r="AX297" i="11" s="1"/>
  <c r="L324" i="3"/>
  <c r="AE296" i="2" s="1"/>
  <c r="M324" i="3"/>
  <c r="V297" i="2" s="1"/>
  <c r="AK297" i="2" s="1"/>
  <c r="BA297" i="2" s="1"/>
  <c r="BD296" i="2" l="1"/>
  <c r="BF296" i="2" s="1"/>
  <c r="BG296" i="2" s="1"/>
  <c r="AW295" i="2"/>
  <c r="F295" i="11" s="1"/>
  <c r="L295" i="11" s="1"/>
  <c r="AL296" i="2"/>
  <c r="H325" i="3"/>
  <c r="AZ297" i="11" s="1"/>
  <c r="E325" i="3"/>
  <c r="J325" i="3"/>
  <c r="P297" i="11" s="1"/>
  <c r="I325" i="3"/>
  <c r="K325" i="3"/>
  <c r="AF297" i="2"/>
  <c r="AW297" i="11" s="1"/>
  <c r="O325" i="3"/>
  <c r="AP297" i="2" l="1"/>
  <c r="BD297" i="2" s="1"/>
  <c r="BF297" i="2" s="1"/>
  <c r="BG297" i="2" s="1"/>
  <c r="AM296" i="2"/>
  <c r="AT296" i="2" s="1"/>
  <c r="D296" i="11" s="1"/>
  <c r="AZ296" i="2"/>
  <c r="BB296" i="2" s="1"/>
  <c r="BH296" i="2" s="1"/>
  <c r="BI296" i="2" s="1"/>
  <c r="M325" i="3"/>
  <c r="V298" i="2" s="1"/>
  <c r="AK298" i="2" s="1"/>
  <c r="BA298" i="2" s="1"/>
  <c r="L325" i="3"/>
  <c r="AE297" i="2" s="1"/>
  <c r="C326" i="3"/>
  <c r="G326" i="3"/>
  <c r="O298" i="11" s="1"/>
  <c r="F326" i="3"/>
  <c r="AX298" i="11" s="1"/>
  <c r="I326" i="3"/>
  <c r="J326" i="3"/>
  <c r="P298" i="11" s="1"/>
  <c r="AR297" i="2" l="1"/>
  <c r="AS297" i="2" s="1"/>
  <c r="AW296" i="2"/>
  <c r="F296" i="11" s="1"/>
  <c r="L296" i="11" s="1"/>
  <c r="AL297" i="2"/>
  <c r="H326" i="3"/>
  <c r="AZ298" i="11" s="1"/>
  <c r="E326" i="3"/>
  <c r="K326" i="3"/>
  <c r="AF298" i="2"/>
  <c r="AW298" i="11" s="1"/>
  <c r="O326" i="3"/>
  <c r="G327" i="3"/>
  <c r="O299" i="11" s="1"/>
  <c r="F327" i="3"/>
  <c r="AX299" i="11" s="1"/>
  <c r="C327" i="3"/>
  <c r="E327" i="3" s="1"/>
  <c r="AP298" i="2" l="1"/>
  <c r="AR298" i="2" s="1"/>
  <c r="AS298" i="2" s="1"/>
  <c r="AM297" i="2"/>
  <c r="AT297" i="2" s="1"/>
  <c r="D297" i="11" s="1"/>
  <c r="AZ297" i="2"/>
  <c r="BB297" i="2" s="1"/>
  <c r="BH297" i="2" s="1"/>
  <c r="BI297" i="2" s="1"/>
  <c r="AF299" i="2"/>
  <c r="AW299" i="11" s="1"/>
  <c r="O327" i="3"/>
  <c r="H327" i="3"/>
  <c r="AZ299" i="11" s="1"/>
  <c r="M326" i="3"/>
  <c r="V299" i="2" s="1"/>
  <c r="AK299" i="2" s="1"/>
  <c r="BA299" i="2" s="1"/>
  <c r="L326" i="3"/>
  <c r="AE298" i="2" s="1"/>
  <c r="AL298" i="2" s="1"/>
  <c r="BD298" i="2" l="1"/>
  <c r="BF298" i="2" s="1"/>
  <c r="BG298" i="2" s="1"/>
  <c r="AP299" i="2"/>
  <c r="BD299" i="2" s="1"/>
  <c r="BF299" i="2" s="1"/>
  <c r="BG299" i="2" s="1"/>
  <c r="AW297" i="2"/>
  <c r="F297" i="11" s="1"/>
  <c r="L297" i="11" s="1"/>
  <c r="AM298" i="2"/>
  <c r="AT298" i="2" s="1"/>
  <c r="D298" i="11" s="1"/>
  <c r="AZ298" i="2"/>
  <c r="BB298" i="2" s="1"/>
  <c r="I327" i="3"/>
  <c r="J327" i="3"/>
  <c r="P299" i="11" s="1"/>
  <c r="K327" i="3"/>
  <c r="BH298" i="2" l="1"/>
  <c r="BI298" i="2" s="1"/>
  <c r="AR299" i="2"/>
  <c r="AS299" i="2" s="1"/>
  <c r="AW298" i="2"/>
  <c r="F298" i="11" s="1"/>
  <c r="C328" i="3"/>
  <c r="G328" i="3"/>
  <c r="O300" i="11" s="1"/>
  <c r="I328" i="3"/>
  <c r="F328" i="3"/>
  <c r="AX300" i="11" s="1"/>
  <c r="J328" i="3"/>
  <c r="P300" i="11" s="1"/>
  <c r="K328" i="3"/>
  <c r="M327" i="3"/>
  <c r="V300" i="2" s="1"/>
  <c r="AK300" i="2" s="1"/>
  <c r="BA300" i="2" s="1"/>
  <c r="L327" i="3"/>
  <c r="AE299" i="2" s="1"/>
  <c r="AL299" i="2" s="1"/>
  <c r="AM299" i="2" l="1"/>
  <c r="AT299" i="2" s="1"/>
  <c r="D299" i="11" s="1"/>
  <c r="AZ299" i="2"/>
  <c r="BB299" i="2" s="1"/>
  <c r="BH299" i="2" s="1"/>
  <c r="BI299" i="2" s="1"/>
  <c r="H328" i="3"/>
  <c r="AZ300" i="11" s="1"/>
  <c r="E328" i="3"/>
  <c r="L328" i="3" s="1"/>
  <c r="AF300" i="2"/>
  <c r="AW300" i="11" s="1"/>
  <c r="O328" i="3"/>
  <c r="L298" i="11"/>
  <c r="M328" i="3"/>
  <c r="V301" i="2" s="1"/>
  <c r="AK301" i="2" s="1"/>
  <c r="BA301" i="2" s="1"/>
  <c r="C329" i="3"/>
  <c r="E329" i="3" s="1"/>
  <c r="H329" i="3"/>
  <c r="AZ301" i="11" s="1"/>
  <c r="F329" i="3"/>
  <c r="AX301" i="11" s="1"/>
  <c r="I329" i="3"/>
  <c r="K329" i="3"/>
  <c r="G329" i="3"/>
  <c r="O301" i="11" s="1"/>
  <c r="AP300" i="2" l="1"/>
  <c r="AR300" i="2" s="1"/>
  <c r="AS300" i="2" s="1"/>
  <c r="AW299" i="2"/>
  <c r="F299" i="11" s="1"/>
  <c r="L299" i="11" s="1"/>
  <c r="AE300" i="2"/>
  <c r="AL300" i="2" s="1"/>
  <c r="J329" i="3"/>
  <c r="P301" i="11" s="1"/>
  <c r="AF301" i="2"/>
  <c r="AW301" i="11" s="1"/>
  <c r="O329" i="3"/>
  <c r="M329" i="3"/>
  <c r="V302" i="2" s="1"/>
  <c r="AK302" i="2" s="1"/>
  <c r="BA302" i="2" s="1"/>
  <c r="L329" i="3"/>
  <c r="AE301" i="2" s="1"/>
  <c r="BD300" i="2" l="1"/>
  <c r="BF300" i="2" s="1"/>
  <c r="BG300" i="2" s="1"/>
  <c r="AP301" i="2"/>
  <c r="AR301" i="2" s="1"/>
  <c r="AS301" i="2" s="1"/>
  <c r="AM300" i="2"/>
  <c r="AT300" i="2" s="1"/>
  <c r="D300" i="11" s="1"/>
  <c r="AZ300" i="2"/>
  <c r="BB300" i="2" s="1"/>
  <c r="AL301" i="2"/>
  <c r="G330" i="3"/>
  <c r="O302" i="11" s="1"/>
  <c r="F330" i="3"/>
  <c r="AX302" i="11" s="1"/>
  <c r="C330" i="3"/>
  <c r="K330" i="3"/>
  <c r="I330" i="3"/>
  <c r="BH300" i="2" l="1"/>
  <c r="BI300" i="2" s="1"/>
  <c r="BD301" i="2"/>
  <c r="BF301" i="2" s="1"/>
  <c r="BG301" i="2" s="1"/>
  <c r="AW300" i="2"/>
  <c r="F300" i="11" s="1"/>
  <c r="L300" i="11" s="1"/>
  <c r="AM301" i="2"/>
  <c r="AT301" i="2" s="1"/>
  <c r="D301" i="11" s="1"/>
  <c r="AZ301" i="2"/>
  <c r="BB301" i="2" s="1"/>
  <c r="H330" i="3"/>
  <c r="AZ302" i="11" s="1"/>
  <c r="E330" i="3"/>
  <c r="L330" i="3" s="1"/>
  <c r="J330" i="3"/>
  <c r="P302" i="11" s="1"/>
  <c r="AF302" i="2"/>
  <c r="AW302" i="11" s="1"/>
  <c r="O330" i="3"/>
  <c r="M330" i="3"/>
  <c r="V303" i="2" s="1"/>
  <c r="AK303" i="2" s="1"/>
  <c r="BA303" i="2" s="1"/>
  <c r="BH301" i="2" l="1"/>
  <c r="BI301" i="2" s="1"/>
  <c r="AP302" i="2"/>
  <c r="AR302" i="2" s="1"/>
  <c r="AS302" i="2" s="1"/>
  <c r="AW301" i="2"/>
  <c r="F301" i="11" s="1"/>
  <c r="L301" i="11" s="1"/>
  <c r="AE302" i="2"/>
  <c r="AL302" i="2" s="1"/>
  <c r="C331" i="3"/>
  <c r="G331" i="3"/>
  <c r="O303" i="11" s="1"/>
  <c r="F331" i="3"/>
  <c r="AX303" i="11" s="1"/>
  <c r="BD302" i="2" l="1"/>
  <c r="BF302" i="2" s="1"/>
  <c r="BG302" i="2" s="1"/>
  <c r="AM302" i="2"/>
  <c r="AT302" i="2" s="1"/>
  <c r="D302" i="11" s="1"/>
  <c r="AZ302" i="2"/>
  <c r="BB302" i="2" s="1"/>
  <c r="H331" i="3"/>
  <c r="AZ303" i="11" s="1"/>
  <c r="E331" i="3"/>
  <c r="J331" i="3"/>
  <c r="P303" i="11" s="1"/>
  <c r="K331" i="3"/>
  <c r="I331" i="3"/>
  <c r="O331" i="3"/>
  <c r="AF303" i="2"/>
  <c r="AW303" i="11" s="1"/>
  <c r="BH302" i="2" l="1"/>
  <c r="BI302" i="2" s="1"/>
  <c r="AP303" i="2"/>
  <c r="AR303" i="2" s="1"/>
  <c r="AS303" i="2" s="1"/>
  <c r="AW302" i="2"/>
  <c r="F302" i="11" s="1"/>
  <c r="L331" i="3"/>
  <c r="AE303" i="2" s="1"/>
  <c r="AL303" i="2" s="1"/>
  <c r="M331" i="3"/>
  <c r="V304" i="2" s="1"/>
  <c r="AK304" i="2" s="1"/>
  <c r="BA304" i="2" s="1"/>
  <c r="C332" i="3"/>
  <c r="E332" i="3" s="1"/>
  <c r="G332" i="3"/>
  <c r="O304" i="11" s="1"/>
  <c r="F332" i="3"/>
  <c r="AX304" i="11" s="1"/>
  <c r="BD303" i="2" l="1"/>
  <c r="BF303" i="2" s="1"/>
  <c r="BG303" i="2" s="1"/>
  <c r="CG304" i="11"/>
  <c r="AF55" i="20" s="1"/>
  <c r="AF57" i="20" s="1"/>
  <c r="AM303" i="2"/>
  <c r="AT303" i="2" s="1"/>
  <c r="D303" i="11" s="1"/>
  <c r="AZ303" i="2"/>
  <c r="BB303" i="2" s="1"/>
  <c r="O332" i="3"/>
  <c r="AF304" i="2"/>
  <c r="H332" i="3"/>
  <c r="AZ304" i="11" s="1"/>
  <c r="L302" i="11"/>
  <c r="BH303" i="2" l="1"/>
  <c r="BI303" i="2" s="1"/>
  <c r="AW304" i="11"/>
  <c r="CF304" i="11" s="1"/>
  <c r="AF51" i="20" s="1"/>
  <c r="AF52" i="20" s="1"/>
  <c r="AF53" i="20" s="1"/>
  <c r="CI304" i="11"/>
  <c r="AF75" i="20" s="1"/>
  <c r="AF77" i="20" s="1"/>
  <c r="AF78" i="20" s="1"/>
  <c r="AW303" i="2"/>
  <c r="F303" i="11" s="1"/>
  <c r="AP304" i="2"/>
  <c r="K332" i="3"/>
  <c r="I332" i="3"/>
  <c r="J332" i="3"/>
  <c r="P304" i="11" s="1"/>
  <c r="AF58" i="20" l="1"/>
  <c r="AF59" i="20" s="1"/>
  <c r="AF68" i="20"/>
  <c r="AF69" i="20" s="1"/>
  <c r="AF79" i="20" s="1"/>
  <c r="AF81" i="20" s="1"/>
  <c r="AR304" i="2"/>
  <c r="AS304" i="2" s="1"/>
  <c r="BD304" i="2"/>
  <c r="BF304" i="2" s="1"/>
  <c r="BG304" i="2" s="1"/>
  <c r="L303" i="11"/>
  <c r="M332" i="3"/>
  <c r="V305" i="2" s="1"/>
  <c r="AK305" i="2" s="1"/>
  <c r="L332" i="3"/>
  <c r="AE304" i="2" s="1"/>
  <c r="AM305" i="2" l="1"/>
  <c r="AT305" i="2" s="1"/>
  <c r="AW305" i="2" s="1"/>
  <c r="F305" i="11" s="1"/>
  <c r="L305" i="11" s="1"/>
  <c r="BA305" i="2"/>
  <c r="BB305" i="2" s="1"/>
  <c r="BH305" i="2" s="1"/>
  <c r="BI305" i="2" s="1"/>
  <c r="AL304" i="2"/>
  <c r="O302" i="19"/>
  <c r="D305" i="11" l="1"/>
  <c r="AM304" i="2"/>
  <c r="AT304" i="2" s="1"/>
  <c r="D304" i="11" s="1"/>
  <c r="AZ304" i="2"/>
  <c r="BB304" i="2" s="1"/>
  <c r="BH304" i="2" s="1"/>
  <c r="BI304" i="2" s="1"/>
  <c r="AW304" i="2" l="1"/>
  <c r="F304" i="11" s="1"/>
  <c r="L304" i="11" s="1"/>
  <c r="C1" i="6" l="1"/>
  <c r="O44" i="7" l="1"/>
  <c r="P44" i="7" l="1"/>
  <c r="U44" i="7"/>
  <c r="V44" i="7" l="1"/>
  <c r="AE44" i="7" s="1"/>
  <c r="Q44" i="7"/>
  <c r="BC44" i="7" l="1"/>
  <c r="AX44" i="7"/>
  <c r="Y44" i="11" s="1"/>
  <c r="BH52" i="11" s="1"/>
  <c r="K7" i="20" s="1"/>
  <c r="K12" i="20" s="1"/>
  <c r="AV44" i="11"/>
  <c r="CE52" i="11" s="1"/>
  <c r="K50" i="20" s="1"/>
  <c r="AF44" i="7"/>
  <c r="K44" i="2" s="1"/>
  <c r="L44" i="2" s="1"/>
  <c r="DA44" i="7"/>
  <c r="CE44" i="7"/>
  <c r="M44" i="2" l="1"/>
  <c r="V44" i="11"/>
  <c r="BE52" i="11" s="1"/>
  <c r="AG44" i="7"/>
  <c r="AH44" i="7" s="1"/>
  <c r="BU44" i="7" s="1"/>
  <c r="BX44" i="7"/>
  <c r="AM44" i="11" s="1"/>
  <c r="CA44" i="7"/>
  <c r="AD44" i="2"/>
  <c r="U44" i="11" l="1"/>
  <c r="BD52" i="11" s="1"/>
  <c r="K34" i="20" s="1"/>
  <c r="U44" i="2"/>
  <c r="AO44" i="11" s="1"/>
  <c r="AD44" i="11"/>
  <c r="BM52" i="11" s="1"/>
  <c r="K14" i="20" s="1"/>
  <c r="K15" i="20" s="1"/>
  <c r="K19" i="20" s="1"/>
  <c r="K67" i="20" s="1"/>
  <c r="CB44" i="7"/>
  <c r="CS44" i="7" s="1"/>
  <c r="CU44" i="7" s="1"/>
  <c r="CF44" i="7"/>
  <c r="CH44" i="7" s="1"/>
  <c r="CI44" i="7" s="1"/>
  <c r="CV44" i="7"/>
  <c r="CX44" i="7" s="1"/>
  <c r="N50" i="19"/>
  <c r="CC44" i="7" l="1"/>
  <c r="CK44" i="7" s="1"/>
  <c r="CQ44" i="7" s="1"/>
  <c r="B50" i="19"/>
  <c r="BX52" i="11"/>
  <c r="K36" i="20" s="1"/>
  <c r="K40" i="20" s="1"/>
  <c r="CY44" i="7"/>
  <c r="CZ44" i="7" s="1"/>
  <c r="O34" i="7"/>
  <c r="CN44" i="7" l="1"/>
  <c r="P34" i="7"/>
  <c r="U34" i="7"/>
  <c r="V34" i="7" l="1"/>
  <c r="AE34" i="7" s="1"/>
  <c r="I44" i="11"/>
  <c r="Q34" i="7"/>
  <c r="AX34" i="7" s="1"/>
  <c r="AF34" i="7" l="1"/>
  <c r="K34" i="2" s="1"/>
  <c r="L34" i="2" s="1"/>
  <c r="DA34" i="7"/>
  <c r="BC34" i="7"/>
  <c r="Y34" i="11" l="1"/>
  <c r="BH40" i="11" s="1"/>
  <c r="J7" i="20" s="1"/>
  <c r="J12" i="20" s="1"/>
  <c r="AV34" i="11"/>
  <c r="CE40" i="11" s="1"/>
  <c r="J50" i="20" s="1"/>
  <c r="C38" i="19"/>
  <c r="AG34" i="7"/>
  <c r="AH34" i="7" s="1"/>
  <c r="BU34" i="7" s="1"/>
  <c r="V34" i="11"/>
  <c r="BE40" i="11" s="1"/>
  <c r="M34" i="2"/>
  <c r="CE34" i="7"/>
  <c r="CA34" i="7"/>
  <c r="BX34" i="7"/>
  <c r="AD34" i="2"/>
  <c r="U34" i="11" l="1"/>
  <c r="BD40" i="11" s="1"/>
  <c r="J34" i="20" s="1"/>
  <c r="U34" i="2"/>
  <c r="AM34" i="11"/>
  <c r="BV40" i="11" s="1"/>
  <c r="J29" i="20" s="1"/>
  <c r="J31" i="20" s="1"/>
  <c r="AD34" i="11"/>
  <c r="BM40" i="11" s="1"/>
  <c r="J14" i="20" s="1"/>
  <c r="J15" i="20" s="1"/>
  <c r="J19" i="20" s="1"/>
  <c r="J67" i="20" s="1"/>
  <c r="AO34" i="11"/>
  <c r="CF34" i="7"/>
  <c r="CH34" i="7" s="1"/>
  <c r="CI34" i="7" s="1"/>
  <c r="CB34" i="7"/>
  <c r="S38" i="19"/>
  <c r="CV34" i="7"/>
  <c r="CX34" i="7" s="1"/>
  <c r="N38" i="19"/>
  <c r="B38" i="19" l="1"/>
  <c r="BX40" i="11"/>
  <c r="J36" i="20" s="1"/>
  <c r="J40" i="20" s="1"/>
  <c r="J41" i="20" s="1"/>
  <c r="J42" i="20" s="1"/>
  <c r="CC34" i="7"/>
  <c r="CS34" i="7"/>
  <c r="CU34" i="7" s="1"/>
  <c r="CY34" i="7" s="1"/>
  <c r="CZ34" i="7" s="1"/>
  <c r="CK34" i="7" l="1"/>
  <c r="CM34" i="7" s="1"/>
  <c r="H34" i="11" l="1"/>
  <c r="CM35" i="7"/>
  <c r="H35" i="11" s="1"/>
  <c r="CQ34" i="7"/>
  <c r="CN34" i="7"/>
  <c r="CO34" i="7" s="1"/>
  <c r="J34" i="11" s="1"/>
  <c r="CM36" i="7" l="1"/>
  <c r="CM37" i="7" s="1"/>
  <c r="H37" i="11" s="1"/>
  <c r="CO35" i="7"/>
  <c r="J35" i="11" s="1"/>
  <c r="I34" i="11"/>
  <c r="H36" i="11" l="1"/>
  <c r="CM38" i="7"/>
  <c r="CM39" i="7" s="1"/>
  <c r="H39" i="11" s="1"/>
  <c r="CO36" i="7"/>
  <c r="J36" i="11" s="1"/>
  <c r="CM40" i="7" l="1"/>
  <c r="H40" i="11" s="1"/>
  <c r="H38" i="11"/>
  <c r="CO37" i="7"/>
  <c r="J37" i="11" s="1"/>
  <c r="CM41" i="7" l="1"/>
  <c r="CM42" i="7" s="1"/>
  <c r="CO38" i="7"/>
  <c r="J38" i="11" s="1"/>
  <c r="H41" i="11" l="1"/>
  <c r="CO39" i="7"/>
  <c r="J39" i="11" s="1"/>
  <c r="H42" i="11"/>
  <c r="CM43" i="7"/>
  <c r="CO40" i="7" l="1"/>
  <c r="J40" i="11" s="1"/>
  <c r="H43" i="11"/>
  <c r="CM44" i="7"/>
  <c r="CO41" i="7" l="1"/>
  <c r="J41" i="11" s="1"/>
  <c r="CM45" i="7"/>
  <c r="H44" i="11"/>
  <c r="CO42" i="7" l="1"/>
  <c r="J42" i="11" s="1"/>
  <c r="CM46" i="7"/>
  <c r="H45" i="11"/>
  <c r="CO43" i="7" l="1"/>
  <c r="J43" i="11" s="1"/>
  <c r="H46" i="11"/>
  <c r="CM47" i="7"/>
  <c r="CO44" i="7" l="1"/>
  <c r="J44" i="11" s="1"/>
  <c r="H47" i="11"/>
  <c r="CO45" i="7" l="1"/>
  <c r="J45" i="11" s="1"/>
  <c r="C50" i="19"/>
  <c r="CO46" i="7" l="1"/>
  <c r="J46" i="11" s="1"/>
  <c r="CA48" i="7"/>
  <c r="CE48" i="7"/>
  <c r="BX48" i="7"/>
  <c r="AM48" i="11" l="1"/>
  <c r="BV52" i="11" s="1"/>
  <c r="K29" i="20" s="1"/>
  <c r="K31" i="20" s="1"/>
  <c r="K41" i="20" s="1"/>
  <c r="K42" i="20" s="1"/>
  <c r="CF48" i="7"/>
  <c r="CH48" i="7" s="1"/>
  <c r="CI48" i="7" s="1"/>
  <c r="CB48" i="7"/>
  <c r="CO47" i="7"/>
  <c r="J47" i="11" s="1"/>
  <c r="S50" i="19"/>
  <c r="CV48" i="7"/>
  <c r="CX48" i="7" s="1"/>
  <c r="CC48" i="7" l="1"/>
  <c r="CK48" i="7" s="1"/>
  <c r="CS48" i="7"/>
  <c r="CU48" i="7" s="1"/>
  <c r="CY48" i="7" s="1"/>
  <c r="CZ48" i="7" l="1"/>
  <c r="O38" i="6" s="1"/>
  <c r="O35" i="6"/>
  <c r="P27" i="1" s="1"/>
  <c r="O34" i="6"/>
  <c r="P25" i="1" s="1"/>
  <c r="CQ48" i="7"/>
  <c r="CM48" i="7"/>
  <c r="CN48" i="7"/>
  <c r="CO48" i="7" s="1"/>
  <c r="J48" i="11" s="1"/>
  <c r="CZ1" i="7" l="1"/>
  <c r="P30" i="1"/>
  <c r="CO49" i="7"/>
  <c r="J49" i="11" s="1"/>
  <c r="P26" i="1"/>
  <c r="I48" i="11"/>
  <c r="H48" i="11"/>
  <c r="CM49" i="7"/>
  <c r="O32" i="6" l="1"/>
  <c r="O33" i="6"/>
  <c r="O36" i="6"/>
  <c r="CO50" i="7"/>
  <c r="J50" i="11" s="1"/>
  <c r="CM50" i="7"/>
  <c r="H49" i="11"/>
  <c r="CO51" i="7" l="1"/>
  <c r="J51" i="11" s="1"/>
  <c r="CM51" i="7"/>
  <c r="H50" i="11"/>
  <c r="CO52" i="7" l="1"/>
  <c r="J52" i="11" s="1"/>
  <c r="H51" i="11"/>
  <c r="CM52" i="7"/>
  <c r="CO53" i="7" l="1"/>
  <c r="J53" i="11" s="1"/>
  <c r="H52" i="11"/>
  <c r="CM53" i="7"/>
  <c r="CO54" i="7" l="1"/>
  <c r="J54" i="11" s="1"/>
  <c r="H53" i="11"/>
  <c r="CM54" i="7"/>
  <c r="CO55" i="7" l="1"/>
  <c r="J55" i="11" s="1"/>
  <c r="H54" i="11"/>
  <c r="CM55" i="7"/>
  <c r="CO56" i="7" l="1"/>
  <c r="J56" i="11" s="1"/>
  <c r="CM56" i="7"/>
  <c r="H55" i="11"/>
  <c r="CO57" i="7" l="1"/>
  <c r="J57" i="11" s="1"/>
  <c r="CM57" i="7"/>
  <c r="H56" i="11"/>
  <c r="CO58" i="7" l="1"/>
  <c r="J58" i="11" s="1"/>
  <c r="H57" i="11"/>
  <c r="CM58" i="7"/>
  <c r="CO59" i="7" l="1"/>
  <c r="J59" i="11" s="1"/>
  <c r="H58" i="11"/>
  <c r="CM59" i="7"/>
  <c r="CO60" i="7" l="1"/>
  <c r="J60" i="11" s="1"/>
  <c r="CM60" i="7"/>
  <c r="H59" i="11"/>
  <c r="CO61" i="7" l="1"/>
  <c r="J61" i="11" s="1"/>
  <c r="CM61" i="7"/>
  <c r="H60" i="11"/>
  <c r="CO62" i="7" l="1"/>
  <c r="J62" i="11" s="1"/>
  <c r="H61" i="11"/>
  <c r="CM62" i="7"/>
  <c r="CO63" i="7" l="1"/>
  <c r="J63" i="11" s="1"/>
  <c r="CM63" i="7"/>
  <c r="H62" i="11"/>
  <c r="CO64" i="7" l="1"/>
  <c r="J64" i="11" s="1"/>
  <c r="CM64" i="7"/>
  <c r="H63" i="11"/>
  <c r="CO65" i="7" l="1"/>
  <c r="J65" i="11" s="1"/>
  <c r="CM65" i="7"/>
  <c r="H64" i="11"/>
  <c r="CO66" i="7" l="1"/>
  <c r="J66" i="11" s="1"/>
  <c r="CM66" i="7"/>
  <c r="H65" i="11"/>
  <c r="CO67" i="7" l="1"/>
  <c r="J67" i="11" s="1"/>
  <c r="H66" i="11"/>
  <c r="CM67" i="7"/>
  <c r="CO68" i="7" l="1"/>
  <c r="J68" i="11" s="1"/>
  <c r="H67" i="11"/>
  <c r="CM68" i="7"/>
  <c r="CO69" i="7" l="1"/>
  <c r="J69" i="11" s="1"/>
  <c r="H68" i="11"/>
  <c r="CM69" i="7"/>
  <c r="CO70" i="7" l="1"/>
  <c r="J70" i="11" s="1"/>
  <c r="CM70" i="7"/>
  <c r="H69" i="11"/>
  <c r="CO71" i="7" l="1"/>
  <c r="J71" i="11" s="1"/>
  <c r="H70" i="11"/>
  <c r="CM71" i="7"/>
  <c r="CO72" i="7" l="1"/>
  <c r="J72" i="11" s="1"/>
  <c r="H71" i="11"/>
  <c r="CM72" i="7"/>
  <c r="CO73" i="7" l="1"/>
  <c r="J73" i="11" s="1"/>
  <c r="CM73" i="7"/>
  <c r="H72" i="11"/>
  <c r="CO74" i="7" l="1"/>
  <c r="J74" i="11" s="1"/>
  <c r="H73" i="11"/>
  <c r="CM74" i="7"/>
  <c r="CO75" i="7" l="1"/>
  <c r="J75" i="11" s="1"/>
  <c r="CM75" i="7"/>
  <c r="H74" i="11"/>
  <c r="CO76" i="7" l="1"/>
  <c r="J76" i="11" s="1"/>
  <c r="CM76" i="7"/>
  <c r="H75" i="11"/>
  <c r="CO77" i="7" l="1"/>
  <c r="J77" i="11" s="1"/>
  <c r="CM77" i="7"/>
  <c r="H76" i="11"/>
  <c r="CO78" i="7" l="1"/>
  <c r="J78" i="11" s="1"/>
  <c r="CM78" i="7"/>
  <c r="H77" i="11"/>
  <c r="CO79" i="7" l="1"/>
  <c r="J79" i="11" s="1"/>
  <c r="H78" i="11"/>
  <c r="CM79" i="7"/>
  <c r="CO80" i="7" l="1"/>
  <c r="J80" i="11" s="1"/>
  <c r="CM80" i="7"/>
  <c r="H79" i="11"/>
  <c r="CO81" i="7" l="1"/>
  <c r="J81" i="11" s="1"/>
  <c r="H80" i="11"/>
  <c r="CM81" i="7"/>
  <c r="CO82" i="7" l="1"/>
  <c r="J82" i="11" s="1"/>
  <c r="H81" i="11"/>
  <c r="CM82" i="7"/>
  <c r="CO83" i="7" l="1"/>
  <c r="J83" i="11" s="1"/>
  <c r="H82" i="11"/>
  <c r="CM83" i="7"/>
  <c r="CO84" i="7" l="1"/>
  <c r="J84" i="11" s="1"/>
  <c r="CM84" i="7"/>
  <c r="H83" i="11"/>
  <c r="CO85" i="7" l="1"/>
  <c r="J85" i="11" s="1"/>
  <c r="H84" i="11"/>
  <c r="CM85" i="7"/>
  <c r="CO86" i="7" l="1"/>
  <c r="J86" i="11" s="1"/>
  <c r="H85" i="11"/>
  <c r="CM86" i="7"/>
  <c r="CO87" i="7" l="1"/>
  <c r="J87" i="11" s="1"/>
  <c r="H86" i="11"/>
  <c r="CM87" i="7"/>
  <c r="CO88" i="7" l="1"/>
  <c r="J88" i="11" s="1"/>
  <c r="H87" i="11"/>
  <c r="CM88" i="7"/>
  <c r="CO89" i="7" l="1"/>
  <c r="J89" i="11" s="1"/>
  <c r="CM89" i="7"/>
  <c r="H88" i="11"/>
  <c r="CO90" i="7" l="1"/>
  <c r="J90" i="11" s="1"/>
  <c r="H89" i="11"/>
  <c r="CM90" i="7"/>
  <c r="CO91" i="7" l="1"/>
  <c r="J91" i="11" s="1"/>
  <c r="H90" i="11"/>
  <c r="CM91" i="7"/>
  <c r="CO92" i="7" l="1"/>
  <c r="J92" i="11" s="1"/>
  <c r="H91" i="11"/>
  <c r="CM92" i="7"/>
  <c r="CO93" i="7" l="1"/>
  <c r="J93" i="11" s="1"/>
  <c r="H92" i="11"/>
  <c r="CM93" i="7"/>
  <c r="CO94" i="7" l="1"/>
  <c r="J94" i="11" s="1"/>
  <c r="H93" i="11"/>
  <c r="CM94" i="7"/>
  <c r="CO95" i="7" l="1"/>
  <c r="J95" i="11" s="1"/>
  <c r="CM95" i="7"/>
  <c r="H94" i="11"/>
  <c r="CO96" i="7" l="1"/>
  <c r="J96" i="11" s="1"/>
  <c r="H95" i="11"/>
  <c r="CM96" i="7"/>
  <c r="CO97" i="7" l="1"/>
  <c r="J97" i="11" s="1"/>
  <c r="CM97" i="7"/>
  <c r="H96" i="11"/>
  <c r="CO98" i="7" l="1"/>
  <c r="J98" i="11" s="1"/>
  <c r="CM98" i="7"/>
  <c r="H97" i="11"/>
  <c r="CO99" i="7" l="1"/>
  <c r="J99" i="11" s="1"/>
  <c r="H98" i="11"/>
  <c r="CM99" i="7"/>
  <c r="CO100" i="7" l="1"/>
  <c r="J100" i="11" s="1"/>
  <c r="CM100" i="7"/>
  <c r="H99" i="11"/>
  <c r="CO101" i="7" l="1"/>
  <c r="J101" i="11" s="1"/>
  <c r="H100" i="11"/>
  <c r="CM101" i="7"/>
  <c r="CO102" i="7" l="1"/>
  <c r="J102" i="11" s="1"/>
  <c r="CM102" i="7"/>
  <c r="H101" i="11"/>
  <c r="CO103" i="7" l="1"/>
  <c r="J103" i="11" s="1"/>
  <c r="H102" i="11"/>
  <c r="CM103" i="7"/>
  <c r="CO104" i="7" l="1"/>
  <c r="J104" i="11" s="1"/>
  <c r="H103" i="11"/>
  <c r="CM104" i="7"/>
  <c r="CO105" i="7" l="1"/>
  <c r="J105" i="11" s="1"/>
  <c r="CM105" i="7"/>
  <c r="H104" i="11"/>
  <c r="CO106" i="7" l="1"/>
  <c r="J106" i="11" s="1"/>
  <c r="CM106" i="7"/>
  <c r="H105" i="11"/>
  <c r="CO107" i="7" l="1"/>
  <c r="J107" i="11" s="1"/>
  <c r="H106" i="11"/>
  <c r="CM107" i="7"/>
  <c r="CO108" i="7" l="1"/>
  <c r="J108" i="11" s="1"/>
  <c r="CM108" i="7"/>
  <c r="H107" i="11"/>
  <c r="CO109" i="7" l="1"/>
  <c r="J109" i="11" s="1"/>
  <c r="CM109" i="7"/>
  <c r="H108" i="11"/>
  <c r="CO110" i="7" l="1"/>
  <c r="J110" i="11" s="1"/>
  <c r="CM110" i="7"/>
  <c r="H109" i="11"/>
  <c r="CO111" i="7" l="1"/>
  <c r="J111" i="11" s="1"/>
  <c r="CM111" i="7"/>
  <c r="H110" i="11"/>
  <c r="CO112" i="7" l="1"/>
  <c r="J112" i="11" s="1"/>
  <c r="H111" i="11"/>
  <c r="CM112" i="7"/>
  <c r="CO113" i="7" l="1"/>
  <c r="J113" i="11" s="1"/>
  <c r="H112" i="11"/>
  <c r="CM113" i="7"/>
  <c r="CO114" i="7" l="1"/>
  <c r="J114" i="11" s="1"/>
  <c r="H113" i="11"/>
  <c r="CM114" i="7"/>
  <c r="CO115" i="7" l="1"/>
  <c r="J115" i="11" s="1"/>
  <c r="H114" i="11"/>
  <c r="CM115" i="7"/>
  <c r="CO116" i="7" l="1"/>
  <c r="J116" i="11" s="1"/>
  <c r="CM116" i="7"/>
  <c r="H115" i="11"/>
  <c r="CO117" i="7" l="1"/>
  <c r="J117" i="11" s="1"/>
  <c r="H116" i="11"/>
  <c r="CM117" i="7"/>
  <c r="CO118" i="7" l="1"/>
  <c r="J118" i="11" s="1"/>
  <c r="H117" i="11"/>
  <c r="CM118" i="7"/>
  <c r="CO119" i="7" l="1"/>
  <c r="J119" i="11" s="1"/>
  <c r="H118" i="11"/>
  <c r="CM119" i="7"/>
  <c r="CO120" i="7" l="1"/>
  <c r="J120" i="11" s="1"/>
  <c r="CM120" i="7"/>
  <c r="H119" i="11"/>
  <c r="CO121" i="7" l="1"/>
  <c r="J121" i="11" s="1"/>
  <c r="H120" i="11"/>
  <c r="CM121" i="7"/>
  <c r="CO122" i="7" l="1"/>
  <c r="J122" i="11" s="1"/>
  <c r="CM122" i="7"/>
  <c r="H121" i="11"/>
  <c r="CO123" i="7" l="1"/>
  <c r="J123" i="11" s="1"/>
  <c r="CM123" i="7"/>
  <c r="H122" i="11"/>
  <c r="CO124" i="7" l="1"/>
  <c r="J124" i="11" s="1"/>
  <c r="H123" i="11"/>
  <c r="CM124" i="7"/>
  <c r="CO125" i="7" l="1"/>
  <c r="P28" i="1"/>
  <c r="CM125" i="7"/>
  <c r="H124" i="11"/>
  <c r="J125" i="11" l="1"/>
  <c r="CO126" i="7"/>
  <c r="J126" i="11" s="1"/>
  <c r="O17" i="6"/>
  <c r="CM126" i="7"/>
  <c r="H125" i="11"/>
  <c r="CO127" i="7" l="1"/>
  <c r="J127" i="11" s="1"/>
  <c r="CM127" i="7"/>
  <c r="H126" i="11"/>
  <c r="CO128" i="7" l="1"/>
  <c r="J128" i="11" s="1"/>
  <c r="H127" i="11"/>
  <c r="CM128" i="7"/>
  <c r="CO129" i="7" l="1"/>
  <c r="J129" i="11" s="1"/>
  <c r="H128" i="11"/>
  <c r="CM129" i="7"/>
  <c r="CO130" i="7" l="1"/>
  <c r="J130" i="11" s="1"/>
  <c r="H129" i="11"/>
  <c r="CM130" i="7"/>
  <c r="CO131" i="7" l="1"/>
  <c r="J131" i="11" s="1"/>
  <c r="H130" i="11"/>
  <c r="CM131" i="7"/>
  <c r="CO132" i="7" l="1"/>
  <c r="J132" i="11" s="1"/>
  <c r="H131" i="11"/>
  <c r="CM132" i="7"/>
  <c r="CO133" i="7" l="1"/>
  <c r="J133" i="11" s="1"/>
  <c r="CM133" i="7"/>
  <c r="H132" i="11"/>
  <c r="CO134" i="7" l="1"/>
  <c r="J134" i="11" s="1"/>
  <c r="CM134" i="7"/>
  <c r="H133" i="11"/>
  <c r="CO135" i="7" l="1"/>
  <c r="J135" i="11" s="1"/>
  <c r="H134" i="11"/>
  <c r="CM135" i="7"/>
  <c r="CO136" i="7" l="1"/>
  <c r="J136" i="11" s="1"/>
  <c r="H135" i="11"/>
  <c r="CM136" i="7"/>
  <c r="CO137" i="7" l="1"/>
  <c r="J137" i="11" s="1"/>
  <c r="H136" i="11"/>
  <c r="CM137" i="7"/>
  <c r="CO138" i="7" l="1"/>
  <c r="J138" i="11" s="1"/>
  <c r="CM138" i="7"/>
  <c r="H137" i="11"/>
  <c r="CO139" i="7" l="1"/>
  <c r="J139" i="11" s="1"/>
  <c r="H138" i="11"/>
  <c r="CM139" i="7"/>
  <c r="CO140" i="7" l="1"/>
  <c r="J140" i="11" s="1"/>
  <c r="H139" i="11"/>
  <c r="CM140" i="7"/>
  <c r="CO141" i="7" l="1"/>
  <c r="J141" i="11" s="1"/>
  <c r="CM141" i="7"/>
  <c r="H140" i="11"/>
  <c r="CO142" i="7" l="1"/>
  <c r="J142" i="11" s="1"/>
  <c r="CM142" i="7"/>
  <c r="H141" i="11"/>
  <c r="CO143" i="7" l="1"/>
  <c r="J143" i="11" s="1"/>
  <c r="CM143" i="7"/>
  <c r="H142" i="11"/>
  <c r="CO144" i="7" l="1"/>
  <c r="J144" i="11" s="1"/>
  <c r="CM144" i="7"/>
  <c r="H143" i="11"/>
  <c r="CO145" i="7" l="1"/>
  <c r="J145" i="11" s="1"/>
  <c r="H144" i="11"/>
  <c r="CM145" i="7"/>
  <c r="CO146" i="7" l="1"/>
  <c r="J146" i="11" s="1"/>
  <c r="CM146" i="7"/>
  <c r="H145" i="11"/>
  <c r="CO147" i="7" l="1"/>
  <c r="J147" i="11" s="1"/>
  <c r="CM147" i="7"/>
  <c r="H146" i="11"/>
  <c r="CO148" i="7" l="1"/>
  <c r="J148" i="11" s="1"/>
  <c r="CM148" i="7"/>
  <c r="H147" i="11"/>
  <c r="CO149" i="7" l="1"/>
  <c r="J149" i="11" s="1"/>
  <c r="H148" i="11"/>
  <c r="CM149" i="7"/>
  <c r="CO150" i="7" l="1"/>
  <c r="J150" i="11" s="1"/>
  <c r="CM150" i="7"/>
  <c r="H149" i="11"/>
  <c r="CO151" i="7" l="1"/>
  <c r="J151" i="11" s="1"/>
  <c r="CM151" i="7"/>
  <c r="H150" i="11"/>
  <c r="CO152" i="7" l="1"/>
  <c r="J152" i="11" s="1"/>
  <c r="CM152" i="7"/>
  <c r="H151" i="11"/>
  <c r="CO153" i="7" l="1"/>
  <c r="J153" i="11" s="1"/>
  <c r="CM153" i="7"/>
  <c r="H152" i="11"/>
  <c r="CO154" i="7" l="1"/>
  <c r="J154" i="11" s="1"/>
  <c r="H153" i="11"/>
  <c r="CM154" i="7"/>
  <c r="CO155" i="7" l="1"/>
  <c r="J155" i="11" s="1"/>
  <c r="H154" i="11"/>
  <c r="CM155" i="7"/>
  <c r="CO156" i="7" l="1"/>
  <c r="J156" i="11" s="1"/>
  <c r="H155" i="11"/>
  <c r="CM156" i="7"/>
  <c r="CO157" i="7" l="1"/>
  <c r="J157" i="11" s="1"/>
  <c r="H156" i="11"/>
  <c r="CM157" i="7"/>
  <c r="CO158" i="7" l="1"/>
  <c r="J158" i="11" s="1"/>
  <c r="H157" i="11"/>
  <c r="CM158" i="7"/>
  <c r="CO159" i="7" l="1"/>
  <c r="J159" i="11" s="1"/>
  <c r="CM159" i="7"/>
  <c r="H158" i="11"/>
  <c r="CO160" i="7" l="1"/>
  <c r="J160" i="11" s="1"/>
  <c r="H159" i="11"/>
  <c r="CM160" i="7"/>
  <c r="CO161" i="7" l="1"/>
  <c r="J161" i="11" s="1"/>
  <c r="CM161" i="7"/>
  <c r="H160" i="11"/>
  <c r="CO162" i="7" l="1"/>
  <c r="J162" i="11" s="1"/>
  <c r="CM162" i="7"/>
  <c r="H161" i="11"/>
  <c r="CO163" i="7" l="1"/>
  <c r="J163" i="11" s="1"/>
  <c r="H162" i="11"/>
  <c r="CM163" i="7"/>
  <c r="CO164" i="7" l="1"/>
  <c r="J164" i="11" s="1"/>
  <c r="H163" i="11"/>
  <c r="CM164" i="7"/>
  <c r="CO165" i="7" l="1"/>
  <c r="J165" i="11" s="1"/>
  <c r="H164" i="11"/>
  <c r="CM165" i="7"/>
  <c r="CO166" i="7" l="1"/>
  <c r="J166" i="11" s="1"/>
  <c r="H165" i="11"/>
  <c r="CM166" i="7"/>
  <c r="CO167" i="7" l="1"/>
  <c r="J167" i="11" s="1"/>
  <c r="H166" i="11"/>
  <c r="CM167" i="7"/>
  <c r="CO168" i="7" l="1"/>
  <c r="J168" i="11" s="1"/>
  <c r="CM168" i="7"/>
  <c r="H167" i="11"/>
  <c r="CO169" i="7" l="1"/>
  <c r="J169" i="11" s="1"/>
  <c r="CM169" i="7"/>
  <c r="H168" i="11"/>
  <c r="CO170" i="7" l="1"/>
  <c r="J170" i="11" s="1"/>
  <c r="CM170" i="7"/>
  <c r="H169" i="11"/>
  <c r="CO171" i="7" l="1"/>
  <c r="J171" i="11" s="1"/>
  <c r="H170" i="11"/>
  <c r="CM171" i="7"/>
  <c r="CO172" i="7" l="1"/>
  <c r="J172" i="11" s="1"/>
  <c r="CM172" i="7"/>
  <c r="H171" i="11"/>
  <c r="CO173" i="7" l="1"/>
  <c r="J173" i="11" s="1"/>
  <c r="H172" i="11"/>
  <c r="CM173" i="7"/>
  <c r="CO174" i="7" l="1"/>
  <c r="J174" i="11" s="1"/>
  <c r="H173" i="11"/>
  <c r="CM174" i="7"/>
  <c r="CO175" i="7" l="1"/>
  <c r="J175" i="11" s="1"/>
  <c r="CM175" i="7"/>
  <c r="H174" i="11"/>
  <c r="CO176" i="7" l="1"/>
  <c r="J176" i="11" s="1"/>
  <c r="H175" i="11"/>
  <c r="CM176" i="7"/>
  <c r="CO177" i="7" l="1"/>
  <c r="J177" i="11" s="1"/>
  <c r="H176" i="11"/>
  <c r="CM177" i="7"/>
  <c r="CO178" i="7" l="1"/>
  <c r="J178" i="11" s="1"/>
  <c r="CM178" i="7"/>
  <c r="H177" i="11"/>
  <c r="CO179" i="7" l="1"/>
  <c r="J179" i="11" s="1"/>
  <c r="CM179" i="7"/>
  <c r="H178" i="11"/>
  <c r="CO180" i="7" l="1"/>
  <c r="J180" i="11" s="1"/>
  <c r="CM180" i="7"/>
  <c r="H179" i="11"/>
  <c r="CO181" i="7" l="1"/>
  <c r="J181" i="11" s="1"/>
  <c r="CM181" i="7"/>
  <c r="H180" i="11"/>
  <c r="CO182" i="7" l="1"/>
  <c r="J182" i="11" s="1"/>
  <c r="H181" i="11"/>
  <c r="CM182" i="7"/>
  <c r="CO183" i="7" l="1"/>
  <c r="J183" i="11" s="1"/>
  <c r="H182" i="11"/>
  <c r="CM183" i="7"/>
  <c r="CO184" i="7" l="1"/>
  <c r="J184" i="11" s="1"/>
  <c r="H183" i="11"/>
  <c r="CM184" i="7"/>
  <c r="CO185" i="7" l="1"/>
  <c r="J185" i="11" s="1"/>
  <c r="H184" i="11"/>
  <c r="CM185" i="7"/>
  <c r="CO186" i="7" l="1"/>
  <c r="J186" i="11" s="1"/>
  <c r="CM186" i="7"/>
  <c r="H185" i="11"/>
  <c r="CO187" i="7" l="1"/>
  <c r="J187" i="11" s="1"/>
  <c r="CM187" i="7"/>
  <c r="H186" i="11"/>
  <c r="CO188" i="7" l="1"/>
  <c r="J188" i="11" s="1"/>
  <c r="CM188" i="7"/>
  <c r="H187" i="11"/>
  <c r="CO189" i="7" l="1"/>
  <c r="J189" i="11" s="1"/>
  <c r="CM189" i="7"/>
  <c r="H188" i="11"/>
  <c r="CO190" i="7" l="1"/>
  <c r="J190" i="11" s="1"/>
  <c r="CM190" i="7"/>
  <c r="H189" i="11"/>
  <c r="CO191" i="7" l="1"/>
  <c r="J191" i="11" s="1"/>
  <c r="H190" i="11"/>
  <c r="CM191" i="7"/>
  <c r="CO192" i="7" l="1"/>
  <c r="J192" i="11" s="1"/>
  <c r="H191" i="11"/>
  <c r="CM192" i="7"/>
  <c r="CO193" i="7" l="1"/>
  <c r="J193" i="11" s="1"/>
  <c r="CM193" i="7"/>
  <c r="H192" i="11"/>
  <c r="CO194" i="7" l="1"/>
  <c r="J194" i="11" s="1"/>
  <c r="CM194" i="7"/>
  <c r="H193" i="11"/>
  <c r="CO195" i="7" l="1"/>
  <c r="J195" i="11" s="1"/>
  <c r="H194" i="11"/>
  <c r="CM195" i="7"/>
  <c r="CO196" i="7" l="1"/>
  <c r="J196" i="11" s="1"/>
  <c r="H195" i="11"/>
  <c r="CM196" i="7"/>
  <c r="CO197" i="7" l="1"/>
  <c r="J197" i="11" s="1"/>
  <c r="CM197" i="7"/>
  <c r="H196" i="11"/>
  <c r="CO198" i="7" l="1"/>
  <c r="J198" i="11" s="1"/>
  <c r="CM198" i="7"/>
  <c r="H197" i="11"/>
  <c r="CO199" i="7" l="1"/>
  <c r="J199" i="11" s="1"/>
  <c r="H198" i="11"/>
  <c r="CM199" i="7"/>
  <c r="CO200" i="7" l="1"/>
  <c r="J200" i="11" s="1"/>
  <c r="H199" i="11"/>
  <c r="CM200" i="7"/>
  <c r="CO201" i="7" l="1"/>
  <c r="J201" i="11" s="1"/>
  <c r="H200" i="11"/>
  <c r="CM201" i="7"/>
  <c r="CO202" i="7" l="1"/>
  <c r="J202" i="11" s="1"/>
  <c r="CM202" i="7"/>
  <c r="H201" i="11"/>
  <c r="CO203" i="7" l="1"/>
  <c r="J203" i="11" s="1"/>
  <c r="H202" i="11"/>
  <c r="CM203" i="7"/>
  <c r="CO204" i="7" l="1"/>
  <c r="J204" i="11" s="1"/>
  <c r="H203" i="11"/>
  <c r="CM204" i="7"/>
  <c r="CO205" i="7" l="1"/>
  <c r="J205" i="11" s="1"/>
  <c r="CM205" i="7"/>
  <c r="H204" i="11"/>
  <c r="CO206" i="7" l="1"/>
  <c r="J206" i="11" s="1"/>
  <c r="CM206" i="7"/>
  <c r="H205" i="11"/>
  <c r="CO207" i="7" l="1"/>
  <c r="J207" i="11" s="1"/>
  <c r="CM207" i="7"/>
  <c r="H206" i="11"/>
  <c r="CO208" i="7" l="1"/>
  <c r="J208" i="11" s="1"/>
  <c r="CM208" i="7"/>
  <c r="H207" i="11"/>
  <c r="CO209" i="7" l="1"/>
  <c r="J209" i="11" s="1"/>
  <c r="H208" i="11"/>
  <c r="CM209" i="7"/>
  <c r="CO210" i="7" l="1"/>
  <c r="J210" i="11" s="1"/>
  <c r="CM210" i="7"/>
  <c r="H209" i="11"/>
  <c r="CO211" i="7" l="1"/>
  <c r="J211" i="11" s="1"/>
  <c r="CM211" i="7"/>
  <c r="H210" i="11"/>
  <c r="CO212" i="7" l="1"/>
  <c r="J212" i="11" s="1"/>
  <c r="CM212" i="7"/>
  <c r="H211" i="11"/>
  <c r="CO213" i="7" l="1"/>
  <c r="J213" i="11" s="1"/>
  <c r="H212" i="11"/>
  <c r="CM213" i="7"/>
  <c r="CO214" i="7" l="1"/>
  <c r="J214" i="11" s="1"/>
  <c r="CM214" i="7"/>
  <c r="H213" i="11"/>
  <c r="CO215" i="7" l="1"/>
  <c r="J215" i="11" s="1"/>
  <c r="CM215" i="7"/>
  <c r="H214" i="11"/>
  <c r="CO216" i="7" l="1"/>
  <c r="J216" i="11" s="1"/>
  <c r="CM216" i="7"/>
  <c r="H215" i="11"/>
  <c r="CO217" i="7" l="1"/>
  <c r="J217" i="11" s="1"/>
  <c r="CM217" i="7"/>
  <c r="H216" i="11"/>
  <c r="CO218" i="7" l="1"/>
  <c r="J218" i="11" s="1"/>
  <c r="CM218" i="7"/>
  <c r="H217" i="11"/>
  <c r="CO219" i="7" l="1"/>
  <c r="J219" i="11" s="1"/>
  <c r="H218" i="11"/>
  <c r="CM219" i="7"/>
  <c r="CO220" i="7" l="1"/>
  <c r="J220" i="11" s="1"/>
  <c r="H219" i="11"/>
  <c r="CM220" i="7"/>
  <c r="CO221" i="7" l="1"/>
  <c r="J221" i="11" s="1"/>
  <c r="H220" i="11"/>
  <c r="CM221" i="7"/>
  <c r="CO222" i="7" l="1"/>
  <c r="J222" i="11" s="1"/>
  <c r="H221" i="11"/>
  <c r="CM222" i="7"/>
  <c r="CO223" i="7" l="1"/>
  <c r="J223" i="11" s="1"/>
  <c r="CM223" i="7"/>
  <c r="H222" i="11"/>
  <c r="CO224" i="7" l="1"/>
  <c r="J224" i="11" s="1"/>
  <c r="H223" i="11"/>
  <c r="CM224" i="7"/>
  <c r="CO225" i="7" l="1"/>
  <c r="J225" i="11" s="1"/>
  <c r="CM225" i="7"/>
  <c r="H224" i="11"/>
  <c r="CO226" i="7" l="1"/>
  <c r="J226" i="11" s="1"/>
  <c r="CM226" i="7"/>
  <c r="H225" i="11"/>
  <c r="CO227" i="7" l="1"/>
  <c r="J227" i="11" s="1"/>
  <c r="H226" i="11"/>
  <c r="CM227" i="7"/>
  <c r="CO228" i="7" l="1"/>
  <c r="J228" i="11" s="1"/>
  <c r="H227" i="11"/>
  <c r="CM228" i="7"/>
  <c r="CO229" i="7" l="1"/>
  <c r="J229" i="11" s="1"/>
  <c r="H228" i="11"/>
  <c r="CM229" i="7"/>
  <c r="CO230" i="7" l="1"/>
  <c r="J230" i="11" s="1"/>
  <c r="H229" i="11"/>
  <c r="CM230" i="7"/>
  <c r="CO231" i="7" l="1"/>
  <c r="J231" i="11" s="1"/>
  <c r="H230" i="11"/>
  <c r="CM231" i="7"/>
  <c r="CO232" i="7" l="1"/>
  <c r="J232" i="11" s="1"/>
  <c r="CM232" i="7"/>
  <c r="H231" i="11"/>
  <c r="CO233" i="7" l="1"/>
  <c r="J233" i="11" s="1"/>
  <c r="CM233" i="7"/>
  <c r="H232" i="11"/>
  <c r="CO234" i="7" l="1"/>
  <c r="J234" i="11" s="1"/>
  <c r="H233" i="11"/>
  <c r="CM234" i="7"/>
  <c r="CO235" i="7" l="1"/>
  <c r="J235" i="11" s="1"/>
  <c r="H234" i="11"/>
  <c r="CM235" i="7"/>
  <c r="CO236" i="7" l="1"/>
  <c r="J236" i="11" s="1"/>
  <c r="H235" i="11"/>
  <c r="CM236" i="7"/>
  <c r="CO237" i="7" l="1"/>
  <c r="J237" i="11" s="1"/>
  <c r="H236" i="11"/>
  <c r="CM237" i="7"/>
  <c r="CO238" i="7" l="1"/>
  <c r="J238" i="11" s="1"/>
  <c r="H237" i="11"/>
  <c r="CM238" i="7"/>
  <c r="CO239" i="7" l="1"/>
  <c r="J239" i="11" s="1"/>
  <c r="H238" i="11"/>
  <c r="CM239" i="7"/>
  <c r="CO240" i="7" l="1"/>
  <c r="J240" i="11" s="1"/>
  <c r="CM240" i="7"/>
  <c r="H239" i="11"/>
  <c r="CO241" i="7" l="1"/>
  <c r="J241" i="11" s="1"/>
  <c r="H240" i="11"/>
  <c r="CM241" i="7"/>
  <c r="CO242" i="7" l="1"/>
  <c r="J242" i="11" s="1"/>
  <c r="CM242" i="7"/>
  <c r="H241" i="11"/>
  <c r="CO243" i="7" l="1"/>
  <c r="J243" i="11" s="1"/>
  <c r="CM243" i="7"/>
  <c r="H242" i="11"/>
  <c r="CO244" i="7" l="1"/>
  <c r="J244" i="11" s="1"/>
  <c r="CM244" i="7"/>
  <c r="H243" i="11"/>
  <c r="CO245" i="7" l="1"/>
  <c r="J245" i="11" s="1"/>
  <c r="H244" i="11"/>
  <c r="CM245" i="7"/>
  <c r="CO246" i="7" l="1"/>
  <c r="J246" i="11" s="1"/>
  <c r="H245" i="11"/>
  <c r="CM246" i="7"/>
  <c r="CO247" i="7" l="1"/>
  <c r="J247" i="11" s="1"/>
  <c r="H246" i="11"/>
  <c r="CM247" i="7"/>
  <c r="CO248" i="7" l="1"/>
  <c r="J248" i="11" s="1"/>
  <c r="H247" i="11"/>
  <c r="CM248" i="7"/>
  <c r="CO249" i="7" l="1"/>
  <c r="J249" i="11" s="1"/>
  <c r="CM249" i="7"/>
  <c r="H248" i="11"/>
  <c r="CO250" i="7" l="1"/>
  <c r="J250" i="11" s="1"/>
  <c r="CM250" i="7"/>
  <c r="H249" i="11"/>
  <c r="CO251" i="7" l="1"/>
  <c r="J251" i="11" s="1"/>
  <c r="CM251" i="7"/>
  <c r="H250" i="11"/>
  <c r="CO252" i="7" l="1"/>
  <c r="J252" i="11" s="1"/>
  <c r="H251" i="11"/>
  <c r="CM252" i="7"/>
  <c r="CO253" i="7" l="1"/>
  <c r="J253" i="11" s="1"/>
  <c r="CM253" i="7"/>
  <c r="H252" i="11"/>
  <c r="CO254" i="7" l="1"/>
  <c r="J254" i="11" s="1"/>
  <c r="H253" i="11"/>
  <c r="CM254" i="7"/>
  <c r="CO255" i="7" l="1"/>
  <c r="J255" i="11" s="1"/>
  <c r="H254" i="11"/>
  <c r="CM255" i="7"/>
  <c r="CO256" i="7" l="1"/>
  <c r="J256" i="11" s="1"/>
  <c r="H255" i="11"/>
  <c r="CM256" i="7"/>
  <c r="CO257" i="7" l="1"/>
  <c r="J257" i="11" s="1"/>
  <c r="CM257" i="7"/>
  <c r="H256" i="11"/>
  <c r="CO258" i="7" l="1"/>
  <c r="J258" i="11" s="1"/>
  <c r="CM258" i="7"/>
  <c r="H257" i="11"/>
  <c r="CO259" i="7" l="1"/>
  <c r="J259" i="11" s="1"/>
  <c r="CM259" i="7"/>
  <c r="H258" i="11"/>
  <c r="CO260" i="7" l="1"/>
  <c r="J260" i="11" s="1"/>
  <c r="H259" i="11"/>
  <c r="CM260" i="7"/>
  <c r="CO261" i="7" l="1"/>
  <c r="J261" i="11" s="1"/>
  <c r="H260" i="11"/>
  <c r="CM261" i="7"/>
  <c r="CO262" i="7" l="1"/>
  <c r="J262" i="11" s="1"/>
  <c r="H261" i="11"/>
  <c r="CM262" i="7"/>
  <c r="CO263" i="7" l="1"/>
  <c r="J263" i="11" s="1"/>
  <c r="H262" i="11"/>
  <c r="CM263" i="7"/>
  <c r="CO264" i="7" l="1"/>
  <c r="J264" i="11" s="1"/>
  <c r="CM264" i="7"/>
  <c r="H263" i="11"/>
  <c r="CO265" i="7" l="1"/>
  <c r="J265" i="11" s="1"/>
  <c r="H264" i="11"/>
  <c r="CM265" i="7"/>
  <c r="CO266" i="7" l="1"/>
  <c r="J266" i="11" s="1"/>
  <c r="CM266" i="7"/>
  <c r="H265" i="11"/>
  <c r="CO267" i="7" l="1"/>
  <c r="J267" i="11" s="1"/>
  <c r="H266" i="11"/>
  <c r="CM267" i="7"/>
  <c r="CO268" i="7" l="1"/>
  <c r="J268" i="11" s="1"/>
  <c r="CM268" i="7"/>
  <c r="H267" i="11"/>
  <c r="CO269" i="7" l="1"/>
  <c r="J269" i="11" s="1"/>
  <c r="H268" i="11"/>
  <c r="CM269" i="7"/>
  <c r="CO270" i="7" l="1"/>
  <c r="J270" i="11" s="1"/>
  <c r="H269" i="11"/>
  <c r="CM270" i="7"/>
  <c r="CO271" i="7" l="1"/>
  <c r="J271" i="11" s="1"/>
  <c r="CM271" i="7"/>
  <c r="H270" i="11"/>
  <c r="CO272" i="7" l="1"/>
  <c r="J272" i="11" s="1"/>
  <c r="H271" i="11"/>
  <c r="CM272" i="7"/>
  <c r="CO273" i="7" l="1"/>
  <c r="J273" i="11" s="1"/>
  <c r="H272" i="11"/>
  <c r="CM273" i="7"/>
  <c r="CO274" i="7" l="1"/>
  <c r="J274" i="11" s="1"/>
  <c r="CM274" i="7"/>
  <c r="H273" i="11"/>
  <c r="CO275" i="7" l="1"/>
  <c r="J275" i="11" s="1"/>
  <c r="CM275" i="7"/>
  <c r="H274" i="11"/>
  <c r="CO276" i="7" l="1"/>
  <c r="J276" i="11" s="1"/>
  <c r="CM276" i="7"/>
  <c r="H275" i="11"/>
  <c r="CO277" i="7" l="1"/>
  <c r="J277" i="11" s="1"/>
  <c r="CM277" i="7"/>
  <c r="H276" i="11"/>
  <c r="CO278" i="7" l="1"/>
  <c r="J278" i="11" s="1"/>
  <c r="H277" i="11"/>
  <c r="CM278" i="7"/>
  <c r="CO279" i="7" l="1"/>
  <c r="J279" i="11" s="1"/>
  <c r="H278" i="11"/>
  <c r="CM279" i="7"/>
  <c r="CO280" i="7" l="1"/>
  <c r="J280" i="11" s="1"/>
  <c r="H279" i="11"/>
  <c r="CM280" i="7"/>
  <c r="CO281" i="7" l="1"/>
  <c r="J281" i="11" s="1"/>
  <c r="H280" i="11"/>
  <c r="CM281" i="7"/>
  <c r="CO282" i="7" l="1"/>
  <c r="J282" i="11" s="1"/>
  <c r="CM282" i="7"/>
  <c r="H281" i="11"/>
  <c r="CO283" i="7" l="1"/>
  <c r="J283" i="11" s="1"/>
  <c r="CM283" i="7"/>
  <c r="H282" i="11"/>
  <c r="CO284" i="7" l="1"/>
  <c r="J284" i="11" s="1"/>
  <c r="H283" i="11"/>
  <c r="CM284" i="7"/>
  <c r="CO285" i="7" l="1"/>
  <c r="J285" i="11" s="1"/>
  <c r="CM285" i="7"/>
  <c r="H284" i="11"/>
  <c r="CO286" i="7" l="1"/>
  <c r="J286" i="11" s="1"/>
  <c r="H285" i="11"/>
  <c r="CM286" i="7"/>
  <c r="CO287" i="7" l="1"/>
  <c r="J287" i="11" s="1"/>
  <c r="H286" i="11"/>
  <c r="CM287" i="7"/>
  <c r="CO288" i="7" l="1"/>
  <c r="J288" i="11" s="1"/>
  <c r="H287" i="11"/>
  <c r="CM288" i="7"/>
  <c r="CO289" i="7" l="1"/>
  <c r="J289" i="11" s="1"/>
  <c r="CM289" i="7"/>
  <c r="H288" i="11"/>
  <c r="CO290" i="7" l="1"/>
  <c r="J290" i="11" s="1"/>
  <c r="CM290" i="7"/>
  <c r="H289" i="11"/>
  <c r="CO291" i="7" l="1"/>
  <c r="J291" i="11" s="1"/>
  <c r="CM291" i="7"/>
  <c r="H290" i="11"/>
  <c r="CO292" i="7" l="1"/>
  <c r="J292" i="11" s="1"/>
  <c r="H291" i="11"/>
  <c r="CM292" i="7"/>
  <c r="CO293" i="7" l="1"/>
  <c r="J293" i="11" s="1"/>
  <c r="CM293" i="7"/>
  <c r="H292" i="11"/>
  <c r="CO294" i="7" l="1"/>
  <c r="J294" i="11" s="1"/>
  <c r="H293" i="11"/>
  <c r="CM294" i="7"/>
  <c r="CO295" i="7" l="1"/>
  <c r="J295" i="11" s="1"/>
  <c r="H294" i="11"/>
  <c r="CM295" i="7"/>
  <c r="CO296" i="7" l="1"/>
  <c r="J296" i="11" s="1"/>
  <c r="CM296" i="7"/>
  <c r="H295" i="11"/>
  <c r="CO297" i="7" l="1"/>
  <c r="J297" i="11" s="1"/>
  <c r="H296" i="11"/>
  <c r="CM297" i="7"/>
  <c r="CO298" i="7" l="1"/>
  <c r="J298" i="11" s="1"/>
  <c r="CM298" i="7"/>
  <c r="H297" i="11"/>
  <c r="CO299" i="7" l="1"/>
  <c r="J299" i="11" s="1"/>
  <c r="H298" i="11"/>
  <c r="CM299" i="7"/>
  <c r="CO300" i="7" l="1"/>
  <c r="J300" i="11" s="1"/>
  <c r="H299" i="11"/>
  <c r="CM300" i="7"/>
  <c r="CO301" i="7" l="1"/>
  <c r="J301" i="11" s="1"/>
  <c r="CM301" i="7"/>
  <c r="H300" i="11"/>
  <c r="CO302" i="7" l="1"/>
  <c r="J302" i="11" s="1"/>
  <c r="H301" i="11"/>
  <c r="CM302" i="7"/>
  <c r="CO303" i="7" l="1"/>
  <c r="J303" i="11" s="1"/>
  <c r="CM303" i="7"/>
  <c r="H302" i="11"/>
  <c r="CO304" i="7" l="1"/>
  <c r="J304" i="11" s="1"/>
  <c r="H303" i="11"/>
  <c r="CM304" i="7"/>
  <c r="K2" i="2"/>
  <c r="CO305" i="7" l="1"/>
  <c r="H304" i="11"/>
  <c r="CM305" i="7"/>
  <c r="E26" i="1"/>
  <c r="M2" i="2"/>
  <c r="CO306" i="7" l="1"/>
  <c r="CM306" i="7"/>
  <c r="H305" i="11"/>
  <c r="J2" i="11"/>
  <c r="P29" i="1" s="1"/>
  <c r="AD5" i="2"/>
  <c r="N14" i="19" s="1"/>
  <c r="CO307" i="7" l="1"/>
  <c r="CM307" i="7"/>
  <c r="H306" i="11"/>
  <c r="O37" i="6"/>
  <c r="CO308" i="7" l="1"/>
  <c r="CM308" i="7"/>
  <c r="H307" i="11"/>
  <c r="CO309" i="7" l="1"/>
  <c r="CM309" i="7"/>
  <c r="H308" i="11"/>
  <c r="CO310" i="7" l="1"/>
  <c r="CM310" i="7"/>
  <c r="H309" i="11"/>
  <c r="CO311" i="7" l="1"/>
  <c r="CM311" i="7"/>
  <c r="H310" i="11"/>
  <c r="CO312" i="7" l="1"/>
  <c r="CM312" i="7"/>
  <c r="H311" i="11"/>
  <c r="CO313" i="7" l="1"/>
  <c r="CM313" i="7"/>
  <c r="H312" i="11"/>
  <c r="CO314" i="7" l="1"/>
  <c r="CM314" i="7"/>
  <c r="H313" i="11"/>
  <c r="CO315" i="7" l="1"/>
  <c r="CM315" i="7"/>
  <c r="H314" i="11"/>
  <c r="CO316" i="7" l="1"/>
  <c r="CO317" i="7" s="1"/>
  <c r="CO318" i="7" s="1"/>
  <c r="CO319" i="7" s="1"/>
  <c r="CO320" i="7" s="1"/>
  <c r="CO321" i="7" s="1"/>
  <c r="CO322" i="7" s="1"/>
  <c r="CO323" i="7" s="1"/>
  <c r="CO324" i="7" s="1"/>
  <c r="CO325" i="7" s="1"/>
  <c r="CO326" i="7" s="1"/>
  <c r="CO327" i="7" s="1"/>
  <c r="CO328" i="7" s="1"/>
  <c r="CO329" i="7" s="1"/>
  <c r="CO330" i="7" s="1"/>
  <c r="CO331" i="7" s="1"/>
  <c r="CO332" i="7" s="1"/>
  <c r="CO333" i="7" s="1"/>
  <c r="CO334" i="7" s="1"/>
  <c r="CO335" i="7" s="1"/>
  <c r="CO336" i="7" s="1"/>
  <c r="CO337" i="7" s="1"/>
  <c r="CO338" i="7" s="1"/>
  <c r="CO339" i="7" s="1"/>
  <c r="CO340" i="7" s="1"/>
  <c r="CO341" i="7" s="1"/>
  <c r="CO342" i="7" s="1"/>
  <c r="CO343" i="7" s="1"/>
  <c r="CO344" i="7" s="1"/>
  <c r="CO345" i="7" s="1"/>
  <c r="CO346" i="7" s="1"/>
  <c r="CO347" i="7" s="1"/>
  <c r="CO348" i="7" s="1"/>
  <c r="CO349" i="7" s="1"/>
  <c r="CO350" i="7" s="1"/>
  <c r="CO351" i="7" s="1"/>
  <c r="CO352" i="7" s="1"/>
  <c r="CO353" i="7" s="1"/>
  <c r="CO354" i="7" s="1"/>
  <c r="CO355" i="7" s="1"/>
  <c r="CO356" i="7" s="1"/>
  <c r="CO357" i="7" s="1"/>
  <c r="CO358" i="7" s="1"/>
  <c r="CO359" i="7" s="1"/>
  <c r="CO360" i="7" s="1"/>
  <c r="CO361" i="7" s="1"/>
  <c r="CO362" i="7" s="1"/>
  <c r="CO363" i="7" s="1"/>
  <c r="CO364" i="7" s="1"/>
  <c r="CO365" i="7" s="1"/>
  <c r="CO366" i="7" s="1"/>
  <c r="CO367" i="7" s="1"/>
  <c r="CO368" i="7" s="1"/>
  <c r="CO369" i="7" s="1"/>
  <c r="CO370" i="7" s="1"/>
  <c r="CO371" i="7" s="1"/>
  <c r="CO372" i="7" s="1"/>
  <c r="CO373" i="7" s="1"/>
  <c r="CO374" i="7" s="1"/>
  <c r="CO375" i="7" s="1"/>
  <c r="CO376" i="7" s="1"/>
  <c r="CO377" i="7" s="1"/>
  <c r="CO378" i="7" s="1"/>
  <c r="CO379" i="7" s="1"/>
  <c r="CO380" i="7" s="1"/>
  <c r="CO381" i="7" s="1"/>
  <c r="CO382" i="7" s="1"/>
  <c r="CO383" i="7" s="1"/>
  <c r="CO384" i="7" s="1"/>
  <c r="CO385" i="7" s="1"/>
  <c r="CO386" i="7" s="1"/>
  <c r="CO387" i="7" s="1"/>
  <c r="CO388" i="7" s="1"/>
  <c r="CO389" i="7" s="1"/>
  <c r="CO390" i="7" s="1"/>
  <c r="CO391" i="7" s="1"/>
  <c r="CO392" i="7" s="1"/>
  <c r="CO393" i="7" s="1"/>
  <c r="CO394" i="7" s="1"/>
  <c r="CO395" i="7" s="1"/>
  <c r="CO396" i="7" s="1"/>
  <c r="CO397" i="7" s="1"/>
  <c r="CO398" i="7" s="1"/>
  <c r="CO399" i="7" s="1"/>
  <c r="CO400" i="7" s="1"/>
  <c r="CO401" i="7" s="1"/>
  <c r="CO402" i="7" s="1"/>
  <c r="CO403" i="7" s="1"/>
  <c r="CO404" i="7" s="1"/>
  <c r="CO405" i="7" s="1"/>
  <c r="CO406" i="7" s="1"/>
  <c r="CO407" i="7" s="1"/>
  <c r="CO408" i="7" s="1"/>
  <c r="CO409" i="7" s="1"/>
  <c r="CO410" i="7" s="1"/>
  <c r="CO411" i="7" s="1"/>
  <c r="CO412" i="7" s="1"/>
  <c r="CO413" i="7" s="1"/>
  <c r="CO414" i="7" s="1"/>
  <c r="CO415" i="7" s="1"/>
  <c r="CO416" i="7" s="1"/>
  <c r="CO417" i="7" s="1"/>
  <c r="CO418" i="7" s="1"/>
  <c r="CO419" i="7" s="1"/>
  <c r="CO420" i="7" s="1"/>
  <c r="CO421" i="7" s="1"/>
  <c r="CO422" i="7" s="1"/>
  <c r="CO423" i="7" s="1"/>
  <c r="CO424" i="7" s="1"/>
  <c r="CO425" i="7" s="1"/>
  <c r="CO426" i="7" s="1"/>
  <c r="CO427" i="7" s="1"/>
  <c r="CO428" i="7" s="1"/>
  <c r="CO429" i="7" s="1"/>
  <c r="CO430" i="7" s="1"/>
  <c r="CO431" i="7" s="1"/>
  <c r="CO432" i="7" s="1"/>
  <c r="CO433" i="7" s="1"/>
  <c r="CO434" i="7" s="1"/>
  <c r="CO435" i="7" s="1"/>
  <c r="CO436" i="7" s="1"/>
  <c r="CO437" i="7" s="1"/>
  <c r="CO438" i="7" s="1"/>
  <c r="CO439" i="7" s="1"/>
  <c r="CO440" i="7" s="1"/>
  <c r="CO441" i="7" s="1"/>
  <c r="CO442" i="7" s="1"/>
  <c r="CO443" i="7" s="1"/>
  <c r="CO444" i="7" s="1"/>
  <c r="CO445" i="7" s="1"/>
  <c r="CO446" i="7" s="1"/>
  <c r="CO447" i="7" s="1"/>
  <c r="CO448" i="7" s="1"/>
  <c r="CO449" i="7" s="1"/>
  <c r="CO450" i="7" s="1"/>
  <c r="CO451" i="7" s="1"/>
  <c r="CO452" i="7" s="1"/>
  <c r="CO453" i="7" s="1"/>
  <c r="CO454" i="7" s="1"/>
  <c r="CO455" i="7" s="1"/>
  <c r="CO456" i="7" s="1"/>
  <c r="CO457" i="7" s="1"/>
  <c r="CO458" i="7" s="1"/>
  <c r="CO459" i="7" s="1"/>
  <c r="CO460" i="7" s="1"/>
  <c r="CO461" i="7" s="1"/>
  <c r="CO462" i="7" s="1"/>
  <c r="CO463" i="7" s="1"/>
  <c r="CO464" i="7" s="1"/>
  <c r="CO465" i="7" s="1"/>
  <c r="CO466" i="7" s="1"/>
  <c r="CO467" i="7" s="1"/>
  <c r="CO468" i="7" s="1"/>
  <c r="CO469" i="7" s="1"/>
  <c r="CO470" i="7" s="1"/>
  <c r="CO471" i="7" s="1"/>
  <c r="CO472" i="7" s="1"/>
  <c r="CO473" i="7" s="1"/>
  <c r="CO474" i="7" s="1"/>
  <c r="CO475" i="7" s="1"/>
  <c r="CO476" i="7" s="1"/>
  <c r="CO477" i="7" s="1"/>
  <c r="CO478" i="7" s="1"/>
  <c r="CO479" i="7" s="1"/>
  <c r="CO480" i="7" s="1"/>
  <c r="CO481" i="7" s="1"/>
  <c r="CO482" i="7" s="1"/>
  <c r="CO483" i="7" s="1"/>
  <c r="CO484" i="7" s="1"/>
  <c r="CM316" i="7"/>
  <c r="H315" i="11"/>
  <c r="CM317" i="7" l="1"/>
  <c r="H316" i="11"/>
  <c r="CM318" i="7" l="1"/>
  <c r="H317" i="11"/>
  <c r="CM319" i="7" l="1"/>
  <c r="H318" i="11"/>
  <c r="CM320" i="7" l="1"/>
  <c r="H319" i="11"/>
  <c r="CM321" i="7" l="1"/>
  <c r="H320" i="11"/>
  <c r="CM322" i="7" l="1"/>
  <c r="H321" i="11"/>
  <c r="CM323" i="7" l="1"/>
  <c r="H322" i="11"/>
  <c r="CM324" i="7" l="1"/>
  <c r="H323" i="11"/>
  <c r="CM325" i="7" l="1"/>
  <c r="H324" i="11"/>
  <c r="CM326" i="7" l="1"/>
  <c r="H325" i="11"/>
  <c r="CM327" i="7" l="1"/>
  <c r="H326" i="11"/>
  <c r="CM328" i="7" l="1"/>
  <c r="H327" i="11"/>
  <c r="CM329" i="7" l="1"/>
  <c r="H328" i="11"/>
  <c r="CM330" i="7" l="1"/>
  <c r="H329" i="11"/>
  <c r="CM331" i="7" l="1"/>
  <c r="H330" i="11"/>
  <c r="CM332" i="7" l="1"/>
  <c r="H331" i="11"/>
  <c r="CM333" i="7" l="1"/>
  <c r="H332" i="11"/>
  <c r="CM334" i="7" l="1"/>
  <c r="H333" i="11"/>
  <c r="CM335" i="7" l="1"/>
  <c r="H334" i="11"/>
  <c r="CM336" i="7" l="1"/>
  <c r="H335" i="11"/>
  <c r="CM337" i="7" l="1"/>
  <c r="H336" i="11"/>
  <c r="CM338" i="7" l="1"/>
  <c r="H337" i="11"/>
  <c r="CM339" i="7" l="1"/>
  <c r="H338" i="11"/>
  <c r="CM340" i="7" l="1"/>
  <c r="H339" i="11"/>
  <c r="CM341" i="7" l="1"/>
  <c r="H340" i="11"/>
  <c r="CM342" i="7" l="1"/>
  <c r="H341" i="11"/>
  <c r="CM343" i="7" l="1"/>
  <c r="H342" i="11"/>
  <c r="CM344" i="7" l="1"/>
  <c r="H343" i="11"/>
  <c r="CM345" i="7" l="1"/>
  <c r="H344" i="11"/>
  <c r="CM346" i="7" l="1"/>
  <c r="H345" i="11"/>
  <c r="CM347" i="7" l="1"/>
  <c r="H346" i="11"/>
  <c r="CM348" i="7" l="1"/>
  <c r="H347" i="11"/>
  <c r="CM349" i="7" l="1"/>
  <c r="H348" i="11"/>
  <c r="CM350" i="7" l="1"/>
  <c r="H349" i="11"/>
  <c r="CM351" i="7" l="1"/>
  <c r="H350" i="11"/>
  <c r="CM352" i="7" l="1"/>
  <c r="H351" i="11"/>
  <c r="CM353" i="7" l="1"/>
  <c r="H352" i="11"/>
  <c r="CM354" i="7" l="1"/>
  <c r="H353" i="11"/>
  <c r="CM355" i="7" l="1"/>
  <c r="H354" i="11"/>
  <c r="CM356" i="7" l="1"/>
  <c r="H355" i="11"/>
  <c r="CM357" i="7" l="1"/>
  <c r="H356" i="11"/>
  <c r="CM358" i="7" l="1"/>
  <c r="H357" i="11"/>
  <c r="CM359" i="7" l="1"/>
  <c r="H358" i="11"/>
  <c r="CM360" i="7" l="1"/>
  <c r="H359" i="11"/>
  <c r="CM361" i="7" l="1"/>
  <c r="H360" i="11"/>
  <c r="CM362" i="7" l="1"/>
  <c r="H361" i="11"/>
  <c r="CM363" i="7" l="1"/>
  <c r="H362" i="11"/>
  <c r="CM364" i="7" l="1"/>
  <c r="H363" i="11"/>
  <c r="H364" i="11" l="1"/>
  <c r="CM365" i="7"/>
  <c r="P24" i="1"/>
  <c r="CM366" i="7" l="1"/>
  <c r="H365" i="11"/>
  <c r="CM367" i="7" l="1"/>
  <c r="H366" i="11"/>
  <c r="CM368" i="7" l="1"/>
  <c r="H367" i="11"/>
  <c r="CM369" i="7" l="1"/>
  <c r="H368" i="11"/>
  <c r="CM370" i="7" l="1"/>
  <c r="H369" i="11"/>
  <c r="CM371" i="7" l="1"/>
  <c r="H370" i="11"/>
  <c r="CM372" i="7" l="1"/>
  <c r="H371" i="11"/>
  <c r="CM373" i="7" l="1"/>
  <c r="H372" i="11"/>
  <c r="CM374" i="7" l="1"/>
  <c r="H373" i="11"/>
  <c r="CM375" i="7" l="1"/>
  <c r="H374" i="11"/>
  <c r="CM376" i="7" l="1"/>
  <c r="H375" i="11"/>
  <c r="CM377" i="7" l="1"/>
  <c r="H376" i="11"/>
  <c r="CM378" i="7" l="1"/>
  <c r="H377" i="11"/>
  <c r="CM379" i="7" l="1"/>
  <c r="H378" i="11"/>
  <c r="CM380" i="7" l="1"/>
  <c r="H379" i="11"/>
  <c r="CM381" i="7" l="1"/>
  <c r="H380" i="11"/>
  <c r="CM382" i="7" l="1"/>
  <c r="H381" i="11"/>
  <c r="CM383" i="7" l="1"/>
  <c r="H382" i="11"/>
  <c r="CM384" i="7" l="1"/>
  <c r="H383" i="11"/>
  <c r="CM385" i="7" l="1"/>
  <c r="H384" i="11"/>
  <c r="CM386" i="7" l="1"/>
  <c r="H385" i="11"/>
  <c r="CM387" i="7" l="1"/>
  <c r="H386" i="11"/>
  <c r="CM388" i="7" l="1"/>
  <c r="H387" i="11"/>
  <c r="CM389" i="7" l="1"/>
  <c r="H388" i="11"/>
  <c r="CM390" i="7" l="1"/>
  <c r="H389" i="11"/>
  <c r="CM391" i="7" l="1"/>
  <c r="H390" i="11"/>
  <c r="CM392" i="7" l="1"/>
  <c r="H391" i="11"/>
  <c r="CM393" i="7" l="1"/>
  <c r="H392" i="11"/>
  <c r="CM394" i="7" l="1"/>
  <c r="H393" i="11"/>
  <c r="CM395" i="7" l="1"/>
  <c r="H394" i="11"/>
  <c r="CM396" i="7" l="1"/>
  <c r="H395" i="11"/>
  <c r="CM397" i="7" l="1"/>
  <c r="H396" i="11"/>
  <c r="CM398" i="7" l="1"/>
  <c r="H397" i="11"/>
  <c r="CM399" i="7" l="1"/>
  <c r="H398" i="11"/>
  <c r="CM400" i="7" l="1"/>
  <c r="H399" i="11"/>
  <c r="CM401" i="7" l="1"/>
  <c r="H400" i="11"/>
  <c r="CM402" i="7" l="1"/>
  <c r="H401" i="11"/>
  <c r="CM403" i="7" l="1"/>
  <c r="H402" i="11"/>
  <c r="CM404" i="7" l="1"/>
  <c r="H403" i="11"/>
  <c r="CM405" i="7" l="1"/>
  <c r="H404" i="11"/>
  <c r="CM406" i="7" l="1"/>
  <c r="H405" i="11"/>
  <c r="CM407" i="7" l="1"/>
  <c r="H406" i="11"/>
  <c r="CM408" i="7" l="1"/>
  <c r="H407" i="11"/>
  <c r="CM409" i="7" l="1"/>
  <c r="H408" i="11"/>
  <c r="CM410" i="7" l="1"/>
  <c r="H409" i="11"/>
  <c r="CM411" i="7" l="1"/>
  <c r="H410" i="11"/>
  <c r="CM412" i="7" l="1"/>
  <c r="H411" i="11"/>
  <c r="CM413" i="7" l="1"/>
  <c r="H412" i="11"/>
  <c r="CM414" i="7" l="1"/>
  <c r="H413" i="11"/>
  <c r="CM415" i="7" l="1"/>
  <c r="H414" i="11"/>
  <c r="CM416" i="7" l="1"/>
  <c r="H415" i="11"/>
  <c r="CM417" i="7" l="1"/>
  <c r="H416" i="11"/>
  <c r="CM418" i="7" l="1"/>
  <c r="H417" i="11"/>
  <c r="CM419" i="7" l="1"/>
  <c r="H418" i="11"/>
  <c r="CM420" i="7" l="1"/>
  <c r="H419" i="11"/>
  <c r="CM421" i="7" l="1"/>
  <c r="H420" i="11"/>
  <c r="CM422" i="7" l="1"/>
  <c r="H421" i="11"/>
  <c r="CM423" i="7" l="1"/>
  <c r="H422" i="11"/>
  <c r="CM424" i="7" l="1"/>
  <c r="H423" i="11"/>
  <c r="CM425" i="7" l="1"/>
  <c r="H424" i="11"/>
  <c r="CM426" i="7" l="1"/>
  <c r="H425" i="11"/>
  <c r="CM427" i="7" l="1"/>
  <c r="H426" i="11"/>
  <c r="CM428" i="7" l="1"/>
  <c r="H427" i="11"/>
  <c r="CM429" i="7" l="1"/>
  <c r="H428" i="11"/>
  <c r="CM430" i="7" l="1"/>
  <c r="H429" i="11"/>
  <c r="CM431" i="7" l="1"/>
  <c r="H430" i="11"/>
  <c r="CM432" i="7" l="1"/>
  <c r="H431" i="11"/>
  <c r="CM433" i="7" l="1"/>
  <c r="H432" i="11"/>
  <c r="CM434" i="7" l="1"/>
  <c r="H433" i="11"/>
  <c r="CM435" i="7" l="1"/>
  <c r="H434" i="11"/>
  <c r="CM436" i="7" l="1"/>
  <c r="H435" i="11"/>
  <c r="CM437" i="7" l="1"/>
  <c r="H436" i="11"/>
  <c r="CM438" i="7" l="1"/>
  <c r="H437" i="11"/>
  <c r="CM439" i="7" l="1"/>
  <c r="H438" i="11"/>
  <c r="CM440" i="7" l="1"/>
  <c r="H439" i="11"/>
  <c r="CM441" i="7" l="1"/>
  <c r="H440" i="11"/>
  <c r="CM442" i="7" l="1"/>
  <c r="H441" i="11"/>
  <c r="CM443" i="7" l="1"/>
  <c r="H442" i="11"/>
  <c r="CM444" i="7" l="1"/>
  <c r="H443" i="11"/>
  <c r="CM445" i="7" l="1"/>
  <c r="H444" i="11"/>
  <c r="CM446" i="7" l="1"/>
  <c r="H445" i="11"/>
  <c r="CM447" i="7" l="1"/>
  <c r="H446" i="11"/>
  <c r="CM448" i="7" l="1"/>
  <c r="H447" i="11"/>
  <c r="CM449" i="7" l="1"/>
  <c r="H448" i="11"/>
  <c r="CM450" i="7" l="1"/>
  <c r="H449" i="11"/>
  <c r="CM451" i="7" l="1"/>
  <c r="H450" i="11"/>
  <c r="CM452" i="7" l="1"/>
  <c r="H451" i="11"/>
  <c r="CM453" i="7" l="1"/>
  <c r="H452" i="11"/>
  <c r="CM454" i="7" l="1"/>
  <c r="H453" i="11"/>
  <c r="CM455" i="7" l="1"/>
  <c r="H454" i="11"/>
  <c r="CM456" i="7" l="1"/>
  <c r="H455" i="11"/>
  <c r="CM457" i="7" l="1"/>
  <c r="H456" i="11"/>
  <c r="CM458" i="7" l="1"/>
  <c r="H457" i="11"/>
  <c r="CM459" i="7" l="1"/>
  <c r="H458" i="11"/>
  <c r="CM460" i="7" l="1"/>
  <c r="H459" i="11"/>
  <c r="CM461" i="7" l="1"/>
  <c r="H460" i="11"/>
  <c r="CM462" i="7" l="1"/>
  <c r="H461" i="11"/>
  <c r="CM463" i="7" l="1"/>
  <c r="H462" i="11"/>
  <c r="CM464" i="7" l="1"/>
  <c r="H463" i="11"/>
  <c r="CM465" i="7" l="1"/>
  <c r="H464" i="11"/>
  <c r="CM466" i="7" l="1"/>
  <c r="H465" i="11"/>
  <c r="CM467" i="7" l="1"/>
  <c r="H466" i="11"/>
  <c r="CM468" i="7" l="1"/>
  <c r="H467" i="11"/>
  <c r="CM469" i="7" l="1"/>
  <c r="H468" i="11"/>
  <c r="CM470" i="7" l="1"/>
  <c r="H469" i="11"/>
  <c r="CM471" i="7" l="1"/>
  <c r="H470" i="11"/>
  <c r="CM472" i="7" l="1"/>
  <c r="H471" i="11"/>
  <c r="CM473" i="7" l="1"/>
  <c r="H472" i="11"/>
  <c r="CM474" i="7" l="1"/>
  <c r="H473" i="11"/>
  <c r="CM475" i="7" l="1"/>
  <c r="H474" i="11"/>
  <c r="CM476" i="7" l="1"/>
  <c r="H475" i="11"/>
  <c r="CM477" i="7" l="1"/>
  <c r="H476" i="11"/>
  <c r="CM478" i="7" l="1"/>
  <c r="H477" i="11"/>
  <c r="CM479" i="7" l="1"/>
  <c r="H478" i="11"/>
  <c r="CM480" i="7" l="1"/>
  <c r="H479" i="11"/>
  <c r="CM481" i="7" l="1"/>
  <c r="H480" i="11"/>
  <c r="CM482" i="7" l="1"/>
  <c r="H481" i="11"/>
  <c r="CM483" i="7" l="1"/>
  <c r="H482" i="11"/>
  <c r="CM484" i="7" l="1"/>
  <c r="H484" i="11" s="1"/>
  <c r="H483" i="11"/>
  <c r="AX305" i="2" l="1"/>
  <c r="G305" i="11" l="1"/>
  <c r="M305" i="11" s="1"/>
  <c r="AX306" i="2"/>
  <c r="AX307" i="2" l="1"/>
  <c r="G306" i="11"/>
  <c r="M306" i="11" s="1"/>
  <c r="AX308" i="2" l="1"/>
  <c r="G307" i="11"/>
  <c r="M307" i="11" s="1"/>
  <c r="G308" i="11" l="1"/>
  <c r="M308" i="11" s="1"/>
  <c r="AX309" i="2"/>
  <c r="G309" i="11" l="1"/>
  <c r="M309" i="11" s="1"/>
  <c r="AX310" i="2"/>
  <c r="G310" i="11" l="1"/>
  <c r="M310" i="11" s="1"/>
  <c r="AX311" i="2"/>
  <c r="G311" i="11" l="1"/>
  <c r="M311" i="11" s="1"/>
  <c r="AX312" i="2"/>
  <c r="G312" i="11" l="1"/>
  <c r="M312" i="11" s="1"/>
  <c r="AX313" i="2"/>
  <c r="G313" i="11" l="1"/>
  <c r="M313" i="11" s="1"/>
  <c r="AX314" i="2"/>
  <c r="G314" i="11" l="1"/>
  <c r="M314" i="11" s="1"/>
  <c r="AX315" i="2"/>
  <c r="G315" i="11" l="1"/>
  <c r="M315" i="11" s="1"/>
  <c r="AX316" i="2"/>
  <c r="G316" i="11" l="1"/>
  <c r="M316" i="11" s="1"/>
  <c r="AX317" i="2"/>
  <c r="G317" i="11" l="1"/>
  <c r="M317" i="11" s="1"/>
  <c r="AX318" i="2"/>
  <c r="G318" i="11" l="1"/>
  <c r="M318" i="11" s="1"/>
  <c r="AX319" i="2"/>
  <c r="G319" i="11" l="1"/>
  <c r="M319" i="11" s="1"/>
  <c r="AX320" i="2"/>
  <c r="G320" i="11" l="1"/>
  <c r="M320" i="11" s="1"/>
  <c r="AX321" i="2"/>
  <c r="G321" i="11" l="1"/>
  <c r="M321" i="11" s="1"/>
  <c r="AX322" i="2"/>
  <c r="G322" i="11" l="1"/>
  <c r="M322" i="11" s="1"/>
  <c r="AX323" i="2"/>
  <c r="G323" i="11" l="1"/>
  <c r="M323" i="11" s="1"/>
  <c r="AX324" i="2"/>
  <c r="G324" i="11" l="1"/>
  <c r="M324" i="11" s="1"/>
  <c r="AX325" i="2"/>
  <c r="G325" i="11" l="1"/>
  <c r="M325" i="11" s="1"/>
  <c r="AX326" i="2"/>
  <c r="AX327" i="2" l="1"/>
  <c r="G326" i="11"/>
  <c r="M326" i="11" s="1"/>
  <c r="G327" i="11" l="1"/>
  <c r="M327" i="11" s="1"/>
  <c r="AX328" i="2"/>
  <c r="G328" i="11" l="1"/>
  <c r="M328" i="11" s="1"/>
  <c r="AX329" i="2"/>
  <c r="G329" i="11" l="1"/>
  <c r="M329" i="11" s="1"/>
  <c r="AX330" i="2"/>
  <c r="G330" i="11" l="1"/>
  <c r="M330" i="11" s="1"/>
  <c r="AX331" i="2"/>
  <c r="G331" i="11" l="1"/>
  <c r="M331" i="11" s="1"/>
  <c r="AX332" i="2"/>
  <c r="G332" i="11" l="1"/>
  <c r="M332" i="11" s="1"/>
  <c r="AX333" i="2"/>
  <c r="G333" i="11" l="1"/>
  <c r="M333" i="11" s="1"/>
  <c r="AX334" i="2"/>
  <c r="G334" i="11" l="1"/>
  <c r="M334" i="11" s="1"/>
  <c r="AX335" i="2"/>
  <c r="G335" i="11" l="1"/>
  <c r="M335" i="11" s="1"/>
  <c r="AX336" i="2"/>
  <c r="G336" i="11" l="1"/>
  <c r="M336" i="11" s="1"/>
  <c r="AX337" i="2"/>
  <c r="G337" i="11" l="1"/>
  <c r="M337" i="11" s="1"/>
  <c r="AX338" i="2"/>
  <c r="G338" i="11" l="1"/>
  <c r="M338" i="11" s="1"/>
  <c r="AX339" i="2"/>
  <c r="G339" i="11" l="1"/>
  <c r="M339" i="11" s="1"/>
  <c r="AX340" i="2"/>
  <c r="G340" i="11" l="1"/>
  <c r="M340" i="11" s="1"/>
  <c r="AX341" i="2"/>
  <c r="G341" i="11" l="1"/>
  <c r="M341" i="11" s="1"/>
  <c r="AX342" i="2"/>
  <c r="G342" i="11" l="1"/>
  <c r="M342" i="11" s="1"/>
  <c r="AX343" i="2"/>
  <c r="G343" i="11" l="1"/>
  <c r="M343" i="11" s="1"/>
  <c r="AX344" i="2"/>
  <c r="G344" i="11" l="1"/>
  <c r="M344" i="11" s="1"/>
  <c r="AX345" i="2"/>
  <c r="G345" i="11" l="1"/>
  <c r="M345" i="11" s="1"/>
  <c r="AX346" i="2"/>
  <c r="G346" i="11" l="1"/>
  <c r="M346" i="11" s="1"/>
  <c r="AX347" i="2"/>
  <c r="G347" i="11" l="1"/>
  <c r="M347" i="11" s="1"/>
  <c r="AX348" i="2"/>
  <c r="G348" i="11" l="1"/>
  <c r="M348" i="11" s="1"/>
  <c r="AX349" i="2"/>
  <c r="G349" i="11" l="1"/>
  <c r="M349" i="11" s="1"/>
  <c r="AX350" i="2"/>
  <c r="G350" i="11" l="1"/>
  <c r="M350" i="11" s="1"/>
  <c r="AX351" i="2"/>
  <c r="G351" i="11" l="1"/>
  <c r="M351" i="11" s="1"/>
  <c r="AX352" i="2"/>
  <c r="G352" i="11" l="1"/>
  <c r="M352" i="11" s="1"/>
  <c r="AX353" i="2"/>
  <c r="G353" i="11" l="1"/>
  <c r="M353" i="11" s="1"/>
  <c r="AX354" i="2"/>
  <c r="G354" i="11" l="1"/>
  <c r="M354" i="11" s="1"/>
  <c r="AX355" i="2"/>
  <c r="G355" i="11" l="1"/>
  <c r="M355" i="11" s="1"/>
  <c r="AX356" i="2"/>
  <c r="G356" i="11" l="1"/>
  <c r="M356" i="11" s="1"/>
  <c r="AX357" i="2"/>
  <c r="G357" i="11" l="1"/>
  <c r="M357" i="11" s="1"/>
  <c r="AX358" i="2"/>
  <c r="G358" i="11" l="1"/>
  <c r="M358" i="11" s="1"/>
  <c r="AX359" i="2"/>
  <c r="G359" i="11" l="1"/>
  <c r="M359" i="11" s="1"/>
  <c r="AX360" i="2"/>
  <c r="G360" i="11" l="1"/>
  <c r="M360" i="11" s="1"/>
  <c r="AX361" i="2"/>
  <c r="G361" i="11" l="1"/>
  <c r="M361" i="11" s="1"/>
  <c r="AX362" i="2"/>
  <c r="G362" i="11" l="1"/>
  <c r="M362" i="11" s="1"/>
  <c r="AX363" i="2"/>
  <c r="G363" i="11" l="1"/>
  <c r="M363" i="11" s="1"/>
  <c r="AX364" i="2"/>
  <c r="G364" i="11" l="1"/>
  <c r="M364" i="11" s="1"/>
  <c r="AX365" i="2"/>
  <c r="G365" i="11" l="1"/>
  <c r="M365" i="11" s="1"/>
  <c r="AX366" i="2"/>
  <c r="G366" i="11" l="1"/>
  <c r="M366" i="11" s="1"/>
  <c r="AX367" i="2"/>
  <c r="G367" i="11" l="1"/>
  <c r="M367" i="11" s="1"/>
  <c r="AX368" i="2"/>
  <c r="G368" i="11" l="1"/>
  <c r="M368" i="11" s="1"/>
  <c r="AX369" i="2"/>
  <c r="G369" i="11" l="1"/>
  <c r="M369" i="11" s="1"/>
  <c r="AX370" i="2"/>
  <c r="G370" i="11" l="1"/>
  <c r="M370" i="11" s="1"/>
  <c r="AX371" i="2"/>
  <c r="G371" i="11" l="1"/>
  <c r="M371" i="11" s="1"/>
  <c r="AX372" i="2"/>
  <c r="G372" i="11" l="1"/>
  <c r="M372" i="11" s="1"/>
  <c r="AX373" i="2"/>
  <c r="G373" i="11" l="1"/>
  <c r="M373" i="11" s="1"/>
  <c r="AX374" i="2"/>
  <c r="G374" i="11" l="1"/>
  <c r="M374" i="11" s="1"/>
  <c r="AX375" i="2"/>
  <c r="G375" i="11" l="1"/>
  <c r="M375" i="11" s="1"/>
  <c r="AX376" i="2"/>
  <c r="G376" i="11" l="1"/>
  <c r="M376" i="11" s="1"/>
  <c r="AX377" i="2"/>
  <c r="G377" i="11" l="1"/>
  <c r="M377" i="11" s="1"/>
  <c r="AX378" i="2"/>
  <c r="G378" i="11" l="1"/>
  <c r="M378" i="11" s="1"/>
  <c r="AX379" i="2"/>
  <c r="G379" i="11" l="1"/>
  <c r="M379" i="11" s="1"/>
  <c r="AX380" i="2"/>
  <c r="G380" i="11" l="1"/>
  <c r="M380" i="11" s="1"/>
  <c r="AX381" i="2"/>
  <c r="G381" i="11" l="1"/>
  <c r="M381" i="11" s="1"/>
  <c r="AX382" i="2"/>
  <c r="G382" i="11" l="1"/>
  <c r="M382" i="11" s="1"/>
  <c r="AX383" i="2"/>
  <c r="G383" i="11" l="1"/>
  <c r="M383" i="11" s="1"/>
  <c r="AX384" i="2"/>
  <c r="G384" i="11" l="1"/>
  <c r="M384" i="11" s="1"/>
  <c r="AX385" i="2"/>
  <c r="G385" i="11" l="1"/>
  <c r="M385" i="11" s="1"/>
  <c r="AX386" i="2"/>
  <c r="G386" i="11" l="1"/>
  <c r="M386" i="11" s="1"/>
  <c r="AX387" i="2"/>
  <c r="G387" i="11" l="1"/>
  <c r="M387" i="11" s="1"/>
  <c r="AX388" i="2"/>
  <c r="G388" i="11" l="1"/>
  <c r="M388" i="11" s="1"/>
  <c r="AX389" i="2"/>
  <c r="G389" i="11" l="1"/>
  <c r="M389" i="11" s="1"/>
  <c r="AX390" i="2"/>
  <c r="G390" i="11" l="1"/>
  <c r="M390" i="11" s="1"/>
  <c r="AX391" i="2"/>
  <c r="G391" i="11" l="1"/>
  <c r="M391" i="11" s="1"/>
  <c r="AX392" i="2"/>
  <c r="G392" i="11" l="1"/>
  <c r="M392" i="11" s="1"/>
  <c r="AX393" i="2"/>
  <c r="G393" i="11" l="1"/>
  <c r="M393" i="11" s="1"/>
  <c r="AX394" i="2"/>
  <c r="G394" i="11" l="1"/>
  <c r="M394" i="11" s="1"/>
  <c r="AX395" i="2"/>
  <c r="G395" i="11" l="1"/>
  <c r="M395" i="11" s="1"/>
  <c r="AX396" i="2"/>
  <c r="G396" i="11" l="1"/>
  <c r="M396" i="11" s="1"/>
  <c r="AX397" i="2"/>
  <c r="G397" i="11" l="1"/>
  <c r="M397" i="11" s="1"/>
  <c r="AX398" i="2"/>
  <c r="G398" i="11" l="1"/>
  <c r="M398" i="11" s="1"/>
  <c r="AX399" i="2"/>
  <c r="G399" i="11" l="1"/>
  <c r="M399" i="11" s="1"/>
  <c r="AX400" i="2"/>
  <c r="G400" i="11" l="1"/>
  <c r="M400" i="11" s="1"/>
  <c r="AX401" i="2"/>
  <c r="G401" i="11" l="1"/>
  <c r="M401" i="11" s="1"/>
  <c r="AX402" i="2"/>
  <c r="G402" i="11" l="1"/>
  <c r="M402" i="11" s="1"/>
  <c r="AX403" i="2"/>
  <c r="G403" i="11" l="1"/>
  <c r="M403" i="11" s="1"/>
  <c r="AX404" i="2"/>
  <c r="G404" i="11" l="1"/>
  <c r="M404" i="11" s="1"/>
  <c r="AX405" i="2"/>
  <c r="G405" i="11" l="1"/>
  <c r="M405" i="11" s="1"/>
  <c r="AX406" i="2"/>
  <c r="G406" i="11" l="1"/>
  <c r="M406" i="11" s="1"/>
  <c r="AX407" i="2"/>
  <c r="G407" i="11" l="1"/>
  <c r="M407" i="11" s="1"/>
  <c r="AX408" i="2"/>
  <c r="G408" i="11" l="1"/>
  <c r="M408" i="11" s="1"/>
  <c r="AX409" i="2"/>
  <c r="G409" i="11" l="1"/>
  <c r="M409" i="11" s="1"/>
  <c r="AX410" i="2"/>
  <c r="G410" i="11" l="1"/>
  <c r="M410" i="11" s="1"/>
  <c r="AX411" i="2"/>
  <c r="G411" i="11" l="1"/>
  <c r="M411" i="11" s="1"/>
  <c r="AX412" i="2"/>
  <c r="G412" i="11" l="1"/>
  <c r="M412" i="11" s="1"/>
  <c r="AX413" i="2"/>
  <c r="G413" i="11" l="1"/>
  <c r="M413" i="11" s="1"/>
  <c r="AX414" i="2"/>
  <c r="G414" i="11" l="1"/>
  <c r="M414" i="11" s="1"/>
  <c r="AX415" i="2"/>
  <c r="AX416" i="2" l="1"/>
  <c r="G415" i="11"/>
  <c r="M415" i="11" s="1"/>
  <c r="G416" i="11" l="1"/>
  <c r="M416" i="11" s="1"/>
  <c r="AX417" i="2"/>
  <c r="G417" i="11" l="1"/>
  <c r="M417" i="11" s="1"/>
  <c r="AX418" i="2"/>
  <c r="G418" i="11" l="1"/>
  <c r="M418" i="11" s="1"/>
  <c r="AX419" i="2"/>
  <c r="G419" i="11" l="1"/>
  <c r="M419" i="11" s="1"/>
  <c r="AX420" i="2"/>
  <c r="G420" i="11" l="1"/>
  <c r="M420" i="11" s="1"/>
  <c r="AX421" i="2"/>
  <c r="G421" i="11" l="1"/>
  <c r="M421" i="11" s="1"/>
  <c r="AX422" i="2"/>
  <c r="G422" i="11" l="1"/>
  <c r="M422" i="11" s="1"/>
  <c r="AX423" i="2"/>
  <c r="G423" i="11" l="1"/>
  <c r="M423" i="11" s="1"/>
  <c r="AX424" i="2"/>
  <c r="G424" i="11" l="1"/>
  <c r="M424" i="11" s="1"/>
  <c r="AX425" i="2"/>
  <c r="G425" i="11" l="1"/>
  <c r="M425" i="11" s="1"/>
  <c r="AX426" i="2"/>
  <c r="G426" i="11" l="1"/>
  <c r="M426" i="11" s="1"/>
  <c r="AX427" i="2"/>
  <c r="G427" i="11" l="1"/>
  <c r="M427" i="11" s="1"/>
  <c r="AX428" i="2"/>
  <c r="G428" i="11" l="1"/>
  <c r="M428" i="11" s="1"/>
  <c r="AX429" i="2"/>
  <c r="G429" i="11" l="1"/>
  <c r="M429" i="11" s="1"/>
  <c r="AX430" i="2"/>
  <c r="G430" i="11" l="1"/>
  <c r="M430" i="11" s="1"/>
  <c r="AX431" i="2"/>
  <c r="G431" i="11" l="1"/>
  <c r="M431" i="11" s="1"/>
  <c r="AX432" i="2"/>
  <c r="G432" i="11" l="1"/>
  <c r="M432" i="11" s="1"/>
  <c r="AX433" i="2"/>
  <c r="G433" i="11" l="1"/>
  <c r="M433" i="11" s="1"/>
  <c r="AX434" i="2"/>
  <c r="G434" i="11" l="1"/>
  <c r="M434" i="11" s="1"/>
  <c r="AX435" i="2"/>
  <c r="G435" i="11" l="1"/>
  <c r="M435" i="11" s="1"/>
  <c r="AX436" i="2"/>
  <c r="G436" i="11" l="1"/>
  <c r="M436" i="11" s="1"/>
  <c r="AX437" i="2"/>
  <c r="G437" i="11" l="1"/>
  <c r="M437" i="11" s="1"/>
  <c r="AX438" i="2"/>
  <c r="G438" i="11" l="1"/>
  <c r="M438" i="11" s="1"/>
  <c r="AX439" i="2"/>
  <c r="G439" i="11" l="1"/>
  <c r="M439" i="11" s="1"/>
  <c r="AX440" i="2"/>
  <c r="G440" i="11" l="1"/>
  <c r="M440" i="11" s="1"/>
  <c r="AX441" i="2"/>
  <c r="G441" i="11" l="1"/>
  <c r="M441" i="11" s="1"/>
  <c r="AX442" i="2"/>
  <c r="G442" i="11" l="1"/>
  <c r="M442" i="11" s="1"/>
  <c r="AX443" i="2"/>
  <c r="AX444" i="2" l="1"/>
  <c r="G443" i="11"/>
  <c r="M443" i="11" s="1"/>
  <c r="G444" i="11" l="1"/>
  <c r="M444" i="11" s="1"/>
  <c r="AX445" i="2"/>
  <c r="G445" i="11" l="1"/>
  <c r="M445" i="11" s="1"/>
  <c r="AX446" i="2"/>
  <c r="G446" i="11" l="1"/>
  <c r="M446" i="11" s="1"/>
  <c r="AX447" i="2"/>
  <c r="G447" i="11" l="1"/>
  <c r="M447" i="11" s="1"/>
  <c r="AX448" i="2"/>
  <c r="G448" i="11" l="1"/>
  <c r="M448" i="11" s="1"/>
  <c r="AX449" i="2"/>
  <c r="G449" i="11" l="1"/>
  <c r="M449" i="11" s="1"/>
  <c r="AX450" i="2"/>
  <c r="G450" i="11" l="1"/>
  <c r="M450" i="11" s="1"/>
  <c r="AX451" i="2"/>
  <c r="G451" i="11" l="1"/>
  <c r="M451" i="11" s="1"/>
  <c r="AX452" i="2"/>
  <c r="G452" i="11" l="1"/>
  <c r="M452" i="11" s="1"/>
  <c r="AX453" i="2"/>
  <c r="G453" i="11" l="1"/>
  <c r="M453" i="11" s="1"/>
  <c r="AX454" i="2"/>
  <c r="G454" i="11" l="1"/>
  <c r="M454" i="11" s="1"/>
  <c r="AX455" i="2"/>
  <c r="AX456" i="2" l="1"/>
  <c r="G455" i="11"/>
  <c r="M455" i="11" s="1"/>
  <c r="G456" i="11" l="1"/>
  <c r="M456" i="11" s="1"/>
  <c r="AX457" i="2"/>
  <c r="G457" i="11" l="1"/>
  <c r="M457" i="11" s="1"/>
  <c r="AX458" i="2"/>
  <c r="G458" i="11" l="1"/>
  <c r="M458" i="11" s="1"/>
  <c r="AX459" i="2"/>
  <c r="G459" i="11" l="1"/>
  <c r="M459" i="11" s="1"/>
  <c r="AX460" i="2"/>
  <c r="G460" i="11" l="1"/>
  <c r="M460" i="11" s="1"/>
  <c r="AX461" i="2"/>
  <c r="G461" i="11" l="1"/>
  <c r="M461" i="11" s="1"/>
  <c r="AX462" i="2"/>
  <c r="G462" i="11" l="1"/>
  <c r="M462" i="11" s="1"/>
  <c r="AX463" i="2"/>
  <c r="G463" i="11" l="1"/>
  <c r="M463" i="11" s="1"/>
  <c r="AX464" i="2"/>
  <c r="G464" i="11" l="1"/>
  <c r="M464" i="11" s="1"/>
  <c r="AX465" i="2"/>
  <c r="G465" i="11" l="1"/>
  <c r="M465" i="11" s="1"/>
  <c r="AX466" i="2"/>
  <c r="G466" i="11" l="1"/>
  <c r="M466" i="11" s="1"/>
  <c r="AX467" i="2"/>
  <c r="G467" i="11" l="1"/>
  <c r="M467" i="11" s="1"/>
  <c r="AX468" i="2"/>
  <c r="G468" i="11" l="1"/>
  <c r="M468" i="11" s="1"/>
  <c r="AX469" i="2"/>
  <c r="G469" i="11" l="1"/>
  <c r="M469" i="11" s="1"/>
  <c r="AX470" i="2"/>
  <c r="G470" i="11" l="1"/>
  <c r="M470" i="11" s="1"/>
  <c r="AX471" i="2"/>
  <c r="G471" i="11" l="1"/>
  <c r="M471" i="11" s="1"/>
  <c r="AX472" i="2"/>
  <c r="G472" i="11" l="1"/>
  <c r="M472" i="11" s="1"/>
  <c r="AX473" i="2"/>
  <c r="G473" i="11" l="1"/>
  <c r="M473" i="11" s="1"/>
  <c r="AX474" i="2"/>
  <c r="G474" i="11" l="1"/>
  <c r="M474" i="11" s="1"/>
  <c r="AX475" i="2"/>
  <c r="G475" i="11" l="1"/>
  <c r="M475" i="11" s="1"/>
  <c r="AX476" i="2"/>
  <c r="G476" i="11" l="1"/>
  <c r="M476" i="11" s="1"/>
  <c r="AX477" i="2"/>
  <c r="G477" i="11" l="1"/>
  <c r="M477" i="11" s="1"/>
  <c r="AX478" i="2"/>
  <c r="G478" i="11" l="1"/>
  <c r="M478" i="11" s="1"/>
  <c r="AX479" i="2"/>
  <c r="G479" i="11" l="1"/>
  <c r="M479" i="11" s="1"/>
  <c r="AX480" i="2"/>
  <c r="G480" i="11" l="1"/>
  <c r="M480" i="11" s="1"/>
  <c r="AX481" i="2"/>
  <c r="G481" i="11" l="1"/>
  <c r="M481" i="11" s="1"/>
  <c r="AX482" i="2"/>
  <c r="G482" i="11" l="1"/>
  <c r="M482" i="11" s="1"/>
  <c r="AX483" i="2"/>
  <c r="G483" i="11" l="1"/>
  <c r="M483" i="11" s="1"/>
  <c r="AX484" i="2"/>
  <c r="G484" i="11" s="1"/>
  <c r="M484" i="11" s="1"/>
  <c r="O19" i="1" l="1"/>
  <c r="F45" i="1" s="1"/>
  <c r="D3" i="17"/>
  <c r="P24" i="6"/>
  <c r="P16" i="1"/>
  <c r="O6" i="1"/>
  <c r="E3" i="3" s="1"/>
  <c r="O17" i="1"/>
  <c r="P17" i="1" l="1"/>
  <c r="AC4" i="2"/>
  <c r="P27" i="6"/>
  <c r="E11" i="3"/>
  <c r="J32" i="3"/>
  <c r="X16" i="2"/>
  <c r="AS16" i="11" s="1"/>
  <c r="CB16" i="11" s="1"/>
  <c r="H45" i="20" s="1"/>
  <c r="O20" i="1"/>
  <c r="P19" i="1"/>
  <c r="P25" i="6" l="1"/>
  <c r="D83" i="20" s="1"/>
  <c r="D4" i="17"/>
  <c r="P20" i="1"/>
  <c r="P28" i="6"/>
  <c r="F33" i="3"/>
  <c r="C33" i="3"/>
  <c r="E33" i="3" s="1"/>
  <c r="P4" i="11"/>
  <c r="H33" i="3" l="1"/>
  <c r="AZ5" i="11" s="1"/>
  <c r="AF5" i="2"/>
  <c r="O33" i="3"/>
  <c r="AX5" i="11"/>
  <c r="G33" i="3"/>
  <c r="O5" i="11" s="1"/>
  <c r="F12" i="17"/>
  <c r="F9" i="17"/>
  <c r="F11" i="17"/>
  <c r="F8" i="17"/>
  <c r="F7" i="17"/>
  <c r="F10" i="17"/>
  <c r="AF4" i="11"/>
  <c r="BO4" i="11" s="1"/>
  <c r="G22" i="20" s="1"/>
  <c r="AL4" i="2"/>
  <c r="AM4" i="2" s="1"/>
  <c r="I33" i="3" l="1"/>
  <c r="K33" i="3"/>
  <c r="M33" i="3" s="1"/>
  <c r="V6" i="2" s="1"/>
  <c r="AK6" i="2" s="1"/>
  <c r="J33" i="3"/>
  <c r="C34" i="3" s="1"/>
  <c r="E34" i="3" s="1"/>
  <c r="G71" i="20"/>
  <c r="G72" i="20" s="1"/>
  <c r="G79" i="20" s="1"/>
  <c r="G31" i="20"/>
  <c r="G41" i="20" s="1"/>
  <c r="G42" i="20" s="1"/>
  <c r="G59" i="20" s="1"/>
  <c r="G60" i="20" s="1"/>
  <c r="AQ52" i="2"/>
  <c r="G10" i="17"/>
  <c r="M50" i="19" s="1"/>
  <c r="F13" i="17"/>
  <c r="G7" i="17"/>
  <c r="AQ16" i="2"/>
  <c r="G11" i="17"/>
  <c r="M62" i="19" s="1"/>
  <c r="AQ64" i="2"/>
  <c r="AQ76" i="2"/>
  <c r="G12" i="17"/>
  <c r="M74" i="19" s="1"/>
  <c r="AP5" i="2"/>
  <c r="AW5" i="11"/>
  <c r="AZ4" i="2"/>
  <c r="BB4" i="2" s="1"/>
  <c r="BH4" i="2" s="1"/>
  <c r="BI4" i="2" s="1"/>
  <c r="AT4" i="2"/>
  <c r="AQ28" i="2"/>
  <c r="G8" i="17"/>
  <c r="M26" i="19" s="1"/>
  <c r="AQ40" i="2"/>
  <c r="G9" i="17"/>
  <c r="M38" i="19" s="1"/>
  <c r="L33" i="3" l="1"/>
  <c r="AE5" i="2" s="1"/>
  <c r="AL5" i="2" s="1"/>
  <c r="F34" i="3"/>
  <c r="G34" i="3" s="1"/>
  <c r="O6" i="11" s="1"/>
  <c r="P5" i="11"/>
  <c r="D4" i="11"/>
  <c r="AV4" i="2"/>
  <c r="AW4" i="2"/>
  <c r="AT28" i="11"/>
  <c r="CC28" i="11" s="1"/>
  <c r="I46" i="20" s="1"/>
  <c r="I48" i="20" s="1"/>
  <c r="BE28" i="2"/>
  <c r="G62" i="20"/>
  <c r="G61" i="20"/>
  <c r="AT40" i="11"/>
  <c r="CC40" i="11" s="1"/>
  <c r="J46" i="20" s="1"/>
  <c r="J48" i="20" s="1"/>
  <c r="BE40" i="2"/>
  <c r="AR5" i="2"/>
  <c r="AS5" i="2" s="1"/>
  <c r="BD5" i="2"/>
  <c r="BF5" i="2" s="1"/>
  <c r="BG5" i="2" s="1"/>
  <c r="M14" i="19"/>
  <c r="G13" i="17"/>
  <c r="F46" i="1" s="1"/>
  <c r="F47" i="1"/>
  <c r="BE52" i="2"/>
  <c r="AT52" i="11"/>
  <c r="CC52" i="11" s="1"/>
  <c r="K46" i="20" s="1"/>
  <c r="K48" i="20" s="1"/>
  <c r="G80" i="20"/>
  <c r="G81" i="20"/>
  <c r="G82" i="20" s="1"/>
  <c r="AF6" i="2"/>
  <c r="AX6" i="11"/>
  <c r="O34" i="3"/>
  <c r="AT76" i="11"/>
  <c r="CC76" i="11" s="1"/>
  <c r="M46" i="20" s="1"/>
  <c r="M48" i="20" s="1"/>
  <c r="BE76" i="2"/>
  <c r="AT64" i="11"/>
  <c r="CC64" i="11" s="1"/>
  <c r="L46" i="20" s="1"/>
  <c r="L48" i="20" s="1"/>
  <c r="BE64" i="2"/>
  <c r="AT16" i="11"/>
  <c r="CC16" i="11" s="1"/>
  <c r="H46" i="20" s="1"/>
  <c r="H48" i="20" s="1"/>
  <c r="BE16" i="2"/>
  <c r="BA6" i="2"/>
  <c r="AM5" i="2"/>
  <c r="AZ5" i="2"/>
  <c r="BB5" i="2" s="1"/>
  <c r="H34" i="3" l="1"/>
  <c r="G83" i="20"/>
  <c r="BH5" i="2"/>
  <c r="BI5" i="2" s="1"/>
  <c r="E4" i="11"/>
  <c r="G4" i="11" s="1"/>
  <c r="M4" i="11" s="1"/>
  <c r="AP6" i="2"/>
  <c r="AW6" i="11"/>
  <c r="F4" i="11"/>
  <c r="AX4" i="2"/>
  <c r="AT5" i="2"/>
  <c r="K34" i="3" l="1"/>
  <c r="J34" i="3"/>
  <c r="AZ6" i="11"/>
  <c r="I34" i="3"/>
  <c r="D5" i="11"/>
  <c r="AW5" i="2"/>
  <c r="AR6" i="2"/>
  <c r="AS6" i="2" s="1"/>
  <c r="BD6" i="2"/>
  <c r="BF6" i="2" s="1"/>
  <c r="BG6" i="2" s="1"/>
  <c r="AV5" i="2"/>
  <c r="L4" i="11"/>
  <c r="AF7" i="2"/>
  <c r="O35" i="3"/>
  <c r="P6" i="11" l="1"/>
  <c r="C35" i="3"/>
  <c r="E35" i="3" s="1"/>
  <c r="F35" i="3"/>
  <c r="AX7" i="11" s="1"/>
  <c r="L34" i="3"/>
  <c r="AE6" i="2" s="1"/>
  <c r="AL6" i="2" s="1"/>
  <c r="M34" i="3"/>
  <c r="V7" i="2" s="1"/>
  <c r="AK7" i="2" s="1"/>
  <c r="BA7" i="2" s="1"/>
  <c r="AP7" i="2"/>
  <c r="AW7" i="11"/>
  <c r="E5" i="11"/>
  <c r="AX5" i="2"/>
  <c r="G5" i="11" s="1"/>
  <c r="F5" i="11"/>
  <c r="G35" i="3" l="1"/>
  <c r="O7" i="11" s="1"/>
  <c r="AM6" i="2"/>
  <c r="AT6" i="2" s="1"/>
  <c r="AZ6" i="2"/>
  <c r="BB6" i="2" s="1"/>
  <c r="BH6" i="2" s="1"/>
  <c r="BI6" i="2" s="1"/>
  <c r="H35" i="3"/>
  <c r="M5" i="11"/>
  <c r="AF8" i="2"/>
  <c r="O36" i="3"/>
  <c r="BD7" i="2"/>
  <c r="BF7" i="2" s="1"/>
  <c r="BG7" i="2" s="1"/>
  <c r="AR7" i="2"/>
  <c r="AS7" i="2" s="1"/>
  <c r="L5" i="11"/>
  <c r="AZ7" i="11" l="1"/>
  <c r="I35" i="3"/>
  <c r="J35" i="3"/>
  <c r="K35" i="3"/>
  <c r="AV6" i="2"/>
  <c r="E6" i="11" s="1"/>
  <c r="AW6" i="2"/>
  <c r="D6" i="11"/>
  <c r="AP8" i="2"/>
  <c r="AW8" i="11"/>
  <c r="AX6" i="2" l="1"/>
  <c r="G6" i="11" s="1"/>
  <c r="M6" i="11" s="1"/>
  <c r="F6" i="11"/>
  <c r="L6" i="11" s="1"/>
  <c r="L35" i="3"/>
  <c r="AE7" i="2" s="1"/>
  <c r="AL7" i="2" s="1"/>
  <c r="M35" i="3"/>
  <c r="V8" i="2" s="1"/>
  <c r="AK8" i="2" s="1"/>
  <c r="BA8" i="2" s="1"/>
  <c r="P7" i="11"/>
  <c r="C36" i="3"/>
  <c r="E36" i="3" s="1"/>
  <c r="F36" i="3"/>
  <c r="AF9" i="2"/>
  <c r="O37" i="3"/>
  <c r="BD8" i="2"/>
  <c r="BF8" i="2" s="1"/>
  <c r="BG8" i="2" s="1"/>
  <c r="AR8" i="2"/>
  <c r="AS8" i="2" s="1"/>
  <c r="H36" i="3" l="1"/>
  <c r="AZ8" i="11"/>
  <c r="K36" i="3"/>
  <c r="L36" i="3" s="1"/>
  <c r="AE8" i="2" s="1"/>
  <c r="AL8" i="2" s="1"/>
  <c r="AZ8" i="2" s="1"/>
  <c r="BB8" i="2" s="1"/>
  <c r="BH8" i="2" s="1"/>
  <c r="BI8" i="2" s="1"/>
  <c r="J36" i="3"/>
  <c r="P8" i="11" s="1"/>
  <c r="I36" i="3"/>
  <c r="G36" i="3"/>
  <c r="O8" i="11" s="1"/>
  <c r="AX8" i="11"/>
  <c r="AM7" i="2"/>
  <c r="AT7" i="2" s="1"/>
  <c r="AZ7" i="2"/>
  <c r="BB7" i="2" s="1"/>
  <c r="BH7" i="2" s="1"/>
  <c r="BI7" i="2" s="1"/>
  <c r="AP9" i="2"/>
  <c r="AW9" i="11"/>
  <c r="C37" i="3" l="1"/>
  <c r="E37" i="3" s="1"/>
  <c r="F37" i="3"/>
  <c r="AX9" i="11" s="1"/>
  <c r="M36" i="3"/>
  <c r="V9" i="2" s="1"/>
  <c r="AK9" i="2" s="1"/>
  <c r="BA9" i="2" s="1"/>
  <c r="AV7" i="2"/>
  <c r="D7" i="11"/>
  <c r="AW7" i="2"/>
  <c r="H37" i="3"/>
  <c r="G37" i="3"/>
  <c r="O9" i="11" s="1"/>
  <c r="AM8" i="2"/>
  <c r="AT8" i="2" s="1"/>
  <c r="O38" i="3"/>
  <c r="AF10" i="2"/>
  <c r="AR9" i="2"/>
  <c r="AS9" i="2" s="1"/>
  <c r="BD9" i="2"/>
  <c r="BF9" i="2" s="1"/>
  <c r="BG9" i="2" s="1"/>
  <c r="J37" i="3" l="1"/>
  <c r="AZ9" i="11"/>
  <c r="K37" i="3"/>
  <c r="I37" i="3"/>
  <c r="E7" i="11"/>
  <c r="AV8" i="2"/>
  <c r="E8" i="11" s="1"/>
  <c r="AW8" i="2"/>
  <c r="D8" i="11"/>
  <c r="F7" i="11"/>
  <c r="L7" i="11" s="1"/>
  <c r="AX7" i="2"/>
  <c r="G7" i="11" s="1"/>
  <c r="M7" i="11" s="1"/>
  <c r="AW10" i="11"/>
  <c r="AP10" i="2"/>
  <c r="F8" i="11" l="1"/>
  <c r="L8" i="11" s="1"/>
  <c r="AX8" i="2"/>
  <c r="G8" i="11" s="1"/>
  <c r="M8" i="11" s="1"/>
  <c r="L37" i="3"/>
  <c r="AE9" i="2" s="1"/>
  <c r="AL9" i="2" s="1"/>
  <c r="M37" i="3"/>
  <c r="V10" i="2" s="1"/>
  <c r="AK10" i="2" s="1"/>
  <c r="BA10" i="2" s="1"/>
  <c r="F38" i="3"/>
  <c r="AX10" i="11" s="1"/>
  <c r="P9" i="11"/>
  <c r="C38" i="3"/>
  <c r="E38" i="3" s="1"/>
  <c r="O39" i="3"/>
  <c r="AF11" i="2"/>
  <c r="AR10" i="2"/>
  <c r="AS10" i="2" s="1"/>
  <c r="BD10" i="2"/>
  <c r="BF10" i="2" s="1"/>
  <c r="BG10" i="2" s="1"/>
  <c r="AZ9" i="2" l="1"/>
  <c r="BB9" i="2" s="1"/>
  <c r="BH9" i="2" s="1"/>
  <c r="BI9" i="2" s="1"/>
  <c r="AM9" i="2"/>
  <c r="AT9" i="2" s="1"/>
  <c r="G38" i="3"/>
  <c r="O10" i="11" s="1"/>
  <c r="H38" i="3"/>
  <c r="AP11" i="2"/>
  <c r="AW11" i="11"/>
  <c r="AZ10" i="11" l="1"/>
  <c r="I38" i="3"/>
  <c r="J38" i="3"/>
  <c r="K38" i="3"/>
  <c r="AV9" i="2"/>
  <c r="D9" i="11"/>
  <c r="AW9" i="2"/>
  <c r="BD11" i="2"/>
  <c r="BF11" i="2" s="1"/>
  <c r="BG11" i="2" s="1"/>
  <c r="AR11" i="2"/>
  <c r="AS11" i="2" s="1"/>
  <c r="AF12" i="2"/>
  <c r="O40" i="3"/>
  <c r="M38" i="3" l="1"/>
  <c r="V11" i="2" s="1"/>
  <c r="AK11" i="2" s="1"/>
  <c r="L38" i="3"/>
  <c r="AE10" i="2" s="1"/>
  <c r="AL10" i="2" s="1"/>
  <c r="E9" i="11"/>
  <c r="AX9" i="2"/>
  <c r="G9" i="11" s="1"/>
  <c r="M9" i="11" s="1"/>
  <c r="F9" i="11"/>
  <c r="L9" i="11" s="1"/>
  <c r="C39" i="3"/>
  <c r="E39" i="3" s="1"/>
  <c r="P10" i="11"/>
  <c r="F39" i="3"/>
  <c r="AX11" i="11" s="1"/>
  <c r="AP12" i="2"/>
  <c r="AW12" i="11"/>
  <c r="G39" i="3" l="1"/>
  <c r="O11" i="11" s="1"/>
  <c r="H39" i="3"/>
  <c r="J39" i="3" s="1"/>
  <c r="AZ10" i="2"/>
  <c r="BB10" i="2" s="1"/>
  <c r="BH10" i="2" s="1"/>
  <c r="BI10" i="2" s="1"/>
  <c r="AM10" i="2"/>
  <c r="AT10" i="2" s="1"/>
  <c r="K39" i="3"/>
  <c r="BA11" i="2"/>
  <c r="AF13" i="2"/>
  <c r="O41" i="3"/>
  <c r="BD12" i="2"/>
  <c r="BF12" i="2" s="1"/>
  <c r="BG12" i="2" s="1"/>
  <c r="AR12" i="2"/>
  <c r="AS12" i="2" s="1"/>
  <c r="AZ11" i="11" l="1"/>
  <c r="I39" i="3"/>
  <c r="AW10" i="2"/>
  <c r="D10" i="11"/>
  <c r="AV10" i="2"/>
  <c r="E10" i="11" s="1"/>
  <c r="C40" i="3"/>
  <c r="E40" i="3" s="1"/>
  <c r="F40" i="3"/>
  <c r="P11" i="11"/>
  <c r="L39" i="3"/>
  <c r="AE11" i="2" s="1"/>
  <c r="AL11" i="2" s="1"/>
  <c r="M39" i="3"/>
  <c r="V12" i="2" s="1"/>
  <c r="AK12" i="2" s="1"/>
  <c r="AW13" i="11"/>
  <c r="AP13" i="2"/>
  <c r="H40" i="3" l="1"/>
  <c r="AZ12" i="11" s="1"/>
  <c r="BA12" i="2"/>
  <c r="G40" i="3"/>
  <c r="O12" i="11" s="1"/>
  <c r="AX12" i="11"/>
  <c r="AZ11" i="2"/>
  <c r="BB11" i="2" s="1"/>
  <c r="BH11" i="2" s="1"/>
  <c r="BI11" i="2" s="1"/>
  <c r="AM11" i="2"/>
  <c r="AT11" i="2" s="1"/>
  <c r="I40" i="3"/>
  <c r="AX10" i="2"/>
  <c r="G10" i="11" s="1"/>
  <c r="M10" i="11" s="1"/>
  <c r="F10" i="11"/>
  <c r="L10" i="11" s="1"/>
  <c r="BD13" i="2"/>
  <c r="BF13" i="2" s="1"/>
  <c r="BG13" i="2" s="1"/>
  <c r="AR13" i="2"/>
  <c r="AS13" i="2" s="1"/>
  <c r="O42" i="3"/>
  <c r="AF14" i="2"/>
  <c r="J40" i="3" l="1"/>
  <c r="K40" i="3"/>
  <c r="L40" i="3"/>
  <c r="AE12" i="2" s="1"/>
  <c r="AL12" i="2" s="1"/>
  <c r="M40" i="3"/>
  <c r="V13" i="2" s="1"/>
  <c r="AK13" i="2" s="1"/>
  <c r="AV11" i="2"/>
  <c r="AW11" i="2"/>
  <c r="D11" i="11"/>
  <c r="F41" i="3"/>
  <c r="P12" i="11"/>
  <c r="C41" i="3"/>
  <c r="E41" i="3" s="1"/>
  <c r="H41" i="3" s="1"/>
  <c r="I41" i="3" s="1"/>
  <c r="AP14" i="2"/>
  <c r="AW14" i="11"/>
  <c r="G41" i="3" l="1"/>
  <c r="O13" i="11" s="1"/>
  <c r="AX13" i="11"/>
  <c r="F11" i="11"/>
  <c r="L11" i="11" s="1"/>
  <c r="AX11" i="2"/>
  <c r="G11" i="11" s="1"/>
  <c r="M11" i="11" s="1"/>
  <c r="K41" i="3"/>
  <c r="AZ13" i="11"/>
  <c r="E11" i="11"/>
  <c r="BA13" i="2"/>
  <c r="AZ12" i="2"/>
  <c r="BB12" i="2" s="1"/>
  <c r="BH12" i="2" s="1"/>
  <c r="BI12" i="2" s="1"/>
  <c r="AM12" i="2"/>
  <c r="AT12" i="2" s="1"/>
  <c r="AV12" i="2" s="1"/>
  <c r="J41" i="3"/>
  <c r="AF15" i="2"/>
  <c r="O43" i="3"/>
  <c r="BD14" i="2"/>
  <c r="BF14" i="2" s="1"/>
  <c r="BG14" i="2" s="1"/>
  <c r="AR14" i="2"/>
  <c r="AS14" i="2" s="1"/>
  <c r="E12" i="11" l="1"/>
  <c r="C42" i="3"/>
  <c r="E42" i="3" s="1"/>
  <c r="P13" i="11"/>
  <c r="F42" i="3"/>
  <c r="AX14" i="11" s="1"/>
  <c r="D12" i="11"/>
  <c r="AW12" i="2"/>
  <c r="M41" i="3"/>
  <c r="V14" i="2" s="1"/>
  <c r="AK14" i="2" s="1"/>
  <c r="L41" i="3"/>
  <c r="AE13" i="2" s="1"/>
  <c r="AL13" i="2" s="1"/>
  <c r="AW15" i="11"/>
  <c r="AP15" i="2"/>
  <c r="AX12" i="2" l="1"/>
  <c r="G12" i="11" s="1"/>
  <c r="M12" i="11" s="1"/>
  <c r="F12" i="11"/>
  <c r="L12" i="11" s="1"/>
  <c r="BA14" i="2"/>
  <c r="H42" i="3"/>
  <c r="G42" i="3"/>
  <c r="O14" i="11" s="1"/>
  <c r="AZ13" i="2"/>
  <c r="BB13" i="2" s="1"/>
  <c r="BH13" i="2" s="1"/>
  <c r="BI13" i="2" s="1"/>
  <c r="AM13" i="2"/>
  <c r="AT13" i="2" s="1"/>
  <c r="BD15" i="2"/>
  <c r="BF15" i="2" s="1"/>
  <c r="BG15" i="2" s="1"/>
  <c r="AR15" i="2"/>
  <c r="AS15" i="2" s="1"/>
  <c r="O44" i="3"/>
  <c r="AF16" i="2"/>
  <c r="AW13" i="2" l="1"/>
  <c r="D13" i="11"/>
  <c r="AV13" i="2"/>
  <c r="AZ14" i="11"/>
  <c r="I42" i="3"/>
  <c r="K42" i="3"/>
  <c r="J42" i="3"/>
  <c r="AP16" i="2"/>
  <c r="AW16" i="11"/>
  <c r="CF16" i="11" s="1"/>
  <c r="H51" i="20" s="1"/>
  <c r="H52" i="20" s="1"/>
  <c r="H53" i="20" s="1"/>
  <c r="P14" i="11" l="1"/>
  <c r="C43" i="3"/>
  <c r="E43" i="3" s="1"/>
  <c r="F43" i="3"/>
  <c r="AX15" i="11" s="1"/>
  <c r="E13" i="11"/>
  <c r="L42" i="3"/>
  <c r="AE14" i="2" s="1"/>
  <c r="M42" i="3"/>
  <c r="V15" i="2" s="1"/>
  <c r="AK15" i="2" s="1"/>
  <c r="F13" i="11"/>
  <c r="L13" i="11" s="1"/>
  <c r="AX13" i="2"/>
  <c r="G13" i="11" s="1"/>
  <c r="M13" i="11" s="1"/>
  <c r="O45" i="3"/>
  <c r="AF17" i="2"/>
  <c r="BD16" i="2"/>
  <c r="BF16" i="2" s="1"/>
  <c r="BG16" i="2" s="1"/>
  <c r="AR16" i="2"/>
  <c r="AS16" i="2" s="1"/>
  <c r="H43" i="3" l="1"/>
  <c r="AZ15" i="11" s="1"/>
  <c r="I43" i="3"/>
  <c r="G43" i="3"/>
  <c r="O15" i="11" s="1"/>
  <c r="J43" i="3"/>
  <c r="K43" i="3"/>
  <c r="AL14" i="2"/>
  <c r="BA15" i="2"/>
  <c r="AW17" i="11"/>
  <c r="AP17" i="2"/>
  <c r="AZ14" i="2" l="1"/>
  <c r="BB14" i="2" s="1"/>
  <c r="BH14" i="2" s="1"/>
  <c r="BI14" i="2" s="1"/>
  <c r="AM14" i="2"/>
  <c r="AT14" i="2" s="1"/>
  <c r="M43" i="3"/>
  <c r="V16" i="2" s="1"/>
  <c r="AK16" i="2" s="1"/>
  <c r="L43" i="3"/>
  <c r="AE15" i="2" s="1"/>
  <c r="F44" i="3"/>
  <c r="C44" i="3"/>
  <c r="E44" i="3" s="1"/>
  <c r="P15" i="11"/>
  <c r="AF18" i="2"/>
  <c r="O46" i="3"/>
  <c r="BD17" i="2"/>
  <c r="BF17" i="2" s="1"/>
  <c r="BG17" i="2" s="1"/>
  <c r="AR17" i="2"/>
  <c r="AS17" i="2" s="1"/>
  <c r="G44" i="3" l="1"/>
  <c r="O16" i="11" s="1"/>
  <c r="AX16" i="11"/>
  <c r="CG16" i="11" s="1"/>
  <c r="H55" i="20" s="1"/>
  <c r="H57" i="20" s="1"/>
  <c r="AW14" i="2"/>
  <c r="D14" i="11"/>
  <c r="AV14" i="2"/>
  <c r="AL15" i="2"/>
  <c r="BA16" i="2"/>
  <c r="H44" i="3"/>
  <c r="AP18" i="2"/>
  <c r="AW18" i="11"/>
  <c r="AZ16" i="11" l="1"/>
  <c r="CI16" i="11" s="1"/>
  <c r="H75" i="20" s="1"/>
  <c r="H77" i="20" s="1"/>
  <c r="H78" i="20" s="1"/>
  <c r="J44" i="3"/>
  <c r="K44" i="3"/>
  <c r="I44" i="3"/>
  <c r="AZ15" i="2"/>
  <c r="BB15" i="2" s="1"/>
  <c r="BH15" i="2" s="1"/>
  <c r="BI15" i="2" s="1"/>
  <c r="AM15" i="2"/>
  <c r="AT15" i="2" s="1"/>
  <c r="AV15" i="2" s="1"/>
  <c r="E14" i="11"/>
  <c r="F14" i="11"/>
  <c r="L14" i="11" s="1"/>
  <c r="AX14" i="2"/>
  <c r="G14" i="11" s="1"/>
  <c r="M14" i="11" s="1"/>
  <c r="H68" i="20"/>
  <c r="H69" i="20" s="1"/>
  <c r="H58" i="20"/>
  <c r="H59" i="20" s="1"/>
  <c r="BD18" i="2"/>
  <c r="BF18" i="2" s="1"/>
  <c r="BG18" i="2" s="1"/>
  <c r="AR18" i="2"/>
  <c r="AS18" i="2" s="1"/>
  <c r="O47" i="3"/>
  <c r="AF19" i="2"/>
  <c r="H79" i="20" l="1"/>
  <c r="H81" i="20" s="1"/>
  <c r="H82" i="20" s="1"/>
  <c r="H83" i="20" s="1"/>
  <c r="E15" i="11"/>
  <c r="D15" i="11"/>
  <c r="AW15" i="2"/>
  <c r="H60" i="20"/>
  <c r="H61" i="20" s="1"/>
  <c r="H62" i="20"/>
  <c r="L44" i="3"/>
  <c r="AE16" i="2" s="1"/>
  <c r="M44" i="3"/>
  <c r="V17" i="2" s="1"/>
  <c r="AK17" i="2" s="1"/>
  <c r="C45" i="3"/>
  <c r="E45" i="3" s="1"/>
  <c r="F45" i="3"/>
  <c r="AX17" i="11" s="1"/>
  <c r="P16" i="11"/>
  <c r="AP19" i="2"/>
  <c r="AW19" i="11"/>
  <c r="H80" i="20" l="1"/>
  <c r="H45" i="3"/>
  <c r="AZ17" i="11" s="1"/>
  <c r="AL16" i="2"/>
  <c r="O14" i="19"/>
  <c r="BA17" i="2"/>
  <c r="F15" i="11"/>
  <c r="L15" i="11" s="1"/>
  <c r="AX15" i="2"/>
  <c r="G15" i="11" s="1"/>
  <c r="M15" i="11" s="1"/>
  <c r="I45" i="3"/>
  <c r="G45" i="3"/>
  <c r="O17" i="11" s="1"/>
  <c r="AR19" i="2"/>
  <c r="AS19" i="2" s="1"/>
  <c r="BD19" i="2"/>
  <c r="BF19" i="2" s="1"/>
  <c r="BG19" i="2" s="1"/>
  <c r="AF20" i="2"/>
  <c r="O48" i="3"/>
  <c r="K45" i="3" l="1"/>
  <c r="J45" i="3"/>
  <c r="L45" i="3"/>
  <c r="AE17" i="2" s="1"/>
  <c r="AL17" i="2" s="1"/>
  <c r="M45" i="3"/>
  <c r="V18" i="2" s="1"/>
  <c r="AK18" i="2" s="1"/>
  <c r="P17" i="11"/>
  <c r="C46" i="3"/>
  <c r="E46" i="3" s="1"/>
  <c r="F46" i="3"/>
  <c r="AX18" i="11" s="1"/>
  <c r="AZ16" i="2"/>
  <c r="BB16" i="2" s="1"/>
  <c r="BH16" i="2" s="1"/>
  <c r="BI16" i="2" s="1"/>
  <c r="AM16" i="2"/>
  <c r="AT16" i="2" s="1"/>
  <c r="AP20" i="2"/>
  <c r="AW20" i="11"/>
  <c r="H46" i="3" l="1"/>
  <c r="AZ18" i="11" s="1"/>
  <c r="G46" i="3"/>
  <c r="O18" i="11" s="1"/>
  <c r="D16" i="11"/>
  <c r="AW16" i="2"/>
  <c r="AV16" i="2"/>
  <c r="BA18" i="2"/>
  <c r="AZ17" i="2"/>
  <c r="BB17" i="2" s="1"/>
  <c r="BH17" i="2" s="1"/>
  <c r="BI17" i="2" s="1"/>
  <c r="AM17" i="2"/>
  <c r="AT17" i="2" s="1"/>
  <c r="BD20" i="2"/>
  <c r="BF20" i="2" s="1"/>
  <c r="BG20" i="2" s="1"/>
  <c r="AR20" i="2"/>
  <c r="AS20" i="2" s="1"/>
  <c r="AF21" i="2"/>
  <c r="O49" i="3"/>
  <c r="I46" i="3" l="1"/>
  <c r="J46" i="3"/>
  <c r="C47" i="3" s="1"/>
  <c r="E47" i="3" s="1"/>
  <c r="K46" i="3"/>
  <c r="L46" i="3" s="1"/>
  <c r="AE18" i="2" s="1"/>
  <c r="AL18" i="2" s="1"/>
  <c r="AW17" i="2"/>
  <c r="D17" i="11"/>
  <c r="F47" i="3"/>
  <c r="AX16" i="2"/>
  <c r="G16" i="11" s="1"/>
  <c r="M16" i="11" s="1"/>
  <c r="F16" i="11"/>
  <c r="L16" i="11" s="1"/>
  <c r="E16" i="11"/>
  <c r="AV17" i="2"/>
  <c r="AP21" i="2"/>
  <c r="AW21" i="11"/>
  <c r="H47" i="3" l="1"/>
  <c r="AZ19" i="11" s="1"/>
  <c r="M46" i="3"/>
  <c r="V19" i="2" s="1"/>
  <c r="AK19" i="2" s="1"/>
  <c r="K47" i="3"/>
  <c r="J47" i="3"/>
  <c r="P19" i="11" s="1"/>
  <c r="I47" i="3"/>
  <c r="P18" i="11"/>
  <c r="AZ18" i="2"/>
  <c r="BB18" i="2" s="1"/>
  <c r="BH18" i="2" s="1"/>
  <c r="BI18" i="2" s="1"/>
  <c r="AM18" i="2"/>
  <c r="AT18" i="2" s="1"/>
  <c r="AV18" i="2" s="1"/>
  <c r="M47" i="3"/>
  <c r="V20" i="2" s="1"/>
  <c r="AK20" i="2" s="1"/>
  <c r="L47" i="3"/>
  <c r="AE19" i="2" s="1"/>
  <c r="AL19" i="2" s="1"/>
  <c r="AZ19" i="2" s="1"/>
  <c r="BA19" i="2"/>
  <c r="G47" i="3"/>
  <c r="O19" i="11" s="1"/>
  <c r="AX19" i="11"/>
  <c r="E17" i="11"/>
  <c r="AX17" i="2"/>
  <c r="G17" i="11" s="1"/>
  <c r="M17" i="11" s="1"/>
  <c r="F17" i="11"/>
  <c r="L17" i="11" s="1"/>
  <c r="O50" i="3"/>
  <c r="AF22" i="2"/>
  <c r="BD21" i="2"/>
  <c r="BF21" i="2" s="1"/>
  <c r="BG21" i="2" s="1"/>
  <c r="AR21" i="2"/>
  <c r="AS21" i="2" s="1"/>
  <c r="C48" i="3" l="1"/>
  <c r="E48" i="3" s="1"/>
  <c r="F48" i="3"/>
  <c r="G48" i="3" s="1"/>
  <c r="O20" i="11" s="1"/>
  <c r="BB19" i="2"/>
  <c r="BH19" i="2" s="1"/>
  <c r="BI19" i="2" s="1"/>
  <c r="H48" i="3"/>
  <c r="J48" i="3" s="1"/>
  <c r="I48" i="3"/>
  <c r="K48" i="3"/>
  <c r="E18" i="11"/>
  <c r="AM19" i="2"/>
  <c r="AT19" i="2" s="1"/>
  <c r="BA20" i="2"/>
  <c r="D18" i="11"/>
  <c r="AW18" i="2"/>
  <c r="AP22" i="2"/>
  <c r="AW22" i="11"/>
  <c r="AZ20" i="11" l="1"/>
  <c r="AX20" i="11"/>
  <c r="AW19" i="2"/>
  <c r="D19" i="11"/>
  <c r="AV19" i="2"/>
  <c r="P20" i="11"/>
  <c r="C49" i="3"/>
  <c r="E49" i="3" s="1"/>
  <c r="F49" i="3"/>
  <c r="AX21" i="11" s="1"/>
  <c r="L48" i="3"/>
  <c r="AE20" i="2" s="1"/>
  <c r="AL20" i="2" s="1"/>
  <c r="M48" i="3"/>
  <c r="V21" i="2" s="1"/>
  <c r="AK21" i="2" s="1"/>
  <c r="AX18" i="2"/>
  <c r="G18" i="11" s="1"/>
  <c r="M18" i="11" s="1"/>
  <c r="F18" i="11"/>
  <c r="L18" i="11" s="1"/>
  <c r="AF23" i="2"/>
  <c r="O51" i="3"/>
  <c r="AR22" i="2"/>
  <c r="AS22" i="2" s="1"/>
  <c r="BD22" i="2"/>
  <c r="BF22" i="2" s="1"/>
  <c r="BG22" i="2" s="1"/>
  <c r="H49" i="3" l="1"/>
  <c r="AZ21" i="11" s="1"/>
  <c r="G49" i="3"/>
  <c r="O21" i="11" s="1"/>
  <c r="AZ20" i="2"/>
  <c r="BB20" i="2" s="1"/>
  <c r="BH20" i="2" s="1"/>
  <c r="BI20" i="2" s="1"/>
  <c r="AM20" i="2"/>
  <c r="AT20" i="2" s="1"/>
  <c r="AV20" i="2" s="1"/>
  <c r="J49" i="3"/>
  <c r="I49" i="3"/>
  <c r="E19" i="11"/>
  <c r="BA21" i="2"/>
  <c r="F19" i="11"/>
  <c r="L19" i="11" s="1"/>
  <c r="AX19" i="2"/>
  <c r="G19" i="11" s="1"/>
  <c r="M19" i="11" s="1"/>
  <c r="AP23" i="2"/>
  <c r="AW23" i="11"/>
  <c r="K49" i="3" l="1"/>
  <c r="E20" i="11"/>
  <c r="F50" i="3"/>
  <c r="C50" i="3"/>
  <c r="E50" i="3" s="1"/>
  <c r="H50" i="3" s="1"/>
  <c r="AZ22" i="11" s="1"/>
  <c r="P21" i="11"/>
  <c r="D20" i="11"/>
  <c r="AW20" i="2"/>
  <c r="L49" i="3"/>
  <c r="AE21" i="2" s="1"/>
  <c r="AL21" i="2" s="1"/>
  <c r="M49" i="3"/>
  <c r="V22" i="2" s="1"/>
  <c r="AK22" i="2" s="1"/>
  <c r="AR23" i="2"/>
  <c r="AS23" i="2" s="1"/>
  <c r="BD23" i="2"/>
  <c r="BF23" i="2" s="1"/>
  <c r="BG23" i="2" s="1"/>
  <c r="AF24" i="2"/>
  <c r="O52" i="3"/>
  <c r="I50" i="3" l="1"/>
  <c r="J50" i="3"/>
  <c r="P22" i="11" s="1"/>
  <c r="K50" i="3"/>
  <c r="AZ21" i="2"/>
  <c r="BB21" i="2" s="1"/>
  <c r="BH21" i="2" s="1"/>
  <c r="BI21" i="2" s="1"/>
  <c r="AM21" i="2"/>
  <c r="AT21" i="2" s="1"/>
  <c r="AX20" i="2"/>
  <c r="G20" i="11" s="1"/>
  <c r="M20" i="11" s="1"/>
  <c r="F20" i="11"/>
  <c r="L20" i="11" s="1"/>
  <c r="G50" i="3"/>
  <c r="O22" i="11" s="1"/>
  <c r="AX22" i="11"/>
  <c r="BA22" i="2"/>
  <c r="AW24" i="11"/>
  <c r="AP24" i="2"/>
  <c r="F51" i="3" l="1"/>
  <c r="AX23" i="11" s="1"/>
  <c r="C51" i="3"/>
  <c r="E51" i="3" s="1"/>
  <c r="H51" i="3"/>
  <c r="K51" i="3" s="1"/>
  <c r="D21" i="11"/>
  <c r="AW21" i="2"/>
  <c r="AV21" i="2"/>
  <c r="I51" i="3"/>
  <c r="L50" i="3"/>
  <c r="AE22" i="2" s="1"/>
  <c r="AL22" i="2" s="1"/>
  <c r="M50" i="3"/>
  <c r="V23" i="2" s="1"/>
  <c r="AK23" i="2" s="1"/>
  <c r="AF25" i="2"/>
  <c r="O53" i="3"/>
  <c r="AR24" i="2"/>
  <c r="AS24" i="2" s="1"/>
  <c r="BD24" i="2"/>
  <c r="BF24" i="2" s="1"/>
  <c r="BG24" i="2" s="1"/>
  <c r="G51" i="3" l="1"/>
  <c r="O23" i="11" s="1"/>
  <c r="AZ23" i="11"/>
  <c r="L51" i="3"/>
  <c r="AE23" i="2" s="1"/>
  <c r="AL23" i="2" s="1"/>
  <c r="AZ23" i="2" s="1"/>
  <c r="M51" i="3"/>
  <c r="V24" i="2" s="1"/>
  <c r="AK24" i="2" s="1"/>
  <c r="BA24" i="2" s="1"/>
  <c r="J51" i="3"/>
  <c r="E21" i="11"/>
  <c r="AX21" i="2"/>
  <c r="G21" i="11" s="1"/>
  <c r="M21" i="11" s="1"/>
  <c r="F21" i="11"/>
  <c r="L21" i="11" s="1"/>
  <c r="BA23" i="2"/>
  <c r="BB23" i="2" s="1"/>
  <c r="BH23" i="2" s="1"/>
  <c r="BI23" i="2" s="1"/>
  <c r="AZ22" i="2"/>
  <c r="BB22" i="2" s="1"/>
  <c r="BH22" i="2" s="1"/>
  <c r="BI22" i="2" s="1"/>
  <c r="AM22" i="2"/>
  <c r="AT22" i="2" s="1"/>
  <c r="AW25" i="11"/>
  <c r="AP25" i="2"/>
  <c r="AM23" i="2" l="1"/>
  <c r="AT23" i="2" s="1"/>
  <c r="D23" i="11" s="1"/>
  <c r="P23" i="11"/>
  <c r="C52" i="3"/>
  <c r="E52" i="3" s="1"/>
  <c r="H52" i="3" s="1"/>
  <c r="F52" i="3"/>
  <c r="AX24" i="11" s="1"/>
  <c r="AW22" i="2"/>
  <c r="D22" i="11"/>
  <c r="AW23" i="2"/>
  <c r="AV22" i="2"/>
  <c r="BD25" i="2"/>
  <c r="BF25" i="2" s="1"/>
  <c r="BG25" i="2" s="1"/>
  <c r="AR25" i="2"/>
  <c r="AS25" i="2" s="1"/>
  <c r="O54" i="3"/>
  <c r="AF26" i="2"/>
  <c r="I52" i="3" l="1"/>
  <c r="K52" i="3"/>
  <c r="M52" i="3" s="1"/>
  <c r="V25" i="2" s="1"/>
  <c r="AK25" i="2" s="1"/>
  <c r="BA25" i="2" s="1"/>
  <c r="G52" i="3"/>
  <c r="O24" i="11" s="1"/>
  <c r="L52" i="3"/>
  <c r="AE24" i="2" s="1"/>
  <c r="AL24" i="2" s="1"/>
  <c r="AM24" i="2" s="1"/>
  <c r="AT24" i="2" s="1"/>
  <c r="AZ24" i="11"/>
  <c r="J52" i="3"/>
  <c r="F23" i="11"/>
  <c r="L23" i="11" s="1"/>
  <c r="E22" i="11"/>
  <c r="AV23" i="2"/>
  <c r="E23" i="11" s="1"/>
  <c r="AX22" i="2"/>
  <c r="G22" i="11" s="1"/>
  <c r="M22" i="11" s="1"/>
  <c r="F22" i="11"/>
  <c r="L22" i="11" s="1"/>
  <c r="AW26" i="11"/>
  <c r="AP26" i="2"/>
  <c r="AZ24" i="2" l="1"/>
  <c r="BB24" i="2" s="1"/>
  <c r="BH24" i="2" s="1"/>
  <c r="BI24" i="2" s="1"/>
  <c r="D24" i="11"/>
  <c r="AW24" i="2"/>
  <c r="F24" i="11" s="1"/>
  <c r="L24" i="11" s="1"/>
  <c r="F53" i="3"/>
  <c r="AX25" i="11" s="1"/>
  <c r="P24" i="11"/>
  <c r="C53" i="3"/>
  <c r="E53" i="3" s="1"/>
  <c r="G53" i="3"/>
  <c r="O25" i="11" s="1"/>
  <c r="H53" i="3"/>
  <c r="I53" i="3" s="1"/>
  <c r="AX23" i="2"/>
  <c r="G23" i="11" s="1"/>
  <c r="M23" i="11" s="1"/>
  <c r="AV24" i="2"/>
  <c r="AF27" i="2"/>
  <c r="O55" i="3"/>
  <c r="BD26" i="2"/>
  <c r="BF26" i="2" s="1"/>
  <c r="BG26" i="2" s="1"/>
  <c r="AR26" i="2"/>
  <c r="AS26" i="2" s="1"/>
  <c r="K53" i="3" l="1"/>
  <c r="AZ25" i="11"/>
  <c r="J53" i="3"/>
  <c r="AX24" i="2"/>
  <c r="G24" i="11" s="1"/>
  <c r="M24" i="11" s="1"/>
  <c r="E24" i="11"/>
  <c r="AP27" i="2"/>
  <c r="AW27" i="11"/>
  <c r="F54" i="3" l="1"/>
  <c r="AX26" i="11" s="1"/>
  <c r="C54" i="3"/>
  <c r="E54" i="3" s="1"/>
  <c r="P25" i="11"/>
  <c r="H54" i="3"/>
  <c r="I54" i="3" s="1"/>
  <c r="G54" i="3"/>
  <c r="O26" i="11" s="1"/>
  <c r="L53" i="3"/>
  <c r="AE25" i="2" s="1"/>
  <c r="AL25" i="2" s="1"/>
  <c r="M53" i="3"/>
  <c r="V26" i="2" s="1"/>
  <c r="AK26" i="2" s="1"/>
  <c r="BA26" i="2" s="1"/>
  <c r="AR27" i="2"/>
  <c r="AS27" i="2" s="1"/>
  <c r="BD27" i="2"/>
  <c r="BF27" i="2" s="1"/>
  <c r="BG27" i="2" s="1"/>
  <c r="AZ25" i="2" l="1"/>
  <c r="BB25" i="2" s="1"/>
  <c r="BH25" i="2" s="1"/>
  <c r="BI25" i="2" s="1"/>
  <c r="AM25" i="2"/>
  <c r="AT25" i="2" s="1"/>
  <c r="J54" i="3"/>
  <c r="K54" i="3"/>
  <c r="AZ26" i="11"/>
  <c r="AF28" i="2"/>
  <c r="O56" i="3"/>
  <c r="M54" i="3" l="1"/>
  <c r="V27" i="2" s="1"/>
  <c r="AK27" i="2" s="1"/>
  <c r="L54" i="3"/>
  <c r="AE26" i="2" s="1"/>
  <c r="AL26" i="2" s="1"/>
  <c r="C55" i="3"/>
  <c r="E55" i="3" s="1"/>
  <c r="H55" i="3" s="1"/>
  <c r="I55" i="3" s="1"/>
  <c r="P26" i="11"/>
  <c r="F55" i="3"/>
  <c r="AX27" i="11" s="1"/>
  <c r="AW25" i="2"/>
  <c r="AV25" i="2"/>
  <c r="E25" i="11" s="1"/>
  <c r="D25" i="11"/>
  <c r="G55" i="3"/>
  <c r="O27" i="11" s="1"/>
  <c r="AP28" i="2"/>
  <c r="AW28" i="11"/>
  <c r="CF28" i="11" s="1"/>
  <c r="I51" i="20" s="1"/>
  <c r="I52" i="20" s="1"/>
  <c r="I53" i="20" s="1"/>
  <c r="F25" i="11" l="1"/>
  <c r="L25" i="11" s="1"/>
  <c r="AX25" i="2"/>
  <c r="G25" i="11" s="1"/>
  <c r="M25" i="11" s="1"/>
  <c r="K55" i="3"/>
  <c r="J55" i="3"/>
  <c r="AZ27" i="11"/>
  <c r="AM26" i="2"/>
  <c r="AT26" i="2" s="1"/>
  <c r="AZ26" i="2"/>
  <c r="BB26" i="2" s="1"/>
  <c r="BH26" i="2" s="1"/>
  <c r="BI26" i="2" s="1"/>
  <c r="BA27" i="2"/>
  <c r="BD28" i="2"/>
  <c r="BF28" i="2" s="1"/>
  <c r="BG28" i="2" s="1"/>
  <c r="AR28" i="2"/>
  <c r="AS28" i="2" s="1"/>
  <c r="AF29" i="2"/>
  <c r="O57" i="3"/>
  <c r="P27" i="11" l="1"/>
  <c r="C56" i="3"/>
  <c r="E56" i="3" s="1"/>
  <c r="H56" i="3" s="1"/>
  <c r="K56" i="3" s="1"/>
  <c r="F56" i="3"/>
  <c r="L55" i="3"/>
  <c r="AE27" i="2" s="1"/>
  <c r="AL27" i="2" s="1"/>
  <c r="M55" i="3"/>
  <c r="V28" i="2" s="1"/>
  <c r="AK28" i="2" s="1"/>
  <c r="BA28" i="2" s="1"/>
  <c r="AW26" i="2"/>
  <c r="D26" i="11"/>
  <c r="AV26" i="2"/>
  <c r="AZ28" i="11"/>
  <c r="CI28" i="11" s="1"/>
  <c r="I75" i="20" s="1"/>
  <c r="I77" i="20" s="1"/>
  <c r="I78" i="20" s="1"/>
  <c r="I56" i="3"/>
  <c r="J56" i="3"/>
  <c r="AW29" i="11"/>
  <c r="AP29" i="2"/>
  <c r="AX28" i="11" l="1"/>
  <c r="CG28" i="11" s="1"/>
  <c r="I55" i="20" s="1"/>
  <c r="I57" i="20" s="1"/>
  <c r="G56" i="3"/>
  <c r="O28" i="11" s="1"/>
  <c r="F26" i="11"/>
  <c r="L26" i="11" s="1"/>
  <c r="AX26" i="2"/>
  <c r="G26" i="11" s="1"/>
  <c r="M26" i="11" s="1"/>
  <c r="AZ27" i="2"/>
  <c r="BB27" i="2" s="1"/>
  <c r="BH27" i="2" s="1"/>
  <c r="BI27" i="2" s="1"/>
  <c r="AM27" i="2"/>
  <c r="AT27" i="2" s="1"/>
  <c r="AV27" i="2" s="1"/>
  <c r="E27" i="11" s="1"/>
  <c r="E26" i="11"/>
  <c r="M56" i="3"/>
  <c r="V29" i="2" s="1"/>
  <c r="AK29" i="2" s="1"/>
  <c r="BA29" i="2" s="1"/>
  <c r="L56" i="3"/>
  <c r="AE28" i="2" s="1"/>
  <c r="C57" i="3"/>
  <c r="E57" i="3" s="1"/>
  <c r="F57" i="3"/>
  <c r="P28" i="11"/>
  <c r="AF30" i="2"/>
  <c r="O58" i="3"/>
  <c r="AR29" i="2"/>
  <c r="AS29" i="2" s="1"/>
  <c r="BD29" i="2"/>
  <c r="BF29" i="2" s="1"/>
  <c r="BG29" i="2" s="1"/>
  <c r="H57" i="3" l="1"/>
  <c r="J57" i="3" s="1"/>
  <c r="I68" i="20"/>
  <c r="I69" i="20" s="1"/>
  <c r="I79" i="20" s="1"/>
  <c r="I58" i="20"/>
  <c r="I59" i="20" s="1"/>
  <c r="D27" i="11"/>
  <c r="AW27" i="2"/>
  <c r="I57" i="3"/>
  <c r="AZ29" i="11"/>
  <c r="P29" i="11"/>
  <c r="F58" i="3"/>
  <c r="AX30" i="11" s="1"/>
  <c r="C58" i="3"/>
  <c r="E58" i="3" s="1"/>
  <c r="H58" i="3" s="1"/>
  <c r="K58" i="3" s="1"/>
  <c r="L58" i="3" s="1"/>
  <c r="AE30" i="2" s="1"/>
  <c r="AL30" i="2" s="1"/>
  <c r="G57" i="3"/>
  <c r="O29" i="11" s="1"/>
  <c r="AX29" i="11"/>
  <c r="K57" i="3"/>
  <c r="O26" i="19"/>
  <c r="AL28" i="2"/>
  <c r="AW30" i="11"/>
  <c r="AP30" i="2"/>
  <c r="I60" i="20" l="1"/>
  <c r="I61" i="20" s="1"/>
  <c r="I62" i="20"/>
  <c r="I81" i="20"/>
  <c r="I82" i="20" s="1"/>
  <c r="I83" i="20" s="1"/>
  <c r="I80" i="20"/>
  <c r="G58" i="3"/>
  <c r="O30" i="11" s="1"/>
  <c r="F27" i="11"/>
  <c r="L27" i="11" s="1"/>
  <c r="AX27" i="2"/>
  <c r="G27" i="11" s="1"/>
  <c r="M27" i="11" s="1"/>
  <c r="AZ28" i="2"/>
  <c r="BB28" i="2" s="1"/>
  <c r="BH28" i="2" s="1"/>
  <c r="BI28" i="2" s="1"/>
  <c r="AM28" i="2"/>
  <c r="AT28" i="2" s="1"/>
  <c r="AZ30" i="11"/>
  <c r="I58" i="3"/>
  <c r="L57" i="3"/>
  <c r="AE29" i="2" s="1"/>
  <c r="AL29" i="2" s="1"/>
  <c r="M57" i="3"/>
  <c r="V30" i="2" s="1"/>
  <c r="AK30" i="2" s="1"/>
  <c r="BA30" i="2" s="1"/>
  <c r="M58" i="3"/>
  <c r="V31" i="2" s="1"/>
  <c r="AK31" i="2" s="1"/>
  <c r="BA31" i="2" s="1"/>
  <c r="J58" i="3"/>
  <c r="AF31" i="2"/>
  <c r="O59" i="3"/>
  <c r="AZ30" i="2"/>
  <c r="BD30" i="2"/>
  <c r="BF30" i="2" s="1"/>
  <c r="BG30" i="2" s="1"/>
  <c r="AR30" i="2"/>
  <c r="AS30" i="2" s="1"/>
  <c r="AM30" i="2" l="1"/>
  <c r="P30" i="11"/>
  <c r="F59" i="3"/>
  <c r="AX31" i="11" s="1"/>
  <c r="C59" i="3"/>
  <c r="E59" i="3" s="1"/>
  <c r="AZ29" i="2"/>
  <c r="BB29" i="2" s="1"/>
  <c r="BH29" i="2" s="1"/>
  <c r="BI29" i="2" s="1"/>
  <c r="AM29" i="2"/>
  <c r="AT29" i="2" s="1"/>
  <c r="AW28" i="2"/>
  <c r="D28" i="11"/>
  <c r="AV28" i="2"/>
  <c r="E28" i="11" s="1"/>
  <c r="BB30" i="2"/>
  <c r="BH30" i="2" s="1"/>
  <c r="BI30" i="2" s="1"/>
  <c r="H59" i="3"/>
  <c r="AZ31" i="11" s="1"/>
  <c r="G59" i="3"/>
  <c r="O31" i="11" s="1"/>
  <c r="AT30" i="2"/>
  <c r="AW31" i="11"/>
  <c r="AP31" i="2"/>
  <c r="AX28" i="2" l="1"/>
  <c r="G28" i="11" s="1"/>
  <c r="M28" i="11" s="1"/>
  <c r="F28" i="11"/>
  <c r="L28" i="11" s="1"/>
  <c r="AV29" i="2"/>
  <c r="E29" i="11" s="1"/>
  <c r="AW29" i="2"/>
  <c r="D29" i="11"/>
  <c r="J59" i="3"/>
  <c r="P31" i="11" s="1"/>
  <c r="I59" i="3"/>
  <c r="K59" i="3"/>
  <c r="M59" i="3" s="1"/>
  <c r="V32" i="2" s="1"/>
  <c r="AK32" i="2" s="1"/>
  <c r="D30" i="11"/>
  <c r="AW30" i="2"/>
  <c r="BD31" i="2"/>
  <c r="BF31" i="2" s="1"/>
  <c r="BG31" i="2" s="1"/>
  <c r="AR31" i="2"/>
  <c r="AS31" i="2" s="1"/>
  <c r="AV30" i="2" l="1"/>
  <c r="L59" i="3"/>
  <c r="AE31" i="2" s="1"/>
  <c r="AL31" i="2" s="1"/>
  <c r="AZ31" i="2" s="1"/>
  <c r="BB31" i="2" s="1"/>
  <c r="BH31" i="2" s="1"/>
  <c r="BI31" i="2" s="1"/>
  <c r="AX29" i="2"/>
  <c r="G29" i="11" s="1"/>
  <c r="M29" i="11" s="1"/>
  <c r="F29" i="11"/>
  <c r="L29" i="11" s="1"/>
  <c r="F60" i="3"/>
  <c r="G60" i="3" s="1"/>
  <c r="O32" i="11" s="1"/>
  <c r="C60" i="3"/>
  <c r="E60" i="3" s="1"/>
  <c r="H60" i="3" s="1"/>
  <c r="BA32" i="2"/>
  <c r="F30" i="11"/>
  <c r="L30" i="11" s="1"/>
  <c r="O60" i="3"/>
  <c r="AF32" i="2"/>
  <c r="E30" i="11"/>
  <c r="AX30" i="2" l="1"/>
  <c r="G30" i="11" s="1"/>
  <c r="M30" i="11" s="1"/>
  <c r="AM31" i="2"/>
  <c r="AT31" i="2" s="1"/>
  <c r="AV31" i="2" s="1"/>
  <c r="E31" i="11" s="1"/>
  <c r="AX32" i="11"/>
  <c r="AZ32" i="11"/>
  <c r="K60" i="3"/>
  <c r="M60" i="3" s="1"/>
  <c r="V33" i="2" s="1"/>
  <c r="AK33" i="2" s="1"/>
  <c r="J60" i="3"/>
  <c r="C61" i="3" s="1"/>
  <c r="E61" i="3" s="1"/>
  <c r="I60" i="3"/>
  <c r="F61" i="3"/>
  <c r="G61" i="3" s="1"/>
  <c r="O33" i="11" s="1"/>
  <c r="P32" i="11"/>
  <c r="AP32" i="2"/>
  <c r="AW32" i="11"/>
  <c r="D31" i="11" l="1"/>
  <c r="AW31" i="2"/>
  <c r="F31" i="11" s="1"/>
  <c r="L31" i="11" s="1"/>
  <c r="L60" i="3"/>
  <c r="AE32" i="2" s="1"/>
  <c r="AL32" i="2" s="1"/>
  <c r="AZ32" i="2" s="1"/>
  <c r="BB32" i="2" s="1"/>
  <c r="H61" i="3"/>
  <c r="K61" i="3" s="1"/>
  <c r="J61" i="3"/>
  <c r="AR32" i="2"/>
  <c r="AS32" i="2" s="1"/>
  <c r="BD32" i="2"/>
  <c r="BF32" i="2" s="1"/>
  <c r="BG32" i="2" s="1"/>
  <c r="BA33" i="2"/>
  <c r="AF33" i="2"/>
  <c r="O61" i="3"/>
  <c r="AX33" i="11"/>
  <c r="AX31" i="2"/>
  <c r="G31" i="11" s="1"/>
  <c r="M31" i="11" s="1"/>
  <c r="I61" i="3" l="1"/>
  <c r="AZ33" i="11"/>
  <c r="AM32" i="2"/>
  <c r="BH32" i="2"/>
  <c r="BI32" i="2" s="1"/>
  <c r="AT32" i="2"/>
  <c r="AW32" i="2" s="1"/>
  <c r="L61" i="3"/>
  <c r="AE33" i="2" s="1"/>
  <c r="AL33" i="2" s="1"/>
  <c r="M61" i="3"/>
  <c r="V34" i="2" s="1"/>
  <c r="AK34" i="2" s="1"/>
  <c r="F62" i="3"/>
  <c r="C62" i="3"/>
  <c r="E62" i="3" s="1"/>
  <c r="P33" i="11"/>
  <c r="AW33" i="11"/>
  <c r="AP33" i="2"/>
  <c r="AV32" i="2" l="1"/>
  <c r="E32" i="11" s="1"/>
  <c r="D32" i="11"/>
  <c r="H62" i="3"/>
  <c r="J62" i="3" s="1"/>
  <c r="AZ34" i="11"/>
  <c r="I62" i="3"/>
  <c r="AZ33" i="2"/>
  <c r="BB33" i="2" s="1"/>
  <c r="AM33" i="2"/>
  <c r="AX32" i="2"/>
  <c r="G32" i="11" s="1"/>
  <c r="M32" i="11" s="1"/>
  <c r="F32" i="11"/>
  <c r="L32" i="11" s="1"/>
  <c r="O62" i="3"/>
  <c r="AF34" i="2"/>
  <c r="AX34" i="11"/>
  <c r="BA34" i="2"/>
  <c r="AR33" i="2"/>
  <c r="AS33" i="2" s="1"/>
  <c r="BD33" i="2"/>
  <c r="BF33" i="2" s="1"/>
  <c r="BG33" i="2" s="1"/>
  <c r="G62" i="3"/>
  <c r="O34" i="11" s="1"/>
  <c r="K62" i="3" l="1"/>
  <c r="M62" i="3" s="1"/>
  <c r="V35" i="2" s="1"/>
  <c r="AK35" i="2" s="1"/>
  <c r="AW34" i="11"/>
  <c r="AP34" i="2"/>
  <c r="F63" i="3"/>
  <c r="G63" i="3" s="1"/>
  <c r="O35" i="11" s="1"/>
  <c r="C63" i="3"/>
  <c r="E63" i="3" s="1"/>
  <c r="P34" i="11"/>
  <c r="BH33" i="2"/>
  <c r="BI33" i="2" s="1"/>
  <c r="AT33" i="2"/>
  <c r="H63" i="3" l="1"/>
  <c r="L62" i="3"/>
  <c r="AE34" i="2" s="1"/>
  <c r="AL34" i="2" s="1"/>
  <c r="AZ34" i="2" s="1"/>
  <c r="BB34" i="2" s="1"/>
  <c r="AZ35" i="11"/>
  <c r="I63" i="3"/>
  <c r="J63" i="3"/>
  <c r="K63" i="3"/>
  <c r="BA35" i="2"/>
  <c r="AW33" i="2"/>
  <c r="D33" i="11"/>
  <c r="AV33" i="2"/>
  <c r="AX35" i="11"/>
  <c r="AF35" i="2"/>
  <c r="O63" i="3"/>
  <c r="AR34" i="2"/>
  <c r="AS34" i="2" s="1"/>
  <c r="BD34" i="2"/>
  <c r="BF34" i="2" s="1"/>
  <c r="BG34" i="2" s="1"/>
  <c r="AM34" i="2" l="1"/>
  <c r="AX33" i="2"/>
  <c r="G33" i="11" s="1"/>
  <c r="M33" i="11" s="1"/>
  <c r="F33" i="11"/>
  <c r="L33" i="11" s="1"/>
  <c r="E33" i="11"/>
  <c r="BH34" i="2"/>
  <c r="BI34" i="2" s="1"/>
  <c r="L63" i="3"/>
  <c r="AE35" i="2" s="1"/>
  <c r="AL35" i="2" s="1"/>
  <c r="M63" i="3"/>
  <c r="V36" i="2" s="1"/>
  <c r="AK36" i="2" s="1"/>
  <c r="AT34" i="2"/>
  <c r="AW35" i="11"/>
  <c r="AP35" i="2"/>
  <c r="C64" i="3"/>
  <c r="E64" i="3" s="1"/>
  <c r="F64" i="3"/>
  <c r="G64" i="3" s="1"/>
  <c r="O36" i="11" s="1"/>
  <c r="P35" i="11"/>
  <c r="H64" i="3" l="1"/>
  <c r="K64" i="3" s="1"/>
  <c r="L64" i="3" s="1"/>
  <c r="AE36" i="2" s="1"/>
  <c r="AZ35" i="2"/>
  <c r="BB35" i="2" s="1"/>
  <c r="AM35" i="2"/>
  <c r="I64" i="3"/>
  <c r="J64" i="3"/>
  <c r="BD35" i="2"/>
  <c r="BF35" i="2" s="1"/>
  <c r="BG35" i="2" s="1"/>
  <c r="AR35" i="2"/>
  <c r="AS35" i="2" s="1"/>
  <c r="AW34" i="2"/>
  <c r="D34" i="11"/>
  <c r="AV34" i="2"/>
  <c r="AF36" i="2"/>
  <c r="O64" i="3"/>
  <c r="AX36" i="11"/>
  <c r="BA36" i="2"/>
  <c r="AZ36" i="11"/>
  <c r="M64" i="3" l="1"/>
  <c r="V37" i="2" s="1"/>
  <c r="AK37" i="2" s="1"/>
  <c r="BA37" i="2" s="1"/>
  <c r="AL36" i="2"/>
  <c r="AZ36" i="2" s="1"/>
  <c r="BB36" i="2" s="1"/>
  <c r="F34" i="11"/>
  <c r="L34" i="11" s="1"/>
  <c r="AX34" i="2"/>
  <c r="G34" i="11" s="1"/>
  <c r="M34" i="11" s="1"/>
  <c r="AT35" i="2"/>
  <c r="AV35" i="2" s="1"/>
  <c r="AW36" i="11"/>
  <c r="AP36" i="2"/>
  <c r="C65" i="3"/>
  <c r="E65" i="3" s="1"/>
  <c r="P36" i="11"/>
  <c r="F65" i="3"/>
  <c r="G65" i="3" s="1"/>
  <c r="O37" i="11" s="1"/>
  <c r="AM36" i="2"/>
  <c r="E34" i="11"/>
  <c r="BH35" i="2"/>
  <c r="BI35" i="2" s="1"/>
  <c r="E35" i="11" l="1"/>
  <c r="AF37" i="2"/>
  <c r="O65" i="3"/>
  <c r="AX37" i="11"/>
  <c r="H65" i="3"/>
  <c r="BD36" i="2"/>
  <c r="BF36" i="2" s="1"/>
  <c r="BG36" i="2" s="1"/>
  <c r="BH36" i="2" s="1"/>
  <c r="BI36" i="2" s="1"/>
  <c r="AR36" i="2"/>
  <c r="AS36" i="2" s="1"/>
  <c r="AT36" i="2" s="1"/>
  <c r="AW35" i="2"/>
  <c r="D35" i="11"/>
  <c r="AW36" i="2" l="1"/>
  <c r="D36" i="11"/>
  <c r="AV36" i="2"/>
  <c r="F35" i="11"/>
  <c r="L35" i="11" s="1"/>
  <c r="AX35" i="2"/>
  <c r="G35" i="11" s="1"/>
  <c r="M35" i="11" s="1"/>
  <c r="AZ37" i="11"/>
  <c r="J65" i="3"/>
  <c r="I65" i="3"/>
  <c r="K65" i="3"/>
  <c r="AP37" i="2"/>
  <c r="AW37" i="11"/>
  <c r="BD37" i="2" l="1"/>
  <c r="BF37" i="2" s="1"/>
  <c r="BG37" i="2" s="1"/>
  <c r="AR37" i="2"/>
  <c r="AS37" i="2" s="1"/>
  <c r="M65" i="3"/>
  <c r="V38" i="2" s="1"/>
  <c r="AK38" i="2" s="1"/>
  <c r="L65" i="3"/>
  <c r="AE37" i="2" s="1"/>
  <c r="AL37" i="2" s="1"/>
  <c r="AZ37" i="2" s="1"/>
  <c r="BB37" i="2" s="1"/>
  <c r="BH37" i="2" s="1"/>
  <c r="BI37" i="2" s="1"/>
  <c r="F66" i="3"/>
  <c r="G66" i="3" s="1"/>
  <c r="O38" i="11" s="1"/>
  <c r="C66" i="3"/>
  <c r="E66" i="3" s="1"/>
  <c r="P37" i="11"/>
  <c r="E36" i="11"/>
  <c r="AX36" i="2"/>
  <c r="G36" i="11" s="1"/>
  <c r="M36" i="11" s="1"/>
  <c r="F36" i="11"/>
  <c r="L36" i="11" s="1"/>
  <c r="H66" i="3" l="1"/>
  <c r="AZ38" i="11" s="1"/>
  <c r="AM37" i="2"/>
  <c r="AT37" i="2" s="1"/>
  <c r="AV37" i="2" s="1"/>
  <c r="E37" i="11" s="1"/>
  <c r="K66" i="3"/>
  <c r="L66" i="3" s="1"/>
  <c r="AE38" i="2" s="1"/>
  <c r="I66" i="3"/>
  <c r="J66" i="3"/>
  <c r="P38" i="11" s="1"/>
  <c r="O66" i="3"/>
  <c r="AX38" i="11"/>
  <c r="AF38" i="2"/>
  <c r="BA38" i="2"/>
  <c r="D37" i="11" l="1"/>
  <c r="AW37" i="2"/>
  <c r="F67" i="3"/>
  <c r="C67" i="3"/>
  <c r="E67" i="3" s="1"/>
  <c r="H67" i="3" s="1"/>
  <c r="M66" i="3"/>
  <c r="V39" i="2" s="1"/>
  <c r="AK39" i="2" s="1"/>
  <c r="BA39" i="2" s="1"/>
  <c r="AL38" i="2"/>
  <c r="AZ38" i="2" s="1"/>
  <c r="BB38" i="2" s="1"/>
  <c r="G67" i="3"/>
  <c r="O39" i="11" s="1"/>
  <c r="F37" i="11"/>
  <c r="L37" i="11" s="1"/>
  <c r="AX37" i="2"/>
  <c r="G37" i="11" s="1"/>
  <c r="M37" i="11" s="1"/>
  <c r="AW38" i="11"/>
  <c r="AP38" i="2"/>
  <c r="AX39" i="11"/>
  <c r="AF39" i="2"/>
  <c r="O67" i="3"/>
  <c r="AM38" i="2" l="1"/>
  <c r="AZ39" i="11"/>
  <c r="I67" i="3"/>
  <c r="J67" i="3"/>
  <c r="K67" i="3"/>
  <c r="BD38" i="2"/>
  <c r="BF38" i="2" s="1"/>
  <c r="BG38" i="2" s="1"/>
  <c r="BH38" i="2" s="1"/>
  <c r="BI38" i="2" s="1"/>
  <c r="AR38" i="2"/>
  <c r="AS38" i="2" s="1"/>
  <c r="AP39" i="2"/>
  <c r="AW39" i="11"/>
  <c r="AT38" i="2" l="1"/>
  <c r="AW38" i="2" s="1"/>
  <c r="F68" i="3"/>
  <c r="G68" i="3" s="1"/>
  <c r="O40" i="11" s="1"/>
  <c r="C68" i="3"/>
  <c r="E68" i="3" s="1"/>
  <c r="H68" i="3" s="1"/>
  <c r="P39" i="11"/>
  <c r="AR39" i="2"/>
  <c r="AS39" i="2" s="1"/>
  <c r="BD39" i="2"/>
  <c r="BF39" i="2" s="1"/>
  <c r="BG39" i="2" s="1"/>
  <c r="L67" i="3"/>
  <c r="AE39" i="2" s="1"/>
  <c r="AL39" i="2" s="1"/>
  <c r="AZ39" i="2" s="1"/>
  <c r="BB39" i="2" s="1"/>
  <c r="M67" i="3"/>
  <c r="V40" i="2" s="1"/>
  <c r="AK40" i="2" s="1"/>
  <c r="AV38" i="2" l="1"/>
  <c r="D38" i="11"/>
  <c r="AM39" i="2"/>
  <c r="AT39" i="2" s="1"/>
  <c r="AV39" i="2" s="1"/>
  <c r="BH39" i="2"/>
  <c r="BI39" i="2" s="1"/>
  <c r="AZ40" i="11"/>
  <c r="CI40" i="11" s="1"/>
  <c r="J75" i="20" s="1"/>
  <c r="J77" i="20" s="1"/>
  <c r="J78" i="20" s="1"/>
  <c r="K68" i="3"/>
  <c r="J68" i="3"/>
  <c r="I68" i="3"/>
  <c r="F38" i="11"/>
  <c r="L38" i="11" s="1"/>
  <c r="AX38" i="2"/>
  <c r="G38" i="11" s="1"/>
  <c r="M38" i="11" s="1"/>
  <c r="BA40" i="2"/>
  <c r="E38" i="11"/>
  <c r="O68" i="3"/>
  <c r="AX40" i="11"/>
  <c r="CG40" i="11" s="1"/>
  <c r="J55" i="20" s="1"/>
  <c r="J57" i="20" s="1"/>
  <c r="AF40" i="2"/>
  <c r="AW39" i="2" l="1"/>
  <c r="D39" i="11"/>
  <c r="AP40" i="2"/>
  <c r="AW40" i="11"/>
  <c r="CF40" i="11" s="1"/>
  <c r="J51" i="20" s="1"/>
  <c r="J52" i="20" s="1"/>
  <c r="J53" i="20" s="1"/>
  <c r="M68" i="3"/>
  <c r="V41" i="2" s="1"/>
  <c r="AK41" i="2" s="1"/>
  <c r="L68" i="3"/>
  <c r="AE40" i="2" s="1"/>
  <c r="AL40" i="2" s="1"/>
  <c r="F39" i="11"/>
  <c r="L39" i="11" s="1"/>
  <c r="AX39" i="2"/>
  <c r="G39" i="11" s="1"/>
  <c r="M39" i="11" s="1"/>
  <c r="E39" i="11"/>
  <c r="C69" i="3"/>
  <c r="E69" i="3" s="1"/>
  <c r="P40" i="11"/>
  <c r="F69" i="3"/>
  <c r="G69" i="3" s="1"/>
  <c r="O41" i="11" s="1"/>
  <c r="O38" i="19" l="1"/>
  <c r="H69" i="3"/>
  <c r="AZ41" i="11" s="1"/>
  <c r="AZ40" i="2"/>
  <c r="BB40" i="2" s="1"/>
  <c r="AM40" i="2"/>
  <c r="AX41" i="11"/>
  <c r="AF41" i="2"/>
  <c r="O69" i="3"/>
  <c r="BA41" i="2"/>
  <c r="J68" i="20"/>
  <c r="J69" i="20" s="1"/>
  <c r="J79" i="20" s="1"/>
  <c r="J58" i="20"/>
  <c r="J59" i="20" s="1"/>
  <c r="AR40" i="2"/>
  <c r="AS40" i="2" s="1"/>
  <c r="BD40" i="2"/>
  <c r="BF40" i="2" s="1"/>
  <c r="BG40" i="2" s="1"/>
  <c r="J69" i="3" l="1"/>
  <c r="K69" i="3"/>
  <c r="I69" i="3"/>
  <c r="J62" i="20"/>
  <c r="J60" i="20"/>
  <c r="AW41" i="11"/>
  <c r="AP41" i="2"/>
  <c r="L69" i="3"/>
  <c r="AE41" i="2" s="1"/>
  <c r="AL41" i="2" s="1"/>
  <c r="M69" i="3"/>
  <c r="V42" i="2" s="1"/>
  <c r="AK42" i="2" s="1"/>
  <c r="J81" i="20"/>
  <c r="J82" i="20" s="1"/>
  <c r="J83" i="20" s="1"/>
  <c r="J80" i="20"/>
  <c r="BH40" i="2"/>
  <c r="BI40" i="2" s="1"/>
  <c r="AT40" i="2"/>
  <c r="P41" i="11"/>
  <c r="F70" i="3"/>
  <c r="G70" i="3" s="1"/>
  <c r="O42" i="11" s="1"/>
  <c r="C70" i="3"/>
  <c r="E70" i="3" s="1"/>
  <c r="H70" i="3" l="1"/>
  <c r="AZ42" i="11" s="1"/>
  <c r="I70" i="3"/>
  <c r="J70" i="3"/>
  <c r="AF42" i="2"/>
  <c r="O70" i="3"/>
  <c r="AX42" i="11"/>
  <c r="AW40" i="2"/>
  <c r="D40" i="11"/>
  <c r="AV40" i="2"/>
  <c r="BA42" i="2"/>
  <c r="AZ41" i="2"/>
  <c r="BB41" i="2" s="1"/>
  <c r="AM41" i="2"/>
  <c r="BD41" i="2"/>
  <c r="BF41" i="2" s="1"/>
  <c r="BG41" i="2" s="1"/>
  <c r="AR41" i="2"/>
  <c r="AS41" i="2" s="1"/>
  <c r="J61" i="20"/>
  <c r="K70" i="3" l="1"/>
  <c r="E40" i="11"/>
  <c r="M70" i="3"/>
  <c r="V43" i="2" s="1"/>
  <c r="AK43" i="2" s="1"/>
  <c r="L70" i="3"/>
  <c r="AE42" i="2" s="1"/>
  <c r="AL42" i="2" s="1"/>
  <c r="BH41" i="2"/>
  <c r="BI41" i="2" s="1"/>
  <c r="AX40" i="2"/>
  <c r="G40" i="11" s="1"/>
  <c r="M40" i="11" s="1"/>
  <c r="F40" i="11"/>
  <c r="L40" i="11" s="1"/>
  <c r="AP42" i="2"/>
  <c r="AW42" i="11"/>
  <c r="AT41" i="2"/>
  <c r="AV41" i="2" s="1"/>
  <c r="C71" i="3"/>
  <c r="E71" i="3" s="1"/>
  <c r="P42" i="11"/>
  <c r="F71" i="3"/>
  <c r="H71" i="3" l="1"/>
  <c r="AZ43" i="11"/>
  <c r="K71" i="3"/>
  <c r="J71" i="3"/>
  <c r="I71" i="3"/>
  <c r="E41" i="11"/>
  <c r="G71" i="3"/>
  <c r="O43" i="11" s="1"/>
  <c r="O71" i="3"/>
  <c r="AX43" i="11"/>
  <c r="AF43" i="2"/>
  <c r="AZ42" i="2"/>
  <c r="BB42" i="2" s="1"/>
  <c r="AM42" i="2"/>
  <c r="AW41" i="2"/>
  <c r="D41" i="11"/>
  <c r="BD42" i="2"/>
  <c r="BF42" i="2" s="1"/>
  <c r="BG42" i="2" s="1"/>
  <c r="AR42" i="2"/>
  <c r="AS42" i="2" s="1"/>
  <c r="BA43" i="2"/>
  <c r="AW43" i="11" l="1"/>
  <c r="AP43" i="2"/>
  <c r="F41" i="11"/>
  <c r="L41" i="11" s="1"/>
  <c r="AX41" i="2"/>
  <c r="G41" i="11" s="1"/>
  <c r="M41" i="11" s="1"/>
  <c r="M71" i="3"/>
  <c r="V44" i="2" s="1"/>
  <c r="AK44" i="2" s="1"/>
  <c r="L71" i="3"/>
  <c r="AE43" i="2" s="1"/>
  <c r="AL43" i="2" s="1"/>
  <c r="BH42" i="2"/>
  <c r="BI42" i="2" s="1"/>
  <c r="AT42" i="2"/>
  <c r="F72" i="3"/>
  <c r="G72" i="3" s="1"/>
  <c r="O44" i="11" s="1"/>
  <c r="C72" i="3"/>
  <c r="E72" i="3" s="1"/>
  <c r="H72" i="3" s="1"/>
  <c r="P43" i="11"/>
  <c r="AZ44" i="11" l="1"/>
  <c r="J72" i="3"/>
  <c r="I72" i="3"/>
  <c r="K72" i="3"/>
  <c r="AZ43" i="2"/>
  <c r="BB43" i="2" s="1"/>
  <c r="AM43" i="2"/>
  <c r="AR43" i="2"/>
  <c r="AS43" i="2" s="1"/>
  <c r="BD43" i="2"/>
  <c r="BF43" i="2" s="1"/>
  <c r="BG43" i="2" s="1"/>
  <c r="AF44" i="2"/>
  <c r="O72" i="3"/>
  <c r="AX44" i="11"/>
  <c r="AW42" i="2"/>
  <c r="D42" i="11"/>
  <c r="AV42" i="2"/>
  <c r="BA44" i="2"/>
  <c r="AT43" i="2" l="1"/>
  <c r="AV43" i="2" s="1"/>
  <c r="E42" i="11"/>
  <c r="AX42" i="2"/>
  <c r="G42" i="11" s="1"/>
  <c r="M42" i="11" s="1"/>
  <c r="F42" i="11"/>
  <c r="L42" i="11" s="1"/>
  <c r="L72" i="3"/>
  <c r="AE44" i="2" s="1"/>
  <c r="AL44" i="2" s="1"/>
  <c r="M72" i="3"/>
  <c r="V45" i="2" s="1"/>
  <c r="AK45" i="2" s="1"/>
  <c r="AP44" i="2"/>
  <c r="AW44" i="11"/>
  <c r="BH43" i="2"/>
  <c r="BI43" i="2" s="1"/>
  <c r="C73" i="3"/>
  <c r="E73" i="3" s="1"/>
  <c r="F73" i="3"/>
  <c r="G73" i="3" s="1"/>
  <c r="O45" i="11" s="1"/>
  <c r="P44" i="11"/>
  <c r="AW43" i="2" l="1"/>
  <c r="D43" i="11"/>
  <c r="H73" i="3"/>
  <c r="I73" i="3" s="1"/>
  <c r="AZ45" i="11"/>
  <c r="K73" i="3"/>
  <c r="AX45" i="11"/>
  <c r="O73" i="3"/>
  <c r="AF45" i="2"/>
  <c r="AR44" i="2"/>
  <c r="AS44" i="2" s="1"/>
  <c r="BD44" i="2"/>
  <c r="BF44" i="2" s="1"/>
  <c r="BG44" i="2" s="1"/>
  <c r="AZ44" i="2"/>
  <c r="BB44" i="2" s="1"/>
  <c r="AM44" i="2"/>
  <c r="BA45" i="2"/>
  <c r="E43" i="11"/>
  <c r="F43" i="11"/>
  <c r="L43" i="11" s="1"/>
  <c r="AX43" i="2"/>
  <c r="G43" i="11" s="1"/>
  <c r="M43" i="11" s="1"/>
  <c r="J73" i="3" l="1"/>
  <c r="F74" i="3" s="1"/>
  <c r="G74" i="3" s="1"/>
  <c r="O46" i="11" s="1"/>
  <c r="BH44" i="2"/>
  <c r="BI44" i="2" s="1"/>
  <c r="AT44" i="2"/>
  <c r="AP45" i="2"/>
  <c r="AW45" i="11"/>
  <c r="M73" i="3"/>
  <c r="V46" i="2" s="1"/>
  <c r="AK46" i="2" s="1"/>
  <c r="L73" i="3"/>
  <c r="AE45" i="2" s="1"/>
  <c r="AL45" i="2" s="1"/>
  <c r="P45" i="11" l="1"/>
  <c r="C74" i="3"/>
  <c r="E74" i="3" s="1"/>
  <c r="H74" i="3" s="1"/>
  <c r="BA46" i="2"/>
  <c r="AF46" i="2"/>
  <c r="O74" i="3"/>
  <c r="AX46" i="11"/>
  <c r="AR45" i="2"/>
  <c r="AS45" i="2" s="1"/>
  <c r="BD45" i="2"/>
  <c r="BF45" i="2" s="1"/>
  <c r="BG45" i="2" s="1"/>
  <c r="AZ45" i="2"/>
  <c r="BB45" i="2" s="1"/>
  <c r="AM45" i="2"/>
  <c r="AW44" i="2"/>
  <c r="D44" i="11"/>
  <c r="AV44" i="2"/>
  <c r="AZ46" i="11" l="1"/>
  <c r="K74" i="3"/>
  <c r="M74" i="3" s="1"/>
  <c r="V47" i="2" s="1"/>
  <c r="AK47" i="2" s="1"/>
  <c r="J74" i="3"/>
  <c r="F75" i="3" s="1"/>
  <c r="G75" i="3" s="1"/>
  <c r="O47" i="11" s="1"/>
  <c r="I74" i="3"/>
  <c r="AT45" i="2"/>
  <c r="AV45" i="2" s="1"/>
  <c r="BH45" i="2"/>
  <c r="BI45" i="2" s="1"/>
  <c r="F44" i="11"/>
  <c r="L44" i="11" s="1"/>
  <c r="AX44" i="2"/>
  <c r="G44" i="11" s="1"/>
  <c r="M44" i="11" s="1"/>
  <c r="E44" i="11"/>
  <c r="AP46" i="2"/>
  <c r="AW46" i="11"/>
  <c r="L74" i="3" l="1"/>
  <c r="AE46" i="2" s="1"/>
  <c r="AL46" i="2" s="1"/>
  <c r="AM46" i="2" s="1"/>
  <c r="P46" i="11"/>
  <c r="C75" i="3"/>
  <c r="E75" i="3" s="1"/>
  <c r="H75" i="3" s="1"/>
  <c r="AW45" i="2"/>
  <c r="F45" i="11" s="1"/>
  <c r="L45" i="11" s="1"/>
  <c r="D45" i="11"/>
  <c r="O75" i="3"/>
  <c r="AX47" i="11"/>
  <c r="AF47" i="2"/>
  <c r="AR46" i="2"/>
  <c r="AS46" i="2" s="1"/>
  <c r="BD46" i="2"/>
  <c r="BF46" i="2" s="1"/>
  <c r="BG46" i="2" s="1"/>
  <c r="BA47" i="2"/>
  <c r="E45" i="11"/>
  <c r="AZ46" i="2" l="1"/>
  <c r="BB46" i="2" s="1"/>
  <c r="BH46" i="2" s="1"/>
  <c r="BI46" i="2" s="1"/>
  <c r="J75" i="3"/>
  <c r="F76" i="3" s="1"/>
  <c r="I75" i="3"/>
  <c r="AX45" i="2"/>
  <c r="G45" i="11" s="1"/>
  <c r="M45" i="11" s="1"/>
  <c r="K75" i="3"/>
  <c r="L75" i="3" s="1"/>
  <c r="AE47" i="2" s="1"/>
  <c r="AL47" i="2" s="1"/>
  <c r="AZ47" i="2" s="1"/>
  <c r="BB47" i="2" s="1"/>
  <c r="P47" i="11"/>
  <c r="C76" i="3"/>
  <c r="E76" i="3" s="1"/>
  <c r="H76" i="3" s="1"/>
  <c r="AZ48" i="11" s="1"/>
  <c r="G76" i="3"/>
  <c r="O48" i="11" s="1"/>
  <c r="AZ47" i="11"/>
  <c r="I76" i="3"/>
  <c r="AP47" i="2"/>
  <c r="AW47" i="11"/>
  <c r="AT46" i="2"/>
  <c r="AF48" i="2"/>
  <c r="AX48" i="11"/>
  <c r="O76" i="3"/>
  <c r="M75" i="3" l="1"/>
  <c r="V48" i="2" s="1"/>
  <c r="AK48" i="2" s="1"/>
  <c r="K76" i="3"/>
  <c r="J76" i="3"/>
  <c r="P48" i="11" s="1"/>
  <c r="AM47" i="2"/>
  <c r="BA48" i="2"/>
  <c r="AW48" i="11"/>
  <c r="AP48" i="2"/>
  <c r="AW46" i="2"/>
  <c r="D46" i="11"/>
  <c r="AV46" i="2"/>
  <c r="M76" i="3"/>
  <c r="V49" i="2" s="1"/>
  <c r="AK49" i="2" s="1"/>
  <c r="L76" i="3"/>
  <c r="AE48" i="2" s="1"/>
  <c r="AL48" i="2" s="1"/>
  <c r="AZ48" i="2" s="1"/>
  <c r="BB48" i="2" s="1"/>
  <c r="BD47" i="2"/>
  <c r="BF47" i="2" s="1"/>
  <c r="BG47" i="2" s="1"/>
  <c r="BH47" i="2" s="1"/>
  <c r="BI47" i="2" s="1"/>
  <c r="AR47" i="2"/>
  <c r="AS47" i="2" s="1"/>
  <c r="F77" i="3"/>
  <c r="C77" i="3" l="1"/>
  <c r="E77" i="3" s="1"/>
  <c r="H77" i="3" s="1"/>
  <c r="AZ49" i="11" s="1"/>
  <c r="AT47" i="2"/>
  <c r="AW47" i="2" s="1"/>
  <c r="D47" i="11"/>
  <c r="AF49" i="2"/>
  <c r="O77" i="3"/>
  <c r="AX49" i="11"/>
  <c r="G77" i="3"/>
  <c r="O49" i="11" s="1"/>
  <c r="BA49" i="2"/>
  <c r="F46" i="11"/>
  <c r="L46" i="11" s="1"/>
  <c r="AX46" i="2"/>
  <c r="G46" i="11" s="1"/>
  <c r="M46" i="11" s="1"/>
  <c r="AR48" i="2"/>
  <c r="AS48" i="2" s="1"/>
  <c r="BD48" i="2"/>
  <c r="BF48" i="2" s="1"/>
  <c r="BG48" i="2" s="1"/>
  <c r="BH48" i="2" s="1"/>
  <c r="BI48" i="2" s="1"/>
  <c r="AM48" i="2"/>
  <c r="AV47" i="2"/>
  <c r="E46" i="11"/>
  <c r="AT48" i="2" l="1"/>
  <c r="AV48" i="2" s="1"/>
  <c r="J77" i="3"/>
  <c r="P49" i="11" s="1"/>
  <c r="I77" i="3"/>
  <c r="K77" i="3"/>
  <c r="M77" i="3" s="1"/>
  <c r="V50" i="2" s="1"/>
  <c r="AK50" i="2" s="1"/>
  <c r="E47" i="11"/>
  <c r="AP49" i="2"/>
  <c r="AW49" i="11"/>
  <c r="F47" i="11"/>
  <c r="L47" i="11" s="1"/>
  <c r="AX47" i="2"/>
  <c r="G47" i="11" s="1"/>
  <c r="M47" i="11" s="1"/>
  <c r="AW48" i="2" l="1"/>
  <c r="D48" i="11"/>
  <c r="L77" i="3"/>
  <c r="AE49" i="2" s="1"/>
  <c r="AL49" i="2" s="1"/>
  <c r="AZ49" i="2" s="1"/>
  <c r="BB49" i="2" s="1"/>
  <c r="F78" i="3"/>
  <c r="C78" i="3"/>
  <c r="E78" i="3" s="1"/>
  <c r="H78" i="3"/>
  <c r="AZ50" i="11" s="1"/>
  <c r="J78" i="3"/>
  <c r="K78" i="3"/>
  <c r="I78" i="3"/>
  <c r="AX50" i="11"/>
  <c r="AF50" i="2"/>
  <c r="O78" i="3"/>
  <c r="BA50" i="2"/>
  <c r="G78" i="3"/>
  <c r="O50" i="11" s="1"/>
  <c r="AX48" i="2"/>
  <c r="G48" i="11" s="1"/>
  <c r="M48" i="11" s="1"/>
  <c r="F48" i="11"/>
  <c r="L48" i="11" s="1"/>
  <c r="E48" i="11"/>
  <c r="AR49" i="2"/>
  <c r="AS49" i="2" s="1"/>
  <c r="BD49" i="2"/>
  <c r="BF49" i="2" s="1"/>
  <c r="BG49" i="2" s="1"/>
  <c r="AM49" i="2" l="1"/>
  <c r="BH49" i="2"/>
  <c r="BI49" i="2" s="1"/>
  <c r="P50" i="11"/>
  <c r="C79" i="3"/>
  <c r="E79" i="3" s="1"/>
  <c r="F79" i="3"/>
  <c r="AT49" i="2"/>
  <c r="AP50" i="2"/>
  <c r="AW50" i="11"/>
  <c r="M78" i="3"/>
  <c r="V51" i="2" s="1"/>
  <c r="AK51" i="2" s="1"/>
  <c r="L78" i="3"/>
  <c r="AE50" i="2" s="1"/>
  <c r="AL50" i="2" s="1"/>
  <c r="H79" i="3" l="1"/>
  <c r="AZ51" i="11"/>
  <c r="K79" i="3"/>
  <c r="I79" i="3"/>
  <c r="J79" i="3"/>
  <c r="BA51" i="2"/>
  <c r="AZ50" i="2"/>
  <c r="BB50" i="2" s="1"/>
  <c r="AM50" i="2"/>
  <c r="AR50" i="2"/>
  <c r="AS50" i="2" s="1"/>
  <c r="BD50" i="2"/>
  <c r="BF50" i="2" s="1"/>
  <c r="BG50" i="2" s="1"/>
  <c r="AF51" i="2"/>
  <c r="O79" i="3"/>
  <c r="AX51" i="11"/>
  <c r="AW49" i="2"/>
  <c r="D49" i="11"/>
  <c r="AV49" i="2"/>
  <c r="G79" i="3"/>
  <c r="O51" i="11" s="1"/>
  <c r="AT50" i="2" l="1"/>
  <c r="AW50" i="2" s="1"/>
  <c r="D50" i="11"/>
  <c r="P51" i="11"/>
  <c r="C80" i="3"/>
  <c r="E80" i="3" s="1"/>
  <c r="F80" i="3"/>
  <c r="F49" i="11"/>
  <c r="L49" i="11" s="1"/>
  <c r="AX49" i="2"/>
  <c r="G49" i="11" s="1"/>
  <c r="M49" i="11" s="1"/>
  <c r="BH50" i="2"/>
  <c r="BI50" i="2" s="1"/>
  <c r="AL51" i="2"/>
  <c r="AV50" i="2"/>
  <c r="E49" i="11"/>
  <c r="AW51" i="11"/>
  <c r="AP51" i="2"/>
  <c r="M79" i="3"/>
  <c r="V52" i="2" s="1"/>
  <c r="AK52" i="2" s="1"/>
  <c r="L79" i="3"/>
  <c r="AE51" i="2" s="1"/>
  <c r="BA52" i="2" l="1"/>
  <c r="AZ51" i="2"/>
  <c r="BB51" i="2" s="1"/>
  <c r="AM51" i="2"/>
  <c r="AX52" i="11"/>
  <c r="CG52" i="11" s="1"/>
  <c r="K55" i="20" s="1"/>
  <c r="K57" i="20" s="1"/>
  <c r="AF52" i="2"/>
  <c r="O80" i="3"/>
  <c r="H80" i="3"/>
  <c r="BD51" i="2"/>
  <c r="BF51" i="2" s="1"/>
  <c r="BG51" i="2" s="1"/>
  <c r="AR51" i="2"/>
  <c r="AS51" i="2" s="1"/>
  <c r="G80" i="3"/>
  <c r="O52" i="11" s="1"/>
  <c r="E50" i="11"/>
  <c r="F50" i="11"/>
  <c r="L50" i="11" s="1"/>
  <c r="AX50" i="2"/>
  <c r="G50" i="11" s="1"/>
  <c r="M50" i="11" s="1"/>
  <c r="AZ52" i="11" l="1"/>
  <c r="CI52" i="11" s="1"/>
  <c r="K75" i="20" s="1"/>
  <c r="K77" i="20" s="1"/>
  <c r="K78" i="20" s="1"/>
  <c r="J80" i="3"/>
  <c r="K80" i="3"/>
  <c r="I80" i="3"/>
  <c r="AT51" i="2"/>
  <c r="AP52" i="2"/>
  <c r="AW52" i="11"/>
  <c r="CF52" i="11" s="1"/>
  <c r="K51" i="20" s="1"/>
  <c r="K52" i="20" s="1"/>
  <c r="K53" i="20" s="1"/>
  <c r="BH51" i="2"/>
  <c r="BI51" i="2" s="1"/>
  <c r="AW51" i="2" l="1"/>
  <c r="D51" i="11"/>
  <c r="AV51" i="2"/>
  <c r="BD52" i="2"/>
  <c r="BF52" i="2" s="1"/>
  <c r="BG52" i="2" s="1"/>
  <c r="AR52" i="2"/>
  <c r="AS52" i="2" s="1"/>
  <c r="M80" i="3"/>
  <c r="V53" i="2" s="1"/>
  <c r="AK53" i="2" s="1"/>
  <c r="L80" i="3"/>
  <c r="AE52" i="2" s="1"/>
  <c r="K68" i="20"/>
  <c r="K69" i="20" s="1"/>
  <c r="K79" i="20" s="1"/>
  <c r="K58" i="20"/>
  <c r="K59" i="20" s="1"/>
  <c r="C81" i="3"/>
  <c r="E81" i="3" s="1"/>
  <c r="P52" i="11"/>
  <c r="F81" i="3"/>
  <c r="AL52" i="2" l="1"/>
  <c r="O50" i="19"/>
  <c r="H81" i="3"/>
  <c r="AZ53" i="11" s="1"/>
  <c r="I81" i="3"/>
  <c r="AX53" i="11"/>
  <c r="AF53" i="2"/>
  <c r="O81" i="3"/>
  <c r="K62" i="20"/>
  <c r="K60" i="20"/>
  <c r="E51" i="11"/>
  <c r="K81" i="20"/>
  <c r="K82" i="20" s="1"/>
  <c r="K83" i="20" s="1"/>
  <c r="K80" i="20"/>
  <c r="G81" i="3"/>
  <c r="O53" i="11" s="1"/>
  <c r="BA53" i="2"/>
  <c r="F51" i="11"/>
  <c r="L51" i="11" s="1"/>
  <c r="AX51" i="2"/>
  <c r="G51" i="11" s="1"/>
  <c r="M51" i="11" s="1"/>
  <c r="J81" i="3" l="1"/>
  <c r="C82" i="3" s="1"/>
  <c r="E82" i="3" s="1"/>
  <c r="K81" i="3"/>
  <c r="L81" i="3" s="1"/>
  <c r="AE53" i="2" s="1"/>
  <c r="AL53" i="2" s="1"/>
  <c r="AZ52" i="2"/>
  <c r="BB52" i="2" s="1"/>
  <c r="BH52" i="2" s="1"/>
  <c r="BI52" i="2" s="1"/>
  <c r="AM52" i="2"/>
  <c r="AT52" i="2" s="1"/>
  <c r="AW53" i="11"/>
  <c r="AP53" i="2"/>
  <c r="K61" i="20"/>
  <c r="M81" i="3" l="1"/>
  <c r="V54" i="2" s="1"/>
  <c r="AK54" i="2" s="1"/>
  <c r="F82" i="3"/>
  <c r="G82" i="3" s="1"/>
  <c r="O54" i="11" s="1"/>
  <c r="P53" i="11"/>
  <c r="D52" i="11"/>
  <c r="AV52" i="2"/>
  <c r="E52" i="11" s="1"/>
  <c r="AW52" i="2"/>
  <c r="BA54" i="2"/>
  <c r="AF54" i="2"/>
  <c r="O82" i="3"/>
  <c r="AX54" i="11"/>
  <c r="AR53" i="2"/>
  <c r="AS53" i="2" s="1"/>
  <c r="BD53" i="2"/>
  <c r="BF53" i="2" s="1"/>
  <c r="BG53" i="2" s="1"/>
  <c r="AZ53" i="2"/>
  <c r="BB53" i="2" s="1"/>
  <c r="AM53" i="2"/>
  <c r="H82" i="3"/>
  <c r="AT53" i="2" l="1"/>
  <c r="D53" i="11" s="1"/>
  <c r="F52" i="11"/>
  <c r="L52" i="11" s="1"/>
  <c r="AX52" i="2"/>
  <c r="G52" i="11" s="1"/>
  <c r="M52" i="11" s="1"/>
  <c r="BH53" i="2"/>
  <c r="BI53" i="2" s="1"/>
  <c r="AW53" i="2"/>
  <c r="AZ54" i="11"/>
  <c r="I82" i="3"/>
  <c r="J82" i="3"/>
  <c r="K82" i="3"/>
  <c r="AP54" i="2"/>
  <c r="AW54" i="11"/>
  <c r="AV53" i="2" l="1"/>
  <c r="E53" i="11" s="1"/>
  <c r="M82" i="3"/>
  <c r="V55" i="2" s="1"/>
  <c r="AK55" i="2" s="1"/>
  <c r="L82" i="3"/>
  <c r="AE54" i="2" s="1"/>
  <c r="AL54" i="2" s="1"/>
  <c r="C83" i="3"/>
  <c r="E83" i="3" s="1"/>
  <c r="P54" i="11"/>
  <c r="F83" i="3"/>
  <c r="AR54" i="2"/>
  <c r="AS54" i="2" s="1"/>
  <c r="BD54" i="2"/>
  <c r="BF54" i="2" s="1"/>
  <c r="BG54" i="2" s="1"/>
  <c r="AX53" i="2"/>
  <c r="G53" i="11" s="1"/>
  <c r="M53" i="11" s="1"/>
  <c r="F53" i="11"/>
  <c r="L53" i="11" s="1"/>
  <c r="AF55" i="2" l="1"/>
  <c r="O83" i="3"/>
  <c r="AX55" i="11"/>
  <c r="AZ54" i="2"/>
  <c r="BB54" i="2" s="1"/>
  <c r="BH54" i="2" s="1"/>
  <c r="BI54" i="2" s="1"/>
  <c r="AM54" i="2"/>
  <c r="AT54" i="2" s="1"/>
  <c r="H83" i="3"/>
  <c r="G83" i="3"/>
  <c r="O55" i="11" s="1"/>
  <c r="BA55" i="2"/>
  <c r="AZ55" i="11" l="1"/>
  <c r="J83" i="3"/>
  <c r="I83" i="3"/>
  <c r="K83" i="3"/>
  <c r="D54" i="11"/>
  <c r="AW54" i="2"/>
  <c r="AV54" i="2"/>
  <c r="AW55" i="11"/>
  <c r="AP55" i="2"/>
  <c r="E54" i="11" l="1"/>
  <c r="AR55" i="2"/>
  <c r="AS55" i="2" s="1"/>
  <c r="BD55" i="2"/>
  <c r="BF55" i="2" s="1"/>
  <c r="BG55" i="2" s="1"/>
  <c r="F54" i="11"/>
  <c r="L54" i="11" s="1"/>
  <c r="AX54" i="2"/>
  <c r="G54" i="11" s="1"/>
  <c r="M54" i="11" s="1"/>
  <c r="L83" i="3"/>
  <c r="AE55" i="2" s="1"/>
  <c r="M83" i="3"/>
  <c r="V56" i="2" s="1"/>
  <c r="AK56" i="2" s="1"/>
  <c r="F84" i="3"/>
  <c r="P55" i="11"/>
  <c r="G84" i="3"/>
  <c r="O56" i="11" s="1"/>
  <c r="C84" i="3"/>
  <c r="E84" i="3" s="1"/>
  <c r="H84" i="3" s="1"/>
  <c r="AL55" i="2"/>
  <c r="AZ56" i="11" l="1"/>
  <c r="K84" i="3"/>
  <c r="J84" i="3"/>
  <c r="I84" i="3"/>
  <c r="AZ55" i="2"/>
  <c r="BB55" i="2" s="1"/>
  <c r="BH55" i="2" s="1"/>
  <c r="BI55" i="2" s="1"/>
  <c r="AM55" i="2"/>
  <c r="AT55" i="2" s="1"/>
  <c r="BA56" i="2"/>
  <c r="O84" i="3"/>
  <c r="AF56" i="2"/>
  <c r="AX56" i="11"/>
  <c r="AP56" i="2" l="1"/>
  <c r="AW56" i="11"/>
  <c r="D55" i="11"/>
  <c r="AW55" i="2"/>
  <c r="AV55" i="2"/>
  <c r="C85" i="3"/>
  <c r="E85" i="3" s="1"/>
  <c r="F85" i="3"/>
  <c r="G85" i="3" s="1"/>
  <c r="O57" i="11" s="1"/>
  <c r="P56" i="11"/>
  <c r="M84" i="3"/>
  <c r="V57" i="2" s="1"/>
  <c r="AK57" i="2" s="1"/>
  <c r="L84" i="3"/>
  <c r="AE56" i="2" s="1"/>
  <c r="AL56" i="2" s="1"/>
  <c r="H85" i="3" l="1"/>
  <c r="AZ57" i="11" s="1"/>
  <c r="K85" i="3"/>
  <c r="J85" i="3"/>
  <c r="I85" i="3"/>
  <c r="BA57" i="2"/>
  <c r="AX57" i="11"/>
  <c r="AF57" i="2"/>
  <c r="O85" i="3"/>
  <c r="AX55" i="2"/>
  <c r="G55" i="11" s="1"/>
  <c r="M55" i="11" s="1"/>
  <c r="F55" i="11"/>
  <c r="L55" i="11" s="1"/>
  <c r="E55" i="11"/>
  <c r="AZ56" i="2"/>
  <c r="BB56" i="2" s="1"/>
  <c r="AM56" i="2"/>
  <c r="AR56" i="2"/>
  <c r="AS56" i="2" s="1"/>
  <c r="BD56" i="2"/>
  <c r="BF56" i="2" s="1"/>
  <c r="BG56" i="2" s="1"/>
  <c r="BH56" i="2" l="1"/>
  <c r="BI56" i="2" s="1"/>
  <c r="AP57" i="2"/>
  <c r="AW57" i="11"/>
  <c r="AT56" i="2"/>
  <c r="F86" i="3"/>
  <c r="C86" i="3"/>
  <c r="E86" i="3" s="1"/>
  <c r="P57" i="11"/>
  <c r="G86" i="3"/>
  <c r="O58" i="11" s="1"/>
  <c r="L85" i="3"/>
  <c r="AE57" i="2" s="1"/>
  <c r="AL57" i="2" s="1"/>
  <c r="M85" i="3"/>
  <c r="V58" i="2" s="1"/>
  <c r="AK58" i="2" s="1"/>
  <c r="H86" i="3" l="1"/>
  <c r="AZ58" i="11" s="1"/>
  <c r="K86" i="3"/>
  <c r="J86" i="3"/>
  <c r="I86" i="3"/>
  <c r="O86" i="3"/>
  <c r="AX58" i="11"/>
  <c r="AF58" i="2"/>
  <c r="D56" i="11"/>
  <c r="AW56" i="2"/>
  <c r="AV56" i="2"/>
  <c r="BA58" i="2"/>
  <c r="AZ57" i="2"/>
  <c r="BB57" i="2" s="1"/>
  <c r="AM57" i="2"/>
  <c r="AR57" i="2"/>
  <c r="AS57" i="2" s="1"/>
  <c r="BD57" i="2"/>
  <c r="BF57" i="2" s="1"/>
  <c r="BG57" i="2" s="1"/>
  <c r="AP58" i="2" l="1"/>
  <c r="AW58" i="11"/>
  <c r="BH57" i="2"/>
  <c r="BI57" i="2" s="1"/>
  <c r="E56" i="11"/>
  <c r="AT57" i="2"/>
  <c r="AV57" i="2" s="1"/>
  <c r="AX56" i="2"/>
  <c r="G56" i="11" s="1"/>
  <c r="M56" i="11" s="1"/>
  <c r="F56" i="11"/>
  <c r="L56" i="11" s="1"/>
  <c r="C87" i="3"/>
  <c r="E87" i="3" s="1"/>
  <c r="P58" i="11"/>
  <c r="F87" i="3"/>
  <c r="L86" i="3"/>
  <c r="AE58" i="2" s="1"/>
  <c r="AL58" i="2" s="1"/>
  <c r="M86" i="3"/>
  <c r="V59" i="2" s="1"/>
  <c r="AK59" i="2" s="1"/>
  <c r="H87" i="3" l="1"/>
  <c r="AZ59" i="11" s="1"/>
  <c r="I87" i="3"/>
  <c r="K87" i="3"/>
  <c r="E57" i="11"/>
  <c r="AF59" i="2"/>
  <c r="AX59" i="11"/>
  <c r="O87" i="3"/>
  <c r="G87" i="3"/>
  <c r="O59" i="11" s="1"/>
  <c r="BA59" i="2"/>
  <c r="AW57" i="2"/>
  <c r="D57" i="11"/>
  <c r="AZ58" i="2"/>
  <c r="BB58" i="2" s="1"/>
  <c r="AM58" i="2"/>
  <c r="BD58" i="2"/>
  <c r="BF58" i="2" s="1"/>
  <c r="BG58" i="2" s="1"/>
  <c r="AR58" i="2"/>
  <c r="AS58" i="2" s="1"/>
  <c r="J87" i="3" l="1"/>
  <c r="AT58" i="2"/>
  <c r="AX57" i="2"/>
  <c r="G57" i="11" s="1"/>
  <c r="M57" i="11" s="1"/>
  <c r="F57" i="11"/>
  <c r="L57" i="11" s="1"/>
  <c r="C88" i="3"/>
  <c r="E88" i="3" s="1"/>
  <c r="P59" i="11"/>
  <c r="F88" i="3"/>
  <c r="BH58" i="2"/>
  <c r="BI58" i="2" s="1"/>
  <c r="M87" i="3"/>
  <c r="V60" i="2" s="1"/>
  <c r="AK60" i="2" s="1"/>
  <c r="L87" i="3"/>
  <c r="AE59" i="2" s="1"/>
  <c r="AL59" i="2" s="1"/>
  <c r="AW59" i="11"/>
  <c r="AP59" i="2"/>
  <c r="H88" i="3" l="1"/>
  <c r="AZ60" i="11"/>
  <c r="J88" i="3"/>
  <c r="I88" i="3"/>
  <c r="K88" i="3"/>
  <c r="AR59" i="2"/>
  <c r="AS59" i="2" s="1"/>
  <c r="BD59" i="2"/>
  <c r="BF59" i="2" s="1"/>
  <c r="BG59" i="2" s="1"/>
  <c r="AF60" i="2"/>
  <c r="O88" i="3"/>
  <c r="AX60" i="11"/>
  <c r="AZ59" i="2"/>
  <c r="BB59" i="2" s="1"/>
  <c r="AM59" i="2"/>
  <c r="BA60" i="2"/>
  <c r="G88" i="3"/>
  <c r="O60" i="11" s="1"/>
  <c r="AW58" i="2"/>
  <c r="D58" i="11"/>
  <c r="AV58" i="2"/>
  <c r="BH59" i="2" l="1"/>
  <c r="BI59" i="2" s="1"/>
  <c r="AT59" i="2"/>
  <c r="AV59" i="2" s="1"/>
  <c r="F58" i="11"/>
  <c r="L58" i="11" s="1"/>
  <c r="AX58" i="2"/>
  <c r="G58" i="11" s="1"/>
  <c r="M58" i="11" s="1"/>
  <c r="E58" i="11"/>
  <c r="M88" i="3"/>
  <c r="V61" i="2" s="1"/>
  <c r="AK61" i="2" s="1"/>
  <c r="L88" i="3"/>
  <c r="AE60" i="2" s="1"/>
  <c r="AL60" i="2" s="1"/>
  <c r="D59" i="11"/>
  <c r="AW59" i="2"/>
  <c r="AP60" i="2"/>
  <c r="AW60" i="11"/>
  <c r="C89" i="3"/>
  <c r="E89" i="3" s="1"/>
  <c r="P60" i="11"/>
  <c r="F89" i="3"/>
  <c r="H89" i="3" l="1"/>
  <c r="AZ61" i="11"/>
  <c r="J89" i="3"/>
  <c r="K89" i="3"/>
  <c r="I89" i="3"/>
  <c r="AF61" i="2"/>
  <c r="O89" i="3"/>
  <c r="AX61" i="11"/>
  <c r="G89" i="3"/>
  <c r="O61" i="11" s="1"/>
  <c r="AX59" i="2"/>
  <c r="G59" i="11" s="1"/>
  <c r="M59" i="11" s="1"/>
  <c r="F59" i="11"/>
  <c r="L59" i="11" s="1"/>
  <c r="AR60" i="2"/>
  <c r="AS60" i="2" s="1"/>
  <c r="BD60" i="2"/>
  <c r="BF60" i="2" s="1"/>
  <c r="BG60" i="2" s="1"/>
  <c r="AZ60" i="2"/>
  <c r="BB60" i="2" s="1"/>
  <c r="AM60" i="2"/>
  <c r="BA61" i="2"/>
  <c r="E59" i="11"/>
  <c r="AT60" i="2" l="1"/>
  <c r="AV60" i="2" s="1"/>
  <c r="E60" i="11" s="1"/>
  <c r="BH60" i="2"/>
  <c r="BI60" i="2" s="1"/>
  <c r="P61" i="11"/>
  <c r="C90" i="3"/>
  <c r="E90" i="3" s="1"/>
  <c r="F90" i="3"/>
  <c r="AW61" i="11"/>
  <c r="AP61" i="2"/>
  <c r="M89" i="3"/>
  <c r="V62" i="2" s="1"/>
  <c r="AK62" i="2" s="1"/>
  <c r="L89" i="3"/>
  <c r="AE61" i="2" s="1"/>
  <c r="AL61" i="2" s="1"/>
  <c r="AW60" i="2" l="1"/>
  <c r="F60" i="11" s="1"/>
  <c r="L60" i="11" s="1"/>
  <c r="D60" i="11"/>
  <c r="BA62" i="2"/>
  <c r="AF62" i="2"/>
  <c r="O90" i="3"/>
  <c r="AX62" i="11"/>
  <c r="AZ61" i="2"/>
  <c r="BB61" i="2" s="1"/>
  <c r="AM61" i="2"/>
  <c r="BD61" i="2"/>
  <c r="BF61" i="2" s="1"/>
  <c r="BG61" i="2" s="1"/>
  <c r="AR61" i="2"/>
  <c r="AS61" i="2" s="1"/>
  <c r="H90" i="3"/>
  <c r="G90" i="3"/>
  <c r="O62" i="11" s="1"/>
  <c r="AX60" i="2"/>
  <c r="G60" i="11" s="1"/>
  <c r="M60" i="11" s="1"/>
  <c r="BH61" i="2" l="1"/>
  <c r="BI61" i="2" s="1"/>
  <c r="AZ62" i="11"/>
  <c r="K90" i="3"/>
  <c r="J90" i="3"/>
  <c r="I90" i="3"/>
  <c r="AT61" i="2"/>
  <c r="AP62" i="2"/>
  <c r="AW62" i="11"/>
  <c r="AW61" i="2" l="1"/>
  <c r="D61" i="11"/>
  <c r="AV61" i="2"/>
  <c r="AR62" i="2"/>
  <c r="AS62" i="2" s="1"/>
  <c r="BD62" i="2"/>
  <c r="BF62" i="2" s="1"/>
  <c r="BG62" i="2" s="1"/>
  <c r="C91" i="3"/>
  <c r="E91" i="3" s="1"/>
  <c r="P62" i="11"/>
  <c r="F91" i="3"/>
  <c r="G91" i="3" s="1"/>
  <c r="O63" i="11" s="1"/>
  <c r="M90" i="3"/>
  <c r="V63" i="2" s="1"/>
  <c r="AK63" i="2" s="1"/>
  <c r="L90" i="3"/>
  <c r="AE62" i="2" s="1"/>
  <c r="AL62" i="2" s="1"/>
  <c r="AZ62" i="2" s="1"/>
  <c r="BB62" i="2" s="1"/>
  <c r="AM62" i="2" l="1"/>
  <c r="AT62" i="2" s="1"/>
  <c r="AV62" i="2" s="1"/>
  <c r="H91" i="3"/>
  <c r="J91" i="3" s="1"/>
  <c r="I91" i="3"/>
  <c r="AF63" i="2"/>
  <c r="AX63" i="11"/>
  <c r="O91" i="3"/>
  <c r="BA63" i="2"/>
  <c r="BH62" i="2"/>
  <c r="BI62" i="2" s="1"/>
  <c r="E61" i="11"/>
  <c r="AX61" i="2"/>
  <c r="G61" i="11" s="1"/>
  <c r="M61" i="11" s="1"/>
  <c r="F61" i="11"/>
  <c r="L61" i="11" s="1"/>
  <c r="AZ63" i="11" l="1"/>
  <c r="K91" i="3"/>
  <c r="L91" i="3" s="1"/>
  <c r="AE63" i="2" s="1"/>
  <c r="AL63" i="2" s="1"/>
  <c r="D62" i="11"/>
  <c r="AW62" i="2"/>
  <c r="P63" i="11"/>
  <c r="C92" i="3"/>
  <c r="E92" i="3" s="1"/>
  <c r="F92" i="3"/>
  <c r="G92" i="3" s="1"/>
  <c r="O64" i="11" s="1"/>
  <c r="E62" i="11"/>
  <c r="AW63" i="11"/>
  <c r="AP63" i="2"/>
  <c r="M91" i="3" l="1"/>
  <c r="V64" i="2" s="1"/>
  <c r="AK64" i="2" s="1"/>
  <c r="BA64" i="2" s="1"/>
  <c r="AZ63" i="2"/>
  <c r="BB63" i="2" s="1"/>
  <c r="AM63" i="2"/>
  <c r="H92" i="3"/>
  <c r="AR63" i="2"/>
  <c r="AS63" i="2" s="1"/>
  <c r="BD63" i="2"/>
  <c r="BF63" i="2" s="1"/>
  <c r="BG63" i="2" s="1"/>
  <c r="AX64" i="11"/>
  <c r="CG64" i="11" s="1"/>
  <c r="L55" i="20" s="1"/>
  <c r="L57" i="20" s="1"/>
  <c r="O92" i="3"/>
  <c r="AF64" i="2"/>
  <c r="F62" i="11"/>
  <c r="L62" i="11" s="1"/>
  <c r="AX62" i="2"/>
  <c r="G62" i="11" s="1"/>
  <c r="M62" i="11" s="1"/>
  <c r="AZ64" i="11" l="1"/>
  <c r="CI64" i="11" s="1"/>
  <c r="L75" i="20" s="1"/>
  <c r="L77" i="20" s="1"/>
  <c r="L78" i="20" s="1"/>
  <c r="K92" i="3"/>
  <c r="I92" i="3"/>
  <c r="J92" i="3"/>
  <c r="AP64" i="2"/>
  <c r="AW64" i="11"/>
  <c r="CF64" i="11" s="1"/>
  <c r="L51" i="20" s="1"/>
  <c r="L52" i="20" s="1"/>
  <c r="L53" i="20" s="1"/>
  <c r="AT63" i="2"/>
  <c r="BH63" i="2"/>
  <c r="BI63" i="2" s="1"/>
  <c r="L68" i="20" l="1"/>
  <c r="L69" i="20" s="1"/>
  <c r="L79" i="20" s="1"/>
  <c r="L58" i="20"/>
  <c r="L59" i="20" s="1"/>
  <c r="BD64" i="2"/>
  <c r="BF64" i="2" s="1"/>
  <c r="BG64" i="2" s="1"/>
  <c r="AR64" i="2"/>
  <c r="AS64" i="2" s="1"/>
  <c r="M92" i="3"/>
  <c r="V65" i="2" s="1"/>
  <c r="AK65" i="2" s="1"/>
  <c r="L92" i="3"/>
  <c r="AE64" i="2" s="1"/>
  <c r="D63" i="11"/>
  <c r="AW63" i="2"/>
  <c r="AV63" i="2"/>
  <c r="F93" i="3"/>
  <c r="G93" i="3" s="1"/>
  <c r="O65" i="11" s="1"/>
  <c r="P64" i="11"/>
  <c r="C93" i="3"/>
  <c r="E93" i="3" s="1"/>
  <c r="AL64" i="2" l="1"/>
  <c r="O62" i="19"/>
  <c r="H93" i="3"/>
  <c r="AZ65" i="11" s="1"/>
  <c r="I93" i="3"/>
  <c r="J93" i="3"/>
  <c r="E63" i="11"/>
  <c r="BA65" i="2"/>
  <c r="L62" i="20"/>
  <c r="L60" i="20"/>
  <c r="O93" i="3"/>
  <c r="AF65" i="2"/>
  <c r="AX65" i="11"/>
  <c r="AX63" i="2"/>
  <c r="G63" i="11" s="1"/>
  <c r="M63" i="11" s="1"/>
  <c r="F63" i="11"/>
  <c r="L63" i="11" s="1"/>
  <c r="L81" i="20"/>
  <c r="L82" i="20" s="1"/>
  <c r="L83" i="20" s="1"/>
  <c r="L80" i="20"/>
  <c r="K93" i="3" l="1"/>
  <c r="AM64" i="2"/>
  <c r="AT64" i="2" s="1"/>
  <c r="AZ64" i="2"/>
  <c r="BB64" i="2" s="1"/>
  <c r="BH64" i="2" s="1"/>
  <c r="BI64" i="2" s="1"/>
  <c r="L61" i="20"/>
  <c r="P65" i="11"/>
  <c r="F94" i="3"/>
  <c r="G94" i="3"/>
  <c r="O66" i="11" s="1"/>
  <c r="C94" i="3"/>
  <c r="E94" i="3" s="1"/>
  <c r="H94" i="3" s="1"/>
  <c r="AP65" i="2"/>
  <c r="AW65" i="11"/>
  <c r="M93" i="3"/>
  <c r="V66" i="2" s="1"/>
  <c r="AK66" i="2" s="1"/>
  <c r="L93" i="3"/>
  <c r="AE65" i="2" s="1"/>
  <c r="AL65" i="2" s="1"/>
  <c r="AW64" i="2" l="1"/>
  <c r="AV64" i="2"/>
  <c r="E64" i="11" s="1"/>
  <c r="D64" i="11"/>
  <c r="AZ66" i="11"/>
  <c r="J94" i="3"/>
  <c r="I94" i="3"/>
  <c r="K94" i="3"/>
  <c r="BD65" i="2"/>
  <c r="BF65" i="2" s="1"/>
  <c r="BG65" i="2" s="1"/>
  <c r="AR65" i="2"/>
  <c r="AS65" i="2" s="1"/>
  <c r="AZ65" i="2"/>
  <c r="BB65" i="2" s="1"/>
  <c r="AM65" i="2"/>
  <c r="BA66" i="2"/>
  <c r="AF66" i="2"/>
  <c r="O94" i="3"/>
  <c r="AX66" i="11"/>
  <c r="BH65" i="2" l="1"/>
  <c r="BI65" i="2" s="1"/>
  <c r="AT65" i="2"/>
  <c r="AW65" i="2" s="1"/>
  <c r="F64" i="11"/>
  <c r="L64" i="11" s="1"/>
  <c r="AX64" i="2"/>
  <c r="G64" i="11" s="1"/>
  <c r="M64" i="11" s="1"/>
  <c r="AW66" i="11"/>
  <c r="AP66" i="2"/>
  <c r="L94" i="3"/>
  <c r="AE66" i="2" s="1"/>
  <c r="AL66" i="2" s="1"/>
  <c r="M94" i="3"/>
  <c r="V67" i="2" s="1"/>
  <c r="AK67" i="2" s="1"/>
  <c r="C95" i="3"/>
  <c r="E95" i="3" s="1"/>
  <c r="P66" i="11"/>
  <c r="F95" i="3"/>
  <c r="D65" i="11" l="1"/>
  <c r="AV65" i="2"/>
  <c r="E65" i="11" s="1"/>
  <c r="AZ66" i="2"/>
  <c r="BB66" i="2" s="1"/>
  <c r="AM66" i="2"/>
  <c r="AF67" i="2"/>
  <c r="O95" i="3"/>
  <c r="AX67" i="11"/>
  <c r="BA67" i="2"/>
  <c r="H95" i="3"/>
  <c r="F65" i="11"/>
  <c r="L65" i="11" s="1"/>
  <c r="AX65" i="2"/>
  <c r="G65" i="11" s="1"/>
  <c r="M65" i="11" s="1"/>
  <c r="BD66" i="2"/>
  <c r="BF66" i="2" s="1"/>
  <c r="BG66" i="2" s="1"/>
  <c r="AR66" i="2"/>
  <c r="AS66" i="2" s="1"/>
  <c r="G95" i="3"/>
  <c r="O67" i="11" s="1"/>
  <c r="AT66" i="2" l="1"/>
  <c r="AZ67" i="11"/>
  <c r="K95" i="3"/>
  <c r="J95" i="3"/>
  <c r="I95" i="3"/>
  <c r="AW67" i="11"/>
  <c r="AP67" i="2"/>
  <c r="BH66" i="2"/>
  <c r="BI66" i="2" s="1"/>
  <c r="AR67" i="2" l="1"/>
  <c r="AS67" i="2" s="1"/>
  <c r="BD67" i="2"/>
  <c r="BF67" i="2" s="1"/>
  <c r="BG67" i="2" s="1"/>
  <c r="M95" i="3"/>
  <c r="V68" i="2" s="1"/>
  <c r="AK68" i="2" s="1"/>
  <c r="L95" i="3"/>
  <c r="AE67" i="2" s="1"/>
  <c r="AW66" i="2"/>
  <c r="D66" i="11"/>
  <c r="AV66" i="2"/>
  <c r="P67" i="11"/>
  <c r="C96" i="3"/>
  <c r="E96" i="3" s="1"/>
  <c r="F96" i="3"/>
  <c r="AL67" i="2"/>
  <c r="H96" i="3" l="1"/>
  <c r="I96" i="3" s="1"/>
  <c r="O96" i="3"/>
  <c r="AX68" i="11"/>
  <c r="AF68" i="2"/>
  <c r="G96" i="3"/>
  <c r="O68" i="11" s="1"/>
  <c r="F66" i="11"/>
  <c r="L66" i="11" s="1"/>
  <c r="AX66" i="2"/>
  <c r="G66" i="11" s="1"/>
  <c r="M66" i="11" s="1"/>
  <c r="AZ67" i="2"/>
  <c r="BB67" i="2" s="1"/>
  <c r="BH67" i="2" s="1"/>
  <c r="BI67" i="2" s="1"/>
  <c r="AM67" i="2"/>
  <c r="AT67" i="2" s="1"/>
  <c r="AV67" i="2" s="1"/>
  <c r="E66" i="11"/>
  <c r="AZ68" i="11"/>
  <c r="BA68" i="2"/>
  <c r="K96" i="3" l="1"/>
  <c r="M96" i="3" s="1"/>
  <c r="V69" i="2" s="1"/>
  <c r="AK69" i="2" s="1"/>
  <c r="J96" i="3"/>
  <c r="P68" i="11" s="1"/>
  <c r="E67" i="11"/>
  <c r="D67" i="11"/>
  <c r="AW67" i="2"/>
  <c r="AP68" i="2"/>
  <c r="AW68" i="11"/>
  <c r="L96" i="3" l="1"/>
  <c r="AE68" i="2" s="1"/>
  <c r="AL68" i="2" s="1"/>
  <c r="AM68" i="2" s="1"/>
  <c r="F97" i="3"/>
  <c r="G97" i="3" s="1"/>
  <c r="O69" i="11" s="1"/>
  <c r="C97" i="3"/>
  <c r="E97" i="3" s="1"/>
  <c r="H97" i="3" s="1"/>
  <c r="K97" i="3" s="1"/>
  <c r="M97" i="3" s="1"/>
  <c r="V70" i="2" s="1"/>
  <c r="AK70" i="2" s="1"/>
  <c r="BD68" i="2"/>
  <c r="BF68" i="2" s="1"/>
  <c r="BG68" i="2" s="1"/>
  <c r="AR68" i="2"/>
  <c r="AS68" i="2" s="1"/>
  <c r="BA69" i="2"/>
  <c r="AF69" i="2"/>
  <c r="O97" i="3"/>
  <c r="AX67" i="2"/>
  <c r="G67" i="11" s="1"/>
  <c r="M67" i="11" s="1"/>
  <c r="F67" i="11"/>
  <c r="L67" i="11" s="1"/>
  <c r="AZ68" i="2" l="1"/>
  <c r="BB68" i="2" s="1"/>
  <c r="AX69" i="11"/>
  <c r="I97" i="3"/>
  <c r="J97" i="3"/>
  <c r="P69" i="11" s="1"/>
  <c r="AZ69" i="11"/>
  <c r="L97" i="3"/>
  <c r="AE69" i="2" s="1"/>
  <c r="AL69" i="2" s="1"/>
  <c r="AT68" i="2"/>
  <c r="AW68" i="2" s="1"/>
  <c r="BH68" i="2"/>
  <c r="BI68" i="2" s="1"/>
  <c r="AW69" i="11"/>
  <c r="AP69" i="2"/>
  <c r="BA70" i="2"/>
  <c r="C98" i="3" l="1"/>
  <c r="E98" i="3" s="1"/>
  <c r="D68" i="11"/>
  <c r="F98" i="3"/>
  <c r="H98" i="3" s="1"/>
  <c r="AV68" i="2"/>
  <c r="E68" i="11" s="1"/>
  <c r="BD69" i="2"/>
  <c r="BF69" i="2" s="1"/>
  <c r="BG69" i="2" s="1"/>
  <c r="AR69" i="2"/>
  <c r="AS69" i="2" s="1"/>
  <c r="AF70" i="2"/>
  <c r="O98" i="3"/>
  <c r="AX68" i="2"/>
  <c r="G68" i="11" s="1"/>
  <c r="M68" i="11" s="1"/>
  <c r="F68" i="11"/>
  <c r="L68" i="11" s="1"/>
  <c r="AZ69" i="2"/>
  <c r="BB69" i="2" s="1"/>
  <c r="AM69" i="2"/>
  <c r="BH69" i="2" l="1"/>
  <c r="BI69" i="2" s="1"/>
  <c r="AX70" i="11"/>
  <c r="G98" i="3"/>
  <c r="O70" i="11" s="1"/>
  <c r="AT69" i="2"/>
  <c r="AV69" i="2" s="1"/>
  <c r="E69" i="11" s="1"/>
  <c r="AZ70" i="11"/>
  <c r="J98" i="3"/>
  <c r="I98" i="3"/>
  <c r="K98" i="3"/>
  <c r="AW70" i="11"/>
  <c r="AP70" i="2"/>
  <c r="AW69" i="2" l="1"/>
  <c r="D69" i="11"/>
  <c r="M98" i="3"/>
  <c r="V71" i="2" s="1"/>
  <c r="AK71" i="2" s="1"/>
  <c r="L98" i="3"/>
  <c r="AE70" i="2" s="1"/>
  <c r="AL70" i="2" s="1"/>
  <c r="AZ70" i="2" s="1"/>
  <c r="BB70" i="2" s="1"/>
  <c r="BD70" i="2"/>
  <c r="BF70" i="2" s="1"/>
  <c r="BG70" i="2" s="1"/>
  <c r="AR70" i="2"/>
  <c r="AS70" i="2" s="1"/>
  <c r="P70" i="11"/>
  <c r="F99" i="3"/>
  <c r="C99" i="3"/>
  <c r="E99" i="3" s="1"/>
  <c r="G99" i="3"/>
  <c r="O71" i="11" s="1"/>
  <c r="F69" i="11"/>
  <c r="L69" i="11" s="1"/>
  <c r="AX69" i="2"/>
  <c r="G69" i="11" s="1"/>
  <c r="M69" i="11" s="1"/>
  <c r="AM70" i="2" l="1"/>
  <c r="BH70" i="2"/>
  <c r="BI70" i="2" s="1"/>
  <c r="AT70" i="2"/>
  <c r="AW70" i="2" s="1"/>
  <c r="H99" i="3"/>
  <c r="AZ71" i="11" s="1"/>
  <c r="AF71" i="2"/>
  <c r="O99" i="3"/>
  <c r="AX71" i="11"/>
  <c r="BA71" i="2"/>
  <c r="AV70" i="2" l="1"/>
  <c r="E70" i="11" s="1"/>
  <c r="D70" i="11"/>
  <c r="K99" i="3"/>
  <c r="M99" i="3" s="1"/>
  <c r="V72" i="2" s="1"/>
  <c r="AK72" i="2" s="1"/>
  <c r="J99" i="3"/>
  <c r="P71" i="11" s="1"/>
  <c r="I99" i="3"/>
  <c r="AX70" i="2"/>
  <c r="G70" i="11" s="1"/>
  <c r="M70" i="11" s="1"/>
  <c r="F70" i="11"/>
  <c r="L70" i="11" s="1"/>
  <c r="AW71" i="11"/>
  <c r="AP71" i="2"/>
  <c r="C100" i="3" l="1"/>
  <c r="E100" i="3" s="1"/>
  <c r="F100" i="3"/>
  <c r="G100" i="3" s="1"/>
  <c r="O72" i="11" s="1"/>
  <c r="L99" i="3"/>
  <c r="AE71" i="2" s="1"/>
  <c r="AL71" i="2" s="1"/>
  <c r="AZ71" i="2" s="1"/>
  <c r="BB71" i="2" s="1"/>
  <c r="AR71" i="2"/>
  <c r="AS71" i="2" s="1"/>
  <c r="BD71" i="2"/>
  <c r="BF71" i="2" s="1"/>
  <c r="BG71" i="2" s="1"/>
  <c r="AF72" i="2"/>
  <c r="O100" i="3"/>
  <c r="AX72" i="11"/>
  <c r="BA72" i="2"/>
  <c r="AM71" i="2" l="1"/>
  <c r="H100" i="3"/>
  <c r="AT71" i="2"/>
  <c r="D71" i="11" s="1"/>
  <c r="AP72" i="2"/>
  <c r="AW72" i="11"/>
  <c r="BH71" i="2"/>
  <c r="BI71" i="2" s="1"/>
  <c r="AZ72" i="11" l="1"/>
  <c r="K100" i="3"/>
  <c r="I100" i="3"/>
  <c r="J100" i="3"/>
  <c r="AV71" i="2"/>
  <c r="AW71" i="2"/>
  <c r="AX71" i="2" s="1"/>
  <c r="G71" i="11" s="1"/>
  <c r="M71" i="11" s="1"/>
  <c r="AF73" i="2"/>
  <c r="O101" i="3"/>
  <c r="AR72" i="2"/>
  <c r="AS72" i="2" s="1"/>
  <c r="BD72" i="2"/>
  <c r="BF72" i="2" s="1"/>
  <c r="BG72" i="2" s="1"/>
  <c r="E71" i="11"/>
  <c r="F101" i="3" l="1"/>
  <c r="C101" i="3"/>
  <c r="E101" i="3" s="1"/>
  <c r="H101" i="3" s="1"/>
  <c r="P72" i="11"/>
  <c r="L100" i="3"/>
  <c r="AE72" i="2" s="1"/>
  <c r="AL72" i="2" s="1"/>
  <c r="M100" i="3"/>
  <c r="V73" i="2" s="1"/>
  <c r="AK73" i="2" s="1"/>
  <c r="BA73" i="2" s="1"/>
  <c r="F71" i="11"/>
  <c r="L71" i="11" s="1"/>
  <c r="AW73" i="11"/>
  <c r="AP73" i="2"/>
  <c r="AM72" i="2" l="1"/>
  <c r="AT72" i="2" s="1"/>
  <c r="AW72" i="2" s="1"/>
  <c r="AZ72" i="2"/>
  <c r="BB72" i="2" s="1"/>
  <c r="BH72" i="2" s="1"/>
  <c r="BI72" i="2" s="1"/>
  <c r="K101" i="3"/>
  <c r="AZ73" i="11"/>
  <c r="I101" i="3"/>
  <c r="J101" i="3"/>
  <c r="G101" i="3"/>
  <c r="O73" i="11" s="1"/>
  <c r="AX73" i="11"/>
  <c r="AF74" i="2"/>
  <c r="O102" i="3"/>
  <c r="AR73" i="2"/>
  <c r="AS73" i="2" s="1"/>
  <c r="BD73" i="2"/>
  <c r="BF73" i="2" s="1"/>
  <c r="BG73" i="2" s="1"/>
  <c r="AV72" i="2" l="1"/>
  <c r="D72" i="11"/>
  <c r="P73" i="11"/>
  <c r="C102" i="3"/>
  <c r="E102" i="3" s="1"/>
  <c r="F102" i="3"/>
  <c r="L101" i="3"/>
  <c r="AE73" i="2" s="1"/>
  <c r="AL73" i="2" s="1"/>
  <c r="M101" i="3"/>
  <c r="V74" i="2" s="1"/>
  <c r="AK74" i="2" s="1"/>
  <c r="BA74" i="2" s="1"/>
  <c r="E72" i="11"/>
  <c r="AX72" i="2"/>
  <c r="G72" i="11" s="1"/>
  <c r="M72" i="11" s="1"/>
  <c r="F72" i="11"/>
  <c r="L72" i="11" s="1"/>
  <c r="AW74" i="11"/>
  <c r="AP74" i="2"/>
  <c r="AM73" i="2" l="1"/>
  <c r="AT73" i="2" s="1"/>
  <c r="AW73" i="2" s="1"/>
  <c r="AZ73" i="2"/>
  <c r="BB73" i="2" s="1"/>
  <c r="BH73" i="2" s="1"/>
  <c r="BI73" i="2" s="1"/>
  <c r="G102" i="3"/>
  <c r="O74" i="11" s="1"/>
  <c r="AX74" i="11"/>
  <c r="H102" i="3"/>
  <c r="BD74" i="2"/>
  <c r="BF74" i="2" s="1"/>
  <c r="BG74" i="2" s="1"/>
  <c r="AR74" i="2"/>
  <c r="AS74" i="2" s="1"/>
  <c r="AV73" i="2" l="1"/>
  <c r="D73" i="11"/>
  <c r="J102" i="3"/>
  <c r="AZ74" i="11"/>
  <c r="K102" i="3"/>
  <c r="I102" i="3"/>
  <c r="E73" i="11"/>
  <c r="AF75" i="2"/>
  <c r="O103" i="3"/>
  <c r="AX73" i="2"/>
  <c r="G73" i="11" s="1"/>
  <c r="M73" i="11" s="1"/>
  <c r="F73" i="11"/>
  <c r="L73" i="11" s="1"/>
  <c r="M102" i="3" l="1"/>
  <c r="V75" i="2" s="1"/>
  <c r="AK75" i="2" s="1"/>
  <c r="BA75" i="2" s="1"/>
  <c r="L102" i="3"/>
  <c r="AE74" i="2" s="1"/>
  <c r="AL74" i="2" s="1"/>
  <c r="C103" i="3"/>
  <c r="E103" i="3" s="1"/>
  <c r="F103" i="3"/>
  <c r="AX75" i="11" s="1"/>
  <c r="P74" i="11"/>
  <c r="AW75" i="11"/>
  <c r="AP75" i="2"/>
  <c r="H103" i="3" l="1"/>
  <c r="G103" i="3"/>
  <c r="O75" i="11" s="1"/>
  <c r="AZ74" i="2"/>
  <c r="BB74" i="2" s="1"/>
  <c r="BH74" i="2" s="1"/>
  <c r="BI74" i="2" s="1"/>
  <c r="AM74" i="2"/>
  <c r="AT74" i="2" s="1"/>
  <c r="O104" i="3"/>
  <c r="AF76" i="2"/>
  <c r="BD75" i="2"/>
  <c r="BF75" i="2" s="1"/>
  <c r="BG75" i="2" s="1"/>
  <c r="AR75" i="2"/>
  <c r="AS75" i="2" s="1"/>
  <c r="AV74" i="2" l="1"/>
  <c r="E74" i="11" s="1"/>
  <c r="D74" i="11"/>
  <c r="AW74" i="2"/>
  <c r="I103" i="3"/>
  <c r="J103" i="3"/>
  <c r="K103" i="3"/>
  <c r="AZ75" i="11"/>
  <c r="AP76" i="2"/>
  <c r="AW76" i="11"/>
  <c r="CF76" i="11" s="1"/>
  <c r="M51" i="20" s="1"/>
  <c r="M52" i="20" s="1"/>
  <c r="M53" i="20" s="1"/>
  <c r="M103" i="3" l="1"/>
  <c r="V76" i="2" s="1"/>
  <c r="AK76" i="2" s="1"/>
  <c r="BA76" i="2" s="1"/>
  <c r="L103" i="3"/>
  <c r="AE75" i="2" s="1"/>
  <c r="AL75" i="2" s="1"/>
  <c r="G104" i="3"/>
  <c r="O76" i="11" s="1"/>
  <c r="F104" i="3"/>
  <c r="AX76" i="11" s="1"/>
  <c r="CG76" i="11" s="1"/>
  <c r="M55" i="20" s="1"/>
  <c r="M57" i="20" s="1"/>
  <c r="M68" i="20" s="1"/>
  <c r="M69" i="20" s="1"/>
  <c r="P75" i="11"/>
  <c r="C104" i="3"/>
  <c r="E104" i="3" s="1"/>
  <c r="H104" i="3"/>
  <c r="AZ76" i="11" s="1"/>
  <c r="CI76" i="11" s="1"/>
  <c r="M75" i="20" s="1"/>
  <c r="M77" i="20" s="1"/>
  <c r="M78" i="20" s="1"/>
  <c r="I104" i="3"/>
  <c r="K104" i="3"/>
  <c r="F74" i="11"/>
  <c r="L74" i="11" s="1"/>
  <c r="AX74" i="2"/>
  <c r="G74" i="11" s="1"/>
  <c r="M74" i="11" s="1"/>
  <c r="AF77" i="2"/>
  <c r="O105" i="3"/>
  <c r="BD76" i="2"/>
  <c r="BF76" i="2" s="1"/>
  <c r="BG76" i="2" s="1"/>
  <c r="AR76" i="2"/>
  <c r="AS76" i="2" s="1"/>
  <c r="M58" i="20" l="1"/>
  <c r="M59" i="20" s="1"/>
  <c r="M104" i="3"/>
  <c r="V77" i="2" s="1"/>
  <c r="AK77" i="2" s="1"/>
  <c r="BA77" i="2" s="1"/>
  <c r="L104" i="3"/>
  <c r="AE76" i="2" s="1"/>
  <c r="AL76" i="2" s="1"/>
  <c r="M79" i="20"/>
  <c r="AZ75" i="2"/>
  <c r="BB75" i="2" s="1"/>
  <c r="BH75" i="2" s="1"/>
  <c r="BI75" i="2" s="1"/>
  <c r="AM75" i="2"/>
  <c r="AT75" i="2" s="1"/>
  <c r="J104" i="3"/>
  <c r="O74" i="19"/>
  <c r="M81" i="20"/>
  <c r="M82" i="20" s="1"/>
  <c r="M83" i="20" s="1"/>
  <c r="M80" i="20"/>
  <c r="M60" i="20"/>
  <c r="M62" i="20"/>
  <c r="AP77" i="2"/>
  <c r="AW77" i="11"/>
  <c r="C105" i="3" l="1"/>
  <c r="E105" i="3" s="1"/>
  <c r="F105" i="3"/>
  <c r="AX77" i="11" s="1"/>
  <c r="P76" i="11"/>
  <c r="H105" i="3"/>
  <c r="G105" i="3"/>
  <c r="O77" i="11" s="1"/>
  <c r="AW75" i="2"/>
  <c r="D75" i="11"/>
  <c r="AV75" i="2"/>
  <c r="E75" i="11" s="1"/>
  <c r="AZ76" i="2"/>
  <c r="BB76" i="2" s="1"/>
  <c r="BH76" i="2" s="1"/>
  <c r="BI76" i="2" s="1"/>
  <c r="AM76" i="2"/>
  <c r="AT76" i="2" s="1"/>
  <c r="M61" i="20"/>
  <c r="BD77" i="2"/>
  <c r="BF77" i="2" s="1"/>
  <c r="BG77" i="2" s="1"/>
  <c r="AR77" i="2"/>
  <c r="AS77" i="2" s="1"/>
  <c r="AV76" i="2" l="1"/>
  <c r="E76" i="11" s="1"/>
  <c r="AW76" i="2"/>
  <c r="D76" i="11"/>
  <c r="AX75" i="2"/>
  <c r="G75" i="11" s="1"/>
  <c r="M75" i="11" s="1"/>
  <c r="F75" i="11"/>
  <c r="L75" i="11" s="1"/>
  <c r="I105" i="3"/>
  <c r="AZ77" i="11"/>
  <c r="K105" i="3"/>
  <c r="J105" i="3"/>
  <c r="AF78" i="2"/>
  <c r="O106" i="3"/>
  <c r="AX76" i="2" l="1"/>
  <c r="G76" i="11" s="1"/>
  <c r="M76" i="11" s="1"/>
  <c r="F76" i="11"/>
  <c r="L76" i="11" s="1"/>
  <c r="P77" i="11"/>
  <c r="C106" i="3"/>
  <c r="E106" i="3" s="1"/>
  <c r="F106" i="3"/>
  <c r="M105" i="3"/>
  <c r="V78" i="2" s="1"/>
  <c r="AK78" i="2" s="1"/>
  <c r="BA78" i="2" s="1"/>
  <c r="L105" i="3"/>
  <c r="AE77" i="2" s="1"/>
  <c r="AL77" i="2" s="1"/>
  <c r="AW78" i="11"/>
  <c r="AP78" i="2"/>
  <c r="AM77" i="2" l="1"/>
  <c r="AT77" i="2" s="1"/>
  <c r="AZ77" i="2"/>
  <c r="BB77" i="2" s="1"/>
  <c r="BH77" i="2" s="1"/>
  <c r="BI77" i="2" s="1"/>
  <c r="AX78" i="11"/>
  <c r="G106" i="3"/>
  <c r="O78" i="11" s="1"/>
  <c r="H106" i="3"/>
  <c r="AF79" i="2"/>
  <c r="O107" i="3"/>
  <c r="AR78" i="2"/>
  <c r="AS78" i="2" s="1"/>
  <c r="BD78" i="2"/>
  <c r="BF78" i="2" s="1"/>
  <c r="BG78" i="2" s="1"/>
  <c r="AZ78" i="11" l="1"/>
  <c r="I106" i="3"/>
  <c r="K106" i="3"/>
  <c r="J106" i="3"/>
  <c r="AW77" i="2"/>
  <c r="AV77" i="2"/>
  <c r="E77" i="11" s="1"/>
  <c r="D77" i="11"/>
  <c r="AW79" i="11"/>
  <c r="AP79" i="2"/>
  <c r="F77" i="11" l="1"/>
  <c r="L77" i="11" s="1"/>
  <c r="AX77" i="2"/>
  <c r="G77" i="11" s="1"/>
  <c r="M77" i="11" s="1"/>
  <c r="F107" i="3"/>
  <c r="AX79" i="11" s="1"/>
  <c r="P78" i="11"/>
  <c r="G107" i="3"/>
  <c r="O79" i="11" s="1"/>
  <c r="C107" i="3"/>
  <c r="E107" i="3" s="1"/>
  <c r="H107" i="3" s="1"/>
  <c r="AZ79" i="11" s="1"/>
  <c r="I107" i="3"/>
  <c r="M106" i="3"/>
  <c r="V79" i="2" s="1"/>
  <c r="AK79" i="2" s="1"/>
  <c r="BA79" i="2" s="1"/>
  <c r="L106" i="3"/>
  <c r="AE78" i="2" s="1"/>
  <c r="AL78" i="2" s="1"/>
  <c r="AR79" i="2"/>
  <c r="AS79" i="2" s="1"/>
  <c r="BD79" i="2"/>
  <c r="BF79" i="2" s="1"/>
  <c r="BG79" i="2" s="1"/>
  <c r="AF80" i="2"/>
  <c r="O108" i="3"/>
  <c r="K107" i="3" l="1"/>
  <c r="J107" i="3"/>
  <c r="AM78" i="2"/>
  <c r="AT78" i="2" s="1"/>
  <c r="AZ78" i="2"/>
  <c r="BB78" i="2" s="1"/>
  <c r="BH78" i="2" s="1"/>
  <c r="BI78" i="2" s="1"/>
  <c r="L107" i="3"/>
  <c r="AE79" i="2" s="1"/>
  <c r="AL79" i="2" s="1"/>
  <c r="AZ79" i="2" s="1"/>
  <c r="BB79" i="2" s="1"/>
  <c r="BH79" i="2" s="1"/>
  <c r="BI79" i="2" s="1"/>
  <c r="M107" i="3"/>
  <c r="V80" i="2" s="1"/>
  <c r="AK80" i="2" s="1"/>
  <c r="BA80" i="2" s="1"/>
  <c r="C108" i="3"/>
  <c r="E108" i="3" s="1"/>
  <c r="P79" i="11"/>
  <c r="F108" i="3"/>
  <c r="AP80" i="2"/>
  <c r="AW80" i="11"/>
  <c r="AM79" i="2" l="1"/>
  <c r="AT79" i="2" s="1"/>
  <c r="D79" i="11" s="1"/>
  <c r="G108" i="3"/>
  <c r="O80" i="11" s="1"/>
  <c r="AX80" i="11"/>
  <c r="H108" i="3"/>
  <c r="D78" i="11"/>
  <c r="AW78" i="2"/>
  <c r="AV78" i="2"/>
  <c r="E78" i="11" s="1"/>
  <c r="O109" i="3"/>
  <c r="AF81" i="2"/>
  <c r="AR80" i="2"/>
  <c r="AS80" i="2" s="1"/>
  <c r="BD80" i="2"/>
  <c r="BF80" i="2" s="1"/>
  <c r="BG80" i="2" s="1"/>
  <c r="AW79" i="2" l="1"/>
  <c r="F79" i="11" s="1"/>
  <c r="L79" i="11" s="1"/>
  <c r="F78" i="11"/>
  <c r="L78" i="11" s="1"/>
  <c r="AX78" i="2"/>
  <c r="AZ80" i="11"/>
  <c r="K108" i="3"/>
  <c r="J108" i="3"/>
  <c r="I108" i="3"/>
  <c r="AV79" i="2"/>
  <c r="E79" i="11" s="1"/>
  <c r="AW81" i="11"/>
  <c r="AP81" i="2"/>
  <c r="F109" i="3" l="1"/>
  <c r="P80" i="11"/>
  <c r="C109" i="3"/>
  <c r="E109" i="3" s="1"/>
  <c r="H109" i="3"/>
  <c r="M108" i="3"/>
  <c r="V81" i="2" s="1"/>
  <c r="AK81" i="2" s="1"/>
  <c r="BA81" i="2" s="1"/>
  <c r="L108" i="3"/>
  <c r="AE80" i="2" s="1"/>
  <c r="AL80" i="2" s="1"/>
  <c r="G78" i="11"/>
  <c r="M78" i="11" s="1"/>
  <c r="AX79" i="2"/>
  <c r="G79" i="11" s="1"/>
  <c r="M79" i="11" s="1"/>
  <c r="AF82" i="2"/>
  <c r="O110" i="3"/>
  <c r="AR81" i="2"/>
  <c r="AS81" i="2" s="1"/>
  <c r="BD81" i="2"/>
  <c r="BF81" i="2" s="1"/>
  <c r="BG81" i="2" s="1"/>
  <c r="AM80" i="2" l="1"/>
  <c r="AT80" i="2" s="1"/>
  <c r="AZ80" i="2"/>
  <c r="BB80" i="2" s="1"/>
  <c r="BH80" i="2" s="1"/>
  <c r="BI80" i="2" s="1"/>
  <c r="I109" i="3"/>
  <c r="AZ81" i="11"/>
  <c r="J109" i="3"/>
  <c r="K109" i="3"/>
  <c r="G109" i="3"/>
  <c r="O81" i="11" s="1"/>
  <c r="AX81" i="11"/>
  <c r="AW82" i="11"/>
  <c r="AP82" i="2"/>
  <c r="L109" i="3" l="1"/>
  <c r="AE81" i="2" s="1"/>
  <c r="AL81" i="2" s="1"/>
  <c r="M109" i="3"/>
  <c r="V82" i="2" s="1"/>
  <c r="AK82" i="2" s="1"/>
  <c r="BA82" i="2" s="1"/>
  <c r="P81" i="11"/>
  <c r="C110" i="3"/>
  <c r="E110" i="3" s="1"/>
  <c r="F110" i="3"/>
  <c r="H110" i="3"/>
  <c r="AZ82" i="11" s="1"/>
  <c r="AV80" i="2"/>
  <c r="E80" i="11" s="1"/>
  <c r="AW80" i="2"/>
  <c r="D80" i="11"/>
  <c r="BD82" i="2"/>
  <c r="BF82" i="2" s="1"/>
  <c r="BG82" i="2" s="1"/>
  <c r="AR82" i="2"/>
  <c r="AS82" i="2" s="1"/>
  <c r="O111" i="3"/>
  <c r="AF83" i="2"/>
  <c r="AX80" i="2" l="1"/>
  <c r="G80" i="11" s="1"/>
  <c r="M80" i="11" s="1"/>
  <c r="F80" i="11"/>
  <c r="L80" i="11" s="1"/>
  <c r="K110" i="3"/>
  <c r="I110" i="3"/>
  <c r="G110" i="3"/>
  <c r="O82" i="11" s="1"/>
  <c r="AX82" i="11"/>
  <c r="J110" i="3"/>
  <c r="AZ81" i="2"/>
  <c r="BB81" i="2" s="1"/>
  <c r="BH81" i="2" s="1"/>
  <c r="BI81" i="2" s="1"/>
  <c r="AM81" i="2"/>
  <c r="AT81" i="2" s="1"/>
  <c r="AW83" i="11"/>
  <c r="AP83" i="2"/>
  <c r="AW81" i="2" l="1"/>
  <c r="D81" i="11"/>
  <c r="P82" i="11"/>
  <c r="C111" i="3"/>
  <c r="E111" i="3" s="1"/>
  <c r="F111" i="3"/>
  <c r="AX83" i="11" s="1"/>
  <c r="AV81" i="2"/>
  <c r="E81" i="11" s="1"/>
  <c r="L110" i="3"/>
  <c r="AE82" i="2" s="1"/>
  <c r="AL82" i="2" s="1"/>
  <c r="M110" i="3"/>
  <c r="V83" i="2" s="1"/>
  <c r="AK83" i="2" s="1"/>
  <c r="BA83" i="2" s="1"/>
  <c r="BD83" i="2"/>
  <c r="BF83" i="2" s="1"/>
  <c r="BG83" i="2" s="1"/>
  <c r="AR83" i="2"/>
  <c r="AS83" i="2" s="1"/>
  <c r="O112" i="3"/>
  <c r="AF84" i="2"/>
  <c r="AZ82" i="2" l="1"/>
  <c r="BB82" i="2" s="1"/>
  <c r="BH82" i="2" s="1"/>
  <c r="BI82" i="2" s="1"/>
  <c r="AM82" i="2"/>
  <c r="AT82" i="2" s="1"/>
  <c r="AV82" i="2" s="1"/>
  <c r="E82" i="11" s="1"/>
  <c r="H111" i="3"/>
  <c r="G111" i="3"/>
  <c r="O83" i="11" s="1"/>
  <c r="AX81" i="2"/>
  <c r="G81" i="11" s="1"/>
  <c r="M81" i="11" s="1"/>
  <c r="F81" i="11"/>
  <c r="L81" i="11" s="1"/>
  <c r="AP84" i="2"/>
  <c r="AW84" i="11"/>
  <c r="AZ83" i="11" l="1"/>
  <c r="I111" i="3"/>
  <c r="K111" i="3"/>
  <c r="J111" i="3"/>
  <c r="D82" i="11"/>
  <c r="AW82" i="2"/>
  <c r="BD84" i="2"/>
  <c r="BF84" i="2" s="1"/>
  <c r="BG84" i="2" s="1"/>
  <c r="AR84" i="2"/>
  <c r="AS84" i="2" s="1"/>
  <c r="AF85" i="2"/>
  <c r="O113" i="3"/>
  <c r="F82" i="11" l="1"/>
  <c r="L82" i="11" s="1"/>
  <c r="AX82" i="2"/>
  <c r="G82" i="11" s="1"/>
  <c r="M82" i="11" s="1"/>
  <c r="F112" i="3"/>
  <c r="AX84" i="11" s="1"/>
  <c r="P83" i="11"/>
  <c r="G112" i="3"/>
  <c r="O84" i="11" s="1"/>
  <c r="C112" i="3"/>
  <c r="E112" i="3" s="1"/>
  <c r="H112" i="3" s="1"/>
  <c r="AZ84" i="11" s="1"/>
  <c r="I112" i="3"/>
  <c r="J112" i="3"/>
  <c r="M111" i="3"/>
  <c r="V84" i="2" s="1"/>
  <c r="AK84" i="2" s="1"/>
  <c r="L111" i="3"/>
  <c r="AE83" i="2" s="1"/>
  <c r="AL83" i="2" s="1"/>
  <c r="AW85" i="11"/>
  <c r="AP85" i="2"/>
  <c r="C113" i="3" l="1"/>
  <c r="E113" i="3" s="1"/>
  <c r="P84" i="11"/>
  <c r="F113" i="3"/>
  <c r="AX85" i="11" s="1"/>
  <c r="G113" i="3"/>
  <c r="O85" i="11" s="1"/>
  <c r="H113" i="3"/>
  <c r="AZ85" i="11" s="1"/>
  <c r="BA84" i="2"/>
  <c r="K113" i="3"/>
  <c r="M113" i="3" s="1"/>
  <c r="V86" i="2" s="1"/>
  <c r="AK86" i="2" s="1"/>
  <c r="J113" i="3"/>
  <c r="P85" i="11" s="1"/>
  <c r="AZ83" i="2"/>
  <c r="BB83" i="2" s="1"/>
  <c r="BH83" i="2" s="1"/>
  <c r="BI83" i="2" s="1"/>
  <c r="AM83" i="2"/>
  <c r="AT83" i="2" s="1"/>
  <c r="K112" i="3"/>
  <c r="BD85" i="2"/>
  <c r="BF85" i="2" s="1"/>
  <c r="BG85" i="2" s="1"/>
  <c r="AR85" i="2"/>
  <c r="AS85" i="2" s="1"/>
  <c r="L113" i="3" l="1"/>
  <c r="AE85" i="2" s="1"/>
  <c r="AL85" i="2" s="1"/>
  <c r="AZ85" i="2" s="1"/>
  <c r="L112" i="3"/>
  <c r="AE84" i="2" s="1"/>
  <c r="AL84" i="2" s="1"/>
  <c r="M112" i="3"/>
  <c r="V85" i="2" s="1"/>
  <c r="AK85" i="2" s="1"/>
  <c r="BA85" i="2" s="1"/>
  <c r="BB85" i="2" s="1"/>
  <c r="BH85" i="2" s="1"/>
  <c r="BI85" i="2" s="1"/>
  <c r="AW83" i="2"/>
  <c r="D83" i="11"/>
  <c r="AV83" i="2"/>
  <c r="F114" i="3"/>
  <c r="G114" i="3" s="1"/>
  <c r="O86" i="11" s="1"/>
  <c r="C114" i="3"/>
  <c r="E114" i="3" s="1"/>
  <c r="H114" i="3" s="1"/>
  <c r="I113" i="3"/>
  <c r="AM85" i="2"/>
  <c r="AT85" i="2" s="1"/>
  <c r="D85" i="11" s="1"/>
  <c r="BA86" i="2"/>
  <c r="AF86" i="2"/>
  <c r="O114" i="3"/>
  <c r="AX86" i="11" l="1"/>
  <c r="AZ86" i="11"/>
  <c r="I114" i="3"/>
  <c r="E83" i="11"/>
  <c r="F83" i="11"/>
  <c r="L83" i="11" s="1"/>
  <c r="AX83" i="2"/>
  <c r="G83" i="11" s="1"/>
  <c r="M83" i="11" s="1"/>
  <c r="AW85" i="2"/>
  <c r="F85" i="11" s="1"/>
  <c r="L85" i="11" s="1"/>
  <c r="AZ84" i="2"/>
  <c r="BB84" i="2" s="1"/>
  <c r="BH84" i="2" s="1"/>
  <c r="BI84" i="2" s="1"/>
  <c r="AM84" i="2"/>
  <c r="AT84" i="2" s="1"/>
  <c r="K114" i="3"/>
  <c r="M114" i="3" s="1"/>
  <c r="V87" i="2" s="1"/>
  <c r="AK87" i="2" s="1"/>
  <c r="J114" i="3"/>
  <c r="F115" i="3" s="1"/>
  <c r="AW86" i="11"/>
  <c r="AP86" i="2"/>
  <c r="D84" i="11" l="1"/>
  <c r="AW84" i="2"/>
  <c r="AV84" i="2"/>
  <c r="P86" i="11"/>
  <c r="C115" i="3"/>
  <c r="E115" i="3" s="1"/>
  <c r="H115" i="3" s="1"/>
  <c r="G115" i="3"/>
  <c r="O87" i="11" s="1"/>
  <c r="L114" i="3"/>
  <c r="AE86" i="2" s="1"/>
  <c r="AL86" i="2" s="1"/>
  <c r="AZ86" i="2" s="1"/>
  <c r="BB86" i="2" s="1"/>
  <c r="AZ87" i="11"/>
  <c r="K115" i="3"/>
  <c r="J115" i="3"/>
  <c r="I115" i="3"/>
  <c r="AX87" i="11"/>
  <c r="O115" i="3"/>
  <c r="AF87" i="2"/>
  <c r="BA87" i="2"/>
  <c r="BD86" i="2"/>
  <c r="BF86" i="2" s="1"/>
  <c r="BG86" i="2" s="1"/>
  <c r="AR86" i="2"/>
  <c r="AS86" i="2" s="1"/>
  <c r="E84" i="11" l="1"/>
  <c r="AV85" i="2"/>
  <c r="E85" i="11" s="1"/>
  <c r="AX84" i="2"/>
  <c r="F84" i="11"/>
  <c r="L84" i="11" s="1"/>
  <c r="AM86" i="2"/>
  <c r="AT86" i="2" s="1"/>
  <c r="M115" i="3"/>
  <c r="V88" i="2" s="1"/>
  <c r="AK88" i="2" s="1"/>
  <c r="L115" i="3"/>
  <c r="AE87" i="2" s="1"/>
  <c r="AL87" i="2" s="1"/>
  <c r="AP87" i="2"/>
  <c r="AW87" i="11"/>
  <c r="BH86" i="2"/>
  <c r="BI86" i="2" s="1"/>
  <c r="F116" i="3"/>
  <c r="G116" i="3" s="1"/>
  <c r="O88" i="11" s="1"/>
  <c r="P87" i="11"/>
  <c r="C116" i="3"/>
  <c r="E116" i="3" s="1"/>
  <c r="G84" i="11" l="1"/>
  <c r="M84" i="11" s="1"/>
  <c r="AX85" i="2"/>
  <c r="G85" i="11" s="1"/>
  <c r="M85" i="11" s="1"/>
  <c r="H116" i="3"/>
  <c r="AZ88" i="11"/>
  <c r="CI88" i="11" s="1"/>
  <c r="N75" i="20" s="1"/>
  <c r="N77" i="20" s="1"/>
  <c r="N78" i="20" s="1"/>
  <c r="K116" i="3"/>
  <c r="I116" i="3"/>
  <c r="J116" i="3"/>
  <c r="AZ87" i="2"/>
  <c r="BB87" i="2" s="1"/>
  <c r="AM87" i="2"/>
  <c r="AF88" i="2"/>
  <c r="O116" i="3"/>
  <c r="AX88" i="11"/>
  <c r="CG88" i="11" s="1"/>
  <c r="N55" i="20" s="1"/>
  <c r="N57" i="20" s="1"/>
  <c r="BA88" i="2"/>
  <c r="AR87" i="2"/>
  <c r="AS87" i="2" s="1"/>
  <c r="BD87" i="2"/>
  <c r="BF87" i="2" s="1"/>
  <c r="BG87" i="2" s="1"/>
  <c r="D86" i="11"/>
  <c r="AW86" i="2"/>
  <c r="AV86" i="2"/>
  <c r="AT87" i="2" l="1"/>
  <c r="M116" i="3"/>
  <c r="V89" i="2" s="1"/>
  <c r="AK89" i="2" s="1"/>
  <c r="L116" i="3"/>
  <c r="AE88" i="2" s="1"/>
  <c r="O86" i="19" s="1"/>
  <c r="E86" i="11"/>
  <c r="AV87" i="2"/>
  <c r="AW88" i="11"/>
  <c r="CF88" i="11" s="1"/>
  <c r="N51" i="20" s="1"/>
  <c r="N52" i="20" s="1"/>
  <c r="N53" i="20" s="1"/>
  <c r="AP88" i="2"/>
  <c r="P88" i="11"/>
  <c r="F117" i="3"/>
  <c r="G117" i="3" s="1"/>
  <c r="O89" i="11" s="1"/>
  <c r="C117" i="3"/>
  <c r="E117" i="3" s="1"/>
  <c r="H117" i="3" s="1"/>
  <c r="AL88" i="2"/>
  <c r="AX86" i="2"/>
  <c r="G86" i="11" s="1"/>
  <c r="M86" i="11" s="1"/>
  <c r="F86" i="11"/>
  <c r="L86" i="11" s="1"/>
  <c r="BH87" i="2"/>
  <c r="BI87" i="2" s="1"/>
  <c r="AZ89" i="11" l="1"/>
  <c r="J117" i="3"/>
  <c r="I117" i="3"/>
  <c r="K117" i="3"/>
  <c r="E87" i="11"/>
  <c r="AF89" i="2"/>
  <c r="O117" i="3"/>
  <c r="AX89" i="11"/>
  <c r="AR88" i="2"/>
  <c r="AS88" i="2" s="1"/>
  <c r="BD88" i="2"/>
  <c r="BF88" i="2" s="1"/>
  <c r="BG88" i="2" s="1"/>
  <c r="BA89" i="2"/>
  <c r="AZ88" i="2"/>
  <c r="BB88" i="2" s="1"/>
  <c r="AM88" i="2"/>
  <c r="N58" i="20"/>
  <c r="N59" i="20" s="1"/>
  <c r="N68" i="20"/>
  <c r="N69" i="20" s="1"/>
  <c r="N79" i="20" s="1"/>
  <c r="D87" i="11"/>
  <c r="AW87" i="2"/>
  <c r="AT88" i="2" l="1"/>
  <c r="BH88" i="2"/>
  <c r="BI88" i="2" s="1"/>
  <c r="N81" i="20"/>
  <c r="N82" i="20" s="1"/>
  <c r="N83" i="20" s="1"/>
  <c r="N80" i="20"/>
  <c r="AP89" i="2"/>
  <c r="AW89" i="11"/>
  <c r="C118" i="3"/>
  <c r="E118" i="3" s="1"/>
  <c r="F118" i="3"/>
  <c r="G118" i="3"/>
  <c r="O90" i="11" s="1"/>
  <c r="P89" i="11"/>
  <c r="AX87" i="2"/>
  <c r="G87" i="11" s="1"/>
  <c r="M87" i="11" s="1"/>
  <c r="F87" i="11"/>
  <c r="L87" i="11" s="1"/>
  <c r="D88" i="11"/>
  <c r="AW88" i="2"/>
  <c r="AV88" i="2"/>
  <c r="L117" i="3"/>
  <c r="AE89" i="2" s="1"/>
  <c r="AL89" i="2" s="1"/>
  <c r="M117" i="3"/>
  <c r="V90" i="2" s="1"/>
  <c r="AK90" i="2" s="1"/>
  <c r="N60" i="20"/>
  <c r="N62" i="20"/>
  <c r="H118" i="3" l="1"/>
  <c r="J118" i="3"/>
  <c r="I118" i="3"/>
  <c r="F119" i="3"/>
  <c r="G119" i="3"/>
  <c r="O91" i="11" s="1"/>
  <c r="C119" i="3"/>
  <c r="E119" i="3" s="1"/>
  <c r="H119" i="3" s="1"/>
  <c r="P90" i="11"/>
  <c r="E88" i="11"/>
  <c r="BA90" i="2"/>
  <c r="K118" i="3"/>
  <c r="O118" i="3"/>
  <c r="AX90" i="11"/>
  <c r="AF90" i="2"/>
  <c r="AR89" i="2"/>
  <c r="AS89" i="2" s="1"/>
  <c r="BD89" i="2"/>
  <c r="BF89" i="2" s="1"/>
  <c r="BG89" i="2" s="1"/>
  <c r="AZ89" i="2"/>
  <c r="BB89" i="2" s="1"/>
  <c r="AM89" i="2"/>
  <c r="AT89" i="2" s="1"/>
  <c r="AZ90" i="11"/>
  <c r="N61" i="20"/>
  <c r="AX88" i="2"/>
  <c r="G88" i="11" s="1"/>
  <c r="M88" i="11" s="1"/>
  <c r="F88" i="11"/>
  <c r="L88" i="11" s="1"/>
  <c r="BH89" i="2" l="1"/>
  <c r="BI89" i="2" s="1"/>
  <c r="AZ91" i="11"/>
  <c r="J119" i="3"/>
  <c r="K119" i="3"/>
  <c r="I119" i="3"/>
  <c r="AW90" i="11"/>
  <c r="AP90" i="2"/>
  <c r="M118" i="3"/>
  <c r="V91" i="2" s="1"/>
  <c r="AK91" i="2" s="1"/>
  <c r="L118" i="3"/>
  <c r="AE90" i="2" s="1"/>
  <c r="AL90" i="2" s="1"/>
  <c r="D89" i="11"/>
  <c r="AW89" i="2"/>
  <c r="O119" i="3"/>
  <c r="AX91" i="11"/>
  <c r="AF91" i="2"/>
  <c r="AV89" i="2"/>
  <c r="AZ90" i="2" l="1"/>
  <c r="BB90" i="2" s="1"/>
  <c r="AM90" i="2"/>
  <c r="P91" i="11"/>
  <c r="C120" i="3"/>
  <c r="E120" i="3" s="1"/>
  <c r="F120" i="3"/>
  <c r="G120" i="3" s="1"/>
  <c r="O92" i="11" s="1"/>
  <c r="AP91" i="2"/>
  <c r="AW91" i="11"/>
  <c r="F89" i="11"/>
  <c r="L89" i="11" s="1"/>
  <c r="AX89" i="2"/>
  <c r="G89" i="11" s="1"/>
  <c r="M89" i="11" s="1"/>
  <c r="BA91" i="2"/>
  <c r="E89" i="11"/>
  <c r="AR90" i="2"/>
  <c r="AS90" i="2" s="1"/>
  <c r="BD90" i="2"/>
  <c r="BF90" i="2" s="1"/>
  <c r="BG90" i="2" s="1"/>
  <c r="M119" i="3"/>
  <c r="V92" i="2" s="1"/>
  <c r="AK92" i="2" s="1"/>
  <c r="L119" i="3"/>
  <c r="AE91" i="2" s="1"/>
  <c r="AL91" i="2" s="1"/>
  <c r="AZ91" i="2" s="1"/>
  <c r="BB91" i="2" l="1"/>
  <c r="H120" i="3"/>
  <c r="AZ92" i="11" s="1"/>
  <c r="I120" i="3"/>
  <c r="K120" i="3"/>
  <c r="J120" i="3"/>
  <c r="BA92" i="2"/>
  <c r="AM91" i="2"/>
  <c r="AF92" i="2"/>
  <c r="O120" i="3"/>
  <c r="AX92" i="11"/>
  <c r="BH90" i="2"/>
  <c r="BI90" i="2" s="1"/>
  <c r="BD91" i="2"/>
  <c r="BF91" i="2" s="1"/>
  <c r="BG91" i="2" s="1"/>
  <c r="AR91" i="2"/>
  <c r="AS91" i="2" s="1"/>
  <c r="AT90" i="2"/>
  <c r="BH91" i="2" l="1"/>
  <c r="BI91" i="2" s="1"/>
  <c r="AW92" i="11"/>
  <c r="AP92" i="2"/>
  <c r="F121" i="3"/>
  <c r="G121" i="3"/>
  <c r="O93" i="11" s="1"/>
  <c r="P92" i="11"/>
  <c r="C121" i="3"/>
  <c r="E121" i="3" s="1"/>
  <c r="H121" i="3" s="1"/>
  <c r="L120" i="3"/>
  <c r="AE92" i="2" s="1"/>
  <c r="AL92" i="2" s="1"/>
  <c r="M120" i="3"/>
  <c r="V93" i="2" s="1"/>
  <c r="AK93" i="2" s="1"/>
  <c r="D90" i="11"/>
  <c r="AW90" i="2"/>
  <c r="AV90" i="2"/>
  <c r="AT91" i="2"/>
  <c r="AZ93" i="11" l="1"/>
  <c r="I121" i="3"/>
  <c r="K121" i="3"/>
  <c r="J121" i="3"/>
  <c r="E90" i="11"/>
  <c r="AV91" i="2"/>
  <c r="BA93" i="2"/>
  <c r="AX90" i="2"/>
  <c r="G90" i="11" s="1"/>
  <c r="M90" i="11" s="1"/>
  <c r="F90" i="11"/>
  <c r="L90" i="11" s="1"/>
  <c r="AZ92" i="2"/>
  <c r="BB92" i="2" s="1"/>
  <c r="AM92" i="2"/>
  <c r="AF93" i="2"/>
  <c r="O121" i="3"/>
  <c r="AX93" i="11"/>
  <c r="AR92" i="2"/>
  <c r="AS92" i="2" s="1"/>
  <c r="BD92" i="2"/>
  <c r="BF92" i="2" s="1"/>
  <c r="BG92" i="2" s="1"/>
  <c r="AW91" i="2"/>
  <c r="D91" i="11"/>
  <c r="BH92" i="2" l="1"/>
  <c r="BI92" i="2" s="1"/>
  <c r="AT92" i="2"/>
  <c r="AV92" i="2" s="1"/>
  <c r="C122" i="3"/>
  <c r="E122" i="3" s="1"/>
  <c r="P93" i="11"/>
  <c r="F122" i="3"/>
  <c r="G122" i="3" s="1"/>
  <c r="O94" i="11" s="1"/>
  <c r="F91" i="11"/>
  <c r="L91" i="11" s="1"/>
  <c r="AX91" i="2"/>
  <c r="G91" i="11" s="1"/>
  <c r="M91" i="11" s="1"/>
  <c r="AW93" i="11"/>
  <c r="AP93" i="2"/>
  <c r="E91" i="11"/>
  <c r="L121" i="3"/>
  <c r="AE93" i="2" s="1"/>
  <c r="AL93" i="2" s="1"/>
  <c r="M121" i="3"/>
  <c r="V94" i="2" s="1"/>
  <c r="AK94" i="2" s="1"/>
  <c r="H122" i="3" l="1"/>
  <c r="AZ94" i="11"/>
  <c r="K122" i="3"/>
  <c r="I122" i="3"/>
  <c r="J122" i="3"/>
  <c r="O122" i="3"/>
  <c r="AF94" i="2"/>
  <c r="AX94" i="11"/>
  <c r="AZ93" i="2"/>
  <c r="BB93" i="2" s="1"/>
  <c r="AM93" i="2"/>
  <c r="BD93" i="2"/>
  <c r="BF93" i="2" s="1"/>
  <c r="BG93" i="2" s="1"/>
  <c r="AR93" i="2"/>
  <c r="AS93" i="2" s="1"/>
  <c r="D92" i="11"/>
  <c r="AW92" i="2"/>
  <c r="BA94" i="2"/>
  <c r="E92" i="11"/>
  <c r="AT93" i="2" l="1"/>
  <c r="C123" i="3"/>
  <c r="E123" i="3" s="1"/>
  <c r="P94" i="11"/>
  <c r="F123" i="3"/>
  <c r="H123" i="3" s="1"/>
  <c r="I123" i="3" s="1"/>
  <c r="AP94" i="2"/>
  <c r="AW94" i="11"/>
  <c r="F92" i="11"/>
  <c r="L92" i="11" s="1"/>
  <c r="AX92" i="2"/>
  <c r="G92" i="11" s="1"/>
  <c r="M92" i="11" s="1"/>
  <c r="BH93" i="2"/>
  <c r="BI93" i="2" s="1"/>
  <c r="M122" i="3"/>
  <c r="V95" i="2" s="1"/>
  <c r="AK95" i="2" s="1"/>
  <c r="L122" i="3"/>
  <c r="AE94" i="2" s="1"/>
  <c r="AL94" i="2" s="1"/>
  <c r="AZ94" i="2" l="1"/>
  <c r="BB94" i="2" s="1"/>
  <c r="AM94" i="2"/>
  <c r="J123" i="3"/>
  <c r="BD94" i="2"/>
  <c r="BF94" i="2" s="1"/>
  <c r="BG94" i="2" s="1"/>
  <c r="AR94" i="2"/>
  <c r="AS94" i="2" s="1"/>
  <c r="AF95" i="2"/>
  <c r="O123" i="3"/>
  <c r="AX95" i="11"/>
  <c r="BA95" i="2"/>
  <c r="AZ95" i="11"/>
  <c r="K123" i="3"/>
  <c r="G123" i="3"/>
  <c r="O95" i="11" s="1"/>
  <c r="AW93" i="2"/>
  <c r="D93" i="11"/>
  <c r="AV93" i="2"/>
  <c r="F93" i="11" l="1"/>
  <c r="L93" i="11" s="1"/>
  <c r="AX93" i="2"/>
  <c r="G93" i="11" s="1"/>
  <c r="M93" i="11" s="1"/>
  <c r="E93" i="11"/>
  <c r="M123" i="3"/>
  <c r="V96" i="2" s="1"/>
  <c r="AK96" i="2" s="1"/>
  <c r="L123" i="3"/>
  <c r="AE95" i="2" s="1"/>
  <c r="AL95" i="2" s="1"/>
  <c r="AZ95" i="2" s="1"/>
  <c r="BB95" i="2" s="1"/>
  <c r="P95" i="11"/>
  <c r="C124" i="3"/>
  <c r="E124" i="3" s="1"/>
  <c r="F124" i="3"/>
  <c r="AT94" i="2"/>
  <c r="AP95" i="2"/>
  <c r="AW95" i="11"/>
  <c r="BH94" i="2"/>
  <c r="BI94" i="2" s="1"/>
  <c r="AM95" i="2" l="1"/>
  <c r="H124" i="3"/>
  <c r="J124" i="3" s="1"/>
  <c r="AZ96" i="11"/>
  <c r="I124" i="3"/>
  <c r="K124" i="3"/>
  <c r="AW94" i="2"/>
  <c r="D94" i="11"/>
  <c r="AX96" i="11"/>
  <c r="AF96" i="2"/>
  <c r="O124" i="3"/>
  <c r="BA96" i="2"/>
  <c r="AR95" i="2"/>
  <c r="AS95" i="2" s="1"/>
  <c r="BD95" i="2"/>
  <c r="BF95" i="2" s="1"/>
  <c r="BG95" i="2" s="1"/>
  <c r="BH95" i="2" s="1"/>
  <c r="BI95" i="2" s="1"/>
  <c r="G124" i="3"/>
  <c r="O96" i="11" s="1"/>
  <c r="AV94" i="2"/>
  <c r="AT95" i="2" l="1"/>
  <c r="D95" i="11"/>
  <c r="AW95" i="2"/>
  <c r="AV95" i="2"/>
  <c r="E94" i="11"/>
  <c r="AW96" i="11"/>
  <c r="AP96" i="2"/>
  <c r="F125" i="3"/>
  <c r="G125" i="3"/>
  <c r="O97" i="11" s="1"/>
  <c r="C125" i="3"/>
  <c r="E125" i="3" s="1"/>
  <c r="H125" i="3" s="1"/>
  <c r="P96" i="11"/>
  <c r="L124" i="3"/>
  <c r="AE96" i="2" s="1"/>
  <c r="AL96" i="2" s="1"/>
  <c r="M124" i="3"/>
  <c r="V97" i="2" s="1"/>
  <c r="AK97" i="2" s="1"/>
  <c r="AX94" i="2"/>
  <c r="G94" i="11" s="1"/>
  <c r="M94" i="11" s="1"/>
  <c r="F94" i="11"/>
  <c r="L94" i="11" s="1"/>
  <c r="AZ97" i="11" l="1"/>
  <c r="K125" i="3"/>
  <c r="J125" i="3"/>
  <c r="I125" i="3"/>
  <c r="AZ96" i="2"/>
  <c r="BB96" i="2" s="1"/>
  <c r="AM96" i="2"/>
  <c r="AR96" i="2"/>
  <c r="AS96" i="2" s="1"/>
  <c r="BD96" i="2"/>
  <c r="BF96" i="2" s="1"/>
  <c r="BG96" i="2" s="1"/>
  <c r="AF97" i="2"/>
  <c r="O125" i="3"/>
  <c r="AX97" i="11"/>
  <c r="AX95" i="2"/>
  <c r="G95" i="11" s="1"/>
  <c r="M95" i="11" s="1"/>
  <c r="F95" i="11"/>
  <c r="L95" i="11" s="1"/>
  <c r="BA97" i="2"/>
  <c r="E95" i="11"/>
  <c r="AT96" i="2" l="1"/>
  <c r="L125" i="3"/>
  <c r="AE97" i="2" s="1"/>
  <c r="AL97" i="2" s="1"/>
  <c r="M125" i="3"/>
  <c r="V98" i="2" s="1"/>
  <c r="AK98" i="2" s="1"/>
  <c r="AW97" i="11"/>
  <c r="AP97" i="2"/>
  <c r="BH96" i="2"/>
  <c r="BI96" i="2" s="1"/>
  <c r="F126" i="3"/>
  <c r="G126" i="3"/>
  <c r="O98" i="11" s="1"/>
  <c r="P97" i="11"/>
  <c r="C126" i="3"/>
  <c r="E126" i="3" s="1"/>
  <c r="H126" i="3" s="1"/>
  <c r="AZ98" i="11" l="1"/>
  <c r="I126" i="3"/>
  <c r="J126" i="3"/>
  <c r="K126" i="3"/>
  <c r="AZ97" i="2"/>
  <c r="BB97" i="2" s="1"/>
  <c r="AM97" i="2"/>
  <c r="AX98" i="11"/>
  <c r="O126" i="3"/>
  <c r="AF98" i="2"/>
  <c r="BD97" i="2"/>
  <c r="BF97" i="2" s="1"/>
  <c r="BG97" i="2" s="1"/>
  <c r="AR97" i="2"/>
  <c r="AS97" i="2" s="1"/>
  <c r="BA98" i="2"/>
  <c r="D96" i="11"/>
  <c r="AW96" i="2"/>
  <c r="AV96" i="2"/>
  <c r="F96" i="11" l="1"/>
  <c r="L96" i="11" s="1"/>
  <c r="AX96" i="2"/>
  <c r="G96" i="11" s="1"/>
  <c r="M96" i="11" s="1"/>
  <c r="AP98" i="2"/>
  <c r="AW98" i="11"/>
  <c r="E96" i="11"/>
  <c r="BH97" i="2"/>
  <c r="BI97" i="2" s="1"/>
  <c r="M126" i="3"/>
  <c r="V99" i="2" s="1"/>
  <c r="AK99" i="2" s="1"/>
  <c r="L126" i="3"/>
  <c r="AE98" i="2" s="1"/>
  <c r="AL98" i="2" s="1"/>
  <c r="AT97" i="2"/>
  <c r="AV97" i="2" s="1"/>
  <c r="C127" i="3"/>
  <c r="E127" i="3" s="1"/>
  <c r="P98" i="11"/>
  <c r="F127" i="3"/>
  <c r="H127" i="3" l="1"/>
  <c r="AZ99" i="11"/>
  <c r="I127" i="3"/>
  <c r="K127" i="3"/>
  <c r="J127" i="3"/>
  <c r="E97" i="11"/>
  <c r="AF99" i="2"/>
  <c r="O127" i="3"/>
  <c r="AX99" i="11"/>
  <c r="BA99" i="2"/>
  <c r="G127" i="3"/>
  <c r="O99" i="11" s="1"/>
  <c r="AZ98" i="2"/>
  <c r="BB98" i="2" s="1"/>
  <c r="AM98" i="2"/>
  <c r="D97" i="11"/>
  <c r="AW97" i="2"/>
  <c r="AR98" i="2"/>
  <c r="AS98" i="2" s="1"/>
  <c r="BD98" i="2"/>
  <c r="BF98" i="2" s="1"/>
  <c r="BG98" i="2" s="1"/>
  <c r="AT98" i="2" l="1"/>
  <c r="AX97" i="2"/>
  <c r="G97" i="11" s="1"/>
  <c r="M97" i="11" s="1"/>
  <c r="F97" i="11"/>
  <c r="L97" i="11" s="1"/>
  <c r="M127" i="3"/>
  <c r="V100" i="2" s="1"/>
  <c r="AK100" i="2" s="1"/>
  <c r="L127" i="3"/>
  <c r="AE99" i="2" s="1"/>
  <c r="AL99" i="2" s="1"/>
  <c r="P99" i="11"/>
  <c r="C128" i="3"/>
  <c r="E128" i="3" s="1"/>
  <c r="F128" i="3"/>
  <c r="BH98" i="2"/>
  <c r="BI98" i="2" s="1"/>
  <c r="AW99" i="11"/>
  <c r="AP99" i="2"/>
  <c r="AF100" i="2" l="1"/>
  <c r="AX100" i="11"/>
  <c r="CG100" i="11" s="1"/>
  <c r="O55" i="20" s="1"/>
  <c r="O57" i="20" s="1"/>
  <c r="O128" i="3"/>
  <c r="BD99" i="2"/>
  <c r="BF99" i="2" s="1"/>
  <c r="BG99" i="2" s="1"/>
  <c r="AR99" i="2"/>
  <c r="AS99" i="2" s="1"/>
  <c r="AZ99" i="2"/>
  <c r="BB99" i="2" s="1"/>
  <c r="AM99" i="2"/>
  <c r="G128" i="3"/>
  <c r="O100" i="11" s="1"/>
  <c r="H128" i="3"/>
  <c r="BA100" i="2"/>
  <c r="AW98" i="2"/>
  <c r="D98" i="11"/>
  <c r="AV98" i="2"/>
  <c r="AT99" i="2" l="1"/>
  <c r="AW99" i="2" s="1"/>
  <c r="BH99" i="2"/>
  <c r="BI99" i="2" s="1"/>
  <c r="E98" i="11"/>
  <c r="AV99" i="2"/>
  <c r="D99" i="11"/>
  <c r="F98" i="11"/>
  <c r="L98" i="11" s="1"/>
  <c r="AX98" i="2"/>
  <c r="G98" i="11" s="1"/>
  <c r="M98" i="11" s="1"/>
  <c r="AZ100" i="11"/>
  <c r="CI100" i="11" s="1"/>
  <c r="O75" i="20" s="1"/>
  <c r="O77" i="20" s="1"/>
  <c r="O78" i="20" s="1"/>
  <c r="I128" i="3"/>
  <c r="K128" i="3"/>
  <c r="J128" i="3"/>
  <c r="AP100" i="2"/>
  <c r="AW100" i="11"/>
  <c r="CF100" i="11" s="1"/>
  <c r="O51" i="20" s="1"/>
  <c r="O52" i="20" s="1"/>
  <c r="O53" i="20" s="1"/>
  <c r="O58" i="20" l="1"/>
  <c r="O59" i="20" s="1"/>
  <c r="O68" i="20"/>
  <c r="O69" i="20" s="1"/>
  <c r="O79" i="20" s="1"/>
  <c r="AR100" i="2"/>
  <c r="AS100" i="2" s="1"/>
  <c r="BD100" i="2"/>
  <c r="BF100" i="2" s="1"/>
  <c r="BG100" i="2" s="1"/>
  <c r="E99" i="11"/>
  <c r="C129" i="3"/>
  <c r="E129" i="3" s="1"/>
  <c r="P100" i="11"/>
  <c r="F129" i="3"/>
  <c r="M128" i="3"/>
  <c r="V101" i="2" s="1"/>
  <c r="AK101" i="2" s="1"/>
  <c r="L128" i="3"/>
  <c r="AE100" i="2" s="1"/>
  <c r="AX99" i="2"/>
  <c r="G99" i="11" s="1"/>
  <c r="M99" i="11" s="1"/>
  <c r="F99" i="11"/>
  <c r="L99" i="11" s="1"/>
  <c r="AL100" i="2" l="1"/>
  <c r="O98" i="19"/>
  <c r="H129" i="3"/>
  <c r="AZ101" i="11" s="1"/>
  <c r="I129" i="3"/>
  <c r="K129" i="3"/>
  <c r="AX101" i="11"/>
  <c r="AF101" i="2"/>
  <c r="O129" i="3"/>
  <c r="BA101" i="2"/>
  <c r="G129" i="3"/>
  <c r="O101" i="11" s="1"/>
  <c r="O81" i="20"/>
  <c r="O82" i="20" s="1"/>
  <c r="O83" i="20" s="1"/>
  <c r="O80" i="20"/>
  <c r="O60" i="20"/>
  <c r="O62" i="20"/>
  <c r="J129" i="3" l="1"/>
  <c r="AM100" i="2"/>
  <c r="AT100" i="2" s="1"/>
  <c r="AZ100" i="2"/>
  <c r="BB100" i="2" s="1"/>
  <c r="BH100" i="2" s="1"/>
  <c r="BI100" i="2" s="1"/>
  <c r="O61" i="20"/>
  <c r="AW101" i="11"/>
  <c r="AP101" i="2"/>
  <c r="L129" i="3"/>
  <c r="AE101" i="2" s="1"/>
  <c r="AL101" i="2" s="1"/>
  <c r="M129" i="3"/>
  <c r="V102" i="2" s="1"/>
  <c r="AK102" i="2" s="1"/>
  <c r="C130" i="3"/>
  <c r="E130" i="3" s="1"/>
  <c r="P101" i="11"/>
  <c r="F130" i="3"/>
  <c r="G130" i="3" s="1"/>
  <c r="O102" i="11" s="1"/>
  <c r="H130" i="3" l="1"/>
  <c r="J130" i="3" s="1"/>
  <c r="AV100" i="2"/>
  <c r="E100" i="11" s="1"/>
  <c r="D100" i="11"/>
  <c r="AW100" i="2"/>
  <c r="AZ102" i="11"/>
  <c r="AZ101" i="2"/>
  <c r="BB101" i="2" s="1"/>
  <c r="AM101" i="2"/>
  <c r="O130" i="3"/>
  <c r="AX102" i="11"/>
  <c r="AF102" i="2"/>
  <c r="BA102" i="2"/>
  <c r="BD101" i="2"/>
  <c r="BF101" i="2" s="1"/>
  <c r="BG101" i="2" s="1"/>
  <c r="AR101" i="2"/>
  <c r="AS101" i="2" s="1"/>
  <c r="I130" i="3" l="1"/>
  <c r="K130" i="3"/>
  <c r="M130" i="3" s="1"/>
  <c r="V103" i="2" s="1"/>
  <c r="AK103" i="2" s="1"/>
  <c r="AX100" i="2"/>
  <c r="G100" i="11" s="1"/>
  <c r="M100" i="11" s="1"/>
  <c r="F100" i="11"/>
  <c r="L100" i="11" s="1"/>
  <c r="AT101" i="2"/>
  <c r="AP102" i="2"/>
  <c r="AW102" i="11"/>
  <c r="BH101" i="2"/>
  <c r="BI101" i="2" s="1"/>
  <c r="P102" i="11"/>
  <c r="F131" i="3"/>
  <c r="G131" i="3" s="1"/>
  <c r="O103" i="11" s="1"/>
  <c r="C131" i="3"/>
  <c r="E131" i="3" s="1"/>
  <c r="L130" i="3" l="1"/>
  <c r="AE102" i="2" s="1"/>
  <c r="AL102" i="2" s="1"/>
  <c r="AZ102" i="2" s="1"/>
  <c r="BB102" i="2" s="1"/>
  <c r="H131" i="3"/>
  <c r="AZ103" i="11" s="1"/>
  <c r="J131" i="3"/>
  <c r="K131" i="3"/>
  <c r="I131" i="3"/>
  <c r="O131" i="3"/>
  <c r="AX103" i="11"/>
  <c r="AF103" i="2"/>
  <c r="BA103" i="2"/>
  <c r="AR102" i="2"/>
  <c r="AS102" i="2" s="1"/>
  <c r="BD102" i="2"/>
  <c r="BF102" i="2" s="1"/>
  <c r="BG102" i="2" s="1"/>
  <c r="D101" i="11"/>
  <c r="AW101" i="2"/>
  <c r="AV101" i="2"/>
  <c r="AM102" i="2" l="1"/>
  <c r="AT102" i="2" s="1"/>
  <c r="AV102" i="2" s="1"/>
  <c r="AX101" i="2"/>
  <c r="G101" i="11" s="1"/>
  <c r="M101" i="11" s="1"/>
  <c r="F101" i="11"/>
  <c r="L101" i="11" s="1"/>
  <c r="M131" i="3"/>
  <c r="V104" i="2" s="1"/>
  <c r="AK104" i="2" s="1"/>
  <c r="L131" i="3"/>
  <c r="AE103" i="2" s="1"/>
  <c r="AL103" i="2" s="1"/>
  <c r="E101" i="11"/>
  <c r="AP103" i="2"/>
  <c r="AW103" i="11"/>
  <c r="BH102" i="2"/>
  <c r="BI102" i="2" s="1"/>
  <c r="C132" i="3"/>
  <c r="E132" i="3" s="1"/>
  <c r="P103" i="11"/>
  <c r="F132" i="3"/>
  <c r="H132" i="3" l="1"/>
  <c r="AZ104" i="11" s="1"/>
  <c r="I132" i="3"/>
  <c r="AZ103" i="2"/>
  <c r="BB103" i="2" s="1"/>
  <c r="AM103" i="2"/>
  <c r="BD103" i="2"/>
  <c r="BF103" i="2" s="1"/>
  <c r="BG103" i="2" s="1"/>
  <c r="AR103" i="2"/>
  <c r="AS103" i="2" s="1"/>
  <c r="AW102" i="2"/>
  <c r="D102" i="11"/>
  <c r="O132" i="3"/>
  <c r="AX104" i="11"/>
  <c r="AF104" i="2"/>
  <c r="BA104" i="2"/>
  <c r="G132" i="3"/>
  <c r="O104" i="11" s="1"/>
  <c r="E102" i="11"/>
  <c r="J132" i="3" l="1"/>
  <c r="F133" i="3" s="1"/>
  <c r="G133" i="3" s="1"/>
  <c r="O105" i="11" s="1"/>
  <c r="K132" i="3"/>
  <c r="L132" i="3" s="1"/>
  <c r="AE104" i="2" s="1"/>
  <c r="AL104" i="2" s="1"/>
  <c r="BH103" i="2"/>
  <c r="BI103" i="2" s="1"/>
  <c r="AP104" i="2"/>
  <c r="AW104" i="11"/>
  <c r="AX102" i="2"/>
  <c r="G102" i="11" s="1"/>
  <c r="M102" i="11" s="1"/>
  <c r="F102" i="11"/>
  <c r="L102" i="11" s="1"/>
  <c r="C133" i="3"/>
  <c r="E133" i="3" s="1"/>
  <c r="P104" i="11"/>
  <c r="AT103" i="2"/>
  <c r="H133" i="3" l="1"/>
  <c r="J133" i="3" s="1"/>
  <c r="M132" i="3"/>
  <c r="V105" i="2" s="1"/>
  <c r="AK105" i="2" s="1"/>
  <c r="BA105" i="2" s="1"/>
  <c r="AZ105" i="11"/>
  <c r="K133" i="3"/>
  <c r="I133" i="3"/>
  <c r="AZ104" i="2"/>
  <c r="BB104" i="2" s="1"/>
  <c r="AM104" i="2"/>
  <c r="AX105" i="11"/>
  <c r="AF105" i="2"/>
  <c r="O133" i="3"/>
  <c r="D103" i="11"/>
  <c r="AW103" i="2"/>
  <c r="AV103" i="2"/>
  <c r="AR104" i="2"/>
  <c r="AS104" i="2" s="1"/>
  <c r="BD104" i="2"/>
  <c r="BF104" i="2" s="1"/>
  <c r="BG104" i="2" s="1"/>
  <c r="AT104" i="2" l="1"/>
  <c r="AV104" i="2" s="1"/>
  <c r="F134" i="3"/>
  <c r="G134" i="3" s="1"/>
  <c r="O106" i="11" s="1"/>
  <c r="C134" i="3"/>
  <c r="E134" i="3" s="1"/>
  <c r="P105" i="11"/>
  <c r="E103" i="11"/>
  <c r="AP105" i="2"/>
  <c r="AW105" i="11"/>
  <c r="BH104" i="2"/>
  <c r="BI104" i="2" s="1"/>
  <c r="AX103" i="2"/>
  <c r="G103" i="11" s="1"/>
  <c r="M103" i="11" s="1"/>
  <c r="F103" i="11"/>
  <c r="L103" i="11" s="1"/>
  <c r="L133" i="3"/>
  <c r="AE105" i="2" s="1"/>
  <c r="AL105" i="2" s="1"/>
  <c r="M133" i="3"/>
  <c r="V106" i="2" s="1"/>
  <c r="AK106" i="2" s="1"/>
  <c r="H134" i="3" l="1"/>
  <c r="I134" i="3" s="1"/>
  <c r="AZ105" i="2"/>
  <c r="BB105" i="2" s="1"/>
  <c r="AM105" i="2"/>
  <c r="AR105" i="2"/>
  <c r="AS105" i="2" s="1"/>
  <c r="BD105" i="2"/>
  <c r="BF105" i="2" s="1"/>
  <c r="BG105" i="2" s="1"/>
  <c r="BA106" i="2"/>
  <c r="E104" i="11"/>
  <c r="AF106" i="2"/>
  <c r="O134" i="3"/>
  <c r="AX106" i="11"/>
  <c r="AZ106" i="11"/>
  <c r="K134" i="3"/>
  <c r="J134" i="3"/>
  <c r="D104" i="11"/>
  <c r="AW104" i="2"/>
  <c r="F135" i="3" l="1"/>
  <c r="C135" i="3"/>
  <c r="E135" i="3" s="1"/>
  <c r="G135" i="3"/>
  <c r="O107" i="11" s="1"/>
  <c r="P106" i="11"/>
  <c r="H135" i="3"/>
  <c r="I135" i="3" s="1"/>
  <c r="AP106" i="2"/>
  <c r="AW106" i="11"/>
  <c r="L134" i="3"/>
  <c r="AE106" i="2" s="1"/>
  <c r="AL106" i="2" s="1"/>
  <c r="AZ106" i="2" s="1"/>
  <c r="BB106" i="2" s="1"/>
  <c r="M134" i="3"/>
  <c r="V107" i="2" s="1"/>
  <c r="AK107" i="2" s="1"/>
  <c r="F104" i="11"/>
  <c r="L104" i="11" s="1"/>
  <c r="AX104" i="2"/>
  <c r="G104" i="11" s="1"/>
  <c r="M104" i="11" s="1"/>
  <c r="AT105" i="2"/>
  <c r="BH105" i="2"/>
  <c r="BI105" i="2" s="1"/>
  <c r="AM106" i="2" l="1"/>
  <c r="AW105" i="2"/>
  <c r="D105" i="11"/>
  <c r="AV105" i="2"/>
  <c r="O135" i="3"/>
  <c r="AX107" i="11"/>
  <c r="AF107" i="2"/>
  <c r="BA107" i="2"/>
  <c r="AR106" i="2"/>
  <c r="AS106" i="2" s="1"/>
  <c r="BD106" i="2"/>
  <c r="BF106" i="2" s="1"/>
  <c r="BG106" i="2" s="1"/>
  <c r="BH106" i="2" s="1"/>
  <c r="BI106" i="2" s="1"/>
  <c r="AZ107" i="11"/>
  <c r="K135" i="3"/>
  <c r="J135" i="3"/>
  <c r="AT106" i="2" l="1"/>
  <c r="D106" i="11" s="1"/>
  <c r="L135" i="3"/>
  <c r="AE107" i="2" s="1"/>
  <c r="AL107" i="2" s="1"/>
  <c r="AZ107" i="2" s="1"/>
  <c r="BB107" i="2" s="1"/>
  <c r="M135" i="3"/>
  <c r="V108" i="2" s="1"/>
  <c r="AK108" i="2" s="1"/>
  <c r="E105" i="11"/>
  <c r="C136" i="3"/>
  <c r="E136" i="3" s="1"/>
  <c r="F136" i="3"/>
  <c r="G136" i="3" s="1"/>
  <c r="O108" i="11" s="1"/>
  <c r="P107" i="11"/>
  <c r="AW107" i="11"/>
  <c r="AP107" i="2"/>
  <c r="F105" i="11"/>
  <c r="L105" i="11" s="1"/>
  <c r="AX105" i="2"/>
  <c r="G105" i="11" s="1"/>
  <c r="M105" i="11" s="1"/>
  <c r="AV106" i="2" l="1"/>
  <c r="E106" i="11" s="1"/>
  <c r="AW106" i="2"/>
  <c r="F106" i="11" s="1"/>
  <c r="L106" i="11" s="1"/>
  <c r="AM107" i="2"/>
  <c r="H136" i="3"/>
  <c r="AZ108" i="11" s="1"/>
  <c r="I136" i="3"/>
  <c r="AR107" i="2"/>
  <c r="AS107" i="2" s="1"/>
  <c r="BD107" i="2"/>
  <c r="BF107" i="2" s="1"/>
  <c r="BG107" i="2" s="1"/>
  <c r="BH107" i="2" s="1"/>
  <c r="BI107" i="2" s="1"/>
  <c r="AX108" i="11"/>
  <c r="AF108" i="2"/>
  <c r="O136" i="3"/>
  <c r="BA108" i="2"/>
  <c r="K136" i="3" l="1"/>
  <c r="J136" i="3"/>
  <c r="AX106" i="2"/>
  <c r="G106" i="11" s="1"/>
  <c r="M106" i="11" s="1"/>
  <c r="AT107" i="2"/>
  <c r="D107" i="11" s="1"/>
  <c r="AP108" i="2"/>
  <c r="AW108" i="11"/>
  <c r="L136" i="3"/>
  <c r="AE108" i="2" s="1"/>
  <c r="AL108" i="2" s="1"/>
  <c r="M136" i="3"/>
  <c r="V109" i="2" s="1"/>
  <c r="AK109" i="2" s="1"/>
  <c r="C137" i="3"/>
  <c r="E137" i="3" s="1"/>
  <c r="P108" i="11"/>
  <c r="F137" i="3"/>
  <c r="G137" i="3" s="1"/>
  <c r="O109" i="11" s="1"/>
  <c r="AV107" i="2" l="1"/>
  <c r="E107" i="11" s="1"/>
  <c r="AW107" i="2"/>
  <c r="AX107" i="2" s="1"/>
  <c r="G107" i="11" s="1"/>
  <c r="M107" i="11" s="1"/>
  <c r="AF109" i="2"/>
  <c r="O137" i="3"/>
  <c r="AX109" i="11"/>
  <c r="BA109" i="2"/>
  <c r="AZ108" i="2"/>
  <c r="BB108" i="2" s="1"/>
  <c r="AM108" i="2"/>
  <c r="H137" i="3"/>
  <c r="AR108" i="2"/>
  <c r="AS108" i="2" s="1"/>
  <c r="BD108" i="2"/>
  <c r="BF108" i="2" s="1"/>
  <c r="BG108" i="2" s="1"/>
  <c r="F107" i="11" l="1"/>
  <c r="L107" i="11" s="1"/>
  <c r="AZ109" i="11"/>
  <c r="K137" i="3"/>
  <c r="J137" i="3"/>
  <c r="I137" i="3"/>
  <c r="BH108" i="2"/>
  <c r="BI108" i="2" s="1"/>
  <c r="AT108" i="2"/>
  <c r="AW109" i="11"/>
  <c r="AP109" i="2"/>
  <c r="AR109" i="2" l="1"/>
  <c r="AS109" i="2" s="1"/>
  <c r="BD109" i="2"/>
  <c r="BF109" i="2" s="1"/>
  <c r="BG109" i="2" s="1"/>
  <c r="D108" i="11"/>
  <c r="AW108" i="2"/>
  <c r="AV108" i="2"/>
  <c r="F138" i="3"/>
  <c r="P109" i="11"/>
  <c r="G138" i="3"/>
  <c r="O110" i="11" s="1"/>
  <c r="C138" i="3"/>
  <c r="E138" i="3" s="1"/>
  <c r="H138" i="3" s="1"/>
  <c r="L137" i="3"/>
  <c r="AE109" i="2" s="1"/>
  <c r="AL109" i="2" s="1"/>
  <c r="AZ109" i="2" s="1"/>
  <c r="BB109" i="2" s="1"/>
  <c r="M137" i="3"/>
  <c r="V110" i="2" s="1"/>
  <c r="AK110" i="2" s="1"/>
  <c r="BH109" i="2" l="1"/>
  <c r="BI109" i="2" s="1"/>
  <c r="AM109" i="2"/>
  <c r="AT109" i="2" s="1"/>
  <c r="AW109" i="2" s="1"/>
  <c r="AZ110" i="11"/>
  <c r="K138" i="3"/>
  <c r="I138" i="3"/>
  <c r="J138" i="3"/>
  <c r="E108" i="11"/>
  <c r="BA110" i="2"/>
  <c r="O138" i="3"/>
  <c r="AF110" i="2"/>
  <c r="AX110" i="11"/>
  <c r="AX108" i="2"/>
  <c r="G108" i="11" s="1"/>
  <c r="M108" i="11" s="1"/>
  <c r="F108" i="11"/>
  <c r="L108" i="11" s="1"/>
  <c r="AV109" i="2" l="1"/>
  <c r="E109" i="11" s="1"/>
  <c r="D109" i="11"/>
  <c r="AP110" i="2"/>
  <c r="AW110" i="11"/>
  <c r="P110" i="11"/>
  <c r="F139" i="3"/>
  <c r="G139" i="3" s="1"/>
  <c r="O111" i="11" s="1"/>
  <c r="C139" i="3"/>
  <c r="E139" i="3" s="1"/>
  <c r="H139" i="3" s="1"/>
  <c r="F109" i="11"/>
  <c r="L109" i="11" s="1"/>
  <c r="AX109" i="2"/>
  <c r="G109" i="11" s="1"/>
  <c r="M109" i="11" s="1"/>
  <c r="M138" i="3"/>
  <c r="V111" i="2" s="1"/>
  <c r="AK111" i="2" s="1"/>
  <c r="L138" i="3"/>
  <c r="AE110" i="2" s="1"/>
  <c r="AL110" i="2" s="1"/>
  <c r="AZ111" i="11" l="1"/>
  <c r="J139" i="3"/>
  <c r="K139" i="3"/>
  <c r="I139" i="3"/>
  <c r="BA111" i="2"/>
  <c r="AZ110" i="2"/>
  <c r="BB110" i="2" s="1"/>
  <c r="AM110" i="2"/>
  <c r="O139" i="3"/>
  <c r="AF111" i="2"/>
  <c r="AX111" i="11"/>
  <c r="AR110" i="2"/>
  <c r="AS110" i="2" s="1"/>
  <c r="BD110" i="2"/>
  <c r="BF110" i="2" s="1"/>
  <c r="BG110" i="2" s="1"/>
  <c r="AP111" i="2" l="1"/>
  <c r="AW111" i="11"/>
  <c r="AT110" i="2"/>
  <c r="C140" i="3"/>
  <c r="E140" i="3" s="1"/>
  <c r="P111" i="11"/>
  <c r="F140" i="3"/>
  <c r="BH110" i="2"/>
  <c r="BI110" i="2" s="1"/>
  <c r="L139" i="3"/>
  <c r="AE111" i="2" s="1"/>
  <c r="AL111" i="2" s="1"/>
  <c r="M139" i="3"/>
  <c r="V112" i="2" s="1"/>
  <c r="AK112" i="2" s="1"/>
  <c r="H140" i="3" l="1"/>
  <c r="G140" i="3"/>
  <c r="O112" i="11" s="1"/>
  <c r="AZ112" i="11"/>
  <c r="CI112" i="11" s="1"/>
  <c r="P75" i="20" s="1"/>
  <c r="P77" i="20" s="1"/>
  <c r="P78" i="20" s="1"/>
  <c r="K140" i="3"/>
  <c r="I140" i="3"/>
  <c r="J140" i="3"/>
  <c r="BA112" i="2"/>
  <c r="AF112" i="2"/>
  <c r="O140" i="3"/>
  <c r="AX112" i="11"/>
  <c r="CG112" i="11" s="1"/>
  <c r="P55" i="20" s="1"/>
  <c r="P57" i="20" s="1"/>
  <c r="D110" i="11"/>
  <c r="AW110" i="2"/>
  <c r="AV110" i="2"/>
  <c r="AZ111" i="2"/>
  <c r="BB111" i="2" s="1"/>
  <c r="AM111" i="2"/>
  <c r="AR111" i="2"/>
  <c r="AS111" i="2" s="1"/>
  <c r="BD111" i="2"/>
  <c r="BF111" i="2" s="1"/>
  <c r="BG111" i="2" s="1"/>
  <c r="AT111" i="2" l="1"/>
  <c r="E110" i="11"/>
  <c r="AV111" i="2"/>
  <c r="BH111" i="2"/>
  <c r="BI111" i="2" s="1"/>
  <c r="C141" i="3"/>
  <c r="E141" i="3" s="1"/>
  <c r="F141" i="3"/>
  <c r="P112" i="11"/>
  <c r="M140" i="3"/>
  <c r="V113" i="2" s="1"/>
  <c r="AK113" i="2" s="1"/>
  <c r="L140" i="3"/>
  <c r="AE112" i="2" s="1"/>
  <c r="AL112" i="2" s="1"/>
  <c r="AW111" i="2"/>
  <c r="D111" i="11"/>
  <c r="F110" i="11"/>
  <c r="L110" i="11" s="1"/>
  <c r="AX110" i="2"/>
  <c r="G110" i="11" s="1"/>
  <c r="M110" i="11" s="1"/>
  <c r="AP112" i="2"/>
  <c r="AW112" i="11"/>
  <c r="CF112" i="11" s="1"/>
  <c r="P51" i="20" s="1"/>
  <c r="P52" i="20" s="1"/>
  <c r="P53" i="20" s="1"/>
  <c r="O110" i="19" l="1"/>
  <c r="H141" i="3"/>
  <c r="AZ113" i="11" s="1"/>
  <c r="P68" i="20"/>
  <c r="P69" i="20" s="1"/>
  <c r="P79" i="20" s="1"/>
  <c r="P58" i="20"/>
  <c r="P59" i="20" s="1"/>
  <c r="F111" i="11"/>
  <c r="L111" i="11" s="1"/>
  <c r="AX111" i="2"/>
  <c r="G111" i="11" s="1"/>
  <c r="M111" i="11" s="1"/>
  <c r="AF113" i="2"/>
  <c r="O141" i="3"/>
  <c r="AX113" i="11"/>
  <c r="BA113" i="2"/>
  <c r="G141" i="3"/>
  <c r="O113" i="11" s="1"/>
  <c r="E111" i="11"/>
  <c r="AZ112" i="2"/>
  <c r="BB112" i="2" s="1"/>
  <c r="AM112" i="2"/>
  <c r="AR112" i="2"/>
  <c r="AS112" i="2" s="1"/>
  <c r="BD112" i="2"/>
  <c r="BF112" i="2" s="1"/>
  <c r="BG112" i="2" s="1"/>
  <c r="K141" i="3" l="1"/>
  <c r="I141" i="3"/>
  <c r="J141" i="3"/>
  <c r="P113" i="11" s="1"/>
  <c r="AT112" i="2"/>
  <c r="AW112" i="2" s="1"/>
  <c r="AP113" i="2"/>
  <c r="AW113" i="11"/>
  <c r="P62" i="20"/>
  <c r="P60" i="20"/>
  <c r="BH112" i="2"/>
  <c r="BI112" i="2" s="1"/>
  <c r="P81" i="20"/>
  <c r="P82" i="20" s="1"/>
  <c r="P83" i="20" s="1"/>
  <c r="P80" i="20"/>
  <c r="L141" i="3"/>
  <c r="AE113" i="2" s="1"/>
  <c r="AL113" i="2" s="1"/>
  <c r="M141" i="3"/>
  <c r="V114" i="2" s="1"/>
  <c r="AK114" i="2" s="1"/>
  <c r="D112" i="11" l="1"/>
  <c r="AV112" i="2"/>
  <c r="F142" i="3"/>
  <c r="G142" i="3" s="1"/>
  <c r="O114" i="11" s="1"/>
  <c r="C142" i="3"/>
  <c r="E142" i="3" s="1"/>
  <c r="H142" i="3" s="1"/>
  <c r="BA114" i="2"/>
  <c r="AZ113" i="2"/>
  <c r="BB113" i="2" s="1"/>
  <c r="AM113" i="2"/>
  <c r="E112" i="11"/>
  <c r="P61" i="20"/>
  <c r="BD113" i="2"/>
  <c r="BF113" i="2" s="1"/>
  <c r="BG113" i="2" s="1"/>
  <c r="AR113" i="2"/>
  <c r="AS113" i="2" s="1"/>
  <c r="AF114" i="2"/>
  <c r="O142" i="3"/>
  <c r="F112" i="11"/>
  <c r="L112" i="11" s="1"/>
  <c r="AX112" i="2"/>
  <c r="G112" i="11" s="1"/>
  <c r="M112" i="11" s="1"/>
  <c r="AX114" i="11" l="1"/>
  <c r="AZ114" i="11"/>
  <c r="K142" i="3"/>
  <c r="M142" i="3" s="1"/>
  <c r="V115" i="2" s="1"/>
  <c r="AK115" i="2" s="1"/>
  <c r="J142" i="3"/>
  <c r="F143" i="3" s="1"/>
  <c r="I142" i="3"/>
  <c r="BH113" i="2"/>
  <c r="BI113" i="2" s="1"/>
  <c r="AW114" i="11"/>
  <c r="AP114" i="2"/>
  <c r="AT113" i="2"/>
  <c r="L142" i="3" l="1"/>
  <c r="AE114" i="2" s="1"/>
  <c r="AL114" i="2" s="1"/>
  <c r="P114" i="11"/>
  <c r="G143" i="3"/>
  <c r="O115" i="11" s="1"/>
  <c r="C143" i="3"/>
  <c r="E143" i="3" s="1"/>
  <c r="H143" i="3" s="1"/>
  <c r="I143" i="3" s="1"/>
  <c r="BA115" i="2"/>
  <c r="AR114" i="2"/>
  <c r="AS114" i="2" s="1"/>
  <c r="BD114" i="2"/>
  <c r="BF114" i="2" s="1"/>
  <c r="BG114" i="2" s="1"/>
  <c r="AZ115" i="11"/>
  <c r="AZ114" i="2"/>
  <c r="BB114" i="2" s="1"/>
  <c r="AM114" i="2"/>
  <c r="AT114" i="2" s="1"/>
  <c r="AW113" i="2"/>
  <c r="D113" i="11"/>
  <c r="AV113" i="2"/>
  <c r="O143" i="3"/>
  <c r="AX115" i="11"/>
  <c r="AF115" i="2"/>
  <c r="J143" i="3" l="1"/>
  <c r="K143" i="3"/>
  <c r="L143" i="3" s="1"/>
  <c r="AE115" i="2" s="1"/>
  <c r="AL115" i="2" s="1"/>
  <c r="BH114" i="2"/>
  <c r="BI114" i="2" s="1"/>
  <c r="C144" i="3"/>
  <c r="E144" i="3" s="1"/>
  <c r="P115" i="11"/>
  <c r="F144" i="3"/>
  <c r="AW114" i="2"/>
  <c r="D114" i="11"/>
  <c r="E113" i="11"/>
  <c r="AV114" i="2"/>
  <c r="AP115" i="2"/>
  <c r="AW115" i="11"/>
  <c r="AX113" i="2"/>
  <c r="G113" i="11" s="1"/>
  <c r="M113" i="11" s="1"/>
  <c r="F113" i="11"/>
  <c r="L113" i="11" s="1"/>
  <c r="M143" i="3" l="1"/>
  <c r="V116" i="2" s="1"/>
  <c r="AK116" i="2" s="1"/>
  <c r="BA116" i="2" s="1"/>
  <c r="E114" i="11"/>
  <c r="AF116" i="2"/>
  <c r="O144" i="3"/>
  <c r="AX116" i="11"/>
  <c r="AZ115" i="2"/>
  <c r="BB115" i="2" s="1"/>
  <c r="AM115" i="2"/>
  <c r="H144" i="3"/>
  <c r="AR115" i="2"/>
  <c r="AS115" i="2" s="1"/>
  <c r="BD115" i="2"/>
  <c r="BF115" i="2" s="1"/>
  <c r="BG115" i="2" s="1"/>
  <c r="F114" i="11"/>
  <c r="L114" i="11" s="1"/>
  <c r="AX114" i="2"/>
  <c r="G114" i="11" s="1"/>
  <c r="M114" i="11" s="1"/>
  <c r="G144" i="3"/>
  <c r="O116" i="11" s="1"/>
  <c r="BH115" i="2" l="1"/>
  <c r="BI115" i="2" s="1"/>
  <c r="AZ116" i="11"/>
  <c r="J144" i="3"/>
  <c r="I144" i="3"/>
  <c r="K144" i="3"/>
  <c r="AT115" i="2"/>
  <c r="AW116" i="11"/>
  <c r="AP116" i="2"/>
  <c r="D115" i="11" l="1"/>
  <c r="AW115" i="2"/>
  <c r="AV115" i="2"/>
  <c r="BD116" i="2"/>
  <c r="BF116" i="2" s="1"/>
  <c r="BG116" i="2" s="1"/>
  <c r="AR116" i="2"/>
  <c r="AS116" i="2" s="1"/>
  <c r="M144" i="3"/>
  <c r="V117" i="2" s="1"/>
  <c r="AK117" i="2" s="1"/>
  <c r="L144" i="3"/>
  <c r="AE116" i="2" s="1"/>
  <c r="C145" i="3"/>
  <c r="E145" i="3" s="1"/>
  <c r="F145" i="3"/>
  <c r="G145" i="3"/>
  <c r="O117" i="11" s="1"/>
  <c r="P116" i="11"/>
  <c r="AL116" i="2"/>
  <c r="H145" i="3" l="1"/>
  <c r="AZ117" i="11" s="1"/>
  <c r="O145" i="3"/>
  <c r="AX117" i="11"/>
  <c r="AF117" i="2"/>
  <c r="F115" i="11"/>
  <c r="L115" i="11" s="1"/>
  <c r="AX115" i="2"/>
  <c r="G115" i="11" s="1"/>
  <c r="M115" i="11" s="1"/>
  <c r="AZ116" i="2"/>
  <c r="BB116" i="2" s="1"/>
  <c r="BH116" i="2" s="1"/>
  <c r="BI116" i="2" s="1"/>
  <c r="AM116" i="2"/>
  <c r="AT116" i="2" s="1"/>
  <c r="AV116" i="2" s="1"/>
  <c r="BA117" i="2"/>
  <c r="E115" i="11"/>
  <c r="I145" i="3" l="1"/>
  <c r="J145" i="3"/>
  <c r="K145" i="3"/>
  <c r="M145" i="3" s="1"/>
  <c r="V118" i="2" s="1"/>
  <c r="AK118" i="2" s="1"/>
  <c r="E116" i="11"/>
  <c r="AP117" i="2"/>
  <c r="AW117" i="11"/>
  <c r="D116" i="11"/>
  <c r="AW116" i="2"/>
  <c r="C146" i="3"/>
  <c r="E146" i="3" s="1"/>
  <c r="F146" i="3"/>
  <c r="P117" i="11"/>
  <c r="L145" i="3" l="1"/>
  <c r="AE117" i="2" s="1"/>
  <c r="AL117" i="2" s="1"/>
  <c r="H146" i="3"/>
  <c r="J146" i="3" s="1"/>
  <c r="C147" i="3" s="1"/>
  <c r="E147" i="3" s="1"/>
  <c r="G146" i="3"/>
  <c r="O118" i="11" s="1"/>
  <c r="F147" i="3"/>
  <c r="G147" i="3" s="1"/>
  <c r="O119" i="11" s="1"/>
  <c r="P118" i="11"/>
  <c r="F116" i="11"/>
  <c r="L116" i="11" s="1"/>
  <c r="AX116" i="2"/>
  <c r="G116" i="11" s="1"/>
  <c r="M116" i="11" s="1"/>
  <c r="BA118" i="2"/>
  <c r="AZ118" i="11"/>
  <c r="I146" i="3"/>
  <c r="AZ117" i="2"/>
  <c r="BB117" i="2" s="1"/>
  <c r="AM117" i="2"/>
  <c r="AF118" i="2"/>
  <c r="AX118" i="11"/>
  <c r="O146" i="3"/>
  <c r="K146" i="3"/>
  <c r="BD117" i="2"/>
  <c r="BF117" i="2" s="1"/>
  <c r="BG117" i="2" s="1"/>
  <c r="AR117" i="2"/>
  <c r="AS117" i="2" s="1"/>
  <c r="H147" i="3" l="1"/>
  <c r="AZ119" i="11"/>
  <c r="K147" i="3"/>
  <c r="J147" i="3"/>
  <c r="I147" i="3"/>
  <c r="M146" i="3"/>
  <c r="V119" i="2" s="1"/>
  <c r="AK119" i="2" s="1"/>
  <c r="L146" i="3"/>
  <c r="AE118" i="2" s="1"/>
  <c r="AL118" i="2" s="1"/>
  <c r="AW118" i="11"/>
  <c r="AP118" i="2"/>
  <c r="BH117" i="2"/>
  <c r="BI117" i="2" s="1"/>
  <c r="AT117" i="2"/>
  <c r="O147" i="3"/>
  <c r="AX119" i="11"/>
  <c r="AF119" i="2"/>
  <c r="D117" i="11" l="1"/>
  <c r="AW117" i="2"/>
  <c r="AV117" i="2"/>
  <c r="AR118" i="2"/>
  <c r="AS118" i="2" s="1"/>
  <c r="BD118" i="2"/>
  <c r="BF118" i="2" s="1"/>
  <c r="BG118" i="2" s="1"/>
  <c r="AZ118" i="2"/>
  <c r="BB118" i="2" s="1"/>
  <c r="AM118" i="2"/>
  <c r="BA119" i="2"/>
  <c r="AP119" i="2"/>
  <c r="AW119" i="11"/>
  <c r="C148" i="3"/>
  <c r="E148" i="3" s="1"/>
  <c r="F148" i="3"/>
  <c r="G148" i="3" s="1"/>
  <c r="O120" i="11" s="1"/>
  <c r="P119" i="11"/>
  <c r="L147" i="3"/>
  <c r="AE119" i="2" s="1"/>
  <c r="AL119" i="2" s="1"/>
  <c r="AZ119" i="2" s="1"/>
  <c r="M147" i="3"/>
  <c r="V120" i="2" s="1"/>
  <c r="AK120" i="2" s="1"/>
  <c r="H148" i="3" l="1"/>
  <c r="AT118" i="2"/>
  <c r="D118" i="11" s="1"/>
  <c r="BB119" i="2"/>
  <c r="I148" i="3"/>
  <c r="K148" i="3"/>
  <c r="M148" i="3" s="1"/>
  <c r="V121" i="2" s="1"/>
  <c r="AK121" i="2" s="1"/>
  <c r="J148" i="3"/>
  <c r="P120" i="11" s="1"/>
  <c r="BH118" i="2"/>
  <c r="BI118" i="2" s="1"/>
  <c r="BA120" i="2"/>
  <c r="AZ120" i="11"/>
  <c r="BD119" i="2"/>
  <c r="BF119" i="2" s="1"/>
  <c r="BG119" i="2" s="1"/>
  <c r="AR119" i="2"/>
  <c r="AS119" i="2" s="1"/>
  <c r="AX117" i="2"/>
  <c r="G117" i="11" s="1"/>
  <c r="M117" i="11" s="1"/>
  <c r="F117" i="11"/>
  <c r="L117" i="11" s="1"/>
  <c r="AF120" i="2"/>
  <c r="O148" i="3"/>
  <c r="AX120" i="11"/>
  <c r="AM119" i="2"/>
  <c r="AV118" i="2"/>
  <c r="E117" i="11"/>
  <c r="AW118" i="2" l="1"/>
  <c r="F149" i="3"/>
  <c r="G149" i="3" s="1"/>
  <c r="O121" i="11" s="1"/>
  <c r="L148" i="3"/>
  <c r="AE120" i="2" s="1"/>
  <c r="AL120" i="2" s="1"/>
  <c r="C149" i="3"/>
  <c r="E149" i="3" s="1"/>
  <c r="BH119" i="2"/>
  <c r="BI119" i="2" s="1"/>
  <c r="AT119" i="2"/>
  <c r="AV119" i="2" s="1"/>
  <c r="H149" i="3"/>
  <c r="I149" i="3" s="1"/>
  <c r="AW120" i="11"/>
  <c r="AP120" i="2"/>
  <c r="E118" i="11"/>
  <c r="K149" i="3"/>
  <c r="AX118" i="2"/>
  <c r="G118" i="11" s="1"/>
  <c r="M118" i="11" s="1"/>
  <c r="F118" i="11"/>
  <c r="L118" i="11" s="1"/>
  <c r="O149" i="3"/>
  <c r="AX121" i="11"/>
  <c r="AF121" i="2"/>
  <c r="BA121" i="2"/>
  <c r="D119" i="11" l="1"/>
  <c r="AW119" i="2"/>
  <c r="AX119" i="2" s="1"/>
  <c r="G119" i="11" s="1"/>
  <c r="M119" i="11" s="1"/>
  <c r="J149" i="3"/>
  <c r="P121" i="11" s="1"/>
  <c r="AZ121" i="11"/>
  <c r="C150" i="3"/>
  <c r="E150" i="3" s="1"/>
  <c r="F150" i="3"/>
  <c r="L149" i="3"/>
  <c r="AE121" i="2" s="1"/>
  <c r="AL121" i="2" s="1"/>
  <c r="M149" i="3"/>
  <c r="V122" i="2" s="1"/>
  <c r="AK122" i="2" s="1"/>
  <c r="E119" i="11"/>
  <c r="AR120" i="2"/>
  <c r="AS120" i="2" s="1"/>
  <c r="BD120" i="2"/>
  <c r="BF120" i="2" s="1"/>
  <c r="BG120" i="2" s="1"/>
  <c r="AP121" i="2"/>
  <c r="AW121" i="11"/>
  <c r="AZ120" i="2"/>
  <c r="BB120" i="2" s="1"/>
  <c r="AM120" i="2"/>
  <c r="F119" i="11"/>
  <c r="L119" i="11" s="1"/>
  <c r="G150" i="3" l="1"/>
  <c r="O122" i="11" s="1"/>
  <c r="H150" i="3"/>
  <c r="I150" i="3" s="1"/>
  <c r="BH120" i="2"/>
  <c r="BI120" i="2" s="1"/>
  <c r="AT120" i="2"/>
  <c r="AW120" i="2" s="1"/>
  <c r="AZ121" i="2"/>
  <c r="BB121" i="2" s="1"/>
  <c r="AM121" i="2"/>
  <c r="BD121" i="2"/>
  <c r="BF121" i="2" s="1"/>
  <c r="BG121" i="2" s="1"/>
  <c r="AR121" i="2"/>
  <c r="AS121" i="2" s="1"/>
  <c r="BA122" i="2"/>
  <c r="O150" i="3"/>
  <c r="AX122" i="11"/>
  <c r="AF122" i="2"/>
  <c r="K150" i="3" l="1"/>
  <c r="J150" i="3"/>
  <c r="F151" i="3" s="1"/>
  <c r="AV120" i="2"/>
  <c r="E120" i="11" s="1"/>
  <c r="AZ122" i="11"/>
  <c r="D120" i="11"/>
  <c r="BH121" i="2"/>
  <c r="BI121" i="2" s="1"/>
  <c r="L150" i="3"/>
  <c r="AE122" i="2" s="1"/>
  <c r="AL122" i="2" s="1"/>
  <c r="M150" i="3"/>
  <c r="V123" i="2" s="1"/>
  <c r="AK123" i="2" s="1"/>
  <c r="AP122" i="2"/>
  <c r="AW122" i="11"/>
  <c r="P122" i="11"/>
  <c r="C151" i="3"/>
  <c r="E151" i="3" s="1"/>
  <c r="AT121" i="2"/>
  <c r="AX120" i="2"/>
  <c r="G120" i="11" s="1"/>
  <c r="M120" i="11" s="1"/>
  <c r="F120" i="11"/>
  <c r="L120" i="11" s="1"/>
  <c r="H151" i="3" l="1"/>
  <c r="AZ123" i="11"/>
  <c r="J151" i="3"/>
  <c r="K151" i="3"/>
  <c r="I151" i="3"/>
  <c r="AZ122" i="2"/>
  <c r="BB122" i="2" s="1"/>
  <c r="AM122" i="2"/>
  <c r="AR122" i="2"/>
  <c r="AS122" i="2" s="1"/>
  <c r="BD122" i="2"/>
  <c r="BF122" i="2" s="1"/>
  <c r="BG122" i="2" s="1"/>
  <c r="D121" i="11"/>
  <c r="AW121" i="2"/>
  <c r="AF123" i="2"/>
  <c r="O151" i="3"/>
  <c r="AX123" i="11"/>
  <c r="G151" i="3"/>
  <c r="O123" i="11" s="1"/>
  <c r="BA123" i="2"/>
  <c r="AV121" i="2"/>
  <c r="AT122" i="2" l="1"/>
  <c r="AW122" i="2" s="1"/>
  <c r="AW123" i="11"/>
  <c r="AP123" i="2"/>
  <c r="F121" i="11"/>
  <c r="L121" i="11" s="1"/>
  <c r="AX121" i="2"/>
  <c r="G121" i="11" s="1"/>
  <c r="M121" i="11" s="1"/>
  <c r="C152" i="3"/>
  <c r="E152" i="3" s="1"/>
  <c r="F152" i="3"/>
  <c r="G152" i="3"/>
  <c r="O124" i="11" s="1"/>
  <c r="P123" i="11"/>
  <c r="E121" i="11"/>
  <c r="AV122" i="2"/>
  <c r="BH122" i="2"/>
  <c r="BI122" i="2" s="1"/>
  <c r="L151" i="3"/>
  <c r="AE123" i="2" s="1"/>
  <c r="AL123" i="2" s="1"/>
  <c r="M151" i="3"/>
  <c r="V124" i="2" s="1"/>
  <c r="AK124" i="2" s="1"/>
  <c r="H152" i="3" l="1"/>
  <c r="J152" i="3" s="1"/>
  <c r="P124" i="11" s="1"/>
  <c r="D122" i="11"/>
  <c r="I152" i="3"/>
  <c r="F153" i="3"/>
  <c r="G153" i="3"/>
  <c r="O125" i="11" s="1"/>
  <c r="BA124" i="2"/>
  <c r="AF124" i="2"/>
  <c r="AX124" i="11"/>
  <c r="CG124" i="11" s="1"/>
  <c r="Q55" i="20" s="1"/>
  <c r="Q57" i="20" s="1"/>
  <c r="O152" i="3"/>
  <c r="F122" i="11"/>
  <c r="L122" i="11" s="1"/>
  <c r="AX122" i="2"/>
  <c r="G122" i="11" s="1"/>
  <c r="M122" i="11" s="1"/>
  <c r="AZ123" i="2"/>
  <c r="BB123" i="2" s="1"/>
  <c r="AM123" i="2"/>
  <c r="E122" i="11"/>
  <c r="AZ124" i="11"/>
  <c r="CI124" i="11" s="1"/>
  <c r="Q75" i="20" s="1"/>
  <c r="Q77" i="20" s="1"/>
  <c r="Q78" i="20" s="1"/>
  <c r="BD123" i="2"/>
  <c r="BF123" i="2" s="1"/>
  <c r="BG123" i="2" s="1"/>
  <c r="AR123" i="2"/>
  <c r="AS123" i="2" s="1"/>
  <c r="C153" i="3" l="1"/>
  <c r="E153" i="3" s="1"/>
  <c r="H153" i="3" s="1"/>
  <c r="J153" i="3" s="1"/>
  <c r="K152" i="3"/>
  <c r="M152" i="3" s="1"/>
  <c r="V125" i="2" s="1"/>
  <c r="AK125" i="2" s="1"/>
  <c r="AZ125" i="11"/>
  <c r="I153" i="3"/>
  <c r="K153" i="3"/>
  <c r="AT123" i="2"/>
  <c r="BH123" i="2"/>
  <c r="BI123" i="2" s="1"/>
  <c r="AW124" i="11"/>
  <c r="CF124" i="11" s="1"/>
  <c r="Q51" i="20" s="1"/>
  <c r="Q52" i="20" s="1"/>
  <c r="Q53" i="20" s="1"/>
  <c r="AP124" i="2"/>
  <c r="AX125" i="11"/>
  <c r="O153" i="3"/>
  <c r="AF125" i="2"/>
  <c r="L152" i="3" l="1"/>
  <c r="AE124" i="2" s="1"/>
  <c r="AL124" i="2" s="1"/>
  <c r="AZ124" i="2" s="1"/>
  <c r="BB124" i="2" s="1"/>
  <c r="O122" i="19"/>
  <c r="Q58" i="20"/>
  <c r="Q59" i="20" s="1"/>
  <c r="Q68" i="20"/>
  <c r="Q69" i="20" s="1"/>
  <c r="Q79" i="20" s="1"/>
  <c r="BD124" i="2"/>
  <c r="BF124" i="2" s="1"/>
  <c r="BG124" i="2" s="1"/>
  <c r="BH124" i="2" s="1"/>
  <c r="BI124" i="2" s="1"/>
  <c r="AR124" i="2"/>
  <c r="AS124" i="2" s="1"/>
  <c r="AW125" i="11"/>
  <c r="AP125" i="2"/>
  <c r="BA125" i="2"/>
  <c r="AW123" i="2"/>
  <c r="D123" i="11"/>
  <c r="AV123" i="2"/>
  <c r="F154" i="3"/>
  <c r="G154" i="3" s="1"/>
  <c r="O126" i="11" s="1"/>
  <c r="C154" i="3"/>
  <c r="E154" i="3" s="1"/>
  <c r="H154" i="3" s="1"/>
  <c r="P125" i="11"/>
  <c r="M153" i="3"/>
  <c r="V126" i="2" s="1"/>
  <c r="AK126" i="2" s="1"/>
  <c r="L153" i="3"/>
  <c r="AE125" i="2" s="1"/>
  <c r="AL125" i="2" s="1"/>
  <c r="AZ125" i="2" s="1"/>
  <c r="AM124" i="2" l="1"/>
  <c r="AT124" i="2"/>
  <c r="D124" i="11" s="1"/>
  <c r="BB125" i="2"/>
  <c r="AZ126" i="11"/>
  <c r="I154" i="3"/>
  <c r="K154" i="3"/>
  <c r="O154" i="3"/>
  <c r="AF126" i="2"/>
  <c r="AX126" i="11"/>
  <c r="AR125" i="2"/>
  <c r="AS125" i="2" s="1"/>
  <c r="BD125" i="2"/>
  <c r="BF125" i="2" s="1"/>
  <c r="BG125" i="2" s="1"/>
  <c r="BH125" i="2" s="1"/>
  <c r="BI125" i="2" s="1"/>
  <c r="BA126" i="2"/>
  <c r="J154" i="3"/>
  <c r="F123" i="11"/>
  <c r="L123" i="11" s="1"/>
  <c r="AX123" i="2"/>
  <c r="G123" i="11" s="1"/>
  <c r="M123" i="11" s="1"/>
  <c r="AM125" i="2"/>
  <c r="Q81" i="20"/>
  <c r="Q82" i="20" s="1"/>
  <c r="Q83" i="20" s="1"/>
  <c r="Q80" i="20"/>
  <c r="AV124" i="2"/>
  <c r="E123" i="11"/>
  <c r="Q62" i="20"/>
  <c r="Q60" i="20"/>
  <c r="AW124" i="2" l="1"/>
  <c r="AT125" i="2"/>
  <c r="AV125" i="2" s="1"/>
  <c r="Q61" i="20"/>
  <c r="E124" i="11"/>
  <c r="AP126" i="2"/>
  <c r="AW126" i="11"/>
  <c r="F155" i="3"/>
  <c r="G155" i="3"/>
  <c r="O127" i="11" s="1"/>
  <c r="C155" i="3"/>
  <c r="E155" i="3" s="1"/>
  <c r="H155" i="3" s="1"/>
  <c r="P126" i="11"/>
  <c r="M154" i="3"/>
  <c r="V127" i="2" s="1"/>
  <c r="AK127" i="2" s="1"/>
  <c r="L154" i="3"/>
  <c r="AE126" i="2" s="1"/>
  <c r="AL126" i="2" s="1"/>
  <c r="AX124" i="2"/>
  <c r="G124" i="11" s="1"/>
  <c r="M124" i="11" s="1"/>
  <c r="F124" i="11"/>
  <c r="L124" i="11" s="1"/>
  <c r="AW125" i="2" l="1"/>
  <c r="D125" i="11"/>
  <c r="AZ127" i="11"/>
  <c r="J155" i="3"/>
  <c r="I155" i="3"/>
  <c r="K155" i="3"/>
  <c r="AX127" i="11"/>
  <c r="AF127" i="2"/>
  <c r="O155" i="3"/>
  <c r="AZ126" i="2"/>
  <c r="BB126" i="2" s="1"/>
  <c r="AM126" i="2"/>
  <c r="BA127" i="2"/>
  <c r="F125" i="11"/>
  <c r="L125" i="11" s="1"/>
  <c r="AX125" i="2"/>
  <c r="G125" i="11" s="1"/>
  <c r="M125" i="11" s="1"/>
  <c r="BD126" i="2"/>
  <c r="BF126" i="2" s="1"/>
  <c r="BG126" i="2" s="1"/>
  <c r="AR126" i="2"/>
  <c r="AS126" i="2" s="1"/>
  <c r="E125" i="11"/>
  <c r="AP127" i="2" l="1"/>
  <c r="AW127" i="11"/>
  <c r="BH126" i="2"/>
  <c r="BI126" i="2" s="1"/>
  <c r="AT126" i="2"/>
  <c r="L155" i="3"/>
  <c r="AE127" i="2" s="1"/>
  <c r="AL127" i="2" s="1"/>
  <c r="M155" i="3"/>
  <c r="V128" i="2" s="1"/>
  <c r="AK128" i="2" s="1"/>
  <c r="F156" i="3"/>
  <c r="G156" i="3"/>
  <c r="O128" i="11" s="1"/>
  <c r="C156" i="3"/>
  <c r="E156" i="3" s="1"/>
  <c r="H156" i="3" s="1"/>
  <c r="P127" i="11"/>
  <c r="AZ128" i="11" l="1"/>
  <c r="K156" i="3"/>
  <c r="J156" i="3"/>
  <c r="I156" i="3"/>
  <c r="AZ127" i="2"/>
  <c r="BB127" i="2" s="1"/>
  <c r="AM127" i="2"/>
  <c r="AF128" i="2"/>
  <c r="O156" i="3"/>
  <c r="AX128" i="11"/>
  <c r="D126" i="11"/>
  <c r="AW126" i="2"/>
  <c r="AV126" i="2"/>
  <c r="BA128" i="2"/>
  <c r="AR127" i="2"/>
  <c r="AS127" i="2" s="1"/>
  <c r="BD127" i="2"/>
  <c r="BF127" i="2" s="1"/>
  <c r="BG127" i="2" s="1"/>
  <c r="AP128" i="2" l="1"/>
  <c r="AW128" i="11"/>
  <c r="AX126" i="2"/>
  <c r="G126" i="11" s="1"/>
  <c r="M126" i="11" s="1"/>
  <c r="F126" i="11"/>
  <c r="L126" i="11" s="1"/>
  <c r="BH127" i="2"/>
  <c r="BI127" i="2" s="1"/>
  <c r="E126" i="11"/>
  <c r="AT127" i="2"/>
  <c r="F157" i="3"/>
  <c r="G157" i="3"/>
  <c r="O129" i="11" s="1"/>
  <c r="C157" i="3"/>
  <c r="E157" i="3" s="1"/>
  <c r="H157" i="3" s="1"/>
  <c r="P128" i="11"/>
  <c r="L156" i="3"/>
  <c r="AE128" i="2" s="1"/>
  <c r="AL128" i="2" s="1"/>
  <c r="M156" i="3"/>
  <c r="V129" i="2" s="1"/>
  <c r="AK129" i="2" s="1"/>
  <c r="AZ129" i="11" l="1"/>
  <c r="J157" i="3"/>
  <c r="I157" i="3"/>
  <c r="K157" i="3"/>
  <c r="BA129" i="2"/>
  <c r="AZ128" i="2"/>
  <c r="BB128" i="2" s="1"/>
  <c r="AM128" i="2"/>
  <c r="O157" i="3"/>
  <c r="AX129" i="11"/>
  <c r="AF129" i="2"/>
  <c r="AW127" i="2"/>
  <c r="D127" i="11"/>
  <c r="AV127" i="2"/>
  <c r="AR128" i="2"/>
  <c r="AS128" i="2" s="1"/>
  <c r="BD128" i="2"/>
  <c r="BF128" i="2" s="1"/>
  <c r="BG128" i="2" s="1"/>
  <c r="E127" i="11" l="1"/>
  <c r="AT128" i="2"/>
  <c r="AV128" i="2" s="1"/>
  <c r="AX127" i="2"/>
  <c r="G127" i="11" s="1"/>
  <c r="M127" i="11" s="1"/>
  <c r="F127" i="11"/>
  <c r="L127" i="11" s="1"/>
  <c r="AW129" i="11"/>
  <c r="AP129" i="2"/>
  <c r="BH128" i="2"/>
  <c r="BI128" i="2" s="1"/>
  <c r="L157" i="3"/>
  <c r="AE129" i="2" s="1"/>
  <c r="AL129" i="2" s="1"/>
  <c r="M157" i="3"/>
  <c r="V130" i="2" s="1"/>
  <c r="AK130" i="2" s="1"/>
  <c r="P129" i="11"/>
  <c r="C158" i="3"/>
  <c r="E158" i="3" s="1"/>
  <c r="F158" i="3"/>
  <c r="G158" i="3" s="1"/>
  <c r="O130" i="11" s="1"/>
  <c r="H158" i="3" l="1"/>
  <c r="AZ130" i="11"/>
  <c r="J158" i="3"/>
  <c r="K158" i="3"/>
  <c r="I158" i="3"/>
  <c r="E128" i="11"/>
  <c r="AF130" i="2"/>
  <c r="O158" i="3"/>
  <c r="AX130" i="11"/>
  <c r="BA130" i="2"/>
  <c r="AZ129" i="2"/>
  <c r="BB129" i="2" s="1"/>
  <c r="AM129" i="2"/>
  <c r="AR129" i="2"/>
  <c r="AS129" i="2" s="1"/>
  <c r="BD129" i="2"/>
  <c r="BF129" i="2" s="1"/>
  <c r="BG129" i="2" s="1"/>
  <c r="D128" i="11"/>
  <c r="AW128" i="2"/>
  <c r="AT129" i="2" l="1"/>
  <c r="AW129" i="2" s="1"/>
  <c r="AW130" i="11"/>
  <c r="AP130" i="2"/>
  <c r="BH129" i="2"/>
  <c r="BI129" i="2" s="1"/>
  <c r="L158" i="3"/>
  <c r="AE130" i="2" s="1"/>
  <c r="AL130" i="2" s="1"/>
  <c r="M158" i="3"/>
  <c r="V131" i="2" s="1"/>
  <c r="AK131" i="2" s="1"/>
  <c r="AX128" i="2"/>
  <c r="G128" i="11" s="1"/>
  <c r="M128" i="11" s="1"/>
  <c r="F128" i="11"/>
  <c r="L128" i="11" s="1"/>
  <c r="C159" i="3"/>
  <c r="E159" i="3" s="1"/>
  <c r="P130" i="11"/>
  <c r="F159" i="3"/>
  <c r="G159" i="3" s="1"/>
  <c r="O131" i="11" s="1"/>
  <c r="D129" i="11" l="1"/>
  <c r="AV129" i="2"/>
  <c r="E129" i="11" s="1"/>
  <c r="H159" i="3"/>
  <c r="I159" i="3" s="1"/>
  <c r="AF131" i="2"/>
  <c r="O159" i="3"/>
  <c r="AX131" i="11"/>
  <c r="AZ130" i="2"/>
  <c r="BB130" i="2" s="1"/>
  <c r="AM130" i="2"/>
  <c r="BA131" i="2"/>
  <c r="AR130" i="2"/>
  <c r="AS130" i="2" s="1"/>
  <c r="BD130" i="2"/>
  <c r="BF130" i="2" s="1"/>
  <c r="BG130" i="2" s="1"/>
  <c r="F129" i="11"/>
  <c r="L129" i="11" s="1"/>
  <c r="AX129" i="2"/>
  <c r="G129" i="11" s="1"/>
  <c r="M129" i="11" s="1"/>
  <c r="AZ131" i="11" l="1"/>
  <c r="K159" i="3"/>
  <c r="L159" i="3" s="1"/>
  <c r="AE131" i="2" s="1"/>
  <c r="AL131" i="2" s="1"/>
  <c r="AZ131" i="2" s="1"/>
  <c r="BB131" i="2" s="1"/>
  <c r="J159" i="3"/>
  <c r="C160" i="3" s="1"/>
  <c r="E160" i="3" s="1"/>
  <c r="AT130" i="2"/>
  <c r="P131" i="11"/>
  <c r="BH130" i="2"/>
  <c r="BI130" i="2" s="1"/>
  <c r="AP131" i="2"/>
  <c r="AW131" i="11"/>
  <c r="M159" i="3" l="1"/>
  <c r="V132" i="2" s="1"/>
  <c r="AK132" i="2" s="1"/>
  <c r="BA132" i="2" s="1"/>
  <c r="F160" i="3"/>
  <c r="AX132" i="11" s="1"/>
  <c r="AM131" i="2"/>
  <c r="H160" i="3"/>
  <c r="AZ132" i="11" s="1"/>
  <c r="I160" i="3"/>
  <c r="O160" i="3"/>
  <c r="AF132" i="2"/>
  <c r="AR131" i="2"/>
  <c r="AS131" i="2" s="1"/>
  <c r="BD131" i="2"/>
  <c r="BF131" i="2" s="1"/>
  <c r="BG131" i="2" s="1"/>
  <c r="BH131" i="2" s="1"/>
  <c r="BI131" i="2" s="1"/>
  <c r="G160" i="3"/>
  <c r="O132" i="11" s="1"/>
  <c r="AW130" i="2"/>
  <c r="D130" i="11"/>
  <c r="AV130" i="2"/>
  <c r="K160" i="3" l="1"/>
  <c r="J160" i="3"/>
  <c r="F161" i="3" s="1"/>
  <c r="G161" i="3" s="1"/>
  <c r="O133" i="11" s="1"/>
  <c r="AT131" i="2"/>
  <c r="AV131" i="2" s="1"/>
  <c r="AX130" i="2"/>
  <c r="G130" i="11" s="1"/>
  <c r="M130" i="11" s="1"/>
  <c r="F130" i="11"/>
  <c r="L130" i="11" s="1"/>
  <c r="AP132" i="2"/>
  <c r="AW132" i="11"/>
  <c r="L160" i="3"/>
  <c r="AE132" i="2" s="1"/>
  <c r="AL132" i="2" s="1"/>
  <c r="M160" i="3"/>
  <c r="V133" i="2" s="1"/>
  <c r="AK133" i="2" s="1"/>
  <c r="E130" i="11"/>
  <c r="C161" i="3"/>
  <c r="E161" i="3" s="1"/>
  <c r="P132" i="11"/>
  <c r="D131" i="11" l="1"/>
  <c r="AW131" i="2"/>
  <c r="AX131" i="2" s="1"/>
  <c r="G131" i="11" s="1"/>
  <c r="M131" i="11" s="1"/>
  <c r="H161" i="3"/>
  <c r="I161" i="3" s="1"/>
  <c r="E131" i="11"/>
  <c r="AZ132" i="2"/>
  <c r="BB132" i="2" s="1"/>
  <c r="AM132" i="2"/>
  <c r="AR132" i="2"/>
  <c r="AS132" i="2" s="1"/>
  <c r="BD132" i="2"/>
  <c r="BF132" i="2" s="1"/>
  <c r="BG132" i="2" s="1"/>
  <c r="BA133" i="2"/>
  <c r="O161" i="3"/>
  <c r="AX133" i="11"/>
  <c r="AF133" i="2"/>
  <c r="J161" i="3" l="1"/>
  <c r="F131" i="11"/>
  <c r="L131" i="11" s="1"/>
  <c r="K161" i="3"/>
  <c r="M161" i="3" s="1"/>
  <c r="V134" i="2" s="1"/>
  <c r="AK134" i="2" s="1"/>
  <c r="AZ133" i="11"/>
  <c r="BH132" i="2"/>
  <c r="BI132" i="2" s="1"/>
  <c r="AP133" i="2"/>
  <c r="AW133" i="11"/>
  <c r="C162" i="3"/>
  <c r="E162" i="3" s="1"/>
  <c r="P133" i="11"/>
  <c r="F162" i="3"/>
  <c r="L161" i="3"/>
  <c r="AE133" i="2" s="1"/>
  <c r="AL133" i="2" s="1"/>
  <c r="AT132" i="2"/>
  <c r="H162" i="3" l="1"/>
  <c r="AZ134" i="11"/>
  <c r="I162" i="3"/>
  <c r="J162" i="3"/>
  <c r="K162" i="3"/>
  <c r="AW132" i="2"/>
  <c r="D132" i="11"/>
  <c r="AV132" i="2"/>
  <c r="AZ133" i="2"/>
  <c r="BB133" i="2" s="1"/>
  <c r="AM133" i="2"/>
  <c r="BA134" i="2"/>
  <c r="AF134" i="2"/>
  <c r="O162" i="3"/>
  <c r="AX134" i="11"/>
  <c r="G162" i="3"/>
  <c r="O134" i="11" s="1"/>
  <c r="AR133" i="2"/>
  <c r="AS133" i="2" s="1"/>
  <c r="BD133" i="2"/>
  <c r="BF133" i="2" s="1"/>
  <c r="BG133" i="2" s="1"/>
  <c r="F132" i="11" l="1"/>
  <c r="L132" i="11" s="1"/>
  <c r="AX132" i="2"/>
  <c r="G132" i="11" s="1"/>
  <c r="M132" i="11" s="1"/>
  <c r="BH133" i="2"/>
  <c r="BI133" i="2" s="1"/>
  <c r="F163" i="3"/>
  <c r="G163" i="3"/>
  <c r="O135" i="11" s="1"/>
  <c r="P134" i="11"/>
  <c r="C163" i="3"/>
  <c r="E163" i="3" s="1"/>
  <c r="H163" i="3" s="1"/>
  <c r="AP134" i="2"/>
  <c r="AW134" i="11"/>
  <c r="E132" i="11"/>
  <c r="L162" i="3"/>
  <c r="AE134" i="2" s="1"/>
  <c r="AL134" i="2" s="1"/>
  <c r="M162" i="3"/>
  <c r="V135" i="2" s="1"/>
  <c r="AK135" i="2" s="1"/>
  <c r="AT133" i="2"/>
  <c r="AV133" i="2" s="1"/>
  <c r="E133" i="11" l="1"/>
  <c r="AZ135" i="11"/>
  <c r="J163" i="3"/>
  <c r="I163" i="3"/>
  <c r="K163" i="3"/>
  <c r="BA135" i="2"/>
  <c r="AZ134" i="2"/>
  <c r="BB134" i="2" s="1"/>
  <c r="AM134" i="2"/>
  <c r="O163" i="3"/>
  <c r="AX135" i="11"/>
  <c r="AF135" i="2"/>
  <c r="D133" i="11"/>
  <c r="AW133" i="2"/>
  <c r="AR134" i="2"/>
  <c r="AS134" i="2" s="1"/>
  <c r="BD134" i="2"/>
  <c r="BF134" i="2" s="1"/>
  <c r="BG134" i="2" s="1"/>
  <c r="AX133" i="2" l="1"/>
  <c r="G133" i="11" s="1"/>
  <c r="M133" i="11" s="1"/>
  <c r="F133" i="11"/>
  <c r="L133" i="11" s="1"/>
  <c r="BH134" i="2"/>
  <c r="BI134" i="2" s="1"/>
  <c r="M163" i="3"/>
  <c r="V136" i="2" s="1"/>
  <c r="AK136" i="2" s="1"/>
  <c r="L163" i="3"/>
  <c r="AE135" i="2" s="1"/>
  <c r="AL135" i="2" s="1"/>
  <c r="AP135" i="2"/>
  <c r="AW135" i="11"/>
  <c r="AT134" i="2"/>
  <c r="F164" i="3"/>
  <c r="G164" i="3"/>
  <c r="O136" i="11" s="1"/>
  <c r="P135" i="11"/>
  <c r="C164" i="3"/>
  <c r="E164" i="3" s="1"/>
  <c r="H164" i="3" s="1"/>
  <c r="K164" i="3" s="1"/>
  <c r="L164" i="3" l="1"/>
  <c r="M164" i="3"/>
  <c r="V137" i="2" s="1"/>
  <c r="AK137" i="2" s="1"/>
  <c r="AZ135" i="2"/>
  <c r="BB135" i="2" s="1"/>
  <c r="AM135" i="2"/>
  <c r="J164" i="3"/>
  <c r="AW134" i="2"/>
  <c r="D134" i="11"/>
  <c r="AV134" i="2"/>
  <c r="AE136" i="2"/>
  <c r="AZ136" i="11"/>
  <c r="CI136" i="11" s="1"/>
  <c r="R75" i="20" s="1"/>
  <c r="R77" i="20" s="1"/>
  <c r="R78" i="20" s="1"/>
  <c r="I164" i="3"/>
  <c r="O164" i="3"/>
  <c r="AX136" i="11"/>
  <c r="CG136" i="11" s="1"/>
  <c r="R55" i="20" s="1"/>
  <c r="R57" i="20" s="1"/>
  <c r="AF136" i="2"/>
  <c r="BD135" i="2"/>
  <c r="BF135" i="2" s="1"/>
  <c r="BG135" i="2" s="1"/>
  <c r="AR135" i="2"/>
  <c r="AS135" i="2" s="1"/>
  <c r="BA136" i="2"/>
  <c r="E134" i="11" l="1"/>
  <c r="AW136" i="11"/>
  <c r="CF136" i="11" s="1"/>
  <c r="R51" i="20" s="1"/>
  <c r="R52" i="20" s="1"/>
  <c r="R53" i="20" s="1"/>
  <c r="AP136" i="2"/>
  <c r="O134" i="19"/>
  <c r="AT135" i="2"/>
  <c r="AX134" i="2"/>
  <c r="G134" i="11" s="1"/>
  <c r="M134" i="11" s="1"/>
  <c r="F134" i="11"/>
  <c r="L134" i="11" s="1"/>
  <c r="BA137" i="2"/>
  <c r="AL136" i="2"/>
  <c r="C165" i="3"/>
  <c r="E165" i="3" s="1"/>
  <c r="P136" i="11"/>
  <c r="F165" i="3"/>
  <c r="BH135" i="2"/>
  <c r="BI135" i="2" s="1"/>
  <c r="H165" i="3" l="1"/>
  <c r="AZ137" i="11"/>
  <c r="I165" i="3"/>
  <c r="K165" i="3"/>
  <c r="J165" i="3"/>
  <c r="AX137" i="11"/>
  <c r="AF137" i="2"/>
  <c r="O165" i="3"/>
  <c r="G165" i="3"/>
  <c r="O137" i="11" s="1"/>
  <c r="AW135" i="2"/>
  <c r="D135" i="11"/>
  <c r="AR136" i="2"/>
  <c r="AS136" i="2" s="1"/>
  <c r="BD136" i="2"/>
  <c r="BF136" i="2" s="1"/>
  <c r="BG136" i="2" s="1"/>
  <c r="AZ136" i="2"/>
  <c r="BB136" i="2" s="1"/>
  <c r="AM136" i="2"/>
  <c r="R58" i="20"/>
  <c r="R59" i="20" s="1"/>
  <c r="R68" i="20"/>
  <c r="R69" i="20" s="1"/>
  <c r="R79" i="20" s="1"/>
  <c r="AV135" i="2"/>
  <c r="AT136" i="2" l="1"/>
  <c r="BH136" i="2"/>
  <c r="BI136" i="2" s="1"/>
  <c r="AP137" i="2"/>
  <c r="AW137" i="11"/>
  <c r="R81" i="20"/>
  <c r="R82" i="20" s="1"/>
  <c r="R83" i="20" s="1"/>
  <c r="R80" i="20"/>
  <c r="L165" i="3"/>
  <c r="AE137" i="2" s="1"/>
  <c r="M165" i="3"/>
  <c r="V138" i="2" s="1"/>
  <c r="AK138" i="2" s="1"/>
  <c r="R60" i="20"/>
  <c r="R62" i="20"/>
  <c r="C166" i="3"/>
  <c r="E166" i="3" s="1"/>
  <c r="P137" i="11"/>
  <c r="F166" i="3"/>
  <c r="G166" i="3"/>
  <c r="O138" i="11" s="1"/>
  <c r="AV136" i="2"/>
  <c r="E135" i="11"/>
  <c r="AW136" i="2"/>
  <c r="D136" i="11"/>
  <c r="AX135" i="2"/>
  <c r="G135" i="11" s="1"/>
  <c r="M135" i="11" s="1"/>
  <c r="F135" i="11"/>
  <c r="L135" i="11" s="1"/>
  <c r="AL137" i="2"/>
  <c r="H166" i="3" l="1"/>
  <c r="AZ138" i="11"/>
  <c r="K166" i="3"/>
  <c r="I166" i="3"/>
  <c r="J166" i="3"/>
  <c r="BA138" i="2"/>
  <c r="O166" i="3"/>
  <c r="AX138" i="11"/>
  <c r="AF138" i="2"/>
  <c r="AZ137" i="2"/>
  <c r="BB137" i="2" s="1"/>
  <c r="AM137" i="2"/>
  <c r="F136" i="11"/>
  <c r="L136" i="11" s="1"/>
  <c r="AX136" i="2"/>
  <c r="G136" i="11" s="1"/>
  <c r="M136" i="11" s="1"/>
  <c r="E136" i="11"/>
  <c r="R61" i="20"/>
  <c r="BD137" i="2"/>
  <c r="BF137" i="2" s="1"/>
  <c r="BG137" i="2" s="1"/>
  <c r="AR137" i="2"/>
  <c r="AS137" i="2" s="1"/>
  <c r="AP138" i="2" l="1"/>
  <c r="AW138" i="11"/>
  <c r="M166" i="3"/>
  <c r="V139" i="2" s="1"/>
  <c r="AK139" i="2" s="1"/>
  <c r="L166" i="3"/>
  <c r="AE138" i="2" s="1"/>
  <c r="AT137" i="2"/>
  <c r="F167" i="3"/>
  <c r="G167" i="3"/>
  <c r="O139" i="11" s="1"/>
  <c r="C167" i="3"/>
  <c r="E167" i="3" s="1"/>
  <c r="H167" i="3" s="1"/>
  <c r="P138" i="11"/>
  <c r="AL138" i="2"/>
  <c r="BH137" i="2"/>
  <c r="BI137" i="2" s="1"/>
  <c r="AZ139" i="11" l="1"/>
  <c r="J167" i="3"/>
  <c r="I167" i="3"/>
  <c r="K167" i="3"/>
  <c r="AZ138" i="2"/>
  <c r="BB138" i="2" s="1"/>
  <c r="AM138" i="2"/>
  <c r="AW137" i="2"/>
  <c r="D137" i="11"/>
  <c r="AV137" i="2"/>
  <c r="BA139" i="2"/>
  <c r="BD138" i="2"/>
  <c r="BF138" i="2" s="1"/>
  <c r="BG138" i="2" s="1"/>
  <c r="AR138" i="2"/>
  <c r="AS138" i="2" s="1"/>
  <c r="AF139" i="2"/>
  <c r="O167" i="3"/>
  <c r="AX139" i="11"/>
  <c r="AW139" i="11" l="1"/>
  <c r="AP139" i="2"/>
  <c r="BH138" i="2"/>
  <c r="BI138" i="2" s="1"/>
  <c r="F137" i="11"/>
  <c r="L137" i="11" s="1"/>
  <c r="AX137" i="2"/>
  <c r="G137" i="11" s="1"/>
  <c r="M137" i="11" s="1"/>
  <c r="P139" i="11"/>
  <c r="F168" i="3"/>
  <c r="G168" i="3" s="1"/>
  <c r="O140" i="11" s="1"/>
  <c r="C168" i="3"/>
  <c r="E168" i="3" s="1"/>
  <c r="E137" i="11"/>
  <c r="AT138" i="2"/>
  <c r="AV138" i="2" s="1"/>
  <c r="L167" i="3"/>
  <c r="AE139" i="2" s="1"/>
  <c r="AL139" i="2" s="1"/>
  <c r="M167" i="3"/>
  <c r="V140" i="2" s="1"/>
  <c r="AK140" i="2" s="1"/>
  <c r="H168" i="3" l="1"/>
  <c r="E138" i="11"/>
  <c r="AZ140" i="11"/>
  <c r="K168" i="3"/>
  <c r="I168" i="3"/>
  <c r="J168" i="3"/>
  <c r="O168" i="3"/>
  <c r="AF140" i="2"/>
  <c r="AX140" i="11"/>
  <c r="AZ139" i="2"/>
  <c r="BB139" i="2" s="1"/>
  <c r="AM139" i="2"/>
  <c r="BD139" i="2"/>
  <c r="BF139" i="2" s="1"/>
  <c r="BG139" i="2" s="1"/>
  <c r="AR139" i="2"/>
  <c r="AS139" i="2" s="1"/>
  <c r="BA140" i="2"/>
  <c r="D138" i="11"/>
  <c r="AW138" i="2"/>
  <c r="AP140" i="2" l="1"/>
  <c r="AW140" i="11"/>
  <c r="AT139" i="2"/>
  <c r="C169" i="3"/>
  <c r="E169" i="3" s="1"/>
  <c r="P140" i="11"/>
  <c r="F169" i="3"/>
  <c r="G169" i="3" s="1"/>
  <c r="O141" i="11" s="1"/>
  <c r="F138" i="11"/>
  <c r="L138" i="11" s="1"/>
  <c r="AX138" i="2"/>
  <c r="G138" i="11" s="1"/>
  <c r="M138" i="11" s="1"/>
  <c r="BH139" i="2"/>
  <c r="BI139" i="2" s="1"/>
  <c r="L168" i="3"/>
  <c r="AE140" i="2" s="1"/>
  <c r="AL140" i="2" s="1"/>
  <c r="M168" i="3"/>
  <c r="V141" i="2" s="1"/>
  <c r="AK141" i="2" s="1"/>
  <c r="H169" i="3" l="1"/>
  <c r="AZ141" i="11"/>
  <c r="I169" i="3"/>
  <c r="J169" i="3"/>
  <c r="K169" i="3"/>
  <c r="BA141" i="2"/>
  <c r="AF141" i="2"/>
  <c r="O169" i="3"/>
  <c r="AX141" i="11"/>
  <c r="AZ140" i="2"/>
  <c r="BB140" i="2" s="1"/>
  <c r="AM140" i="2"/>
  <c r="D139" i="11"/>
  <c r="AW139" i="2"/>
  <c r="AV139" i="2"/>
  <c r="BD140" i="2"/>
  <c r="BF140" i="2" s="1"/>
  <c r="BG140" i="2" s="1"/>
  <c r="AR140" i="2"/>
  <c r="AS140" i="2" s="1"/>
  <c r="BH140" i="2" l="1"/>
  <c r="BI140" i="2" s="1"/>
  <c r="AX139" i="2"/>
  <c r="G139" i="11" s="1"/>
  <c r="M139" i="11" s="1"/>
  <c r="F139" i="11"/>
  <c r="L139" i="11" s="1"/>
  <c r="C170" i="3"/>
  <c r="E170" i="3" s="1"/>
  <c r="P141" i="11"/>
  <c r="F170" i="3"/>
  <c r="E139" i="11"/>
  <c r="M169" i="3"/>
  <c r="V142" i="2" s="1"/>
  <c r="AK142" i="2" s="1"/>
  <c r="L169" i="3"/>
  <c r="AE141" i="2" s="1"/>
  <c r="AL141" i="2" s="1"/>
  <c r="AT140" i="2"/>
  <c r="AW141" i="11"/>
  <c r="AP141" i="2"/>
  <c r="H170" i="3" l="1"/>
  <c r="AZ142" i="11" s="1"/>
  <c r="I170" i="3"/>
  <c r="AR141" i="2"/>
  <c r="AS141" i="2" s="1"/>
  <c r="BD141" i="2"/>
  <c r="BF141" i="2" s="1"/>
  <c r="BG141" i="2" s="1"/>
  <c r="AW140" i="2"/>
  <c r="D140" i="11"/>
  <c r="AZ141" i="2"/>
  <c r="BB141" i="2" s="1"/>
  <c r="AM141" i="2"/>
  <c r="AV140" i="2"/>
  <c r="O170" i="3"/>
  <c r="AF142" i="2"/>
  <c r="AX142" i="11"/>
  <c r="G170" i="3"/>
  <c r="O142" i="11" s="1"/>
  <c r="BA142" i="2"/>
  <c r="AT141" i="2" l="1"/>
  <c r="AW141" i="2" s="1"/>
  <c r="K170" i="3"/>
  <c r="M170" i="3" s="1"/>
  <c r="V143" i="2" s="1"/>
  <c r="AK143" i="2" s="1"/>
  <c r="J170" i="3"/>
  <c r="P142" i="11" s="1"/>
  <c r="BH141" i="2"/>
  <c r="BI141" i="2" s="1"/>
  <c r="D141" i="11"/>
  <c r="AX140" i="2"/>
  <c r="G140" i="11" s="1"/>
  <c r="M140" i="11" s="1"/>
  <c r="F140" i="11"/>
  <c r="L140" i="11" s="1"/>
  <c r="AP142" i="2"/>
  <c r="AW142" i="11"/>
  <c r="E140" i="11"/>
  <c r="AV141" i="2"/>
  <c r="L170" i="3" l="1"/>
  <c r="AE142" i="2" s="1"/>
  <c r="AL142" i="2" s="1"/>
  <c r="AZ142" i="2" s="1"/>
  <c r="BB142" i="2" s="1"/>
  <c r="F171" i="3"/>
  <c r="G171" i="3" s="1"/>
  <c r="O143" i="11" s="1"/>
  <c r="C171" i="3"/>
  <c r="E171" i="3" s="1"/>
  <c r="H171" i="3" s="1"/>
  <c r="BD142" i="2"/>
  <c r="BF142" i="2" s="1"/>
  <c r="BG142" i="2" s="1"/>
  <c r="AR142" i="2"/>
  <c r="AS142" i="2" s="1"/>
  <c r="F141" i="11"/>
  <c r="L141" i="11" s="1"/>
  <c r="AX141" i="2"/>
  <c r="G141" i="11" s="1"/>
  <c r="M141" i="11" s="1"/>
  <c r="AF143" i="2"/>
  <c r="O171" i="3"/>
  <c r="E141" i="11"/>
  <c r="BA143" i="2"/>
  <c r="BH142" i="2" l="1"/>
  <c r="BI142" i="2" s="1"/>
  <c r="AX143" i="11"/>
  <c r="AM142" i="2"/>
  <c r="AT142" i="2" s="1"/>
  <c r="AV142" i="2" s="1"/>
  <c r="E142" i="11" s="1"/>
  <c r="AZ143" i="11"/>
  <c r="K171" i="3"/>
  <c r="L171" i="3" s="1"/>
  <c r="AE143" i="2" s="1"/>
  <c r="AL143" i="2" s="1"/>
  <c r="J171" i="3"/>
  <c r="C172" i="3" s="1"/>
  <c r="E172" i="3" s="1"/>
  <c r="I171" i="3"/>
  <c r="AP143" i="2"/>
  <c r="AW143" i="11"/>
  <c r="F172" i="3"/>
  <c r="G172" i="3"/>
  <c r="O144" i="11" s="1"/>
  <c r="P143" i="11"/>
  <c r="H172" i="3" l="1"/>
  <c r="J172" i="3" s="1"/>
  <c r="M171" i="3"/>
  <c r="V144" i="2" s="1"/>
  <c r="AK144" i="2" s="1"/>
  <c r="AW142" i="2"/>
  <c r="F142" i="11" s="1"/>
  <c r="L142" i="11" s="1"/>
  <c r="D142" i="11"/>
  <c r="BA144" i="2"/>
  <c r="AZ143" i="2"/>
  <c r="BB143" i="2" s="1"/>
  <c r="AM143" i="2"/>
  <c r="O172" i="3"/>
  <c r="AX144" i="11"/>
  <c r="AF144" i="2"/>
  <c r="BD143" i="2"/>
  <c r="BF143" i="2" s="1"/>
  <c r="BG143" i="2" s="1"/>
  <c r="AR143" i="2"/>
  <c r="AS143" i="2" s="1"/>
  <c r="AX142" i="2" l="1"/>
  <c r="G142" i="11" s="1"/>
  <c r="M142" i="11" s="1"/>
  <c r="I172" i="3"/>
  <c r="AZ144" i="11"/>
  <c r="K172" i="3"/>
  <c r="L172" i="3" s="1"/>
  <c r="AE144" i="2" s="1"/>
  <c r="AL144" i="2" s="1"/>
  <c r="BH143" i="2"/>
  <c r="BI143" i="2" s="1"/>
  <c r="AT143" i="2"/>
  <c r="F173" i="3"/>
  <c r="P144" i="11"/>
  <c r="G173" i="3"/>
  <c r="O145" i="11" s="1"/>
  <c r="C173" i="3"/>
  <c r="E173" i="3" s="1"/>
  <c r="H173" i="3" s="1"/>
  <c r="AP144" i="2"/>
  <c r="AW144" i="11"/>
  <c r="M172" i="3" l="1"/>
  <c r="V145" i="2" s="1"/>
  <c r="AK145" i="2" s="1"/>
  <c r="BA145" i="2" s="1"/>
  <c r="AZ145" i="11"/>
  <c r="I173" i="3"/>
  <c r="K173" i="3"/>
  <c r="J173" i="3"/>
  <c r="AZ144" i="2"/>
  <c r="BB144" i="2" s="1"/>
  <c r="AM144" i="2"/>
  <c r="O173" i="3"/>
  <c r="AX145" i="11"/>
  <c r="AF145" i="2"/>
  <c r="D143" i="11"/>
  <c r="AW143" i="2"/>
  <c r="AV143" i="2"/>
  <c r="BD144" i="2"/>
  <c r="BF144" i="2" s="1"/>
  <c r="BG144" i="2" s="1"/>
  <c r="AR144" i="2"/>
  <c r="AS144" i="2" s="1"/>
  <c r="BH144" i="2" l="1"/>
  <c r="BI144" i="2" s="1"/>
  <c r="AT144" i="2"/>
  <c r="AV144" i="2" s="1"/>
  <c r="M173" i="3"/>
  <c r="V146" i="2" s="1"/>
  <c r="AK146" i="2" s="1"/>
  <c r="L173" i="3"/>
  <c r="AE145" i="2" s="1"/>
  <c r="AL145" i="2" s="1"/>
  <c r="E143" i="11"/>
  <c r="AP145" i="2"/>
  <c r="AW145" i="11"/>
  <c r="F174" i="3"/>
  <c r="G174" i="3"/>
  <c r="O146" i="11" s="1"/>
  <c r="P145" i="11"/>
  <c r="C174" i="3"/>
  <c r="E174" i="3" s="1"/>
  <c r="H174" i="3" s="1"/>
  <c r="AX143" i="2"/>
  <c r="G143" i="11" s="1"/>
  <c r="M143" i="11" s="1"/>
  <c r="F143" i="11"/>
  <c r="L143" i="11" s="1"/>
  <c r="AZ146" i="11" l="1"/>
  <c r="K174" i="3"/>
  <c r="I174" i="3"/>
  <c r="J174" i="3"/>
  <c r="AZ145" i="2"/>
  <c r="BB145" i="2" s="1"/>
  <c r="AM145" i="2"/>
  <c r="BA146" i="2"/>
  <c r="E144" i="11"/>
  <c r="D144" i="11"/>
  <c r="AW144" i="2"/>
  <c r="AF146" i="2"/>
  <c r="O174" i="3"/>
  <c r="AX146" i="11"/>
  <c r="AR145" i="2"/>
  <c r="AS145" i="2" s="1"/>
  <c r="BD145" i="2"/>
  <c r="BF145" i="2" s="1"/>
  <c r="BG145" i="2" s="1"/>
  <c r="AP146" i="2" l="1"/>
  <c r="AW146" i="11"/>
  <c r="AT145" i="2"/>
  <c r="BH145" i="2"/>
  <c r="BI145" i="2" s="1"/>
  <c r="L174" i="3"/>
  <c r="AE146" i="2" s="1"/>
  <c r="AL146" i="2" s="1"/>
  <c r="M174" i="3"/>
  <c r="V147" i="2" s="1"/>
  <c r="AK147" i="2" s="1"/>
  <c r="AX144" i="2"/>
  <c r="G144" i="11" s="1"/>
  <c r="M144" i="11" s="1"/>
  <c r="F144" i="11"/>
  <c r="L144" i="11" s="1"/>
  <c r="P146" i="11"/>
  <c r="C175" i="3"/>
  <c r="E175" i="3" s="1"/>
  <c r="F175" i="3"/>
  <c r="G175" i="3"/>
  <c r="O147" i="11" s="1"/>
  <c r="H175" i="3" l="1"/>
  <c r="AZ147" i="11"/>
  <c r="K175" i="3"/>
  <c r="I175" i="3"/>
  <c r="J175" i="3"/>
  <c r="O175" i="3"/>
  <c r="AX147" i="11"/>
  <c r="AF147" i="2"/>
  <c r="AZ146" i="2"/>
  <c r="BB146" i="2" s="1"/>
  <c r="AM146" i="2"/>
  <c r="BA147" i="2"/>
  <c r="AW145" i="2"/>
  <c r="D145" i="11"/>
  <c r="AV145" i="2"/>
  <c r="AR146" i="2"/>
  <c r="AS146" i="2" s="1"/>
  <c r="BD146" i="2"/>
  <c r="BF146" i="2" s="1"/>
  <c r="BG146" i="2" s="1"/>
  <c r="F145" i="11" l="1"/>
  <c r="L145" i="11" s="1"/>
  <c r="AX145" i="2"/>
  <c r="G145" i="11" s="1"/>
  <c r="M145" i="11" s="1"/>
  <c r="BH146" i="2"/>
  <c r="BI146" i="2" s="1"/>
  <c r="P147" i="11"/>
  <c r="F176" i="3"/>
  <c r="G176" i="3" s="1"/>
  <c r="O148" i="11" s="1"/>
  <c r="C176" i="3"/>
  <c r="E176" i="3" s="1"/>
  <c r="AW147" i="11"/>
  <c r="AP147" i="2"/>
  <c r="E145" i="11"/>
  <c r="AT146" i="2"/>
  <c r="AV146" i="2" s="1"/>
  <c r="M175" i="3"/>
  <c r="V148" i="2" s="1"/>
  <c r="AK148" i="2" s="1"/>
  <c r="L175" i="3"/>
  <c r="AE147" i="2" s="1"/>
  <c r="AL147" i="2" s="1"/>
  <c r="H176" i="3" l="1"/>
  <c r="K176" i="3" s="1"/>
  <c r="E146" i="11"/>
  <c r="AZ148" i="11"/>
  <c r="CI148" i="11" s="1"/>
  <c r="S75" i="20" s="1"/>
  <c r="S77" i="20" s="1"/>
  <c r="S78" i="20" s="1"/>
  <c r="I176" i="3"/>
  <c r="J176" i="3"/>
  <c r="BA148" i="2"/>
  <c r="BD147" i="2"/>
  <c r="BF147" i="2" s="1"/>
  <c r="BG147" i="2" s="1"/>
  <c r="AR147" i="2"/>
  <c r="AS147" i="2" s="1"/>
  <c r="D146" i="11"/>
  <c r="AW146" i="2"/>
  <c r="AZ147" i="2"/>
  <c r="BB147" i="2" s="1"/>
  <c r="BH147" i="2" s="1"/>
  <c r="BI147" i="2" s="1"/>
  <c r="AM147" i="2"/>
  <c r="O176" i="3"/>
  <c r="AX148" i="11"/>
  <c r="CG148" i="11" s="1"/>
  <c r="S55" i="20" s="1"/>
  <c r="S57" i="20" s="1"/>
  <c r="AF148" i="2"/>
  <c r="AT147" i="2" l="1"/>
  <c r="AW147" i="2" s="1"/>
  <c r="M176" i="3"/>
  <c r="V149" i="2" s="1"/>
  <c r="AK149" i="2" s="1"/>
  <c r="L176" i="3"/>
  <c r="AE148" i="2" s="1"/>
  <c r="AL148" i="2" s="1"/>
  <c r="AX146" i="2"/>
  <c r="G146" i="11" s="1"/>
  <c r="M146" i="11" s="1"/>
  <c r="F146" i="11"/>
  <c r="L146" i="11" s="1"/>
  <c r="F177" i="3"/>
  <c r="G177" i="3"/>
  <c r="O149" i="11" s="1"/>
  <c r="C177" i="3"/>
  <c r="E177" i="3" s="1"/>
  <c r="H177" i="3" s="1"/>
  <c r="P148" i="11"/>
  <c r="D147" i="11"/>
  <c r="AP148" i="2"/>
  <c r="AW148" i="11"/>
  <c r="CF148" i="11" s="1"/>
  <c r="S51" i="20" s="1"/>
  <c r="S52" i="20" s="1"/>
  <c r="S53" i="20" s="1"/>
  <c r="AV147" i="2"/>
  <c r="O146" i="19" l="1"/>
  <c r="AZ149" i="11"/>
  <c r="K177" i="3"/>
  <c r="J177" i="3"/>
  <c r="I177" i="3"/>
  <c r="E147" i="11"/>
  <c r="AR148" i="2"/>
  <c r="AS148" i="2" s="1"/>
  <c r="BD148" i="2"/>
  <c r="BF148" i="2" s="1"/>
  <c r="BG148" i="2" s="1"/>
  <c r="AX147" i="2"/>
  <c r="G147" i="11" s="1"/>
  <c r="M147" i="11" s="1"/>
  <c r="F147" i="11"/>
  <c r="L147" i="11" s="1"/>
  <c r="AZ148" i="2"/>
  <c r="BB148" i="2" s="1"/>
  <c r="AM148" i="2"/>
  <c r="AT148" i="2" s="1"/>
  <c r="S58" i="20"/>
  <c r="S59" i="20" s="1"/>
  <c r="S68" i="20"/>
  <c r="S69" i="20" s="1"/>
  <c r="S79" i="20" s="1"/>
  <c r="AX149" i="11"/>
  <c r="O177" i="3"/>
  <c r="AF149" i="2"/>
  <c r="BA149" i="2"/>
  <c r="BH148" i="2" l="1"/>
  <c r="BI148" i="2" s="1"/>
  <c r="S62" i="20"/>
  <c r="S60" i="20"/>
  <c r="AW149" i="11"/>
  <c r="AP149" i="2"/>
  <c r="D148" i="11"/>
  <c r="AW148" i="2"/>
  <c r="S81" i="20"/>
  <c r="S82" i="20" s="1"/>
  <c r="S83" i="20" s="1"/>
  <c r="S80" i="20"/>
  <c r="AV148" i="2"/>
  <c r="C178" i="3"/>
  <c r="E178" i="3" s="1"/>
  <c r="H178" i="3" s="1"/>
  <c r="P149" i="11"/>
  <c r="F178" i="3"/>
  <c r="G178" i="3" s="1"/>
  <c r="O150" i="11" s="1"/>
  <c r="L177" i="3"/>
  <c r="AE149" i="2" s="1"/>
  <c r="AL149" i="2" s="1"/>
  <c r="M177" i="3"/>
  <c r="V150" i="2" s="1"/>
  <c r="AK150" i="2" s="1"/>
  <c r="AZ150" i="11" l="1"/>
  <c r="J178" i="3"/>
  <c r="K178" i="3"/>
  <c r="I178" i="3"/>
  <c r="BA150" i="2"/>
  <c r="E148" i="11"/>
  <c r="AR149" i="2"/>
  <c r="AS149" i="2" s="1"/>
  <c r="BD149" i="2"/>
  <c r="BF149" i="2" s="1"/>
  <c r="BG149" i="2" s="1"/>
  <c r="S61" i="20"/>
  <c r="AZ149" i="2"/>
  <c r="BB149" i="2" s="1"/>
  <c r="AM149" i="2"/>
  <c r="AT149" i="2" s="1"/>
  <c r="AF150" i="2"/>
  <c r="O178" i="3"/>
  <c r="AX150" i="11"/>
  <c r="F148" i="11"/>
  <c r="L148" i="11" s="1"/>
  <c r="AX148" i="2"/>
  <c r="G148" i="11" s="1"/>
  <c r="M148" i="11" s="1"/>
  <c r="BH149" i="2" l="1"/>
  <c r="BI149" i="2" s="1"/>
  <c r="D149" i="11"/>
  <c r="AW149" i="2"/>
  <c r="AV149" i="2"/>
  <c r="C179" i="3"/>
  <c r="E179" i="3" s="1"/>
  <c r="P150" i="11"/>
  <c r="F179" i="3"/>
  <c r="G179" i="3" s="1"/>
  <c r="O151" i="11" s="1"/>
  <c r="AP150" i="2"/>
  <c r="AW150" i="11"/>
  <c r="M178" i="3"/>
  <c r="V151" i="2" s="1"/>
  <c r="AK151" i="2" s="1"/>
  <c r="L178" i="3"/>
  <c r="AE150" i="2" s="1"/>
  <c r="AL150" i="2" s="1"/>
  <c r="H179" i="3" l="1"/>
  <c r="J179" i="3" s="1"/>
  <c r="AZ151" i="11"/>
  <c r="BA151" i="2"/>
  <c r="AZ150" i="2"/>
  <c r="BB150" i="2" s="1"/>
  <c r="AM150" i="2"/>
  <c r="AR150" i="2"/>
  <c r="AS150" i="2" s="1"/>
  <c r="BD150" i="2"/>
  <c r="BF150" i="2" s="1"/>
  <c r="BG150" i="2" s="1"/>
  <c r="F149" i="11"/>
  <c r="L149" i="11" s="1"/>
  <c r="AX149" i="2"/>
  <c r="G149" i="11" s="1"/>
  <c r="M149" i="11" s="1"/>
  <c r="O179" i="3"/>
  <c r="AX151" i="11"/>
  <c r="AF151" i="2"/>
  <c r="I179" i="3"/>
  <c r="E149" i="11"/>
  <c r="K179" i="3" l="1"/>
  <c r="L179" i="3" s="1"/>
  <c r="AE151" i="2" s="1"/>
  <c r="AL151" i="2" s="1"/>
  <c r="P151" i="11"/>
  <c r="C180" i="3"/>
  <c r="E180" i="3" s="1"/>
  <c r="F180" i="3"/>
  <c r="G180" i="3" s="1"/>
  <c r="O152" i="11" s="1"/>
  <c r="BH150" i="2"/>
  <c r="BI150" i="2" s="1"/>
  <c r="AW151" i="11"/>
  <c r="AP151" i="2"/>
  <c r="AT150" i="2"/>
  <c r="M179" i="3" l="1"/>
  <c r="V152" i="2" s="1"/>
  <c r="AK152" i="2" s="1"/>
  <c r="BA152" i="2" s="1"/>
  <c r="H180" i="3"/>
  <c r="K180" i="3" s="1"/>
  <c r="M180" i="3" s="1"/>
  <c r="V153" i="2" s="1"/>
  <c r="AK153" i="2" s="1"/>
  <c r="AZ151" i="2"/>
  <c r="BB151" i="2" s="1"/>
  <c r="AM151" i="2"/>
  <c r="BD151" i="2"/>
  <c r="BF151" i="2" s="1"/>
  <c r="BG151" i="2" s="1"/>
  <c r="AR151" i="2"/>
  <c r="AS151" i="2" s="1"/>
  <c r="D150" i="11"/>
  <c r="AW150" i="2"/>
  <c r="AV150" i="2"/>
  <c r="AF152" i="2"/>
  <c r="O180" i="3"/>
  <c r="AX152" i="11"/>
  <c r="I180" i="3"/>
  <c r="J180" i="3" l="1"/>
  <c r="AZ152" i="11"/>
  <c r="L180" i="3"/>
  <c r="AE152" i="2" s="1"/>
  <c r="F150" i="11"/>
  <c r="L150" i="11" s="1"/>
  <c r="AX150" i="2"/>
  <c r="G150" i="11" s="1"/>
  <c r="M150" i="11" s="1"/>
  <c r="AL152" i="2"/>
  <c r="E150" i="11"/>
  <c r="BH151" i="2"/>
  <c r="BI151" i="2" s="1"/>
  <c r="F181" i="3"/>
  <c r="C181" i="3"/>
  <c r="E181" i="3" s="1"/>
  <c r="G181" i="3"/>
  <c r="O153" i="11" s="1"/>
  <c r="P152" i="11"/>
  <c r="AW152" i="11"/>
  <c r="AP152" i="2"/>
  <c r="AT151" i="2"/>
  <c r="AV151" i="2" s="1"/>
  <c r="BA153" i="2"/>
  <c r="H181" i="3" l="1"/>
  <c r="AZ153" i="11" s="1"/>
  <c r="E151" i="11"/>
  <c r="O181" i="3"/>
  <c r="AF153" i="2"/>
  <c r="AX153" i="11"/>
  <c r="BD152" i="2"/>
  <c r="BF152" i="2" s="1"/>
  <c r="BG152" i="2" s="1"/>
  <c r="AR152" i="2"/>
  <c r="AS152" i="2" s="1"/>
  <c r="J181" i="3"/>
  <c r="D151" i="11"/>
  <c r="AW151" i="2"/>
  <c r="I181" i="3"/>
  <c r="AZ152" i="2"/>
  <c r="BB152" i="2" s="1"/>
  <c r="AM152" i="2"/>
  <c r="K181" i="3" l="1"/>
  <c r="BH152" i="2"/>
  <c r="BI152" i="2" s="1"/>
  <c r="AT152" i="2"/>
  <c r="D152" i="11" s="1"/>
  <c r="F182" i="3"/>
  <c r="G182" i="3" s="1"/>
  <c r="O154" i="11" s="1"/>
  <c r="P153" i="11"/>
  <c r="C182" i="3"/>
  <c r="E182" i="3" s="1"/>
  <c r="AX151" i="2"/>
  <c r="G151" i="11" s="1"/>
  <c r="M151" i="11" s="1"/>
  <c r="F151" i="11"/>
  <c r="L151" i="11" s="1"/>
  <c r="M181" i="3"/>
  <c r="V154" i="2" s="1"/>
  <c r="AK154" i="2" s="1"/>
  <c r="L181" i="3"/>
  <c r="AE153" i="2" s="1"/>
  <c r="AL153" i="2" s="1"/>
  <c r="AW153" i="11"/>
  <c r="AP153" i="2"/>
  <c r="AW152" i="2" l="1"/>
  <c r="H182" i="3"/>
  <c r="AV152" i="2"/>
  <c r="E152" i="11" s="1"/>
  <c r="AZ154" i="11"/>
  <c r="K182" i="3"/>
  <c r="I182" i="3"/>
  <c r="J182" i="3"/>
  <c r="AZ153" i="2"/>
  <c r="BB153" i="2" s="1"/>
  <c r="AM153" i="2"/>
  <c r="BD153" i="2"/>
  <c r="BF153" i="2" s="1"/>
  <c r="BG153" i="2" s="1"/>
  <c r="AR153" i="2"/>
  <c r="AS153" i="2" s="1"/>
  <c r="BA154" i="2"/>
  <c r="AX152" i="2"/>
  <c r="G152" i="11" s="1"/>
  <c r="M152" i="11" s="1"/>
  <c r="F152" i="11"/>
  <c r="L152" i="11" s="1"/>
  <c r="O182" i="3"/>
  <c r="AX154" i="11"/>
  <c r="AF154" i="2"/>
  <c r="AT153" i="2" l="1"/>
  <c r="AP154" i="2"/>
  <c r="AW154" i="11"/>
  <c r="F183" i="3"/>
  <c r="G183" i="3"/>
  <c r="O155" i="11" s="1"/>
  <c r="C183" i="3"/>
  <c r="E183" i="3" s="1"/>
  <c r="H183" i="3" s="1"/>
  <c r="P154" i="11"/>
  <c r="BH153" i="2"/>
  <c r="BI153" i="2" s="1"/>
  <c r="L182" i="3"/>
  <c r="AE154" i="2" s="1"/>
  <c r="AL154" i="2" s="1"/>
  <c r="M182" i="3"/>
  <c r="V155" i="2" s="1"/>
  <c r="AK155" i="2" s="1"/>
  <c r="AZ155" i="11" l="1"/>
  <c r="K183" i="3"/>
  <c r="J183" i="3"/>
  <c r="I183" i="3"/>
  <c r="BA155" i="2"/>
  <c r="AZ154" i="2"/>
  <c r="BB154" i="2" s="1"/>
  <c r="AM154" i="2"/>
  <c r="AF155" i="2"/>
  <c r="O183" i="3"/>
  <c r="AX155" i="11"/>
  <c r="AR154" i="2"/>
  <c r="AS154" i="2" s="1"/>
  <c r="BD154" i="2"/>
  <c r="BF154" i="2" s="1"/>
  <c r="BG154" i="2" s="1"/>
  <c r="D153" i="11"/>
  <c r="AW153" i="2"/>
  <c r="AV153" i="2"/>
  <c r="BH154" i="2" l="1"/>
  <c r="BI154" i="2" s="1"/>
  <c r="F153" i="11"/>
  <c r="L153" i="11" s="1"/>
  <c r="AX153" i="2"/>
  <c r="G153" i="11" s="1"/>
  <c r="M153" i="11" s="1"/>
  <c r="AW155" i="11"/>
  <c r="AP155" i="2"/>
  <c r="M183" i="3"/>
  <c r="V156" i="2" s="1"/>
  <c r="AK156" i="2" s="1"/>
  <c r="L183" i="3"/>
  <c r="AE155" i="2" s="1"/>
  <c r="AL155" i="2" s="1"/>
  <c r="E153" i="11"/>
  <c r="AT154" i="2"/>
  <c r="AV154" i="2" s="1"/>
  <c r="C184" i="3"/>
  <c r="E184" i="3" s="1"/>
  <c r="F184" i="3"/>
  <c r="G184" i="3" s="1"/>
  <c r="O156" i="11" s="1"/>
  <c r="P155" i="11"/>
  <c r="H184" i="3" l="1"/>
  <c r="K184" i="3" s="1"/>
  <c r="E154" i="11"/>
  <c r="AZ156" i="11"/>
  <c r="J184" i="3"/>
  <c r="I184" i="3"/>
  <c r="AZ155" i="2"/>
  <c r="BB155" i="2" s="1"/>
  <c r="AM155" i="2"/>
  <c r="BA156" i="2"/>
  <c r="AR155" i="2"/>
  <c r="AS155" i="2" s="1"/>
  <c r="BD155" i="2"/>
  <c r="BF155" i="2" s="1"/>
  <c r="BG155" i="2" s="1"/>
  <c r="AX156" i="11"/>
  <c r="AF156" i="2"/>
  <c r="O184" i="3"/>
  <c r="D154" i="11"/>
  <c r="AW154" i="2"/>
  <c r="AW156" i="11" l="1"/>
  <c r="AP156" i="2"/>
  <c r="AT155" i="2"/>
  <c r="AX154" i="2"/>
  <c r="G154" i="11" s="1"/>
  <c r="M154" i="11" s="1"/>
  <c r="F154" i="11"/>
  <c r="L154" i="11" s="1"/>
  <c r="BH155" i="2"/>
  <c r="BI155" i="2" s="1"/>
  <c r="F185" i="3"/>
  <c r="G185" i="3"/>
  <c r="O157" i="11" s="1"/>
  <c r="P156" i="11"/>
  <c r="C185" i="3"/>
  <c r="E185" i="3" s="1"/>
  <c r="H185" i="3" s="1"/>
  <c r="M184" i="3"/>
  <c r="V157" i="2" s="1"/>
  <c r="AK157" i="2" s="1"/>
  <c r="L184" i="3"/>
  <c r="AE156" i="2" s="1"/>
  <c r="AL156" i="2" s="1"/>
  <c r="AZ157" i="11" l="1"/>
  <c r="J185" i="3"/>
  <c r="K185" i="3"/>
  <c r="I185" i="3"/>
  <c r="AZ156" i="2"/>
  <c r="BB156" i="2" s="1"/>
  <c r="AM156" i="2"/>
  <c r="AF157" i="2"/>
  <c r="AX157" i="11"/>
  <c r="O185" i="3"/>
  <c r="AW155" i="2"/>
  <c r="D155" i="11"/>
  <c r="AV155" i="2"/>
  <c r="AR156" i="2"/>
  <c r="AS156" i="2" s="1"/>
  <c r="BD156" i="2"/>
  <c r="BF156" i="2" s="1"/>
  <c r="BG156" i="2" s="1"/>
  <c r="BA157" i="2"/>
  <c r="E155" i="11" l="1"/>
  <c r="AT156" i="2"/>
  <c r="AV156" i="2" s="1"/>
  <c r="AW157" i="11"/>
  <c r="AP157" i="2"/>
  <c r="F186" i="3"/>
  <c r="G186" i="3" s="1"/>
  <c r="O158" i="11" s="1"/>
  <c r="P157" i="11"/>
  <c r="C186" i="3"/>
  <c r="E186" i="3" s="1"/>
  <c r="AX155" i="2"/>
  <c r="G155" i="11" s="1"/>
  <c r="M155" i="11" s="1"/>
  <c r="F155" i="11"/>
  <c r="L155" i="11" s="1"/>
  <c r="BH156" i="2"/>
  <c r="BI156" i="2" s="1"/>
  <c r="M185" i="3"/>
  <c r="V158" i="2" s="1"/>
  <c r="AK158" i="2" s="1"/>
  <c r="L185" i="3"/>
  <c r="AE157" i="2" s="1"/>
  <c r="AL157" i="2" s="1"/>
  <c r="H186" i="3" l="1"/>
  <c r="AZ158" i="11"/>
  <c r="J186" i="3"/>
  <c r="K186" i="3"/>
  <c r="I186" i="3"/>
  <c r="E156" i="11"/>
  <c r="AX158" i="11"/>
  <c r="AF158" i="2"/>
  <c r="O186" i="3"/>
  <c r="AZ157" i="2"/>
  <c r="BB157" i="2" s="1"/>
  <c r="AM157" i="2"/>
  <c r="AR157" i="2"/>
  <c r="AS157" i="2" s="1"/>
  <c r="BD157" i="2"/>
  <c r="BF157" i="2" s="1"/>
  <c r="BG157" i="2" s="1"/>
  <c r="BA158" i="2"/>
  <c r="AW156" i="2"/>
  <c r="D156" i="11"/>
  <c r="AX156" i="2" l="1"/>
  <c r="G156" i="11" s="1"/>
  <c r="M156" i="11" s="1"/>
  <c r="F156" i="11"/>
  <c r="L156" i="11" s="1"/>
  <c r="AT157" i="2"/>
  <c r="AP158" i="2"/>
  <c r="AW158" i="11"/>
  <c r="M186" i="3"/>
  <c r="V159" i="2" s="1"/>
  <c r="AK159" i="2" s="1"/>
  <c r="L186" i="3"/>
  <c r="AE158" i="2" s="1"/>
  <c r="AL158" i="2" s="1"/>
  <c r="BH157" i="2"/>
  <c r="BI157" i="2" s="1"/>
  <c r="C187" i="3"/>
  <c r="E187" i="3" s="1"/>
  <c r="P158" i="11"/>
  <c r="F187" i="3"/>
  <c r="G187" i="3" s="1"/>
  <c r="O159" i="11" s="1"/>
  <c r="H187" i="3" l="1"/>
  <c r="AZ159" i="11" s="1"/>
  <c r="J187" i="3"/>
  <c r="I187" i="3"/>
  <c r="K187" i="3"/>
  <c r="AF159" i="2"/>
  <c r="O187" i="3"/>
  <c r="AX159" i="11"/>
  <c r="AW157" i="2"/>
  <c r="D157" i="11"/>
  <c r="AV157" i="2"/>
  <c r="AZ158" i="2"/>
  <c r="BB158" i="2" s="1"/>
  <c r="AM158" i="2"/>
  <c r="BA159" i="2"/>
  <c r="AR158" i="2"/>
  <c r="AS158" i="2" s="1"/>
  <c r="BD158" i="2"/>
  <c r="BF158" i="2" s="1"/>
  <c r="BG158" i="2" s="1"/>
  <c r="BH158" i="2" l="1"/>
  <c r="BI158" i="2" s="1"/>
  <c r="AX157" i="2"/>
  <c r="G157" i="11" s="1"/>
  <c r="M157" i="11" s="1"/>
  <c r="F157" i="11"/>
  <c r="L157" i="11" s="1"/>
  <c r="AP159" i="2"/>
  <c r="AW159" i="11"/>
  <c r="AT158" i="2"/>
  <c r="E157" i="11"/>
  <c r="M187" i="3"/>
  <c r="V160" i="2" s="1"/>
  <c r="AK160" i="2" s="1"/>
  <c r="L187" i="3"/>
  <c r="AE159" i="2" s="1"/>
  <c r="AL159" i="2" s="1"/>
  <c r="P159" i="11"/>
  <c r="F188" i="3"/>
  <c r="G188" i="3" s="1"/>
  <c r="O160" i="11" s="1"/>
  <c r="C188" i="3"/>
  <c r="E188" i="3" s="1"/>
  <c r="H188" i="3" l="1"/>
  <c r="AZ160" i="11" s="1"/>
  <c r="CI160" i="11" s="1"/>
  <c r="T75" i="20" s="1"/>
  <c r="T77" i="20" s="1"/>
  <c r="T78" i="20" s="1"/>
  <c r="J188" i="3"/>
  <c r="K188" i="3"/>
  <c r="I188" i="3"/>
  <c r="AW158" i="2"/>
  <c r="D158" i="11"/>
  <c r="AF160" i="2"/>
  <c r="O188" i="3"/>
  <c r="AX160" i="11"/>
  <c r="CG160" i="11" s="1"/>
  <c r="T55" i="20" s="1"/>
  <c r="T57" i="20" s="1"/>
  <c r="BA160" i="2"/>
  <c r="AV158" i="2"/>
  <c r="AZ159" i="2"/>
  <c r="BB159" i="2" s="1"/>
  <c r="AM159" i="2"/>
  <c r="AR159" i="2"/>
  <c r="AS159" i="2" s="1"/>
  <c r="BD159" i="2"/>
  <c r="BF159" i="2" s="1"/>
  <c r="BG159" i="2" s="1"/>
  <c r="AT159" i="2" l="1"/>
  <c r="AV159" i="2" s="1"/>
  <c r="D159" i="11"/>
  <c r="AX158" i="2"/>
  <c r="G158" i="11" s="1"/>
  <c r="M158" i="11" s="1"/>
  <c r="F158" i="11"/>
  <c r="L158" i="11" s="1"/>
  <c r="E158" i="11"/>
  <c r="C189" i="3"/>
  <c r="E189" i="3" s="1"/>
  <c r="F189" i="3"/>
  <c r="G189" i="3"/>
  <c r="O161" i="11" s="1"/>
  <c r="P160" i="11"/>
  <c r="AP160" i="2"/>
  <c r="AW160" i="11"/>
  <c r="CF160" i="11" s="1"/>
  <c r="T51" i="20" s="1"/>
  <c r="T52" i="20" s="1"/>
  <c r="T53" i="20" s="1"/>
  <c r="BH159" i="2"/>
  <c r="BI159" i="2" s="1"/>
  <c r="L188" i="3"/>
  <c r="AE160" i="2" s="1"/>
  <c r="O158" i="19" s="1"/>
  <c r="M188" i="3"/>
  <c r="V161" i="2" s="1"/>
  <c r="AK161" i="2" s="1"/>
  <c r="AW159" i="2" l="1"/>
  <c r="AX159" i="2" s="1"/>
  <c r="G159" i="11" s="1"/>
  <c r="M159" i="11" s="1"/>
  <c r="AL160" i="2"/>
  <c r="AZ160" i="2" s="1"/>
  <c r="BB160" i="2" s="1"/>
  <c r="H189" i="3"/>
  <c r="K189" i="3" s="1"/>
  <c r="I189" i="3"/>
  <c r="T58" i="20"/>
  <c r="T59" i="20" s="1"/>
  <c r="T68" i="20"/>
  <c r="T69" i="20" s="1"/>
  <c r="T79" i="20" s="1"/>
  <c r="BA161" i="2"/>
  <c r="AX161" i="11"/>
  <c r="O189" i="3"/>
  <c r="AF161" i="2"/>
  <c r="E159" i="11"/>
  <c r="AR160" i="2"/>
  <c r="AS160" i="2" s="1"/>
  <c r="BD160" i="2"/>
  <c r="BF160" i="2" s="1"/>
  <c r="BG160" i="2" s="1"/>
  <c r="F159" i="11" l="1"/>
  <c r="L159" i="11" s="1"/>
  <c r="AZ161" i="11"/>
  <c r="AM160" i="2"/>
  <c r="J189" i="3"/>
  <c r="C190" i="3" s="1"/>
  <c r="E190" i="3" s="1"/>
  <c r="AW161" i="11"/>
  <c r="AP161" i="2"/>
  <c r="BH160" i="2"/>
  <c r="BI160" i="2" s="1"/>
  <c r="AT160" i="2"/>
  <c r="L189" i="3"/>
  <c r="AE161" i="2" s="1"/>
  <c r="AL161" i="2" s="1"/>
  <c r="M189" i="3"/>
  <c r="V162" i="2" s="1"/>
  <c r="AK162" i="2" s="1"/>
  <c r="T81" i="20"/>
  <c r="T82" i="20" s="1"/>
  <c r="T83" i="20" s="1"/>
  <c r="T80" i="20"/>
  <c r="F190" i="3"/>
  <c r="T60" i="20"/>
  <c r="T62" i="20"/>
  <c r="H190" i="3" l="1"/>
  <c r="G190" i="3"/>
  <c r="O162" i="11" s="1"/>
  <c r="P161" i="11"/>
  <c r="AZ162" i="11"/>
  <c r="K190" i="3"/>
  <c r="J190" i="3"/>
  <c r="I190" i="3"/>
  <c r="AZ161" i="2"/>
  <c r="BB161" i="2" s="1"/>
  <c r="AM161" i="2"/>
  <c r="T61" i="20"/>
  <c r="O190" i="3"/>
  <c r="AX162" i="11"/>
  <c r="AF162" i="2"/>
  <c r="AW160" i="2"/>
  <c r="D160" i="11"/>
  <c r="AV160" i="2"/>
  <c r="AR161" i="2"/>
  <c r="AS161" i="2" s="1"/>
  <c r="BD161" i="2"/>
  <c r="BF161" i="2" s="1"/>
  <c r="BG161" i="2" s="1"/>
  <c r="BA162" i="2"/>
  <c r="F160" i="11" l="1"/>
  <c r="L160" i="11" s="1"/>
  <c r="AX160" i="2"/>
  <c r="G160" i="11" s="1"/>
  <c r="M160" i="11" s="1"/>
  <c r="AT161" i="2"/>
  <c r="AV161" i="2" s="1"/>
  <c r="L190" i="3"/>
  <c r="AE162" i="2" s="1"/>
  <c r="AL162" i="2" s="1"/>
  <c r="M190" i="3"/>
  <c r="V163" i="2" s="1"/>
  <c r="AK163" i="2" s="1"/>
  <c r="E160" i="11"/>
  <c r="AP162" i="2"/>
  <c r="AW162" i="11"/>
  <c r="BH161" i="2"/>
  <c r="BI161" i="2" s="1"/>
  <c r="P162" i="11"/>
  <c r="C191" i="3"/>
  <c r="E191" i="3" s="1"/>
  <c r="F191" i="3"/>
  <c r="H191" i="3" l="1"/>
  <c r="AZ163" i="11" s="1"/>
  <c r="I191" i="3"/>
  <c r="K191" i="3"/>
  <c r="J191" i="3"/>
  <c r="AF163" i="2"/>
  <c r="O191" i="3"/>
  <c r="AX163" i="11"/>
  <c r="AZ162" i="2"/>
  <c r="BB162" i="2" s="1"/>
  <c r="AM162" i="2"/>
  <c r="AW161" i="2"/>
  <c r="D161" i="11"/>
  <c r="AR162" i="2"/>
  <c r="AS162" i="2" s="1"/>
  <c r="BD162" i="2"/>
  <c r="BF162" i="2" s="1"/>
  <c r="BG162" i="2" s="1"/>
  <c r="G191" i="3"/>
  <c r="O163" i="11" s="1"/>
  <c r="E161" i="11"/>
  <c r="BA163" i="2"/>
  <c r="AP163" i="2" l="1"/>
  <c r="AW163" i="11"/>
  <c r="AT162" i="2"/>
  <c r="M191" i="3"/>
  <c r="V164" i="2" s="1"/>
  <c r="AK164" i="2" s="1"/>
  <c r="L191" i="3"/>
  <c r="AE163" i="2" s="1"/>
  <c r="AL163" i="2" s="1"/>
  <c r="BH162" i="2"/>
  <c r="BI162" i="2" s="1"/>
  <c r="C192" i="3"/>
  <c r="E192" i="3" s="1"/>
  <c r="F192" i="3"/>
  <c r="G192" i="3"/>
  <c r="O164" i="11" s="1"/>
  <c r="P163" i="11"/>
  <c r="F161" i="11"/>
  <c r="L161" i="11" s="1"/>
  <c r="AX161" i="2"/>
  <c r="G161" i="11" s="1"/>
  <c r="M161" i="11" s="1"/>
  <c r="H192" i="3" l="1"/>
  <c r="AZ164" i="11" s="1"/>
  <c r="J192" i="3"/>
  <c r="K192" i="3"/>
  <c r="I192" i="3"/>
  <c r="AZ163" i="2"/>
  <c r="BB163" i="2" s="1"/>
  <c r="AM163" i="2"/>
  <c r="O192" i="3"/>
  <c r="AX164" i="11"/>
  <c r="AF164" i="2"/>
  <c r="BA164" i="2"/>
  <c r="D162" i="11"/>
  <c r="AW162" i="2"/>
  <c r="AV162" i="2"/>
  <c r="BD163" i="2"/>
  <c r="BF163" i="2" s="1"/>
  <c r="BG163" i="2" s="1"/>
  <c r="AR163" i="2"/>
  <c r="AS163" i="2" s="1"/>
  <c r="AT163" i="2" l="1"/>
  <c r="AV163" i="2" s="1"/>
  <c r="L192" i="3"/>
  <c r="AE164" i="2" s="1"/>
  <c r="AL164" i="2" s="1"/>
  <c r="M192" i="3"/>
  <c r="V165" i="2" s="1"/>
  <c r="AK165" i="2" s="1"/>
  <c r="AX162" i="2"/>
  <c r="G162" i="11" s="1"/>
  <c r="M162" i="11" s="1"/>
  <c r="F162" i="11"/>
  <c r="L162" i="11" s="1"/>
  <c r="E162" i="11"/>
  <c r="AP164" i="2"/>
  <c r="AW164" i="11"/>
  <c r="BH163" i="2"/>
  <c r="BI163" i="2" s="1"/>
  <c r="P164" i="11"/>
  <c r="F193" i="3"/>
  <c r="G193" i="3" s="1"/>
  <c r="O165" i="11" s="1"/>
  <c r="C193" i="3"/>
  <c r="E193" i="3" s="1"/>
  <c r="H193" i="3" l="1"/>
  <c r="AZ165" i="11" s="1"/>
  <c r="K193" i="3"/>
  <c r="I193" i="3"/>
  <c r="J193" i="3"/>
  <c r="AF165" i="2"/>
  <c r="O193" i="3"/>
  <c r="AX165" i="11"/>
  <c r="BD164" i="2"/>
  <c r="BF164" i="2" s="1"/>
  <c r="BG164" i="2" s="1"/>
  <c r="AR164" i="2"/>
  <c r="AS164" i="2" s="1"/>
  <c r="E163" i="11"/>
  <c r="AZ164" i="2"/>
  <c r="BB164" i="2" s="1"/>
  <c r="AM164" i="2"/>
  <c r="BA165" i="2"/>
  <c r="AW163" i="2"/>
  <c r="D163" i="11"/>
  <c r="BH164" i="2" l="1"/>
  <c r="BI164" i="2" s="1"/>
  <c r="AT164" i="2"/>
  <c r="AV164" i="2" s="1"/>
  <c r="E164" i="11" s="1"/>
  <c r="AP165" i="2"/>
  <c r="AW165" i="11"/>
  <c r="AX163" i="2"/>
  <c r="G163" i="11" s="1"/>
  <c r="M163" i="11" s="1"/>
  <c r="F163" i="11"/>
  <c r="L163" i="11" s="1"/>
  <c r="P165" i="11"/>
  <c r="C194" i="3"/>
  <c r="E194" i="3" s="1"/>
  <c r="F194" i="3"/>
  <c r="G194" i="3" s="1"/>
  <c r="O166" i="11" s="1"/>
  <c r="AW164" i="2"/>
  <c r="D164" i="11"/>
  <c r="M193" i="3"/>
  <c r="V166" i="2" s="1"/>
  <c r="AK166" i="2" s="1"/>
  <c r="L193" i="3"/>
  <c r="AE165" i="2" s="1"/>
  <c r="AL165" i="2" s="1"/>
  <c r="H194" i="3" l="1"/>
  <c r="AZ166" i="11" s="1"/>
  <c r="BA166" i="2"/>
  <c r="AF166" i="2"/>
  <c r="O194" i="3"/>
  <c r="AX166" i="11"/>
  <c r="F164" i="11"/>
  <c r="L164" i="11" s="1"/>
  <c r="AX164" i="2"/>
  <c r="G164" i="11" s="1"/>
  <c r="M164" i="11" s="1"/>
  <c r="AZ165" i="2"/>
  <c r="BB165" i="2" s="1"/>
  <c r="AM165" i="2"/>
  <c r="AR165" i="2"/>
  <c r="AS165" i="2" s="1"/>
  <c r="BD165" i="2"/>
  <c r="BF165" i="2" s="1"/>
  <c r="BG165" i="2" s="1"/>
  <c r="K194" i="3" l="1"/>
  <c r="M194" i="3" s="1"/>
  <c r="V167" i="2" s="1"/>
  <c r="AK167" i="2" s="1"/>
  <c r="I194" i="3"/>
  <c r="J194" i="3"/>
  <c r="C195" i="3" s="1"/>
  <c r="E195" i="3" s="1"/>
  <c r="AT165" i="2"/>
  <c r="BH165" i="2"/>
  <c r="BI165" i="2" s="1"/>
  <c r="AP166" i="2"/>
  <c r="AW166" i="11"/>
  <c r="F195" i="3" l="1"/>
  <c r="G195" i="3"/>
  <c r="O167" i="11" s="1"/>
  <c r="P166" i="11"/>
  <c r="L194" i="3"/>
  <c r="AE166" i="2" s="1"/>
  <c r="AL166" i="2" s="1"/>
  <c r="AZ166" i="2" s="1"/>
  <c r="BB166" i="2" s="1"/>
  <c r="H195" i="3"/>
  <c r="AZ167" i="11"/>
  <c r="J195" i="3"/>
  <c r="K195" i="3"/>
  <c r="I195" i="3"/>
  <c r="BA167" i="2"/>
  <c r="O195" i="3"/>
  <c r="AX167" i="11"/>
  <c r="AF167" i="2"/>
  <c r="BD166" i="2"/>
  <c r="BF166" i="2" s="1"/>
  <c r="BG166" i="2" s="1"/>
  <c r="AR166" i="2"/>
  <c r="AS166" i="2" s="1"/>
  <c r="D165" i="11"/>
  <c r="AW165" i="2"/>
  <c r="AV165" i="2"/>
  <c r="AM166" i="2" l="1"/>
  <c r="AT166" i="2" s="1"/>
  <c r="AV166" i="2" s="1"/>
  <c r="E165" i="11"/>
  <c r="F196" i="3"/>
  <c r="G196" i="3" s="1"/>
  <c r="O168" i="11" s="1"/>
  <c r="P167" i="11"/>
  <c r="C196" i="3"/>
  <c r="E196" i="3" s="1"/>
  <c r="AP167" i="2"/>
  <c r="AW167" i="11"/>
  <c r="AX165" i="2"/>
  <c r="G165" i="11" s="1"/>
  <c r="M165" i="11" s="1"/>
  <c r="F165" i="11"/>
  <c r="L165" i="11" s="1"/>
  <c r="BH166" i="2"/>
  <c r="BI166" i="2" s="1"/>
  <c r="M195" i="3"/>
  <c r="V168" i="2" s="1"/>
  <c r="AK168" i="2" s="1"/>
  <c r="L195" i="3"/>
  <c r="AE167" i="2" s="1"/>
  <c r="AL167" i="2" s="1"/>
  <c r="H196" i="3" l="1"/>
  <c r="AZ168" i="11"/>
  <c r="I196" i="3"/>
  <c r="J196" i="3"/>
  <c r="K196" i="3"/>
  <c r="AF168" i="2"/>
  <c r="O196" i="3"/>
  <c r="AX168" i="11"/>
  <c r="AZ167" i="2"/>
  <c r="BB167" i="2" s="1"/>
  <c r="AM167" i="2"/>
  <c r="AR167" i="2"/>
  <c r="AS167" i="2" s="1"/>
  <c r="BD167" i="2"/>
  <c r="BF167" i="2" s="1"/>
  <c r="BG167" i="2" s="1"/>
  <c r="E166" i="11"/>
  <c r="BA168" i="2"/>
  <c r="D166" i="11"/>
  <c r="AW166" i="2"/>
  <c r="F166" i="11" l="1"/>
  <c r="L166" i="11" s="1"/>
  <c r="AX166" i="2"/>
  <c r="G166" i="11" s="1"/>
  <c r="M166" i="11" s="1"/>
  <c r="BH167" i="2"/>
  <c r="BI167" i="2" s="1"/>
  <c r="M196" i="3"/>
  <c r="V169" i="2" s="1"/>
  <c r="AK169" i="2" s="1"/>
  <c r="L196" i="3"/>
  <c r="AE168" i="2" s="1"/>
  <c r="AL168" i="2" s="1"/>
  <c r="AT167" i="2"/>
  <c r="AW168" i="11"/>
  <c r="AP168" i="2"/>
  <c r="C197" i="3"/>
  <c r="E197" i="3" s="1"/>
  <c r="F197" i="3"/>
  <c r="G197" i="3" s="1"/>
  <c r="O169" i="11" s="1"/>
  <c r="P168" i="11"/>
  <c r="H197" i="3" l="1"/>
  <c r="AZ169" i="11" s="1"/>
  <c r="AZ168" i="2"/>
  <c r="BB168" i="2" s="1"/>
  <c r="AM168" i="2"/>
  <c r="AX169" i="11"/>
  <c r="AF169" i="2"/>
  <c r="O197" i="3"/>
  <c r="BA169" i="2"/>
  <c r="AW167" i="2"/>
  <c r="D167" i="11"/>
  <c r="AV167" i="2"/>
  <c r="AR168" i="2"/>
  <c r="AS168" i="2" s="1"/>
  <c r="BD168" i="2"/>
  <c r="BF168" i="2" s="1"/>
  <c r="BG168" i="2" s="1"/>
  <c r="J197" i="3" l="1"/>
  <c r="K197" i="3"/>
  <c r="M197" i="3" s="1"/>
  <c r="V170" i="2" s="1"/>
  <c r="AK170" i="2" s="1"/>
  <c r="I197" i="3"/>
  <c r="BH168" i="2"/>
  <c r="BI168" i="2" s="1"/>
  <c r="L197" i="3"/>
  <c r="AE169" i="2" s="1"/>
  <c r="AL169" i="2" s="1"/>
  <c r="F167" i="11"/>
  <c r="L167" i="11" s="1"/>
  <c r="AX167" i="2"/>
  <c r="G167" i="11" s="1"/>
  <c r="M167" i="11" s="1"/>
  <c r="AP169" i="2"/>
  <c r="AW169" i="11"/>
  <c r="F198" i="3"/>
  <c r="G198" i="3"/>
  <c r="O170" i="11" s="1"/>
  <c r="P169" i="11"/>
  <c r="C198" i="3"/>
  <c r="E198" i="3" s="1"/>
  <c r="E167" i="11"/>
  <c r="AT168" i="2"/>
  <c r="AV168" i="2" s="1"/>
  <c r="H198" i="3" l="1"/>
  <c r="E168" i="11"/>
  <c r="AZ170" i="11"/>
  <c r="J198" i="3"/>
  <c r="K198" i="3"/>
  <c r="I198" i="3"/>
  <c r="BA170" i="2"/>
  <c r="AF170" i="2"/>
  <c r="O198" i="3"/>
  <c r="AX170" i="11"/>
  <c r="AR169" i="2"/>
  <c r="AS169" i="2" s="1"/>
  <c r="BD169" i="2"/>
  <c r="BF169" i="2" s="1"/>
  <c r="BG169" i="2" s="1"/>
  <c r="AW168" i="2"/>
  <c r="D168" i="11"/>
  <c r="AZ169" i="2"/>
  <c r="BB169" i="2" s="1"/>
  <c r="AM169" i="2"/>
  <c r="AT169" i="2" l="1"/>
  <c r="BH169" i="2"/>
  <c r="BI169" i="2" s="1"/>
  <c r="AW169" i="2"/>
  <c r="D169" i="11"/>
  <c r="AX168" i="2"/>
  <c r="G168" i="11" s="1"/>
  <c r="M168" i="11" s="1"/>
  <c r="F168" i="11"/>
  <c r="L168" i="11" s="1"/>
  <c r="AW170" i="11"/>
  <c r="AP170" i="2"/>
  <c r="M198" i="3"/>
  <c r="V171" i="2" s="1"/>
  <c r="AK171" i="2" s="1"/>
  <c r="L198" i="3"/>
  <c r="AE170" i="2" s="1"/>
  <c r="AL170" i="2" s="1"/>
  <c r="G199" i="3"/>
  <c r="O171" i="11" s="1"/>
  <c r="F199" i="3"/>
  <c r="C199" i="3"/>
  <c r="E199" i="3" s="1"/>
  <c r="P170" i="11"/>
  <c r="AV169" i="2"/>
  <c r="H199" i="3" l="1"/>
  <c r="AZ171" i="11" s="1"/>
  <c r="I199" i="3"/>
  <c r="K199" i="3"/>
  <c r="J199" i="3"/>
  <c r="AZ170" i="2"/>
  <c r="BB170" i="2" s="1"/>
  <c r="AM170" i="2"/>
  <c r="E169" i="11"/>
  <c r="AF171" i="2"/>
  <c r="O199" i="3"/>
  <c r="AX171" i="11"/>
  <c r="BA171" i="2"/>
  <c r="AR170" i="2"/>
  <c r="AS170" i="2" s="1"/>
  <c r="BD170" i="2"/>
  <c r="BF170" i="2" s="1"/>
  <c r="BG170" i="2" s="1"/>
  <c r="AX169" i="2"/>
  <c r="G169" i="11" s="1"/>
  <c r="M169" i="11" s="1"/>
  <c r="F169" i="11"/>
  <c r="L169" i="11" s="1"/>
  <c r="AT170" i="2" l="1"/>
  <c r="BH170" i="2"/>
  <c r="BI170" i="2" s="1"/>
  <c r="M199" i="3"/>
  <c r="V172" i="2" s="1"/>
  <c r="AK172" i="2" s="1"/>
  <c r="L199" i="3"/>
  <c r="AE171" i="2" s="1"/>
  <c r="AL171" i="2" s="1"/>
  <c r="AW171" i="11"/>
  <c r="AP171" i="2"/>
  <c r="C200" i="3"/>
  <c r="E200" i="3" s="1"/>
  <c r="F200" i="3"/>
  <c r="G200" i="3"/>
  <c r="O172" i="11" s="1"/>
  <c r="P171" i="11"/>
  <c r="H200" i="3" l="1"/>
  <c r="K200" i="3" s="1"/>
  <c r="I200" i="3"/>
  <c r="AZ171" i="2"/>
  <c r="BB171" i="2" s="1"/>
  <c r="AM171" i="2"/>
  <c r="AZ172" i="11"/>
  <c r="CI172" i="11" s="1"/>
  <c r="U75" i="20" s="1"/>
  <c r="U77" i="20" s="1"/>
  <c r="U78" i="20" s="1"/>
  <c r="AR171" i="2"/>
  <c r="AS171" i="2" s="1"/>
  <c r="BD171" i="2"/>
  <c r="BF171" i="2" s="1"/>
  <c r="BG171" i="2" s="1"/>
  <c r="J200" i="3"/>
  <c r="O200" i="3"/>
  <c r="AX172" i="11"/>
  <c r="CG172" i="11" s="1"/>
  <c r="U55" i="20" s="1"/>
  <c r="U57" i="20" s="1"/>
  <c r="AF172" i="2"/>
  <c r="BA172" i="2"/>
  <c r="D170" i="11"/>
  <c r="AW170" i="2"/>
  <c r="AV170" i="2"/>
  <c r="L200" i="3" l="1"/>
  <c r="AE172" i="2" s="1"/>
  <c r="O170" i="19" s="1"/>
  <c r="M200" i="3"/>
  <c r="V173" i="2" s="1"/>
  <c r="AK173" i="2" s="1"/>
  <c r="BA173" i="2" s="1"/>
  <c r="E170" i="11"/>
  <c r="AW172" i="11"/>
  <c r="CF172" i="11" s="1"/>
  <c r="U51" i="20" s="1"/>
  <c r="U52" i="20" s="1"/>
  <c r="U53" i="20" s="1"/>
  <c r="AP172" i="2"/>
  <c r="AT171" i="2"/>
  <c r="F201" i="3"/>
  <c r="P172" i="11"/>
  <c r="G201" i="3"/>
  <c r="O173" i="11" s="1"/>
  <c r="C201" i="3"/>
  <c r="E201" i="3" s="1"/>
  <c r="H201" i="3" s="1"/>
  <c r="AL172" i="2"/>
  <c r="AX170" i="2"/>
  <c r="G170" i="11" s="1"/>
  <c r="M170" i="11" s="1"/>
  <c r="F170" i="11"/>
  <c r="L170" i="11" s="1"/>
  <c r="BH171" i="2"/>
  <c r="BI171" i="2" s="1"/>
  <c r="AZ173" i="11" l="1"/>
  <c r="I201" i="3"/>
  <c r="J201" i="3"/>
  <c r="K201" i="3"/>
  <c r="AZ172" i="2"/>
  <c r="BB172" i="2" s="1"/>
  <c r="AM172" i="2"/>
  <c r="AX173" i="11"/>
  <c r="O201" i="3"/>
  <c r="AF173" i="2"/>
  <c r="AW171" i="2"/>
  <c r="D171" i="11"/>
  <c r="AR172" i="2"/>
  <c r="AS172" i="2" s="1"/>
  <c r="BD172" i="2"/>
  <c r="BF172" i="2" s="1"/>
  <c r="BG172" i="2" s="1"/>
  <c r="AV171" i="2"/>
  <c r="U58" i="20"/>
  <c r="U59" i="20" s="1"/>
  <c r="U68" i="20"/>
  <c r="U69" i="20" s="1"/>
  <c r="U79" i="20" s="1"/>
  <c r="U81" i="20" l="1"/>
  <c r="U82" i="20" s="1"/>
  <c r="U83" i="20" s="1"/>
  <c r="U80" i="20"/>
  <c r="E171" i="11"/>
  <c r="F171" i="11"/>
  <c r="L171" i="11" s="1"/>
  <c r="AX171" i="2"/>
  <c r="G171" i="11" s="1"/>
  <c r="M171" i="11" s="1"/>
  <c r="BH172" i="2"/>
  <c r="BI172" i="2" s="1"/>
  <c r="L201" i="3"/>
  <c r="AE173" i="2" s="1"/>
  <c r="AL173" i="2" s="1"/>
  <c r="M201" i="3"/>
  <c r="V174" i="2" s="1"/>
  <c r="AK174" i="2" s="1"/>
  <c r="U62" i="20"/>
  <c r="U60" i="20"/>
  <c r="AW173" i="11"/>
  <c r="AP173" i="2"/>
  <c r="AT172" i="2"/>
  <c r="F202" i="3"/>
  <c r="G202" i="3" s="1"/>
  <c r="O174" i="11" s="1"/>
  <c r="C202" i="3"/>
  <c r="E202" i="3" s="1"/>
  <c r="H202" i="3" s="1"/>
  <c r="P173" i="11"/>
  <c r="AZ174" i="11" l="1"/>
  <c r="J202" i="3"/>
  <c r="I202" i="3"/>
  <c r="K202" i="3"/>
  <c r="AF174" i="2"/>
  <c r="O202" i="3"/>
  <c r="AX174" i="11"/>
  <c r="BA174" i="2"/>
  <c r="AR173" i="2"/>
  <c r="AS173" i="2" s="1"/>
  <c r="BD173" i="2"/>
  <c r="BF173" i="2" s="1"/>
  <c r="BG173" i="2" s="1"/>
  <c r="U61" i="20"/>
  <c r="AZ173" i="2"/>
  <c r="BB173" i="2" s="1"/>
  <c r="AM173" i="2"/>
  <c r="D172" i="11"/>
  <c r="AW172" i="2"/>
  <c r="AV172" i="2"/>
  <c r="AT173" i="2" l="1"/>
  <c r="AW173" i="2" s="1"/>
  <c r="BH173" i="2"/>
  <c r="BI173" i="2" s="1"/>
  <c r="AV173" i="2"/>
  <c r="E172" i="11"/>
  <c r="AW174" i="11"/>
  <c r="AP174" i="2"/>
  <c r="AX172" i="2"/>
  <c r="G172" i="11" s="1"/>
  <c r="M172" i="11" s="1"/>
  <c r="F172" i="11"/>
  <c r="L172" i="11" s="1"/>
  <c r="M202" i="3"/>
  <c r="V175" i="2" s="1"/>
  <c r="AK175" i="2" s="1"/>
  <c r="L202" i="3"/>
  <c r="AE174" i="2" s="1"/>
  <c r="AL174" i="2" s="1"/>
  <c r="C203" i="3"/>
  <c r="E203" i="3" s="1"/>
  <c r="P174" i="11"/>
  <c r="F203" i="3"/>
  <c r="G203" i="3" s="1"/>
  <c r="O175" i="11" s="1"/>
  <c r="D173" i="11" l="1"/>
  <c r="AF175" i="2"/>
  <c r="AX175" i="11"/>
  <c r="O203" i="3"/>
  <c r="AZ174" i="2"/>
  <c r="BB174" i="2" s="1"/>
  <c r="AM174" i="2"/>
  <c r="H203" i="3"/>
  <c r="BA175" i="2"/>
  <c r="AR174" i="2"/>
  <c r="AS174" i="2" s="1"/>
  <c r="BD174" i="2"/>
  <c r="BF174" i="2" s="1"/>
  <c r="BG174" i="2" s="1"/>
  <c r="F173" i="11"/>
  <c r="L173" i="11" s="1"/>
  <c r="AX173" i="2"/>
  <c r="G173" i="11" s="1"/>
  <c r="M173" i="11" s="1"/>
  <c r="E173" i="11"/>
  <c r="AT174" i="2" l="1"/>
  <c r="AZ175" i="11"/>
  <c r="J203" i="3"/>
  <c r="K203" i="3"/>
  <c r="I203" i="3"/>
  <c r="BH174" i="2"/>
  <c r="BI174" i="2" s="1"/>
  <c r="AW175" i="11"/>
  <c r="AP175" i="2"/>
  <c r="F204" i="3" l="1"/>
  <c r="G204" i="3"/>
  <c r="O176" i="11" s="1"/>
  <c r="P175" i="11"/>
  <c r="C204" i="3"/>
  <c r="E204" i="3" s="1"/>
  <c r="H204" i="3" s="1"/>
  <c r="BD175" i="2"/>
  <c r="BF175" i="2" s="1"/>
  <c r="BG175" i="2" s="1"/>
  <c r="AR175" i="2"/>
  <c r="AS175" i="2" s="1"/>
  <c r="M203" i="3"/>
  <c r="V176" i="2" s="1"/>
  <c r="AK176" i="2" s="1"/>
  <c r="L203" i="3"/>
  <c r="AE175" i="2" s="1"/>
  <c r="AL175" i="2" s="1"/>
  <c r="AW174" i="2"/>
  <c r="D174" i="11"/>
  <c r="AV174" i="2"/>
  <c r="AZ176" i="11" l="1"/>
  <c r="K204" i="3"/>
  <c r="I204" i="3"/>
  <c r="J204" i="3"/>
  <c r="E174" i="11"/>
  <c r="AZ175" i="2"/>
  <c r="BB175" i="2" s="1"/>
  <c r="BH175" i="2" s="1"/>
  <c r="BI175" i="2" s="1"/>
  <c r="AM175" i="2"/>
  <c r="AT175" i="2" s="1"/>
  <c r="O204" i="3"/>
  <c r="AX176" i="11"/>
  <c r="AF176" i="2"/>
  <c r="AX174" i="2"/>
  <c r="G174" i="11" s="1"/>
  <c r="M174" i="11" s="1"/>
  <c r="F174" i="11"/>
  <c r="L174" i="11" s="1"/>
  <c r="BA176" i="2"/>
  <c r="AW175" i="2" l="1"/>
  <c r="D175" i="11"/>
  <c r="AV175" i="2"/>
  <c r="AP176" i="2"/>
  <c r="AW176" i="11"/>
  <c r="C205" i="3"/>
  <c r="E205" i="3" s="1"/>
  <c r="F205" i="3"/>
  <c r="G205" i="3"/>
  <c r="O177" i="11" s="1"/>
  <c r="P176" i="11"/>
  <c r="L204" i="3"/>
  <c r="AE176" i="2" s="1"/>
  <c r="AL176" i="2" s="1"/>
  <c r="M204" i="3"/>
  <c r="V177" i="2" s="1"/>
  <c r="AK177" i="2" s="1"/>
  <c r="H205" i="3" l="1"/>
  <c r="AZ177" i="11"/>
  <c r="J205" i="3"/>
  <c r="K205" i="3"/>
  <c r="I205" i="3"/>
  <c r="BA177" i="2"/>
  <c r="AZ176" i="2"/>
  <c r="BB176" i="2" s="1"/>
  <c r="AM176" i="2"/>
  <c r="E175" i="11"/>
  <c r="AF177" i="2"/>
  <c r="O205" i="3"/>
  <c r="AX177" i="11"/>
  <c r="AR176" i="2"/>
  <c r="AS176" i="2" s="1"/>
  <c r="BD176" i="2"/>
  <c r="BF176" i="2" s="1"/>
  <c r="BG176" i="2" s="1"/>
  <c r="F175" i="11"/>
  <c r="L175" i="11" s="1"/>
  <c r="AX175" i="2"/>
  <c r="G175" i="11" s="1"/>
  <c r="M175" i="11" s="1"/>
  <c r="AW177" i="11" l="1"/>
  <c r="AP177" i="2"/>
  <c r="AT176" i="2"/>
  <c r="M205" i="3"/>
  <c r="V178" i="2" s="1"/>
  <c r="AK178" i="2" s="1"/>
  <c r="L205" i="3"/>
  <c r="AE177" i="2" s="1"/>
  <c r="AL177" i="2" s="1"/>
  <c r="BH176" i="2"/>
  <c r="BI176" i="2" s="1"/>
  <c r="P177" i="11"/>
  <c r="C206" i="3"/>
  <c r="E206" i="3" s="1"/>
  <c r="F206" i="3"/>
  <c r="G206" i="3" s="1"/>
  <c r="O178" i="11" s="1"/>
  <c r="H206" i="3" l="1"/>
  <c r="K206" i="3" s="1"/>
  <c r="M206" i="3"/>
  <c r="V179" i="2" s="1"/>
  <c r="AK179" i="2" s="1"/>
  <c r="L206" i="3"/>
  <c r="AE178" i="2" s="1"/>
  <c r="O206" i="3"/>
  <c r="AX178" i="11"/>
  <c r="AF178" i="2"/>
  <c r="I206" i="3"/>
  <c r="D176" i="11"/>
  <c r="AW176" i="2"/>
  <c r="AV176" i="2"/>
  <c r="AZ177" i="2"/>
  <c r="BB177" i="2" s="1"/>
  <c r="AM177" i="2"/>
  <c r="BA178" i="2"/>
  <c r="AR177" i="2"/>
  <c r="AS177" i="2" s="1"/>
  <c r="BD177" i="2"/>
  <c r="BF177" i="2" s="1"/>
  <c r="BG177" i="2" s="1"/>
  <c r="J206" i="3" l="1"/>
  <c r="P178" i="11" s="1"/>
  <c r="AZ178" i="11"/>
  <c r="AL178" i="2"/>
  <c r="C207" i="3"/>
  <c r="E207" i="3" s="1"/>
  <c r="F207" i="3"/>
  <c r="AT177" i="2"/>
  <c r="AX176" i="2"/>
  <c r="G176" i="11" s="1"/>
  <c r="M176" i="11" s="1"/>
  <c r="F176" i="11"/>
  <c r="L176" i="11" s="1"/>
  <c r="AP178" i="2"/>
  <c r="AW178" i="11"/>
  <c r="BH177" i="2"/>
  <c r="BI177" i="2" s="1"/>
  <c r="AV177" i="2"/>
  <c r="E176" i="11"/>
  <c r="BA179" i="2"/>
  <c r="H207" i="3" l="1"/>
  <c r="AZ178" i="2"/>
  <c r="BB178" i="2" s="1"/>
  <c r="AM178" i="2"/>
  <c r="AZ179" i="11"/>
  <c r="J207" i="3"/>
  <c r="K207" i="3"/>
  <c r="I207" i="3"/>
  <c r="E177" i="11"/>
  <c r="AR178" i="2"/>
  <c r="AS178" i="2" s="1"/>
  <c r="AT178" i="2" s="1"/>
  <c r="BD178" i="2"/>
  <c r="BF178" i="2" s="1"/>
  <c r="BG178" i="2" s="1"/>
  <c r="BH178" i="2" s="1"/>
  <c r="BI178" i="2" s="1"/>
  <c r="AW177" i="2"/>
  <c r="D177" i="11"/>
  <c r="O207" i="3"/>
  <c r="AX179" i="11"/>
  <c r="AF179" i="2"/>
  <c r="G207" i="3"/>
  <c r="O179" i="11" s="1"/>
  <c r="AX177" i="2" l="1"/>
  <c r="G177" i="11" s="1"/>
  <c r="M177" i="11" s="1"/>
  <c r="F177" i="11"/>
  <c r="L177" i="11" s="1"/>
  <c r="AW179" i="11"/>
  <c r="AP179" i="2"/>
  <c r="M207" i="3"/>
  <c r="V180" i="2" s="1"/>
  <c r="AK180" i="2" s="1"/>
  <c r="L207" i="3"/>
  <c r="AE179" i="2" s="1"/>
  <c r="AL179" i="2" s="1"/>
  <c r="AW178" i="2"/>
  <c r="D178" i="11"/>
  <c r="AV178" i="2"/>
  <c r="P179" i="11"/>
  <c r="F208" i="3"/>
  <c r="G208" i="3" s="1"/>
  <c r="O180" i="11" s="1"/>
  <c r="C208" i="3"/>
  <c r="E208" i="3" s="1"/>
  <c r="H208" i="3" l="1"/>
  <c r="AZ180" i="11"/>
  <c r="K208" i="3"/>
  <c r="I208" i="3"/>
  <c r="J208" i="3"/>
  <c r="AF180" i="2"/>
  <c r="O208" i="3"/>
  <c r="AX180" i="11"/>
  <c r="E178" i="11"/>
  <c r="AZ179" i="2"/>
  <c r="BB179" i="2" s="1"/>
  <c r="AM179" i="2"/>
  <c r="BA180" i="2"/>
  <c r="AX178" i="2"/>
  <c r="G178" i="11" s="1"/>
  <c r="M178" i="11" s="1"/>
  <c r="F178" i="11"/>
  <c r="L178" i="11" s="1"/>
  <c r="BD179" i="2"/>
  <c r="BF179" i="2" s="1"/>
  <c r="BG179" i="2" s="1"/>
  <c r="AR179" i="2"/>
  <c r="AS179" i="2" s="1"/>
  <c r="AT179" i="2" l="1"/>
  <c r="L208" i="3"/>
  <c r="AE180" i="2" s="1"/>
  <c r="M208" i="3"/>
  <c r="V181" i="2" s="1"/>
  <c r="AK181" i="2" s="1"/>
  <c r="BH179" i="2"/>
  <c r="BI179" i="2" s="1"/>
  <c r="AW180" i="11"/>
  <c r="AP180" i="2"/>
  <c r="P180" i="11"/>
  <c r="C209" i="3"/>
  <c r="E209" i="3" s="1"/>
  <c r="F209" i="3"/>
  <c r="G209" i="3" s="1"/>
  <c r="O181" i="11" s="1"/>
  <c r="AL180" i="2"/>
  <c r="H209" i="3" l="1"/>
  <c r="AZ181" i="11"/>
  <c r="J209" i="3"/>
  <c r="K209" i="3"/>
  <c r="I209" i="3"/>
  <c r="AZ180" i="2"/>
  <c r="BB180" i="2" s="1"/>
  <c r="AM180" i="2"/>
  <c r="AF181" i="2"/>
  <c r="O209" i="3"/>
  <c r="AX181" i="11"/>
  <c r="BD180" i="2"/>
  <c r="BF180" i="2" s="1"/>
  <c r="BG180" i="2" s="1"/>
  <c r="AR180" i="2"/>
  <c r="AS180" i="2" s="1"/>
  <c r="BA181" i="2"/>
  <c r="D179" i="11"/>
  <c r="AW179" i="2"/>
  <c r="AV179" i="2"/>
  <c r="AP181" i="2" l="1"/>
  <c r="AW181" i="11"/>
  <c r="E179" i="11"/>
  <c r="AT180" i="2"/>
  <c r="M209" i="3"/>
  <c r="V182" i="2" s="1"/>
  <c r="AK182" i="2" s="1"/>
  <c r="L209" i="3"/>
  <c r="AE181" i="2" s="1"/>
  <c r="AL181" i="2" s="1"/>
  <c r="BH180" i="2"/>
  <c r="BI180" i="2" s="1"/>
  <c r="AX179" i="2"/>
  <c r="G179" i="11" s="1"/>
  <c r="M179" i="11" s="1"/>
  <c r="F179" i="11"/>
  <c r="L179" i="11" s="1"/>
  <c r="C210" i="3"/>
  <c r="E210" i="3" s="1"/>
  <c r="G210" i="3"/>
  <c r="O182" i="11" s="1"/>
  <c r="P181" i="11"/>
  <c r="F210" i="3"/>
  <c r="H210" i="3" l="1"/>
  <c r="J210" i="3" s="1"/>
  <c r="I210" i="3"/>
  <c r="K210" i="3"/>
  <c r="AZ181" i="2"/>
  <c r="BB181" i="2" s="1"/>
  <c r="AM181" i="2"/>
  <c r="BA182" i="2"/>
  <c r="AZ182" i="11"/>
  <c r="O210" i="3"/>
  <c r="AX182" i="11"/>
  <c r="AF182" i="2"/>
  <c r="AW180" i="2"/>
  <c r="D180" i="11"/>
  <c r="AV180" i="2"/>
  <c r="AR181" i="2"/>
  <c r="AS181" i="2" s="1"/>
  <c r="BD181" i="2"/>
  <c r="BF181" i="2" s="1"/>
  <c r="BG181" i="2" s="1"/>
  <c r="F211" i="3" l="1"/>
  <c r="G211" i="3"/>
  <c r="O183" i="11" s="1"/>
  <c r="C211" i="3"/>
  <c r="E211" i="3" s="1"/>
  <c r="P182" i="11"/>
  <c r="H211" i="3"/>
  <c r="J211" i="3" s="1"/>
  <c r="P183" i="11" s="1"/>
  <c r="AX180" i="2"/>
  <c r="G180" i="11" s="1"/>
  <c r="M180" i="11" s="1"/>
  <c r="F180" i="11"/>
  <c r="L180" i="11" s="1"/>
  <c r="M210" i="3"/>
  <c r="V183" i="2" s="1"/>
  <c r="AK183" i="2" s="1"/>
  <c r="L210" i="3"/>
  <c r="AE182" i="2" s="1"/>
  <c r="AL182" i="2" s="1"/>
  <c r="AT181" i="2"/>
  <c r="AV181" i="2" s="1"/>
  <c r="E180" i="11"/>
  <c r="AW182" i="11"/>
  <c r="AP182" i="2"/>
  <c r="BH181" i="2"/>
  <c r="BI181" i="2" s="1"/>
  <c r="O211" i="3"/>
  <c r="AX183" i="11"/>
  <c r="AF183" i="2"/>
  <c r="I211" i="3" l="1"/>
  <c r="F212" i="3"/>
  <c r="AZ183" i="11"/>
  <c r="C212" i="3"/>
  <c r="E212" i="3" s="1"/>
  <c r="K211" i="3"/>
  <c r="L211" i="3" s="1"/>
  <c r="AE183" i="2" s="1"/>
  <c r="AL183" i="2" s="1"/>
  <c r="AZ183" i="2" s="1"/>
  <c r="H212" i="3"/>
  <c r="AZ184" i="11" s="1"/>
  <c r="CI184" i="11" s="1"/>
  <c r="V75" i="20" s="1"/>
  <c r="V77" i="20" s="1"/>
  <c r="V78" i="20" s="1"/>
  <c r="I212" i="3"/>
  <c r="J212" i="3"/>
  <c r="BA183" i="2"/>
  <c r="AW183" i="11"/>
  <c r="AP183" i="2"/>
  <c r="BD182" i="2"/>
  <c r="BF182" i="2" s="1"/>
  <c r="BG182" i="2" s="1"/>
  <c r="AR182" i="2"/>
  <c r="AS182" i="2" s="1"/>
  <c r="E181" i="11"/>
  <c r="D181" i="11"/>
  <c r="AW181" i="2"/>
  <c r="AZ182" i="2"/>
  <c r="BB182" i="2" s="1"/>
  <c r="AM182" i="2"/>
  <c r="O212" i="3"/>
  <c r="AX184" i="11"/>
  <c r="CG184" i="11" s="1"/>
  <c r="V55" i="20" s="1"/>
  <c r="V57" i="20" s="1"/>
  <c r="AF184" i="2"/>
  <c r="G212" i="3"/>
  <c r="O184" i="11" s="1"/>
  <c r="K212" i="3" l="1"/>
  <c r="BB183" i="2"/>
  <c r="M211" i="3"/>
  <c r="V184" i="2" s="1"/>
  <c r="AK184" i="2" s="1"/>
  <c r="BA184" i="2" s="1"/>
  <c r="AT182" i="2"/>
  <c r="D182" i="11" s="1"/>
  <c r="BH182" i="2"/>
  <c r="BI182" i="2" s="1"/>
  <c r="AP184" i="2"/>
  <c r="AW184" i="11"/>
  <c r="CF184" i="11" s="1"/>
  <c r="V51" i="20" s="1"/>
  <c r="V52" i="20" s="1"/>
  <c r="V53" i="20" s="1"/>
  <c r="O182" i="19"/>
  <c r="AX181" i="2"/>
  <c r="G181" i="11" s="1"/>
  <c r="M181" i="11" s="1"/>
  <c r="F181" i="11"/>
  <c r="L181" i="11" s="1"/>
  <c r="BD183" i="2"/>
  <c r="BF183" i="2" s="1"/>
  <c r="BG183" i="2" s="1"/>
  <c r="AR183" i="2"/>
  <c r="AS183" i="2" s="1"/>
  <c r="C213" i="3"/>
  <c r="E213" i="3" s="1"/>
  <c r="P184" i="11"/>
  <c r="F213" i="3"/>
  <c r="G213" i="3" s="1"/>
  <c r="O185" i="11" s="1"/>
  <c r="L212" i="3"/>
  <c r="AE184" i="2" s="1"/>
  <c r="M212" i="3"/>
  <c r="V185" i="2" s="1"/>
  <c r="AK185" i="2" s="1"/>
  <c r="AM183" i="2"/>
  <c r="AL184" i="2"/>
  <c r="AZ184" i="2" s="1"/>
  <c r="AV182" i="2" l="1"/>
  <c r="AW182" i="2"/>
  <c r="BH183" i="2"/>
  <c r="BI183" i="2" s="1"/>
  <c r="AT183" i="2"/>
  <c r="AW183" i="2" s="1"/>
  <c r="BB184" i="2"/>
  <c r="H213" i="3"/>
  <c r="I213" i="3"/>
  <c r="E182" i="11"/>
  <c r="AM184" i="2"/>
  <c r="BA185" i="2"/>
  <c r="AX185" i="11"/>
  <c r="AF185" i="2"/>
  <c r="O213" i="3"/>
  <c r="AX182" i="2"/>
  <c r="G182" i="11" s="1"/>
  <c r="M182" i="11" s="1"/>
  <c r="F182" i="11"/>
  <c r="L182" i="11" s="1"/>
  <c r="V68" i="20"/>
  <c r="V69" i="20" s="1"/>
  <c r="V79" i="20" s="1"/>
  <c r="V58" i="20"/>
  <c r="V59" i="20" s="1"/>
  <c r="AR184" i="2"/>
  <c r="AS184" i="2" s="1"/>
  <c r="BD184" i="2"/>
  <c r="BF184" i="2" s="1"/>
  <c r="BG184" i="2" s="1"/>
  <c r="BH184" i="2" s="1"/>
  <c r="BI184" i="2" s="1"/>
  <c r="AV183" i="2" l="1"/>
  <c r="D183" i="11"/>
  <c r="K213" i="3"/>
  <c r="M213" i="3" s="1"/>
  <c r="V186" i="2" s="1"/>
  <c r="AK186" i="2" s="1"/>
  <c r="J213" i="3"/>
  <c r="P185" i="11" s="1"/>
  <c r="AZ185" i="11"/>
  <c r="V62" i="20"/>
  <c r="V60" i="20"/>
  <c r="AP185" i="2"/>
  <c r="AW185" i="11"/>
  <c r="E183" i="11"/>
  <c r="AX183" i="2"/>
  <c r="G183" i="11" s="1"/>
  <c r="M183" i="11" s="1"/>
  <c r="F183" i="11"/>
  <c r="L183" i="11" s="1"/>
  <c r="V81" i="20"/>
  <c r="V82" i="20" s="1"/>
  <c r="V83" i="20" s="1"/>
  <c r="V80" i="20"/>
  <c r="AT184" i="2"/>
  <c r="F214" i="3" l="1"/>
  <c r="G214" i="3" s="1"/>
  <c r="O186" i="11" s="1"/>
  <c r="C214" i="3"/>
  <c r="E214" i="3" s="1"/>
  <c r="L213" i="3"/>
  <c r="AE185" i="2" s="1"/>
  <c r="AL185" i="2" s="1"/>
  <c r="H214" i="3"/>
  <c r="J214" i="3" s="1"/>
  <c r="AZ186" i="11"/>
  <c r="K214" i="3"/>
  <c r="I214" i="3"/>
  <c r="BA186" i="2"/>
  <c r="AR185" i="2"/>
  <c r="AS185" i="2" s="1"/>
  <c r="BD185" i="2"/>
  <c r="BF185" i="2" s="1"/>
  <c r="BG185" i="2" s="1"/>
  <c r="AZ185" i="2"/>
  <c r="BB185" i="2" s="1"/>
  <c r="AM185" i="2"/>
  <c r="AF186" i="2"/>
  <c r="O214" i="3"/>
  <c r="AX186" i="11"/>
  <c r="D184" i="11"/>
  <c r="AW184" i="2"/>
  <c r="V61" i="20"/>
  <c r="AV184" i="2"/>
  <c r="AT185" i="2" l="1"/>
  <c r="BH185" i="2"/>
  <c r="BI185" i="2" s="1"/>
  <c r="AP186" i="2"/>
  <c r="AW186" i="11"/>
  <c r="L214" i="3"/>
  <c r="AE186" i="2" s="1"/>
  <c r="AL186" i="2" s="1"/>
  <c r="M214" i="3"/>
  <c r="V187" i="2" s="1"/>
  <c r="AK187" i="2" s="1"/>
  <c r="P186" i="11"/>
  <c r="C215" i="3"/>
  <c r="E215" i="3" s="1"/>
  <c r="F215" i="3"/>
  <c r="E184" i="11"/>
  <c r="AV185" i="2"/>
  <c r="F184" i="11"/>
  <c r="L184" i="11" s="1"/>
  <c r="AX184" i="2"/>
  <c r="G184" i="11" s="1"/>
  <c r="M184" i="11" s="1"/>
  <c r="D185" i="11"/>
  <c r="AW185" i="2"/>
  <c r="H215" i="3" l="1"/>
  <c r="AZ187" i="11"/>
  <c r="I215" i="3"/>
  <c r="K215" i="3"/>
  <c r="J215" i="3"/>
  <c r="F185" i="11"/>
  <c r="L185" i="11" s="1"/>
  <c r="AX185" i="2"/>
  <c r="G185" i="11" s="1"/>
  <c r="M185" i="11" s="1"/>
  <c r="AZ186" i="2"/>
  <c r="BB186" i="2" s="1"/>
  <c r="AM186" i="2"/>
  <c r="AF187" i="2"/>
  <c r="O215" i="3"/>
  <c r="AX187" i="11"/>
  <c r="BA187" i="2"/>
  <c r="E185" i="11"/>
  <c r="G215" i="3"/>
  <c r="O187" i="11" s="1"/>
  <c r="BD186" i="2"/>
  <c r="BF186" i="2" s="1"/>
  <c r="BG186" i="2" s="1"/>
  <c r="AR186" i="2"/>
  <c r="AS186" i="2" s="1"/>
  <c r="AW187" i="11" l="1"/>
  <c r="AP187" i="2"/>
  <c r="AT186" i="2"/>
  <c r="BH186" i="2"/>
  <c r="BI186" i="2" s="1"/>
  <c r="P187" i="11"/>
  <c r="C216" i="3"/>
  <c r="E216" i="3" s="1"/>
  <c r="F216" i="3"/>
  <c r="G216" i="3" s="1"/>
  <c r="O188" i="11" s="1"/>
  <c r="L215" i="3"/>
  <c r="AE187" i="2" s="1"/>
  <c r="AL187" i="2" s="1"/>
  <c r="M215" i="3"/>
  <c r="V188" i="2" s="1"/>
  <c r="AK188" i="2" s="1"/>
  <c r="H216" i="3" l="1"/>
  <c r="K216" i="3" s="1"/>
  <c r="M216" i="3" s="1"/>
  <c r="V189" i="2" s="1"/>
  <c r="AK189" i="2" s="1"/>
  <c r="I216" i="3"/>
  <c r="AZ187" i="2"/>
  <c r="BB187" i="2" s="1"/>
  <c r="AM187" i="2"/>
  <c r="BA188" i="2"/>
  <c r="AF188" i="2"/>
  <c r="O216" i="3"/>
  <c r="AX188" i="11"/>
  <c r="J216" i="3"/>
  <c r="D186" i="11"/>
  <c r="AW186" i="2"/>
  <c r="AV186" i="2"/>
  <c r="BD187" i="2"/>
  <c r="BF187" i="2" s="1"/>
  <c r="BG187" i="2" s="1"/>
  <c r="AR187" i="2"/>
  <c r="AS187" i="2" s="1"/>
  <c r="AZ188" i="11" l="1"/>
  <c r="L216" i="3"/>
  <c r="AE188" i="2" s="1"/>
  <c r="AW188" i="11"/>
  <c r="AP188" i="2"/>
  <c r="E186" i="11"/>
  <c r="AX186" i="2"/>
  <c r="G186" i="11" s="1"/>
  <c r="M186" i="11" s="1"/>
  <c r="F186" i="11"/>
  <c r="L186" i="11" s="1"/>
  <c r="AL188" i="2"/>
  <c r="AT187" i="2"/>
  <c r="AV187" i="2" s="1"/>
  <c r="C217" i="3"/>
  <c r="E217" i="3" s="1"/>
  <c r="P188" i="11"/>
  <c r="F217" i="3"/>
  <c r="BH187" i="2"/>
  <c r="BI187" i="2" s="1"/>
  <c r="BA189" i="2"/>
  <c r="H217" i="3" l="1"/>
  <c r="I217" i="3" s="1"/>
  <c r="E187" i="11"/>
  <c r="O217" i="3"/>
  <c r="AX189" i="11"/>
  <c r="AF189" i="2"/>
  <c r="AZ188" i="2"/>
  <c r="BB188" i="2" s="1"/>
  <c r="AM188" i="2"/>
  <c r="G217" i="3"/>
  <c r="O189" i="11" s="1"/>
  <c r="AR188" i="2"/>
  <c r="AS188" i="2" s="1"/>
  <c r="BD188" i="2"/>
  <c r="BF188" i="2" s="1"/>
  <c r="BG188" i="2" s="1"/>
  <c r="AW187" i="2"/>
  <c r="D187" i="11"/>
  <c r="J217" i="3" l="1"/>
  <c r="AZ189" i="11"/>
  <c r="K217" i="3"/>
  <c r="F187" i="11"/>
  <c r="L187" i="11" s="1"/>
  <c r="AX187" i="2"/>
  <c r="G187" i="11" s="1"/>
  <c r="M187" i="11" s="1"/>
  <c r="M217" i="3"/>
  <c r="V190" i="2" s="1"/>
  <c r="AK190" i="2" s="1"/>
  <c r="L217" i="3"/>
  <c r="AE189" i="2" s="1"/>
  <c r="AL189" i="2" s="1"/>
  <c r="BH188" i="2"/>
  <c r="BI188" i="2" s="1"/>
  <c r="C218" i="3"/>
  <c r="E218" i="3" s="1"/>
  <c r="P189" i="11"/>
  <c r="F218" i="3"/>
  <c r="AT188" i="2"/>
  <c r="AW189" i="11"/>
  <c r="AP189" i="2"/>
  <c r="H218" i="3" l="1"/>
  <c r="G218" i="3"/>
  <c r="O190" i="11" s="1"/>
  <c r="AZ190" i="11"/>
  <c r="J218" i="3"/>
  <c r="I218" i="3"/>
  <c r="K218" i="3"/>
  <c r="AZ189" i="2"/>
  <c r="BB189" i="2" s="1"/>
  <c r="AM189" i="2"/>
  <c r="AW188" i="2"/>
  <c r="D188" i="11"/>
  <c r="AV188" i="2"/>
  <c r="AF190" i="2"/>
  <c r="O218" i="3"/>
  <c r="AX190" i="11"/>
  <c r="AR189" i="2"/>
  <c r="AS189" i="2" s="1"/>
  <c r="BD189" i="2"/>
  <c r="BF189" i="2" s="1"/>
  <c r="BG189" i="2" s="1"/>
  <c r="BA190" i="2"/>
  <c r="AX188" i="2" l="1"/>
  <c r="G188" i="11" s="1"/>
  <c r="M188" i="11" s="1"/>
  <c r="F188" i="11"/>
  <c r="L188" i="11" s="1"/>
  <c r="AW190" i="11"/>
  <c r="AP190" i="2"/>
  <c r="BH189" i="2"/>
  <c r="BI189" i="2" s="1"/>
  <c r="E188" i="11"/>
  <c r="AT189" i="2"/>
  <c r="M218" i="3"/>
  <c r="V191" i="2" s="1"/>
  <c r="AK191" i="2" s="1"/>
  <c r="L218" i="3"/>
  <c r="AE190" i="2" s="1"/>
  <c r="AL190" i="2" s="1"/>
  <c r="P190" i="11"/>
  <c r="C219" i="3"/>
  <c r="E219" i="3" s="1"/>
  <c r="F219" i="3"/>
  <c r="G219" i="3" s="1"/>
  <c r="O191" i="11" s="1"/>
  <c r="H219" i="3" l="1"/>
  <c r="AZ191" i="11" s="1"/>
  <c r="J219" i="3"/>
  <c r="I219" i="3"/>
  <c r="K219" i="3"/>
  <c r="AF191" i="2"/>
  <c r="O219" i="3"/>
  <c r="AX191" i="11"/>
  <c r="BA191" i="2"/>
  <c r="D189" i="11"/>
  <c r="AW189" i="2"/>
  <c r="AV189" i="2"/>
  <c r="AZ190" i="2"/>
  <c r="BB190" i="2" s="1"/>
  <c r="AM190" i="2"/>
  <c r="BD190" i="2"/>
  <c r="BF190" i="2" s="1"/>
  <c r="BG190" i="2" s="1"/>
  <c r="AR190" i="2"/>
  <c r="AS190" i="2" s="1"/>
  <c r="AX189" i="2" l="1"/>
  <c r="G189" i="11" s="1"/>
  <c r="M189" i="11" s="1"/>
  <c r="F189" i="11"/>
  <c r="L189" i="11" s="1"/>
  <c r="BH190" i="2"/>
  <c r="BI190" i="2" s="1"/>
  <c r="AW191" i="11"/>
  <c r="AP191" i="2"/>
  <c r="AT190" i="2"/>
  <c r="AV190" i="2" s="1"/>
  <c r="E189" i="11"/>
  <c r="M219" i="3"/>
  <c r="V192" i="2" s="1"/>
  <c r="AK192" i="2" s="1"/>
  <c r="L219" i="3"/>
  <c r="AE191" i="2" s="1"/>
  <c r="AL191" i="2" s="1"/>
  <c r="C220" i="3"/>
  <c r="E220" i="3" s="1"/>
  <c r="F220" i="3"/>
  <c r="G220" i="3" s="1"/>
  <c r="O192" i="11" s="1"/>
  <c r="P191" i="11"/>
  <c r="H220" i="3" l="1"/>
  <c r="AZ192" i="11" s="1"/>
  <c r="I220" i="3"/>
  <c r="J220" i="3"/>
  <c r="O220" i="3"/>
  <c r="AX192" i="11"/>
  <c r="AF192" i="2"/>
  <c r="E190" i="11"/>
  <c r="BA192" i="2"/>
  <c r="D190" i="11"/>
  <c r="AW190" i="2"/>
  <c r="AZ191" i="2"/>
  <c r="BB191" i="2" s="1"/>
  <c r="AM191" i="2"/>
  <c r="AR191" i="2"/>
  <c r="AS191" i="2" s="1"/>
  <c r="BD191" i="2"/>
  <c r="BF191" i="2" s="1"/>
  <c r="BG191" i="2" s="1"/>
  <c r="K220" i="3" l="1"/>
  <c r="F190" i="11"/>
  <c r="L190" i="11" s="1"/>
  <c r="AX190" i="2"/>
  <c r="G190" i="11" s="1"/>
  <c r="M190" i="11" s="1"/>
  <c r="F221" i="3"/>
  <c r="G221" i="3"/>
  <c r="O193" i="11" s="1"/>
  <c r="C221" i="3"/>
  <c r="E221" i="3" s="1"/>
  <c r="H221" i="3" s="1"/>
  <c r="P192" i="11"/>
  <c r="AT191" i="2"/>
  <c r="AP192" i="2"/>
  <c r="AW192" i="11"/>
  <c r="BH191" i="2"/>
  <c r="BI191" i="2" s="1"/>
  <c r="L220" i="3"/>
  <c r="AE192" i="2" s="1"/>
  <c r="AL192" i="2" s="1"/>
  <c r="M220" i="3"/>
  <c r="V193" i="2" s="1"/>
  <c r="AK193" i="2" s="1"/>
  <c r="AZ193" i="11" l="1"/>
  <c r="J221" i="3"/>
  <c r="K221" i="3"/>
  <c r="I221" i="3"/>
  <c r="AZ192" i="2"/>
  <c r="BB192" i="2" s="1"/>
  <c r="AM192" i="2"/>
  <c r="AR192" i="2"/>
  <c r="AS192" i="2" s="1"/>
  <c r="BD192" i="2"/>
  <c r="BF192" i="2" s="1"/>
  <c r="BG192" i="2" s="1"/>
  <c r="D191" i="11"/>
  <c r="AW191" i="2"/>
  <c r="AV191" i="2"/>
  <c r="AX193" i="11"/>
  <c r="O221" i="3"/>
  <c r="AF193" i="2"/>
  <c r="BA193" i="2"/>
  <c r="AT192" i="2" l="1"/>
  <c r="AW192" i="2" s="1"/>
  <c r="C222" i="3"/>
  <c r="E222" i="3" s="1"/>
  <c r="F222" i="3"/>
  <c r="G222" i="3"/>
  <c r="O194" i="11" s="1"/>
  <c r="P193" i="11"/>
  <c r="F191" i="11"/>
  <c r="L191" i="11" s="1"/>
  <c r="AX191" i="2"/>
  <c r="G191" i="11" s="1"/>
  <c r="M191" i="11" s="1"/>
  <c r="AW193" i="11"/>
  <c r="AP193" i="2"/>
  <c r="E191" i="11"/>
  <c r="BH192" i="2"/>
  <c r="BI192" i="2" s="1"/>
  <c r="L221" i="3"/>
  <c r="AE193" i="2" s="1"/>
  <c r="AL193" i="2" s="1"/>
  <c r="M221" i="3"/>
  <c r="V194" i="2" s="1"/>
  <c r="AK194" i="2" s="1"/>
  <c r="AV192" i="2" l="1"/>
  <c r="E192" i="11" s="1"/>
  <c r="D192" i="11"/>
  <c r="H222" i="3"/>
  <c r="AZ194" i="11" s="1"/>
  <c r="J222" i="3"/>
  <c r="I222" i="3"/>
  <c r="BA194" i="2"/>
  <c r="AR193" i="2"/>
  <c r="AS193" i="2" s="1"/>
  <c r="BD193" i="2"/>
  <c r="BF193" i="2" s="1"/>
  <c r="BG193" i="2" s="1"/>
  <c r="AZ193" i="2"/>
  <c r="BB193" i="2" s="1"/>
  <c r="AM193" i="2"/>
  <c r="O222" i="3"/>
  <c r="AX194" i="11"/>
  <c r="AF194" i="2"/>
  <c r="F192" i="11"/>
  <c r="L192" i="11" s="1"/>
  <c r="AX192" i="2"/>
  <c r="G192" i="11" s="1"/>
  <c r="M192" i="11" s="1"/>
  <c r="K222" i="3" l="1"/>
  <c r="AT193" i="2"/>
  <c r="AV193" i="2" s="1"/>
  <c r="BH193" i="2"/>
  <c r="BI193" i="2" s="1"/>
  <c r="E193" i="11"/>
  <c r="AW194" i="11"/>
  <c r="AP194" i="2"/>
  <c r="AW193" i="2"/>
  <c r="D193" i="11"/>
  <c r="F223" i="3"/>
  <c r="C223" i="3"/>
  <c r="E223" i="3" s="1"/>
  <c r="G223" i="3"/>
  <c r="O195" i="11" s="1"/>
  <c r="P194" i="11"/>
  <c r="M222" i="3"/>
  <c r="V195" i="2" s="1"/>
  <c r="AK195" i="2" s="1"/>
  <c r="L222" i="3"/>
  <c r="AE194" i="2" s="1"/>
  <c r="AL194" i="2" s="1"/>
  <c r="H223" i="3" l="1"/>
  <c r="K223" i="3"/>
  <c r="I223" i="3"/>
  <c r="M223" i="3"/>
  <c r="V196" i="2" s="1"/>
  <c r="AK196" i="2" s="1"/>
  <c r="L223" i="3"/>
  <c r="AE195" i="2" s="1"/>
  <c r="BA195" i="2"/>
  <c r="J223" i="3"/>
  <c r="AX193" i="2"/>
  <c r="G193" i="11" s="1"/>
  <c r="M193" i="11" s="1"/>
  <c r="F193" i="11"/>
  <c r="L193" i="11" s="1"/>
  <c r="AZ194" i="2"/>
  <c r="BB194" i="2" s="1"/>
  <c r="AM194" i="2"/>
  <c r="BD194" i="2"/>
  <c r="BF194" i="2" s="1"/>
  <c r="BG194" i="2" s="1"/>
  <c r="AR194" i="2"/>
  <c r="AS194" i="2" s="1"/>
  <c r="AZ195" i="11"/>
  <c r="O223" i="3"/>
  <c r="AX195" i="11"/>
  <c r="AF195" i="2"/>
  <c r="BH194" i="2" l="1"/>
  <c r="BI194" i="2" s="1"/>
  <c r="AT194" i="2"/>
  <c r="AP195" i="2"/>
  <c r="AW195" i="11"/>
  <c r="P195" i="11"/>
  <c r="C224" i="3"/>
  <c r="E224" i="3" s="1"/>
  <c r="F224" i="3"/>
  <c r="G224" i="3" s="1"/>
  <c r="O196" i="11" s="1"/>
  <c r="AL195" i="2"/>
  <c r="BA196" i="2"/>
  <c r="H224" i="3" l="1"/>
  <c r="J224" i="3" s="1"/>
  <c r="P196" i="11" s="1"/>
  <c r="AZ195" i="2"/>
  <c r="BB195" i="2" s="1"/>
  <c r="AM195" i="2"/>
  <c r="O224" i="3"/>
  <c r="AX196" i="11"/>
  <c r="CG196" i="11" s="1"/>
  <c r="W55" i="20" s="1"/>
  <c r="W57" i="20" s="1"/>
  <c r="AF196" i="2"/>
  <c r="I224" i="3"/>
  <c r="BD195" i="2"/>
  <c r="BF195" i="2" s="1"/>
  <c r="BG195" i="2" s="1"/>
  <c r="AR195" i="2"/>
  <c r="AS195" i="2" s="1"/>
  <c r="K224" i="3"/>
  <c r="D194" i="11"/>
  <c r="AW194" i="2"/>
  <c r="AV194" i="2"/>
  <c r="AZ196" i="11" l="1"/>
  <c r="CI196" i="11" s="1"/>
  <c r="W75" i="20" s="1"/>
  <c r="W77" i="20" s="1"/>
  <c r="W78" i="20" s="1"/>
  <c r="F225" i="3"/>
  <c r="G225" i="3" s="1"/>
  <c r="O197" i="11" s="1"/>
  <c r="C225" i="3"/>
  <c r="E225" i="3" s="1"/>
  <c r="H225" i="3"/>
  <c r="AZ197" i="11" s="1"/>
  <c r="I225" i="3"/>
  <c r="K225" i="3"/>
  <c r="E194" i="11"/>
  <c r="F194" i="11"/>
  <c r="L194" i="11" s="1"/>
  <c r="AX194" i="2"/>
  <c r="G194" i="11" s="1"/>
  <c r="M194" i="11" s="1"/>
  <c r="AT195" i="2"/>
  <c r="AF197" i="2"/>
  <c r="O225" i="3"/>
  <c r="BH195" i="2"/>
  <c r="BI195" i="2" s="1"/>
  <c r="M224" i="3"/>
  <c r="V197" i="2" s="1"/>
  <c r="AK197" i="2" s="1"/>
  <c r="L224" i="3"/>
  <c r="AE196" i="2" s="1"/>
  <c r="AL196" i="2" s="1"/>
  <c r="AZ196" i="2" s="1"/>
  <c r="BB196" i="2" s="1"/>
  <c r="AP196" i="2"/>
  <c r="AW196" i="11"/>
  <c r="CF196" i="11" s="1"/>
  <c r="W51" i="20" s="1"/>
  <c r="W52" i="20" s="1"/>
  <c r="W53" i="20" s="1"/>
  <c r="O194" i="19"/>
  <c r="AM196" i="2" l="1"/>
  <c r="AT196" i="2" s="1"/>
  <c r="AX197" i="11"/>
  <c r="J225" i="3"/>
  <c r="P197" i="11" s="1"/>
  <c r="BD196" i="2"/>
  <c r="BF196" i="2" s="1"/>
  <c r="BG196" i="2" s="1"/>
  <c r="AR196" i="2"/>
  <c r="AS196" i="2" s="1"/>
  <c r="BH196" i="2"/>
  <c r="BI196" i="2" s="1"/>
  <c r="BA197" i="2"/>
  <c r="AW197" i="11"/>
  <c r="AP197" i="2"/>
  <c r="F226" i="3"/>
  <c r="C226" i="3"/>
  <c r="E226" i="3" s="1"/>
  <c r="H226" i="3" s="1"/>
  <c r="G226" i="3"/>
  <c r="O198" i="11" s="1"/>
  <c r="AW195" i="2"/>
  <c r="D195" i="11"/>
  <c r="AV195" i="2"/>
  <c r="L225" i="3"/>
  <c r="AE197" i="2" s="1"/>
  <c r="AL197" i="2" s="1"/>
  <c r="AZ197" i="2" s="1"/>
  <c r="M225" i="3"/>
  <c r="V198" i="2" s="1"/>
  <c r="AK198" i="2" s="1"/>
  <c r="W58" i="20"/>
  <c r="W59" i="20" s="1"/>
  <c r="W68" i="20"/>
  <c r="W69" i="20" s="1"/>
  <c r="W79" i="20" s="1"/>
  <c r="BB197" i="2" l="1"/>
  <c r="AZ198" i="11"/>
  <c r="K226" i="3"/>
  <c r="J226" i="3"/>
  <c r="I226" i="3"/>
  <c r="W81" i="20"/>
  <c r="W82" i="20" s="1"/>
  <c r="W83" i="20" s="1"/>
  <c r="W80" i="20"/>
  <c r="BA198" i="2"/>
  <c r="W60" i="20"/>
  <c r="W62" i="20"/>
  <c r="E195" i="11"/>
  <c r="AV196" i="2"/>
  <c r="AX195" i="2"/>
  <c r="G195" i="11" s="1"/>
  <c r="M195" i="11" s="1"/>
  <c r="F195" i="11"/>
  <c r="L195" i="11" s="1"/>
  <c r="O226" i="3"/>
  <c r="AX198" i="11"/>
  <c r="AF198" i="2"/>
  <c r="D196" i="11"/>
  <c r="AW196" i="2"/>
  <c r="BD197" i="2"/>
  <c r="BF197" i="2" s="1"/>
  <c r="BG197" i="2" s="1"/>
  <c r="BH197" i="2" s="1"/>
  <c r="BI197" i="2" s="1"/>
  <c r="AR197" i="2"/>
  <c r="AS197" i="2" s="1"/>
  <c r="AM197" i="2"/>
  <c r="AT197" i="2" l="1"/>
  <c r="E196" i="11"/>
  <c r="AV197" i="2"/>
  <c r="W61" i="20"/>
  <c r="AP198" i="2"/>
  <c r="AW198" i="11"/>
  <c r="L226" i="3"/>
  <c r="AE198" i="2" s="1"/>
  <c r="M226" i="3"/>
  <c r="V199" i="2" s="1"/>
  <c r="AK199" i="2" s="1"/>
  <c r="AX196" i="2"/>
  <c r="G196" i="11" s="1"/>
  <c r="M196" i="11" s="1"/>
  <c r="F196" i="11"/>
  <c r="L196" i="11" s="1"/>
  <c r="AL198" i="2"/>
  <c r="D197" i="11"/>
  <c r="AW197" i="2"/>
  <c r="F227" i="3"/>
  <c r="P198" i="11"/>
  <c r="G227" i="3"/>
  <c r="O199" i="11" s="1"/>
  <c r="C227" i="3"/>
  <c r="E227" i="3" s="1"/>
  <c r="H227" i="3" s="1"/>
  <c r="AZ199" i="11" l="1"/>
  <c r="I227" i="3"/>
  <c r="K227" i="3"/>
  <c r="J227" i="3"/>
  <c r="F197" i="11"/>
  <c r="L197" i="11" s="1"/>
  <c r="AX197" i="2"/>
  <c r="G197" i="11" s="1"/>
  <c r="M197" i="11" s="1"/>
  <c r="BA199" i="2"/>
  <c r="O227" i="3"/>
  <c r="AX199" i="11"/>
  <c r="AF199" i="2"/>
  <c r="AZ198" i="2"/>
  <c r="BB198" i="2" s="1"/>
  <c r="AM198" i="2"/>
  <c r="BD198" i="2"/>
  <c r="BF198" i="2" s="1"/>
  <c r="BG198" i="2" s="1"/>
  <c r="AR198" i="2"/>
  <c r="AS198" i="2" s="1"/>
  <c r="E197" i="11"/>
  <c r="BH198" i="2" l="1"/>
  <c r="BI198" i="2" s="1"/>
  <c r="F228" i="3"/>
  <c r="P199" i="11"/>
  <c r="C228" i="3"/>
  <c r="E228" i="3" s="1"/>
  <c r="H228" i="3" s="1"/>
  <c r="G228" i="3"/>
  <c r="O200" i="11" s="1"/>
  <c r="AT198" i="2"/>
  <c r="AP199" i="2"/>
  <c r="AW199" i="11"/>
  <c r="M227" i="3"/>
  <c r="V200" i="2" s="1"/>
  <c r="AK200" i="2" s="1"/>
  <c r="L227" i="3"/>
  <c r="AE199" i="2" s="1"/>
  <c r="AL199" i="2" s="1"/>
  <c r="AZ200" i="11" l="1"/>
  <c r="I228" i="3"/>
  <c r="J228" i="3"/>
  <c r="K228" i="3"/>
  <c r="BA200" i="2"/>
  <c r="AW198" i="2"/>
  <c r="D198" i="11"/>
  <c r="AV198" i="2"/>
  <c r="AZ199" i="2"/>
  <c r="BB199" i="2" s="1"/>
  <c r="AM199" i="2"/>
  <c r="BD199" i="2"/>
  <c r="BF199" i="2" s="1"/>
  <c r="BG199" i="2" s="1"/>
  <c r="AR199" i="2"/>
  <c r="AS199" i="2" s="1"/>
  <c r="AF200" i="2"/>
  <c r="O228" i="3"/>
  <c r="AX200" i="11"/>
  <c r="AW200" i="11" l="1"/>
  <c r="AP200" i="2"/>
  <c r="BH199" i="2"/>
  <c r="BI199" i="2" s="1"/>
  <c r="F198" i="11"/>
  <c r="L198" i="11" s="1"/>
  <c r="AX198" i="2"/>
  <c r="G198" i="11" s="1"/>
  <c r="M198" i="11" s="1"/>
  <c r="L228" i="3"/>
  <c r="AE200" i="2" s="1"/>
  <c r="AL200" i="2" s="1"/>
  <c r="M228" i="3"/>
  <c r="V201" i="2" s="1"/>
  <c r="AK201" i="2" s="1"/>
  <c r="E198" i="11"/>
  <c r="C229" i="3"/>
  <c r="E229" i="3" s="1"/>
  <c r="F229" i="3"/>
  <c r="P200" i="11"/>
  <c r="G229" i="3"/>
  <c r="O201" i="11" s="1"/>
  <c r="AT199" i="2"/>
  <c r="H229" i="3" l="1"/>
  <c r="AZ201" i="11" s="1"/>
  <c r="I229" i="3"/>
  <c r="D199" i="11"/>
  <c r="AW199" i="2"/>
  <c r="AZ200" i="2"/>
  <c r="BB200" i="2" s="1"/>
  <c r="AM200" i="2"/>
  <c r="AF201" i="2"/>
  <c r="O229" i="3"/>
  <c r="AX201" i="11"/>
  <c r="BA201" i="2"/>
  <c r="AR200" i="2"/>
  <c r="AS200" i="2" s="1"/>
  <c r="BD200" i="2"/>
  <c r="BF200" i="2" s="1"/>
  <c r="BG200" i="2" s="1"/>
  <c r="AV199" i="2"/>
  <c r="K229" i="3" l="1"/>
  <c r="J229" i="3"/>
  <c r="G230" i="3" s="1"/>
  <c r="O202" i="11" s="1"/>
  <c r="AT200" i="2"/>
  <c r="AV200" i="2" s="1"/>
  <c r="E199" i="11"/>
  <c r="AW201" i="11"/>
  <c r="AP201" i="2"/>
  <c r="AX199" i="2"/>
  <c r="G199" i="11" s="1"/>
  <c r="M199" i="11" s="1"/>
  <c r="F199" i="11"/>
  <c r="L199" i="11" s="1"/>
  <c r="L229" i="3"/>
  <c r="AE201" i="2" s="1"/>
  <c r="AL201" i="2" s="1"/>
  <c r="M229" i="3"/>
  <c r="V202" i="2" s="1"/>
  <c r="AK202" i="2" s="1"/>
  <c r="BH200" i="2"/>
  <c r="BI200" i="2" s="1"/>
  <c r="F230" i="3"/>
  <c r="P201" i="11" l="1"/>
  <c r="C230" i="3"/>
  <c r="E230" i="3" s="1"/>
  <c r="H230" i="3" s="1"/>
  <c r="AZ201" i="2"/>
  <c r="BB201" i="2" s="1"/>
  <c r="AM201" i="2"/>
  <c r="BA202" i="2"/>
  <c r="AR201" i="2"/>
  <c r="AS201" i="2" s="1"/>
  <c r="BD201" i="2"/>
  <c r="BF201" i="2" s="1"/>
  <c r="BG201" i="2" s="1"/>
  <c r="O230" i="3"/>
  <c r="AX202" i="11"/>
  <c r="AF202" i="2"/>
  <c r="E200" i="11"/>
  <c r="AW200" i="2"/>
  <c r="D200" i="11"/>
  <c r="I230" i="3" l="1"/>
  <c r="AZ202" i="11"/>
  <c r="K230" i="3"/>
  <c r="J230" i="3"/>
  <c r="G231" i="3" s="1"/>
  <c r="O203" i="11" s="1"/>
  <c r="AP202" i="2"/>
  <c r="AW202" i="11"/>
  <c r="F200" i="11"/>
  <c r="L200" i="11" s="1"/>
  <c r="AX200" i="2"/>
  <c r="G200" i="11" s="1"/>
  <c r="M200" i="11" s="1"/>
  <c r="L230" i="3"/>
  <c r="AE202" i="2" s="1"/>
  <c r="AL202" i="2" s="1"/>
  <c r="M230" i="3"/>
  <c r="V203" i="2" s="1"/>
  <c r="AK203" i="2" s="1"/>
  <c r="AT201" i="2"/>
  <c r="F231" i="3"/>
  <c r="BH201" i="2"/>
  <c r="BI201" i="2" s="1"/>
  <c r="P202" i="11" l="1"/>
  <c r="C231" i="3"/>
  <c r="E231" i="3" s="1"/>
  <c r="H231" i="3" s="1"/>
  <c r="AZ203" i="11"/>
  <c r="I231" i="3"/>
  <c r="K231" i="3"/>
  <c r="J231" i="3"/>
  <c r="AZ202" i="2"/>
  <c r="BB202" i="2" s="1"/>
  <c r="AM202" i="2"/>
  <c r="O231" i="3"/>
  <c r="AX203" i="11"/>
  <c r="AF203" i="2"/>
  <c r="BA203" i="2"/>
  <c r="AW201" i="2"/>
  <c r="D201" i="11"/>
  <c r="AV201" i="2"/>
  <c r="BD202" i="2"/>
  <c r="BF202" i="2" s="1"/>
  <c r="BG202" i="2" s="1"/>
  <c r="AR202" i="2"/>
  <c r="AS202" i="2" s="1"/>
  <c r="E201" i="11" l="1"/>
  <c r="AT202" i="2"/>
  <c r="AV202" i="2" s="1"/>
  <c r="F201" i="11"/>
  <c r="L201" i="11" s="1"/>
  <c r="AX201" i="2"/>
  <c r="G201" i="11" s="1"/>
  <c r="M201" i="11" s="1"/>
  <c r="BH202" i="2"/>
  <c r="BI202" i="2" s="1"/>
  <c r="M231" i="3"/>
  <c r="V204" i="2" s="1"/>
  <c r="AK204" i="2" s="1"/>
  <c r="L231" i="3"/>
  <c r="AE203" i="2" s="1"/>
  <c r="AL203" i="2" s="1"/>
  <c r="F232" i="3"/>
  <c r="G232" i="3"/>
  <c r="O204" i="11" s="1"/>
  <c r="C232" i="3"/>
  <c r="E232" i="3" s="1"/>
  <c r="H232" i="3" s="1"/>
  <c r="P203" i="11"/>
  <c r="AW203" i="11"/>
  <c r="AP203" i="2"/>
  <c r="AZ204" i="11" l="1"/>
  <c r="K232" i="3"/>
  <c r="J232" i="3"/>
  <c r="I232" i="3"/>
  <c r="E202" i="11"/>
  <c r="BA204" i="2"/>
  <c r="BD203" i="2"/>
  <c r="BF203" i="2" s="1"/>
  <c r="BG203" i="2" s="1"/>
  <c r="AR203" i="2"/>
  <c r="AS203" i="2" s="1"/>
  <c r="AZ203" i="2"/>
  <c r="BB203" i="2" s="1"/>
  <c r="AM203" i="2"/>
  <c r="O232" i="3"/>
  <c r="AX204" i="11"/>
  <c r="AF204" i="2"/>
  <c r="AW202" i="2"/>
  <c r="D202" i="11"/>
  <c r="BH203" i="2" l="1"/>
  <c r="BI203" i="2" s="1"/>
  <c r="AT203" i="2"/>
  <c r="AW203" i="2" s="1"/>
  <c r="AP204" i="2"/>
  <c r="AW204" i="11"/>
  <c r="AX202" i="2"/>
  <c r="G202" i="11" s="1"/>
  <c r="M202" i="11" s="1"/>
  <c r="F202" i="11"/>
  <c r="L202" i="11" s="1"/>
  <c r="C233" i="3"/>
  <c r="E233" i="3" s="1"/>
  <c r="P204" i="11"/>
  <c r="F233" i="3"/>
  <c r="G233" i="3" s="1"/>
  <c r="O205" i="11" s="1"/>
  <c r="L232" i="3"/>
  <c r="AE204" i="2" s="1"/>
  <c r="AL204" i="2" s="1"/>
  <c r="M232" i="3"/>
  <c r="V205" i="2" s="1"/>
  <c r="AK205" i="2" s="1"/>
  <c r="H233" i="3" l="1"/>
  <c r="AV203" i="2"/>
  <c r="D203" i="11"/>
  <c r="AZ205" i="11"/>
  <c r="K233" i="3"/>
  <c r="J233" i="3"/>
  <c r="I233" i="3"/>
  <c r="E203" i="11"/>
  <c r="AZ204" i="2"/>
  <c r="BB204" i="2" s="1"/>
  <c r="AM204" i="2"/>
  <c r="AF205" i="2"/>
  <c r="O233" i="3"/>
  <c r="AX205" i="11"/>
  <c r="BA205" i="2"/>
  <c r="AX203" i="2"/>
  <c r="G203" i="11" s="1"/>
  <c r="M203" i="11" s="1"/>
  <c r="F203" i="11"/>
  <c r="L203" i="11" s="1"/>
  <c r="BD204" i="2"/>
  <c r="BF204" i="2" s="1"/>
  <c r="BG204" i="2" s="1"/>
  <c r="AR204" i="2"/>
  <c r="AS204" i="2" s="1"/>
  <c r="AT204" i="2" l="1"/>
  <c r="AW205" i="11"/>
  <c r="AP205" i="2"/>
  <c r="BH204" i="2"/>
  <c r="BI204" i="2" s="1"/>
  <c r="F234" i="3"/>
  <c r="C234" i="3"/>
  <c r="E234" i="3" s="1"/>
  <c r="H234" i="3" s="1"/>
  <c r="G234" i="3"/>
  <c r="O206" i="11" s="1"/>
  <c r="P205" i="11"/>
  <c r="L233" i="3"/>
  <c r="AE205" i="2" s="1"/>
  <c r="AL205" i="2" s="1"/>
  <c r="M233" i="3"/>
  <c r="V206" i="2" s="1"/>
  <c r="AK206" i="2" s="1"/>
  <c r="AZ206" i="11" l="1"/>
  <c r="J234" i="3"/>
  <c r="K234" i="3"/>
  <c r="I234" i="3"/>
  <c r="BA206" i="2"/>
  <c r="O234" i="3"/>
  <c r="AF206" i="2"/>
  <c r="AX206" i="11"/>
  <c r="AZ205" i="2"/>
  <c r="BB205" i="2" s="1"/>
  <c r="AM205" i="2"/>
  <c r="BD205" i="2"/>
  <c r="BF205" i="2" s="1"/>
  <c r="BG205" i="2" s="1"/>
  <c r="AR205" i="2"/>
  <c r="AS205" i="2" s="1"/>
  <c r="AW204" i="2"/>
  <c r="D204" i="11"/>
  <c r="AV204" i="2"/>
  <c r="E204" i="11" l="1"/>
  <c r="AT205" i="2"/>
  <c r="AW206" i="11"/>
  <c r="AP206" i="2"/>
  <c r="BH205" i="2"/>
  <c r="BI205" i="2" s="1"/>
  <c r="M234" i="3"/>
  <c r="V207" i="2" s="1"/>
  <c r="AK207" i="2" s="1"/>
  <c r="L234" i="3"/>
  <c r="AE206" i="2" s="1"/>
  <c r="AL206" i="2" s="1"/>
  <c r="F204" i="11"/>
  <c r="L204" i="11" s="1"/>
  <c r="AX204" i="2"/>
  <c r="G204" i="11" s="1"/>
  <c r="M204" i="11" s="1"/>
  <c r="C235" i="3"/>
  <c r="E235" i="3" s="1"/>
  <c r="F235" i="3"/>
  <c r="G235" i="3" s="1"/>
  <c r="O207" i="11" s="1"/>
  <c r="P206" i="11"/>
  <c r="H235" i="3" l="1"/>
  <c r="AZ207" i="11"/>
  <c r="J235" i="3"/>
  <c r="K235" i="3"/>
  <c r="I235" i="3"/>
  <c r="AZ206" i="2"/>
  <c r="BB206" i="2" s="1"/>
  <c r="AM206" i="2"/>
  <c r="O235" i="3"/>
  <c r="AX207" i="11"/>
  <c r="AF207" i="2"/>
  <c r="BA207" i="2"/>
  <c r="BD206" i="2"/>
  <c r="BF206" i="2" s="1"/>
  <c r="BG206" i="2" s="1"/>
  <c r="AR206" i="2"/>
  <c r="AS206" i="2" s="1"/>
  <c r="AW205" i="2"/>
  <c r="D205" i="11"/>
  <c r="AV205" i="2"/>
  <c r="AX205" i="2" l="1"/>
  <c r="G205" i="11" s="1"/>
  <c r="M205" i="11" s="1"/>
  <c r="F205" i="11"/>
  <c r="L205" i="11" s="1"/>
  <c r="E205" i="11"/>
  <c r="AT206" i="2"/>
  <c r="AW207" i="11"/>
  <c r="AP207" i="2"/>
  <c r="BH206" i="2"/>
  <c r="BI206" i="2" s="1"/>
  <c r="M235" i="3"/>
  <c r="V208" i="2" s="1"/>
  <c r="AK208" i="2" s="1"/>
  <c r="L235" i="3"/>
  <c r="AE207" i="2" s="1"/>
  <c r="AL207" i="2" s="1"/>
  <c r="F236" i="3"/>
  <c r="G236" i="3" s="1"/>
  <c r="O208" i="11" s="1"/>
  <c r="C236" i="3"/>
  <c r="E236" i="3" s="1"/>
  <c r="P207" i="11"/>
  <c r="H236" i="3" l="1"/>
  <c r="AZ208" i="11"/>
  <c r="CI208" i="11" s="1"/>
  <c r="X75" i="20" s="1"/>
  <c r="X77" i="20" s="1"/>
  <c r="X78" i="20" s="1"/>
  <c r="K236" i="3"/>
  <c r="J236" i="3"/>
  <c r="I236" i="3"/>
  <c r="AF208" i="2"/>
  <c r="O236" i="3"/>
  <c r="AX208" i="11"/>
  <c r="CG208" i="11" s="1"/>
  <c r="X55" i="20" s="1"/>
  <c r="X57" i="20" s="1"/>
  <c r="D206" i="11"/>
  <c r="AW206" i="2"/>
  <c r="BA208" i="2"/>
  <c r="BD207" i="2"/>
  <c r="BF207" i="2" s="1"/>
  <c r="BG207" i="2" s="1"/>
  <c r="AR207" i="2"/>
  <c r="AS207" i="2" s="1"/>
  <c r="AZ207" i="2"/>
  <c r="BB207" i="2" s="1"/>
  <c r="AM207" i="2"/>
  <c r="AT207" i="2" s="1"/>
  <c r="AV206" i="2"/>
  <c r="BH207" i="2" l="1"/>
  <c r="BI207" i="2" s="1"/>
  <c r="C237" i="3"/>
  <c r="E237" i="3" s="1"/>
  <c r="P208" i="11"/>
  <c r="F237" i="3"/>
  <c r="AX206" i="2"/>
  <c r="G206" i="11" s="1"/>
  <c r="M206" i="11" s="1"/>
  <c r="F206" i="11"/>
  <c r="L206" i="11" s="1"/>
  <c r="AW208" i="11"/>
  <c r="CF208" i="11" s="1"/>
  <c r="X51" i="20" s="1"/>
  <c r="X52" i="20" s="1"/>
  <c r="X53" i="20" s="1"/>
  <c r="AP208" i="2"/>
  <c r="L236" i="3"/>
  <c r="AE208" i="2" s="1"/>
  <c r="AL208" i="2" s="1"/>
  <c r="M236" i="3"/>
  <c r="V209" i="2" s="1"/>
  <c r="AK209" i="2" s="1"/>
  <c r="D207" i="11"/>
  <c r="AW207" i="2"/>
  <c r="E206" i="11"/>
  <c r="AV207" i="2"/>
  <c r="O206" i="19" l="1"/>
  <c r="AZ208" i="2"/>
  <c r="BB208" i="2" s="1"/>
  <c r="AM208" i="2"/>
  <c r="X58" i="20"/>
  <c r="X59" i="20" s="1"/>
  <c r="X68" i="20"/>
  <c r="X69" i="20" s="1"/>
  <c r="X79" i="20" s="1"/>
  <c r="AX207" i="2"/>
  <c r="G207" i="11" s="1"/>
  <c r="M207" i="11" s="1"/>
  <c r="F207" i="11"/>
  <c r="L207" i="11" s="1"/>
  <c r="BD208" i="2"/>
  <c r="BF208" i="2" s="1"/>
  <c r="BG208" i="2" s="1"/>
  <c r="AR208" i="2"/>
  <c r="AS208" i="2" s="1"/>
  <c r="AF209" i="2"/>
  <c r="AX209" i="11"/>
  <c r="O237" i="3"/>
  <c r="H237" i="3"/>
  <c r="E207" i="11"/>
  <c r="BA209" i="2"/>
  <c r="G237" i="3"/>
  <c r="O209" i="11" s="1"/>
  <c r="AZ209" i="11" l="1"/>
  <c r="I237" i="3"/>
  <c r="J237" i="3"/>
  <c r="K237" i="3"/>
  <c r="X60" i="20"/>
  <c r="X62" i="20"/>
  <c r="AT208" i="2"/>
  <c r="AP209" i="2"/>
  <c r="AW209" i="11"/>
  <c r="X81" i="20"/>
  <c r="X82" i="20" s="1"/>
  <c r="X83" i="20" s="1"/>
  <c r="X80" i="20"/>
  <c r="BH208" i="2"/>
  <c r="BI208" i="2" s="1"/>
  <c r="AW208" i="2" l="1"/>
  <c r="D208" i="11"/>
  <c r="AV208" i="2"/>
  <c r="X61" i="20"/>
  <c r="F238" i="3"/>
  <c r="G238" i="3"/>
  <c r="O210" i="11" s="1"/>
  <c r="P209" i="11"/>
  <c r="C238" i="3"/>
  <c r="E238" i="3" s="1"/>
  <c r="H238" i="3" s="1"/>
  <c r="M237" i="3"/>
  <c r="V210" i="2" s="1"/>
  <c r="AK210" i="2" s="1"/>
  <c r="L237" i="3"/>
  <c r="AE209" i="2" s="1"/>
  <c r="AL209" i="2" s="1"/>
  <c r="BD209" i="2"/>
  <c r="BF209" i="2" s="1"/>
  <c r="BG209" i="2" s="1"/>
  <c r="AR209" i="2"/>
  <c r="AS209" i="2" s="1"/>
  <c r="AZ210" i="11" l="1"/>
  <c r="K238" i="3"/>
  <c r="J238" i="3"/>
  <c r="I238" i="3"/>
  <c r="AZ209" i="2"/>
  <c r="BB209" i="2" s="1"/>
  <c r="BH209" i="2" s="1"/>
  <c r="BI209" i="2" s="1"/>
  <c r="AM209" i="2"/>
  <c r="AT209" i="2" s="1"/>
  <c r="AV209" i="2" s="1"/>
  <c r="BA210" i="2"/>
  <c r="F208" i="11"/>
  <c r="L208" i="11" s="1"/>
  <c r="AX208" i="2"/>
  <c r="G208" i="11" s="1"/>
  <c r="M208" i="11" s="1"/>
  <c r="AX210" i="11"/>
  <c r="AF210" i="2"/>
  <c r="O238" i="3"/>
  <c r="E208" i="11"/>
  <c r="AW210" i="11" l="1"/>
  <c r="AP210" i="2"/>
  <c r="AW209" i="2"/>
  <c r="D209" i="11"/>
  <c r="F239" i="3"/>
  <c r="P210" i="11"/>
  <c r="G239" i="3"/>
  <c r="O211" i="11" s="1"/>
  <c r="C239" i="3"/>
  <c r="E239" i="3" s="1"/>
  <c r="H239" i="3" s="1"/>
  <c r="E209" i="11"/>
  <c r="M238" i="3"/>
  <c r="V211" i="2" s="1"/>
  <c r="AK211" i="2" s="1"/>
  <c r="L238" i="3"/>
  <c r="AE210" i="2" s="1"/>
  <c r="AL210" i="2" s="1"/>
  <c r="AZ211" i="11" l="1"/>
  <c r="I239" i="3"/>
  <c r="K239" i="3"/>
  <c r="J239" i="3"/>
  <c r="AX209" i="2"/>
  <c r="G209" i="11" s="1"/>
  <c r="M209" i="11" s="1"/>
  <c r="F209" i="11"/>
  <c r="L209" i="11" s="1"/>
  <c r="AZ210" i="2"/>
  <c r="BB210" i="2" s="1"/>
  <c r="AM210" i="2"/>
  <c r="BA211" i="2"/>
  <c r="AX211" i="11"/>
  <c r="AF211" i="2"/>
  <c r="O239" i="3"/>
  <c r="AR210" i="2"/>
  <c r="AS210" i="2" s="1"/>
  <c r="BD210" i="2"/>
  <c r="BF210" i="2" s="1"/>
  <c r="BG210" i="2" s="1"/>
  <c r="BH210" i="2" l="1"/>
  <c r="BI210" i="2" s="1"/>
  <c r="P211" i="11"/>
  <c r="F240" i="3"/>
  <c r="G240" i="3" s="1"/>
  <c r="O212" i="11" s="1"/>
  <c r="C240" i="3"/>
  <c r="E240" i="3" s="1"/>
  <c r="H240" i="3" s="1"/>
  <c r="AP211" i="2"/>
  <c r="AW211" i="11"/>
  <c r="AT210" i="2"/>
  <c r="L239" i="3"/>
  <c r="AE211" i="2" s="1"/>
  <c r="AL211" i="2" s="1"/>
  <c r="M239" i="3"/>
  <c r="V212" i="2" s="1"/>
  <c r="AK212" i="2" s="1"/>
  <c r="AZ212" i="11" l="1"/>
  <c r="K240" i="3"/>
  <c r="I240" i="3"/>
  <c r="J240" i="3"/>
  <c r="BA212" i="2"/>
  <c r="AZ211" i="2"/>
  <c r="BB211" i="2" s="1"/>
  <c r="AM211" i="2"/>
  <c r="AF212" i="2"/>
  <c r="O240" i="3"/>
  <c r="AX212" i="11"/>
  <c r="AW210" i="2"/>
  <c r="D210" i="11"/>
  <c r="AV210" i="2"/>
  <c r="AR211" i="2"/>
  <c r="AS211" i="2" s="1"/>
  <c r="BD211" i="2"/>
  <c r="BF211" i="2" s="1"/>
  <c r="BG211" i="2" s="1"/>
  <c r="E210" i="11" l="1"/>
  <c r="BH211" i="2"/>
  <c r="BI211" i="2" s="1"/>
  <c r="AW212" i="11"/>
  <c r="AP212" i="2"/>
  <c r="F241" i="3"/>
  <c r="G241" i="3" s="1"/>
  <c r="O213" i="11" s="1"/>
  <c r="P212" i="11"/>
  <c r="C241" i="3"/>
  <c r="E241" i="3" s="1"/>
  <c r="AX210" i="2"/>
  <c r="G210" i="11" s="1"/>
  <c r="M210" i="11" s="1"/>
  <c r="F210" i="11"/>
  <c r="L210" i="11" s="1"/>
  <c r="AT211" i="2"/>
  <c r="L240" i="3"/>
  <c r="AE212" i="2" s="1"/>
  <c r="AL212" i="2" s="1"/>
  <c r="M240" i="3"/>
  <c r="V213" i="2" s="1"/>
  <c r="AK213" i="2" s="1"/>
  <c r="H241" i="3" l="1"/>
  <c r="AZ213" i="11" s="1"/>
  <c r="I241" i="3"/>
  <c r="AZ212" i="2"/>
  <c r="BB212" i="2" s="1"/>
  <c r="AM212" i="2"/>
  <c r="AW211" i="2"/>
  <c r="D211" i="11"/>
  <c r="AR212" i="2"/>
  <c r="AS212" i="2" s="1"/>
  <c r="BD212" i="2"/>
  <c r="BF212" i="2" s="1"/>
  <c r="BG212" i="2" s="1"/>
  <c r="AV211" i="2"/>
  <c r="BA213" i="2"/>
  <c r="O241" i="3"/>
  <c r="AX213" i="11"/>
  <c r="AF213" i="2"/>
  <c r="J241" i="3" l="1"/>
  <c r="K241" i="3"/>
  <c r="M241" i="3" s="1"/>
  <c r="V214" i="2" s="1"/>
  <c r="AK214" i="2" s="1"/>
  <c r="AP213" i="2"/>
  <c r="AW213" i="11"/>
  <c r="AT212" i="2"/>
  <c r="AV212" i="2" s="1"/>
  <c r="P213" i="11"/>
  <c r="F242" i="3"/>
  <c r="G242" i="3" s="1"/>
  <c r="O214" i="11" s="1"/>
  <c r="C242" i="3"/>
  <c r="E242" i="3" s="1"/>
  <c r="F211" i="11"/>
  <c r="L211" i="11" s="1"/>
  <c r="AX211" i="2"/>
  <c r="G211" i="11" s="1"/>
  <c r="M211" i="11" s="1"/>
  <c r="BH212" i="2"/>
  <c r="BI212" i="2" s="1"/>
  <c r="E211" i="11"/>
  <c r="L241" i="3" l="1"/>
  <c r="AE213" i="2" s="1"/>
  <c r="AL213" i="2" s="1"/>
  <c r="AZ213" i="2" s="1"/>
  <c r="BB213" i="2" s="1"/>
  <c r="H242" i="3"/>
  <c r="AZ214" i="11" s="1"/>
  <c r="I242" i="3"/>
  <c r="K242" i="3"/>
  <c r="J242" i="3"/>
  <c r="BA214" i="2"/>
  <c r="E212" i="11"/>
  <c r="AF214" i="2"/>
  <c r="O242" i="3"/>
  <c r="AX214" i="11"/>
  <c r="D212" i="11"/>
  <c r="AW212" i="2"/>
  <c r="BD213" i="2"/>
  <c r="BF213" i="2" s="1"/>
  <c r="BG213" i="2" s="1"/>
  <c r="AR213" i="2"/>
  <c r="AS213" i="2" s="1"/>
  <c r="AM213" i="2" l="1"/>
  <c r="AW214" i="11"/>
  <c r="AP214" i="2"/>
  <c r="F212" i="11"/>
  <c r="L212" i="11" s="1"/>
  <c r="AX212" i="2"/>
  <c r="G212" i="11" s="1"/>
  <c r="M212" i="11" s="1"/>
  <c r="AT213" i="2"/>
  <c r="F243" i="3"/>
  <c r="C243" i="3"/>
  <c r="E243" i="3" s="1"/>
  <c r="H243" i="3" s="1"/>
  <c r="G243" i="3"/>
  <c r="O215" i="11" s="1"/>
  <c r="P214" i="11"/>
  <c r="BH213" i="2"/>
  <c r="BI213" i="2" s="1"/>
  <c r="L242" i="3"/>
  <c r="AE214" i="2" s="1"/>
  <c r="AL214" i="2" s="1"/>
  <c r="M242" i="3"/>
  <c r="V215" i="2" s="1"/>
  <c r="AK215" i="2" s="1"/>
  <c r="K243" i="3" l="1"/>
  <c r="I243" i="3"/>
  <c r="M243" i="3"/>
  <c r="V216" i="2" s="1"/>
  <c r="AK216" i="2" s="1"/>
  <c r="L243" i="3"/>
  <c r="AE215" i="2" s="1"/>
  <c r="AZ214" i="2"/>
  <c r="BB214" i="2" s="1"/>
  <c r="AM214" i="2"/>
  <c r="BA215" i="2"/>
  <c r="AZ215" i="11"/>
  <c r="AX215" i="11"/>
  <c r="AF215" i="2"/>
  <c r="O243" i="3"/>
  <c r="BD214" i="2"/>
  <c r="BF214" i="2" s="1"/>
  <c r="BG214" i="2" s="1"/>
  <c r="AR214" i="2"/>
  <c r="AS214" i="2" s="1"/>
  <c r="J243" i="3"/>
  <c r="AW213" i="2"/>
  <c r="D213" i="11"/>
  <c r="AV213" i="2"/>
  <c r="P215" i="11" l="1"/>
  <c r="C244" i="3"/>
  <c r="E244" i="3" s="1"/>
  <c r="F244" i="3"/>
  <c r="F213" i="11"/>
  <c r="L213" i="11" s="1"/>
  <c r="AX213" i="2"/>
  <c r="G213" i="11" s="1"/>
  <c r="M213" i="11" s="1"/>
  <c r="BH214" i="2"/>
  <c r="BI214" i="2" s="1"/>
  <c r="E213" i="11"/>
  <c r="AP215" i="2"/>
  <c r="AW215" i="11"/>
  <c r="AL215" i="2"/>
  <c r="AT214" i="2"/>
  <c r="BA216" i="2"/>
  <c r="H244" i="3" l="1"/>
  <c r="J244" i="3" s="1"/>
  <c r="G244" i="3"/>
  <c r="O216" i="11" s="1"/>
  <c r="AZ216" i="11"/>
  <c r="AW214" i="2"/>
  <c r="D214" i="11"/>
  <c r="AZ215" i="2"/>
  <c r="BB215" i="2" s="1"/>
  <c r="AM215" i="2"/>
  <c r="AF216" i="2"/>
  <c r="O244" i="3"/>
  <c r="AX216" i="11"/>
  <c r="BD215" i="2"/>
  <c r="BF215" i="2" s="1"/>
  <c r="BG215" i="2" s="1"/>
  <c r="AR215" i="2"/>
  <c r="AS215" i="2" s="1"/>
  <c r="AV214" i="2"/>
  <c r="I244" i="3"/>
  <c r="K244" i="3" l="1"/>
  <c r="E214" i="11"/>
  <c r="F245" i="3"/>
  <c r="G245" i="3" s="1"/>
  <c r="O217" i="11" s="1"/>
  <c r="P216" i="11"/>
  <c r="C245" i="3"/>
  <c r="E245" i="3" s="1"/>
  <c r="H245" i="3" s="1"/>
  <c r="AW216" i="11"/>
  <c r="AP216" i="2"/>
  <c r="AX214" i="2"/>
  <c r="G214" i="11" s="1"/>
  <c r="M214" i="11" s="1"/>
  <c r="F214" i="11"/>
  <c r="L214" i="11" s="1"/>
  <c r="L244" i="3"/>
  <c r="AE216" i="2" s="1"/>
  <c r="AL216" i="2" s="1"/>
  <c r="M244" i="3"/>
  <c r="V217" i="2" s="1"/>
  <c r="AK217" i="2" s="1"/>
  <c r="AT215" i="2"/>
  <c r="BH215" i="2"/>
  <c r="BI215" i="2" s="1"/>
  <c r="AZ217" i="11" l="1"/>
  <c r="K245" i="3"/>
  <c r="J245" i="3"/>
  <c r="I245" i="3"/>
  <c r="AZ216" i="2"/>
  <c r="BB216" i="2" s="1"/>
  <c r="AM216" i="2"/>
  <c r="D215" i="11"/>
  <c r="AW215" i="2"/>
  <c r="O245" i="3"/>
  <c r="AX217" i="11"/>
  <c r="AF217" i="2"/>
  <c r="BA217" i="2"/>
  <c r="BD216" i="2"/>
  <c r="BF216" i="2" s="1"/>
  <c r="BG216" i="2" s="1"/>
  <c r="AR216" i="2"/>
  <c r="AS216" i="2" s="1"/>
  <c r="AV215" i="2"/>
  <c r="E215" i="11" l="1"/>
  <c r="AT216" i="2"/>
  <c r="AV216" i="2" s="1"/>
  <c r="M245" i="3"/>
  <c r="V218" i="2" s="1"/>
  <c r="AK218" i="2" s="1"/>
  <c r="L245" i="3"/>
  <c r="AE217" i="2" s="1"/>
  <c r="AL217" i="2" s="1"/>
  <c r="AP217" i="2"/>
  <c r="AW217" i="11"/>
  <c r="F215" i="11"/>
  <c r="L215" i="11" s="1"/>
  <c r="AX215" i="2"/>
  <c r="G215" i="11" s="1"/>
  <c r="M215" i="11" s="1"/>
  <c r="BH216" i="2"/>
  <c r="BI216" i="2" s="1"/>
  <c r="F246" i="3"/>
  <c r="C246" i="3"/>
  <c r="E246" i="3" s="1"/>
  <c r="H246" i="3" s="1"/>
  <c r="K246" i="3" s="1"/>
  <c r="G246" i="3"/>
  <c r="O218" i="11" s="1"/>
  <c r="P217" i="11"/>
  <c r="I246" i="3" l="1"/>
  <c r="M246" i="3"/>
  <c r="V219" i="2" s="1"/>
  <c r="AK219" i="2" s="1"/>
  <c r="L246" i="3"/>
  <c r="AE218" i="2" s="1"/>
  <c r="E216" i="11"/>
  <c r="AZ217" i="2"/>
  <c r="BB217" i="2" s="1"/>
  <c r="AM217" i="2"/>
  <c r="O246" i="3"/>
  <c r="AX218" i="11"/>
  <c r="AF218" i="2"/>
  <c r="AZ218" i="11"/>
  <c r="J246" i="3"/>
  <c r="BD217" i="2"/>
  <c r="BF217" i="2" s="1"/>
  <c r="BG217" i="2" s="1"/>
  <c r="AR217" i="2"/>
  <c r="AS217" i="2" s="1"/>
  <c r="BA218" i="2"/>
  <c r="AW216" i="2"/>
  <c r="D216" i="11"/>
  <c r="AL218" i="2" l="1"/>
  <c r="AZ218" i="2" s="1"/>
  <c r="BB218" i="2" s="1"/>
  <c r="AP218" i="2"/>
  <c r="AW218" i="11"/>
  <c r="AX216" i="2"/>
  <c r="G216" i="11" s="1"/>
  <c r="M216" i="11" s="1"/>
  <c r="F216" i="11"/>
  <c r="L216" i="11" s="1"/>
  <c r="P218" i="11"/>
  <c r="C247" i="3"/>
  <c r="E247" i="3" s="1"/>
  <c r="F247" i="3"/>
  <c r="G247" i="3" s="1"/>
  <c r="O219" i="11" s="1"/>
  <c r="BH217" i="2"/>
  <c r="BI217" i="2" s="1"/>
  <c r="AT217" i="2"/>
  <c r="BA219" i="2"/>
  <c r="AM218" i="2" l="1"/>
  <c r="H247" i="3"/>
  <c r="AZ219" i="11"/>
  <c r="J247" i="3"/>
  <c r="I247" i="3"/>
  <c r="K247" i="3"/>
  <c r="AW217" i="2"/>
  <c r="D217" i="11"/>
  <c r="AV217" i="2"/>
  <c r="AF219" i="2"/>
  <c r="O247" i="3"/>
  <c r="AX219" i="11"/>
  <c r="BD218" i="2"/>
  <c r="BF218" i="2" s="1"/>
  <c r="BG218" i="2" s="1"/>
  <c r="BH218" i="2" s="1"/>
  <c r="BI218" i="2" s="1"/>
  <c r="AR218" i="2"/>
  <c r="AS218" i="2" s="1"/>
  <c r="AT218" i="2" l="1"/>
  <c r="AV218" i="2" s="1"/>
  <c r="E217" i="11"/>
  <c r="AW219" i="11"/>
  <c r="AP219" i="2"/>
  <c r="AX217" i="2"/>
  <c r="G217" i="11" s="1"/>
  <c r="M217" i="11" s="1"/>
  <c r="F217" i="11"/>
  <c r="L217" i="11" s="1"/>
  <c r="AW218" i="2"/>
  <c r="D218" i="11"/>
  <c r="L247" i="3"/>
  <c r="AE219" i="2" s="1"/>
  <c r="AL219" i="2" s="1"/>
  <c r="M247" i="3"/>
  <c r="V220" i="2" s="1"/>
  <c r="AK220" i="2" s="1"/>
  <c r="G248" i="3"/>
  <c r="O220" i="11" s="1"/>
  <c r="P219" i="11"/>
  <c r="F248" i="3"/>
  <c r="C248" i="3"/>
  <c r="E248" i="3" s="1"/>
  <c r="H248" i="3" s="1"/>
  <c r="AZ220" i="11" l="1"/>
  <c r="CI220" i="11" s="1"/>
  <c r="Y75" i="20" s="1"/>
  <c r="Y77" i="20" s="1"/>
  <c r="Y78" i="20" s="1"/>
  <c r="I248" i="3"/>
  <c r="K248" i="3"/>
  <c r="J248" i="3"/>
  <c r="AF220" i="2"/>
  <c r="O248" i="3"/>
  <c r="AX220" i="11"/>
  <c r="CG220" i="11" s="1"/>
  <c r="Y55" i="20" s="1"/>
  <c r="Y57" i="20" s="1"/>
  <c r="BA220" i="2"/>
  <c r="AZ219" i="2"/>
  <c r="BB219" i="2" s="1"/>
  <c r="AM219" i="2"/>
  <c r="AR219" i="2"/>
  <c r="AS219" i="2" s="1"/>
  <c r="BD219" i="2"/>
  <c r="BF219" i="2" s="1"/>
  <c r="BG219" i="2" s="1"/>
  <c r="F218" i="11"/>
  <c r="L218" i="11" s="1"/>
  <c r="AX218" i="2"/>
  <c r="G218" i="11" s="1"/>
  <c r="M218" i="11" s="1"/>
  <c r="E218" i="11"/>
  <c r="BH219" i="2" l="1"/>
  <c r="BI219" i="2" s="1"/>
  <c r="AW220" i="11"/>
  <c r="CF220" i="11" s="1"/>
  <c r="Y51" i="20" s="1"/>
  <c r="Y52" i="20" s="1"/>
  <c r="Y53" i="20" s="1"/>
  <c r="AP220" i="2"/>
  <c r="AT219" i="2"/>
  <c r="M248" i="3"/>
  <c r="V221" i="2" s="1"/>
  <c r="AK221" i="2" s="1"/>
  <c r="L248" i="3"/>
  <c r="AE220" i="2" s="1"/>
  <c r="AL220" i="2" s="1"/>
  <c r="F249" i="3"/>
  <c r="G249" i="3" s="1"/>
  <c r="O221" i="11" s="1"/>
  <c r="P220" i="11"/>
  <c r="C249" i="3"/>
  <c r="E249" i="3" s="1"/>
  <c r="H249" i="3" s="1"/>
  <c r="O218" i="19" l="1"/>
  <c r="AZ221" i="11"/>
  <c r="J249" i="3"/>
  <c r="I249" i="3"/>
  <c r="K249" i="3"/>
  <c r="BA221" i="2"/>
  <c r="AZ220" i="2"/>
  <c r="BB220" i="2" s="1"/>
  <c r="AM220" i="2"/>
  <c r="AW219" i="2"/>
  <c r="D219" i="11"/>
  <c r="AV219" i="2"/>
  <c r="BD220" i="2"/>
  <c r="BF220" i="2" s="1"/>
  <c r="BG220" i="2" s="1"/>
  <c r="AR220" i="2"/>
  <c r="AS220" i="2" s="1"/>
  <c r="Y68" i="20"/>
  <c r="Y69" i="20" s="1"/>
  <c r="Y79" i="20" s="1"/>
  <c r="Y58" i="20"/>
  <c r="Y59" i="20" s="1"/>
  <c r="AF221" i="2"/>
  <c r="AX221" i="11"/>
  <c r="O249" i="3"/>
  <c r="Y81" i="20" l="1"/>
  <c r="Y82" i="20" s="1"/>
  <c r="Y83" i="20" s="1"/>
  <c r="Y80" i="20"/>
  <c r="BH220" i="2"/>
  <c r="BI220" i="2" s="1"/>
  <c r="Y62" i="20"/>
  <c r="Y60" i="20"/>
  <c r="AT220" i="2"/>
  <c r="AV220" i="2" s="1"/>
  <c r="AW221" i="11"/>
  <c r="AP221" i="2"/>
  <c r="E219" i="11"/>
  <c r="F219" i="11"/>
  <c r="L219" i="11" s="1"/>
  <c r="AX219" i="2"/>
  <c r="G219" i="11" s="1"/>
  <c r="M219" i="11" s="1"/>
  <c r="M249" i="3"/>
  <c r="V222" i="2" s="1"/>
  <c r="AK222" i="2" s="1"/>
  <c r="L249" i="3"/>
  <c r="AE221" i="2" s="1"/>
  <c r="F250" i="3"/>
  <c r="C250" i="3"/>
  <c r="E250" i="3" s="1"/>
  <c r="H250" i="3" s="1"/>
  <c r="P221" i="11"/>
  <c r="G250" i="3"/>
  <c r="O222" i="11" s="1"/>
  <c r="AL221" i="2"/>
  <c r="AZ222" i="11" l="1"/>
  <c r="J250" i="3"/>
  <c r="K250" i="3"/>
  <c r="I250" i="3"/>
  <c r="AZ221" i="2"/>
  <c r="BB221" i="2" s="1"/>
  <c r="AM221" i="2"/>
  <c r="BA222" i="2"/>
  <c r="E220" i="11"/>
  <c r="AX222" i="11"/>
  <c r="AF222" i="2"/>
  <c r="O250" i="3"/>
  <c r="BD221" i="2"/>
  <c r="BF221" i="2" s="1"/>
  <c r="BG221" i="2" s="1"/>
  <c r="AR221" i="2"/>
  <c r="AS221" i="2" s="1"/>
  <c r="D220" i="11"/>
  <c r="AW220" i="2"/>
  <c r="Y61" i="20"/>
  <c r="M250" i="3" l="1"/>
  <c r="V223" i="2" s="1"/>
  <c r="AK223" i="2" s="1"/>
  <c r="L250" i="3"/>
  <c r="AE222" i="2" s="1"/>
  <c r="AL222" i="2" s="1"/>
  <c r="F220" i="11"/>
  <c r="L220" i="11" s="1"/>
  <c r="AX220" i="2"/>
  <c r="G220" i="11" s="1"/>
  <c r="M220" i="11" s="1"/>
  <c r="AW222" i="11"/>
  <c r="AP222" i="2"/>
  <c r="AT221" i="2"/>
  <c r="BH221" i="2"/>
  <c r="BI221" i="2" s="1"/>
  <c r="C251" i="3"/>
  <c r="E251" i="3" s="1"/>
  <c r="P222" i="11"/>
  <c r="F251" i="3"/>
  <c r="G251" i="3" s="1"/>
  <c r="O223" i="11" s="1"/>
  <c r="H251" i="3" l="1"/>
  <c r="AZ223" i="11" s="1"/>
  <c r="D221" i="11"/>
  <c r="AW221" i="2"/>
  <c r="AV221" i="2"/>
  <c r="AZ222" i="2"/>
  <c r="BB222" i="2" s="1"/>
  <c r="AM222" i="2"/>
  <c r="AX223" i="11"/>
  <c r="AF223" i="2"/>
  <c r="O251" i="3"/>
  <c r="I251" i="3"/>
  <c r="J251" i="3"/>
  <c r="BD222" i="2"/>
  <c r="BF222" i="2" s="1"/>
  <c r="BG222" i="2" s="1"/>
  <c r="AR222" i="2"/>
  <c r="AS222" i="2" s="1"/>
  <c r="BA223" i="2"/>
  <c r="K251" i="3" l="1"/>
  <c r="C252" i="3"/>
  <c r="E252" i="3" s="1"/>
  <c r="P223" i="11"/>
  <c r="F252" i="3"/>
  <c r="G252" i="3"/>
  <c r="O224" i="11" s="1"/>
  <c r="BH222" i="2"/>
  <c r="BI222" i="2" s="1"/>
  <c r="AT222" i="2"/>
  <c r="E221" i="11"/>
  <c r="AP223" i="2"/>
  <c r="AW223" i="11"/>
  <c r="F221" i="11"/>
  <c r="L221" i="11" s="1"/>
  <c r="AX221" i="2"/>
  <c r="G221" i="11" s="1"/>
  <c r="M221" i="11" s="1"/>
  <c r="L251" i="3"/>
  <c r="AE223" i="2" s="1"/>
  <c r="AL223" i="2" s="1"/>
  <c r="M251" i="3"/>
  <c r="V224" i="2" s="1"/>
  <c r="AK224" i="2" s="1"/>
  <c r="BA224" i="2" l="1"/>
  <c r="AW222" i="2"/>
  <c r="D222" i="11"/>
  <c r="O252" i="3"/>
  <c r="AF224" i="2"/>
  <c r="AX224" i="11"/>
  <c r="AZ223" i="2"/>
  <c r="BB223" i="2" s="1"/>
  <c r="AM223" i="2"/>
  <c r="AR223" i="2"/>
  <c r="AS223" i="2" s="1"/>
  <c r="BD223" i="2"/>
  <c r="BF223" i="2" s="1"/>
  <c r="BG223" i="2" s="1"/>
  <c r="AV222" i="2"/>
  <c r="H252" i="3"/>
  <c r="BH223" i="2" l="1"/>
  <c r="BI223" i="2" s="1"/>
  <c r="E222" i="11"/>
  <c r="AP224" i="2"/>
  <c r="AW224" i="11"/>
  <c r="AZ224" i="11"/>
  <c r="J252" i="3"/>
  <c r="I252" i="3"/>
  <c r="K252" i="3"/>
  <c r="AT223" i="2"/>
  <c r="AV223" i="2" s="1"/>
  <c r="F222" i="11"/>
  <c r="L222" i="11" s="1"/>
  <c r="AX222" i="2"/>
  <c r="G222" i="11" s="1"/>
  <c r="M222" i="11" s="1"/>
  <c r="E223" i="11" l="1"/>
  <c r="F253" i="3"/>
  <c r="G253" i="3"/>
  <c r="O225" i="11" s="1"/>
  <c r="P224" i="11"/>
  <c r="C253" i="3"/>
  <c r="E253" i="3" s="1"/>
  <c r="H253" i="3" s="1"/>
  <c r="J253" i="3" s="1"/>
  <c r="M252" i="3"/>
  <c r="V225" i="2" s="1"/>
  <c r="AK225" i="2" s="1"/>
  <c r="L252" i="3"/>
  <c r="AE224" i="2" s="1"/>
  <c r="AL224" i="2" s="1"/>
  <c r="BD224" i="2"/>
  <c r="BF224" i="2" s="1"/>
  <c r="BG224" i="2" s="1"/>
  <c r="AR224" i="2"/>
  <c r="AS224" i="2" s="1"/>
  <c r="AW223" i="2"/>
  <c r="D223" i="11"/>
  <c r="F254" i="3" l="1"/>
  <c r="P225" i="11"/>
  <c r="G254" i="3"/>
  <c r="O226" i="11" s="1"/>
  <c r="C254" i="3"/>
  <c r="E254" i="3" s="1"/>
  <c r="H254" i="3" s="1"/>
  <c r="BA225" i="2"/>
  <c r="K253" i="3"/>
  <c r="F223" i="11"/>
  <c r="L223" i="11" s="1"/>
  <c r="AX223" i="2"/>
  <c r="G223" i="11" s="1"/>
  <c r="M223" i="11" s="1"/>
  <c r="AZ224" i="2"/>
  <c r="BB224" i="2" s="1"/>
  <c r="BH224" i="2" s="1"/>
  <c r="BI224" i="2" s="1"/>
  <c r="AM224" i="2"/>
  <c r="AT224" i="2" s="1"/>
  <c r="AZ225" i="11"/>
  <c r="I253" i="3"/>
  <c r="O253" i="3"/>
  <c r="AF225" i="2"/>
  <c r="AX225" i="11"/>
  <c r="AZ226" i="11" l="1"/>
  <c r="M253" i="3"/>
  <c r="V226" i="2" s="1"/>
  <c r="AK226" i="2" s="1"/>
  <c r="L253" i="3"/>
  <c r="AE225" i="2" s="1"/>
  <c r="AL225" i="2" s="1"/>
  <c r="J254" i="3"/>
  <c r="AW225" i="11"/>
  <c r="AP225" i="2"/>
  <c r="AW224" i="2"/>
  <c r="D224" i="11"/>
  <c r="AV224" i="2"/>
  <c r="I254" i="3"/>
  <c r="K254" i="3"/>
  <c r="AX226" i="11"/>
  <c r="O254" i="3"/>
  <c r="AF226" i="2"/>
  <c r="C255" i="3" l="1"/>
  <c r="E255" i="3" s="1"/>
  <c r="P226" i="11"/>
  <c r="F255" i="3"/>
  <c r="G255" i="3" s="1"/>
  <c r="O227" i="11" s="1"/>
  <c r="H255" i="3"/>
  <c r="I255" i="3"/>
  <c r="L254" i="3"/>
  <c r="AE226" i="2" s="1"/>
  <c r="AL226" i="2" s="1"/>
  <c r="AZ226" i="2" s="1"/>
  <c r="M254" i="3"/>
  <c r="V227" i="2" s="1"/>
  <c r="AK227" i="2" s="1"/>
  <c r="AX224" i="2"/>
  <c r="G224" i="11" s="1"/>
  <c r="M224" i="11" s="1"/>
  <c r="F224" i="11"/>
  <c r="L224" i="11" s="1"/>
  <c r="BA226" i="2"/>
  <c r="E224" i="11"/>
  <c r="AR225" i="2"/>
  <c r="AS225" i="2" s="1"/>
  <c r="BD225" i="2"/>
  <c r="BF225" i="2" s="1"/>
  <c r="BG225" i="2" s="1"/>
  <c r="AP226" i="2"/>
  <c r="AW226" i="11"/>
  <c r="AZ225" i="2"/>
  <c r="BB225" i="2" s="1"/>
  <c r="BH225" i="2" s="1"/>
  <c r="BI225" i="2" s="1"/>
  <c r="AM225" i="2"/>
  <c r="AT225" i="2" l="1"/>
  <c r="AV225" i="2" s="1"/>
  <c r="BB226" i="2"/>
  <c r="D225" i="11"/>
  <c r="AW225" i="2"/>
  <c r="AR226" i="2"/>
  <c r="AS226" i="2" s="1"/>
  <c r="BD226" i="2"/>
  <c r="BF226" i="2" s="1"/>
  <c r="BG226" i="2" s="1"/>
  <c r="AM226" i="2"/>
  <c r="BA227" i="2"/>
  <c r="AZ227" i="11"/>
  <c r="AF227" i="2"/>
  <c r="O255" i="3"/>
  <c r="AX227" i="11"/>
  <c r="J255" i="3"/>
  <c r="K255" i="3"/>
  <c r="BH226" i="2" l="1"/>
  <c r="BI226" i="2" s="1"/>
  <c r="AT226" i="2"/>
  <c r="D226" i="11" s="1"/>
  <c r="F225" i="11"/>
  <c r="L225" i="11" s="1"/>
  <c r="AX225" i="2"/>
  <c r="G225" i="11" s="1"/>
  <c r="M225" i="11" s="1"/>
  <c r="F256" i="3"/>
  <c r="G256" i="3" s="1"/>
  <c r="O228" i="11" s="1"/>
  <c r="P227" i="11"/>
  <c r="C256" i="3"/>
  <c r="E256" i="3" s="1"/>
  <c r="L255" i="3"/>
  <c r="AE227" i="2" s="1"/>
  <c r="AL227" i="2" s="1"/>
  <c r="M255" i="3"/>
  <c r="V228" i="2" s="1"/>
  <c r="AK228" i="2" s="1"/>
  <c r="AW227" i="11"/>
  <c r="AP227" i="2"/>
  <c r="E225" i="11"/>
  <c r="H256" i="3" l="1"/>
  <c r="AZ228" i="11" s="1"/>
  <c r="AV226" i="2"/>
  <c r="E226" i="11" s="1"/>
  <c r="AW226" i="2"/>
  <c r="AX226" i="2" s="1"/>
  <c r="G226" i="11" s="1"/>
  <c r="M226" i="11" s="1"/>
  <c r="AZ227" i="2"/>
  <c r="BB227" i="2" s="1"/>
  <c r="AM227" i="2"/>
  <c r="I256" i="3"/>
  <c r="BD227" i="2"/>
  <c r="BF227" i="2" s="1"/>
  <c r="BG227" i="2" s="1"/>
  <c r="AR227" i="2"/>
  <c r="AS227" i="2" s="1"/>
  <c r="BA228" i="2"/>
  <c r="AF228" i="2"/>
  <c r="O256" i="3"/>
  <c r="AX228" i="11"/>
  <c r="J256" i="3" l="1"/>
  <c r="AT227" i="2"/>
  <c r="AV227" i="2" s="1"/>
  <c r="BH227" i="2"/>
  <c r="BI227" i="2" s="1"/>
  <c r="K256" i="3"/>
  <c r="F226" i="11"/>
  <c r="L226" i="11" s="1"/>
  <c r="E227" i="11"/>
  <c r="M256" i="3"/>
  <c r="V229" i="2" s="1"/>
  <c r="AK229" i="2" s="1"/>
  <c r="L256" i="3"/>
  <c r="AE228" i="2" s="1"/>
  <c r="AL228" i="2" s="1"/>
  <c r="D227" i="11"/>
  <c r="AW227" i="2"/>
  <c r="F257" i="3"/>
  <c r="G257" i="3"/>
  <c r="O229" i="11" s="1"/>
  <c r="C257" i="3"/>
  <c r="E257" i="3" s="1"/>
  <c r="P228" i="11"/>
  <c r="AW228" i="11"/>
  <c r="AP228" i="2"/>
  <c r="H257" i="3" l="1"/>
  <c r="AZ229" i="11"/>
  <c r="K257" i="3"/>
  <c r="J257" i="3"/>
  <c r="I257" i="3"/>
  <c r="AZ228" i="2"/>
  <c r="BB228" i="2" s="1"/>
  <c r="AM228" i="2"/>
  <c r="BD228" i="2"/>
  <c r="BF228" i="2" s="1"/>
  <c r="BG228" i="2" s="1"/>
  <c r="AR228" i="2"/>
  <c r="AS228" i="2" s="1"/>
  <c r="AX229" i="11"/>
  <c r="AF229" i="2"/>
  <c r="O257" i="3"/>
  <c r="AX227" i="2"/>
  <c r="G227" i="11" s="1"/>
  <c r="M227" i="11" s="1"/>
  <c r="F227" i="11"/>
  <c r="L227" i="11" s="1"/>
  <c r="BA229" i="2"/>
  <c r="BH228" i="2" l="1"/>
  <c r="BI228" i="2" s="1"/>
  <c r="AW229" i="11"/>
  <c r="AP229" i="2"/>
  <c r="AT228" i="2"/>
  <c r="F258" i="3"/>
  <c r="G258" i="3" s="1"/>
  <c r="O230" i="11" s="1"/>
  <c r="P229" i="11"/>
  <c r="C258" i="3"/>
  <c r="E258" i="3" s="1"/>
  <c r="L257" i="3"/>
  <c r="AE229" i="2" s="1"/>
  <c r="AL229" i="2" s="1"/>
  <c r="M257" i="3"/>
  <c r="V230" i="2" s="1"/>
  <c r="AK230" i="2" s="1"/>
  <c r="H258" i="3" l="1"/>
  <c r="AZ230" i="11"/>
  <c r="J258" i="3"/>
  <c r="K258" i="3"/>
  <c r="I258" i="3"/>
  <c r="AW228" i="2"/>
  <c r="D228" i="11"/>
  <c r="AV228" i="2"/>
  <c r="AR229" i="2"/>
  <c r="AS229" i="2" s="1"/>
  <c r="BD229" i="2"/>
  <c r="BF229" i="2" s="1"/>
  <c r="BG229" i="2" s="1"/>
  <c r="AZ229" i="2"/>
  <c r="BB229" i="2" s="1"/>
  <c r="AM229" i="2"/>
  <c r="BA230" i="2"/>
  <c r="O258" i="3"/>
  <c r="AX230" i="11"/>
  <c r="AF230" i="2"/>
  <c r="AT229" i="2" l="1"/>
  <c r="AW229" i="2" s="1"/>
  <c r="BH229" i="2"/>
  <c r="BI229" i="2" s="1"/>
  <c r="E228" i="11"/>
  <c r="AV229" i="2"/>
  <c r="F259" i="3"/>
  <c r="G259" i="3" s="1"/>
  <c r="O231" i="11" s="1"/>
  <c r="P230" i="11"/>
  <c r="C259" i="3"/>
  <c r="E259" i="3" s="1"/>
  <c r="H259" i="3" s="1"/>
  <c r="AP230" i="2"/>
  <c r="AW230" i="11"/>
  <c r="AX228" i="2"/>
  <c r="G228" i="11" s="1"/>
  <c r="M228" i="11" s="1"/>
  <c r="F228" i="11"/>
  <c r="L228" i="11" s="1"/>
  <c r="M258" i="3"/>
  <c r="V231" i="2" s="1"/>
  <c r="AK231" i="2" s="1"/>
  <c r="L258" i="3"/>
  <c r="AE230" i="2" s="1"/>
  <c r="AL230" i="2" s="1"/>
  <c r="D229" i="11" l="1"/>
  <c r="AZ231" i="11"/>
  <c r="J259" i="3"/>
  <c r="I259" i="3"/>
  <c r="K259" i="3"/>
  <c r="BA231" i="2"/>
  <c r="AX229" i="2"/>
  <c r="G229" i="11" s="1"/>
  <c r="M229" i="11" s="1"/>
  <c r="F229" i="11"/>
  <c r="L229" i="11" s="1"/>
  <c r="AZ230" i="2"/>
  <c r="BB230" i="2" s="1"/>
  <c r="AM230" i="2"/>
  <c r="O259" i="3"/>
  <c r="AX231" i="11"/>
  <c r="AF231" i="2"/>
  <c r="E229" i="11"/>
  <c r="AR230" i="2"/>
  <c r="AS230" i="2" s="1"/>
  <c r="BD230" i="2"/>
  <c r="BF230" i="2" s="1"/>
  <c r="BG230" i="2" s="1"/>
  <c r="AT230" i="2" l="1"/>
  <c r="AP231" i="2"/>
  <c r="AW231" i="11"/>
  <c r="BH230" i="2"/>
  <c r="BI230" i="2" s="1"/>
  <c r="M259" i="3"/>
  <c r="V232" i="2" s="1"/>
  <c r="AK232" i="2" s="1"/>
  <c r="L259" i="3"/>
  <c r="AE231" i="2" s="1"/>
  <c r="AL231" i="2" s="1"/>
  <c r="C260" i="3"/>
  <c r="E260" i="3" s="1"/>
  <c r="P231" i="11"/>
  <c r="F260" i="3"/>
  <c r="G260" i="3" s="1"/>
  <c r="O232" i="11" s="1"/>
  <c r="H260" i="3" l="1"/>
  <c r="K260" i="3" s="1"/>
  <c r="AF232" i="2"/>
  <c r="O260" i="3"/>
  <c r="AX232" i="11"/>
  <c r="CG232" i="11" s="1"/>
  <c r="Z55" i="20" s="1"/>
  <c r="Z57" i="20" s="1"/>
  <c r="AZ232" i="11"/>
  <c r="CI232" i="11" s="1"/>
  <c r="Z75" i="20" s="1"/>
  <c r="Z77" i="20" s="1"/>
  <c r="Z78" i="20" s="1"/>
  <c r="BA232" i="2"/>
  <c r="AZ231" i="2"/>
  <c r="BB231" i="2" s="1"/>
  <c r="AM231" i="2"/>
  <c r="BD231" i="2"/>
  <c r="BF231" i="2" s="1"/>
  <c r="BG231" i="2" s="1"/>
  <c r="AR231" i="2"/>
  <c r="AS231" i="2" s="1"/>
  <c r="D230" i="11"/>
  <c r="AW230" i="2"/>
  <c r="AV230" i="2"/>
  <c r="I260" i="3" l="1"/>
  <c r="J260" i="3"/>
  <c r="F261" i="3" s="1"/>
  <c r="G261" i="3" s="1"/>
  <c r="O233" i="11" s="1"/>
  <c r="E230" i="11"/>
  <c r="BH231" i="2"/>
  <c r="BI231" i="2" s="1"/>
  <c r="P232" i="11"/>
  <c r="AX230" i="2"/>
  <c r="G230" i="11" s="1"/>
  <c r="M230" i="11" s="1"/>
  <c r="F230" i="11"/>
  <c r="L230" i="11" s="1"/>
  <c r="AT231" i="2"/>
  <c r="M260" i="3"/>
  <c r="V233" i="2" s="1"/>
  <c r="AK233" i="2" s="1"/>
  <c r="L260" i="3"/>
  <c r="AE232" i="2" s="1"/>
  <c r="AL232" i="2" s="1"/>
  <c r="AZ232" i="2" s="1"/>
  <c r="BB232" i="2" s="1"/>
  <c r="AW232" i="11"/>
  <c r="CF232" i="11" s="1"/>
  <c r="Z51" i="20" s="1"/>
  <c r="Z52" i="20" s="1"/>
  <c r="Z53" i="20" s="1"/>
  <c r="AP232" i="2"/>
  <c r="C261" i="3" l="1"/>
  <c r="E261" i="3" s="1"/>
  <c r="O230" i="19"/>
  <c r="AM232" i="2"/>
  <c r="BA233" i="2"/>
  <c r="AW231" i="2"/>
  <c r="D231" i="11"/>
  <c r="AX233" i="11"/>
  <c r="AF233" i="2"/>
  <c r="O261" i="3"/>
  <c r="BD232" i="2"/>
  <c r="BF232" i="2" s="1"/>
  <c r="BG232" i="2" s="1"/>
  <c r="BH232" i="2" s="1"/>
  <c r="BI232" i="2" s="1"/>
  <c r="AR232" i="2"/>
  <c r="AS232" i="2" s="1"/>
  <c r="Z58" i="20"/>
  <c r="Z59" i="20" s="1"/>
  <c r="Z68" i="20"/>
  <c r="Z69" i="20" s="1"/>
  <c r="Z79" i="20" s="1"/>
  <c r="H261" i="3"/>
  <c r="AV231" i="2"/>
  <c r="AT232" i="2" l="1"/>
  <c r="AV232" i="2" s="1"/>
  <c r="D232" i="11"/>
  <c r="AZ233" i="11"/>
  <c r="J261" i="3"/>
  <c r="K261" i="3"/>
  <c r="I261" i="3"/>
  <c r="Z62" i="20"/>
  <c r="Z60" i="20"/>
  <c r="E231" i="11"/>
  <c r="Z81" i="20"/>
  <c r="Z82" i="20" s="1"/>
  <c r="Z83" i="20" s="1"/>
  <c r="Z80" i="20"/>
  <c r="AW233" i="11"/>
  <c r="AP233" i="2"/>
  <c r="F231" i="11"/>
  <c r="L231" i="11" s="1"/>
  <c r="AX231" i="2"/>
  <c r="G231" i="11" s="1"/>
  <c r="M231" i="11" s="1"/>
  <c r="AW232" i="2" l="1"/>
  <c r="AX232" i="2" s="1"/>
  <c r="G232" i="11" s="1"/>
  <c r="M232" i="11" s="1"/>
  <c r="Z61" i="20"/>
  <c r="M261" i="3"/>
  <c r="V234" i="2" s="1"/>
  <c r="AK234" i="2" s="1"/>
  <c r="L261" i="3"/>
  <c r="AE233" i="2" s="1"/>
  <c r="AL233" i="2" s="1"/>
  <c r="E232" i="11"/>
  <c r="C262" i="3"/>
  <c r="E262" i="3" s="1"/>
  <c r="P233" i="11"/>
  <c r="F262" i="3"/>
  <c r="G262" i="3" s="1"/>
  <c r="O234" i="11" s="1"/>
  <c r="AR233" i="2"/>
  <c r="AS233" i="2" s="1"/>
  <c r="BD233" i="2"/>
  <c r="BF233" i="2" s="1"/>
  <c r="BG233" i="2" s="1"/>
  <c r="F232" i="11" l="1"/>
  <c r="L232" i="11" s="1"/>
  <c r="H262" i="3"/>
  <c r="AZ234" i="11" s="1"/>
  <c r="AZ233" i="2"/>
  <c r="BB233" i="2" s="1"/>
  <c r="BH233" i="2" s="1"/>
  <c r="BI233" i="2" s="1"/>
  <c r="AM233" i="2"/>
  <c r="AT233" i="2" s="1"/>
  <c r="AF234" i="2"/>
  <c r="O262" i="3"/>
  <c r="AX234" i="11"/>
  <c r="BA234" i="2"/>
  <c r="K262" i="3" l="1"/>
  <c r="J262" i="3"/>
  <c r="I262" i="3"/>
  <c r="M262" i="3"/>
  <c r="V235" i="2" s="1"/>
  <c r="AK235" i="2" s="1"/>
  <c r="L262" i="3"/>
  <c r="AE234" i="2" s="1"/>
  <c r="AL234" i="2" s="1"/>
  <c r="AP234" i="2"/>
  <c r="AW234" i="11"/>
  <c r="AW233" i="2"/>
  <c r="D233" i="11"/>
  <c r="AV233" i="2"/>
  <c r="P234" i="11" l="1"/>
  <c r="F263" i="3"/>
  <c r="G263" i="3"/>
  <c r="O235" i="11" s="1"/>
  <c r="C263" i="3"/>
  <c r="E263" i="3" s="1"/>
  <c r="H263" i="3" s="1"/>
  <c r="E233" i="11"/>
  <c r="AZ234" i="2"/>
  <c r="BB234" i="2" s="1"/>
  <c r="AM234" i="2"/>
  <c r="BD234" i="2"/>
  <c r="BF234" i="2" s="1"/>
  <c r="BG234" i="2" s="1"/>
  <c r="AR234" i="2"/>
  <c r="AS234" i="2" s="1"/>
  <c r="F233" i="11"/>
  <c r="L233" i="11" s="1"/>
  <c r="AX233" i="2"/>
  <c r="G233" i="11" s="1"/>
  <c r="M233" i="11" s="1"/>
  <c r="BA235" i="2"/>
  <c r="AZ235" i="11" l="1"/>
  <c r="K263" i="3"/>
  <c r="J263" i="3"/>
  <c r="I263" i="3"/>
  <c r="AX235" i="11"/>
  <c r="O263" i="3"/>
  <c r="AF235" i="2"/>
  <c r="AT234" i="2"/>
  <c r="BH234" i="2"/>
  <c r="BI234" i="2" s="1"/>
  <c r="L263" i="3" l="1"/>
  <c r="AE235" i="2" s="1"/>
  <c r="AL235" i="2" s="1"/>
  <c r="M263" i="3"/>
  <c r="V236" i="2" s="1"/>
  <c r="AK236" i="2" s="1"/>
  <c r="BA236" i="2" s="1"/>
  <c r="AP235" i="2"/>
  <c r="AW235" i="11"/>
  <c r="C264" i="3"/>
  <c r="E264" i="3" s="1"/>
  <c r="P235" i="11"/>
  <c r="F264" i="3"/>
  <c r="G264" i="3"/>
  <c r="O236" i="11" s="1"/>
  <c r="AW234" i="2"/>
  <c r="D234" i="11"/>
  <c r="AV234" i="2"/>
  <c r="O264" i="3" l="1"/>
  <c r="AX236" i="11"/>
  <c r="AF236" i="2"/>
  <c r="BD235" i="2"/>
  <c r="BF235" i="2" s="1"/>
  <c r="BG235" i="2" s="1"/>
  <c r="AR235" i="2"/>
  <c r="AS235" i="2" s="1"/>
  <c r="H264" i="3"/>
  <c r="AZ235" i="2"/>
  <c r="BB235" i="2" s="1"/>
  <c r="AM235" i="2"/>
  <c r="E234" i="11"/>
  <c r="AX234" i="2"/>
  <c r="G234" i="11" s="1"/>
  <c r="M234" i="11" s="1"/>
  <c r="F234" i="11"/>
  <c r="L234" i="11" s="1"/>
  <c r="BH235" i="2" l="1"/>
  <c r="BI235" i="2" s="1"/>
  <c r="I264" i="3"/>
  <c r="AZ236" i="11"/>
  <c r="K264" i="3"/>
  <c r="J264" i="3"/>
  <c r="AT235" i="2"/>
  <c r="AP236" i="2"/>
  <c r="AW236" i="11"/>
  <c r="BD236" i="2" l="1"/>
  <c r="BF236" i="2" s="1"/>
  <c r="BG236" i="2" s="1"/>
  <c r="AR236" i="2"/>
  <c r="AS236" i="2" s="1"/>
  <c r="C265" i="3"/>
  <c r="E265" i="3" s="1"/>
  <c r="F265" i="3"/>
  <c r="G265" i="3" s="1"/>
  <c r="O237" i="11" s="1"/>
  <c r="P236" i="11"/>
  <c r="D235" i="11"/>
  <c r="AW235" i="2"/>
  <c r="AV235" i="2"/>
  <c r="M264" i="3"/>
  <c r="V237" i="2" s="1"/>
  <c r="AK237" i="2" s="1"/>
  <c r="BA237" i="2" s="1"/>
  <c r="L264" i="3"/>
  <c r="AE236" i="2" s="1"/>
  <c r="AL236" i="2" s="1"/>
  <c r="AZ236" i="2" s="1"/>
  <c r="BB236" i="2" s="1"/>
  <c r="BH236" i="2" s="1"/>
  <c r="BI236" i="2" s="1"/>
  <c r="AM236" i="2" l="1"/>
  <c r="AT236" i="2" s="1"/>
  <c r="D236" i="11"/>
  <c r="AW236" i="2"/>
  <c r="AV236" i="2"/>
  <c r="E236" i="11" s="1"/>
  <c r="E235" i="11"/>
  <c r="H265" i="3"/>
  <c r="F235" i="11"/>
  <c r="L235" i="11" s="1"/>
  <c r="AX235" i="2"/>
  <c r="G235" i="11" s="1"/>
  <c r="M235" i="11" s="1"/>
  <c r="O265" i="3"/>
  <c r="AX237" i="11"/>
  <c r="AF237" i="2"/>
  <c r="AW237" i="11" l="1"/>
  <c r="AP237" i="2"/>
  <c r="F236" i="11"/>
  <c r="L236" i="11" s="1"/>
  <c r="AX236" i="2"/>
  <c r="G236" i="11" s="1"/>
  <c r="M236" i="11" s="1"/>
  <c r="AZ237" i="11"/>
  <c r="K265" i="3"/>
  <c r="I265" i="3"/>
  <c r="J265" i="3"/>
  <c r="L265" i="3" l="1"/>
  <c r="AE237" i="2" s="1"/>
  <c r="AL237" i="2" s="1"/>
  <c r="AZ237" i="2" s="1"/>
  <c r="BB237" i="2" s="1"/>
  <c r="M265" i="3"/>
  <c r="V238" i="2" s="1"/>
  <c r="AK238" i="2" s="1"/>
  <c r="F266" i="3"/>
  <c r="P237" i="11"/>
  <c r="G266" i="3"/>
  <c r="O238" i="11" s="1"/>
  <c r="C266" i="3"/>
  <c r="E266" i="3" s="1"/>
  <c r="AR237" i="2"/>
  <c r="AS237" i="2" s="1"/>
  <c r="BD237" i="2"/>
  <c r="BF237" i="2" s="1"/>
  <c r="BG237" i="2" s="1"/>
  <c r="AM237" i="2" l="1"/>
  <c r="AT237" i="2" s="1"/>
  <c r="AW237" i="2" s="1"/>
  <c r="H266" i="3"/>
  <c r="AZ238" i="11" s="1"/>
  <c r="BH237" i="2"/>
  <c r="BI237" i="2" s="1"/>
  <c r="J266" i="3"/>
  <c r="BA238" i="2"/>
  <c r="O266" i="3"/>
  <c r="AF238" i="2"/>
  <c r="AX238" i="11"/>
  <c r="AV237" i="2" l="1"/>
  <c r="D237" i="11"/>
  <c r="K266" i="3"/>
  <c r="I266" i="3"/>
  <c r="E237" i="11"/>
  <c r="AP238" i="2"/>
  <c r="AW238" i="11"/>
  <c r="F237" i="11"/>
  <c r="L237" i="11" s="1"/>
  <c r="AX237" i="2"/>
  <c r="G237" i="11" s="1"/>
  <c r="M237" i="11" s="1"/>
  <c r="C267" i="3"/>
  <c r="E267" i="3" s="1"/>
  <c r="P238" i="11"/>
  <c r="F267" i="3"/>
  <c r="G267" i="3" s="1"/>
  <c r="O239" i="11" s="1"/>
  <c r="H267" i="3" l="1"/>
  <c r="L266" i="3"/>
  <c r="AE238" i="2" s="1"/>
  <c r="AL238" i="2" s="1"/>
  <c r="AZ238" i="2" s="1"/>
  <c r="BB238" i="2" s="1"/>
  <c r="M266" i="3"/>
  <c r="V239" i="2" s="1"/>
  <c r="AK239" i="2" s="1"/>
  <c r="BA239" i="2" s="1"/>
  <c r="K267" i="3"/>
  <c r="AZ239" i="11"/>
  <c r="J267" i="3"/>
  <c r="I267" i="3"/>
  <c r="O267" i="3"/>
  <c r="AF239" i="2"/>
  <c r="AX239" i="11"/>
  <c r="BD238" i="2"/>
  <c r="BF238" i="2" s="1"/>
  <c r="BG238" i="2" s="1"/>
  <c r="AR238" i="2"/>
  <c r="AS238" i="2" s="1"/>
  <c r="AM238" i="2" l="1"/>
  <c r="AT238" i="2" s="1"/>
  <c r="AW238" i="2" s="1"/>
  <c r="BH238" i="2"/>
  <c r="BI238" i="2" s="1"/>
  <c r="AW239" i="11"/>
  <c r="AP239" i="2"/>
  <c r="C268" i="3"/>
  <c r="E268" i="3" s="1"/>
  <c r="P239" i="11"/>
  <c r="F268" i="3"/>
  <c r="G268" i="3"/>
  <c r="O240" i="11" s="1"/>
  <c r="L267" i="3"/>
  <c r="AE239" i="2" s="1"/>
  <c r="AL239" i="2" s="1"/>
  <c r="M267" i="3"/>
  <c r="V240" i="2" s="1"/>
  <c r="AK240" i="2" s="1"/>
  <c r="AV238" i="2" l="1"/>
  <c r="E238" i="11" s="1"/>
  <c r="D238" i="11"/>
  <c r="H268" i="3"/>
  <c r="AZ240" i="11" s="1"/>
  <c r="BA240" i="2"/>
  <c r="AF240" i="2"/>
  <c r="O268" i="3"/>
  <c r="AX240" i="11"/>
  <c r="BD239" i="2"/>
  <c r="BF239" i="2" s="1"/>
  <c r="BG239" i="2" s="1"/>
  <c r="AR239" i="2"/>
  <c r="AS239" i="2" s="1"/>
  <c r="AM239" i="2"/>
  <c r="AZ239" i="2"/>
  <c r="BB239" i="2" s="1"/>
  <c r="AX238" i="2"/>
  <c r="G238" i="11" s="1"/>
  <c r="M238" i="11" s="1"/>
  <c r="F238" i="11"/>
  <c r="L238" i="11" s="1"/>
  <c r="BH239" i="2" l="1"/>
  <c r="BI239" i="2" s="1"/>
  <c r="AT239" i="2"/>
  <c r="AV239" i="2" s="1"/>
  <c r="E239" i="11" s="1"/>
  <c r="K268" i="3"/>
  <c r="J268" i="3"/>
  <c r="I268" i="3"/>
  <c r="AP240" i="2"/>
  <c r="AW240" i="11"/>
  <c r="D239" i="11" l="1"/>
  <c r="AW239" i="2"/>
  <c r="F239" i="11" s="1"/>
  <c r="L239" i="11" s="1"/>
  <c r="C269" i="3"/>
  <c r="E269" i="3" s="1"/>
  <c r="F269" i="3"/>
  <c r="P240" i="11"/>
  <c r="L268" i="3"/>
  <c r="AE240" i="2" s="1"/>
  <c r="AL240" i="2" s="1"/>
  <c r="M268" i="3"/>
  <c r="V241" i="2" s="1"/>
  <c r="AK241" i="2" s="1"/>
  <c r="BA241" i="2" s="1"/>
  <c r="BD240" i="2"/>
  <c r="BF240" i="2" s="1"/>
  <c r="BG240" i="2" s="1"/>
  <c r="AR240" i="2"/>
  <c r="AS240" i="2" s="1"/>
  <c r="AX239" i="2"/>
  <c r="G239" i="11" s="1"/>
  <c r="M239" i="11" s="1"/>
  <c r="H269" i="3" l="1"/>
  <c r="G269" i="3"/>
  <c r="O241" i="11" s="1"/>
  <c r="I269" i="3"/>
  <c r="K269" i="3"/>
  <c r="L269" i="3" s="1"/>
  <c r="AE241" i="2" s="1"/>
  <c r="AZ240" i="2"/>
  <c r="BB240" i="2" s="1"/>
  <c r="BH240" i="2" s="1"/>
  <c r="BI240" i="2" s="1"/>
  <c r="AM240" i="2"/>
  <c r="AT240" i="2" s="1"/>
  <c r="D240" i="11" s="1"/>
  <c r="O269" i="3"/>
  <c r="AX241" i="11"/>
  <c r="AF241" i="2"/>
  <c r="AZ241" i="11"/>
  <c r="J269" i="3"/>
  <c r="M269" i="3" l="1"/>
  <c r="V242" i="2" s="1"/>
  <c r="AK242" i="2" s="1"/>
  <c r="BA242" i="2" s="1"/>
  <c r="AL241" i="2"/>
  <c r="AZ241" i="2" s="1"/>
  <c r="BB241" i="2" s="1"/>
  <c r="AV240" i="2"/>
  <c r="E240" i="11" s="1"/>
  <c r="AW240" i="2"/>
  <c r="F240" i="11" s="1"/>
  <c r="L240" i="11" s="1"/>
  <c r="AW241" i="11"/>
  <c r="AP241" i="2"/>
  <c r="AM241" i="2"/>
  <c r="P241" i="11"/>
  <c r="F270" i="3"/>
  <c r="G270" i="3"/>
  <c r="O242" i="11" s="1"/>
  <c r="C270" i="3"/>
  <c r="E270" i="3" s="1"/>
  <c r="AX240" i="2" l="1"/>
  <c r="G240" i="11" s="1"/>
  <c r="M240" i="11" s="1"/>
  <c r="H270" i="3"/>
  <c r="J270" i="3" s="1"/>
  <c r="I270" i="3"/>
  <c r="O270" i="3"/>
  <c r="AF242" i="2"/>
  <c r="AX242" i="11"/>
  <c r="AR241" i="2"/>
  <c r="AS241" i="2" s="1"/>
  <c r="AT241" i="2" s="1"/>
  <c r="BD241" i="2"/>
  <c r="BF241" i="2" s="1"/>
  <c r="BG241" i="2" s="1"/>
  <c r="BH241" i="2" s="1"/>
  <c r="BI241" i="2" s="1"/>
  <c r="K270" i="3" l="1"/>
  <c r="AZ242" i="11"/>
  <c r="AP242" i="2"/>
  <c r="AW242" i="11"/>
  <c r="AW241" i="2"/>
  <c r="D241" i="11"/>
  <c r="AV241" i="2"/>
  <c r="E241" i="11" s="1"/>
  <c r="F271" i="3"/>
  <c r="G271" i="3" s="1"/>
  <c r="O243" i="11" s="1"/>
  <c r="P242" i="11"/>
  <c r="C271" i="3"/>
  <c r="E271" i="3" s="1"/>
  <c r="H271" i="3" s="1"/>
  <c r="K271" i="3" s="1"/>
  <c r="L270" i="3"/>
  <c r="AE242" i="2" s="1"/>
  <c r="AL242" i="2" s="1"/>
  <c r="M270" i="3"/>
  <c r="V243" i="2" s="1"/>
  <c r="AK243" i="2" s="1"/>
  <c r="BA243" i="2" s="1"/>
  <c r="I271" i="3" l="1"/>
  <c r="J271" i="3"/>
  <c r="C272" i="3" s="1"/>
  <c r="E272" i="3" s="1"/>
  <c r="AZ243" i="11"/>
  <c r="O271" i="3"/>
  <c r="AF243" i="2"/>
  <c r="AX243" i="11"/>
  <c r="AZ242" i="2"/>
  <c r="BB242" i="2" s="1"/>
  <c r="AM242" i="2"/>
  <c r="F241" i="11"/>
  <c r="L241" i="11" s="1"/>
  <c r="AX241" i="2"/>
  <c r="G241" i="11" s="1"/>
  <c r="M241" i="11" s="1"/>
  <c r="AR242" i="2"/>
  <c r="AS242" i="2" s="1"/>
  <c r="AT242" i="2" s="1"/>
  <c r="BD242" i="2"/>
  <c r="BF242" i="2" s="1"/>
  <c r="BG242" i="2" s="1"/>
  <c r="L271" i="3"/>
  <c r="AE243" i="2" s="1"/>
  <c r="M271" i="3"/>
  <c r="V244" i="2" s="1"/>
  <c r="AK244" i="2" s="1"/>
  <c r="P243" i="11" l="1"/>
  <c r="AL243" i="2"/>
  <c r="AZ243" i="2" s="1"/>
  <c r="BB243" i="2" s="1"/>
  <c r="F272" i="3"/>
  <c r="H272" i="3" s="1"/>
  <c r="J272" i="3" s="1"/>
  <c r="P244" i="11" s="1"/>
  <c r="G272" i="3"/>
  <c r="O244" i="11" s="1"/>
  <c r="AV242" i="2"/>
  <c r="E242" i="11" s="1"/>
  <c r="D242" i="11"/>
  <c r="AW242" i="2"/>
  <c r="AP243" i="2"/>
  <c r="AW243" i="11"/>
  <c r="BH242" i="2"/>
  <c r="BI242" i="2" s="1"/>
  <c r="BA244" i="2"/>
  <c r="AF244" i="2"/>
  <c r="O272" i="3"/>
  <c r="AX244" i="11" l="1"/>
  <c r="CG244" i="11" s="1"/>
  <c r="AA55" i="20" s="1"/>
  <c r="AA57" i="20" s="1"/>
  <c r="AM243" i="2"/>
  <c r="K272" i="3"/>
  <c r="M272" i="3" s="1"/>
  <c r="V245" i="2" s="1"/>
  <c r="AK245" i="2" s="1"/>
  <c r="AZ244" i="11"/>
  <c r="CI244" i="11" s="1"/>
  <c r="AA75" i="20" s="1"/>
  <c r="AA77" i="20" s="1"/>
  <c r="AA78" i="20" s="1"/>
  <c r="I272" i="3"/>
  <c r="BD243" i="2"/>
  <c r="BF243" i="2" s="1"/>
  <c r="BG243" i="2" s="1"/>
  <c r="BH243" i="2" s="1"/>
  <c r="BI243" i="2" s="1"/>
  <c r="AR243" i="2"/>
  <c r="AS243" i="2" s="1"/>
  <c r="AX242" i="2"/>
  <c r="G242" i="11" s="1"/>
  <c r="M242" i="11" s="1"/>
  <c r="F242" i="11"/>
  <c r="L242" i="11" s="1"/>
  <c r="AW244" i="11"/>
  <c r="CF244" i="11" s="1"/>
  <c r="AA51" i="20" s="1"/>
  <c r="AA52" i="20" s="1"/>
  <c r="AA53" i="20" s="1"/>
  <c r="AP244" i="2"/>
  <c r="L272" i="3"/>
  <c r="AE244" i="2" s="1"/>
  <c r="AL244" i="2" s="1"/>
  <c r="AT243" i="2" l="1"/>
  <c r="AW243" i="2" s="1"/>
  <c r="AX243" i="2" s="1"/>
  <c r="G243" i="11" s="1"/>
  <c r="M243" i="11" s="1"/>
  <c r="O242" i="19"/>
  <c r="AM245" i="2"/>
  <c r="AT245" i="2" s="1"/>
  <c r="BA245" i="2"/>
  <c r="BB245" i="2" s="1"/>
  <c r="BH245" i="2" s="1"/>
  <c r="BI245" i="2" s="1"/>
  <c r="BD244" i="2"/>
  <c r="BF244" i="2" s="1"/>
  <c r="BG244" i="2" s="1"/>
  <c r="AR244" i="2"/>
  <c r="AS244" i="2" s="1"/>
  <c r="AA68" i="20"/>
  <c r="AA69" i="20" s="1"/>
  <c r="AA79" i="20" s="1"/>
  <c r="AA58" i="20"/>
  <c r="AA59" i="20" s="1"/>
  <c r="AZ244" i="2"/>
  <c r="BB244" i="2" s="1"/>
  <c r="AM244" i="2"/>
  <c r="AV243" i="2" l="1"/>
  <c r="E243" i="11" s="1"/>
  <c r="D243" i="11"/>
  <c r="BH244" i="2"/>
  <c r="BI244" i="2" s="1"/>
  <c r="O30" i="1" s="1"/>
  <c r="P38" i="6" s="1"/>
  <c r="Q30" i="1"/>
  <c r="Q38" i="6" s="1"/>
  <c r="AT244" i="2"/>
  <c r="O27" i="1" s="1"/>
  <c r="P35" i="6" s="1"/>
  <c r="F243" i="11"/>
  <c r="L243" i="11" s="1"/>
  <c r="AA62" i="20"/>
  <c r="AB62" i="20" s="1"/>
  <c r="AC62" i="20" s="1"/>
  <c r="AD62" i="20" s="1"/>
  <c r="AE62" i="20" s="1"/>
  <c r="AF62" i="20" s="1"/>
  <c r="AG62" i="20" s="1"/>
  <c r="AH62" i="20" s="1"/>
  <c r="AI62" i="20" s="1"/>
  <c r="AJ62" i="20" s="1"/>
  <c r="AK62" i="20" s="1"/>
  <c r="AL62" i="20" s="1"/>
  <c r="AM62" i="20" s="1"/>
  <c r="AN62" i="20" s="1"/>
  <c r="AO62" i="20" s="1"/>
  <c r="AP62" i="20" s="1"/>
  <c r="AQ62" i="20" s="1"/>
  <c r="AR62" i="20" s="1"/>
  <c r="AS62" i="20" s="1"/>
  <c r="AT62" i="20" s="1"/>
  <c r="AU62" i="20" s="1"/>
  <c r="AA60" i="20"/>
  <c r="AA80" i="20"/>
  <c r="AB80" i="20" s="1"/>
  <c r="AC80" i="20" s="1"/>
  <c r="AD80" i="20" s="1"/>
  <c r="AE80" i="20" s="1"/>
  <c r="AA81" i="20"/>
  <c r="AA82" i="20" s="1"/>
  <c r="AA83" i="20" s="1"/>
  <c r="AW245" i="2"/>
  <c r="D245" i="11"/>
  <c r="D244" i="11" l="1"/>
  <c r="AW244" i="2"/>
  <c r="AX244" i="2" s="1"/>
  <c r="AX245" i="2" s="1"/>
  <c r="AV244" i="2"/>
  <c r="E244" i="11" s="1"/>
  <c r="O26" i="1"/>
  <c r="P34" i="6" s="1"/>
  <c r="AF80" i="20"/>
  <c r="AG80" i="20" s="1"/>
  <c r="AH80" i="20" s="1"/>
  <c r="AI80" i="20" s="1"/>
  <c r="AJ80" i="20" s="1"/>
  <c r="AK80" i="20" s="1"/>
  <c r="AL80" i="20" s="1"/>
  <c r="AM80" i="20" s="1"/>
  <c r="AN80" i="20" s="1"/>
  <c r="AO80" i="20" s="1"/>
  <c r="AP80" i="20" s="1"/>
  <c r="AQ80" i="20" s="1"/>
  <c r="AR80" i="20" s="1"/>
  <c r="AS80" i="20" s="1"/>
  <c r="AT80" i="20" s="1"/>
  <c r="AU80" i="20" s="1"/>
  <c r="AB82" i="20"/>
  <c r="AB83" i="20" s="1"/>
  <c r="F245" i="11"/>
  <c r="AA61" i="20"/>
  <c r="AB60" i="20"/>
  <c r="F244" i="11"/>
  <c r="Q34" i="6"/>
  <c r="Q35" i="6"/>
  <c r="Q27" i="1" s="1"/>
  <c r="AV245" i="2" l="1"/>
  <c r="E245" i="11" s="1"/>
  <c r="L245" i="11"/>
  <c r="O25" i="1"/>
  <c r="P33" i="6" s="1"/>
  <c r="Q26" i="1"/>
  <c r="Q25" i="1"/>
  <c r="AX246" i="2"/>
  <c r="G245" i="11"/>
  <c r="M245" i="11" s="1"/>
  <c r="O24" i="1"/>
  <c r="P32" i="6" s="1"/>
  <c r="L244" i="11"/>
  <c r="Q36" i="6" s="1"/>
  <c r="Q32" i="6" s="1"/>
  <c r="O28" i="1"/>
  <c r="G244" i="11"/>
  <c r="M244" i="11" s="1"/>
  <c r="O9" i="1"/>
  <c r="AC60" i="20"/>
  <c r="AB61" i="20"/>
  <c r="AV246" i="2"/>
  <c r="AC82" i="20"/>
  <c r="AC83" i="20" s="1"/>
  <c r="Q28" i="1" l="1"/>
  <c r="Q33" i="6"/>
  <c r="P36" i="6"/>
  <c r="AD82" i="20"/>
  <c r="AD83" i="20" s="1"/>
  <c r="AV247" i="2"/>
  <c r="E246" i="11"/>
  <c r="AC61" i="20"/>
  <c r="AD60" i="20"/>
  <c r="AX247" i="2"/>
  <c r="G246" i="11"/>
  <c r="M246" i="11" s="1"/>
  <c r="AD61" i="20" l="1"/>
  <c r="AE60" i="20"/>
  <c r="G247" i="11"/>
  <c r="M247" i="11" s="1"/>
  <c r="AX248" i="2"/>
  <c r="AV248" i="2"/>
  <c r="E247" i="11"/>
  <c r="AE82" i="20"/>
  <c r="AF82" i="20" l="1"/>
  <c r="AF83" i="20" s="1"/>
  <c r="AE83" i="20"/>
  <c r="AV249" i="2"/>
  <c r="E248" i="11"/>
  <c r="G248" i="11"/>
  <c r="M248" i="11" s="1"/>
  <c r="AX249" i="2"/>
  <c r="AE61" i="20"/>
  <c r="AF60" i="20"/>
  <c r="AF61" i="20" s="1"/>
  <c r="AX250" i="2" l="1"/>
  <c r="G249" i="11"/>
  <c r="M249" i="11" s="1"/>
  <c r="AG82" i="20"/>
  <c r="AG60" i="20"/>
  <c r="AV250" i="2"/>
  <c r="E249" i="11"/>
  <c r="AV251" i="2" l="1"/>
  <c r="E250" i="11"/>
  <c r="AH60" i="20"/>
  <c r="AG61" i="20"/>
  <c r="AG83" i="20"/>
  <c r="AH82" i="20"/>
  <c r="AX251" i="2"/>
  <c r="G250" i="11"/>
  <c r="M250" i="11" s="1"/>
  <c r="AI82" i="20" l="1"/>
  <c r="AH83" i="20"/>
  <c r="AX252" i="2"/>
  <c r="G251" i="11"/>
  <c r="M251" i="11" s="1"/>
  <c r="AH61" i="20"/>
  <c r="AI60" i="20"/>
  <c r="E251" i="11"/>
  <c r="AV252" i="2"/>
  <c r="G252" i="11" l="1"/>
  <c r="M252" i="11" s="1"/>
  <c r="AX253" i="2"/>
  <c r="AJ60" i="20"/>
  <c r="AI61" i="20"/>
  <c r="E252" i="11"/>
  <c r="AV253" i="2"/>
  <c r="AJ82" i="20"/>
  <c r="AI83" i="20"/>
  <c r="AJ61" i="20" l="1"/>
  <c r="AK60" i="20"/>
  <c r="E253" i="11"/>
  <c r="AV254" i="2"/>
  <c r="AX254" i="2"/>
  <c r="G253" i="11"/>
  <c r="M253" i="11" s="1"/>
  <c r="AK82" i="20"/>
  <c r="AJ83" i="20"/>
  <c r="AK83" i="20" l="1"/>
  <c r="AL82" i="20"/>
  <c r="AX255" i="2"/>
  <c r="G254" i="11"/>
  <c r="M254" i="11" s="1"/>
  <c r="AV255" i="2"/>
  <c r="E254" i="11"/>
  <c r="AK61" i="20"/>
  <c r="AL60" i="20"/>
  <c r="E255" i="11" l="1"/>
  <c r="AV256" i="2"/>
  <c r="AL61" i="20"/>
  <c r="AM60" i="20"/>
  <c r="G255" i="11"/>
  <c r="M255" i="11" s="1"/>
  <c r="AX256" i="2"/>
  <c r="AM82" i="20"/>
  <c r="AL83" i="20"/>
  <c r="G256" i="11" l="1"/>
  <c r="M256" i="11" s="1"/>
  <c r="AX257" i="2"/>
  <c r="AN60" i="20"/>
  <c r="AM61" i="20"/>
  <c r="E256" i="11"/>
  <c r="AV257" i="2"/>
  <c r="AM83" i="20"/>
  <c r="AN82" i="20"/>
  <c r="AN83" i="20" l="1"/>
  <c r="AO82" i="20"/>
  <c r="AO60" i="20"/>
  <c r="AN61" i="20"/>
  <c r="AV258" i="2"/>
  <c r="E257" i="11"/>
  <c r="G257" i="11"/>
  <c r="M257" i="11" s="1"/>
  <c r="AX258" i="2"/>
  <c r="G258" i="11" l="1"/>
  <c r="M258" i="11" s="1"/>
  <c r="AX259" i="2"/>
  <c r="AV259" i="2"/>
  <c r="E258" i="11"/>
  <c r="AP60" i="20"/>
  <c r="AO61" i="20"/>
  <c r="AO83" i="20"/>
  <c r="AP82" i="20"/>
  <c r="E259" i="11" l="1"/>
  <c r="AV260" i="2"/>
  <c r="AQ82" i="20"/>
  <c r="AP83" i="20"/>
  <c r="AQ60" i="20"/>
  <c r="AP61" i="20"/>
  <c r="G259" i="11"/>
  <c r="M259" i="11" s="1"/>
  <c r="AX260" i="2"/>
  <c r="AQ61" i="20" l="1"/>
  <c r="AR60" i="20"/>
  <c r="AX261" i="2"/>
  <c r="G260" i="11"/>
  <c r="M260" i="11" s="1"/>
  <c r="AV261" i="2"/>
  <c r="E260" i="11"/>
  <c r="AQ83" i="20"/>
  <c r="AR82" i="20"/>
  <c r="AS60" i="20" l="1"/>
  <c r="AR61" i="20"/>
  <c r="AR83" i="20"/>
  <c r="AS82" i="20"/>
  <c r="AV262" i="2"/>
  <c r="E261" i="11"/>
  <c r="G261" i="11"/>
  <c r="M261" i="11" s="1"/>
  <c r="AX262" i="2"/>
  <c r="AX263" i="2" l="1"/>
  <c r="G262" i="11"/>
  <c r="M262" i="11" s="1"/>
  <c r="AV263" i="2"/>
  <c r="E262" i="11"/>
  <c r="AT82" i="20"/>
  <c r="AS83" i="20"/>
  <c r="AT60" i="20"/>
  <c r="AS61" i="20"/>
  <c r="AT61" i="20" l="1"/>
  <c r="AU60" i="20"/>
  <c r="AU61" i="20" s="1"/>
  <c r="AT83" i="20"/>
  <c r="AU82" i="20"/>
  <c r="AU83" i="20" s="1"/>
  <c r="AV264" i="2"/>
  <c r="E263" i="11"/>
  <c r="AX264" i="2"/>
  <c r="G263" i="11"/>
  <c r="M263" i="11" s="1"/>
  <c r="G264" i="11" l="1"/>
  <c r="M264" i="11" s="1"/>
  <c r="AX265" i="2"/>
  <c r="AV265" i="2"/>
  <c r="E264" i="11"/>
  <c r="G265" i="11" l="1"/>
  <c r="M265" i="11" s="1"/>
  <c r="AX266" i="2"/>
  <c r="E265" i="11"/>
  <c r="AV266" i="2"/>
  <c r="G266" i="11" l="1"/>
  <c r="M266" i="11" s="1"/>
  <c r="AX267" i="2"/>
  <c r="AV267" i="2"/>
  <c r="E266" i="11"/>
  <c r="AX268" i="2" l="1"/>
  <c r="G267" i="11"/>
  <c r="M267" i="11" s="1"/>
  <c r="E267" i="11"/>
  <c r="AV268" i="2"/>
  <c r="E268" i="11" l="1"/>
  <c r="AV269" i="2"/>
  <c r="G268" i="11"/>
  <c r="M268" i="11" s="1"/>
  <c r="AX269" i="2"/>
  <c r="AV270" i="2" l="1"/>
  <c r="E269" i="11"/>
  <c r="AX270" i="2"/>
  <c r="G269" i="11"/>
  <c r="M269" i="11" s="1"/>
  <c r="AX271" i="2" l="1"/>
  <c r="G270" i="11"/>
  <c r="M270" i="11" s="1"/>
  <c r="AV271" i="2"/>
  <c r="E270" i="11"/>
  <c r="E271" i="11" l="1"/>
  <c r="AV272" i="2"/>
  <c r="AX272" i="2"/>
  <c r="G271" i="11"/>
  <c r="M271" i="11" s="1"/>
  <c r="AX273" i="2" l="1"/>
  <c r="G272" i="11"/>
  <c r="M272" i="11" s="1"/>
  <c r="AV273" i="2"/>
  <c r="E272" i="11"/>
  <c r="AV274" i="2" l="1"/>
  <c r="E273" i="11"/>
  <c r="AX274" i="2"/>
  <c r="G273" i="11"/>
  <c r="M273" i="11" s="1"/>
  <c r="AX275" i="2" l="1"/>
  <c r="G274" i="11"/>
  <c r="M274" i="11" s="1"/>
  <c r="E274" i="11"/>
  <c r="AV275" i="2"/>
  <c r="AV276" i="2" l="1"/>
  <c r="E275" i="11"/>
  <c r="AX276" i="2"/>
  <c r="G275" i="11"/>
  <c r="M275" i="11" s="1"/>
  <c r="G276" i="11" l="1"/>
  <c r="M276" i="11" s="1"/>
  <c r="AX277" i="2"/>
  <c r="E276" i="11"/>
  <c r="AV277" i="2"/>
  <c r="G277" i="11" l="1"/>
  <c r="M277" i="11" s="1"/>
  <c r="AX278" i="2"/>
  <c r="E277" i="11"/>
  <c r="AV278" i="2"/>
  <c r="AX279" i="2" l="1"/>
  <c r="G278" i="11"/>
  <c r="M278" i="11" s="1"/>
  <c r="AV279" i="2"/>
  <c r="E278" i="11"/>
  <c r="E279" i="11" l="1"/>
  <c r="AV280" i="2"/>
  <c r="G279" i="11"/>
  <c r="M279" i="11" s="1"/>
  <c r="AX280" i="2"/>
  <c r="AX281" i="2" l="1"/>
  <c r="G280" i="11"/>
  <c r="M280" i="11" s="1"/>
  <c r="AV281" i="2"/>
  <c r="E280" i="11"/>
  <c r="AV282" i="2" l="1"/>
  <c r="E281" i="11"/>
  <c r="G281" i="11"/>
  <c r="M281" i="11" s="1"/>
  <c r="AX282" i="2"/>
  <c r="AX283" i="2" l="1"/>
  <c r="G282" i="11"/>
  <c r="M282" i="11" s="1"/>
  <c r="AV283" i="2"/>
  <c r="E282" i="11"/>
  <c r="AV284" i="2" l="1"/>
  <c r="E283" i="11"/>
  <c r="AX284" i="2"/>
  <c r="G283" i="11"/>
  <c r="M283" i="11" s="1"/>
  <c r="AX285" i="2" l="1"/>
  <c r="G284" i="11"/>
  <c r="M284" i="11" s="1"/>
  <c r="AV285" i="2"/>
  <c r="E284" i="11"/>
  <c r="AV286" i="2" l="1"/>
  <c r="E285" i="11"/>
  <c r="G285" i="11"/>
  <c r="M285" i="11" s="1"/>
  <c r="AX286" i="2"/>
  <c r="AX287" i="2" l="1"/>
  <c r="G286" i="11"/>
  <c r="M286" i="11" s="1"/>
  <c r="AV287" i="2"/>
  <c r="E286" i="11"/>
  <c r="E287" i="11" l="1"/>
  <c r="AV288" i="2"/>
  <c r="G287" i="11"/>
  <c r="M287" i="11" s="1"/>
  <c r="AX288" i="2"/>
  <c r="AX289" i="2" l="1"/>
  <c r="G288" i="11"/>
  <c r="M288" i="11" s="1"/>
  <c r="AV289" i="2"/>
  <c r="E288" i="11"/>
  <c r="AV290" i="2" l="1"/>
  <c r="E289" i="11"/>
  <c r="AX290" i="2"/>
  <c r="G289" i="11"/>
  <c r="M289" i="11" s="1"/>
  <c r="AX291" i="2" l="1"/>
  <c r="G290" i="11"/>
  <c r="M290" i="11" s="1"/>
  <c r="E290" i="11"/>
  <c r="AV291" i="2"/>
  <c r="E291" i="11" l="1"/>
  <c r="AV292" i="2"/>
  <c r="G291" i="11"/>
  <c r="M291" i="11" s="1"/>
  <c r="AX292" i="2"/>
  <c r="AX293" i="2" l="1"/>
  <c r="G292" i="11"/>
  <c r="M292" i="11" s="1"/>
  <c r="E292" i="11"/>
  <c r="AV293" i="2"/>
  <c r="AV294" i="2" l="1"/>
  <c r="E293" i="11"/>
  <c r="G293" i="11"/>
  <c r="M293" i="11" s="1"/>
  <c r="AX294" i="2"/>
  <c r="AX295" i="2" l="1"/>
  <c r="G294" i="11"/>
  <c r="M294" i="11" s="1"/>
  <c r="AV295" i="2"/>
  <c r="E294" i="11"/>
  <c r="E295" i="11" l="1"/>
  <c r="AV296" i="2"/>
  <c r="G295" i="11"/>
  <c r="M295" i="11" s="1"/>
  <c r="AX296" i="2"/>
  <c r="AV297" i="2" l="1"/>
  <c r="E296" i="11"/>
  <c r="AX297" i="2"/>
  <c r="G296" i="11"/>
  <c r="M296" i="11" s="1"/>
  <c r="G297" i="11" l="1"/>
  <c r="M297" i="11" s="1"/>
  <c r="AX298" i="2"/>
  <c r="E297" i="11"/>
  <c r="AV298" i="2"/>
  <c r="AX299" i="2" l="1"/>
  <c r="G298" i="11"/>
  <c r="M298" i="11" s="1"/>
  <c r="AV299" i="2"/>
  <c r="E298" i="11"/>
  <c r="AV300" i="2" l="1"/>
  <c r="E299" i="11"/>
  <c r="AX300" i="2"/>
  <c r="G299" i="11"/>
  <c r="M299" i="11" s="1"/>
  <c r="AX301" i="2" l="1"/>
  <c r="G300" i="11"/>
  <c r="M300" i="11" s="1"/>
  <c r="AV301" i="2"/>
  <c r="E300" i="11"/>
  <c r="AV302" i="2" l="1"/>
  <c r="E301" i="11"/>
  <c r="G301" i="11"/>
  <c r="M301" i="11" s="1"/>
  <c r="AX302" i="2"/>
  <c r="G302" i="11" l="1"/>
  <c r="AX303" i="2"/>
  <c r="E302" i="11"/>
  <c r="AV303" i="2"/>
  <c r="M302" i="11" l="1"/>
  <c r="M2" i="11" s="1"/>
  <c r="Q29" i="1" s="1"/>
  <c r="AX304" i="2"/>
  <c r="G304" i="11" s="1"/>
  <c r="M304" i="11" s="1"/>
  <c r="Q24" i="1" s="1"/>
  <c r="G303" i="11"/>
  <c r="M303" i="11" s="1"/>
  <c r="E303" i="11"/>
  <c r="AV304" i="2"/>
  <c r="G2" i="11" l="1"/>
  <c r="O29" i="1" s="1"/>
  <c r="Q37" i="6"/>
  <c r="E304" i="11"/>
  <c r="AV305" i="2"/>
  <c r="P37" i="6" l="1"/>
  <c r="AV306" i="2"/>
  <c r="E305" i="11"/>
  <c r="AV307" i="2" l="1"/>
  <c r="E306" i="11"/>
  <c r="AV308" i="2" l="1"/>
  <c r="E307" i="11"/>
  <c r="E308" i="11" l="1"/>
  <c r="AV309" i="2"/>
  <c r="E309" i="11" l="1"/>
  <c r="AV310" i="2"/>
  <c r="E310" i="11" l="1"/>
  <c r="AV311" i="2"/>
  <c r="E311" i="11" l="1"/>
  <c r="AV312" i="2"/>
  <c r="AV313" i="2" l="1"/>
  <c r="E312" i="11"/>
  <c r="AV314" i="2" l="1"/>
  <c r="E313" i="11"/>
  <c r="E314" i="11" l="1"/>
  <c r="AV315" i="2"/>
  <c r="E315" i="11" l="1"/>
  <c r="AV316" i="2"/>
  <c r="E316" i="11" l="1"/>
  <c r="AV317" i="2"/>
  <c r="E317" i="11" l="1"/>
  <c r="AV318" i="2"/>
  <c r="AV319" i="2" l="1"/>
  <c r="E318" i="11"/>
  <c r="E319" i="11" l="1"/>
  <c r="AV320" i="2"/>
  <c r="AV321" i="2" l="1"/>
  <c r="E320" i="11"/>
  <c r="E321" i="11" l="1"/>
  <c r="AV322" i="2"/>
  <c r="AV323" i="2" l="1"/>
  <c r="E322" i="11"/>
  <c r="AV324" i="2" l="1"/>
  <c r="E323" i="11"/>
  <c r="E324" i="11" l="1"/>
  <c r="AV325" i="2"/>
  <c r="E325" i="11" l="1"/>
  <c r="AV326" i="2"/>
  <c r="E326" i="11" l="1"/>
  <c r="AV327" i="2"/>
  <c r="AV328" i="2" l="1"/>
  <c r="E327" i="11"/>
  <c r="AV329" i="2" l="1"/>
  <c r="E328" i="11"/>
  <c r="E329" i="11" l="1"/>
  <c r="AV330" i="2"/>
  <c r="AV331" i="2" l="1"/>
  <c r="E330" i="11"/>
  <c r="AV332" i="2" l="1"/>
  <c r="E331" i="11"/>
  <c r="AV333" i="2" l="1"/>
  <c r="E332" i="11"/>
  <c r="E333" i="11" l="1"/>
  <c r="AV334" i="2"/>
  <c r="E334" i="11" l="1"/>
  <c r="AV335" i="2"/>
  <c r="E335" i="11" l="1"/>
  <c r="AV336" i="2"/>
  <c r="E336" i="11" l="1"/>
  <c r="AV337" i="2"/>
  <c r="AV338" i="2" l="1"/>
  <c r="E337" i="11"/>
  <c r="E338" i="11" l="1"/>
  <c r="AV339" i="2"/>
  <c r="AV340" i="2" l="1"/>
  <c r="E339" i="11"/>
  <c r="E340" i="11" l="1"/>
  <c r="AV341" i="2"/>
  <c r="AV342" i="2" l="1"/>
  <c r="E341" i="11"/>
  <c r="E342" i="11" l="1"/>
  <c r="AV343" i="2"/>
  <c r="AV344" i="2" l="1"/>
  <c r="E343" i="11"/>
  <c r="AV345" i="2" l="1"/>
  <c r="E344" i="11"/>
  <c r="AV346" i="2" l="1"/>
  <c r="E345" i="11"/>
  <c r="E346" i="11" l="1"/>
  <c r="AV347" i="2"/>
  <c r="E347" i="11" l="1"/>
  <c r="AV348" i="2"/>
  <c r="E348" i="11" l="1"/>
  <c r="AV349" i="2"/>
  <c r="E349" i="11" l="1"/>
  <c r="AV350" i="2"/>
  <c r="E350" i="11" l="1"/>
  <c r="AV351" i="2"/>
  <c r="AV352" i="2" l="1"/>
  <c r="E351" i="11"/>
  <c r="E352" i="11" l="1"/>
  <c r="AV353" i="2"/>
  <c r="E353" i="11" l="1"/>
  <c r="AV354" i="2"/>
  <c r="E354" i="11" l="1"/>
  <c r="AV355" i="2"/>
  <c r="E355" i="11" l="1"/>
  <c r="AV356" i="2"/>
  <c r="E356" i="11" l="1"/>
  <c r="AV357" i="2"/>
  <c r="AV358" i="2" l="1"/>
  <c r="E357" i="11"/>
  <c r="E358" i="11" l="1"/>
  <c r="AV359" i="2"/>
  <c r="E359" i="11" l="1"/>
  <c r="AV360" i="2"/>
  <c r="E360" i="11" l="1"/>
  <c r="AV361" i="2"/>
  <c r="AV362" i="2" l="1"/>
  <c r="E361" i="11"/>
  <c r="E362" i="11" l="1"/>
  <c r="AV363" i="2"/>
  <c r="AV364" i="2" l="1"/>
  <c r="E363" i="11"/>
  <c r="E364" i="11" l="1"/>
  <c r="AV365" i="2"/>
  <c r="E365" i="11" l="1"/>
  <c r="AV366" i="2"/>
  <c r="AV367" i="2" l="1"/>
  <c r="E366" i="11"/>
  <c r="AV368" i="2" l="1"/>
  <c r="E367" i="11"/>
  <c r="E368" i="11" l="1"/>
  <c r="AV369" i="2"/>
  <c r="E369" i="11" l="1"/>
  <c r="AV370" i="2"/>
  <c r="E370" i="11" l="1"/>
  <c r="AV371" i="2"/>
  <c r="E371" i="11" l="1"/>
  <c r="AV372" i="2"/>
  <c r="AV373" i="2" l="1"/>
  <c r="E372" i="11"/>
  <c r="AV374" i="2" l="1"/>
  <c r="E373" i="11"/>
  <c r="AV375" i="2" l="1"/>
  <c r="E374" i="11"/>
  <c r="E375" i="11" l="1"/>
  <c r="AV376" i="2"/>
  <c r="E376" i="11" l="1"/>
  <c r="AV377" i="2"/>
  <c r="E377" i="11" l="1"/>
  <c r="AV378" i="2"/>
  <c r="E378" i="11" l="1"/>
  <c r="AV379" i="2"/>
  <c r="E379" i="11" l="1"/>
  <c r="AV380" i="2"/>
  <c r="AV381" i="2" l="1"/>
  <c r="E380" i="11"/>
  <c r="E381" i="11" l="1"/>
  <c r="AV382" i="2"/>
  <c r="AV383" i="2" l="1"/>
  <c r="E382" i="11"/>
  <c r="AV384" i="2" l="1"/>
  <c r="E383" i="11"/>
  <c r="AV385" i="2" l="1"/>
  <c r="E384" i="11"/>
  <c r="E385" i="11" l="1"/>
  <c r="AV386" i="2"/>
  <c r="E386" i="11" l="1"/>
  <c r="AV387" i="2"/>
  <c r="AV388" i="2" l="1"/>
  <c r="E387" i="11"/>
  <c r="E388" i="11" l="1"/>
  <c r="AV389" i="2"/>
  <c r="E389" i="11" l="1"/>
  <c r="AV390" i="2"/>
  <c r="E390" i="11" l="1"/>
  <c r="AV391" i="2"/>
  <c r="AV392" i="2" l="1"/>
  <c r="E391" i="11"/>
  <c r="E392" i="11" l="1"/>
  <c r="AV393" i="2"/>
  <c r="E393" i="11" l="1"/>
  <c r="AV394" i="2"/>
  <c r="AV395" i="2" l="1"/>
  <c r="E394" i="11"/>
  <c r="AV396" i="2" l="1"/>
  <c r="E395" i="11"/>
  <c r="E396" i="11" l="1"/>
  <c r="AV397" i="2"/>
  <c r="AV398" i="2" l="1"/>
  <c r="E397" i="11"/>
  <c r="AV399" i="2" l="1"/>
  <c r="E398" i="11"/>
  <c r="AV400" i="2" l="1"/>
  <c r="E399" i="11"/>
  <c r="E400" i="11" l="1"/>
  <c r="AV401" i="2"/>
  <c r="AV402" i="2" l="1"/>
  <c r="E401" i="11"/>
  <c r="E402" i="11" l="1"/>
  <c r="AV403" i="2"/>
  <c r="AV404" i="2" l="1"/>
  <c r="E403" i="11"/>
  <c r="E404" i="11" l="1"/>
  <c r="AV405" i="2"/>
  <c r="E405" i="11" l="1"/>
  <c r="AV406" i="2"/>
  <c r="E406" i="11" l="1"/>
  <c r="AV407" i="2"/>
  <c r="AV408" i="2" l="1"/>
  <c r="E407" i="11"/>
  <c r="AV409" i="2" l="1"/>
  <c r="E408" i="11"/>
  <c r="E409" i="11" l="1"/>
  <c r="AV410" i="2"/>
  <c r="AV411" i="2" l="1"/>
  <c r="E410" i="11"/>
  <c r="E411" i="11" l="1"/>
  <c r="AV412" i="2"/>
  <c r="E412" i="11" l="1"/>
  <c r="AV413" i="2"/>
  <c r="AV414" i="2" l="1"/>
  <c r="E413" i="11"/>
  <c r="AV415" i="2" l="1"/>
  <c r="E414" i="11"/>
  <c r="E415" i="11" l="1"/>
  <c r="AV416" i="2"/>
  <c r="AV417" i="2" l="1"/>
  <c r="E416" i="11"/>
  <c r="E417" i="11" l="1"/>
  <c r="AV418" i="2"/>
  <c r="E418" i="11" l="1"/>
  <c r="AV419" i="2"/>
  <c r="AV420" i="2" l="1"/>
  <c r="E419" i="11"/>
  <c r="E420" i="11" l="1"/>
  <c r="AV421" i="2"/>
  <c r="E421" i="11" l="1"/>
  <c r="AV422" i="2"/>
  <c r="AV423" i="2" l="1"/>
  <c r="E422" i="11"/>
  <c r="AV424" i="2" l="1"/>
  <c r="E423" i="11"/>
  <c r="AV425" i="2" l="1"/>
  <c r="E424" i="11"/>
  <c r="E425" i="11" l="1"/>
  <c r="AV426" i="2"/>
  <c r="E426" i="11" l="1"/>
  <c r="AV427" i="2"/>
  <c r="AV428" i="2" l="1"/>
  <c r="E427" i="11"/>
  <c r="E428" i="11" l="1"/>
  <c r="AV429" i="2"/>
  <c r="AV430" i="2" l="1"/>
  <c r="E429" i="11"/>
  <c r="E430" i="11" l="1"/>
  <c r="AV431" i="2"/>
  <c r="AV432" i="2" l="1"/>
  <c r="E431" i="11"/>
  <c r="AV433" i="2" l="1"/>
  <c r="E432" i="11"/>
  <c r="AV434" i="2" l="1"/>
  <c r="E433" i="11"/>
  <c r="AV435" i="2" l="1"/>
  <c r="E434" i="11"/>
  <c r="E435" i="11" l="1"/>
  <c r="AV436" i="2"/>
  <c r="E436" i="11" l="1"/>
  <c r="AV437" i="2"/>
  <c r="E437" i="11" l="1"/>
  <c r="AV438" i="2"/>
  <c r="AV439" i="2" l="1"/>
  <c r="E438" i="11"/>
  <c r="AV440" i="2" l="1"/>
  <c r="E439" i="11"/>
  <c r="AV441" i="2" l="1"/>
  <c r="E440" i="11"/>
  <c r="E441" i="11" l="1"/>
  <c r="AV442" i="2"/>
  <c r="AV443" i="2" l="1"/>
  <c r="E442" i="11"/>
  <c r="AV444" i="2" l="1"/>
  <c r="E443" i="11"/>
  <c r="AV445" i="2" l="1"/>
  <c r="E444" i="11"/>
  <c r="E445" i="11" l="1"/>
  <c r="AV446" i="2"/>
  <c r="AV447" i="2" l="1"/>
  <c r="E446" i="11"/>
  <c r="E447" i="11" l="1"/>
  <c r="AV448" i="2"/>
  <c r="AV449" i="2" l="1"/>
  <c r="E448" i="11"/>
  <c r="E449" i="11" l="1"/>
  <c r="AV450" i="2"/>
  <c r="E450" i="11" l="1"/>
  <c r="AV451" i="2"/>
  <c r="E451" i="11" l="1"/>
  <c r="AV452" i="2"/>
  <c r="E452" i="11" l="1"/>
  <c r="AV453" i="2"/>
  <c r="E453" i="11" l="1"/>
  <c r="AV454" i="2"/>
  <c r="AV455" i="2" l="1"/>
  <c r="E454" i="11"/>
  <c r="E455" i="11" l="1"/>
  <c r="AV456" i="2"/>
  <c r="AV457" i="2" l="1"/>
  <c r="E456" i="11"/>
  <c r="E457" i="11" l="1"/>
  <c r="AV458" i="2"/>
  <c r="E458" i="11" l="1"/>
  <c r="AV459" i="2"/>
  <c r="E459" i="11" l="1"/>
  <c r="AV460" i="2"/>
  <c r="E460" i="11" l="1"/>
  <c r="AV461" i="2"/>
  <c r="E461" i="11" l="1"/>
  <c r="AV462" i="2"/>
  <c r="E462" i="11" l="1"/>
  <c r="AV463" i="2"/>
  <c r="E463" i="11" l="1"/>
  <c r="AV464" i="2"/>
  <c r="AV465" i="2" l="1"/>
  <c r="E464" i="11"/>
  <c r="E465" i="11" l="1"/>
  <c r="AV466" i="2"/>
  <c r="E466" i="11" l="1"/>
  <c r="AV467" i="2"/>
  <c r="AV468" i="2" l="1"/>
  <c r="E467" i="11"/>
  <c r="AV469" i="2" l="1"/>
  <c r="E468" i="11"/>
  <c r="AV470" i="2" l="1"/>
  <c r="E469" i="11"/>
  <c r="E470" i="11" l="1"/>
  <c r="AV471" i="2"/>
  <c r="E471" i="11" l="1"/>
  <c r="AV472" i="2"/>
  <c r="E472" i="11" l="1"/>
  <c r="AV473" i="2"/>
  <c r="E473" i="11" l="1"/>
  <c r="AV474" i="2"/>
  <c r="E474" i="11" l="1"/>
  <c r="AV475" i="2"/>
  <c r="AV476" i="2" l="1"/>
  <c r="E475" i="11"/>
  <c r="AV477" i="2" l="1"/>
  <c r="E476" i="11"/>
  <c r="E477" i="11" l="1"/>
  <c r="AV478" i="2"/>
  <c r="AV479" i="2" l="1"/>
  <c r="E478" i="11"/>
  <c r="AV480" i="2" l="1"/>
  <c r="E479" i="11"/>
  <c r="AV481" i="2" l="1"/>
  <c r="E480" i="11"/>
  <c r="E481" i="11" l="1"/>
  <c r="AV482" i="2"/>
  <c r="E482" i="11" l="1"/>
  <c r="AV483" i="2"/>
  <c r="AV484" i="2" l="1"/>
  <c r="E484" i="11" s="1"/>
  <c r="E48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Andy Mackey</author>
  </authors>
  <commentList>
    <comment ref="C19" authorId="0" shapeId="0" xr:uid="{00000000-0006-0000-0200-000001000000}">
      <text>
        <r>
          <rPr>
            <b/>
            <sz val="9"/>
            <color indexed="81"/>
            <rFont val="Tahoma"/>
            <family val="2"/>
          </rPr>
          <t>If YES is selected, the price of the PV system price is reduced by the value of the inverter used for the Battery system as they are intended to be shared. This shared, multiport inverter also has additional de-rates associated with it due to the potential to be limited in capacity. These are accounted for in cells D37:D39.
PLEASE NOTE: This does not work with the 'Advanced' pricing option; the reduction must be manually accounted for in the 'Adv.' tab.</t>
        </r>
      </text>
    </comment>
    <comment ref="C26" authorId="0" shapeId="0" xr:uid="{00000000-0006-0000-0200-000002000000}">
      <text>
        <r>
          <rPr>
            <b/>
            <sz val="9"/>
            <color indexed="81"/>
            <rFont val="Tahoma"/>
            <family val="2"/>
          </rPr>
          <t>Remaining kWhs available for avoided cost of energy consumption after accounting for call hours, critical hours, and battery charging.</t>
        </r>
      </text>
    </comment>
    <comment ref="C32" authorId="0" shapeId="0" xr:uid="{00000000-0006-0000-0200-000003000000}">
      <text>
        <r>
          <rPr>
            <b/>
            <sz val="9"/>
            <color indexed="81"/>
            <rFont val="Tahoma"/>
            <family val="2"/>
          </rPr>
          <t>If YES is selected for multiport inverter, the price of the PV system price is reduced by the value of the inverter used for the Battery system as they are intended to be shared. This shared, multiport inverter also has additional de-rates associated with it due to the potential to be limited in capacity. These are accounted for in cells D21:D23.
PLEASE NOTE: This does not work with the 'Advanced' pricing option; the reduction must be manually accounted for in the 'Adv.'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Andy Mackey</author>
    <author>amackey</author>
  </authors>
  <commentList>
    <comment ref="C16" authorId="0" shapeId="0" xr:uid="{00000000-0006-0000-0300-000001000000}">
      <text>
        <r>
          <rPr>
            <b/>
            <sz val="9"/>
            <color indexed="81"/>
            <rFont val="Tahoma"/>
            <family val="2"/>
          </rPr>
          <t>This is the difference between a high time of use rate and the low time of use rate.</t>
        </r>
      </text>
    </comment>
    <comment ref="M19" authorId="1" shapeId="0" xr:uid="{00000000-0006-0000-0300-000003000000}">
      <text>
        <r>
          <rPr>
            <b/>
            <sz val="9"/>
            <color indexed="81"/>
            <rFont val="Tahoma"/>
            <family val="2"/>
          </rPr>
          <t>Apply cash-based incentives received to loan principal.  Does not include ITC.</t>
        </r>
      </text>
    </comment>
    <comment ref="H28" authorId="0" shapeId="0" xr:uid="{00000000-0006-0000-0300-000002000000}">
      <text>
        <r>
          <rPr>
            <b/>
            <sz val="9"/>
            <color indexed="81"/>
            <rFont val="Tahoma"/>
            <family val="2"/>
          </rPr>
          <t>These C-Rate values can be modified on the 'LkUP' tab in cells T2:4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amackey</author>
  </authors>
  <commentList>
    <comment ref="AD3" authorId="0" shapeId="0" xr:uid="{00000000-0006-0000-0600-000001000000}">
      <text>
        <r>
          <rPr>
            <b/>
            <sz val="9"/>
            <color indexed="81"/>
            <rFont val="Tahoma"/>
            <family val="2"/>
          </rPr>
          <t>This is the value of the tax write off they would get from writing off electricity they could have purchased from the Utility but now receive via PV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Andy Mackey</author>
  </authors>
  <commentList>
    <comment ref="B1" authorId="0" shapeId="0" xr:uid="{00000000-0006-0000-0D00-000001000000}">
      <text>
        <r>
          <rPr>
            <sz val="9"/>
            <color indexed="81"/>
            <rFont val="Tahoma"/>
            <family val="2"/>
          </rPr>
          <t>The federal Business Energy Investment Tax Credit (ITC) has been amended a number of times, most recently in December 2015. The table below shows the value of the investment tax credit by year.  The expiration date for solar technologies is based on when construction begins.</t>
        </r>
      </text>
    </comment>
    <comment ref="C1" authorId="0" shapeId="0" xr:uid="{00000000-0006-0000-0D00-000002000000}">
      <text>
        <r>
          <rPr>
            <sz val="9"/>
            <color indexed="81"/>
            <rFont val="Tahoma"/>
            <family val="2"/>
          </rPr>
          <t xml:space="preserve">A taxpayer may claim a credit of 30% of qualified expenditures for a system that serves a dwelling unit located in the United States that is owned and used as a residence by the taxpayer. Expenditures with respect to the equipment are treated as made when the installation is completed. If the installation is at a new home, the "placed in service" date is the date of occupancy by the homeowner. Expenditures include labor costs for on-site preparation, assembly or original system installation, and for wiring to interconnect a system to the home. If the federal tax credit exceeds tax liability, the excess amount may be carried forward to the succeeding taxable year.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<sst xmlns="http://schemas.openxmlformats.org/spreadsheetml/2006/main" count="1170" uniqueCount="537">
  <si>
    <t>Market</t>
  </si>
  <si>
    <t>System Type</t>
  </si>
  <si>
    <t>Retail Cost of Electricity</t>
  </si>
  <si>
    <t>Customer Tax Rate</t>
  </si>
  <si>
    <t>SREC Period 1</t>
  </si>
  <si>
    <t>SREC Period 2</t>
  </si>
  <si>
    <t>SREC Period 3</t>
  </si>
  <si>
    <t>Length</t>
  </si>
  <si>
    <t>years</t>
  </si>
  <si>
    <t>Commercial</t>
  </si>
  <si>
    <t>$/kWh</t>
  </si>
  <si>
    <t>Tax Implications</t>
  </si>
  <si>
    <t>Electricity Write-Off</t>
  </si>
  <si>
    <t>ON</t>
  </si>
  <si>
    <t>OFF</t>
  </si>
  <si>
    <t>Financing</t>
  </si>
  <si>
    <t>Percentage Borrowed</t>
  </si>
  <si>
    <t>Interest Rate</t>
  </si>
  <si>
    <t>Period</t>
  </si>
  <si>
    <t>Write off interest</t>
  </si>
  <si>
    <t>Pay Principal w/ Rebates</t>
  </si>
  <si>
    <t>YES</t>
  </si>
  <si>
    <t>NO</t>
  </si>
  <si>
    <t>Rebates / Incentives</t>
  </si>
  <si>
    <t>Federal ITC</t>
  </si>
  <si>
    <t>Down Payment</t>
  </si>
  <si>
    <t>Principal</t>
  </si>
  <si>
    <t>Local Rebate</t>
  </si>
  <si>
    <t>Depreciation</t>
  </si>
  <si>
    <t>MACRS</t>
  </si>
  <si>
    <t>PV Size</t>
  </si>
  <si>
    <t>O&amp;M Cost/year</t>
  </si>
  <si>
    <t>Insurance Cost/year</t>
  </si>
  <si>
    <t>System Retail Price</t>
  </si>
  <si>
    <t>Performance after 25 years</t>
  </si>
  <si>
    <t>$/W</t>
  </si>
  <si>
    <t>Inverter Replacement</t>
  </si>
  <si>
    <t>Year</t>
  </si>
  <si>
    <t>Elec. Savings $/kWh</t>
  </si>
  <si>
    <t>Pre-Tax Savings/Month</t>
  </si>
  <si>
    <r>
      <t>kWh</t>
    </r>
    <r>
      <rPr>
        <vertAlign val="subscript"/>
        <sz val="11"/>
        <color theme="1"/>
        <rFont val="Calibri"/>
        <family val="2"/>
        <scheme val="minor"/>
      </rPr>
      <t>AC</t>
    </r>
  </si>
  <si>
    <t>Period kWh generated</t>
  </si>
  <si>
    <t>Front-Load O&amp;M</t>
  </si>
  <si>
    <t>Standard O&amp;M</t>
  </si>
  <si>
    <t>Front-Load O&amp;M Costs</t>
  </si>
  <si>
    <t>Years</t>
  </si>
  <si>
    <t>Front-Load Insurance Costs</t>
  </si>
  <si>
    <t>Front-Load Insurance</t>
  </si>
  <si>
    <t>Standard Insurance</t>
  </si>
  <si>
    <t>SUB TOT</t>
  </si>
  <si>
    <t>System Costs</t>
  </si>
  <si>
    <t>Plus Front-Load Expenses</t>
  </si>
  <si>
    <t>Taxable</t>
  </si>
  <si>
    <t>Non-Taxable</t>
  </si>
  <si>
    <t>Total Package Price (For ITC)</t>
  </si>
  <si>
    <t>Period Year</t>
    <phoneticPr fontId="0" type="noConversion"/>
  </si>
  <si>
    <t>MACRS 5yr Schedules</t>
    <phoneticPr fontId="0" type="noConversion"/>
  </si>
  <si>
    <t>Fed. Depreciation Benefit</t>
    <phoneticPr fontId="0" type="noConversion"/>
  </si>
  <si>
    <t>TOTALS</t>
    <phoneticPr fontId="0" type="noConversion"/>
  </si>
  <si>
    <t>System Value</t>
  </si>
  <si>
    <t>Depreciable Value</t>
  </si>
  <si>
    <t>Payment Frequency</t>
  </si>
  <si>
    <t>Effective Interest Rate</t>
  </si>
  <si>
    <t>n</t>
  </si>
  <si>
    <t>Annuity Factor</t>
  </si>
  <si>
    <t>Payment</t>
  </si>
  <si>
    <t>Total Interest Payment</t>
  </si>
  <si>
    <t>Total Loan Cost</t>
  </si>
  <si>
    <t>/month</t>
  </si>
  <si>
    <t>payment periods</t>
  </si>
  <si>
    <t>Period Years</t>
    <phoneticPr fontId="0" type="noConversion"/>
  </si>
  <si>
    <t>Period Months</t>
    <phoneticPr fontId="0" type="noConversion"/>
  </si>
  <si>
    <t>Scheduled Payment</t>
  </si>
  <si>
    <t>Early Payment</t>
  </si>
  <si>
    <t>Interest</t>
    <phoneticPr fontId="0" type="noConversion"/>
  </si>
  <si>
    <t>Interest Paid</t>
    <phoneticPr fontId="0" type="noConversion"/>
  </si>
  <si>
    <t>Principal</t>
    <phoneticPr fontId="0" type="noConversion"/>
  </si>
  <si>
    <t>Principal Paid</t>
    <phoneticPr fontId="0" type="noConversion"/>
  </si>
  <si>
    <t>Balance</t>
    <phoneticPr fontId="0" type="noConversion"/>
  </si>
  <si>
    <t>Actual Payment</t>
    <phoneticPr fontId="0" type="noConversion"/>
  </si>
  <si>
    <t>Balance Adjustment</t>
  </si>
  <si>
    <t>Proposed Applied Payment</t>
  </si>
  <si>
    <t>Total</t>
  </si>
  <si>
    <t>Loan Overpayment</t>
  </si>
  <si>
    <t>Non-Taxable Income</t>
  </si>
  <si>
    <t>Taxable Income</t>
  </si>
  <si>
    <t>Expenses</t>
  </si>
  <si>
    <t>Interest Write-Off Value</t>
  </si>
  <si>
    <t>Elec. Tax Write-off Loss</t>
  </si>
  <si>
    <t>Non-Taxable Rebate and Grants</t>
  </si>
  <si>
    <t>Taxable Rebates and Grants</t>
  </si>
  <si>
    <t>Discount Rate</t>
  </si>
  <si>
    <t>Price to Install</t>
  </si>
  <si>
    <t>In Year</t>
  </si>
  <si>
    <t>Version History</t>
  </si>
  <si>
    <t>Secure Network Cost / IT</t>
  </si>
  <si>
    <t>O&amp;M Cost</t>
  </si>
  <si>
    <t>Inverter Cost</t>
  </si>
  <si>
    <r>
      <t>kW</t>
    </r>
    <r>
      <rPr>
        <vertAlign val="subscript"/>
        <sz val="11"/>
        <color theme="1"/>
        <rFont val="Calibri"/>
        <family val="2"/>
        <scheme val="minor"/>
      </rPr>
      <t>DC</t>
    </r>
  </si>
  <si>
    <t>Inverter Size</t>
  </si>
  <si>
    <r>
      <t>kWh</t>
    </r>
    <r>
      <rPr>
        <vertAlign val="subscript"/>
        <sz val="11"/>
        <color theme="1"/>
        <rFont val="Calibri"/>
        <family val="2"/>
        <scheme val="minor"/>
      </rPr>
      <t>DC</t>
    </r>
  </si>
  <si>
    <t>Battery Capacity</t>
  </si>
  <si>
    <t>Hrs/Year</t>
  </si>
  <si>
    <t>Utility Call Hours</t>
  </si>
  <si>
    <t>Hrs/Day</t>
  </si>
  <si>
    <t>Down-time due to PV</t>
  </si>
  <si>
    <t>Base Up-Time</t>
  </si>
  <si>
    <t>Round-Trip Efficiency Loss</t>
  </si>
  <si>
    <t>Critical Hours</t>
  </si>
  <si>
    <t>PV Down Time</t>
  </si>
  <si>
    <t>Base Downtime</t>
  </si>
  <si>
    <t>Starting Hours Up-Time</t>
  </si>
  <si>
    <t>Front Loaded Value Calcs</t>
  </si>
  <si>
    <t>F.L. Value =</t>
  </si>
  <si>
    <t>Period Months</t>
    <phoneticPr fontId="0" type="noConversion"/>
  </si>
  <si>
    <t>Losses Due to Hybrid System</t>
  </si>
  <si>
    <t>PV Cumulative Cash</t>
  </si>
  <si>
    <t>PV DCF</t>
  </si>
  <si>
    <t>PV Cumulative DCF</t>
  </si>
  <si>
    <t>Battery Cumulative Cash</t>
  </si>
  <si>
    <t>Battery DCF</t>
  </si>
  <si>
    <t>Battery Cumulative DCF</t>
  </si>
  <si>
    <t>PV</t>
  </si>
  <si>
    <t>Net</t>
  </si>
  <si>
    <t>BATTERY</t>
  </si>
  <si>
    <t>NET</t>
  </si>
  <si>
    <t>TOTAL</t>
  </si>
  <si>
    <t>Battery</t>
  </si>
  <si>
    <t>Hybrid System</t>
  </si>
  <si>
    <t>Utility Call Hours Income</t>
  </si>
  <si>
    <t>year contract</t>
  </si>
  <si>
    <t>Rebate &amp; Grant Tax Cnsdrtns</t>
  </si>
  <si>
    <t>Initial Cash Outlay</t>
  </si>
  <si>
    <r>
      <t>Base Cost /W</t>
    </r>
    <r>
      <rPr>
        <vertAlign val="subscript"/>
        <sz val="11"/>
        <color theme="1"/>
        <rFont val="Calibri"/>
        <family val="2"/>
        <scheme val="minor"/>
      </rPr>
      <t>DC</t>
    </r>
  </si>
  <si>
    <t>Base Capacity Factor</t>
  </si>
  <si>
    <t>Adjusted Annual Production</t>
  </si>
  <si>
    <t>Call Hrs.</t>
  </si>
  <si>
    <t>Revenue</t>
  </si>
  <si>
    <t>/yr</t>
  </si>
  <si>
    <t>total</t>
  </si>
  <si>
    <t>Network Cost</t>
  </si>
  <si>
    <t>Inverter-Battery</t>
  </si>
  <si>
    <t>Aggregation Subscription Fee (Flat Rate)</t>
  </si>
  <si>
    <t>Utility Call hours PV loss /hour</t>
  </si>
  <si>
    <t>Non-TB Exps</t>
  </si>
  <si>
    <t>Net Cash Flow After Tax</t>
  </si>
  <si>
    <t>Tax basis Expenses</t>
  </si>
  <si>
    <t>Non Tax-Basis Expenses</t>
  </si>
  <si>
    <t>Reinvestment Rate</t>
  </si>
  <si>
    <t>Hybrid Net Cash Flow After Tax</t>
  </si>
  <si>
    <t>Present Value</t>
  </si>
  <si>
    <t>Discount Rate (Cost of Capital)</t>
  </si>
  <si>
    <t>yrs until paybak</t>
  </si>
  <si>
    <t>/mo.</t>
  </si>
  <si>
    <t>NET DCF</t>
  </si>
  <si>
    <t>PV-Inverter Ratio</t>
  </si>
  <si>
    <t>/yr.</t>
  </si>
  <si>
    <t>PV System Performance</t>
  </si>
  <si>
    <t>Loan Interest Expense</t>
  </si>
  <si>
    <t>(Tax) or Tax Benefit</t>
  </si>
  <si>
    <t>Gross Revenue</t>
  </si>
  <si>
    <t>Gross Expenses</t>
  </si>
  <si>
    <t>Net Revenue Before Taxes</t>
  </si>
  <si>
    <t>Loan Interest</t>
  </si>
  <si>
    <t>Escalation/Year</t>
  </si>
  <si>
    <t>Aggregator Fee (% Revenue)</t>
  </si>
  <si>
    <t>Mark-Up</t>
  </si>
  <si>
    <t>Battery Size</t>
  </si>
  <si>
    <r>
      <t>kWhr</t>
    </r>
    <r>
      <rPr>
        <vertAlign val="subscript"/>
        <sz val="11"/>
        <color theme="1"/>
        <rFont val="Calibri"/>
        <family val="2"/>
        <scheme val="minor"/>
      </rPr>
      <t>DC</t>
    </r>
  </si>
  <si>
    <t>System O&amp;M (per Year)</t>
  </si>
  <si>
    <t>Qty</t>
  </si>
  <si>
    <t>Unit</t>
  </si>
  <si>
    <t>Cost $/Unit</t>
  </si>
  <si>
    <t>Inverter</t>
  </si>
  <si>
    <t>Batteries</t>
  </si>
  <si>
    <t>Standard Maintenance</t>
  </si>
  <si>
    <r>
      <t>kWhr</t>
    </r>
    <r>
      <rPr>
        <vertAlign val="subscript"/>
        <sz val="11"/>
        <rFont val="Calibri"/>
        <family val="2"/>
        <scheme val="minor"/>
      </rPr>
      <t>DC</t>
    </r>
  </si>
  <si>
    <t>DC Capacity</t>
  </si>
  <si>
    <t>Battery Specific Work</t>
  </si>
  <si>
    <t>Subtotal</t>
  </si>
  <si>
    <r>
      <t>kWhr</t>
    </r>
    <r>
      <rPr>
        <b/>
        <vertAlign val="subscript"/>
        <sz val="12"/>
        <rFont val="Calibri"/>
        <family val="2"/>
        <scheme val="minor"/>
      </rPr>
      <t>DC</t>
    </r>
  </si>
  <si>
    <t>Battery System Equipment</t>
  </si>
  <si>
    <t>Sub</t>
  </si>
  <si>
    <t>Price $/Unit</t>
  </si>
  <si>
    <t>PV System</t>
  </si>
  <si>
    <t xml:space="preserve">Batteries </t>
  </si>
  <si>
    <t>System/Electrical O&amp;M</t>
  </si>
  <si>
    <r>
      <t>kW</t>
    </r>
    <r>
      <rPr>
        <vertAlign val="subscript"/>
        <sz val="11"/>
        <rFont val="Calibri"/>
        <family val="2"/>
        <scheme val="minor"/>
      </rPr>
      <t>DC</t>
    </r>
  </si>
  <si>
    <t>Cells</t>
  </si>
  <si>
    <r>
      <t>Whr</t>
    </r>
    <r>
      <rPr>
        <vertAlign val="subscript"/>
        <sz val="11"/>
        <rFont val="Calibri"/>
        <family val="2"/>
        <scheme val="minor"/>
      </rPr>
      <t>DC</t>
    </r>
  </si>
  <si>
    <t>Vegetation Abatement</t>
  </si>
  <si>
    <t>HVAC</t>
  </si>
  <si>
    <r>
      <t>kW</t>
    </r>
    <r>
      <rPr>
        <b/>
        <vertAlign val="subscript"/>
        <sz val="12"/>
        <rFont val="Calibri"/>
        <family val="2"/>
        <scheme val="minor"/>
      </rPr>
      <t>DC</t>
    </r>
  </si>
  <si>
    <t>Life Safety</t>
  </si>
  <si>
    <t>Unitization</t>
  </si>
  <si>
    <t xml:space="preserve">Inverter </t>
  </si>
  <si>
    <r>
      <t>W</t>
    </r>
    <r>
      <rPr>
        <vertAlign val="subscript"/>
        <sz val="11"/>
        <rFont val="Calibri"/>
        <family val="2"/>
        <scheme val="minor"/>
      </rPr>
      <t>DC</t>
    </r>
  </si>
  <si>
    <t>Inverter Installation</t>
  </si>
  <si>
    <t>B.O.S.</t>
  </si>
  <si>
    <t>Unit Installation</t>
  </si>
  <si>
    <t>Battery Interconnection</t>
  </si>
  <si>
    <r>
      <t>Whr</t>
    </r>
    <r>
      <rPr>
        <b/>
        <vertAlign val="subscript"/>
        <sz val="12"/>
        <rFont val="Calibri"/>
        <family val="2"/>
        <scheme val="minor"/>
      </rPr>
      <t>DC</t>
    </r>
  </si>
  <si>
    <t>PV System Equipment</t>
  </si>
  <si>
    <t>Modules</t>
  </si>
  <si>
    <t>Install</t>
  </si>
  <si>
    <r>
      <t>W</t>
    </r>
    <r>
      <rPr>
        <b/>
        <vertAlign val="subscript"/>
        <sz val="12"/>
        <rFont val="Calibri"/>
        <family val="2"/>
        <scheme val="minor"/>
      </rPr>
      <t>DC</t>
    </r>
  </si>
  <si>
    <t>Advanced</t>
  </si>
  <si>
    <t>Simple</t>
  </si>
  <si>
    <t>System cash at loan end</t>
  </si>
  <si>
    <t>(spare)</t>
  </si>
  <si>
    <t>(Spare)</t>
  </si>
  <si>
    <t>Sales Tax</t>
  </si>
  <si>
    <t>Taxed</t>
  </si>
  <si>
    <t xml:space="preserve">SREC Taxes </t>
  </si>
  <si>
    <t>Taxable Total SREC</t>
  </si>
  <si>
    <t>Non-Taxable Total SREC</t>
  </si>
  <si>
    <t>Development Costs</t>
  </si>
  <si>
    <t>Engineering</t>
  </si>
  <si>
    <t>Batt Dev</t>
  </si>
  <si>
    <t>PV Dev</t>
  </si>
  <si>
    <t>Base Costs</t>
  </si>
  <si>
    <t>PV System Total</t>
  </si>
  <si>
    <t>Battery System Total</t>
  </si>
  <si>
    <t>V8</t>
  </si>
  <si>
    <t>Prepared for Public Release</t>
  </si>
  <si>
    <t>Residential</t>
  </si>
  <si>
    <t>PV Business Energy Investment Tax Credit</t>
  </si>
  <si>
    <t>Residential Renewable Energy Tax Credit</t>
  </si>
  <si>
    <t>Grant (Cash)</t>
  </si>
  <si>
    <t>Rate</t>
  </si>
  <si>
    <t>Value</t>
  </si>
  <si>
    <t>% of Cost</t>
  </si>
  <si>
    <t>None</t>
  </si>
  <si>
    <t>Bonus Depreciation</t>
  </si>
  <si>
    <t>Total Depreciation</t>
  </si>
  <si>
    <t>Capital Requirement</t>
  </si>
  <si>
    <t>Critical Mode Hours</t>
  </si>
  <si>
    <t>Grant (cash)</t>
  </si>
  <si>
    <t>CSP Initiation Fee</t>
  </si>
  <si>
    <t>CSP Subscription Fee</t>
  </si>
  <si>
    <t>CSP Aggregator Fee</t>
  </si>
  <si>
    <t>Base inverter efficiency Loss</t>
  </si>
  <si>
    <t xml:space="preserve">Remaining kWh </t>
  </si>
  <si>
    <t>kWh lost to Call hours (multiport)</t>
  </si>
  <si>
    <t>kWh lost to Critical Mode (Multiport)</t>
  </si>
  <si>
    <t>Base loss due to hybrid inverter (multiport)</t>
  </si>
  <si>
    <t>Critical hours during peak sun</t>
  </si>
  <si>
    <t>Battery charge from renewables</t>
  </si>
  <si>
    <r>
      <t>kWh</t>
    </r>
    <r>
      <rPr>
        <vertAlign val="subscript"/>
        <sz val="11"/>
        <color theme="1"/>
        <rFont val="Calibri"/>
        <family val="2"/>
        <scheme val="minor"/>
      </rPr>
      <t>DC</t>
    </r>
    <r>
      <rPr>
        <sz val="11"/>
        <color theme="1"/>
        <rFont val="Calibri"/>
        <family val="2"/>
        <scheme val="minor"/>
      </rPr>
      <t>/yr</t>
    </r>
  </si>
  <si>
    <r>
      <t>kWh</t>
    </r>
    <r>
      <rPr>
        <vertAlign val="subscript"/>
        <sz val="11"/>
        <color theme="1"/>
        <rFont val="Calibri"/>
        <family val="2"/>
        <scheme val="minor"/>
      </rPr>
      <t>AC</t>
    </r>
    <r>
      <rPr>
        <sz val="11"/>
        <color theme="1"/>
        <rFont val="Calibri"/>
        <family val="2"/>
        <scheme val="minor"/>
      </rPr>
      <t>/kW</t>
    </r>
    <r>
      <rPr>
        <vertAlign val="subscript"/>
        <sz val="11"/>
        <color theme="1"/>
        <rFont val="Calibri"/>
        <family val="2"/>
        <scheme val="minor"/>
      </rPr>
      <t>DC</t>
    </r>
    <r>
      <rPr>
        <sz val="11"/>
        <color theme="1"/>
        <rFont val="Calibri"/>
        <family val="2"/>
        <scheme val="minor"/>
      </rPr>
      <t>/yr</t>
    </r>
  </si>
  <si>
    <t>Payback</t>
  </si>
  <si>
    <t xml:space="preserve"> </t>
  </si>
  <si>
    <t>Hybrid</t>
  </si>
  <si>
    <t>PV Only</t>
  </si>
  <si>
    <t>Battery Only</t>
  </si>
  <si>
    <t>Due to using hybrid multiport inverter</t>
  </si>
  <si>
    <t>Contact@ProtoGenEnergy.com</t>
  </si>
  <si>
    <t>www.ProtoGenEnergy.com</t>
  </si>
  <si>
    <t>Call Hour MWh value</t>
  </si>
  <si>
    <t>Revenue Streams</t>
  </si>
  <si>
    <t>Load Shift Energy</t>
  </si>
  <si>
    <t>kW reduction</t>
  </si>
  <si>
    <t>Battery Refresh</t>
  </si>
  <si>
    <t>1st Refresh</t>
  </si>
  <si>
    <t>2nd Refresh</t>
  </si>
  <si>
    <t>3rd Refresh</t>
  </si>
  <si>
    <t>4th Refresh</t>
  </si>
  <si>
    <t>5th Refresh</t>
  </si>
  <si>
    <r>
      <t>1</t>
    </r>
    <r>
      <rPr>
        <vertAlign val="superscript"/>
        <sz val="11"/>
        <color theme="1"/>
        <rFont val="Calibri"/>
        <family val="2"/>
        <scheme val="minor"/>
      </rPr>
      <t>st</t>
    </r>
    <r>
      <rPr>
        <sz val="11"/>
        <color theme="1"/>
        <rFont val="Calibri"/>
        <family val="2"/>
        <scheme val="minor"/>
      </rPr>
      <t xml:space="preserve"> Refresh</t>
    </r>
  </si>
  <si>
    <r>
      <t>1</t>
    </r>
    <r>
      <rPr>
        <vertAlign val="superscript"/>
        <sz val="11"/>
        <color theme="1"/>
        <rFont val="Calibri"/>
        <family val="2"/>
        <scheme val="minor"/>
      </rPr>
      <t xml:space="preserve">st </t>
    </r>
    <r>
      <rPr>
        <sz val="11"/>
        <color theme="1"/>
        <rFont val="Calibri"/>
        <family val="2"/>
        <scheme val="minor"/>
      </rPr>
      <t>and 2</t>
    </r>
    <r>
      <rPr>
        <vertAlign val="superscript"/>
        <sz val="11"/>
        <color theme="1"/>
        <rFont val="Calibri"/>
        <family val="2"/>
        <scheme val="minor"/>
      </rPr>
      <t>nd</t>
    </r>
    <r>
      <rPr>
        <sz val="11"/>
        <color theme="1"/>
        <rFont val="Calibri"/>
        <family val="2"/>
        <scheme val="minor"/>
      </rPr>
      <t xml:space="preserve"> Refresh</t>
    </r>
  </si>
  <si>
    <r>
      <t>1</t>
    </r>
    <r>
      <rPr>
        <vertAlign val="superscript"/>
        <sz val="11"/>
        <color theme="1"/>
        <rFont val="Calibri"/>
        <family val="2"/>
        <scheme val="minor"/>
      </rPr>
      <t>st</t>
    </r>
    <r>
      <rPr>
        <sz val="11"/>
        <color theme="1"/>
        <rFont val="Calibri"/>
        <family val="2"/>
        <scheme val="minor"/>
      </rPr>
      <t>, 2</t>
    </r>
    <r>
      <rPr>
        <vertAlign val="superscript"/>
        <sz val="11"/>
        <color theme="1"/>
        <rFont val="Calibri"/>
        <family val="2"/>
        <scheme val="minor"/>
      </rPr>
      <t>nd</t>
    </r>
    <r>
      <rPr>
        <sz val="11"/>
        <color theme="1"/>
        <rFont val="Calibri"/>
        <family val="2"/>
        <scheme val="minor"/>
      </rPr>
      <t>, and 3</t>
    </r>
    <r>
      <rPr>
        <vertAlign val="superscript"/>
        <sz val="11"/>
        <color theme="1"/>
        <rFont val="Calibri"/>
        <family val="2"/>
        <scheme val="minor"/>
      </rPr>
      <t>rd</t>
    </r>
    <r>
      <rPr>
        <sz val="11"/>
        <color theme="1"/>
        <rFont val="Calibri"/>
        <family val="2"/>
        <scheme val="minor"/>
      </rPr>
      <t xml:space="preserve"> Refresh</t>
    </r>
  </si>
  <si>
    <r>
      <t>1</t>
    </r>
    <r>
      <rPr>
        <vertAlign val="superscript"/>
        <sz val="11"/>
        <color theme="1"/>
        <rFont val="Calibri"/>
        <family val="2"/>
        <scheme val="minor"/>
      </rPr>
      <t>st</t>
    </r>
    <r>
      <rPr>
        <sz val="11"/>
        <color theme="1"/>
        <rFont val="Calibri"/>
        <family val="2"/>
        <scheme val="minor"/>
      </rPr>
      <t xml:space="preserve"> - 4</t>
    </r>
    <r>
      <rPr>
        <vertAlign val="superscript"/>
        <sz val="11"/>
        <color theme="1"/>
        <rFont val="Calibri"/>
        <family val="2"/>
        <scheme val="minor"/>
      </rPr>
      <t>th</t>
    </r>
    <r>
      <rPr>
        <sz val="11"/>
        <color theme="1"/>
        <rFont val="Calibri"/>
        <family val="2"/>
        <scheme val="minor"/>
      </rPr>
      <t xml:space="preserve"> Refresh</t>
    </r>
  </si>
  <si>
    <r>
      <t>1</t>
    </r>
    <r>
      <rPr>
        <vertAlign val="superscript"/>
        <sz val="11"/>
        <color theme="1"/>
        <rFont val="Calibri"/>
        <family val="2"/>
        <scheme val="minor"/>
      </rPr>
      <t>st</t>
    </r>
    <r>
      <rPr>
        <sz val="11"/>
        <color theme="1"/>
        <rFont val="Calibri"/>
        <family val="2"/>
        <scheme val="minor"/>
      </rPr>
      <t xml:space="preserve"> - 5</t>
    </r>
    <r>
      <rPr>
        <vertAlign val="superscript"/>
        <sz val="11"/>
        <color theme="1"/>
        <rFont val="Calibri"/>
        <family val="2"/>
        <scheme val="minor"/>
      </rPr>
      <t>th</t>
    </r>
    <r>
      <rPr>
        <sz val="11"/>
        <color theme="1"/>
        <rFont val="Calibri"/>
        <family val="2"/>
        <scheme val="minor"/>
      </rPr>
      <t xml:space="preserve"> Refresh</t>
    </r>
  </si>
  <si>
    <t>1st Battery Refresh</t>
  </si>
  <si>
    <t>2nd Battery Refresh</t>
  </si>
  <si>
    <t>3rd Battery Refresh</t>
  </si>
  <si>
    <t>4th Battery Refresh</t>
  </si>
  <si>
    <t>5th Battery Refresh</t>
  </si>
  <si>
    <t>System Information: Pricing</t>
  </si>
  <si>
    <t>Pricing Method</t>
  </si>
  <si>
    <t>System Information: Operational</t>
  </si>
  <si>
    <r>
      <t>Multiport Inverter Net Cost/W</t>
    </r>
    <r>
      <rPr>
        <vertAlign val="subscript"/>
        <sz val="11"/>
        <rFont val="Calibri"/>
        <family val="2"/>
        <scheme val="minor"/>
      </rPr>
      <t>DC</t>
    </r>
  </si>
  <si>
    <t>Multiport Inverter</t>
  </si>
  <si>
    <t>SRECs</t>
  </si>
  <si>
    <t>Front-Load Refresh Payments</t>
  </si>
  <si>
    <t>Peer-to-Peer Premium Services</t>
  </si>
  <si>
    <t>Peer-to-Peer Standard Contract</t>
  </si>
  <si>
    <t>Peak Shaving (demand reduction)</t>
  </si>
  <si>
    <t>Taxable Income Before Taxes</t>
  </si>
  <si>
    <t>Deductible Expenses</t>
  </si>
  <si>
    <t>Net Taxable Income</t>
  </si>
  <si>
    <t>Load Shift Usage</t>
  </si>
  <si>
    <t>PtP Standard Contract</t>
  </si>
  <si>
    <t>PtP Premium Services</t>
  </si>
  <si>
    <r>
      <t>/W</t>
    </r>
    <r>
      <rPr>
        <vertAlign val="subscript"/>
        <sz val="11"/>
        <color theme="1"/>
        <rFont val="Calibri"/>
        <family val="2"/>
        <scheme val="minor"/>
      </rPr>
      <t>DC</t>
    </r>
  </si>
  <si>
    <r>
      <t>/Wh</t>
    </r>
    <r>
      <rPr>
        <vertAlign val="subscript"/>
        <sz val="11"/>
        <color theme="1"/>
        <rFont val="Calibri"/>
        <family val="2"/>
        <scheme val="minor"/>
      </rPr>
      <t>DC</t>
    </r>
  </si>
  <si>
    <r>
      <t xml:space="preserve">/kW </t>
    </r>
    <r>
      <rPr>
        <vertAlign val="subscript"/>
        <sz val="11"/>
        <color theme="1"/>
        <rFont val="Calibri"/>
        <family val="2"/>
        <scheme val="minor"/>
      </rPr>
      <t>DC</t>
    </r>
  </si>
  <si>
    <r>
      <t xml:space="preserve">/kWh </t>
    </r>
    <r>
      <rPr>
        <vertAlign val="subscript"/>
        <sz val="11"/>
        <color theme="1"/>
        <rFont val="Calibri"/>
        <family val="2"/>
        <scheme val="minor"/>
      </rPr>
      <t>DC</t>
    </r>
  </si>
  <si>
    <t>/Month</t>
  </si>
  <si>
    <t>/MWh</t>
  </si>
  <si>
    <r>
      <t>/MWh</t>
    </r>
    <r>
      <rPr>
        <vertAlign val="subscript"/>
        <sz val="11"/>
        <color theme="1"/>
        <rFont val="Calibri"/>
        <family val="2"/>
        <scheme val="minor"/>
      </rPr>
      <t>AC</t>
    </r>
  </si>
  <si>
    <r>
      <t>/kWh</t>
    </r>
    <r>
      <rPr>
        <vertAlign val="subscript"/>
        <sz val="11"/>
        <color theme="1"/>
        <rFont val="Calibri"/>
        <family val="2"/>
        <scheme val="minor"/>
      </rPr>
      <t>AC</t>
    </r>
  </si>
  <si>
    <r>
      <t>/kW</t>
    </r>
    <r>
      <rPr>
        <vertAlign val="subscript"/>
        <sz val="11"/>
        <color theme="1"/>
        <rFont val="Calibri"/>
        <family val="2"/>
        <scheme val="minor"/>
      </rPr>
      <t>AC</t>
    </r>
  </si>
  <si>
    <t>Average Sync. Reserve Value</t>
  </si>
  <si>
    <t>Sync. Reserve Hours</t>
  </si>
  <si>
    <t>Sync. Reserve Participation</t>
  </si>
  <si>
    <t>Net Real Time Market Revenue (Taxable)</t>
  </si>
  <si>
    <t>Sync. Reserve Revenue</t>
  </si>
  <si>
    <t>Utility Call hours (Contract Calcs)</t>
  </si>
  <si>
    <t>Load Shift Energy Savings</t>
  </si>
  <si>
    <r>
      <t>Load Shift kWh</t>
    </r>
    <r>
      <rPr>
        <vertAlign val="subscript"/>
        <sz val="11"/>
        <color theme="1"/>
        <rFont val="Calibri"/>
        <family val="2"/>
        <scheme val="minor"/>
      </rPr>
      <t>DC</t>
    </r>
    <r>
      <rPr>
        <sz val="11"/>
        <color theme="1"/>
        <rFont val="Calibri"/>
        <family val="2"/>
        <scheme val="minor"/>
      </rPr>
      <t>/Mo.</t>
    </r>
  </si>
  <si>
    <r>
      <t>Utility Call Hours kWh</t>
    </r>
    <r>
      <rPr>
        <vertAlign val="subscript"/>
        <sz val="11"/>
        <color theme="1"/>
        <rFont val="Calibri"/>
        <family val="2"/>
        <scheme val="minor"/>
      </rPr>
      <t>DC</t>
    </r>
    <r>
      <rPr>
        <sz val="11"/>
        <color theme="1"/>
        <rFont val="Calibri"/>
        <family val="2"/>
        <scheme val="minor"/>
      </rPr>
      <t>/Mo.</t>
    </r>
  </si>
  <si>
    <r>
      <t>Sync Reserve kWh</t>
    </r>
    <r>
      <rPr>
        <vertAlign val="subscript"/>
        <sz val="11"/>
        <color theme="1"/>
        <rFont val="Calibri"/>
        <family val="2"/>
        <scheme val="minor"/>
      </rPr>
      <t>DC</t>
    </r>
    <r>
      <rPr>
        <sz val="11"/>
        <color theme="1"/>
        <rFont val="Calibri"/>
        <family val="2"/>
        <scheme val="minor"/>
      </rPr>
      <t>/Mo.</t>
    </r>
  </si>
  <si>
    <t>periods/yr</t>
  </si>
  <si>
    <t>hrs/period</t>
  </si>
  <si>
    <r>
      <t>avg. kWh</t>
    </r>
    <r>
      <rPr>
        <vertAlign val="subscript"/>
        <sz val="11"/>
        <color theme="1"/>
        <rFont val="Calibri"/>
        <family val="2"/>
        <scheme val="minor"/>
      </rPr>
      <t>AC</t>
    </r>
    <r>
      <rPr>
        <sz val="11"/>
        <color theme="1"/>
        <rFont val="Calibri"/>
        <family val="2"/>
        <scheme val="minor"/>
      </rPr>
      <t>/day</t>
    </r>
  </si>
  <si>
    <r>
      <t>kWh</t>
    </r>
    <r>
      <rPr>
        <vertAlign val="subscript"/>
        <sz val="11"/>
        <color theme="1"/>
        <rFont val="Calibri"/>
        <family val="2"/>
        <scheme val="minor"/>
      </rPr>
      <t>AC</t>
    </r>
    <r>
      <rPr>
        <sz val="11"/>
        <color theme="1"/>
        <rFont val="Calibri"/>
        <family val="2"/>
        <scheme val="minor"/>
      </rPr>
      <t>/yr</t>
    </r>
  </si>
  <si>
    <t>Peer-to-Peer Standard</t>
  </si>
  <si>
    <r>
      <t>Peer-to-Peer Standard kWh</t>
    </r>
    <r>
      <rPr>
        <vertAlign val="subscript"/>
        <sz val="11"/>
        <color theme="1"/>
        <rFont val="Calibri"/>
        <family val="2"/>
        <scheme val="minor"/>
      </rPr>
      <t>DC</t>
    </r>
    <r>
      <rPr>
        <sz val="11"/>
        <color theme="1"/>
        <rFont val="Calibri"/>
        <family val="2"/>
        <scheme val="minor"/>
      </rPr>
      <t>/Mo.</t>
    </r>
  </si>
  <si>
    <r>
      <t>Peer-to-Peer Premium kWh</t>
    </r>
    <r>
      <rPr>
        <vertAlign val="subscript"/>
        <sz val="11"/>
        <color theme="1"/>
        <rFont val="Calibri"/>
        <family val="2"/>
        <scheme val="minor"/>
      </rPr>
      <t>DC</t>
    </r>
    <r>
      <rPr>
        <sz val="11"/>
        <color theme="1"/>
        <rFont val="Calibri"/>
        <family val="2"/>
        <scheme val="minor"/>
      </rPr>
      <t>/Mo.</t>
    </r>
  </si>
  <si>
    <t>Peer-to-Peer Premium</t>
  </si>
  <si>
    <r>
      <t>/MW</t>
    </r>
    <r>
      <rPr>
        <vertAlign val="subscript"/>
        <sz val="11"/>
        <color theme="1"/>
        <rFont val="Calibri"/>
        <family val="2"/>
        <scheme val="minor"/>
      </rPr>
      <t>AC</t>
    </r>
    <r>
      <rPr>
        <sz val="11"/>
        <color theme="1"/>
        <rFont val="Calibri"/>
        <family val="2"/>
        <scheme val="minor"/>
      </rPr>
      <t>/h</t>
    </r>
  </si>
  <si>
    <r>
      <t>kW</t>
    </r>
    <r>
      <rPr>
        <vertAlign val="subscript"/>
        <sz val="11"/>
        <color theme="1"/>
        <rFont val="Calibri"/>
        <family val="2"/>
        <scheme val="minor"/>
      </rPr>
      <t>AC</t>
    </r>
  </si>
  <si>
    <t>of Inv. Power</t>
  </si>
  <si>
    <r>
      <rPr>
        <sz val="11"/>
        <color theme="1"/>
        <rFont val="Calibri"/>
        <family val="2"/>
      </rPr>
      <t>Δ</t>
    </r>
    <r>
      <rPr>
        <sz val="11"/>
        <color theme="1"/>
        <rFont val="Calibri"/>
        <family val="2"/>
        <scheme val="minor"/>
      </rPr>
      <t>/kWh</t>
    </r>
    <r>
      <rPr>
        <vertAlign val="subscript"/>
        <sz val="11"/>
        <color theme="1"/>
        <rFont val="Calibri"/>
        <family val="2"/>
        <scheme val="minor"/>
      </rPr>
      <t>AC</t>
    </r>
  </si>
  <si>
    <t>Daily Capacity Turnover</t>
  </si>
  <si>
    <t>Capacity Turnover</t>
  </si>
  <si>
    <r>
      <t>kWh</t>
    </r>
    <r>
      <rPr>
        <vertAlign val="subscript"/>
        <sz val="11"/>
        <color theme="1"/>
        <rFont val="Calibri"/>
        <family val="2"/>
        <scheme val="minor"/>
      </rPr>
      <t>DC</t>
    </r>
    <r>
      <rPr>
        <sz val="11"/>
        <color theme="1"/>
        <rFont val="Calibri"/>
        <family val="2"/>
        <scheme val="minor"/>
      </rPr>
      <t>/Mo. Purchased from Grid</t>
    </r>
  </si>
  <si>
    <r>
      <t>kWh</t>
    </r>
    <r>
      <rPr>
        <vertAlign val="subscript"/>
        <sz val="11"/>
        <color theme="1"/>
        <rFont val="Calibri"/>
        <family val="2"/>
        <scheme val="minor"/>
      </rPr>
      <t>DC</t>
    </r>
    <r>
      <rPr>
        <sz val="11"/>
        <color theme="1"/>
        <rFont val="Calibri"/>
        <family val="2"/>
        <scheme val="minor"/>
      </rPr>
      <t>/Mo. Requested from PV</t>
    </r>
  </si>
  <si>
    <t>Battery Charge kWh request</t>
  </si>
  <si>
    <t>Batt. Charge Delivered</t>
  </si>
  <si>
    <t>Pb-Acid</t>
  </si>
  <si>
    <t>Lithium</t>
  </si>
  <si>
    <t>Mixed Chem.</t>
  </si>
  <si>
    <t>C-rate</t>
  </si>
  <si>
    <t>Maxmimum Depth of Discharge</t>
  </si>
  <si>
    <t>Maximum Capacity Turn-Over</t>
  </si>
  <si>
    <r>
      <t>kWh</t>
    </r>
    <r>
      <rPr>
        <vertAlign val="subscript"/>
        <sz val="11"/>
        <color theme="1"/>
        <rFont val="Calibri"/>
        <family val="2"/>
        <scheme val="minor"/>
      </rPr>
      <t>AC</t>
    </r>
    <r>
      <rPr>
        <sz val="11"/>
        <color theme="1"/>
        <rFont val="Calibri"/>
        <family val="2"/>
        <scheme val="minor"/>
      </rPr>
      <t>/day</t>
    </r>
  </si>
  <si>
    <r>
      <t>Critical Mode kWh</t>
    </r>
    <r>
      <rPr>
        <vertAlign val="subscript"/>
        <sz val="11"/>
        <color theme="1"/>
        <rFont val="Calibri"/>
        <family val="2"/>
        <scheme val="minor"/>
      </rPr>
      <t>DC</t>
    </r>
    <r>
      <rPr>
        <sz val="11"/>
        <color theme="1"/>
        <rFont val="Calibri"/>
        <family val="2"/>
        <scheme val="minor"/>
      </rPr>
      <t>/Mo.</t>
    </r>
  </si>
  <si>
    <r>
      <t>kWh</t>
    </r>
    <r>
      <rPr>
        <vertAlign val="subscript"/>
        <sz val="11"/>
        <color theme="1"/>
        <rFont val="Calibri"/>
        <family val="2"/>
        <scheme val="minor"/>
      </rPr>
      <t>AC</t>
    </r>
    <r>
      <rPr>
        <sz val="11"/>
        <color theme="1"/>
        <rFont val="Calibri"/>
        <family val="2"/>
        <scheme val="minor"/>
      </rPr>
      <t>/yr after battery services</t>
    </r>
  </si>
  <si>
    <r>
      <t>/kW</t>
    </r>
    <r>
      <rPr>
        <vertAlign val="subscript"/>
        <sz val="11"/>
        <color theme="1"/>
        <rFont val="Calibri"/>
        <family val="2"/>
        <scheme val="minor"/>
      </rPr>
      <t>DC</t>
    </r>
  </si>
  <si>
    <r>
      <t>/kW</t>
    </r>
    <r>
      <rPr>
        <vertAlign val="subscript"/>
        <sz val="11"/>
        <color theme="1"/>
        <rFont val="Calibri"/>
        <family val="2"/>
        <scheme val="minor"/>
      </rPr>
      <t>DC</t>
    </r>
    <r>
      <rPr>
        <sz val="11"/>
        <color theme="1"/>
        <rFont val="Calibri"/>
        <family val="2"/>
        <scheme val="minor"/>
      </rPr>
      <t>/yr</t>
    </r>
  </si>
  <si>
    <t xml:space="preserve">Chemistry </t>
  </si>
  <si>
    <t>C-Rate Allowed</t>
  </si>
  <si>
    <t>Battery Cost</t>
  </si>
  <si>
    <t>Rebates and Grants</t>
  </si>
  <si>
    <t>Revenues</t>
  </si>
  <si>
    <t>Incentives</t>
  </si>
  <si>
    <t>O&amp;M</t>
  </si>
  <si>
    <t>Electricity Write-off and Purchase</t>
  </si>
  <si>
    <t>Insurance</t>
  </si>
  <si>
    <t>Equipment Refresh &amp; Replacement</t>
  </si>
  <si>
    <t>Loan Payment</t>
  </si>
  <si>
    <t>Demand Reduction Measurements</t>
  </si>
  <si>
    <t>Peak Shaving (Capacity reduction)</t>
  </si>
  <si>
    <t>Capacity Reduction Measurments</t>
  </si>
  <si>
    <t>Peak (demand) Shaving Usage</t>
  </si>
  <si>
    <t>Peak (Capacity) Shaving Usage</t>
  </si>
  <si>
    <r>
      <t>Peak (Demand) Shaving kWh</t>
    </r>
    <r>
      <rPr>
        <vertAlign val="subscript"/>
        <sz val="11"/>
        <color theme="1"/>
        <rFont val="Calibri"/>
        <family val="2"/>
        <scheme val="minor"/>
      </rPr>
      <t>DC</t>
    </r>
    <r>
      <rPr>
        <sz val="11"/>
        <color theme="1"/>
        <rFont val="Calibri"/>
        <family val="2"/>
        <scheme val="minor"/>
      </rPr>
      <t>/Mo.</t>
    </r>
  </si>
  <si>
    <r>
      <t>Peak (Capacity) Shaving kWh</t>
    </r>
    <r>
      <rPr>
        <vertAlign val="subscript"/>
        <sz val="11"/>
        <color theme="1"/>
        <rFont val="Calibri"/>
        <family val="2"/>
        <scheme val="minor"/>
      </rPr>
      <t>DC</t>
    </r>
    <r>
      <rPr>
        <sz val="11"/>
        <color theme="1"/>
        <rFont val="Calibri"/>
        <family val="2"/>
        <scheme val="minor"/>
      </rPr>
      <t>/Mo.</t>
    </r>
  </si>
  <si>
    <t>Peak (Demand) Shaving Savings</t>
  </si>
  <si>
    <t>Peak (Capacity) Shaving Savings</t>
  </si>
  <si>
    <t>DOD allowed</t>
  </si>
  <si>
    <t>DOD /hr</t>
  </si>
  <si>
    <t>DC coupling eff. gain</t>
  </si>
  <si>
    <t>V8.0.1</t>
  </si>
  <si>
    <t>Updated bar charts for PV and Battery only display</t>
  </si>
  <si>
    <t>V8.1</t>
  </si>
  <si>
    <t>Construction Start</t>
  </si>
  <si>
    <t>Added Real Time Market limit on lesser of Power or Capacity; 'Downtime due to battery' applies to all system types, not just multiport; Real-time market energy usage now includes reduction from time out of market %, mileage calculates same as regular market value, In service year changed to Construction Start</t>
  </si>
  <si>
    <t>Elec. Savings $/kWh (Standard w/ escalator)</t>
  </si>
  <si>
    <t>Elec. Savings $/kWh (table)</t>
  </si>
  <si>
    <t>Electricity Pricing</t>
  </si>
  <si>
    <t>Stnd. w/ Esc.</t>
  </si>
  <si>
    <t>Table</t>
  </si>
  <si>
    <t>Electricity Rate Table Calculations</t>
  </si>
  <si>
    <t>US-ENC</t>
  </si>
  <si>
    <t>US-ESC</t>
  </si>
  <si>
    <t>US-MAT</t>
  </si>
  <si>
    <t>US-MTN</t>
  </si>
  <si>
    <t>US-NEW</t>
  </si>
  <si>
    <t>US-PAC</t>
  </si>
  <si>
    <t>US-SAT</t>
  </si>
  <si>
    <t>US-WNC</t>
  </si>
  <si>
    <t>US-WSC</t>
  </si>
  <si>
    <t>Selected</t>
  </si>
  <si>
    <t>Electricity Table Model</t>
  </si>
  <si>
    <t>Batt BOS</t>
  </si>
  <si>
    <t>V8.1.2</t>
  </si>
  <si>
    <t>Bonus Depreciation Schedule</t>
  </si>
  <si>
    <t>Combined Schedule</t>
  </si>
  <si>
    <t>Revised depreciation schedules and calculation methods for new bonus depreciation rules; moved electric rate table to 'LkUP'</t>
  </si>
  <si>
    <t>Depreciable Basis</t>
  </si>
  <si>
    <t>V8.2</t>
  </si>
  <si>
    <t>DyRange</t>
  </si>
  <si>
    <t>Hybrid Cumulative DCF</t>
  </si>
  <si>
    <t>PV Loan Interest Paid</t>
  </si>
  <si>
    <t>PV Loan Balance</t>
  </si>
  <si>
    <t>Battery Loan Interest Paid</t>
  </si>
  <si>
    <t>Battery Loan Balance</t>
  </si>
  <si>
    <t>PV In cht title</t>
  </si>
  <si>
    <t>BattIn cht Title</t>
  </si>
  <si>
    <t>Financial Metrics</t>
  </si>
  <si>
    <t>year period of analysis</t>
  </si>
  <si>
    <t>Traditional</t>
  </si>
  <si>
    <t>C-PACE</t>
  </si>
  <si>
    <t>Yr over yr delta</t>
  </si>
  <si>
    <t>Year Price</t>
  </si>
  <si>
    <t>Escalator</t>
  </si>
  <si>
    <t>LCOE Calculation</t>
  </si>
  <si>
    <t>LCOE DCF</t>
  </si>
  <si>
    <t>Residual Capacity Offer MW</t>
  </si>
  <si>
    <t>Expense Reductions</t>
  </si>
  <si>
    <t>Net Expenses</t>
  </si>
  <si>
    <t>End of Yr.</t>
  </si>
  <si>
    <t>End of Life / Decommissioning</t>
  </si>
  <si>
    <r>
      <t>kWh</t>
    </r>
    <r>
      <rPr>
        <vertAlign val="subscript"/>
        <sz val="11"/>
        <color theme="1"/>
        <rFont val="Calibri"/>
        <family val="2"/>
        <scheme val="minor"/>
      </rPr>
      <t>DC</t>
    </r>
    <r>
      <rPr>
        <sz val="11"/>
        <color theme="1"/>
        <rFont val="Calibri"/>
        <family val="2"/>
        <scheme val="minor"/>
      </rPr>
      <t>/Mo. Received from PV</t>
    </r>
  </si>
  <si>
    <t>Net Residual Market Hours</t>
  </si>
  <si>
    <t>% Time Out of Residual Market)</t>
  </si>
  <si>
    <t>After</t>
  </si>
  <si>
    <t>yrs</t>
  </si>
  <si>
    <r>
      <t>Total Usage kWh</t>
    </r>
    <r>
      <rPr>
        <vertAlign val="subscript"/>
        <sz val="11"/>
        <color theme="1"/>
        <rFont val="Calibri"/>
        <family val="2"/>
        <scheme val="minor"/>
      </rPr>
      <t>DC</t>
    </r>
    <r>
      <rPr>
        <sz val="11"/>
        <color theme="1"/>
        <rFont val="Calibri"/>
        <family val="2"/>
        <scheme val="minor"/>
      </rPr>
      <t>/Mo. (excluding Residual Opp.)</t>
    </r>
  </si>
  <si>
    <t>Battery kWh Discharge</t>
  </si>
  <si>
    <t>Gross Expense Reductions (Rebates, Incentives, Depreciation, etc.)</t>
  </si>
  <si>
    <t>E.o.L DynRange</t>
  </si>
  <si>
    <t>Net Expenses Before Taxes</t>
  </si>
  <si>
    <t>Balancing Market Revenue</t>
  </si>
  <si>
    <r>
      <t>Balancing Mrkt Operational kWh</t>
    </r>
    <r>
      <rPr>
        <vertAlign val="subscript"/>
        <sz val="11"/>
        <color theme="1"/>
        <rFont val="Calibri"/>
        <family val="2"/>
        <scheme val="minor"/>
      </rPr>
      <t>DC</t>
    </r>
    <r>
      <rPr>
        <sz val="11"/>
        <color theme="1"/>
        <rFont val="Calibri"/>
        <family val="2"/>
        <scheme val="minor"/>
      </rPr>
      <t>/Mo.</t>
    </r>
  </si>
  <si>
    <r>
      <t>Balancing Mrkt Make-up kWh</t>
    </r>
    <r>
      <rPr>
        <vertAlign val="subscript"/>
        <sz val="11"/>
        <color theme="1"/>
        <rFont val="Calibri"/>
        <family val="2"/>
        <scheme val="minor"/>
      </rPr>
      <t>DC</t>
    </r>
    <r>
      <rPr>
        <sz val="11"/>
        <color theme="1"/>
        <rFont val="Calibri"/>
        <family val="2"/>
        <scheme val="minor"/>
      </rPr>
      <t>/Mo.</t>
    </r>
  </si>
  <si>
    <t>Balancing Market Operational availability calculations</t>
  </si>
  <si>
    <t>PV Energy Generated (kWh)</t>
  </si>
  <si>
    <t>Avoided Energy Savings</t>
  </si>
  <si>
    <t>Energy Value</t>
  </si>
  <si>
    <t>Income</t>
  </si>
  <si>
    <t>SREC Revenue</t>
  </si>
  <si>
    <t>Total Gross Revenue</t>
  </si>
  <si>
    <t>Cost of Goods Sold</t>
  </si>
  <si>
    <t>Total COGS</t>
  </si>
  <si>
    <t>Other Income</t>
  </si>
  <si>
    <t>Local Rebates and Grants</t>
  </si>
  <si>
    <t>Total Other Income</t>
  </si>
  <si>
    <t>Net Income</t>
  </si>
  <si>
    <t>Operating Expense</t>
  </si>
  <si>
    <t>Capital Expense</t>
  </si>
  <si>
    <t>PV O&amp;M Expense</t>
  </si>
  <si>
    <t>PV Equipment Replacement</t>
  </si>
  <si>
    <t>Insurance Expense</t>
  </si>
  <si>
    <t>Total Operating Expense</t>
  </si>
  <si>
    <t>Savings / Avoided Expenses</t>
  </si>
  <si>
    <t>PV kWh Generated (kWh)</t>
  </si>
  <si>
    <t>PV Avoided Energy (kWh)</t>
  </si>
  <si>
    <t>Avoided Energy Value ($/kWh)</t>
  </si>
  <si>
    <t>Total Gross Savings</t>
  </si>
  <si>
    <t>EBITDA</t>
  </si>
  <si>
    <t>Tax Provisions</t>
  </si>
  <si>
    <t>Tax Benefits</t>
  </si>
  <si>
    <t>PV Depreciation (post-tax benefit)</t>
  </si>
  <si>
    <t>Total Tax Benefits</t>
  </si>
  <si>
    <t>Provision for Income Taxes</t>
  </si>
  <si>
    <t>Net Tax Provisions</t>
  </si>
  <si>
    <t>Amortization Expense</t>
  </si>
  <si>
    <t>PV Debt Expense</t>
  </si>
  <si>
    <t>Total Amortization Expense</t>
  </si>
  <si>
    <t>Net Profit (Loss)</t>
  </si>
  <si>
    <t>Cumulative Profit</t>
  </si>
  <si>
    <t>Cumulative ROI</t>
  </si>
  <si>
    <t>Statement of Cash Flows</t>
  </si>
  <si>
    <t>Operating Activities</t>
  </si>
  <si>
    <t>Net Cash from Operating Activities</t>
  </si>
  <si>
    <t>Investing Activities</t>
  </si>
  <si>
    <t>Capital Expenditure</t>
  </si>
  <si>
    <t>Net Cash from Investing Activities</t>
  </si>
  <si>
    <t>Financing Activities</t>
  </si>
  <si>
    <t>Notes Payable</t>
  </si>
  <si>
    <t>PV Loan Principal Payment</t>
  </si>
  <si>
    <t>Total Notes Payable</t>
  </si>
  <si>
    <t>Net Cash from Financing Activities</t>
  </si>
  <si>
    <t>Net Effective Cash Flow</t>
  </si>
  <si>
    <t>Cumulative Effective Cash Flow</t>
  </si>
  <si>
    <t>Cumulative Discounted Cash Flow</t>
  </si>
  <si>
    <t>Net Real Time Market Revenue (Non-Taxable)</t>
  </si>
  <si>
    <t>Real Time Market Revenue</t>
  </si>
  <si>
    <t>Costs of Goods Sold</t>
  </si>
  <si>
    <t>PV Energy for Avoided (kWh)</t>
  </si>
  <si>
    <t>PV Energy Charging (kWh)</t>
  </si>
  <si>
    <t>Battery Services Energy purchases</t>
  </si>
  <si>
    <t>Battery O&amp;M Expense</t>
  </si>
  <si>
    <t>Battery Equipment Replacement</t>
  </si>
  <si>
    <t>Network Fees</t>
  </si>
  <si>
    <t>Aggregator Fees</t>
  </si>
  <si>
    <t>End of Life</t>
  </si>
  <si>
    <t>Levelized Cost (/kWh)</t>
  </si>
  <si>
    <t>UPDATED: Electricity Price Tables to current models, period of analysis extended to 40 years, Real-Time Market to Balance Market Value, financial metrics to use ranges instead of indirect concatination, battery refresh changed to single end of year payments, battery revenues all react to "taxable" input</t>
  </si>
  <si>
    <t>Savings</t>
  </si>
  <si>
    <t>PV Energy Savings</t>
  </si>
  <si>
    <t>Battery Debt Expense</t>
  </si>
  <si>
    <t>Battery Loan Principal Payment</t>
  </si>
  <si>
    <t>PV Depreciation</t>
  </si>
  <si>
    <t>Battery Depreciation</t>
  </si>
  <si>
    <t>Taxible Income</t>
  </si>
  <si>
    <t>PV Loan Principal</t>
  </si>
  <si>
    <t>Battery Loand Principal</t>
  </si>
  <si>
    <t>PV Interest Expense</t>
  </si>
  <si>
    <t>Battery Interest Expense</t>
  </si>
  <si>
    <t>Net Interest, Taxes &amp; Amortization</t>
  </si>
  <si>
    <t>Battery Depreciation (post-tax benefit)</t>
  </si>
  <si>
    <t>Yr</t>
  </si>
  <si>
    <t>ADDED: Ledger style output sheet, dynamic range to charts, direct years to charts, LCOE calculation for PV, new economic models to table pricing, Elec Retail Price chart, Balance Market /year revenue value to input sheet, End of Life/Decommissioning Function/Expense to Battery, Levelized Cost of Storage Calculation</t>
  </si>
  <si>
    <t>Income Statement (P&amp;L)</t>
  </si>
  <si>
    <t>Rebate &amp; Grants Tax Considerations</t>
  </si>
  <si>
    <t>HFX_v1.0</t>
  </si>
  <si>
    <t>Fixed various locked cells. Corrected advanced tab tax dropdown. Reorded advanced tab. Revised default values.</t>
  </si>
  <si>
    <t>Changes</t>
  </si>
  <si>
    <t>Version</t>
  </si>
  <si>
    <t xml:space="preserve">Deductible Expenses </t>
  </si>
  <si>
    <t>REMOVED: Real-Time Mileage, PPA calculations, Savings as Post-Tax option, legacy output sheet</t>
  </si>
  <si>
    <t>Project Name</t>
  </si>
  <si>
    <t>Rebates / Incentives / Taxes</t>
  </si>
  <si>
    <t>HFX_v1.1</t>
  </si>
  <si>
    <t>Updated ITC values to reflect extension. Cleared formating bug with residential ITC being grayed out</t>
  </si>
  <si>
    <t>HFX_v1.2</t>
  </si>
  <si>
    <t>Updated ITC values to reflect the changes due to the 2022 Inflation Reduction Act (IRA). Note that ITC adders and requirements are not calculated and must be added independently to calculations</t>
  </si>
  <si>
    <t>HFX_v1.3</t>
  </si>
  <si>
    <t>Mo.</t>
  </si>
  <si>
    <t>Updated depreciation inputs to turn off 'bonus' if primary is set to off. Removed VLookUp from depreciation formulas. Updated ledger notes payable and interest expenses to show negative.  Added Cash and Investment ROI functionality. Added period functionality for PV rebates.</t>
  </si>
  <si>
    <t>AEO 2023 Reference case 2022</t>
  </si>
  <si>
    <t>AEO 2023 High Economic Growth</t>
  </si>
  <si>
    <t>AEO 2023 Low Economic Growth</t>
  </si>
  <si>
    <t>AEO 2023 High Oil Price</t>
  </si>
  <si>
    <t>AEO 2023 Low Oil Price</t>
  </si>
  <si>
    <t>AEO 2023 High Oil and Gas Supply</t>
  </si>
  <si>
    <t>AEO 2023 Low Oil and Gas Supply</t>
  </si>
  <si>
    <t>AEO 2023 High Zero-Carbon Technology Cost</t>
  </si>
  <si>
    <t>AEO 2023 Low Zero-Carbon Technology Cost</t>
  </si>
  <si>
    <t>AEO 2023 No Inflation Reduction Act</t>
  </si>
  <si>
    <t>HFX_v1.4</t>
  </si>
  <si>
    <t>Updated Table Values to AEO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</si>
</sst>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164" formatCode="_(&quot;$&quot;* #,##0.000_);_(&quot;$&quot;* \(#,##0.000\);_(&quot;$&quot;* &quot;-&quot;??_);_(@_)"/>
    <numFmt numFmtId="165" formatCode="_(&quot;$&quot;* #,##0.0000_);_(&quot;$&quot;* \(#,##0.0000\);_(&quot;$&quot;* &quot;-&quot;??_);_(@_)"/>
    <numFmt numFmtId="166" formatCode="&quot;$&quot;#,##0.00"/>
    <numFmt numFmtId="167" formatCode="0.000%"/>
    <numFmt numFmtId="168" formatCode="0.00000%"/>
    <numFmt numFmtId="169" formatCode="0.0000%"/>
    <numFmt numFmtId="170" formatCode="0.0%"/>
    <numFmt numFmtId="171" formatCode="_(* #,##0_);_(* \(#,##0\);_(* &quot;-&quot;??_);_(@_)"/>
    <numFmt numFmtId="172" formatCode="_(&quot;$&quot;* #,##0.000_);_(&quot;$&quot;* \(#,##0.000\);_(&quot;$&quot;* &quot;-&quot;???_);_(@_)"/>
    <numFmt numFmtId="173" formatCode="0.0000"/>
    <numFmt numFmtId="174" formatCode="_(&quot;$&quot;* #,##0.00_);_(&quot;$&quot;* \(#,##0.00\);_(&quot;$&quot;* &quot;-&quot;????_);_(@_)"/>
    <numFmt numFmtId="175" formatCode="0.000"/>
    <numFmt numFmtId="176" formatCode="0.00000"/>
  </numFmts>
  <fonts count="34" x14ac:knownFonts="1">
    <font>
      <sz val="11"/>
      <color theme="1"/>
      <name val="Calibri"/>
      <family val="2"/>
      <scheme val="minor"/>
    </font>
    <font>
      <sz val="11"/>
      <color theme="1"/>
      <name val="Calibri"/>
      <family val="2"/>
      <scheme val="minor"/>
    </font>
    <font>
      <b/>
      <sz val="11"/>
      <color theme="1"/>
      <name val="Calibri"/>
      <family val="2"/>
      <scheme val="minor"/>
    </font>
    <font>
      <vertAlign val="subscript"/>
      <sz val="11"/>
      <color theme="1"/>
      <name val="Calibri"/>
      <family val="2"/>
      <scheme val="minor"/>
    </font>
    <font>
      <sz val="11"/>
      <name val="Calibri"/>
      <family val="2"/>
      <scheme val="minor"/>
    </font>
    <font>
      <sz val="10"/>
      <name val="Verdana"/>
      <family val="2"/>
    </font>
    <font>
      <sz val="14"/>
      <color theme="1"/>
      <name val="Calibri"/>
      <family val="2"/>
      <scheme val="minor"/>
    </font>
    <font>
      <sz val="14"/>
      <name val="Calibri"/>
      <family val="2"/>
      <scheme val="minor"/>
    </font>
    <font>
      <sz val="11"/>
      <color theme="0" tint="-0.249977111117893"/>
      <name val="Calibri"/>
      <family val="2"/>
      <scheme val="minor"/>
    </font>
    <font>
      <vertAlign val="superscript"/>
      <sz val="11"/>
      <color theme="1"/>
      <name val="Calibri"/>
      <family val="2"/>
      <scheme val="minor"/>
    </font>
    <font>
      <sz val="11"/>
      <color theme="0" tint="-0.34998626667073579"/>
      <name val="Calibri"/>
      <family val="2"/>
      <scheme val="minor"/>
    </font>
    <font>
      <sz val="11"/>
      <color rgb="FF7030A0"/>
      <name val="Calibri"/>
      <family val="2"/>
      <scheme val="minor"/>
    </font>
    <font>
      <b/>
      <sz val="9"/>
      <color indexed="81"/>
      <name val="Tahoma"/>
      <family val="2"/>
    </font>
    <font>
      <b/>
      <sz val="12"/>
      <color theme="1"/>
      <name val="Calibri"/>
      <family val="2"/>
      <scheme val="minor"/>
    </font>
    <font>
      <b/>
      <i/>
      <sz val="11"/>
      <color theme="1"/>
      <name val="Calibri"/>
      <family val="2"/>
      <scheme val="minor"/>
    </font>
    <font>
      <vertAlign val="subscript"/>
      <sz val="11"/>
      <name val="Calibri"/>
      <family val="2"/>
      <scheme val="minor"/>
    </font>
    <font>
      <b/>
      <i/>
      <sz val="12"/>
      <color theme="1"/>
      <name val="Calibri"/>
      <family val="2"/>
      <scheme val="minor"/>
    </font>
    <font>
      <b/>
      <sz val="12"/>
      <name val="Calibri"/>
      <family val="2"/>
      <scheme val="minor"/>
    </font>
    <font>
      <b/>
      <vertAlign val="subscript"/>
      <sz val="12"/>
      <name val="Calibri"/>
      <family val="2"/>
      <scheme val="minor"/>
    </font>
    <font>
      <i/>
      <sz val="11"/>
      <color theme="1"/>
      <name val="Calibri"/>
      <family val="2"/>
      <scheme val="minor"/>
    </font>
    <font>
      <b/>
      <sz val="11"/>
      <name val="Calibri"/>
      <family val="2"/>
      <scheme val="minor"/>
    </font>
    <font>
      <sz val="12"/>
      <color theme="1"/>
      <name val="Calibri"/>
      <family val="2"/>
      <scheme val="minor"/>
    </font>
    <font>
      <b/>
      <sz val="14"/>
      <color theme="1"/>
      <name val="Calibri"/>
      <family val="2"/>
      <scheme val="minor"/>
    </font>
    <font>
      <sz val="9"/>
      <color indexed="81"/>
      <name val="Tahoma"/>
      <family val="2"/>
    </font>
    <font>
      <u/>
      <sz val="11"/>
      <color theme="10"/>
      <name val="Calibri"/>
      <family val="2"/>
      <scheme val="minor"/>
    </font>
    <font>
      <sz val="11"/>
      <color theme="1"/>
      <name val="Calibri"/>
      <family val="2"/>
    </font>
    <font>
      <sz val="8"/>
      <name val="Calibri"/>
      <family val="2"/>
      <scheme val="minor"/>
    </font>
    <font>
      <b/>
      <sz val="16"/>
      <color theme="1"/>
      <name val="Calibri"/>
      <family val="2"/>
      <scheme val="minor"/>
    </font>
    <font>
      <b/>
      <sz val="11"/>
      <color theme="0" tint="-0.34998626667073579"/>
      <name val="Calibri"/>
      <family val="2"/>
      <scheme val="minor"/>
    </font>
    <font>
      <b/>
      <sz val="20"/>
      <name val="Calibri"/>
      <family val="2"/>
      <scheme val="minor"/>
    </font>
    <font>
      <u/>
      <sz val="12"/>
      <color theme="10"/>
      <name val="Calibri"/>
      <family val="2"/>
      <scheme val="minor"/>
    </font>
    <font>
      <b/>
      <i/>
      <sz val="14"/>
      <color theme="1"/>
      <name val="Calibri"/>
      <family val="2"/>
      <scheme val="minor"/>
    </font>
    <font>
      <sz val="9"/>
      <color theme="0" tint="-0.34998626667073579"/>
      <name val="Calibri"/>
      <family val="2"/>
      <scheme val="minor"/>
    </font>
    <font>
      <b/>
      <sz val="9"/>
      <color theme="0" tint="-0.34998626667073579"/>
      <name val="Calibri"/>
      <family val="2"/>
      <scheme val="minor"/>
    </font>
  </fonts>
  <fills count="14">
    <fill>
      <patternFill patternType="none"/>
    </fill>
    <fill>
      <patternFill patternType="gray125"/>
    </fill>
    <fill>
      <gradientFill degree="90">
        <stop position="0">
          <color theme="0"/>
        </stop>
        <stop position="1">
          <color theme="9" tint="0.40000610370189521"/>
        </stop>
      </gradientFill>
    </fill>
    <fill>
      <patternFill patternType="solid">
        <fgColor theme="9" tint="0.39997558519241921"/>
        <bgColor indexed="64"/>
      </patternFill>
    </fill>
    <fill>
      <patternFill patternType="solid">
        <fgColor theme="7" tint="0.59999389629810485"/>
        <bgColor indexed="64"/>
      </patternFill>
    </fill>
    <fill>
      <patternFill patternType="solid">
        <fgColor rgb="FFFF898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7" tint="0.79998168889431442"/>
        <bgColor indexed="64"/>
      </patternFill>
    </fill>
    <fill>
      <gradientFill degree="90">
        <stop position="0">
          <color theme="0"/>
        </stop>
        <stop position="1">
          <color theme="0" tint="-0.25098422193060094"/>
        </stop>
      </gradientFill>
    </fill>
    <fill>
      <patternFill patternType="solid">
        <fgColor theme="0" tint="-0.34998626667073579"/>
        <bgColor indexed="64"/>
      </patternFill>
    </fill>
  </fills>
  <borders count="41">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top style="double">
        <color auto="1"/>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double">
        <color auto="1"/>
      </bottom>
      <diagonal/>
    </border>
    <border>
      <left style="thin">
        <color indexed="64"/>
      </left>
      <right/>
      <top style="dotted">
        <color indexed="64"/>
      </top>
      <bottom/>
      <diagonal/>
    </border>
    <border>
      <left/>
      <right/>
      <top style="dotted">
        <color indexed="64"/>
      </top>
      <bottom/>
      <diagonal/>
    </border>
    <border>
      <left style="thin">
        <color indexed="64"/>
      </left>
      <right/>
      <top/>
      <bottom style="dotted">
        <color indexed="64"/>
      </bottom>
      <diagonal/>
    </border>
    <border>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top style="medium">
        <color auto="1"/>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tted">
        <color indexed="64"/>
      </top>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diagonal/>
    </border>
    <border>
      <left style="thin">
        <color indexed="64"/>
      </left>
      <right style="thin">
        <color indexed="64"/>
      </right>
      <top style="double">
        <color auto="1"/>
      </top>
      <bottom/>
      <diagonal/>
    </border>
    <border>
      <left/>
      <right/>
      <top/>
      <bottom style="thin">
        <color theme="0" tint="-0.34998626667073579"/>
      </bottom>
      <diagonal/>
    </border>
    <border>
      <left/>
      <right style="medium">
        <color auto="1"/>
      </right>
      <top style="thin">
        <color indexed="64"/>
      </top>
      <bottom style="double">
        <color auto="1"/>
      </bottom>
      <diagonal/>
    </border>
    <border>
      <left style="thin">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right style="medium">
        <color auto="1"/>
      </right>
      <top style="thin">
        <color indexed="64"/>
      </top>
      <bottom style="medium">
        <color auto="1"/>
      </bottom>
      <diagonal/>
    </border>
    <border>
      <left/>
      <right style="medium">
        <color auto="1"/>
      </right>
      <top/>
      <bottom style="thin">
        <color indexed="64"/>
      </bottom>
      <diagonal/>
    </border>
    <border>
      <left style="thin">
        <color auto="1"/>
      </left>
      <right/>
      <top style="thin">
        <color indexed="64"/>
      </top>
      <bottom style="medium">
        <color auto="1"/>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2" borderId="1" applyNumberFormat="0" applyFont="0" applyBorder="0" applyAlignment="0">
      <protection locked="0"/>
    </xf>
    <xf numFmtId="0" fontId="4" fillId="10" borderId="0" applyNumberFormat="0" applyBorder="0" applyAlignment="0"/>
  </cellStyleXfs>
  <cellXfs count="340">
    <xf numFmtId="0" fontId="0" fillId="0" borderId="0" xfId="0"/>
    <xf numFmtId="9" fontId="0" fillId="0" borderId="0" xfId="2" applyFont="1"/>
    <xf numFmtId="44" fontId="0" fillId="0" borderId="0" xfId="1" applyFont="1"/>
    <xf numFmtId="0" fontId="2" fillId="0" borderId="0" xfId="0" applyFont="1"/>
    <xf numFmtId="2" fontId="0" fillId="0" borderId="0" xfId="0" applyNumberFormat="1"/>
    <xf numFmtId="9" fontId="4" fillId="2" borderId="0" xfId="3" applyNumberFormat="1" applyBorder="1">
      <protection locked="0"/>
    </xf>
    <xf numFmtId="4" fontId="4" fillId="2" borderId="0" xfId="3" applyNumberFormat="1" applyBorder="1">
      <protection locked="0"/>
    </xf>
    <xf numFmtId="0" fontId="4" fillId="2" borderId="0" xfId="3" applyBorder="1">
      <protection locked="0"/>
    </xf>
    <xf numFmtId="44" fontId="4" fillId="2" borderId="0" xfId="3" applyNumberFormat="1" applyBorder="1">
      <protection locked="0"/>
    </xf>
    <xf numFmtId="0" fontId="0" fillId="0" borderId="0" xfId="0" applyAlignment="1">
      <alignment wrapText="1"/>
    </xf>
    <xf numFmtId="44" fontId="0" fillId="0" borderId="0" xfId="0" applyNumberFormat="1"/>
    <xf numFmtId="166" fontId="0" fillId="0" borderId="0" xfId="0" applyNumberFormat="1"/>
    <xf numFmtId="10" fontId="0" fillId="0" borderId="0" xfId="2" applyNumberFormat="1" applyFont="1"/>
    <xf numFmtId="168" fontId="0" fillId="0" borderId="0" xfId="2" applyNumberFormat="1" applyFont="1"/>
    <xf numFmtId="0" fontId="0" fillId="0" borderId="0" xfId="0" quotePrefix="1"/>
    <xf numFmtId="0" fontId="5" fillId="0" borderId="0" xfId="0" applyFont="1" applyAlignment="1">
      <alignment wrapText="1"/>
    </xf>
    <xf numFmtId="165" fontId="0" fillId="0" borderId="0" xfId="1" applyNumberFormat="1" applyFont="1"/>
    <xf numFmtId="0" fontId="0" fillId="0" borderId="2" xfId="0" applyBorder="1"/>
    <xf numFmtId="44" fontId="4" fillId="10" borderId="2" xfId="4" applyNumberFormat="1" applyBorder="1"/>
    <xf numFmtId="3" fontId="4" fillId="2" borderId="0" xfId="3" applyNumberFormat="1" applyBorder="1">
      <protection locked="0"/>
    </xf>
    <xf numFmtId="7" fontId="0" fillId="0" borderId="0" xfId="0" applyNumberFormat="1"/>
    <xf numFmtId="2" fontId="0" fillId="0" borderId="0" xfId="1" applyNumberFormat="1" applyFont="1"/>
    <xf numFmtId="167" fontId="0" fillId="0" borderId="0" xfId="2" applyNumberFormat="1" applyFont="1"/>
    <xf numFmtId="169" fontId="0" fillId="0" borderId="0" xfId="2" applyNumberFormat="1" applyFont="1"/>
    <xf numFmtId="2" fontId="0" fillId="0" borderId="0" xfId="0" applyNumberFormat="1" applyAlignment="1">
      <alignment wrapText="1"/>
    </xf>
    <xf numFmtId="10" fontId="4" fillId="2" borderId="0" xfId="3" applyNumberFormat="1" applyBorder="1">
      <protection locked="0"/>
    </xf>
    <xf numFmtId="0" fontId="0" fillId="0" borderId="0" xfId="0" applyAlignment="1">
      <alignment horizontal="right"/>
    </xf>
    <xf numFmtId="0" fontId="10" fillId="0" borderId="0" xfId="0" applyFont="1"/>
    <xf numFmtId="0" fontId="4" fillId="0" borderId="0" xfId="3" applyFill="1" applyBorder="1">
      <protection locked="0"/>
    </xf>
    <xf numFmtId="0" fontId="2" fillId="0" borderId="5" xfId="0" applyFont="1" applyBorder="1"/>
    <xf numFmtId="0" fontId="0" fillId="0" borderId="6" xfId="0" applyBorder="1"/>
    <xf numFmtId="0" fontId="0" fillId="0" borderId="7" xfId="0" applyBorder="1"/>
    <xf numFmtId="0" fontId="0" fillId="0" borderId="4" xfId="0" applyBorder="1"/>
    <xf numFmtId="4" fontId="0" fillId="0" borderId="0" xfId="0" applyNumberFormat="1"/>
    <xf numFmtId="0" fontId="2" fillId="0" borderId="6" xfId="0" applyFont="1" applyBorder="1"/>
    <xf numFmtId="170" fontId="4" fillId="2" borderId="0" xfId="3" applyNumberFormat="1" applyBorder="1">
      <protection locked="0"/>
    </xf>
    <xf numFmtId="0" fontId="0" fillId="7" borderId="0" xfId="0" applyFill="1"/>
    <xf numFmtId="0" fontId="0" fillId="7" borderId="0" xfId="0" applyFill="1" applyAlignment="1">
      <alignment wrapText="1"/>
    </xf>
    <xf numFmtId="44" fontId="0" fillId="7" borderId="0" xfId="1" applyFont="1" applyFill="1"/>
    <xf numFmtId="0" fontId="2" fillId="8" borderId="0" xfId="0" applyFont="1" applyFill="1"/>
    <xf numFmtId="0" fontId="2" fillId="8" borderId="0" xfId="0" applyFont="1" applyFill="1" applyAlignment="1">
      <alignment horizontal="center"/>
    </xf>
    <xf numFmtId="0" fontId="0" fillId="9" borderId="0" xfId="0" applyFill="1"/>
    <xf numFmtId="0" fontId="0" fillId="9" borderId="0" xfId="0" applyFill="1" applyAlignment="1">
      <alignment wrapText="1"/>
    </xf>
    <xf numFmtId="44" fontId="0" fillId="9" borderId="0" xfId="1" applyFont="1" applyFill="1"/>
    <xf numFmtId="0" fontId="2" fillId="0" borderId="0" xfId="0" applyFont="1" applyAlignment="1">
      <alignment wrapText="1"/>
    </xf>
    <xf numFmtId="44" fontId="2" fillId="0" borderId="0" xfId="1" applyFont="1"/>
    <xf numFmtId="0" fontId="2" fillId="9" borderId="0" xfId="0" applyFont="1" applyFill="1"/>
    <xf numFmtId="0" fontId="2" fillId="9" borderId="0" xfId="0" applyFont="1" applyFill="1" applyAlignment="1">
      <alignment wrapText="1"/>
    </xf>
    <xf numFmtId="44" fontId="2" fillId="9" borderId="0" xfId="1" applyFont="1" applyFill="1"/>
    <xf numFmtId="170" fontId="0" fillId="0" borderId="0" xfId="2" applyNumberFormat="1" applyFont="1"/>
    <xf numFmtId="164" fontId="0" fillId="0" borderId="0" xfId="1" applyNumberFormat="1" applyFont="1"/>
    <xf numFmtId="0" fontId="0" fillId="0" borderId="5" xfId="0" applyBorder="1"/>
    <xf numFmtId="0" fontId="13" fillId="0" borderId="0" xfId="0" applyFont="1"/>
    <xf numFmtId="0" fontId="16" fillId="0" borderId="2" xfId="0" applyFont="1" applyBorder="1"/>
    <xf numFmtId="0" fontId="13" fillId="0" borderId="2" xfId="0" applyFont="1" applyBorder="1"/>
    <xf numFmtId="4" fontId="17" fillId="10" borderId="2" xfId="4" applyNumberFormat="1" applyFont="1" applyBorder="1"/>
    <xf numFmtId="0" fontId="17" fillId="10" borderId="2" xfId="4" applyFont="1" applyBorder="1"/>
    <xf numFmtId="44" fontId="17" fillId="10" borderId="2" xfId="4" applyNumberFormat="1" applyFont="1" applyBorder="1"/>
    <xf numFmtId="164" fontId="4" fillId="2" borderId="0" xfId="3" applyNumberFormat="1" applyBorder="1">
      <protection locked="0"/>
    </xf>
    <xf numFmtId="0" fontId="19" fillId="0" borderId="2" xfId="0" applyFont="1" applyBorder="1"/>
    <xf numFmtId="3" fontId="4" fillId="10" borderId="2" xfId="4" applyNumberFormat="1" applyBorder="1"/>
    <xf numFmtId="0" fontId="4" fillId="10" borderId="2" xfId="4" applyBorder="1"/>
    <xf numFmtId="164" fontId="4" fillId="10" borderId="2" xfId="4" applyNumberFormat="1" applyBorder="1"/>
    <xf numFmtId="172" fontId="4" fillId="10" borderId="2" xfId="4" applyNumberFormat="1" applyBorder="1"/>
    <xf numFmtId="171" fontId="4" fillId="10" borderId="2" xfId="4" applyNumberFormat="1" applyBorder="1"/>
    <xf numFmtId="0" fontId="4" fillId="10" borderId="8" xfId="4" applyBorder="1"/>
    <xf numFmtId="0" fontId="4" fillId="2" borderId="0" xfId="3" applyBorder="1" applyAlignment="1">
      <alignment horizontal="center"/>
      <protection locked="0"/>
    </xf>
    <xf numFmtId="165" fontId="20" fillId="10" borderId="2" xfId="4" applyNumberFormat="1" applyFont="1" applyBorder="1"/>
    <xf numFmtId="0" fontId="2" fillId="3" borderId="0" xfId="0" applyFont="1" applyFill="1" applyAlignment="1">
      <alignment horizontal="center"/>
    </xf>
    <xf numFmtId="0" fontId="19" fillId="0" borderId="8" xfId="0" applyFont="1" applyBorder="1"/>
    <xf numFmtId="0" fontId="0" fillId="0" borderId="8" xfId="0" applyBorder="1"/>
    <xf numFmtId="171" fontId="4" fillId="10" borderId="8" xfId="4" applyNumberFormat="1" applyBorder="1"/>
    <xf numFmtId="44" fontId="4" fillId="10" borderId="8" xfId="4" applyNumberFormat="1" applyBorder="1"/>
    <xf numFmtId="164" fontId="4" fillId="10" borderId="8" xfId="4" applyNumberFormat="1" applyBorder="1"/>
    <xf numFmtId="3" fontId="4" fillId="10" borderId="8" xfId="4" applyNumberFormat="1" applyBorder="1"/>
    <xf numFmtId="4" fontId="0" fillId="0" borderId="0" xfId="0" applyNumberFormat="1" applyAlignment="1">
      <alignment wrapText="1"/>
    </xf>
    <xf numFmtId="167" fontId="4" fillId="2" borderId="0" xfId="3" applyNumberFormat="1" applyBorder="1">
      <protection locked="0"/>
    </xf>
    <xf numFmtId="175" fontId="0" fillId="0" borderId="0" xfId="0" applyNumberFormat="1"/>
    <xf numFmtId="4" fontId="0" fillId="0" borderId="0" xfId="1" applyNumberFormat="1" applyFont="1"/>
    <xf numFmtId="44" fontId="0" fillId="0" borderId="0" xfId="0" applyNumberFormat="1" applyAlignment="1">
      <alignment horizontal="center"/>
    </xf>
    <xf numFmtId="4" fontId="0" fillId="0" borderId="0" xfId="2" applyNumberFormat="1" applyFont="1"/>
    <xf numFmtId="0" fontId="2" fillId="0" borderId="2" xfId="0" applyFont="1" applyBorder="1" applyAlignment="1">
      <alignment horizontal="right"/>
    </xf>
    <xf numFmtId="0" fontId="22" fillId="0" borderId="5" xfId="0" applyFont="1" applyBorder="1"/>
    <xf numFmtId="0" fontId="6" fillId="0" borderId="2" xfId="0" applyFont="1" applyBorder="1"/>
    <xf numFmtId="4" fontId="4" fillId="10" borderId="0" xfId="4" applyNumberFormat="1" applyBorder="1"/>
    <xf numFmtId="10" fontId="0" fillId="0" borderId="0" xfId="0" applyNumberFormat="1"/>
    <xf numFmtId="44" fontId="0" fillId="0" borderId="0" xfId="1" applyFont="1" applyAlignment="1">
      <alignment wrapText="1"/>
    </xf>
    <xf numFmtId="0" fontId="0" fillId="0" borderId="0" xfId="0" applyAlignment="1">
      <alignment horizontal="left"/>
    </xf>
    <xf numFmtId="167" fontId="4" fillId="10" borderId="0" xfId="4" applyNumberFormat="1" applyBorder="1"/>
    <xf numFmtId="2" fontId="4" fillId="10" borderId="0" xfId="4" applyNumberFormat="1" applyBorder="1"/>
    <xf numFmtId="0" fontId="4" fillId="0" borderId="0" xfId="0" applyFont="1"/>
    <xf numFmtId="3" fontId="4" fillId="10" borderId="0" xfId="4" applyNumberFormat="1" applyBorder="1"/>
    <xf numFmtId="164" fontId="4" fillId="10" borderId="0" xfId="4" applyNumberFormat="1" applyBorder="1"/>
    <xf numFmtId="44" fontId="4" fillId="10" borderId="0" xfId="4" applyNumberFormat="1" applyBorder="1"/>
    <xf numFmtId="0" fontId="7" fillId="2" borderId="2" xfId="3" applyFont="1" applyBorder="1">
      <protection locked="0"/>
    </xf>
    <xf numFmtId="170" fontId="0" fillId="0" borderId="0" xfId="2" applyNumberFormat="1" applyFont="1" applyBorder="1"/>
    <xf numFmtId="10" fontId="0" fillId="0" borderId="0" xfId="2" applyNumberFormat="1" applyFont="1" applyBorder="1"/>
    <xf numFmtId="0" fontId="0" fillId="0" borderId="2" xfId="0" applyBorder="1" applyAlignment="1">
      <alignment horizontal="right"/>
    </xf>
    <xf numFmtId="44" fontId="4" fillId="2" borderId="0" xfId="1" applyFont="1" applyFill="1" applyBorder="1" applyProtection="1">
      <protection locked="0"/>
    </xf>
    <xf numFmtId="9" fontId="4" fillId="10" borderId="0" xfId="4" applyNumberFormat="1" applyBorder="1"/>
    <xf numFmtId="0" fontId="11" fillId="0" borderId="0" xfId="0" applyFont="1"/>
    <xf numFmtId="0" fontId="4" fillId="10" borderId="0" xfId="4" applyBorder="1"/>
    <xf numFmtId="165" fontId="4" fillId="10" borderId="0" xfId="4" applyNumberFormat="1" applyBorder="1"/>
    <xf numFmtId="0" fontId="0" fillId="0" borderId="0" xfId="0" applyAlignment="1">
      <alignment horizontal="left" indent="2"/>
    </xf>
    <xf numFmtId="0" fontId="6" fillId="0" borderId="0" xfId="0" applyFont="1"/>
    <xf numFmtId="0" fontId="6" fillId="0" borderId="2" xfId="0" quotePrefix="1" applyFont="1" applyBorder="1"/>
    <xf numFmtId="0" fontId="0" fillId="0" borderId="9" xfId="0" applyBorder="1"/>
    <xf numFmtId="0" fontId="0" fillId="0" borderId="10" xfId="0" applyBorder="1"/>
    <xf numFmtId="44" fontId="4" fillId="2" borderId="10" xfId="3" applyNumberFormat="1" applyBorder="1">
      <protection locked="0"/>
    </xf>
    <xf numFmtId="0" fontId="0" fillId="0" borderId="10" xfId="0" quotePrefix="1" applyBorder="1"/>
    <xf numFmtId="0" fontId="4" fillId="2" borderId="10" xfId="3" applyBorder="1">
      <protection locked="0"/>
    </xf>
    <xf numFmtId="0" fontId="0" fillId="0" borderId="11" xfId="0" applyBorder="1"/>
    <xf numFmtId="0" fontId="0" fillId="0" borderId="12" xfId="0" applyBorder="1"/>
    <xf numFmtId="1" fontId="4" fillId="2" borderId="12" xfId="3" applyNumberFormat="1" applyBorder="1">
      <protection locked="0"/>
    </xf>
    <xf numFmtId="9" fontId="4" fillId="2" borderId="12" xfId="3" applyNumberFormat="1" applyBorder="1">
      <protection locked="0"/>
    </xf>
    <xf numFmtId="0" fontId="4" fillId="2" borderId="12" xfId="3" applyBorder="1">
      <protection locked="0"/>
    </xf>
    <xf numFmtId="0" fontId="0" fillId="0" borderId="13" xfId="0" applyBorder="1"/>
    <xf numFmtId="0" fontId="0" fillId="0" borderId="14" xfId="0" applyBorder="1"/>
    <xf numFmtId="44" fontId="4" fillId="2" borderId="14" xfId="3" applyNumberFormat="1" applyBorder="1">
      <protection locked="0"/>
    </xf>
    <xf numFmtId="0" fontId="0" fillId="0" borderId="14" xfId="0" quotePrefix="1" applyBorder="1"/>
    <xf numFmtId="0" fontId="4" fillId="2" borderId="14" xfId="3" quotePrefix="1" applyBorder="1">
      <protection locked="0"/>
    </xf>
    <xf numFmtId="44" fontId="4" fillId="2" borderId="14" xfId="1" applyFont="1" applyFill="1" applyBorder="1" applyProtection="1">
      <protection locked="0"/>
    </xf>
    <xf numFmtId="0" fontId="4" fillId="2" borderId="14" xfId="3" applyBorder="1">
      <protection locked="0"/>
    </xf>
    <xf numFmtId="0" fontId="0" fillId="9" borderId="10" xfId="0" applyFill="1" applyBorder="1"/>
    <xf numFmtId="0" fontId="0" fillId="9" borderId="12" xfId="0" applyFill="1" applyBorder="1"/>
    <xf numFmtId="0" fontId="0" fillId="9" borderId="14" xfId="0" applyFill="1" applyBorder="1"/>
    <xf numFmtId="0" fontId="0" fillId="9" borderId="10" xfId="0" quotePrefix="1" applyFill="1" applyBorder="1"/>
    <xf numFmtId="0" fontId="0" fillId="9" borderId="12" xfId="0" quotePrefix="1" applyFill="1" applyBorder="1"/>
    <xf numFmtId="0" fontId="0" fillId="9" borderId="14" xfId="0" quotePrefix="1" applyFill="1" applyBorder="1"/>
    <xf numFmtId="0" fontId="0" fillId="9" borderId="9" xfId="0" applyFill="1" applyBorder="1"/>
    <xf numFmtId="0" fontId="0" fillId="9" borderId="11" xfId="0" applyFill="1" applyBorder="1"/>
    <xf numFmtId="0" fontId="0" fillId="9" borderId="13" xfId="0" applyFill="1" applyBorder="1"/>
    <xf numFmtId="0" fontId="2" fillId="5" borderId="0" xfId="0" applyFont="1" applyFill="1" applyAlignment="1">
      <alignment horizontal="center"/>
    </xf>
    <xf numFmtId="176" fontId="0" fillId="0" borderId="0" xfId="0" applyNumberFormat="1"/>
    <xf numFmtId="176" fontId="2" fillId="0" borderId="0" xfId="0" applyNumberFormat="1" applyFont="1"/>
    <xf numFmtId="173" fontId="0" fillId="0" borderId="0" xfId="2" applyNumberFormat="1" applyFont="1"/>
    <xf numFmtId="0" fontId="0" fillId="9" borderId="0" xfId="0" quotePrefix="1" applyFill="1"/>
    <xf numFmtId="44" fontId="4" fillId="10" borderId="0" xfId="4" applyNumberFormat="1" applyBorder="1" applyAlignment="1"/>
    <xf numFmtId="0" fontId="4" fillId="2" borderId="0" xfId="3" applyNumberFormat="1" applyBorder="1" applyAlignment="1">
      <protection locked="0"/>
    </xf>
    <xf numFmtId="0" fontId="4" fillId="2" borderId="0" xfId="3" applyBorder="1" applyAlignment="1">
      <alignment horizontal="left"/>
      <protection locked="0"/>
    </xf>
    <xf numFmtId="0" fontId="0" fillId="0" borderId="0" xfId="1" applyNumberFormat="1" applyFont="1" applyAlignment="1"/>
    <xf numFmtId="0" fontId="4" fillId="0" borderId="0" xfId="1" applyNumberFormat="1" applyFont="1" applyAlignment="1"/>
    <xf numFmtId="0" fontId="21" fillId="0" borderId="0" xfId="0" applyFont="1"/>
    <xf numFmtId="0" fontId="22" fillId="0" borderId="0" xfId="0" applyFont="1"/>
    <xf numFmtId="44" fontId="0" fillId="0" borderId="0" xfId="1" applyFont="1" applyFill="1"/>
    <xf numFmtId="0" fontId="4" fillId="0" borderId="0" xfId="1" applyNumberFormat="1" applyFont="1" applyFill="1" applyAlignment="1"/>
    <xf numFmtId="44" fontId="4" fillId="10" borderId="10" xfId="4" applyNumberFormat="1" applyBorder="1" applyAlignment="1"/>
    <xf numFmtId="0" fontId="4" fillId="2" borderId="2" xfId="3" applyBorder="1">
      <protection locked="0"/>
    </xf>
    <xf numFmtId="0" fontId="0" fillId="6" borderId="0" xfId="0" applyFill="1"/>
    <xf numFmtId="0" fontId="0" fillId="6" borderId="0" xfId="0" applyFill="1" applyAlignment="1">
      <alignment wrapText="1"/>
    </xf>
    <xf numFmtId="3" fontId="10" fillId="0" borderId="0" xfId="0" applyNumberFormat="1" applyFont="1"/>
    <xf numFmtId="164" fontId="10" fillId="0" borderId="0" xfId="1" applyNumberFormat="1" applyFont="1"/>
    <xf numFmtId="44" fontId="2" fillId="0" borderId="0" xfId="0" applyNumberFormat="1" applyFont="1"/>
    <xf numFmtId="44" fontId="2" fillId="0" borderId="2" xfId="0" applyNumberFormat="1" applyFont="1" applyBorder="1"/>
    <xf numFmtId="44" fontId="13" fillId="0" borderId="3" xfId="0" applyNumberFormat="1" applyFont="1" applyBorder="1"/>
    <xf numFmtId="44" fontId="2" fillId="0" borderId="3" xfId="0" applyNumberFormat="1" applyFont="1" applyBorder="1"/>
    <xf numFmtId="44" fontId="22" fillId="0" borderId="15" xfId="0" applyNumberFormat="1" applyFont="1" applyBorder="1"/>
    <xf numFmtId="44" fontId="0" fillId="0" borderId="0" xfId="1" applyFont="1" applyFill="1" applyAlignment="1">
      <alignment wrapText="1"/>
    </xf>
    <xf numFmtId="165" fontId="0" fillId="0" borderId="0" xfId="1" applyNumberFormat="1" applyFont="1" applyFill="1"/>
    <xf numFmtId="0" fontId="27" fillId="0" borderId="0" xfId="0" applyFont="1"/>
    <xf numFmtId="0" fontId="0" fillId="0" borderId="0" xfId="1" applyNumberFormat="1" applyFont="1"/>
    <xf numFmtId="0" fontId="2" fillId="0" borderId="0" xfId="1" applyNumberFormat="1" applyFont="1" applyAlignment="1"/>
    <xf numFmtId="0" fontId="2" fillId="0" borderId="0" xfId="1" applyNumberFormat="1" applyFont="1"/>
    <xf numFmtId="0" fontId="0" fillId="0" borderId="0" xfId="1" applyNumberFormat="1" applyFont="1" applyFill="1"/>
    <xf numFmtId="0" fontId="2" fillId="0" borderId="0" xfId="1" applyNumberFormat="1" applyFont="1" applyFill="1"/>
    <xf numFmtId="0" fontId="8" fillId="7" borderId="0" xfId="0" applyFont="1" applyFill="1"/>
    <xf numFmtId="0" fontId="2" fillId="7" borderId="0" xfId="0" applyFont="1" applyFill="1"/>
    <xf numFmtId="0" fontId="31" fillId="0" borderId="16" xfId="0" applyFont="1" applyBorder="1"/>
    <xf numFmtId="0" fontId="0" fillId="0" borderId="17" xfId="0" applyBorder="1"/>
    <xf numFmtId="0" fontId="0" fillId="0" borderId="18" xfId="0" applyBorder="1"/>
    <xf numFmtId="0" fontId="0" fillId="0" borderId="19" xfId="0" applyBorder="1"/>
    <xf numFmtId="0" fontId="4" fillId="2" borderId="19" xfId="3" applyBorder="1">
      <protection locked="0"/>
    </xf>
    <xf numFmtId="0" fontId="0" fillId="0" borderId="20" xfId="0" applyBorder="1"/>
    <xf numFmtId="44" fontId="4" fillId="2" borderId="19" xfId="3" applyNumberFormat="1" applyBorder="1">
      <protection locked="0"/>
    </xf>
    <xf numFmtId="0" fontId="10" fillId="0" borderId="19" xfId="0" applyFont="1" applyBorder="1"/>
    <xf numFmtId="9" fontId="4" fillId="2" borderId="19" xfId="3" applyNumberFormat="1" applyBorder="1">
      <protection locked="0"/>
    </xf>
    <xf numFmtId="0" fontId="2" fillId="0" borderId="19" xfId="0" applyFont="1" applyBorder="1"/>
    <xf numFmtId="0" fontId="0" fillId="0" borderId="16" xfId="0" applyBorder="1"/>
    <xf numFmtId="0" fontId="6" fillId="0" borderId="19" xfId="0" applyFont="1" applyBorder="1"/>
    <xf numFmtId="0" fontId="11" fillId="0" borderId="19" xfId="0" applyFont="1" applyBorder="1"/>
    <xf numFmtId="9" fontId="4" fillId="10" borderId="19" xfId="4" applyNumberFormat="1" applyBorder="1"/>
    <xf numFmtId="0" fontId="0" fillId="0" borderId="19" xfId="0" quotePrefix="1" applyBorder="1"/>
    <xf numFmtId="167" fontId="4" fillId="10" borderId="19" xfId="4" applyNumberFormat="1" applyBorder="1"/>
    <xf numFmtId="0" fontId="4" fillId="2" borderId="17" xfId="3" applyBorder="1" applyAlignment="1">
      <alignment horizontal="left"/>
      <protection locked="0"/>
    </xf>
    <xf numFmtId="4" fontId="4" fillId="10" borderId="19" xfId="4" applyNumberFormat="1" applyBorder="1"/>
    <xf numFmtId="3" fontId="4" fillId="10" borderId="19" xfId="4" applyNumberFormat="1" applyBorder="1"/>
    <xf numFmtId="0" fontId="4" fillId="0" borderId="19" xfId="0" applyFont="1" applyBorder="1"/>
    <xf numFmtId="0" fontId="4" fillId="2" borderId="17" xfId="3" applyBorder="1">
      <protection locked="0"/>
    </xf>
    <xf numFmtId="0" fontId="0" fillId="0" borderId="19" xfId="0" applyBorder="1" applyAlignment="1">
      <alignment horizontal="right"/>
    </xf>
    <xf numFmtId="0" fontId="0" fillId="0" borderId="21" xfId="0" applyBorder="1"/>
    <xf numFmtId="0" fontId="0" fillId="0" borderId="22" xfId="0" applyBorder="1"/>
    <xf numFmtId="0" fontId="0" fillId="9" borderId="21" xfId="0" applyFill="1" applyBorder="1"/>
    <xf numFmtId="0" fontId="0" fillId="9" borderId="22" xfId="0" applyFill="1" applyBorder="1"/>
    <xf numFmtId="0" fontId="8" fillId="0" borderId="23" xfId="0" applyFont="1" applyBorder="1"/>
    <xf numFmtId="0" fontId="8" fillId="9" borderId="21" xfId="0" applyFont="1" applyFill="1" applyBorder="1"/>
    <xf numFmtId="0" fontId="8" fillId="9" borderId="22" xfId="0" applyFont="1" applyFill="1" applyBorder="1"/>
    <xf numFmtId="0" fontId="8" fillId="9" borderId="23" xfId="0" applyFont="1" applyFill="1" applyBorder="1"/>
    <xf numFmtId="0" fontId="0" fillId="9" borderId="17" xfId="0" applyFill="1" applyBorder="1"/>
    <xf numFmtId="0" fontId="0" fillId="9" borderId="21" xfId="0" quotePrefix="1" applyFill="1" applyBorder="1"/>
    <xf numFmtId="0" fontId="0" fillId="9" borderId="18" xfId="0" applyFill="1" applyBorder="1"/>
    <xf numFmtId="0" fontId="0" fillId="9" borderId="19" xfId="0" applyFill="1" applyBorder="1"/>
    <xf numFmtId="9" fontId="4" fillId="2" borderId="19" xfId="2" applyFont="1" applyFill="1" applyBorder="1" applyProtection="1">
      <protection locked="0"/>
    </xf>
    <xf numFmtId="0" fontId="0" fillId="9" borderId="19" xfId="0" quotePrefix="1" applyFill="1" applyBorder="1"/>
    <xf numFmtId="0" fontId="0" fillId="9" borderId="20" xfId="0" applyFill="1" applyBorder="1"/>
    <xf numFmtId="44" fontId="4" fillId="10" borderId="25" xfId="4" applyNumberFormat="1" applyBorder="1"/>
    <xf numFmtId="170" fontId="7" fillId="10" borderId="6" xfId="4" applyNumberFormat="1" applyFont="1" applyBorder="1" applyAlignment="1">
      <alignment horizontal="center"/>
    </xf>
    <xf numFmtId="44" fontId="7" fillId="10" borderId="6" xfId="4" applyNumberFormat="1" applyFont="1" applyBorder="1"/>
    <xf numFmtId="2" fontId="7" fillId="10" borderId="6" xfId="4" applyNumberFormat="1" applyFont="1" applyBorder="1" applyAlignment="1">
      <alignment horizontal="center"/>
    </xf>
    <xf numFmtId="164" fontId="7" fillId="10" borderId="18" xfId="4" applyNumberFormat="1" applyFont="1" applyBorder="1" applyAlignment="1">
      <alignment horizontal="center" vertical="center"/>
    </xf>
    <xf numFmtId="170" fontId="7" fillId="10" borderId="26" xfId="4" applyNumberFormat="1" applyFont="1" applyBorder="1" applyAlignment="1">
      <alignment horizontal="center"/>
    </xf>
    <xf numFmtId="7" fontId="7" fillId="10" borderId="26" xfId="4" applyNumberFormat="1" applyFont="1" applyBorder="1" applyAlignment="1">
      <alignment horizontal="center"/>
    </xf>
    <xf numFmtId="2" fontId="7" fillId="10" borderId="26" xfId="4" applyNumberFormat="1" applyFont="1" applyBorder="1" applyAlignment="1">
      <alignment horizontal="center"/>
    </xf>
    <xf numFmtId="0" fontId="30" fillId="2" borderId="19" xfId="3" applyFont="1" applyBorder="1" applyAlignment="1">
      <alignment vertical="center"/>
      <protection locked="0"/>
    </xf>
    <xf numFmtId="0" fontId="0" fillId="2" borderId="19" xfId="3" applyFont="1" applyBorder="1" applyAlignment="1">
      <alignment vertical="center"/>
      <protection locked="0"/>
    </xf>
    <xf numFmtId="0" fontId="24" fillId="2" borderId="19" xfId="3" applyFont="1" applyBorder="1" applyAlignment="1">
      <alignment vertical="center"/>
      <protection locked="0"/>
    </xf>
    <xf numFmtId="0" fontId="4" fillId="2" borderId="19" xfId="3" applyBorder="1" applyAlignment="1">
      <alignment vertical="center"/>
      <protection locked="0"/>
    </xf>
    <xf numFmtId="0" fontId="0" fillId="2" borderId="19" xfId="3" applyFont="1" applyBorder="1">
      <protection locked="0"/>
    </xf>
    <xf numFmtId="0" fontId="24" fillId="2" borderId="19" xfId="3" applyFont="1" applyBorder="1" applyAlignment="1">
      <protection locked="0"/>
    </xf>
    <xf numFmtId="0" fontId="6" fillId="0" borderId="5" xfId="0" applyFont="1" applyBorder="1" applyAlignment="1">
      <alignment horizontal="center"/>
    </xf>
    <xf numFmtId="0" fontId="6" fillId="0" borderId="27" xfId="0" applyFont="1" applyBorder="1" applyAlignment="1">
      <alignment horizontal="center"/>
    </xf>
    <xf numFmtId="170" fontId="7" fillId="10" borderId="28" xfId="4" applyNumberFormat="1" applyFont="1" applyBorder="1" applyAlignment="1">
      <alignment horizontal="center"/>
    </xf>
    <xf numFmtId="44" fontId="7" fillId="10" borderId="28" xfId="4" applyNumberFormat="1" applyFont="1" applyBorder="1"/>
    <xf numFmtId="2" fontId="7" fillId="10" borderId="28" xfId="4" applyNumberFormat="1" applyFont="1" applyBorder="1" applyAlignment="1">
      <alignment horizontal="center"/>
    </xf>
    <xf numFmtId="164" fontId="7" fillId="10" borderId="29" xfId="1" applyNumberFormat="1" applyFont="1" applyFill="1" applyBorder="1" applyAlignment="1"/>
    <xf numFmtId="164" fontId="7" fillId="10" borderId="18" xfId="1" applyNumberFormat="1" applyFont="1" applyFill="1" applyBorder="1" applyAlignment="1"/>
    <xf numFmtId="164" fontId="7" fillId="10" borderId="29" xfId="4" applyNumberFormat="1" applyFont="1" applyBorder="1" applyAlignment="1">
      <alignment horizontal="center" vertical="center"/>
    </xf>
    <xf numFmtId="0" fontId="13" fillId="0" borderId="27" xfId="0" applyFont="1" applyBorder="1" applyAlignment="1">
      <alignment horizontal="center"/>
    </xf>
    <xf numFmtId="0" fontId="13" fillId="0" borderId="5" xfId="0" applyFont="1" applyBorder="1" applyAlignment="1">
      <alignment horizontal="center"/>
    </xf>
    <xf numFmtId="0" fontId="13" fillId="0" borderId="30" xfId="0" applyFont="1" applyBorder="1" applyAlignment="1">
      <alignment horizontal="center"/>
    </xf>
    <xf numFmtId="0" fontId="2" fillId="0" borderId="30" xfId="0" applyFont="1" applyBorder="1" applyAlignment="1">
      <alignment horizontal="center"/>
    </xf>
    <xf numFmtId="44" fontId="4" fillId="10" borderId="26" xfId="4" applyNumberFormat="1" applyBorder="1"/>
    <xf numFmtId="44" fontId="4" fillId="10" borderId="30" xfId="4" applyNumberFormat="1" applyBorder="1"/>
    <xf numFmtId="44" fontId="4" fillId="10" borderId="31" xfId="4" applyNumberFormat="1" applyBorder="1"/>
    <xf numFmtId="44" fontId="10" fillId="10" borderId="26" xfId="4" applyNumberFormat="1" applyFont="1" applyBorder="1"/>
    <xf numFmtId="44" fontId="10" fillId="10" borderId="24" xfId="4" applyNumberFormat="1" applyFont="1" applyBorder="1"/>
    <xf numFmtId="0" fontId="2" fillId="0" borderId="27" xfId="0" applyFont="1" applyBorder="1" applyAlignment="1">
      <alignment horizontal="center"/>
    </xf>
    <xf numFmtId="44" fontId="4" fillId="10" borderId="28" xfId="4" applyNumberFormat="1" applyBorder="1"/>
    <xf numFmtId="44" fontId="4" fillId="10" borderId="27" xfId="4" applyNumberFormat="1" applyBorder="1"/>
    <xf numFmtId="44" fontId="4" fillId="10" borderId="32" xfId="4" applyNumberFormat="1" applyBorder="1"/>
    <xf numFmtId="44" fontId="10" fillId="10" borderId="28" xfId="4" applyNumberFormat="1" applyFont="1" applyBorder="1"/>
    <xf numFmtId="44" fontId="10" fillId="10" borderId="29" xfId="4" applyNumberFormat="1" applyFont="1" applyBorder="1"/>
    <xf numFmtId="0" fontId="32" fillId="0" borderId="0" xfId="0" applyFont="1" applyAlignment="1">
      <alignment vertical="top"/>
    </xf>
    <xf numFmtId="0" fontId="32" fillId="0" borderId="0" xfId="0" applyFont="1" applyAlignment="1">
      <alignment vertical="top" wrapText="1"/>
    </xf>
    <xf numFmtId="0" fontId="32" fillId="0" borderId="33" xfId="0" applyFont="1" applyBorder="1"/>
    <xf numFmtId="0" fontId="32" fillId="0" borderId="33" xfId="0" applyFont="1" applyBorder="1" applyAlignment="1">
      <alignment vertical="top"/>
    </xf>
    <xf numFmtId="0" fontId="32" fillId="0" borderId="33" xfId="0" applyFont="1" applyBorder="1" applyAlignment="1">
      <alignment vertical="top" wrapText="1"/>
    </xf>
    <xf numFmtId="0" fontId="13" fillId="9" borderId="0" xfId="0" applyFont="1" applyFill="1"/>
    <xf numFmtId="0" fontId="0" fillId="9" borderId="0" xfId="1" applyNumberFormat="1" applyFont="1" applyFill="1" applyAlignment="1"/>
    <xf numFmtId="44" fontId="0" fillId="9" borderId="0" xfId="0" applyNumberFormat="1" applyFill="1"/>
    <xf numFmtId="0" fontId="0" fillId="9" borderId="0" xfId="1" applyNumberFormat="1" applyFont="1" applyFill="1"/>
    <xf numFmtId="0" fontId="2" fillId="9" borderId="0" xfId="1" applyNumberFormat="1" applyFont="1" applyFill="1" applyAlignment="1"/>
    <xf numFmtId="44" fontId="2" fillId="9" borderId="2" xfId="0" applyNumberFormat="1" applyFont="1" applyFill="1" applyBorder="1"/>
    <xf numFmtId="0" fontId="21" fillId="9" borderId="0" xfId="0" applyFont="1" applyFill="1"/>
    <xf numFmtId="4" fontId="0" fillId="9" borderId="0" xfId="0" applyNumberFormat="1" applyFill="1"/>
    <xf numFmtId="3" fontId="10" fillId="9" borderId="0" xfId="0" applyNumberFormat="1" applyFont="1" applyFill="1"/>
    <xf numFmtId="0" fontId="2" fillId="9" borderId="0" xfId="1" applyNumberFormat="1" applyFont="1" applyFill="1"/>
    <xf numFmtId="0" fontId="22" fillId="9" borderId="0" xfId="0" applyFont="1" applyFill="1"/>
    <xf numFmtId="44" fontId="22" fillId="9" borderId="15" xfId="0" applyNumberFormat="1" applyFont="1" applyFill="1" applyBorder="1"/>
    <xf numFmtId="0" fontId="4" fillId="9" borderId="0" xfId="1" applyNumberFormat="1" applyFont="1" applyFill="1" applyAlignment="1"/>
    <xf numFmtId="0" fontId="20" fillId="9" borderId="0" xfId="1" applyNumberFormat="1" applyFont="1" applyFill="1" applyAlignment="1"/>
    <xf numFmtId="44" fontId="2" fillId="9" borderId="2" xfId="1" applyFont="1" applyFill="1" applyBorder="1"/>
    <xf numFmtId="44" fontId="13" fillId="9" borderId="3" xfId="0" applyNumberFormat="1" applyFont="1" applyFill="1" applyBorder="1"/>
    <xf numFmtId="44" fontId="21" fillId="9" borderId="0" xfId="0" applyNumberFormat="1" applyFont="1" applyFill="1"/>
    <xf numFmtId="44" fontId="2" fillId="9" borderId="3" xfId="0" applyNumberFormat="1" applyFont="1" applyFill="1" applyBorder="1"/>
    <xf numFmtId="0" fontId="29" fillId="12" borderId="19" xfId="4" applyFont="1" applyFill="1" applyBorder="1" applyAlignment="1">
      <alignment vertical="center"/>
    </xf>
    <xf numFmtId="0" fontId="28" fillId="13" borderId="0" xfId="0" applyFont="1" applyFill="1"/>
    <xf numFmtId="0" fontId="10" fillId="13" borderId="0" xfId="0" applyFont="1" applyFill="1"/>
    <xf numFmtId="0" fontId="13" fillId="7" borderId="0" xfId="0" applyFont="1" applyFill="1"/>
    <xf numFmtId="0" fontId="14" fillId="7" borderId="0" xfId="0" applyFont="1" applyFill="1"/>
    <xf numFmtId="164" fontId="0" fillId="7" borderId="0" xfId="0" applyNumberFormat="1" applyFill="1"/>
    <xf numFmtId="0" fontId="13" fillId="0" borderId="5" xfId="0" applyFont="1" applyBorder="1"/>
    <xf numFmtId="0" fontId="2" fillId="0" borderId="2" xfId="0" applyFont="1" applyBorder="1" applyAlignment="1">
      <alignment horizontal="left"/>
    </xf>
    <xf numFmtId="0" fontId="2" fillId="0" borderId="2" xfId="0" applyFont="1" applyBorder="1" applyAlignment="1">
      <alignment horizontal="center"/>
    </xf>
    <xf numFmtId="0" fontId="2" fillId="0" borderId="16" xfId="0" applyFont="1" applyBorder="1" applyAlignment="1">
      <alignment horizontal="right"/>
    </xf>
    <xf numFmtId="44" fontId="4" fillId="10" borderId="17" xfId="4" applyNumberFormat="1" applyBorder="1"/>
    <xf numFmtId="0" fontId="19" fillId="0" borderId="0" xfId="0" applyFont="1"/>
    <xf numFmtId="44" fontId="4" fillId="10" borderId="16" xfId="4" applyNumberFormat="1" applyBorder="1"/>
    <xf numFmtId="44" fontId="4" fillId="10" borderId="34" xfId="4" applyNumberFormat="1" applyBorder="1"/>
    <xf numFmtId="0" fontId="13" fillId="0" borderId="35" xfId="0" applyFont="1" applyBorder="1"/>
    <xf numFmtId="0" fontId="0" fillId="0" borderId="36" xfId="0" applyBorder="1"/>
    <xf numFmtId="0" fontId="16" fillId="0" borderId="36" xfId="0" applyFont="1" applyBorder="1"/>
    <xf numFmtId="0" fontId="21" fillId="0" borderId="36" xfId="0" applyFont="1" applyBorder="1"/>
    <xf numFmtId="3" fontId="17" fillId="10" borderId="36" xfId="4" applyNumberFormat="1" applyFont="1" applyBorder="1"/>
    <xf numFmtId="0" fontId="17" fillId="10" borderId="36" xfId="4" applyFont="1" applyBorder="1"/>
    <xf numFmtId="164" fontId="17" fillId="10" borderId="36" xfId="4" applyNumberFormat="1" applyFont="1" applyBorder="1"/>
    <xf numFmtId="44" fontId="17" fillId="10" borderId="36" xfId="4" applyNumberFormat="1" applyFont="1" applyBorder="1"/>
    <xf numFmtId="173" fontId="17" fillId="10" borderId="36" xfId="4" applyNumberFormat="1" applyFont="1" applyBorder="1"/>
    <xf numFmtId="44" fontId="17" fillId="10" borderId="37" xfId="4" applyNumberFormat="1" applyFont="1" applyBorder="1"/>
    <xf numFmtId="0" fontId="14" fillId="0" borderId="2" xfId="0" applyFont="1" applyBorder="1"/>
    <xf numFmtId="0" fontId="13" fillId="0" borderId="6" xfId="0" applyFont="1" applyBorder="1"/>
    <xf numFmtId="0" fontId="14" fillId="0" borderId="0" xfId="0" applyFont="1"/>
    <xf numFmtId="44" fontId="17" fillId="10" borderId="16" xfId="4" applyNumberFormat="1" applyFont="1" applyBorder="1"/>
    <xf numFmtId="171" fontId="4" fillId="10" borderId="0" xfId="4" applyNumberFormat="1" applyBorder="1"/>
    <xf numFmtId="0" fontId="16" fillId="0" borderId="25" xfId="0" applyFont="1" applyBorder="1"/>
    <xf numFmtId="0" fontId="13" fillId="0" borderId="25" xfId="0" applyFont="1" applyBorder="1"/>
    <xf numFmtId="171" fontId="17" fillId="10" borderId="25" xfId="4" applyNumberFormat="1" applyFont="1" applyBorder="1"/>
    <xf numFmtId="0" fontId="17" fillId="10" borderId="25" xfId="4" applyFont="1" applyBorder="1"/>
    <xf numFmtId="44" fontId="17" fillId="10" borderId="25" xfId="4" applyNumberFormat="1" applyFont="1" applyBorder="1"/>
    <xf numFmtId="44" fontId="17" fillId="10" borderId="38" xfId="4" applyNumberFormat="1" applyFont="1" applyBorder="1"/>
    <xf numFmtId="44" fontId="20" fillId="10" borderId="16" xfId="4" applyNumberFormat="1" applyFont="1" applyBorder="1"/>
    <xf numFmtId="3" fontId="0" fillId="0" borderId="0" xfId="0" applyNumberFormat="1"/>
    <xf numFmtId="172" fontId="20" fillId="10" borderId="16" xfId="4" applyNumberFormat="1" applyFont="1" applyBorder="1"/>
    <xf numFmtId="0" fontId="14" fillId="0" borderId="36" xfId="0" applyFont="1" applyBorder="1"/>
    <xf numFmtId="171" fontId="17" fillId="10" borderId="36" xfId="4" applyNumberFormat="1" applyFont="1" applyBorder="1"/>
    <xf numFmtId="165" fontId="17" fillId="10" borderId="36" xfId="4" applyNumberFormat="1" applyFont="1" applyBorder="1"/>
    <xf numFmtId="9" fontId="4" fillId="2" borderId="17" xfId="3" applyNumberFormat="1" applyBorder="1">
      <protection locked="0"/>
    </xf>
    <xf numFmtId="9" fontId="4" fillId="2" borderId="39" xfId="3" applyNumberFormat="1" applyBorder="1">
      <protection locked="0"/>
    </xf>
    <xf numFmtId="0" fontId="0" fillId="0" borderId="40" xfId="0" applyBorder="1"/>
    <xf numFmtId="0" fontId="0" fillId="0" borderId="25" xfId="0" applyBorder="1"/>
    <xf numFmtId="9" fontId="4" fillId="2" borderId="38" xfId="3" applyNumberFormat="1" applyBorder="1">
      <protection locked="0"/>
    </xf>
    <xf numFmtId="164" fontId="7" fillId="10" borderId="24" xfId="4" applyNumberFormat="1" applyFont="1" applyBorder="1" applyAlignment="1">
      <alignment horizontal="center" vertical="center"/>
    </xf>
    <xf numFmtId="0" fontId="31" fillId="0" borderId="2" xfId="0" applyFont="1" applyBorder="1"/>
    <xf numFmtId="0" fontId="33" fillId="0" borderId="0" xfId="0" applyFont="1" applyAlignment="1">
      <alignment horizontal="center"/>
    </xf>
    <xf numFmtId="0" fontId="0" fillId="2" borderId="0" xfId="3" applyFont="1" applyBorder="1" applyAlignment="1">
      <alignment horizontal="left"/>
      <protection locked="0"/>
    </xf>
    <xf numFmtId="0" fontId="0" fillId="2" borderId="17" xfId="3" applyFont="1" applyBorder="1" applyAlignment="1">
      <alignment horizontal="left"/>
      <protection locked="0"/>
    </xf>
    <xf numFmtId="0" fontId="29" fillId="2" borderId="19" xfId="3" applyFont="1" applyBorder="1" applyAlignment="1">
      <alignment horizontal="left" vertical="center"/>
      <protection locked="0"/>
    </xf>
    <xf numFmtId="0" fontId="4" fillId="2" borderId="0" xfId="3" applyBorder="1" applyAlignment="1">
      <alignment horizontal="left"/>
      <protection locked="0"/>
    </xf>
    <xf numFmtId="44" fontId="4" fillId="10" borderId="19" xfId="4" applyNumberFormat="1" applyBorder="1" applyAlignment="1">
      <alignment horizontal="center"/>
    </xf>
    <xf numFmtId="44" fontId="4" fillId="10" borderId="0" xfId="4" applyNumberFormat="1" applyBorder="1" applyAlignment="1">
      <alignment horizontal="center"/>
    </xf>
    <xf numFmtId="164" fontId="7" fillId="10" borderId="18" xfId="1" quotePrefix="1" applyNumberFormat="1" applyFont="1" applyFill="1" applyBorder="1" applyAlignment="1">
      <alignment horizontal="center"/>
    </xf>
    <xf numFmtId="164" fontId="7" fillId="10" borderId="20" xfId="1" quotePrefix="1" applyNumberFormat="1" applyFont="1" applyFill="1" applyBorder="1" applyAlignment="1">
      <alignment horizontal="center"/>
    </xf>
    <xf numFmtId="170" fontId="7" fillId="10" borderId="6" xfId="4" applyNumberFormat="1" applyFont="1" applyBorder="1" applyAlignment="1">
      <alignment horizontal="center"/>
    </xf>
    <xf numFmtId="170" fontId="7" fillId="10" borderId="17" xfId="4" applyNumberFormat="1" applyFont="1" applyBorder="1" applyAlignment="1">
      <alignment horizontal="center"/>
    </xf>
    <xf numFmtId="0" fontId="29" fillId="12" borderId="19" xfId="4" applyFont="1" applyFill="1" applyBorder="1" applyAlignment="1">
      <alignment horizontal="left" vertical="center"/>
    </xf>
    <xf numFmtId="7" fontId="7" fillId="10" borderId="6" xfId="4" applyNumberFormat="1" applyFont="1" applyBorder="1" applyAlignment="1">
      <alignment horizontal="center"/>
    </xf>
    <xf numFmtId="7" fontId="7" fillId="10" borderId="17" xfId="4" applyNumberFormat="1" applyFont="1" applyBorder="1" applyAlignment="1">
      <alignment horizontal="center"/>
    </xf>
    <xf numFmtId="0" fontId="6" fillId="0" borderId="5" xfId="0" applyFont="1" applyBorder="1" applyAlignment="1">
      <alignment horizontal="center"/>
    </xf>
    <xf numFmtId="0" fontId="6" fillId="0" borderId="16" xfId="0" applyFont="1" applyBorder="1" applyAlignment="1">
      <alignment horizontal="center"/>
    </xf>
    <xf numFmtId="174" fontId="4" fillId="10" borderId="0" xfId="4" applyNumberFormat="1" applyBorder="1" applyAlignment="1">
      <alignment horizontal="center"/>
    </xf>
    <xf numFmtId="0" fontId="0" fillId="0" borderId="2" xfId="0" applyBorder="1" applyAlignment="1">
      <alignment horizontal="center"/>
    </xf>
    <xf numFmtId="2" fontId="7" fillId="10" borderId="6" xfId="4" applyNumberFormat="1" applyFont="1" applyBorder="1" applyAlignment="1">
      <alignment horizontal="center"/>
    </xf>
    <xf numFmtId="2" fontId="7" fillId="10" borderId="17" xfId="4" applyNumberFormat="1" applyFont="1" applyBorder="1" applyAlignment="1">
      <alignment horizontal="center"/>
    </xf>
    <xf numFmtId="0" fontId="2" fillId="3" borderId="0" xfId="0" applyFont="1" applyFill="1" applyAlignment="1">
      <alignment horizontal="center"/>
    </xf>
    <xf numFmtId="0" fontId="2" fillId="5" borderId="0" xfId="0" applyFont="1" applyFill="1" applyAlignment="1">
      <alignment horizontal="center"/>
    </xf>
    <xf numFmtId="0" fontId="2" fillId="8" borderId="0" xfId="0" applyFont="1" applyFill="1" applyAlignment="1">
      <alignment horizontal="center"/>
    </xf>
    <xf numFmtId="0" fontId="2" fillId="4" borderId="0" xfId="0" applyFont="1" applyFill="1" applyAlignment="1">
      <alignment horizontal="center"/>
    </xf>
    <xf numFmtId="0" fontId="2" fillId="11" borderId="0" xfId="0" applyFont="1" applyFill="1" applyAlignment="1">
      <alignment horizontal="center"/>
    </xf>
    <xf numFmtId="0" fontId="0" fillId="0" borderId="0" xfId="0" applyAlignment="1">
      <alignment horizontal="center"/>
    </xf>
    <xf numFmtId="44" fontId="0" fillId="0" borderId="0" xfId="0" applyNumberFormat="1" applyAlignment="1">
      <alignment horizontal="center"/>
    </xf>
    <xf numFmtId="0" fontId="0" fillId="6" borderId="0" xfId="0" applyFill="1" applyAlignment="1">
      <alignment horizontal="center"/>
    </xf>
  </cellXfs>
  <cellStyles count="5">
    <cellStyle name="Calculation" xfId="4" builtinId="22" customBuiltin="1"/>
    <cellStyle name="Currency" xfId="1" builtinId="4"/>
    <cellStyle name="Input" xfId="3" builtinId="20" customBuiltin="1"/>
    <cellStyle name="Normal" xfId="0" builtinId="0"/>
    <cellStyle name="Percent" xfId="2" builtinId="5"/>
  </cellStyles>
  <dxfs count="44">
    <dxf>
      <font>
        <color theme="0" tint="-0.24994659260841701"/>
      </font>
      <fill>
        <patternFill patternType="none">
          <bgColor auto="1"/>
        </patternFill>
      </fill>
      <border>
        <left/>
        <right/>
        <top/>
        <bottom/>
      </border>
    </dxf>
    <dxf>
      <font>
        <color theme="0" tint="-0.14996795556505021"/>
      </font>
    </dxf>
    <dxf>
      <font>
        <color theme="0" tint="-0.24994659260841701"/>
      </font>
      <fill>
        <patternFill patternType="none">
          <bgColor auto="1"/>
        </patternFill>
      </fill>
      <border>
        <left/>
        <right/>
        <top/>
        <bottom/>
      </border>
    </dxf>
    <dxf>
      <font>
        <color theme="0" tint="-0.499984740745262"/>
      </font>
      <fill>
        <patternFill patternType="none">
          <bgColor auto="1"/>
        </patternFill>
      </fill>
    </dxf>
    <dxf>
      <font>
        <color theme="0" tint="-0.24994659260841701"/>
      </font>
      <fill>
        <patternFill patternType="none">
          <bgColor auto="1"/>
        </patternFill>
      </fill>
    </dxf>
    <dxf>
      <font>
        <color rgb="FFFF0000"/>
      </font>
      <fill>
        <patternFill>
          <bgColor rgb="FFFFFF00"/>
        </patternFill>
      </fill>
    </dxf>
    <dxf>
      <font>
        <color rgb="FFFF0000"/>
      </font>
      <fill>
        <patternFill>
          <bgColor rgb="FFFFFF00"/>
        </patternFill>
      </fill>
    </dxf>
    <dxf>
      <font>
        <color theme="0"/>
      </font>
      <fill>
        <patternFill patternType="none">
          <bgColor auto="1"/>
        </patternFill>
      </fill>
      <border>
        <left/>
        <right/>
        <top/>
        <bottom/>
        <vertical/>
        <horizontal/>
      </border>
    </dxf>
    <dxf>
      <font>
        <color theme="0" tint="-0.24994659260841701"/>
      </font>
      <fill>
        <patternFill patternType="none">
          <bgColor auto="1"/>
        </patternFill>
      </fill>
    </dxf>
    <dxf>
      <font>
        <color theme="0" tint="-0.24994659260841701"/>
      </font>
      <fill>
        <patternFill patternType="none">
          <bgColor auto="1"/>
        </patternFill>
      </fill>
    </dxf>
    <dxf>
      <numFmt numFmtId="13" formatCode="0%"/>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border>
        <left/>
        <right/>
        <top/>
        <bottom/>
        <vertical/>
        <horizontal/>
      </border>
    </dxf>
    <dxf>
      <font>
        <color theme="0" tint="-0.24994659260841701"/>
      </font>
      <fill>
        <patternFill patternType="none">
          <bgColor auto="1"/>
        </patternFill>
      </fill>
      <border>
        <left/>
        <right/>
        <top/>
        <bottom/>
        <vertical/>
        <horizontal/>
      </border>
    </dxf>
    <dxf>
      <font>
        <color theme="0" tint="-0.24994659260841701"/>
      </font>
      <fill>
        <patternFill patternType="none">
          <bgColor auto="1"/>
        </patternFill>
      </fill>
    </dxf>
    <dxf>
      <font>
        <color theme="0" tint="-0.24994659260841701"/>
      </font>
    </dxf>
    <dxf>
      <font>
        <color theme="0" tint="-0.24994659260841701"/>
      </font>
    </dxf>
    <dxf>
      <font>
        <color theme="0" tint="-0.24994659260841701"/>
      </font>
      <fill>
        <patternFill patternType="none">
          <bgColor auto="1"/>
        </patternFill>
      </fill>
    </dxf>
    <dxf>
      <font>
        <color theme="0" tint="-0.24994659260841701"/>
      </font>
      <fill>
        <patternFill patternType="none">
          <bgColor auto="1"/>
        </patternFill>
      </fill>
    </dxf>
    <dxf>
      <font>
        <color rgb="FFFF0000"/>
      </font>
      <fill>
        <patternFill>
          <bgColor rgb="FFFFFF00"/>
        </patternFill>
      </fill>
    </dxf>
    <dxf>
      <font>
        <color theme="0" tint="-0.24994659260841701"/>
      </font>
      <fill>
        <patternFill patternType="none">
          <bgColor auto="1"/>
        </patternFill>
      </fill>
    </dxf>
    <dxf>
      <font>
        <color theme="0" tint="-0.24994659260841701"/>
      </font>
    </dxf>
    <dxf>
      <font>
        <color theme="0"/>
      </font>
      <fill>
        <patternFill patternType="none">
          <bgColor auto="1"/>
        </patternFill>
      </fill>
    </dxf>
    <dxf>
      <font>
        <color theme="0" tint="-0.24994659260841701"/>
      </font>
      <fill>
        <patternFill patternType="none">
          <bgColor auto="1"/>
        </patternFill>
      </fill>
      <border>
        <left/>
        <right/>
        <top/>
        <bottom/>
        <vertical/>
        <horizontal/>
      </border>
    </dxf>
    <dxf>
      <font>
        <color theme="0" tint="-0.24994659260841701"/>
      </font>
      <fill>
        <patternFill patternType="none">
          <bgColor auto="1"/>
        </patternFill>
      </fill>
      <border>
        <left/>
        <right/>
        <top/>
        <bottom/>
        <vertical/>
        <horizontal/>
      </border>
    </dxf>
    <dxf>
      <font>
        <color theme="0" tint="-0.34998626667073579"/>
      </font>
      <fill>
        <patternFill>
          <bgColor theme="0" tint="-0.24994659260841701"/>
        </patternFill>
      </fill>
    </dxf>
    <dxf>
      <font>
        <color theme="0" tint="-0.24994659260841701"/>
      </font>
      <fill>
        <patternFill patternType="none">
          <bgColor auto="1"/>
        </patternFill>
      </fill>
    </dxf>
    <dxf>
      <font>
        <color theme="0" tint="-0.34998626667073579"/>
      </font>
      <fill>
        <patternFill>
          <bgColor theme="0" tint="-0.24994659260841701"/>
        </patternFill>
      </fill>
    </dxf>
    <dxf>
      <font>
        <color theme="0" tint="-0.34998626667073579"/>
      </font>
      <fill>
        <patternFill>
          <bgColor theme="0" tint="-0.2499465926084170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1499679555650502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numFmt numFmtId="13" formatCode="0%"/>
    </dxf>
    <dxf>
      <font>
        <strike val="0"/>
        <color theme="0" tint="-0.24994659260841701"/>
      </font>
      <fill>
        <patternFill patternType="none">
          <bgColor auto="1"/>
        </patternFill>
      </fill>
    </dxf>
    <dxf>
      <font>
        <color theme="0" tint="-0.24994659260841701"/>
      </font>
    </dxf>
    <dxf>
      <font>
        <color theme="0"/>
      </font>
      <fill>
        <patternFill patternType="none">
          <bgColor auto="1"/>
        </patternFill>
      </fill>
    </dxf>
    <dxf>
      <font>
        <color theme="0" tint="-0.14996795556505021"/>
      </font>
      <fill>
        <patternFill patternType="none">
          <bgColor auto="1"/>
        </patternFill>
      </fill>
    </dxf>
    <dxf>
      <font>
        <color theme="0" tint="-0.24994659260841701"/>
      </font>
      <fill>
        <patternFill patternType="none">
          <bgColor auto="1"/>
        </patternFill>
      </fill>
    </dxf>
    <dxf>
      <font>
        <color theme="0" tint="-0.34998626667073579"/>
      </font>
      <fill>
        <patternFill>
          <bgColor theme="0" tint="-0.24994659260841701"/>
        </patternFill>
      </fill>
    </dxf>
    <dxf>
      <font>
        <color theme="0" tint="-0.24994659260841701"/>
      </font>
      <fill>
        <patternFill patternType="none">
          <bgColor auto="1"/>
        </patternFill>
      </fill>
    </dxf>
  </dxfs>
  <tableStyles count="0" defaultTableStyle="TableStyleMedium2" defaultPivotStyle="PivotStyleLight16"/>
  <colors>
    <mruColors>
      <color rgb="FF00CD3B"/>
      <color rgb="FF8CFF00"/>
      <color rgb="FF023246"/>
      <color rgb="FFA4A4A4"/>
      <color rgb="FF1086C0"/>
      <color rgb="FF31A659"/>
      <color rgb="FFDDDDDD"/>
      <color rgb="FFF6881A"/>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Retail</a:t>
            </a:r>
            <a:r>
              <a:rPr lang="en-US" baseline="0"/>
              <a:t> Electric Rate ($/kWh)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LkUP!$U$20</c:f>
              <c:strCache>
                <c:ptCount val="1"/>
                <c:pt idx="0">
                  <c:v>$/kWh</c:v>
                </c:pt>
              </c:strCache>
            </c:strRef>
          </c:tx>
          <c:spPr>
            <a:ln w="25400" cap="rnd">
              <a:solidFill>
                <a:schemeClr val="accent2">
                  <a:lumMod val="75000"/>
                </a:schemeClr>
              </a:solidFill>
              <a:round/>
            </a:ln>
            <a:effectLst/>
          </c:spPr>
          <c:marker>
            <c:symbol val="none"/>
          </c:marker>
          <c:cat>
            <c:numRef>
              <c:f>LkUP!$T$21:$T$61</c:f>
              <c:numCache>
                <c:formatCode>General</c:formatCode>
                <c:ptCount val="4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numCache>
            </c:numRef>
          </c:cat>
          <c:val>
            <c:numRef>
              <c:f>[0]!ElecPrice</c:f>
              <c:numCache>
                <c:formatCode>_("$"* #,##0.00_);_("$"* \(#,##0.00\);_("$"* "-"??_);_(@_)</c:formatCode>
                <c:ptCount val="21"/>
                <c:pt idx="0">
                  <c:v>7.5965300541213879E-2</c:v>
                </c:pt>
                <c:pt idx="1">
                  <c:v>7.5028226946311755E-2</c:v>
                </c:pt>
                <c:pt idx="2">
                  <c:v>7.5127691152510362E-2</c:v>
                </c:pt>
                <c:pt idx="3">
                  <c:v>7.5878115998166518E-2</c:v>
                </c:pt>
                <c:pt idx="4">
                  <c:v>7.5950366439599487E-2</c:v>
                </c:pt>
                <c:pt idx="5">
                  <c:v>7.6087305280047673E-2</c:v>
                </c:pt>
                <c:pt idx="6">
                  <c:v>7.6535864542804394E-2</c:v>
                </c:pt>
                <c:pt idx="7">
                  <c:v>7.6982989165910107E-2</c:v>
                </c:pt>
                <c:pt idx="8">
                  <c:v>7.9451292012060609E-2</c:v>
                </c:pt>
                <c:pt idx="9">
                  <c:v>8.0139322461707824E-2</c:v>
                </c:pt>
                <c:pt idx="10">
                  <c:v>8.0758328633592641E-2</c:v>
                </c:pt>
                <c:pt idx="11">
                  <c:v>8.0358632345087277E-2</c:v>
                </c:pt>
                <c:pt idx="12">
                  <c:v>8.0603739109022604E-2</c:v>
                </c:pt>
                <c:pt idx="13">
                  <c:v>8.1291473042801335E-2</c:v>
                </c:pt>
                <c:pt idx="14">
                  <c:v>8.1511322691594043E-2</c:v>
                </c:pt>
                <c:pt idx="15">
                  <c:v>8.1772056019351544E-2</c:v>
                </c:pt>
                <c:pt idx="16">
                  <c:v>8.2134148058886372E-2</c:v>
                </c:pt>
                <c:pt idx="17">
                  <c:v>8.3348590054429766E-2</c:v>
                </c:pt>
                <c:pt idx="18">
                  <c:v>8.3619617987009537E-2</c:v>
                </c:pt>
                <c:pt idx="19">
                  <c:v>8.3481784272323598E-2</c:v>
                </c:pt>
                <c:pt idx="20">
                  <c:v>8.3376332931343902E-2</c:v>
                </c:pt>
              </c:numCache>
            </c:numRef>
          </c:val>
          <c:smooth val="1"/>
          <c:extLst>
            <c:ext xmlns:c16="http://schemas.microsoft.com/office/drawing/2014/chart" uri="{C3380CC4-5D6E-409C-BE32-E72D297353CC}">
              <c16:uniqueId val="{00000000-8E39-49D1-970F-58B72E1D34A9}"/>
            </c:ext>
          </c:extLst>
        </c:ser>
        <c:dLbls>
          <c:showLegendKey val="0"/>
          <c:showVal val="0"/>
          <c:showCatName val="0"/>
          <c:showSerName val="0"/>
          <c:showPercent val="0"/>
          <c:showBubbleSize val="0"/>
        </c:dLbls>
        <c:smooth val="0"/>
        <c:axId val="1895509600"/>
        <c:axId val="1769047488"/>
      </c:lineChart>
      <c:catAx>
        <c:axId val="1895509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9047488"/>
        <c:crosses val="autoZero"/>
        <c:auto val="1"/>
        <c:lblAlgn val="ctr"/>
        <c:lblOffset val="100"/>
        <c:noMultiLvlLbl val="0"/>
      </c:catAx>
      <c:valAx>
        <c:axId val="17690474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5509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PVLoan!$G$31</c:f>
              <c:strCache>
                <c:ptCount val="1"/>
                <c:pt idx="0">
                  <c:v>Interest Paid</c:v>
                </c:pt>
              </c:strCache>
            </c:strRef>
          </c:tx>
          <c:spPr>
            <a:ln w="19050" cap="rnd">
              <a:solidFill>
                <a:schemeClr val="accent1"/>
              </a:solidFill>
              <a:round/>
            </a:ln>
            <a:effectLst/>
          </c:spPr>
          <c:marker>
            <c:symbol val="none"/>
          </c:marker>
          <c:xVal>
            <c:numRef>
              <c:f>PVLoan!$B$32:$B$392</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numCache>
            </c:numRef>
          </c:xVal>
          <c:yVal>
            <c:numRef>
              <c:f>PVLoan!$G$32:$G$392</c:f>
              <c:numCache>
                <c:formatCode>_("$"* #,##0.00_);_("$"* \(#,##0.00\);_("$"* "-"??_);_(@_)</c:formatCode>
                <c:ptCount val="3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yVal>
          <c:smooth val="1"/>
          <c:extLst>
            <c:ext xmlns:c16="http://schemas.microsoft.com/office/drawing/2014/chart" uri="{C3380CC4-5D6E-409C-BE32-E72D297353CC}">
              <c16:uniqueId val="{00000000-BC41-4F88-94E4-EB27EF951337}"/>
            </c:ext>
          </c:extLst>
        </c:ser>
        <c:ser>
          <c:idx val="1"/>
          <c:order val="1"/>
          <c:tx>
            <c:strRef>
              <c:f>PVLoan!$I$31</c:f>
              <c:strCache>
                <c:ptCount val="1"/>
                <c:pt idx="0">
                  <c:v>Principal Paid</c:v>
                </c:pt>
              </c:strCache>
            </c:strRef>
          </c:tx>
          <c:spPr>
            <a:ln w="19050" cap="rnd">
              <a:solidFill>
                <a:schemeClr val="accent2"/>
              </a:solidFill>
              <a:round/>
            </a:ln>
            <a:effectLst/>
          </c:spPr>
          <c:marker>
            <c:symbol val="none"/>
          </c:marker>
          <c:xVal>
            <c:numRef>
              <c:f>PVLoan!$B$32:$B$392</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numCache>
            </c:numRef>
          </c:xVal>
          <c:yVal>
            <c:numRef>
              <c:f>PVLoan!$I$32:$I$392</c:f>
              <c:numCache>
                <c:formatCode>_("$"* #,##0.00_);_("$"* \(#,##0.00\);_("$"* "-"??_);_(@_)</c:formatCode>
                <c:ptCount val="3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yVal>
          <c:smooth val="1"/>
          <c:extLst>
            <c:ext xmlns:c16="http://schemas.microsoft.com/office/drawing/2014/chart" uri="{C3380CC4-5D6E-409C-BE32-E72D297353CC}">
              <c16:uniqueId val="{00000001-BC41-4F88-94E4-EB27EF951337}"/>
            </c:ext>
          </c:extLst>
        </c:ser>
        <c:ser>
          <c:idx val="2"/>
          <c:order val="2"/>
          <c:tx>
            <c:strRef>
              <c:f>PVLoan!$J$31</c:f>
              <c:strCache>
                <c:ptCount val="1"/>
                <c:pt idx="0">
                  <c:v>Balance</c:v>
                </c:pt>
              </c:strCache>
            </c:strRef>
          </c:tx>
          <c:spPr>
            <a:ln w="19050" cap="rnd">
              <a:solidFill>
                <a:schemeClr val="accent3"/>
              </a:solidFill>
              <a:round/>
            </a:ln>
            <a:effectLst/>
          </c:spPr>
          <c:marker>
            <c:symbol val="none"/>
          </c:marker>
          <c:xVal>
            <c:numRef>
              <c:f>PVLoan!$B$32:$B$392</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numCache>
            </c:numRef>
          </c:xVal>
          <c:yVal>
            <c:numRef>
              <c:f>PVLoan!$J$32:$J$392</c:f>
              <c:numCache>
                <c:formatCode>_("$"* #,##0.00_);_("$"* \(#,##0.00\);_("$"* "-"??_);_(@_)</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yVal>
          <c:smooth val="1"/>
          <c:extLst>
            <c:ext xmlns:c16="http://schemas.microsoft.com/office/drawing/2014/chart" uri="{C3380CC4-5D6E-409C-BE32-E72D297353CC}">
              <c16:uniqueId val="{00000002-BC41-4F88-94E4-EB27EF951337}"/>
            </c:ext>
          </c:extLst>
        </c:ser>
        <c:dLbls>
          <c:showLegendKey val="0"/>
          <c:showVal val="0"/>
          <c:showCatName val="0"/>
          <c:showSerName val="0"/>
          <c:showPercent val="0"/>
          <c:showBubbleSize val="0"/>
        </c:dLbls>
        <c:axId val="1767779776"/>
        <c:axId val="1767780320"/>
      </c:scatterChart>
      <c:valAx>
        <c:axId val="1767779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780320"/>
        <c:crosses val="autoZero"/>
        <c:crossBetween val="midCat"/>
      </c:valAx>
      <c:valAx>
        <c:axId val="176778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7797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BattLoan!$G$31</c:f>
              <c:strCache>
                <c:ptCount val="1"/>
                <c:pt idx="0">
                  <c:v>Interest Paid</c:v>
                </c:pt>
              </c:strCache>
            </c:strRef>
          </c:tx>
          <c:spPr>
            <a:ln w="19050" cap="rnd">
              <a:solidFill>
                <a:schemeClr val="accent1"/>
              </a:solidFill>
              <a:round/>
            </a:ln>
            <a:effectLst/>
          </c:spPr>
          <c:marker>
            <c:symbol val="none"/>
          </c:marker>
          <c:xVal>
            <c:numRef>
              <c:f>BattLoan!$B$32:$B$392</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numCache>
            </c:numRef>
          </c:xVal>
          <c:yVal>
            <c:numRef>
              <c:f>BattLoan!$G$32:$G$392</c:f>
              <c:numCache>
                <c:formatCode>_("$"* #,##0.00_);_("$"* \(#,##0.00\);_("$"* "-"??_);_(@_)</c:formatCode>
                <c:ptCount val="3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yVal>
          <c:smooth val="1"/>
          <c:extLst>
            <c:ext xmlns:c16="http://schemas.microsoft.com/office/drawing/2014/chart" uri="{C3380CC4-5D6E-409C-BE32-E72D297353CC}">
              <c16:uniqueId val="{00000000-F86E-4BC9-AFD2-301AF2845C78}"/>
            </c:ext>
          </c:extLst>
        </c:ser>
        <c:ser>
          <c:idx val="1"/>
          <c:order val="1"/>
          <c:tx>
            <c:strRef>
              <c:f>BattLoan!$I$31</c:f>
              <c:strCache>
                <c:ptCount val="1"/>
                <c:pt idx="0">
                  <c:v>Principal Paid</c:v>
                </c:pt>
              </c:strCache>
            </c:strRef>
          </c:tx>
          <c:spPr>
            <a:ln w="19050" cap="rnd">
              <a:solidFill>
                <a:schemeClr val="accent2"/>
              </a:solidFill>
              <a:round/>
            </a:ln>
            <a:effectLst/>
          </c:spPr>
          <c:marker>
            <c:symbol val="none"/>
          </c:marker>
          <c:xVal>
            <c:numRef>
              <c:f>BattLoan!$B$32:$B$392</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numCache>
            </c:numRef>
          </c:xVal>
          <c:yVal>
            <c:numRef>
              <c:f>BattLoan!$I$32:$I$392</c:f>
              <c:numCache>
                <c:formatCode>_("$"* #,##0.00_);_("$"* \(#,##0.00\);_("$"* "-"??_);_(@_)</c:formatCode>
                <c:ptCount val="3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yVal>
          <c:smooth val="1"/>
          <c:extLst>
            <c:ext xmlns:c16="http://schemas.microsoft.com/office/drawing/2014/chart" uri="{C3380CC4-5D6E-409C-BE32-E72D297353CC}">
              <c16:uniqueId val="{00000001-F86E-4BC9-AFD2-301AF2845C78}"/>
            </c:ext>
          </c:extLst>
        </c:ser>
        <c:ser>
          <c:idx val="2"/>
          <c:order val="2"/>
          <c:tx>
            <c:strRef>
              <c:f>BattLoan!$J$31</c:f>
              <c:strCache>
                <c:ptCount val="1"/>
                <c:pt idx="0">
                  <c:v>Balance</c:v>
                </c:pt>
              </c:strCache>
            </c:strRef>
          </c:tx>
          <c:spPr>
            <a:ln w="19050" cap="rnd">
              <a:solidFill>
                <a:schemeClr val="accent3"/>
              </a:solidFill>
              <a:round/>
            </a:ln>
            <a:effectLst/>
          </c:spPr>
          <c:marker>
            <c:symbol val="none"/>
          </c:marker>
          <c:xVal>
            <c:numRef>
              <c:f>BattLoan!$B$32:$B$392</c:f>
              <c:numCache>
                <c:formatCode>General</c:formatCode>
                <c:ptCount val="3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numCache>
            </c:numRef>
          </c:xVal>
          <c:yVal>
            <c:numRef>
              <c:f>BattLoan!$J$32:$J$392</c:f>
              <c:numCache>
                <c:formatCode>_("$"* #,##0.00_);_("$"* \(#,##0.00\);_("$"* "-"??_);_(@_)</c:formatCode>
                <c:ptCount val="3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yVal>
          <c:smooth val="1"/>
          <c:extLst>
            <c:ext xmlns:c16="http://schemas.microsoft.com/office/drawing/2014/chart" uri="{C3380CC4-5D6E-409C-BE32-E72D297353CC}">
              <c16:uniqueId val="{00000002-F86E-4BC9-AFD2-301AF2845C78}"/>
            </c:ext>
          </c:extLst>
        </c:ser>
        <c:dLbls>
          <c:showLegendKey val="0"/>
          <c:showVal val="0"/>
          <c:showCatName val="0"/>
          <c:showSerName val="0"/>
          <c:showPercent val="0"/>
          <c:showBubbleSize val="0"/>
        </c:dLbls>
        <c:axId val="1767781952"/>
        <c:axId val="1767778688"/>
      </c:scatterChart>
      <c:valAx>
        <c:axId val="1767781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778688"/>
        <c:crosses val="autoZero"/>
        <c:crossBetween val="midCat"/>
      </c:valAx>
      <c:valAx>
        <c:axId val="176777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781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Chrt!$B$3:$J$3</c:f>
            </c:numRef>
          </c:val>
          <c:extLst>
            <c:ext xmlns:c16="http://schemas.microsoft.com/office/drawing/2014/chart" uri="{C3380CC4-5D6E-409C-BE32-E72D297353CC}">
              <c16:uniqueId val="{00000000-D323-40E6-BCD8-7AD117E1FD4D}"/>
            </c:ext>
          </c:extLst>
        </c:ser>
        <c:ser>
          <c:idx val="1"/>
          <c:order val="1"/>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Chrt!$B$4:$J$4</c:f>
            </c:numRef>
          </c:val>
          <c:extLst>
            <c:ext xmlns:c16="http://schemas.microsoft.com/office/drawing/2014/chart" uri="{C3380CC4-5D6E-409C-BE32-E72D297353CC}">
              <c16:uniqueId val="{00000001-D323-40E6-BCD8-7AD117E1FD4D}"/>
            </c:ext>
          </c:extLst>
        </c:ser>
        <c:ser>
          <c:idx val="2"/>
          <c:order val="2"/>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Chrt!$B$5:$J$5</c:f>
            </c:numRef>
          </c:val>
          <c:extLst>
            <c:ext xmlns:c16="http://schemas.microsoft.com/office/drawing/2014/chart" uri="{C3380CC4-5D6E-409C-BE32-E72D297353CC}">
              <c16:uniqueId val="{00000002-D323-40E6-BCD8-7AD117E1FD4D}"/>
            </c:ext>
          </c:extLst>
        </c:ser>
        <c:ser>
          <c:idx val="3"/>
          <c:order val="3"/>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Chrt!$B$6:$J$6</c:f>
            </c:numRef>
          </c:val>
          <c:extLst>
            <c:ext xmlns:c16="http://schemas.microsoft.com/office/drawing/2014/chart" uri="{C3380CC4-5D6E-409C-BE32-E72D297353CC}">
              <c16:uniqueId val="{00000003-D323-40E6-BCD8-7AD117E1FD4D}"/>
            </c:ext>
          </c:extLst>
        </c:ser>
        <c:ser>
          <c:idx val="4"/>
          <c:order val="4"/>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Chrt!$B$7:$J$7</c:f>
            </c:numRef>
          </c:val>
          <c:extLst>
            <c:ext xmlns:c16="http://schemas.microsoft.com/office/drawing/2014/chart" uri="{C3380CC4-5D6E-409C-BE32-E72D297353CC}">
              <c16:uniqueId val="{00000004-D323-40E6-BCD8-7AD117E1FD4D}"/>
            </c:ext>
          </c:extLst>
        </c:ser>
        <c:ser>
          <c:idx val="5"/>
          <c:order val="5"/>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Chrt!$B$8:$J$8</c:f>
            </c:numRef>
          </c:val>
          <c:extLst>
            <c:ext xmlns:c16="http://schemas.microsoft.com/office/drawing/2014/chart" uri="{C3380CC4-5D6E-409C-BE32-E72D297353CC}">
              <c16:uniqueId val="{00000005-D323-40E6-BCD8-7AD117E1FD4D}"/>
            </c:ext>
          </c:extLst>
        </c:ser>
        <c:ser>
          <c:idx val="6"/>
          <c:order val="6"/>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Chrt!$B$9:$J$9</c:f>
            </c:numRef>
          </c:val>
          <c:extLst>
            <c:ext xmlns:c16="http://schemas.microsoft.com/office/drawing/2014/chart" uri="{C3380CC4-5D6E-409C-BE32-E72D297353CC}">
              <c16:uniqueId val="{00000006-D323-40E6-BCD8-7AD117E1FD4D}"/>
            </c:ext>
          </c:extLst>
        </c:ser>
        <c:ser>
          <c:idx val="7"/>
          <c:order val="7"/>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Chrt!$B$10:$J$10</c:f>
            </c:numRef>
          </c:val>
          <c:extLst>
            <c:ext xmlns:c16="http://schemas.microsoft.com/office/drawing/2014/chart" uri="{C3380CC4-5D6E-409C-BE32-E72D297353CC}">
              <c16:uniqueId val="{00000007-D323-40E6-BCD8-7AD117E1FD4D}"/>
            </c:ext>
          </c:extLst>
        </c:ser>
        <c:ser>
          <c:idx val="8"/>
          <c:order val="8"/>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Chrt!$B$11:$J$11</c:f>
            </c:numRef>
          </c:val>
          <c:extLst>
            <c:ext xmlns:c16="http://schemas.microsoft.com/office/drawing/2014/chart" uri="{C3380CC4-5D6E-409C-BE32-E72D297353CC}">
              <c16:uniqueId val="{00000008-D323-40E6-BCD8-7AD117E1FD4D}"/>
            </c:ext>
          </c:extLst>
        </c:ser>
        <c:ser>
          <c:idx val="9"/>
          <c:order val="9"/>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Chrt!$B$12:$J$12</c:f>
            </c:numRef>
          </c:val>
          <c:extLst>
            <c:ext xmlns:c16="http://schemas.microsoft.com/office/drawing/2014/chart" uri="{C3380CC4-5D6E-409C-BE32-E72D297353CC}">
              <c16:uniqueId val="{00000009-D323-40E6-BCD8-7AD117E1FD4D}"/>
            </c:ext>
          </c:extLst>
        </c:ser>
        <c:ser>
          <c:idx val="10"/>
          <c:order val="10"/>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Chrt!$B$13:$J$13</c:f>
            </c:numRef>
          </c:val>
          <c:extLst>
            <c:ext xmlns:c16="http://schemas.microsoft.com/office/drawing/2014/chart" uri="{C3380CC4-5D6E-409C-BE32-E72D297353CC}">
              <c16:uniqueId val="{0000000A-D323-40E6-BCD8-7AD117E1FD4D}"/>
            </c:ext>
          </c:extLst>
        </c:ser>
        <c:ser>
          <c:idx val="11"/>
          <c:order val="11"/>
          <c:dPt>
            <c:idx val="0"/>
            <c:bubble3D val="0"/>
            <c:spPr>
              <a:solidFill>
                <a:srgbClr val="1086C0"/>
              </a:solidFill>
              <a:ln w="19050">
                <a:solidFill>
                  <a:schemeClr val="lt1"/>
                </a:solidFill>
              </a:ln>
              <a:effectLst/>
            </c:spPr>
            <c:extLst>
              <c:ext xmlns:c16="http://schemas.microsoft.com/office/drawing/2014/chart" uri="{C3380CC4-5D6E-409C-BE32-E72D297353CC}">
                <c16:uniqueId val="{0000000E-D323-40E6-BCD8-7AD117E1FD4D}"/>
              </c:ext>
            </c:extLst>
          </c:dPt>
          <c:dPt>
            <c:idx val="1"/>
            <c:bubble3D val="0"/>
            <c:spPr>
              <a:solidFill>
                <a:srgbClr val="00CD3B"/>
              </a:solidFill>
              <a:ln w="19050">
                <a:solidFill>
                  <a:schemeClr val="lt1"/>
                </a:solidFill>
              </a:ln>
              <a:effectLst/>
            </c:spPr>
            <c:extLst>
              <c:ext xmlns:c16="http://schemas.microsoft.com/office/drawing/2014/chart" uri="{C3380CC4-5D6E-409C-BE32-E72D297353CC}">
                <c16:uniqueId val="{0000000D-D323-40E6-BCD8-7AD117E1FD4D}"/>
              </c:ext>
            </c:extLst>
          </c:dPt>
          <c:dPt>
            <c:idx val="2"/>
            <c:bubble3D val="0"/>
            <c:spPr>
              <a:solidFill>
                <a:srgbClr val="023246"/>
              </a:solidFill>
              <a:ln w="19050">
                <a:solidFill>
                  <a:schemeClr val="lt1"/>
                </a:solidFill>
              </a:ln>
              <a:effectLst/>
            </c:spPr>
            <c:extLst>
              <c:ext xmlns:c16="http://schemas.microsoft.com/office/drawing/2014/chart" uri="{C3380CC4-5D6E-409C-BE32-E72D297353CC}">
                <c16:uniqueId val="{0000000C-D323-40E6-BCD8-7AD117E1FD4D}"/>
              </c:ext>
            </c:extLst>
          </c:dPt>
          <c:dPt>
            <c:idx val="3"/>
            <c:bubble3D val="0"/>
            <c:spPr>
              <a:solidFill>
                <a:srgbClr val="31A659"/>
              </a:solidFill>
              <a:ln w="19050">
                <a:solidFill>
                  <a:schemeClr val="lt1"/>
                </a:solidFill>
              </a:ln>
              <a:effectLst/>
            </c:spPr>
            <c:extLst>
              <c:ext xmlns:c16="http://schemas.microsoft.com/office/drawing/2014/chart" uri="{C3380CC4-5D6E-409C-BE32-E72D297353CC}">
                <c16:uniqueId val="{0000000F-D323-40E6-BCD8-7AD117E1FD4D}"/>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0-D323-40E6-BCD8-7AD117E1FD4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1-D323-40E6-BCD8-7AD117E1FD4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376-4E9E-802E-243557B6855F}"/>
              </c:ext>
            </c:extLst>
          </c:dPt>
          <c:dPt>
            <c:idx val="7"/>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13-D323-40E6-BCD8-7AD117E1FD4D}"/>
              </c:ext>
            </c:extLst>
          </c:dPt>
          <c:dPt>
            <c:idx val="8"/>
            <c:bubble3D val="0"/>
            <c:spPr>
              <a:solidFill>
                <a:srgbClr val="A4A4A4"/>
              </a:solidFill>
              <a:ln w="19050">
                <a:solidFill>
                  <a:schemeClr val="lt1"/>
                </a:solidFill>
              </a:ln>
              <a:effectLst/>
            </c:spPr>
            <c:extLst>
              <c:ext xmlns:c16="http://schemas.microsoft.com/office/drawing/2014/chart" uri="{C3380CC4-5D6E-409C-BE32-E72D297353CC}">
                <c16:uniqueId val="{00000011-1204-4013-BE43-DDB81D4ADC67}"/>
              </c:ext>
            </c:extLst>
          </c:dPt>
          <c:cat>
            <c:strRef>
              <c:f>Chrt!$B$2:$J$2</c:f>
              <c:strCache>
                <c:ptCount val="9"/>
                <c:pt idx="0">
                  <c:v>PV Electricity Savings</c:v>
                </c:pt>
                <c:pt idx="1">
                  <c:v>#N/A</c:v>
                </c:pt>
                <c:pt idx="2">
                  <c:v>#N/A</c:v>
                </c:pt>
                <c:pt idx="3">
                  <c:v>#N/A</c:v>
                </c:pt>
                <c:pt idx="4">
                  <c:v>#N/A</c:v>
                </c:pt>
                <c:pt idx="5">
                  <c:v>#N/A</c:v>
                </c:pt>
                <c:pt idx="6">
                  <c:v>#N/A</c:v>
                </c:pt>
                <c:pt idx="7">
                  <c:v>#N/A</c:v>
                </c:pt>
                <c:pt idx="8">
                  <c:v>#N/A</c:v>
                </c:pt>
              </c:strCache>
            </c:strRef>
          </c:cat>
          <c:val>
            <c:numRef>
              <c:f>Chrt!$B$14:$J$14</c:f>
              <c:numCache>
                <c:formatCode>_("$"* #,##0.00_);_("$"* \(#,##0.00\);_("$"* "-"??_);_(@_)</c:formatCode>
                <c:ptCount val="9"/>
                <c:pt idx="0">
                  <c:v>138507.90385354718</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B-D323-40E6-BCD8-7AD117E1FD4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5244664495184508E-2"/>
          <c:y val="0.87367855651585813"/>
          <c:w val="0.96951067100963095"/>
          <c:h val="0.1141726213698418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a:t>Revenues</a:t>
            </a:r>
            <a:r>
              <a:rPr lang="en-US" sz="1400" baseline="0"/>
              <a:t>, Savings, Expenses </a:t>
            </a:r>
          </a:p>
          <a:p>
            <a:pPr>
              <a:defRPr sz="1600"/>
            </a:pPr>
            <a:r>
              <a:rPr lang="en-US" sz="1400" baseline="0"/>
              <a:t>Years 1-10 (Pre-Tax )</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87195011276879"/>
          <c:y val="6.4435308790717252E-2"/>
          <c:w val="0.46069984166374517"/>
          <c:h val="0.88745403367682896"/>
        </c:manualLayout>
      </c:layout>
      <c:barChart>
        <c:barDir val="col"/>
        <c:grouping val="stacked"/>
        <c:varyColors val="0"/>
        <c:ser>
          <c:idx val="16"/>
          <c:order val="0"/>
          <c:tx>
            <c:strRef>
              <c:f>Chrt!$S$2</c:f>
              <c:strCache>
                <c:ptCount val="1"/>
                <c:pt idx="0">
                  <c:v>#N/A</c:v>
                </c:pt>
              </c:strCache>
            </c:strRef>
          </c:tx>
          <c:spPr>
            <a:pattFill prst="ltDnDiag">
              <a:fgClr>
                <a:schemeClr val="bg1"/>
              </a:fgClr>
              <a:bgClr>
                <a:srgbClr val="A4A4A4"/>
              </a:bgClr>
            </a:pattFill>
            <a:ln>
              <a:noFill/>
            </a:ln>
            <a:effectLst/>
          </c:spPr>
          <c:invertIfNegative val="0"/>
          <c:val>
            <c:numRef>
              <c:f>Chrt!$S$3:$S$122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CD90-4DE8-A2F4-ADE01A89DFED}"/>
            </c:ext>
          </c:extLst>
        </c:ser>
        <c:ser>
          <c:idx val="15"/>
          <c:order val="1"/>
          <c:tx>
            <c:strRef>
              <c:f>Chrt!$R$2</c:f>
              <c:strCache>
                <c:ptCount val="1"/>
                <c:pt idx="0">
                  <c:v>Equipment Refresh &amp; Replacement</c:v>
                </c:pt>
              </c:strCache>
            </c:strRef>
          </c:tx>
          <c:spPr>
            <a:pattFill prst="ltDnDiag">
              <a:fgClr>
                <a:schemeClr val="bg1"/>
              </a:fgClr>
              <a:bgClr>
                <a:srgbClr val="023246"/>
              </a:bgClr>
            </a:pattFill>
            <a:ln>
              <a:noFill/>
            </a:ln>
            <a:effectLst/>
          </c:spPr>
          <c:invertIfNegative val="0"/>
          <c:val>
            <c:numRef>
              <c:f>Chrt!$R$3:$R$122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CD90-4DE8-A2F4-ADE01A89DFED}"/>
            </c:ext>
          </c:extLst>
        </c:ser>
        <c:ser>
          <c:idx val="14"/>
          <c:order val="2"/>
          <c:tx>
            <c:strRef>
              <c:f>Chrt!$Q$2</c:f>
              <c:strCache>
                <c:ptCount val="1"/>
                <c:pt idx="0">
                  <c:v>Insurance</c:v>
                </c:pt>
              </c:strCache>
            </c:strRef>
          </c:tx>
          <c:spPr>
            <a:pattFill prst="ltDnDiag">
              <a:fgClr>
                <a:schemeClr val="bg1"/>
              </a:fgClr>
              <a:bgClr>
                <a:srgbClr val="FFC000"/>
              </a:bgClr>
            </a:pattFill>
            <a:ln>
              <a:noFill/>
            </a:ln>
            <a:effectLst/>
          </c:spPr>
          <c:invertIfNegative val="0"/>
          <c:val>
            <c:numRef>
              <c:f>Chrt!$Q$3:$Q$122</c:f>
              <c:numCache>
                <c:formatCode>_("$"* #,##0.00_);_("$"* \(#,##0.00\);_("$"* "-"??_);_(@_)</c:formatCode>
                <c:ptCount val="10"/>
                <c:pt idx="0">
                  <c:v>-7500</c:v>
                </c:pt>
                <c:pt idx="1">
                  <c:v>-7500</c:v>
                </c:pt>
                <c:pt idx="2">
                  <c:v>-7500</c:v>
                </c:pt>
                <c:pt idx="3">
                  <c:v>-7500</c:v>
                </c:pt>
                <c:pt idx="4">
                  <c:v>-7500</c:v>
                </c:pt>
                <c:pt idx="5">
                  <c:v>-7500</c:v>
                </c:pt>
                <c:pt idx="6">
                  <c:v>-7500</c:v>
                </c:pt>
                <c:pt idx="7">
                  <c:v>-7500</c:v>
                </c:pt>
                <c:pt idx="8">
                  <c:v>-7500</c:v>
                </c:pt>
                <c:pt idx="9">
                  <c:v>-7500</c:v>
                </c:pt>
              </c:numCache>
            </c:numRef>
          </c:val>
          <c:extLst>
            <c:ext xmlns:c16="http://schemas.microsoft.com/office/drawing/2014/chart" uri="{C3380CC4-5D6E-409C-BE32-E72D297353CC}">
              <c16:uniqueId val="{0000000E-CD90-4DE8-A2F4-ADE01A89DFED}"/>
            </c:ext>
          </c:extLst>
        </c:ser>
        <c:ser>
          <c:idx val="13"/>
          <c:order val="3"/>
          <c:tx>
            <c:strRef>
              <c:f>Chrt!$P$2</c:f>
              <c:strCache>
                <c:ptCount val="1"/>
                <c:pt idx="0">
                  <c:v>O&amp;M</c:v>
                </c:pt>
              </c:strCache>
            </c:strRef>
          </c:tx>
          <c:spPr>
            <a:pattFill prst="ltDnDiag">
              <a:fgClr>
                <a:schemeClr val="bg1"/>
              </a:fgClr>
              <a:bgClr>
                <a:srgbClr val="1086C0"/>
              </a:bgClr>
            </a:pattFill>
            <a:ln>
              <a:noFill/>
            </a:ln>
            <a:effectLst/>
          </c:spPr>
          <c:invertIfNegative val="0"/>
          <c:val>
            <c:numRef>
              <c:f>Chrt!$P$3:$P$122</c:f>
              <c:numCache>
                <c:formatCode>_("$"* #,##0.00_);_("$"* \(#,##0.00\);_("$"* "-"??_);_(@_)</c:formatCode>
                <c:ptCount val="10"/>
                <c:pt idx="0">
                  <c:v>-9000</c:v>
                </c:pt>
                <c:pt idx="1">
                  <c:v>-9000</c:v>
                </c:pt>
                <c:pt idx="2">
                  <c:v>-9000</c:v>
                </c:pt>
                <c:pt idx="3">
                  <c:v>-9000</c:v>
                </c:pt>
                <c:pt idx="4">
                  <c:v>-9000</c:v>
                </c:pt>
                <c:pt idx="5">
                  <c:v>-9000</c:v>
                </c:pt>
                <c:pt idx="6">
                  <c:v>-9000</c:v>
                </c:pt>
                <c:pt idx="7">
                  <c:v>-9000</c:v>
                </c:pt>
                <c:pt idx="8">
                  <c:v>-9000</c:v>
                </c:pt>
                <c:pt idx="9">
                  <c:v>-9000</c:v>
                </c:pt>
              </c:numCache>
            </c:numRef>
          </c:val>
          <c:extLst>
            <c:ext xmlns:c16="http://schemas.microsoft.com/office/drawing/2014/chart" uri="{C3380CC4-5D6E-409C-BE32-E72D297353CC}">
              <c16:uniqueId val="{0000000D-CD90-4DE8-A2F4-ADE01A89DFED}"/>
            </c:ext>
          </c:extLst>
        </c:ser>
        <c:ser>
          <c:idx val="12"/>
          <c:order val="4"/>
          <c:tx>
            <c:strRef>
              <c:f>Chrt!$O$2</c:f>
              <c:strCache>
                <c:ptCount val="1"/>
                <c:pt idx="0">
                  <c:v>Loan Payment</c:v>
                </c:pt>
              </c:strCache>
            </c:strRef>
          </c:tx>
          <c:spPr>
            <a:pattFill prst="ltDnDiag">
              <a:fgClr>
                <a:schemeClr val="bg1"/>
              </a:fgClr>
              <a:bgClr>
                <a:srgbClr val="FF0000"/>
              </a:bgClr>
            </a:pattFill>
            <a:ln>
              <a:noFill/>
            </a:ln>
            <a:effectLst/>
          </c:spPr>
          <c:invertIfNegative val="0"/>
          <c:val>
            <c:numRef>
              <c:f>Chrt!$O$3:$O$122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CD90-4DE8-A2F4-ADE01A89DFED}"/>
            </c:ext>
          </c:extLst>
        </c:ser>
        <c:ser>
          <c:idx val="0"/>
          <c:order val="5"/>
          <c:tx>
            <c:strRef>
              <c:f>Chrt!$N$2</c:f>
              <c:strCache>
                <c:ptCount val="1"/>
                <c:pt idx="0">
                  <c:v>Electricity Write-off and Purchase</c:v>
                </c:pt>
              </c:strCache>
            </c:strRef>
          </c:tx>
          <c:spPr>
            <a:pattFill prst="ltDnDiag">
              <a:fgClr>
                <a:schemeClr val="bg1"/>
              </a:fgClr>
              <a:bgClr>
                <a:srgbClr val="00CD3B"/>
              </a:bgClr>
            </a:pattFill>
            <a:ln>
              <a:noFill/>
            </a:ln>
            <a:effectLst/>
          </c:spPr>
          <c:invertIfNegative val="0"/>
          <c:val>
            <c:numRef>
              <c:f>Chrt!$N$3:$N$122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CD90-4DE8-A2F4-ADE01A89DFED}"/>
            </c:ext>
          </c:extLst>
        </c:ser>
        <c:ser>
          <c:idx val="1"/>
          <c:order val="6"/>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0-CD90-4DE8-A2F4-ADE01A89DFED}"/>
            </c:ext>
          </c:extLst>
        </c:ser>
        <c:ser>
          <c:idx val="3"/>
          <c:order val="7"/>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CD90-4DE8-A2F4-ADE01A89DFED}"/>
            </c:ext>
          </c:extLst>
        </c:ser>
        <c:ser>
          <c:idx val="4"/>
          <c:order val="8"/>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3-CD90-4DE8-A2F4-ADE01A89DFED}"/>
            </c:ext>
          </c:extLst>
        </c:ser>
        <c:ser>
          <c:idx val="5"/>
          <c:order val="9"/>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4-CD90-4DE8-A2F4-ADE01A89DFED}"/>
            </c:ext>
          </c:extLst>
        </c:ser>
        <c:ser>
          <c:idx val="6"/>
          <c:order val="10"/>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5-CD90-4DE8-A2F4-ADE01A89DFED}"/>
            </c:ext>
          </c:extLst>
        </c:ser>
        <c:ser>
          <c:idx val="17"/>
          <c:order val="11"/>
          <c:tx>
            <c:strRef>
              <c:f>Chrt!$H$2</c:f>
              <c:strCache>
                <c:ptCount val="1"/>
                <c:pt idx="0">
                  <c:v>#N/A</c:v>
                </c:pt>
              </c:strCache>
            </c:strRef>
          </c:tx>
          <c:spPr>
            <a:solidFill>
              <a:schemeClr val="accent6">
                <a:lumMod val="80000"/>
                <a:lumOff val="20000"/>
              </a:schemeClr>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1-A76E-4B03-8B08-003269DFFA37}"/>
            </c:ext>
          </c:extLst>
        </c:ser>
        <c:ser>
          <c:idx val="7"/>
          <c:order val="12"/>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6-CD90-4DE8-A2F4-ADE01A89DFED}"/>
            </c:ext>
          </c:extLst>
        </c:ser>
        <c:ser>
          <c:idx val="8"/>
          <c:order val="13"/>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CD90-4DE8-A2F4-ADE01A89DFED}"/>
            </c:ext>
          </c:extLst>
        </c:ser>
        <c:ser>
          <c:idx val="9"/>
          <c:order val="14"/>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CD90-4DE8-A2F4-ADE01A89DFED}"/>
            </c:ext>
          </c:extLst>
        </c:ser>
        <c:ser>
          <c:idx val="2"/>
          <c:order val="15"/>
          <c:tx>
            <c:strRef>
              <c:f>Chrt!$K$2</c:f>
              <c:strCache>
                <c:ptCount val="1"/>
                <c:pt idx="0">
                  <c:v>SRECs</c:v>
                </c:pt>
              </c:strCache>
            </c:strRef>
          </c:tx>
          <c:spPr>
            <a:solidFill>
              <a:srgbClr val="8CFF00"/>
            </a:solidFill>
            <a:ln>
              <a:noFill/>
            </a:ln>
            <a:effectLst/>
          </c:spPr>
          <c:invertIfNegative val="0"/>
          <c:val>
            <c:numRef>
              <c:f>Chrt!$K$3:$K$122</c:f>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numRef>
          </c:val>
          <c:extLst>
            <c:ext xmlns:c16="http://schemas.microsoft.com/office/drawing/2014/chart" uri="{C3380CC4-5D6E-409C-BE32-E72D297353CC}">
              <c16:uniqueId val="{00000001-CD90-4DE8-A2F4-ADE01A89DFED}"/>
            </c:ext>
          </c:extLst>
        </c:ser>
        <c:ser>
          <c:idx val="10"/>
          <c:order val="16"/>
          <c:tx>
            <c:strRef>
              <c:f>Chrt!$L$2</c:f>
              <c:strCache>
                <c:ptCount val="1"/>
                <c:pt idx="0">
                  <c:v>Rebates and Grants</c:v>
                </c:pt>
              </c:strCache>
            </c:strRef>
          </c:tx>
          <c:spPr>
            <a:solidFill>
              <a:schemeClr val="accent5">
                <a:lumMod val="60000"/>
              </a:schemeClr>
            </a:solidFill>
            <a:ln>
              <a:noFill/>
            </a:ln>
            <a:effectLst/>
          </c:spPr>
          <c:invertIfNegative val="0"/>
          <c:val>
            <c:numRef>
              <c:f>Chrt!$L$3:$L$122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9-CD90-4DE8-A2F4-ADE01A89DFED}"/>
            </c:ext>
          </c:extLst>
        </c:ser>
        <c:ser>
          <c:idx val="11"/>
          <c:order val="17"/>
          <c:tx>
            <c:strRef>
              <c:f>Chrt!$M$2</c:f>
              <c:strCache>
                <c:ptCount val="1"/>
                <c:pt idx="0">
                  <c:v>Depreciation</c:v>
                </c:pt>
              </c:strCache>
            </c:strRef>
          </c:tx>
          <c:spPr>
            <a:solidFill>
              <a:schemeClr val="accent6">
                <a:lumMod val="60000"/>
              </a:schemeClr>
            </a:solidFill>
            <a:ln>
              <a:noFill/>
            </a:ln>
            <a:effectLst/>
          </c:spPr>
          <c:invertIfNegative val="0"/>
          <c:val>
            <c:numRef>
              <c:f>Chrt!$M$3:$M$122</c:f>
              <c:numCache>
                <c:formatCode>_("$"* #,##0.00_);_("$"* \(#,##0.00\);_("$"* "-"??_);_(@_)</c:formatCode>
                <c:ptCount val="10"/>
                <c:pt idx="0">
                  <c:v>249007.50000000003</c:v>
                </c:pt>
                <c:pt idx="1">
                  <c:v>132804</c:v>
                </c:pt>
                <c:pt idx="2">
                  <c:v>33200.999999999935</c:v>
                </c:pt>
                <c:pt idx="3">
                  <c:v>0</c:v>
                </c:pt>
                <c:pt idx="4">
                  <c:v>0</c:v>
                </c:pt>
                <c:pt idx="5">
                  <c:v>0</c:v>
                </c:pt>
              </c:numCache>
            </c:numRef>
          </c:val>
          <c:extLst xmlns:c15="http://schemas.microsoft.com/office/drawing/2012/chart">
            <c:ext xmlns:c16="http://schemas.microsoft.com/office/drawing/2014/chart" uri="{C3380CC4-5D6E-409C-BE32-E72D297353CC}">
              <c16:uniqueId val="{0000000A-CD90-4DE8-A2F4-ADE01A89DFED}"/>
            </c:ext>
          </c:extLst>
        </c:ser>
        <c:dLbls>
          <c:showLegendKey val="0"/>
          <c:showVal val="0"/>
          <c:showCatName val="0"/>
          <c:showSerName val="0"/>
          <c:showPercent val="0"/>
          <c:showBubbleSize val="0"/>
        </c:dLbls>
        <c:gapWidth val="45"/>
        <c:overlap val="100"/>
        <c:axId val="1558807055"/>
        <c:axId val="1715428031"/>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r"/>
      <c:layout>
        <c:manualLayout>
          <c:xMode val="edge"/>
          <c:yMode val="edge"/>
          <c:x val="0.67512091658114048"/>
          <c:y val="5.9527428275558278E-2"/>
          <c:w val="0.32487905552191182"/>
          <c:h val="0.682738588284134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Revenues</a:t>
            </a:r>
            <a:r>
              <a:rPr lang="en-US" sz="1600" baseline="0"/>
              <a:t> and Savings Years 1-10</a:t>
            </a:r>
          </a:p>
          <a:p>
            <a:pPr>
              <a:defRPr sz="1600"/>
            </a:pPr>
            <a:r>
              <a:rPr lang="en-US" sz="1600" baseline="0"/>
              <a:t>Pre-Tax </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0-6804-4BB1-B4B5-669F7CA09BB7}"/>
            </c:ext>
          </c:extLst>
        </c:ser>
        <c:ser>
          <c:idx val="3"/>
          <c:order val="1"/>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1-6804-4BB1-B4B5-669F7CA09BB7}"/>
            </c:ext>
          </c:extLst>
        </c:ser>
        <c:ser>
          <c:idx val="4"/>
          <c:order val="2"/>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6804-4BB1-B4B5-669F7CA09BB7}"/>
            </c:ext>
          </c:extLst>
        </c:ser>
        <c:ser>
          <c:idx val="5"/>
          <c:order val="3"/>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3-6804-4BB1-B4B5-669F7CA09BB7}"/>
            </c:ext>
          </c:extLst>
        </c:ser>
        <c:ser>
          <c:idx val="6"/>
          <c:order val="4"/>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4-6804-4BB1-B4B5-669F7CA09BB7}"/>
            </c:ext>
          </c:extLst>
        </c:ser>
        <c:ser>
          <c:idx val="7"/>
          <c:order val="5"/>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5-6804-4BB1-B4B5-669F7CA09BB7}"/>
            </c:ext>
          </c:extLst>
        </c:ser>
        <c:ser>
          <c:idx val="0"/>
          <c:order val="6"/>
          <c:tx>
            <c:strRef>
              <c:f>Chrt!$H$2</c:f>
              <c:strCache>
                <c:ptCount val="1"/>
                <c:pt idx="0">
                  <c:v>#N/A</c:v>
                </c:pt>
              </c:strCache>
            </c:strRef>
          </c:tx>
          <c:spPr>
            <a:solidFill>
              <a:schemeClr val="accent1"/>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F7FA-4838-8C65-561282C89A14}"/>
            </c:ext>
          </c:extLst>
        </c:ser>
        <c:ser>
          <c:idx val="8"/>
          <c:order val="7"/>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6-6804-4BB1-B4B5-669F7CA09BB7}"/>
            </c:ext>
          </c:extLst>
        </c:ser>
        <c:ser>
          <c:idx val="9"/>
          <c:order val="8"/>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6804-4BB1-B4B5-669F7CA09BB7}"/>
            </c:ext>
          </c:extLst>
        </c:ser>
        <c:ser>
          <c:idx val="11"/>
          <c:order val="11"/>
          <c:tx>
            <c:strRef>
              <c:f>Chrt!$M$2</c:f>
              <c:strCache>
                <c:ptCount val="1"/>
                <c:pt idx="0">
                  <c:v>Depreciation</c:v>
                </c:pt>
              </c:strCache>
              <c:extLst xmlns:c15="http://schemas.microsoft.com/office/drawing/2012/chart"/>
            </c:strRef>
          </c:tx>
          <c:spPr>
            <a:solidFill>
              <a:schemeClr val="accent6">
                <a:lumMod val="60000"/>
              </a:schemeClr>
            </a:solidFill>
            <a:ln>
              <a:noFill/>
            </a:ln>
            <a:effectLst/>
          </c:spPr>
          <c:invertIfNegative val="0"/>
          <c:val>
            <c:numRef>
              <c:f>Chrt!$M$3:$M$122</c:f>
              <c:numCache>
                <c:formatCode>_("$"* #,##0.00_);_("$"* \(#,##0.00\);_("$"* "-"??_);_(@_)</c:formatCode>
                <c:ptCount val="10"/>
                <c:pt idx="0">
                  <c:v>249007.50000000003</c:v>
                </c:pt>
                <c:pt idx="1">
                  <c:v>132804</c:v>
                </c:pt>
                <c:pt idx="2">
                  <c:v>33200.999999999935</c:v>
                </c:pt>
                <c:pt idx="3">
                  <c:v>0</c:v>
                </c:pt>
                <c:pt idx="4">
                  <c:v>0</c:v>
                </c:pt>
                <c:pt idx="5">
                  <c:v>0</c:v>
                </c:pt>
              </c:numCache>
              <c:extLst xmlns:c15="http://schemas.microsoft.com/office/drawing/2012/chart"/>
            </c:numRef>
          </c:val>
          <c:extLst xmlns:c15="http://schemas.microsoft.com/office/drawing/2012/chart">
            <c:ext xmlns:c16="http://schemas.microsoft.com/office/drawing/2014/chart" uri="{C3380CC4-5D6E-409C-BE32-E72D297353CC}">
              <c16:uniqueId val="{0000000A-6804-4BB1-B4B5-669F7CA09BB7}"/>
            </c:ext>
          </c:extLst>
        </c:ser>
        <c:dLbls>
          <c:showLegendKey val="0"/>
          <c:showVal val="0"/>
          <c:showCatName val="0"/>
          <c:showSerName val="0"/>
          <c:showPercent val="0"/>
          <c:showBubbleSize val="0"/>
        </c:dLbls>
        <c:gapWidth val="45"/>
        <c:overlap val="100"/>
        <c:axId val="1558807055"/>
        <c:axId val="1715428031"/>
        <c:extLst>
          <c:ext xmlns:c15="http://schemas.microsoft.com/office/drawing/2012/chart" uri="{02D57815-91ED-43cb-92C2-25804820EDAC}">
            <c15:filteredBarSeries>
              <c15:ser>
                <c:idx val="2"/>
                <c:order val="9"/>
                <c:tx>
                  <c:strRef>
                    <c:extLst>
                      <c:ext uri="{02D57815-91ED-43cb-92C2-25804820EDAC}">
                        <c15:formulaRef>
                          <c15:sqref>Chrt!$K$2</c15:sqref>
                        </c15:formulaRef>
                      </c:ext>
                    </c:extLst>
                    <c:strCache>
                      <c:ptCount val="1"/>
                      <c:pt idx="0">
                        <c:v>SRECs</c:v>
                      </c:pt>
                    </c:strCache>
                  </c:strRef>
                </c:tx>
                <c:spPr>
                  <a:solidFill>
                    <a:srgbClr val="8CFF00"/>
                  </a:solidFill>
                  <a:ln>
                    <a:noFill/>
                  </a:ln>
                  <a:effectLst/>
                </c:spPr>
                <c:invertIfNegative val="0"/>
                <c:val>
                  <c:numRef>
                    <c:extLst>
                      <c:ext uri="{02D57815-91ED-43cb-92C2-25804820EDAC}">
                        <c15:formulaRef>
                          <c15:sqref>Chrt!$K$3:$K$122</c15:sqref>
                        </c15:formulaRef>
                      </c:ext>
                    </c:extLst>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numRef>
                </c:val>
                <c:extLst>
                  <c:ext xmlns:c16="http://schemas.microsoft.com/office/drawing/2014/chart" uri="{C3380CC4-5D6E-409C-BE32-E72D297353CC}">
                    <c16:uniqueId val="{00000008-6804-4BB1-B4B5-669F7CA09BB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Chrt!$L$2</c15:sqref>
                        </c15:formulaRef>
                      </c:ext>
                    </c:extLst>
                    <c:strCache>
                      <c:ptCount val="1"/>
                      <c:pt idx="0">
                        <c:v>Rebates and Grants</c:v>
                      </c:pt>
                    </c:strCache>
                  </c:strRef>
                </c:tx>
                <c:spPr>
                  <a:solidFill>
                    <a:schemeClr val="accent5">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Chrt!$L$3:$L$122</c15:sqref>
                        </c15:formulaRef>
                      </c:ext>
                    </c:extLst>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9-6804-4BB1-B4B5-669F7CA09BB7}"/>
                  </c:ext>
                </c:extLst>
              </c15:ser>
            </c15:filteredBarSeries>
          </c:ext>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b"/>
      <c:layout>
        <c:manualLayout>
          <c:xMode val="edge"/>
          <c:yMode val="edge"/>
          <c:x val="2.4882173083779303E-2"/>
          <c:y val="0.88404708910310947"/>
          <c:w val="0.88058613476165937"/>
          <c:h val="0.1094519549065709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a:t>Revenues</a:t>
            </a:r>
            <a:r>
              <a:rPr lang="en-US" sz="1400" baseline="0"/>
              <a:t>, Savings, Expenses </a:t>
            </a:r>
          </a:p>
          <a:p>
            <a:pPr>
              <a:defRPr sz="1600"/>
            </a:pPr>
            <a:r>
              <a:rPr lang="en-US" sz="1400" baseline="0"/>
              <a:t>Years 1-10 (Pre-Tax)</a:t>
            </a:r>
          </a:p>
          <a:p>
            <a:pPr>
              <a:defRPr sz="1600"/>
            </a:pPr>
            <a:r>
              <a:rPr lang="en-US" sz="1100" baseline="0"/>
              <a:t>(excluding rebates and depreciation)</a:t>
            </a:r>
            <a:endParaRPr lang="en-US" sz="1600" baseline="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87195011276879"/>
          <c:y val="6.4435308790717252E-2"/>
          <c:w val="0.46069984166374517"/>
          <c:h val="0.88745403367682896"/>
        </c:manualLayout>
      </c:layout>
      <c:barChart>
        <c:barDir val="col"/>
        <c:grouping val="stacked"/>
        <c:varyColors val="0"/>
        <c:ser>
          <c:idx val="16"/>
          <c:order val="0"/>
          <c:tx>
            <c:strRef>
              <c:f>Chrt!$S$2</c:f>
              <c:strCache>
                <c:ptCount val="1"/>
                <c:pt idx="0">
                  <c:v>#N/A</c:v>
                </c:pt>
              </c:strCache>
            </c:strRef>
          </c:tx>
          <c:spPr>
            <a:pattFill prst="ltDnDiag">
              <a:fgClr>
                <a:schemeClr val="bg1"/>
              </a:fgClr>
              <a:bgClr>
                <a:srgbClr val="A4A4A4"/>
              </a:bgClr>
            </a:pattFill>
            <a:ln>
              <a:noFill/>
            </a:ln>
            <a:effectLst/>
          </c:spPr>
          <c:invertIfNegative val="0"/>
          <c:val>
            <c:numRef>
              <c:f>Chrt!$S$3:$S$122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190-4514-B5E2-E40A1D24A0E4}"/>
            </c:ext>
          </c:extLst>
        </c:ser>
        <c:ser>
          <c:idx val="15"/>
          <c:order val="1"/>
          <c:tx>
            <c:strRef>
              <c:f>Chrt!$R$2</c:f>
              <c:strCache>
                <c:ptCount val="1"/>
                <c:pt idx="0">
                  <c:v>Equipment Refresh &amp; Replacement</c:v>
                </c:pt>
              </c:strCache>
            </c:strRef>
          </c:tx>
          <c:spPr>
            <a:pattFill prst="ltDnDiag">
              <a:fgClr>
                <a:schemeClr val="bg1"/>
              </a:fgClr>
              <a:bgClr>
                <a:srgbClr val="023246"/>
              </a:bgClr>
            </a:pattFill>
            <a:ln>
              <a:noFill/>
            </a:ln>
            <a:effectLst/>
          </c:spPr>
          <c:invertIfNegative val="0"/>
          <c:val>
            <c:numRef>
              <c:f>Chrt!$R$3:$R$122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190-4514-B5E2-E40A1D24A0E4}"/>
            </c:ext>
          </c:extLst>
        </c:ser>
        <c:ser>
          <c:idx val="14"/>
          <c:order val="2"/>
          <c:tx>
            <c:strRef>
              <c:f>Chrt!$Q$2</c:f>
              <c:strCache>
                <c:ptCount val="1"/>
                <c:pt idx="0">
                  <c:v>Insurance</c:v>
                </c:pt>
              </c:strCache>
            </c:strRef>
          </c:tx>
          <c:spPr>
            <a:pattFill prst="ltDnDiag">
              <a:fgClr>
                <a:schemeClr val="bg1"/>
              </a:fgClr>
              <a:bgClr>
                <a:srgbClr val="FFC000"/>
              </a:bgClr>
            </a:pattFill>
            <a:ln>
              <a:noFill/>
            </a:ln>
            <a:effectLst/>
          </c:spPr>
          <c:invertIfNegative val="0"/>
          <c:val>
            <c:numRef>
              <c:f>Chrt!$Q$3:$Q$122</c:f>
              <c:numCache>
                <c:formatCode>_("$"* #,##0.00_);_("$"* \(#,##0.00\);_("$"* "-"??_);_(@_)</c:formatCode>
                <c:ptCount val="10"/>
                <c:pt idx="0">
                  <c:v>-7500</c:v>
                </c:pt>
                <c:pt idx="1">
                  <c:v>-7500</c:v>
                </c:pt>
                <c:pt idx="2">
                  <c:v>-7500</c:v>
                </c:pt>
                <c:pt idx="3">
                  <c:v>-7500</c:v>
                </c:pt>
                <c:pt idx="4">
                  <c:v>-7500</c:v>
                </c:pt>
                <c:pt idx="5">
                  <c:v>-7500</c:v>
                </c:pt>
                <c:pt idx="6">
                  <c:v>-7500</c:v>
                </c:pt>
                <c:pt idx="7">
                  <c:v>-7500</c:v>
                </c:pt>
                <c:pt idx="8">
                  <c:v>-7500</c:v>
                </c:pt>
                <c:pt idx="9">
                  <c:v>-7500</c:v>
                </c:pt>
              </c:numCache>
            </c:numRef>
          </c:val>
          <c:extLst>
            <c:ext xmlns:c16="http://schemas.microsoft.com/office/drawing/2014/chart" uri="{C3380CC4-5D6E-409C-BE32-E72D297353CC}">
              <c16:uniqueId val="{00000002-0190-4514-B5E2-E40A1D24A0E4}"/>
            </c:ext>
          </c:extLst>
        </c:ser>
        <c:ser>
          <c:idx val="13"/>
          <c:order val="3"/>
          <c:tx>
            <c:strRef>
              <c:f>Chrt!$P$2</c:f>
              <c:strCache>
                <c:ptCount val="1"/>
                <c:pt idx="0">
                  <c:v>O&amp;M</c:v>
                </c:pt>
              </c:strCache>
            </c:strRef>
          </c:tx>
          <c:spPr>
            <a:pattFill prst="ltDnDiag">
              <a:fgClr>
                <a:schemeClr val="bg1"/>
              </a:fgClr>
              <a:bgClr>
                <a:srgbClr val="1086C0"/>
              </a:bgClr>
            </a:pattFill>
            <a:ln>
              <a:noFill/>
            </a:ln>
            <a:effectLst/>
          </c:spPr>
          <c:invertIfNegative val="0"/>
          <c:val>
            <c:numRef>
              <c:f>Chrt!$P$3:$P$122</c:f>
              <c:numCache>
                <c:formatCode>_("$"* #,##0.00_);_("$"* \(#,##0.00\);_("$"* "-"??_);_(@_)</c:formatCode>
                <c:ptCount val="10"/>
                <c:pt idx="0">
                  <c:v>-9000</c:v>
                </c:pt>
                <c:pt idx="1">
                  <c:v>-9000</c:v>
                </c:pt>
                <c:pt idx="2">
                  <c:v>-9000</c:v>
                </c:pt>
                <c:pt idx="3">
                  <c:v>-9000</c:v>
                </c:pt>
                <c:pt idx="4">
                  <c:v>-9000</c:v>
                </c:pt>
                <c:pt idx="5">
                  <c:v>-9000</c:v>
                </c:pt>
                <c:pt idx="6">
                  <c:v>-9000</c:v>
                </c:pt>
                <c:pt idx="7">
                  <c:v>-9000</c:v>
                </c:pt>
                <c:pt idx="8">
                  <c:v>-9000</c:v>
                </c:pt>
                <c:pt idx="9">
                  <c:v>-9000</c:v>
                </c:pt>
              </c:numCache>
            </c:numRef>
          </c:val>
          <c:extLst>
            <c:ext xmlns:c16="http://schemas.microsoft.com/office/drawing/2014/chart" uri="{C3380CC4-5D6E-409C-BE32-E72D297353CC}">
              <c16:uniqueId val="{00000003-0190-4514-B5E2-E40A1D24A0E4}"/>
            </c:ext>
          </c:extLst>
        </c:ser>
        <c:ser>
          <c:idx val="12"/>
          <c:order val="4"/>
          <c:tx>
            <c:strRef>
              <c:f>Chrt!$O$2</c:f>
              <c:strCache>
                <c:ptCount val="1"/>
                <c:pt idx="0">
                  <c:v>Loan Payment</c:v>
                </c:pt>
              </c:strCache>
            </c:strRef>
          </c:tx>
          <c:spPr>
            <a:pattFill prst="ltDnDiag">
              <a:fgClr>
                <a:schemeClr val="bg1"/>
              </a:fgClr>
              <a:bgClr>
                <a:srgbClr val="FF0000"/>
              </a:bgClr>
            </a:pattFill>
            <a:ln>
              <a:noFill/>
            </a:ln>
            <a:effectLst/>
          </c:spPr>
          <c:invertIfNegative val="0"/>
          <c:val>
            <c:numRef>
              <c:f>Chrt!$O$3:$O$122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0190-4514-B5E2-E40A1D24A0E4}"/>
            </c:ext>
          </c:extLst>
        </c:ser>
        <c:ser>
          <c:idx val="0"/>
          <c:order val="5"/>
          <c:tx>
            <c:strRef>
              <c:f>Chrt!$N$2</c:f>
              <c:strCache>
                <c:ptCount val="1"/>
                <c:pt idx="0">
                  <c:v>Electricity Write-off and Purchase</c:v>
                </c:pt>
              </c:strCache>
            </c:strRef>
          </c:tx>
          <c:spPr>
            <a:pattFill prst="ltDnDiag">
              <a:fgClr>
                <a:schemeClr val="bg1"/>
              </a:fgClr>
              <a:bgClr>
                <a:srgbClr val="00CD3B"/>
              </a:bgClr>
            </a:pattFill>
            <a:ln>
              <a:noFill/>
            </a:ln>
            <a:effectLst/>
          </c:spPr>
          <c:invertIfNegative val="0"/>
          <c:val>
            <c:numRef>
              <c:f>Chrt!$N$3:$N$122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0190-4514-B5E2-E40A1D24A0E4}"/>
            </c:ext>
          </c:extLst>
        </c:ser>
        <c:ser>
          <c:idx val="1"/>
          <c:order val="6"/>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6-0190-4514-B5E2-E40A1D24A0E4}"/>
            </c:ext>
          </c:extLst>
        </c:ser>
        <c:ser>
          <c:idx val="3"/>
          <c:order val="7"/>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0190-4514-B5E2-E40A1D24A0E4}"/>
            </c:ext>
          </c:extLst>
        </c:ser>
        <c:ser>
          <c:idx val="4"/>
          <c:order val="8"/>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0190-4514-B5E2-E40A1D24A0E4}"/>
            </c:ext>
          </c:extLst>
        </c:ser>
        <c:ser>
          <c:idx val="5"/>
          <c:order val="9"/>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9-0190-4514-B5E2-E40A1D24A0E4}"/>
            </c:ext>
          </c:extLst>
        </c:ser>
        <c:ser>
          <c:idx val="6"/>
          <c:order val="10"/>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A-0190-4514-B5E2-E40A1D24A0E4}"/>
            </c:ext>
          </c:extLst>
        </c:ser>
        <c:ser>
          <c:idx val="17"/>
          <c:order val="11"/>
          <c:tx>
            <c:strRef>
              <c:f>Chrt!$H$2</c:f>
              <c:strCache>
                <c:ptCount val="1"/>
                <c:pt idx="0">
                  <c:v>#N/A</c:v>
                </c:pt>
              </c:strCache>
            </c:strRef>
          </c:tx>
          <c:spPr>
            <a:solidFill>
              <a:schemeClr val="accent6">
                <a:lumMod val="80000"/>
                <a:lumOff val="20000"/>
              </a:schemeClr>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C331-486D-BFD8-F10CC8980A88}"/>
            </c:ext>
          </c:extLst>
        </c:ser>
        <c:ser>
          <c:idx val="7"/>
          <c:order val="12"/>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B-0190-4514-B5E2-E40A1D24A0E4}"/>
            </c:ext>
          </c:extLst>
        </c:ser>
        <c:ser>
          <c:idx val="8"/>
          <c:order val="13"/>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C-0190-4514-B5E2-E40A1D24A0E4}"/>
            </c:ext>
          </c:extLst>
        </c:ser>
        <c:ser>
          <c:idx val="9"/>
          <c:order val="14"/>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D-0190-4514-B5E2-E40A1D24A0E4}"/>
            </c:ext>
          </c:extLst>
        </c:ser>
        <c:ser>
          <c:idx val="11"/>
          <c:order val="17"/>
          <c:tx>
            <c:strRef>
              <c:f>Chrt!$M$2</c:f>
              <c:strCache>
                <c:ptCount val="1"/>
                <c:pt idx="0">
                  <c:v>Depreciation</c:v>
                </c:pt>
              </c:strCache>
              <c:extLst xmlns:c15="http://schemas.microsoft.com/office/drawing/2012/chart"/>
            </c:strRef>
          </c:tx>
          <c:spPr>
            <a:solidFill>
              <a:schemeClr val="accent6">
                <a:lumMod val="60000"/>
              </a:schemeClr>
            </a:solidFill>
            <a:ln>
              <a:noFill/>
            </a:ln>
            <a:effectLst/>
          </c:spPr>
          <c:invertIfNegative val="0"/>
          <c:val>
            <c:numRef>
              <c:f>Chrt!$M$3:$M$122</c:f>
              <c:numCache>
                <c:formatCode>_("$"* #,##0.00_);_("$"* \(#,##0.00\);_("$"* "-"??_);_(@_)</c:formatCode>
                <c:ptCount val="10"/>
                <c:pt idx="0">
                  <c:v>249007.50000000003</c:v>
                </c:pt>
                <c:pt idx="1">
                  <c:v>132804</c:v>
                </c:pt>
                <c:pt idx="2">
                  <c:v>33200.999999999935</c:v>
                </c:pt>
                <c:pt idx="3">
                  <c:v>0</c:v>
                </c:pt>
                <c:pt idx="4">
                  <c:v>0</c:v>
                </c:pt>
                <c:pt idx="5">
                  <c:v>0</c:v>
                </c:pt>
              </c:numCache>
              <c:extLst xmlns:c15="http://schemas.microsoft.com/office/drawing/2012/chart"/>
            </c:numRef>
          </c:val>
          <c:extLst xmlns:c15="http://schemas.microsoft.com/office/drawing/2012/chart">
            <c:ext xmlns:c16="http://schemas.microsoft.com/office/drawing/2014/chart" uri="{C3380CC4-5D6E-409C-BE32-E72D297353CC}">
              <c16:uniqueId val="{00000010-0190-4514-B5E2-E40A1D24A0E4}"/>
            </c:ext>
          </c:extLst>
        </c:ser>
        <c:dLbls>
          <c:showLegendKey val="0"/>
          <c:showVal val="0"/>
          <c:showCatName val="0"/>
          <c:showSerName val="0"/>
          <c:showPercent val="0"/>
          <c:showBubbleSize val="0"/>
        </c:dLbls>
        <c:gapWidth val="45"/>
        <c:overlap val="100"/>
        <c:axId val="1558807055"/>
        <c:axId val="1715428031"/>
        <c:extLst>
          <c:ext xmlns:c15="http://schemas.microsoft.com/office/drawing/2012/chart" uri="{02D57815-91ED-43cb-92C2-25804820EDAC}">
            <c15:filteredBarSeries>
              <c15:ser>
                <c:idx val="2"/>
                <c:order val="15"/>
                <c:tx>
                  <c:strRef>
                    <c:extLst>
                      <c:ext uri="{02D57815-91ED-43cb-92C2-25804820EDAC}">
                        <c15:formulaRef>
                          <c15:sqref>Chrt!$K$2</c15:sqref>
                        </c15:formulaRef>
                      </c:ext>
                    </c:extLst>
                    <c:strCache>
                      <c:ptCount val="1"/>
                      <c:pt idx="0">
                        <c:v>SRECs</c:v>
                      </c:pt>
                    </c:strCache>
                  </c:strRef>
                </c:tx>
                <c:spPr>
                  <a:solidFill>
                    <a:srgbClr val="8CFF00"/>
                  </a:solidFill>
                  <a:ln>
                    <a:noFill/>
                  </a:ln>
                  <a:effectLst/>
                </c:spPr>
                <c:invertIfNegative val="0"/>
                <c:val>
                  <c:numRef>
                    <c:extLst>
                      <c:ext uri="{02D57815-91ED-43cb-92C2-25804820EDAC}">
                        <c15:formulaRef>
                          <c15:sqref>Chrt!$K$3:$K$122</c15:sqref>
                        </c15:formulaRef>
                      </c:ext>
                    </c:extLst>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numRef>
                </c:val>
                <c:extLst>
                  <c:ext xmlns:c16="http://schemas.microsoft.com/office/drawing/2014/chart" uri="{C3380CC4-5D6E-409C-BE32-E72D297353CC}">
                    <c16:uniqueId val="{0000000E-0190-4514-B5E2-E40A1D24A0E4}"/>
                  </c:ext>
                </c:extLst>
              </c15:ser>
            </c15:filteredBarSeries>
            <c15:filteredBarSeries>
              <c15:ser>
                <c:idx val="10"/>
                <c:order val="16"/>
                <c:tx>
                  <c:strRef>
                    <c:extLst xmlns:c15="http://schemas.microsoft.com/office/drawing/2012/chart">
                      <c:ext xmlns:c15="http://schemas.microsoft.com/office/drawing/2012/chart" uri="{02D57815-91ED-43cb-92C2-25804820EDAC}">
                        <c15:formulaRef>
                          <c15:sqref>Chrt!$L$2</c15:sqref>
                        </c15:formulaRef>
                      </c:ext>
                    </c:extLst>
                    <c:strCache>
                      <c:ptCount val="1"/>
                      <c:pt idx="0">
                        <c:v>Rebates and Grants</c:v>
                      </c:pt>
                    </c:strCache>
                  </c:strRef>
                </c:tx>
                <c:spPr>
                  <a:solidFill>
                    <a:schemeClr val="accent5">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Chrt!$L$3:$L$122</c15:sqref>
                        </c15:formulaRef>
                      </c:ext>
                    </c:extLst>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F-0190-4514-B5E2-E40A1D24A0E4}"/>
                  </c:ext>
                </c:extLst>
              </c15:ser>
            </c15:filteredBarSeries>
          </c:ext>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r"/>
      <c:layout>
        <c:manualLayout>
          <c:xMode val="edge"/>
          <c:yMode val="edge"/>
          <c:x val="0.67512091658114048"/>
          <c:y val="5.9527428275558278E-2"/>
          <c:w val="0.32487900079180415"/>
          <c:h val="0.606878745141452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a:t>Revenues</a:t>
            </a:r>
            <a:r>
              <a:rPr lang="en-US" sz="1400" baseline="0"/>
              <a:t>, Savings, Expenses </a:t>
            </a:r>
          </a:p>
          <a:p>
            <a:pPr>
              <a:defRPr sz="1600"/>
            </a:pPr>
            <a:r>
              <a:rPr lang="en-US" sz="1400" baseline="0"/>
              <a:t>Years 1-10 (Pre-Tax)</a:t>
            </a:r>
          </a:p>
          <a:p>
            <a:pPr>
              <a:defRPr sz="1600"/>
            </a:pPr>
            <a:r>
              <a:rPr lang="en-US" sz="1100" baseline="0"/>
              <a:t>(excluding rebates and depreciation)</a:t>
            </a:r>
            <a:endParaRPr lang="en-US" sz="1600" baseline="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87195011276879"/>
          <c:y val="6.4435308790717252E-2"/>
          <c:w val="0.46069984166374517"/>
          <c:h val="0.88745403367682896"/>
        </c:manualLayout>
      </c:layout>
      <c:barChart>
        <c:barDir val="col"/>
        <c:grouping val="stacked"/>
        <c:varyColors val="0"/>
        <c:ser>
          <c:idx val="16"/>
          <c:order val="0"/>
          <c:tx>
            <c:strRef>
              <c:f>Chrt!$S$2</c:f>
              <c:strCache>
                <c:ptCount val="1"/>
                <c:pt idx="0">
                  <c:v>#N/A</c:v>
                </c:pt>
              </c:strCache>
            </c:strRef>
          </c:tx>
          <c:spPr>
            <a:pattFill prst="ltDnDiag">
              <a:fgClr>
                <a:schemeClr val="bg1"/>
              </a:fgClr>
              <a:bgClr>
                <a:srgbClr val="A4A4A4"/>
              </a:bgClr>
            </a:pattFill>
            <a:ln>
              <a:noFill/>
            </a:ln>
            <a:effectLst/>
          </c:spPr>
          <c:invertIfNegative val="0"/>
          <c:val>
            <c:numRef>
              <c:f>Chrt!$S$3:$S$122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89E-4EB0-B3FC-C86E1CBCFBCC}"/>
            </c:ext>
          </c:extLst>
        </c:ser>
        <c:ser>
          <c:idx val="15"/>
          <c:order val="1"/>
          <c:tx>
            <c:strRef>
              <c:f>Chrt!$R$2</c:f>
              <c:strCache>
                <c:ptCount val="1"/>
                <c:pt idx="0">
                  <c:v>Equipment Refresh &amp; Replacement</c:v>
                </c:pt>
              </c:strCache>
            </c:strRef>
          </c:tx>
          <c:spPr>
            <a:pattFill prst="ltDnDiag">
              <a:fgClr>
                <a:schemeClr val="bg1"/>
              </a:fgClr>
              <a:bgClr>
                <a:srgbClr val="023246"/>
              </a:bgClr>
            </a:pattFill>
            <a:ln>
              <a:noFill/>
            </a:ln>
            <a:effectLst/>
          </c:spPr>
          <c:invertIfNegative val="0"/>
          <c:val>
            <c:numRef>
              <c:f>Chrt!$R$3:$R$122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89E-4EB0-B3FC-C86E1CBCFBCC}"/>
            </c:ext>
          </c:extLst>
        </c:ser>
        <c:ser>
          <c:idx val="14"/>
          <c:order val="2"/>
          <c:tx>
            <c:strRef>
              <c:f>Chrt!$Q$2</c:f>
              <c:strCache>
                <c:ptCount val="1"/>
                <c:pt idx="0">
                  <c:v>Insurance</c:v>
                </c:pt>
              </c:strCache>
            </c:strRef>
          </c:tx>
          <c:spPr>
            <a:pattFill prst="ltDnDiag">
              <a:fgClr>
                <a:schemeClr val="bg1"/>
              </a:fgClr>
              <a:bgClr>
                <a:srgbClr val="FFC000"/>
              </a:bgClr>
            </a:pattFill>
            <a:ln>
              <a:noFill/>
            </a:ln>
            <a:effectLst/>
          </c:spPr>
          <c:invertIfNegative val="0"/>
          <c:val>
            <c:numRef>
              <c:f>Chrt!$Q$3:$Q$122</c:f>
              <c:numCache>
                <c:formatCode>_("$"* #,##0.00_);_("$"* \(#,##0.00\);_("$"* "-"??_);_(@_)</c:formatCode>
                <c:ptCount val="10"/>
                <c:pt idx="0">
                  <c:v>-7500</c:v>
                </c:pt>
                <c:pt idx="1">
                  <c:v>-7500</c:v>
                </c:pt>
                <c:pt idx="2">
                  <c:v>-7500</c:v>
                </c:pt>
                <c:pt idx="3">
                  <c:v>-7500</c:v>
                </c:pt>
                <c:pt idx="4">
                  <c:v>-7500</c:v>
                </c:pt>
                <c:pt idx="5">
                  <c:v>-7500</c:v>
                </c:pt>
                <c:pt idx="6">
                  <c:v>-7500</c:v>
                </c:pt>
                <c:pt idx="7">
                  <c:v>-7500</c:v>
                </c:pt>
                <c:pt idx="8">
                  <c:v>-7500</c:v>
                </c:pt>
                <c:pt idx="9">
                  <c:v>-7500</c:v>
                </c:pt>
              </c:numCache>
            </c:numRef>
          </c:val>
          <c:extLst>
            <c:ext xmlns:c16="http://schemas.microsoft.com/office/drawing/2014/chart" uri="{C3380CC4-5D6E-409C-BE32-E72D297353CC}">
              <c16:uniqueId val="{00000002-789E-4EB0-B3FC-C86E1CBCFBCC}"/>
            </c:ext>
          </c:extLst>
        </c:ser>
        <c:ser>
          <c:idx val="13"/>
          <c:order val="3"/>
          <c:tx>
            <c:strRef>
              <c:f>Chrt!$P$2</c:f>
              <c:strCache>
                <c:ptCount val="1"/>
                <c:pt idx="0">
                  <c:v>O&amp;M</c:v>
                </c:pt>
              </c:strCache>
            </c:strRef>
          </c:tx>
          <c:spPr>
            <a:pattFill prst="ltDnDiag">
              <a:fgClr>
                <a:schemeClr val="bg1"/>
              </a:fgClr>
              <a:bgClr>
                <a:srgbClr val="1086C0"/>
              </a:bgClr>
            </a:pattFill>
            <a:ln>
              <a:noFill/>
            </a:ln>
            <a:effectLst/>
          </c:spPr>
          <c:invertIfNegative val="0"/>
          <c:val>
            <c:numRef>
              <c:f>Chrt!$P$3:$P$122</c:f>
              <c:numCache>
                <c:formatCode>_("$"* #,##0.00_);_("$"* \(#,##0.00\);_("$"* "-"??_);_(@_)</c:formatCode>
                <c:ptCount val="10"/>
                <c:pt idx="0">
                  <c:v>-9000</c:v>
                </c:pt>
                <c:pt idx="1">
                  <c:v>-9000</c:v>
                </c:pt>
                <c:pt idx="2">
                  <c:v>-9000</c:v>
                </c:pt>
                <c:pt idx="3">
                  <c:v>-9000</c:v>
                </c:pt>
                <c:pt idx="4">
                  <c:v>-9000</c:v>
                </c:pt>
                <c:pt idx="5">
                  <c:v>-9000</c:v>
                </c:pt>
                <c:pt idx="6">
                  <c:v>-9000</c:v>
                </c:pt>
                <c:pt idx="7">
                  <c:v>-9000</c:v>
                </c:pt>
                <c:pt idx="8">
                  <c:v>-9000</c:v>
                </c:pt>
                <c:pt idx="9">
                  <c:v>-9000</c:v>
                </c:pt>
              </c:numCache>
            </c:numRef>
          </c:val>
          <c:extLst>
            <c:ext xmlns:c16="http://schemas.microsoft.com/office/drawing/2014/chart" uri="{C3380CC4-5D6E-409C-BE32-E72D297353CC}">
              <c16:uniqueId val="{00000003-789E-4EB0-B3FC-C86E1CBCFBCC}"/>
            </c:ext>
          </c:extLst>
        </c:ser>
        <c:ser>
          <c:idx val="12"/>
          <c:order val="4"/>
          <c:tx>
            <c:strRef>
              <c:f>Chrt!$O$2</c:f>
              <c:strCache>
                <c:ptCount val="1"/>
                <c:pt idx="0">
                  <c:v>Loan Payment</c:v>
                </c:pt>
              </c:strCache>
            </c:strRef>
          </c:tx>
          <c:spPr>
            <a:pattFill prst="ltDnDiag">
              <a:fgClr>
                <a:schemeClr val="bg1"/>
              </a:fgClr>
              <a:bgClr>
                <a:srgbClr val="FF0000"/>
              </a:bgClr>
            </a:pattFill>
            <a:ln>
              <a:noFill/>
            </a:ln>
            <a:effectLst/>
          </c:spPr>
          <c:invertIfNegative val="0"/>
          <c:val>
            <c:numRef>
              <c:f>Chrt!$O$3:$O$122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789E-4EB0-B3FC-C86E1CBCFBCC}"/>
            </c:ext>
          </c:extLst>
        </c:ser>
        <c:ser>
          <c:idx val="0"/>
          <c:order val="5"/>
          <c:tx>
            <c:strRef>
              <c:f>Chrt!$N$2</c:f>
              <c:strCache>
                <c:ptCount val="1"/>
                <c:pt idx="0">
                  <c:v>Electricity Write-off and Purchase</c:v>
                </c:pt>
              </c:strCache>
            </c:strRef>
          </c:tx>
          <c:spPr>
            <a:pattFill prst="ltDnDiag">
              <a:fgClr>
                <a:schemeClr val="bg1"/>
              </a:fgClr>
              <a:bgClr>
                <a:srgbClr val="00CD3B"/>
              </a:bgClr>
            </a:pattFill>
            <a:ln>
              <a:noFill/>
            </a:ln>
            <a:effectLst/>
          </c:spPr>
          <c:invertIfNegative val="0"/>
          <c:val>
            <c:numRef>
              <c:f>Chrt!$N$3:$N$122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789E-4EB0-B3FC-C86E1CBCFBCC}"/>
            </c:ext>
          </c:extLst>
        </c:ser>
        <c:ser>
          <c:idx val="1"/>
          <c:order val="6"/>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6-789E-4EB0-B3FC-C86E1CBCFBCC}"/>
            </c:ext>
          </c:extLst>
        </c:ser>
        <c:ser>
          <c:idx val="3"/>
          <c:order val="7"/>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789E-4EB0-B3FC-C86E1CBCFBCC}"/>
            </c:ext>
          </c:extLst>
        </c:ser>
        <c:ser>
          <c:idx val="4"/>
          <c:order val="8"/>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789E-4EB0-B3FC-C86E1CBCFBCC}"/>
            </c:ext>
          </c:extLst>
        </c:ser>
        <c:ser>
          <c:idx val="5"/>
          <c:order val="9"/>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9-789E-4EB0-B3FC-C86E1CBCFBCC}"/>
            </c:ext>
          </c:extLst>
        </c:ser>
        <c:ser>
          <c:idx val="6"/>
          <c:order val="10"/>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A-789E-4EB0-B3FC-C86E1CBCFBCC}"/>
            </c:ext>
          </c:extLst>
        </c:ser>
        <c:ser>
          <c:idx val="17"/>
          <c:order val="11"/>
          <c:tx>
            <c:strRef>
              <c:f>Chrt!$H$2</c:f>
              <c:strCache>
                <c:ptCount val="1"/>
                <c:pt idx="0">
                  <c:v>#N/A</c:v>
                </c:pt>
              </c:strCache>
            </c:strRef>
          </c:tx>
          <c:spPr>
            <a:solidFill>
              <a:schemeClr val="accent6">
                <a:lumMod val="80000"/>
                <a:lumOff val="20000"/>
              </a:schemeClr>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B-789E-4EB0-B3FC-C86E1CBCFBCC}"/>
            </c:ext>
          </c:extLst>
        </c:ser>
        <c:ser>
          <c:idx val="7"/>
          <c:order val="12"/>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C-789E-4EB0-B3FC-C86E1CBCFBCC}"/>
            </c:ext>
          </c:extLst>
        </c:ser>
        <c:ser>
          <c:idx val="8"/>
          <c:order val="13"/>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D-789E-4EB0-B3FC-C86E1CBCFBCC}"/>
            </c:ext>
          </c:extLst>
        </c:ser>
        <c:ser>
          <c:idx val="9"/>
          <c:order val="14"/>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E-789E-4EB0-B3FC-C86E1CBCFBCC}"/>
            </c:ext>
          </c:extLst>
        </c:ser>
        <c:ser>
          <c:idx val="2"/>
          <c:order val="15"/>
          <c:tx>
            <c:strRef>
              <c:f>Chrt!$K$2</c:f>
              <c:strCache>
                <c:ptCount val="1"/>
                <c:pt idx="0">
                  <c:v>SRECs</c:v>
                </c:pt>
              </c:strCache>
              <c:extLst xmlns:c15="http://schemas.microsoft.com/office/drawing/2012/chart"/>
            </c:strRef>
          </c:tx>
          <c:spPr>
            <a:solidFill>
              <a:srgbClr val="8CFF00"/>
            </a:solidFill>
            <a:ln>
              <a:noFill/>
            </a:ln>
            <a:effectLst/>
          </c:spPr>
          <c:invertIfNegative val="0"/>
          <c:val>
            <c:numRef>
              <c:f>Chrt!$K$3:$K$122</c:f>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extLst xmlns:c15="http://schemas.microsoft.com/office/drawing/2012/chart"/>
            </c:numRef>
          </c:val>
          <c:extLst xmlns:c15="http://schemas.microsoft.com/office/drawing/2012/chart">
            <c:ext xmlns:c16="http://schemas.microsoft.com/office/drawing/2014/chart" uri="{C3380CC4-5D6E-409C-BE32-E72D297353CC}">
              <c16:uniqueId val="{0000000F-789E-4EB0-B3FC-C86E1CBCFBCC}"/>
            </c:ext>
          </c:extLst>
        </c:ser>
        <c:dLbls>
          <c:showLegendKey val="0"/>
          <c:showVal val="0"/>
          <c:showCatName val="0"/>
          <c:showSerName val="0"/>
          <c:showPercent val="0"/>
          <c:showBubbleSize val="0"/>
        </c:dLbls>
        <c:gapWidth val="45"/>
        <c:overlap val="100"/>
        <c:axId val="1558807055"/>
        <c:axId val="1715428031"/>
        <c:extLst>
          <c:ext xmlns:c15="http://schemas.microsoft.com/office/drawing/2012/chart" uri="{02D57815-91ED-43cb-92C2-25804820EDAC}">
            <c15:filteredBarSeries>
              <c15:ser>
                <c:idx val="10"/>
                <c:order val="16"/>
                <c:tx>
                  <c:strRef>
                    <c:extLst>
                      <c:ext uri="{02D57815-91ED-43cb-92C2-25804820EDAC}">
                        <c15:formulaRef>
                          <c15:sqref>Chrt!$L$2</c15:sqref>
                        </c15:formulaRef>
                      </c:ext>
                    </c:extLst>
                    <c:strCache>
                      <c:ptCount val="1"/>
                      <c:pt idx="0">
                        <c:v>Rebates and Grants</c:v>
                      </c:pt>
                    </c:strCache>
                  </c:strRef>
                </c:tx>
                <c:spPr>
                  <a:solidFill>
                    <a:schemeClr val="accent5">
                      <a:lumMod val="60000"/>
                    </a:schemeClr>
                  </a:solidFill>
                  <a:ln>
                    <a:noFill/>
                  </a:ln>
                  <a:effectLst/>
                </c:spPr>
                <c:invertIfNegative val="0"/>
                <c:val>
                  <c:numRef>
                    <c:extLst>
                      <c:ext uri="{02D57815-91ED-43cb-92C2-25804820EDAC}">
                        <c15:formulaRef>
                          <c15:sqref>Chrt!$L$3:$L$122</c15:sqref>
                        </c15:formulaRef>
                      </c:ext>
                    </c:extLst>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789E-4EB0-B3FC-C86E1CBCFBCC}"/>
                  </c:ext>
                </c:extLst>
              </c15:ser>
            </c15:filteredBarSeries>
            <c15:filteredBarSeries>
              <c15:ser>
                <c:idx val="11"/>
                <c:order val="17"/>
                <c:tx>
                  <c:strRef>
                    <c:extLst xmlns:c15="http://schemas.microsoft.com/office/drawing/2012/chart">
                      <c:ext xmlns:c15="http://schemas.microsoft.com/office/drawing/2012/chart" uri="{02D57815-91ED-43cb-92C2-25804820EDAC}">
                        <c15:formulaRef>
                          <c15:sqref>Chrt!$M$2</c15:sqref>
                        </c15:formulaRef>
                      </c:ext>
                    </c:extLst>
                    <c:strCache>
                      <c:ptCount val="1"/>
                      <c:pt idx="0">
                        <c:v>Depreciation</c:v>
                      </c:pt>
                    </c:strCache>
                  </c:strRef>
                </c:tx>
                <c:spPr>
                  <a:solidFill>
                    <a:schemeClr val="accent6">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Chrt!$M$3:$M$122</c15:sqref>
                        </c15:formulaRef>
                      </c:ext>
                    </c:extLst>
                    <c:numCache>
                      <c:formatCode>_("$"* #,##0.00_);_("$"* \(#,##0.00\);_("$"* "-"??_);_(@_)</c:formatCode>
                      <c:ptCount val="10"/>
                      <c:pt idx="0">
                        <c:v>249007.50000000003</c:v>
                      </c:pt>
                      <c:pt idx="1">
                        <c:v>132804</c:v>
                      </c:pt>
                      <c:pt idx="2">
                        <c:v>33200.999999999935</c:v>
                      </c:pt>
                      <c:pt idx="3">
                        <c:v>0</c:v>
                      </c:pt>
                      <c:pt idx="4">
                        <c:v>0</c:v>
                      </c:pt>
                      <c:pt idx="5">
                        <c:v>0</c:v>
                      </c:pt>
                    </c:numCache>
                  </c:numRef>
                </c:val>
                <c:extLst xmlns:c15="http://schemas.microsoft.com/office/drawing/2012/chart">
                  <c:ext xmlns:c16="http://schemas.microsoft.com/office/drawing/2014/chart" uri="{C3380CC4-5D6E-409C-BE32-E72D297353CC}">
                    <c16:uniqueId val="{00000011-789E-4EB0-B3FC-C86E1CBCFBCC}"/>
                  </c:ext>
                </c:extLst>
              </c15:ser>
            </c15:filteredBarSeries>
          </c:ext>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r"/>
      <c:layout>
        <c:manualLayout>
          <c:xMode val="edge"/>
          <c:yMode val="edge"/>
          <c:x val="0.67512091658114048"/>
          <c:y val="5.9527428275558278E-2"/>
          <c:w val="0.32487900079180415"/>
          <c:h val="0.92902994405392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a:t>Revenues</a:t>
            </a:r>
            <a:r>
              <a:rPr lang="en-US" sz="1400" baseline="0"/>
              <a:t>, Savings, Expenses </a:t>
            </a:r>
          </a:p>
          <a:p>
            <a:pPr>
              <a:defRPr sz="1600"/>
            </a:pPr>
            <a:r>
              <a:rPr lang="en-US" sz="1400" baseline="0"/>
              <a:t>Years 1-10 (Pre-Tax )</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87195011276879"/>
          <c:y val="6.4435308790717252E-2"/>
          <c:w val="0.46069984166374517"/>
          <c:h val="0.88745403367682896"/>
        </c:manualLayout>
      </c:layout>
      <c:barChart>
        <c:barDir val="col"/>
        <c:grouping val="stacked"/>
        <c:varyColors val="0"/>
        <c:ser>
          <c:idx val="16"/>
          <c:order val="0"/>
          <c:tx>
            <c:strRef>
              <c:f>Chrt!$S$2</c:f>
              <c:strCache>
                <c:ptCount val="1"/>
                <c:pt idx="0">
                  <c:v>#N/A</c:v>
                </c:pt>
              </c:strCache>
            </c:strRef>
          </c:tx>
          <c:spPr>
            <a:pattFill prst="ltDnDiag">
              <a:fgClr>
                <a:schemeClr val="bg1"/>
              </a:fgClr>
              <a:bgClr>
                <a:srgbClr val="A4A4A4"/>
              </a:bgClr>
            </a:pattFill>
            <a:ln>
              <a:noFill/>
            </a:ln>
            <a:effectLst/>
          </c:spPr>
          <c:invertIfNegative val="0"/>
          <c:val>
            <c:numRef>
              <c:f>Chrt!$S$3:$S$122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F2A-46EF-9BF2-8EDB1F121296}"/>
            </c:ext>
          </c:extLst>
        </c:ser>
        <c:ser>
          <c:idx val="15"/>
          <c:order val="1"/>
          <c:tx>
            <c:strRef>
              <c:f>Chrt!$R$2</c:f>
              <c:strCache>
                <c:ptCount val="1"/>
                <c:pt idx="0">
                  <c:v>Equipment Refresh &amp; Replacement</c:v>
                </c:pt>
              </c:strCache>
            </c:strRef>
          </c:tx>
          <c:spPr>
            <a:pattFill prst="ltDnDiag">
              <a:fgClr>
                <a:schemeClr val="bg1"/>
              </a:fgClr>
              <a:bgClr>
                <a:srgbClr val="023246"/>
              </a:bgClr>
            </a:pattFill>
            <a:ln>
              <a:noFill/>
            </a:ln>
            <a:effectLst/>
          </c:spPr>
          <c:invertIfNegative val="0"/>
          <c:val>
            <c:numRef>
              <c:f>Chrt!$R$3:$R$122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F2A-46EF-9BF2-8EDB1F121296}"/>
            </c:ext>
          </c:extLst>
        </c:ser>
        <c:ser>
          <c:idx val="14"/>
          <c:order val="2"/>
          <c:tx>
            <c:strRef>
              <c:f>Chrt!$Q$2</c:f>
              <c:strCache>
                <c:ptCount val="1"/>
                <c:pt idx="0">
                  <c:v>Insurance</c:v>
                </c:pt>
              </c:strCache>
            </c:strRef>
          </c:tx>
          <c:spPr>
            <a:pattFill prst="ltDnDiag">
              <a:fgClr>
                <a:schemeClr val="bg1"/>
              </a:fgClr>
              <a:bgClr>
                <a:srgbClr val="FFC000"/>
              </a:bgClr>
            </a:pattFill>
            <a:ln>
              <a:noFill/>
            </a:ln>
            <a:effectLst/>
          </c:spPr>
          <c:invertIfNegative val="0"/>
          <c:val>
            <c:numRef>
              <c:f>Chrt!$Q$3:$Q$122</c:f>
              <c:numCache>
                <c:formatCode>_("$"* #,##0.00_);_("$"* \(#,##0.00\);_("$"* "-"??_);_(@_)</c:formatCode>
                <c:ptCount val="10"/>
                <c:pt idx="0">
                  <c:v>-7500</c:v>
                </c:pt>
                <c:pt idx="1">
                  <c:v>-7500</c:v>
                </c:pt>
                <c:pt idx="2">
                  <c:v>-7500</c:v>
                </c:pt>
                <c:pt idx="3">
                  <c:v>-7500</c:v>
                </c:pt>
                <c:pt idx="4">
                  <c:v>-7500</c:v>
                </c:pt>
                <c:pt idx="5">
                  <c:v>-7500</c:v>
                </c:pt>
                <c:pt idx="6">
                  <c:v>-7500</c:v>
                </c:pt>
                <c:pt idx="7">
                  <c:v>-7500</c:v>
                </c:pt>
                <c:pt idx="8">
                  <c:v>-7500</c:v>
                </c:pt>
                <c:pt idx="9">
                  <c:v>-7500</c:v>
                </c:pt>
              </c:numCache>
            </c:numRef>
          </c:val>
          <c:extLst>
            <c:ext xmlns:c16="http://schemas.microsoft.com/office/drawing/2014/chart" uri="{C3380CC4-5D6E-409C-BE32-E72D297353CC}">
              <c16:uniqueId val="{00000002-CF2A-46EF-9BF2-8EDB1F121296}"/>
            </c:ext>
          </c:extLst>
        </c:ser>
        <c:ser>
          <c:idx val="13"/>
          <c:order val="3"/>
          <c:tx>
            <c:strRef>
              <c:f>Chrt!$P$2</c:f>
              <c:strCache>
                <c:ptCount val="1"/>
                <c:pt idx="0">
                  <c:v>O&amp;M</c:v>
                </c:pt>
              </c:strCache>
            </c:strRef>
          </c:tx>
          <c:spPr>
            <a:pattFill prst="ltDnDiag">
              <a:fgClr>
                <a:schemeClr val="bg1"/>
              </a:fgClr>
              <a:bgClr>
                <a:srgbClr val="1086C0"/>
              </a:bgClr>
            </a:pattFill>
            <a:ln>
              <a:noFill/>
            </a:ln>
            <a:effectLst/>
          </c:spPr>
          <c:invertIfNegative val="0"/>
          <c:val>
            <c:numRef>
              <c:f>Chrt!$P$3:$P$122</c:f>
              <c:numCache>
                <c:formatCode>_("$"* #,##0.00_);_("$"* \(#,##0.00\);_("$"* "-"??_);_(@_)</c:formatCode>
                <c:ptCount val="10"/>
                <c:pt idx="0">
                  <c:v>-9000</c:v>
                </c:pt>
                <c:pt idx="1">
                  <c:v>-9000</c:v>
                </c:pt>
                <c:pt idx="2">
                  <c:v>-9000</c:v>
                </c:pt>
                <c:pt idx="3">
                  <c:v>-9000</c:v>
                </c:pt>
                <c:pt idx="4">
                  <c:v>-9000</c:v>
                </c:pt>
                <c:pt idx="5">
                  <c:v>-9000</c:v>
                </c:pt>
                <c:pt idx="6">
                  <c:v>-9000</c:v>
                </c:pt>
                <c:pt idx="7">
                  <c:v>-9000</c:v>
                </c:pt>
                <c:pt idx="8">
                  <c:v>-9000</c:v>
                </c:pt>
                <c:pt idx="9">
                  <c:v>-9000</c:v>
                </c:pt>
              </c:numCache>
            </c:numRef>
          </c:val>
          <c:extLst>
            <c:ext xmlns:c16="http://schemas.microsoft.com/office/drawing/2014/chart" uri="{C3380CC4-5D6E-409C-BE32-E72D297353CC}">
              <c16:uniqueId val="{00000003-CF2A-46EF-9BF2-8EDB1F121296}"/>
            </c:ext>
          </c:extLst>
        </c:ser>
        <c:ser>
          <c:idx val="12"/>
          <c:order val="4"/>
          <c:tx>
            <c:strRef>
              <c:f>Chrt!$O$2</c:f>
              <c:strCache>
                <c:ptCount val="1"/>
                <c:pt idx="0">
                  <c:v>Loan Payment</c:v>
                </c:pt>
              </c:strCache>
            </c:strRef>
          </c:tx>
          <c:spPr>
            <a:pattFill prst="ltDnDiag">
              <a:fgClr>
                <a:schemeClr val="bg1"/>
              </a:fgClr>
              <a:bgClr>
                <a:srgbClr val="FF0000"/>
              </a:bgClr>
            </a:pattFill>
            <a:ln>
              <a:noFill/>
            </a:ln>
            <a:effectLst/>
          </c:spPr>
          <c:invertIfNegative val="0"/>
          <c:val>
            <c:numRef>
              <c:f>Chrt!$O$3:$O$122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F2A-46EF-9BF2-8EDB1F121296}"/>
            </c:ext>
          </c:extLst>
        </c:ser>
        <c:ser>
          <c:idx val="0"/>
          <c:order val="5"/>
          <c:tx>
            <c:strRef>
              <c:f>Chrt!$N$2</c:f>
              <c:strCache>
                <c:ptCount val="1"/>
                <c:pt idx="0">
                  <c:v>Electricity Write-off and Purchase</c:v>
                </c:pt>
              </c:strCache>
            </c:strRef>
          </c:tx>
          <c:spPr>
            <a:pattFill prst="ltDnDiag">
              <a:fgClr>
                <a:schemeClr val="bg1"/>
              </a:fgClr>
              <a:bgClr>
                <a:srgbClr val="00CD3B"/>
              </a:bgClr>
            </a:pattFill>
            <a:ln>
              <a:noFill/>
            </a:ln>
            <a:effectLst/>
          </c:spPr>
          <c:invertIfNegative val="0"/>
          <c:val>
            <c:numRef>
              <c:f>Chrt!$N$3:$N$122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CF2A-46EF-9BF2-8EDB1F121296}"/>
            </c:ext>
          </c:extLst>
        </c:ser>
        <c:ser>
          <c:idx val="1"/>
          <c:order val="6"/>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6-CF2A-46EF-9BF2-8EDB1F121296}"/>
            </c:ext>
          </c:extLst>
        </c:ser>
        <c:ser>
          <c:idx val="3"/>
          <c:order val="7"/>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CF2A-46EF-9BF2-8EDB1F121296}"/>
            </c:ext>
          </c:extLst>
        </c:ser>
        <c:ser>
          <c:idx val="4"/>
          <c:order val="8"/>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CF2A-46EF-9BF2-8EDB1F121296}"/>
            </c:ext>
          </c:extLst>
        </c:ser>
        <c:ser>
          <c:idx val="5"/>
          <c:order val="9"/>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9-CF2A-46EF-9BF2-8EDB1F121296}"/>
            </c:ext>
          </c:extLst>
        </c:ser>
        <c:ser>
          <c:idx val="6"/>
          <c:order val="10"/>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A-CF2A-46EF-9BF2-8EDB1F121296}"/>
            </c:ext>
          </c:extLst>
        </c:ser>
        <c:ser>
          <c:idx val="17"/>
          <c:order val="11"/>
          <c:tx>
            <c:strRef>
              <c:f>Chrt!$H$2</c:f>
              <c:strCache>
                <c:ptCount val="1"/>
                <c:pt idx="0">
                  <c:v>#N/A</c:v>
                </c:pt>
              </c:strCache>
            </c:strRef>
          </c:tx>
          <c:spPr>
            <a:solidFill>
              <a:schemeClr val="accent6">
                <a:lumMod val="80000"/>
                <a:lumOff val="20000"/>
              </a:schemeClr>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B-CF2A-46EF-9BF2-8EDB1F121296}"/>
            </c:ext>
          </c:extLst>
        </c:ser>
        <c:ser>
          <c:idx val="7"/>
          <c:order val="12"/>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C-CF2A-46EF-9BF2-8EDB1F121296}"/>
            </c:ext>
          </c:extLst>
        </c:ser>
        <c:ser>
          <c:idx val="8"/>
          <c:order val="13"/>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D-CF2A-46EF-9BF2-8EDB1F121296}"/>
            </c:ext>
          </c:extLst>
        </c:ser>
        <c:ser>
          <c:idx val="9"/>
          <c:order val="14"/>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E-CF2A-46EF-9BF2-8EDB1F121296}"/>
            </c:ext>
          </c:extLst>
        </c:ser>
        <c:ser>
          <c:idx val="2"/>
          <c:order val="15"/>
          <c:tx>
            <c:strRef>
              <c:f>Chrt!$K$2</c:f>
              <c:strCache>
                <c:ptCount val="1"/>
                <c:pt idx="0">
                  <c:v>SRECs</c:v>
                </c:pt>
              </c:strCache>
            </c:strRef>
          </c:tx>
          <c:spPr>
            <a:solidFill>
              <a:srgbClr val="8CFF00"/>
            </a:solidFill>
            <a:ln>
              <a:noFill/>
            </a:ln>
            <a:effectLst/>
          </c:spPr>
          <c:invertIfNegative val="0"/>
          <c:val>
            <c:numRef>
              <c:f>Chrt!$K$3:$K$122</c:f>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numRef>
          </c:val>
          <c:extLst>
            <c:ext xmlns:c16="http://schemas.microsoft.com/office/drawing/2014/chart" uri="{C3380CC4-5D6E-409C-BE32-E72D297353CC}">
              <c16:uniqueId val="{0000000F-CF2A-46EF-9BF2-8EDB1F121296}"/>
            </c:ext>
          </c:extLst>
        </c:ser>
        <c:ser>
          <c:idx val="10"/>
          <c:order val="16"/>
          <c:tx>
            <c:strRef>
              <c:f>Chrt!$L$2</c:f>
              <c:strCache>
                <c:ptCount val="1"/>
                <c:pt idx="0">
                  <c:v>Rebates and Grants</c:v>
                </c:pt>
              </c:strCache>
            </c:strRef>
          </c:tx>
          <c:spPr>
            <a:solidFill>
              <a:schemeClr val="accent5">
                <a:lumMod val="60000"/>
              </a:schemeClr>
            </a:solidFill>
            <a:ln>
              <a:noFill/>
            </a:ln>
            <a:effectLst/>
          </c:spPr>
          <c:invertIfNegative val="0"/>
          <c:val>
            <c:numRef>
              <c:f>Chrt!$L$3:$L$122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10-CF2A-46EF-9BF2-8EDB1F121296}"/>
            </c:ext>
          </c:extLst>
        </c:ser>
        <c:ser>
          <c:idx val="11"/>
          <c:order val="17"/>
          <c:tx>
            <c:strRef>
              <c:f>Chrt!$M$2</c:f>
              <c:strCache>
                <c:ptCount val="1"/>
                <c:pt idx="0">
                  <c:v>Depreciation</c:v>
                </c:pt>
              </c:strCache>
            </c:strRef>
          </c:tx>
          <c:spPr>
            <a:solidFill>
              <a:schemeClr val="accent6">
                <a:lumMod val="60000"/>
              </a:schemeClr>
            </a:solidFill>
            <a:ln>
              <a:noFill/>
            </a:ln>
            <a:effectLst/>
          </c:spPr>
          <c:invertIfNegative val="0"/>
          <c:val>
            <c:numRef>
              <c:f>Chrt!$M$3:$M$122</c:f>
              <c:numCache>
                <c:formatCode>_("$"* #,##0.00_);_("$"* \(#,##0.00\);_("$"* "-"??_);_(@_)</c:formatCode>
                <c:ptCount val="10"/>
                <c:pt idx="0">
                  <c:v>249007.50000000003</c:v>
                </c:pt>
                <c:pt idx="1">
                  <c:v>132804</c:v>
                </c:pt>
                <c:pt idx="2">
                  <c:v>33200.999999999935</c:v>
                </c:pt>
                <c:pt idx="3">
                  <c:v>0</c:v>
                </c:pt>
                <c:pt idx="4">
                  <c:v>0</c:v>
                </c:pt>
                <c:pt idx="5">
                  <c:v>0</c:v>
                </c:pt>
              </c:numCache>
            </c:numRef>
          </c:val>
          <c:extLst xmlns:c15="http://schemas.microsoft.com/office/drawing/2012/chart">
            <c:ext xmlns:c16="http://schemas.microsoft.com/office/drawing/2014/chart" uri="{C3380CC4-5D6E-409C-BE32-E72D297353CC}">
              <c16:uniqueId val="{00000011-CF2A-46EF-9BF2-8EDB1F121296}"/>
            </c:ext>
          </c:extLst>
        </c:ser>
        <c:dLbls>
          <c:showLegendKey val="0"/>
          <c:showVal val="0"/>
          <c:showCatName val="0"/>
          <c:showSerName val="0"/>
          <c:showPercent val="0"/>
          <c:showBubbleSize val="0"/>
        </c:dLbls>
        <c:gapWidth val="45"/>
        <c:overlap val="100"/>
        <c:axId val="1558807055"/>
        <c:axId val="1715428031"/>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r"/>
      <c:layout>
        <c:manualLayout>
          <c:xMode val="edge"/>
          <c:yMode val="edge"/>
          <c:x val="0.67512091658114048"/>
          <c:y val="5.9527428275558278E-2"/>
          <c:w val="0.32487905552191182"/>
          <c:h val="0.92259849223827861"/>
        </c:manualLayout>
      </c:layout>
      <c:overlay val="0"/>
      <c:spPr>
        <a:noFill/>
        <a:ln>
          <a:noFill/>
        </a:ln>
        <a:effectLst>
          <a:innerShdw dist="12700" dir="2700000">
            <a:schemeClr val="tx1"/>
          </a:innerShdw>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LkUP!$T$6</c:f>
          <c:strCache>
            <c:ptCount val="1"/>
            <c:pt idx="0">
              <c:v>PV System Net After-Tax Cash Flow</c:v>
            </c:pt>
          </c:strCache>
        </c:strRef>
      </c:tx>
      <c:layout>
        <c:manualLayout>
          <c:xMode val="edge"/>
          <c:yMode val="edge"/>
          <c:x val="0.10593140466805791"/>
          <c:y val="0"/>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89380570065487"/>
          <c:y val="0.15962278300118146"/>
          <c:w val="0.84353583431804546"/>
          <c:h val="0.71136815445239154"/>
        </c:manualLayout>
      </c:layout>
      <c:lineChart>
        <c:grouping val="standard"/>
        <c:varyColors val="0"/>
        <c:ser>
          <c:idx val="2"/>
          <c:order val="0"/>
          <c:tx>
            <c:strRef>
              <c:f>HybridCalcs!$M$3</c:f>
              <c:strCache>
                <c:ptCount val="1"/>
                <c:pt idx="0">
                  <c:v>Hybrid Cumulative DCF</c:v>
                </c:pt>
              </c:strCache>
            </c:strRef>
          </c:tx>
          <c:spPr>
            <a:ln w="25400" cap="rnd">
              <a:solidFill>
                <a:srgbClr val="023246"/>
              </a:solidFill>
              <a:round/>
            </a:ln>
            <a:effectLst/>
          </c:spPr>
          <c:marker>
            <c:symbol val="none"/>
          </c:marker>
          <c:val>
            <c:numRef>
              <c:f>[0]!HybcDCF</c:f>
              <c:numCache>
                <c:formatCode>"$"#,##0.00_);\("$"#,##0.00\)</c:formatCode>
                <c:ptCount val="241"/>
                <c:pt idx="0">
                  <c:v>-2325000</c:v>
                </c:pt>
                <c:pt idx="1">
                  <c:v>-2312265.9218780044</c:v>
                </c:pt>
                <c:pt idx="2">
                  <c:v>-2299592.6866985774</c:v>
                </c:pt>
                <c:pt idx="3">
                  <c:v>-2286980.0042738877</c:v>
                </c:pt>
                <c:pt idx="4">
                  <c:v>-2274427.5857980689</c:v>
                </c:pt>
                <c:pt idx="5">
                  <c:v>-2261935.143840645</c:v>
                </c:pt>
                <c:pt idx="6">
                  <c:v>-2249502.3923399886</c:v>
                </c:pt>
                <c:pt idx="7">
                  <c:v>-2237129.0465968112</c:v>
                </c:pt>
                <c:pt idx="8">
                  <c:v>-2224814.8232676825</c:v>
                </c:pt>
                <c:pt idx="9">
                  <c:v>-2212559.4403585815</c:v>
                </c:pt>
                <c:pt idx="10">
                  <c:v>-2200362.6172184786</c:v>
                </c:pt>
                <c:pt idx="11">
                  <c:v>-2188224.074532948</c:v>
                </c:pt>
                <c:pt idx="12">
                  <c:v>-1274707.820032096</c:v>
                </c:pt>
                <c:pt idx="13">
                  <c:v>-1262819.4717724884</c:v>
                </c:pt>
                <c:pt idx="14">
                  <c:v>-1250987.9390911702</c:v>
                </c:pt>
                <c:pt idx="15">
                  <c:v>-1239212.950954519</c:v>
                </c:pt>
                <c:pt idx="16">
                  <c:v>-1227494.2376198752</c:v>
                </c:pt>
                <c:pt idx="17">
                  <c:v>-1215831.5306294018</c:v>
                </c:pt>
                <c:pt idx="18">
                  <c:v>-1204224.5628039713</c:v>
                </c:pt>
                <c:pt idx="19">
                  <c:v>-1192673.0682370835</c:v>
                </c:pt>
                <c:pt idx="20">
                  <c:v>-1181176.7822888116</c:v>
                </c:pt>
                <c:pt idx="21">
                  <c:v>-1169735.4415797768</c:v>
                </c:pt>
                <c:pt idx="22">
                  <c:v>-1158348.7839851519</c:v>
                </c:pt>
                <c:pt idx="23">
                  <c:v>-1147016.5486286934</c:v>
                </c:pt>
                <c:pt idx="24">
                  <c:v>-1015281.333019659</c:v>
                </c:pt>
                <c:pt idx="25">
                  <c:v>-1004314.8265475208</c:v>
                </c:pt>
                <c:pt idx="26">
                  <c:v>-993400.75055161153</c:v>
                </c:pt>
                <c:pt idx="27">
                  <c:v>-982538.85483498662</c:v>
                </c:pt>
                <c:pt idx="28">
                  <c:v>-971728.89039274643</c:v>
                </c:pt>
                <c:pt idx="29">
                  <c:v>-960970.60940636473</c:v>
                </c:pt>
                <c:pt idx="30">
                  <c:v>-950263.76523804374</c:v>
                </c:pt>
                <c:pt idx="31">
                  <c:v>-939608.11242509598</c:v>
                </c:pt>
                <c:pt idx="32">
                  <c:v>-929003.40667435306</c:v>
                </c:pt>
                <c:pt idx="33">
                  <c:v>-918449.40485660092</c:v>
                </c:pt>
                <c:pt idx="34">
                  <c:v>-907945.86500104121</c:v>
                </c:pt>
                <c:pt idx="35">
                  <c:v>-897492.54628977971</c:v>
                </c:pt>
                <c:pt idx="36">
                  <c:v>-858408.93694349693</c:v>
                </c:pt>
                <c:pt idx="37">
                  <c:v>-847959.22197177727</c:v>
                </c:pt>
                <c:pt idx="38">
                  <c:v>-837559.4663923725</c:v>
                </c:pt>
                <c:pt idx="39">
                  <c:v>-827209.43180158082</c:v>
                </c:pt>
                <c:pt idx="40">
                  <c:v>-816908.88093155215</c:v>
                </c:pt>
                <c:pt idx="41">
                  <c:v>-806657.577644884</c:v>
                </c:pt>
                <c:pt idx="42">
                  <c:v>-796455.28692924255</c:v>
                </c:pt>
                <c:pt idx="43">
                  <c:v>-786301.77489200956</c:v>
                </c:pt>
                <c:pt idx="44">
                  <c:v>-776196.80875495449</c:v>
                </c:pt>
                <c:pt idx="45">
                  <c:v>-766140.15684893203</c:v>
                </c:pt>
                <c:pt idx="46">
                  <c:v>-756131.58860860532</c:v>
                </c:pt>
                <c:pt idx="47">
                  <c:v>-746170.8745671931</c:v>
                </c:pt>
                <c:pt idx="48">
                  <c:v>-736257.78635124315</c:v>
                </c:pt>
                <c:pt idx="49">
                  <c:v>-726383.35317532858</c:v>
                </c:pt>
                <c:pt idx="50">
                  <c:v>-716556.13362008356</c:v>
                </c:pt>
                <c:pt idx="51">
                  <c:v>-706775.90236600756</c:v>
                </c:pt>
                <c:pt idx="52">
                  <c:v>-697042.43516718748</c:v>
                </c:pt>
                <c:pt idx="53">
                  <c:v>-687355.50884618959</c:v>
                </c:pt>
                <c:pt idx="54">
                  <c:v>-677714.90128897515</c:v>
                </c:pt>
                <c:pt idx="55">
                  <c:v>-668120.3914398402</c:v>
                </c:pt>
                <c:pt idx="56">
                  <c:v>-658571.75929637987</c:v>
                </c:pt>
                <c:pt idx="57">
                  <c:v>-649068.78590447619</c:v>
                </c:pt>
                <c:pt idx="58">
                  <c:v>-639611.25335330982</c:v>
                </c:pt>
                <c:pt idx="59">
                  <c:v>-630198.94477039564</c:v>
                </c:pt>
                <c:pt idx="60">
                  <c:v>-620831.64431664173</c:v>
                </c:pt>
                <c:pt idx="61">
                  <c:v>-611493.48025009281</c:v>
                </c:pt>
                <c:pt idx="62">
                  <c:v>-602199.96964010445</c:v>
                </c:pt>
                <c:pt idx="63">
                  <c:v>-592950.8993693121</c:v>
                </c:pt>
                <c:pt idx="64">
                  <c:v>-583746.05733586254</c:v>
                </c:pt>
                <c:pt idx="65">
                  <c:v>-574585.23244858149</c:v>
                </c:pt>
                <c:pt idx="66">
                  <c:v>-565468.21462216415</c:v>
                </c:pt>
                <c:pt idx="67">
                  <c:v>-556394.79477238853</c:v>
                </c:pt>
                <c:pt idx="68">
                  <c:v>-547364.7648113519</c:v>
                </c:pt>
                <c:pt idx="69">
                  <c:v>-538377.91764272947</c:v>
                </c:pt>
                <c:pt idx="70">
                  <c:v>-529434.0471570557</c:v>
                </c:pt>
                <c:pt idx="71">
                  <c:v>-520532.9482270283</c:v>
                </c:pt>
                <c:pt idx="72">
                  <c:v>-511674.41670283419</c:v>
                </c:pt>
                <c:pt idx="73">
                  <c:v>-502809.79480705759</c:v>
                </c:pt>
                <c:pt idx="74">
                  <c:v>-493987.56371239608</c:v>
                </c:pt>
                <c:pt idx="75">
                  <c:v>-485207.52109348064</c:v>
                </c:pt>
                <c:pt idx="76">
                  <c:v>-476469.4655890573</c:v>
                </c:pt>
                <c:pt idx="77">
                  <c:v>-467773.19679739932</c:v>
                </c:pt>
                <c:pt idx="78">
                  <c:v>-459118.51527174085</c:v>
                </c:pt>
                <c:pt idx="79">
                  <c:v>-450505.22251573269</c:v>
                </c:pt>
                <c:pt idx="80">
                  <c:v>-441933.1209789195</c:v>
                </c:pt>
                <c:pt idx="81">
                  <c:v>-433402.01405223832</c:v>
                </c:pt>
                <c:pt idx="82">
                  <c:v>-424911.70606353879</c:v>
                </c:pt>
                <c:pt idx="83">
                  <c:v>-416462.00227312441</c:v>
                </c:pt>
                <c:pt idx="84">
                  <c:v>-408052.70886931522</c:v>
                </c:pt>
                <c:pt idx="85">
                  <c:v>-399637.99997034913</c:v>
                </c:pt>
                <c:pt idx="86">
                  <c:v>-391263.53205968876</c:v>
                </c:pt>
                <c:pt idx="87">
                  <c:v>-382929.11306598963</c:v>
                </c:pt>
                <c:pt idx="88">
                  <c:v>-374634.55183318717</c:v>
                </c:pt>
                <c:pt idx="89">
                  <c:v>-366379.6581161411</c:v>
                </c:pt>
                <c:pt idx="90">
                  <c:v>-358164.24257630046</c:v>
                </c:pt>
                <c:pt idx="91">
                  <c:v>-349988.11677738925</c:v>
                </c:pt>
                <c:pt idx="92">
                  <c:v>-341851.09318111261</c:v>
                </c:pt>
                <c:pt idx="93">
                  <c:v>-333752.9851428835</c:v>
                </c:pt>
                <c:pt idx="94">
                  <c:v>-325693.60690756934</c:v>
                </c:pt>
                <c:pt idx="95">
                  <c:v>-317672.77360525948</c:v>
                </c:pt>
                <c:pt idx="96">
                  <c:v>-309690.30124705209</c:v>
                </c:pt>
                <c:pt idx="97">
                  <c:v>-301508.00285884261</c:v>
                </c:pt>
                <c:pt idx="98">
                  <c:v>-293364.82381135505</c:v>
                </c:pt>
                <c:pt idx="99">
                  <c:v>-285260.57742779993</c:v>
                </c:pt>
                <c:pt idx="100">
                  <c:v>-277195.07792079664</c:v>
                </c:pt>
                <c:pt idx="101">
                  <c:v>-269168.14038814185</c:v>
                </c:pt>
                <c:pt idx="102">
                  <c:v>-261179.58080859747</c:v>
                </c:pt>
                <c:pt idx="103">
                  <c:v>-253229.21603769911</c:v>
                </c:pt>
                <c:pt idx="104">
                  <c:v>-245316.86380358419</c:v>
                </c:pt>
                <c:pt idx="105">
                  <c:v>-237442.34270283993</c:v>
                </c:pt>
                <c:pt idx="106">
                  <c:v>-229605.47219637112</c:v>
                </c:pt>
                <c:pt idx="107">
                  <c:v>-221806.07260528748</c:v>
                </c:pt>
                <c:pt idx="108">
                  <c:v>-214043.96510681065</c:v>
                </c:pt>
                <c:pt idx="109">
                  <c:v>-206256.29181422116</c:v>
                </c:pt>
                <c:pt idx="110">
                  <c:v>-198505.8514673661</c:v>
                </c:pt>
                <c:pt idx="111">
                  <c:v>-190792.46639011029</c:v>
                </c:pt>
                <c:pt idx="112">
                  <c:v>-183115.95975284936</c:v>
                </c:pt>
                <c:pt idx="113">
                  <c:v>-175476.15556848177</c:v>
                </c:pt>
                <c:pt idx="114">
                  <c:v>-167872.87868840015</c:v>
                </c:pt>
                <c:pt idx="115">
                  <c:v>-160305.95479850163</c:v>
                </c:pt>
                <c:pt idx="116">
                  <c:v>-152775.21041521709</c:v>
                </c:pt>
                <c:pt idx="117">
                  <c:v>-145280.47288155937</c:v>
                </c:pt>
                <c:pt idx="118">
                  <c:v>-137821.57036319014</c:v>
                </c:pt>
                <c:pt idx="119">
                  <c:v>-130398.33184450555</c:v>
                </c:pt>
                <c:pt idx="120">
                  <c:v>-123010.58712474052</c:v>
                </c:pt>
                <c:pt idx="121">
                  <c:v>-115604.88844619428</c:v>
                </c:pt>
                <c:pt idx="122">
                  <c:v>-108234.59715076761</c:v>
                </c:pt>
                <c:pt idx="123">
                  <c:v>-100899.54427128314</c:v>
                </c:pt>
                <c:pt idx="124">
                  <c:v>-93599.561645611393</c:v>
                </c:pt>
                <c:pt idx="125">
                  <c:v>-86334.481912840318</c:v>
                </c:pt>
                <c:pt idx="126">
                  <c:v>-79104.138509462922</c:v>
                </c:pt>
                <c:pt idx="127">
                  <c:v>-71908.365665583071</c:v>
                </c:pt>
                <c:pt idx="128">
                  <c:v>-64746.998401139295</c:v>
                </c:pt>
                <c:pt idx="129">
                  <c:v>-57619.872522146572</c:v>
                </c:pt>
                <c:pt idx="130">
                  <c:v>-50526.824616955964</c:v>
                </c:pt>
                <c:pt idx="131">
                  <c:v>-43467.692052532009</c:v>
                </c:pt>
                <c:pt idx="132">
                  <c:v>-36442.312970747837</c:v>
                </c:pt>
                <c:pt idx="133">
                  <c:v>-29483.02911909602</c:v>
                </c:pt>
                <c:pt idx="134">
                  <c:v>-22557.023879928347</c:v>
                </c:pt>
                <c:pt idx="135">
                  <c:v>-15664.138422378095</c:v>
                </c:pt>
                <c:pt idx="136">
                  <c:v>-8804.2146724216091</c:v>
                </c:pt>
                <c:pt idx="137">
                  <c:v>-1977.0953092767741</c:v>
                </c:pt>
                <c:pt idx="138">
                  <c:v>4817.3762381814095</c:v>
                </c:pt>
                <c:pt idx="139">
                  <c:v>11579.355794988192</c:v>
                </c:pt>
                <c:pt idx="140">
                  <c:v>18308.998443639499</c:v>
                </c:pt>
                <c:pt idx="141">
                  <c:v>25006.458527625469</c:v>
                </c:pt>
                <c:pt idx="142">
                  <c:v>31671.889654947208</c:v>
                </c:pt>
                <c:pt idx="143">
                  <c:v>38305.444701616812</c:v>
                </c:pt>
                <c:pt idx="144">
                  <c:v>44907.275815140783</c:v>
                </c:pt>
                <c:pt idx="145">
                  <c:v>51496.365774358856</c:v>
                </c:pt>
                <c:pt idx="146">
                  <c:v>58053.945010507523</c:v>
                </c:pt>
                <c:pt idx="147">
                  <c:v>64580.163926120462</c:v>
                </c:pt>
                <c:pt idx="148">
                  <c:v>71075.172207012394</c:v>
                </c:pt>
                <c:pt idx="149">
                  <c:v>77539.118825689788</c:v>
                </c:pt>
                <c:pt idx="150">
                  <c:v>83972.152044745424</c:v>
                </c:pt>
                <c:pt idx="151">
                  <c:v>90374.419420236823</c:v>
                </c:pt>
                <c:pt idx="152">
                  <c:v>96746.067805048529</c:v>
                </c:pt>
                <c:pt idx="153">
                  <c:v>103087.2433522385</c:v>
                </c:pt>
                <c:pt idx="154">
                  <c:v>109398.09151836856</c:v>
                </c:pt>
                <c:pt idx="155">
                  <c:v>115678.75706681902</c:v>
                </c:pt>
                <c:pt idx="156">
                  <c:v>121929.38407108752</c:v>
                </c:pt>
                <c:pt idx="157">
                  <c:v>128200.03676515611</c:v>
                </c:pt>
                <c:pt idx="158">
                  <c:v>134440.70130151929</c:v>
                </c:pt>
                <c:pt idx="159">
                  <c:v>140651.52081655271</c:v>
                </c:pt>
                <c:pt idx="160">
                  <c:v>146832.63776453413</c:v>
                </c:pt>
                <c:pt idx="161">
                  <c:v>152984.19392088949</c:v>
                </c:pt>
                <c:pt idx="162">
                  <c:v>159106.33038542353</c:v>
                </c:pt>
                <c:pt idx="163">
                  <c:v>165199.18758553494</c:v>
                </c:pt>
                <c:pt idx="164">
                  <c:v>171262.90527941633</c:v>
                </c:pt>
                <c:pt idx="165">
                  <c:v>177297.62255923898</c:v>
                </c:pt>
                <c:pt idx="166">
                  <c:v>183303.47785432244</c:v>
                </c:pt>
                <c:pt idx="167">
                  <c:v>189280.60893428902</c:v>
                </c:pt>
                <c:pt idx="168">
                  <c:v>195229.15291220328</c:v>
                </c:pt>
                <c:pt idx="169">
                  <c:v>201164.32350877367</c:v>
                </c:pt>
                <c:pt idx="170">
                  <c:v>207071.10808412527</c:v>
                </c:pt>
                <c:pt idx="171">
                  <c:v>212949.64213645639</c:v>
                </c:pt>
                <c:pt idx="172">
                  <c:v>218800.06051823022</c:v>
                </c:pt>
                <c:pt idx="173">
                  <c:v>224622.49743924796</c:v>
                </c:pt>
                <c:pt idx="174">
                  <c:v>230417.08646970731</c:v>
                </c:pt>
                <c:pt idx="175">
                  <c:v>236183.96054324642</c:v>
                </c:pt>
                <c:pt idx="176">
                  <c:v>241923.25195997342</c:v>
                </c:pt>
                <c:pt idx="177">
                  <c:v>247635.09238948146</c:v>
                </c:pt>
                <c:pt idx="178">
                  <c:v>253319.61287384952</c:v>
                </c:pt>
                <c:pt idx="179">
                  <c:v>258976.94383062885</c:v>
                </c:pt>
                <c:pt idx="180">
                  <c:v>179106.42587014678</c:v>
                </c:pt>
                <c:pt idx="181">
                  <c:v>183884.34405790622</c:v>
                </c:pt>
                <c:pt idx="182">
                  <c:v>188639.35753025382</c:v>
                </c:pt>
                <c:pt idx="183">
                  <c:v>193371.57583500713</c:v>
                </c:pt>
                <c:pt idx="184">
                  <c:v>198081.10799705909</c:v>
                </c:pt>
                <c:pt idx="185">
                  <c:v>202768.06252087021</c:v>
                </c:pt>
                <c:pt idx="186">
                  <c:v>207432.54739294876</c:v>
                </c:pt>
                <c:pt idx="187">
                  <c:v>212074.67008431928</c:v>
                </c:pt>
                <c:pt idx="188">
                  <c:v>216694.53755297919</c:v>
                </c:pt>
                <c:pt idx="189">
                  <c:v>221292.25624634381</c:v>
                </c:pt>
                <c:pt idx="190">
                  <c:v>225867.93210367972</c:v>
                </c:pt>
                <c:pt idx="191">
                  <c:v>230421.67055852653</c:v>
                </c:pt>
                <c:pt idx="192">
                  <c:v>234953.57654110718</c:v>
                </c:pt>
                <c:pt idx="193">
                  <c:v>239485.92041437759</c:v>
                </c:pt>
                <c:pt idx="194">
                  <c:v>243996.53551780293</c:v>
                </c:pt>
                <c:pt idx="195">
                  <c:v>248485.52578014985</c:v>
                </c:pt>
                <c:pt idx="196">
                  <c:v>252952.99463406199</c:v>
                </c:pt>
                <c:pt idx="197">
                  <c:v>257399.04501842448</c:v>
                </c:pt>
                <c:pt idx="198">
                  <c:v>261823.77938071702</c:v>
                </c:pt>
                <c:pt idx="199">
                  <c:v>266227.29967935605</c:v>
                </c:pt>
                <c:pt idx="200">
                  <c:v>270609.7073860254</c:v>
                </c:pt>
                <c:pt idx="201">
                  <c:v>274971.10348799627</c:v>
                </c:pt>
                <c:pt idx="202">
                  <c:v>279311.58849043574</c:v>
                </c:pt>
                <c:pt idx="203">
                  <c:v>283631.26241870475</c:v>
                </c:pt>
                <c:pt idx="204">
                  <c:v>287930.22482064459</c:v>
                </c:pt>
                <c:pt idx="205">
                  <c:v>292278.81388128543</c:v>
                </c:pt>
                <c:pt idx="206">
                  <c:v>296606.55745003413</c:v>
                </c:pt>
                <c:pt idx="207">
                  <c:v>300913.55522163166</c:v>
                </c:pt>
                <c:pt idx="208">
                  <c:v>305199.90641494497</c:v>
                </c:pt>
                <c:pt idx="209">
                  <c:v>309465.7097752351</c:v>
                </c:pt>
                <c:pt idx="210">
                  <c:v>313711.06357641402</c:v>
                </c:pt>
                <c:pt idx="211">
                  <c:v>317936.06562329095</c:v>
                </c:pt>
                <c:pt idx="212">
                  <c:v>322140.81325380789</c:v>
                </c:pt>
                <c:pt idx="213">
                  <c:v>326325.40334126458</c:v>
                </c:pt>
                <c:pt idx="214">
                  <c:v>330489.93229653285</c:v>
                </c:pt>
                <c:pt idx="215">
                  <c:v>334634.49607026047</c:v>
                </c:pt>
                <c:pt idx="216">
                  <c:v>338759.1901550644</c:v>
                </c:pt>
                <c:pt idx="217">
                  <c:v>342878.91946557903</c:v>
                </c:pt>
                <c:pt idx="218">
                  <c:v>346978.89878139086</c:v>
                </c:pt>
                <c:pt idx="219">
                  <c:v>351059.22256423807</c:v>
                </c:pt>
                <c:pt idx="220">
                  <c:v>355119.98482493858</c:v>
                </c:pt>
                <c:pt idx="221">
                  <c:v>359161.279125539</c:v>
                </c:pt>
                <c:pt idx="222">
                  <c:v>363183.19858145353</c:v>
                </c:pt>
                <c:pt idx="223">
                  <c:v>367185.83586359239</c:v>
                </c:pt>
                <c:pt idx="224">
                  <c:v>371169.28320048033</c:v>
                </c:pt>
                <c:pt idx="225">
                  <c:v>375133.63238036504</c:v>
                </c:pt>
                <c:pt idx="226">
                  <c:v>379078.97475331539</c:v>
                </c:pt>
                <c:pt idx="227">
                  <c:v>383005.40123330976</c:v>
                </c:pt>
                <c:pt idx="228">
                  <c:v>386913.00230031461</c:v>
                </c:pt>
                <c:pt idx="229">
                  <c:v>390794.75213126233</c:v>
                </c:pt>
                <c:pt idx="230">
                  <c:v>394657.8898133529</c:v>
                </c:pt>
                <c:pt idx="231">
                  <c:v>398502.50437825371</c:v>
                </c:pt>
                <c:pt idx="232">
                  <c:v>402328.68443258433</c:v>
                </c:pt>
                <c:pt idx="233">
                  <c:v>406136.51815994229</c:v>
                </c:pt>
                <c:pt idx="234">
                  <c:v>409926.09332291939</c:v>
                </c:pt>
                <c:pt idx="235">
                  <c:v>413697.49726510834</c:v>
                </c:pt>
                <c:pt idx="236">
                  <c:v>417450.81691309984</c:v>
                </c:pt>
                <c:pt idx="237">
                  <c:v>421186.13877847011</c:v>
                </c:pt>
                <c:pt idx="238">
                  <c:v>424903.54895975901</c:v>
                </c:pt>
                <c:pt idx="239">
                  <c:v>428603.13314443879</c:v>
                </c:pt>
                <c:pt idx="240">
                  <c:v>432284.97661087348</c:v>
                </c:pt>
              </c:numCache>
            </c:numRef>
          </c:val>
          <c:smooth val="1"/>
          <c:extLst>
            <c:ext xmlns:c16="http://schemas.microsoft.com/office/drawing/2014/chart" uri="{C3380CC4-5D6E-409C-BE32-E72D297353CC}">
              <c16:uniqueId val="{00000000-BC7B-4303-A781-4383870BD177}"/>
            </c:ext>
          </c:extLst>
        </c:ser>
        <c:ser>
          <c:idx val="0"/>
          <c:order val="1"/>
          <c:tx>
            <c:strRef>
              <c:f>HybridCalcs!$G$3</c:f>
              <c:strCache>
                <c:ptCount val="1"/>
                <c:pt idx="0">
                  <c:v>PV Cumulative DCF</c:v>
                </c:pt>
              </c:strCache>
            </c:strRef>
          </c:tx>
          <c:spPr>
            <a:ln w="25400" cap="rnd" cmpd="sng">
              <a:solidFill>
                <a:srgbClr val="00CD3B"/>
              </a:solidFill>
              <a:round/>
            </a:ln>
            <a:effectLst/>
          </c:spPr>
          <c:marker>
            <c:symbol val="none"/>
          </c:marker>
          <c:cat>
            <c:numRef>
              <c:f>[0]!Year</c:f>
              <c:numCache>
                <c:formatCode>General</c:formatCode>
                <c:ptCount val="241"/>
                <c:pt idx="0">
                  <c:v>2025</c:v>
                </c:pt>
                <c:pt idx="12">
                  <c:v>2026</c:v>
                </c:pt>
                <c:pt idx="24">
                  <c:v>2027</c:v>
                </c:pt>
                <c:pt idx="36">
                  <c:v>2028</c:v>
                </c:pt>
                <c:pt idx="48">
                  <c:v>2029</c:v>
                </c:pt>
                <c:pt idx="60">
                  <c:v>2030</c:v>
                </c:pt>
                <c:pt idx="72">
                  <c:v>2031</c:v>
                </c:pt>
                <c:pt idx="84">
                  <c:v>2032</c:v>
                </c:pt>
                <c:pt idx="96">
                  <c:v>2033</c:v>
                </c:pt>
                <c:pt idx="108">
                  <c:v>2034</c:v>
                </c:pt>
                <c:pt idx="120">
                  <c:v>2035</c:v>
                </c:pt>
                <c:pt idx="132">
                  <c:v>2036</c:v>
                </c:pt>
                <c:pt idx="144">
                  <c:v>2037</c:v>
                </c:pt>
                <c:pt idx="156">
                  <c:v>2038</c:v>
                </c:pt>
                <c:pt idx="168">
                  <c:v>2039</c:v>
                </c:pt>
                <c:pt idx="180">
                  <c:v>2040</c:v>
                </c:pt>
                <c:pt idx="192">
                  <c:v>2041</c:v>
                </c:pt>
                <c:pt idx="204">
                  <c:v>2042</c:v>
                </c:pt>
                <c:pt idx="216">
                  <c:v>2043</c:v>
                </c:pt>
                <c:pt idx="228">
                  <c:v>2044</c:v>
                </c:pt>
                <c:pt idx="240">
                  <c:v>2045</c:v>
                </c:pt>
              </c:numCache>
            </c:numRef>
          </c:cat>
          <c:val>
            <c:numRef>
              <c:f>[0]!PVcDCF</c:f>
              <c:numCache>
                <c:formatCode>"$"#,##0.00_);\("$"#,##0.00\)</c:formatCode>
                <c:ptCount val="241"/>
                <c:pt idx="0">
                  <c:v>-2325000</c:v>
                </c:pt>
                <c:pt idx="1">
                  <c:v>-2312265.9218780044</c:v>
                </c:pt>
                <c:pt idx="2">
                  <c:v>-2299592.6866985774</c:v>
                </c:pt>
                <c:pt idx="3">
                  <c:v>-2286980.0042738877</c:v>
                </c:pt>
                <c:pt idx="4">
                  <c:v>-2274427.5857980689</c:v>
                </c:pt>
                <c:pt idx="5">
                  <c:v>-2261935.143840645</c:v>
                </c:pt>
                <c:pt idx="6">
                  <c:v>-2249502.3923399886</c:v>
                </c:pt>
                <c:pt idx="7">
                  <c:v>-2237129.0465968112</c:v>
                </c:pt>
                <c:pt idx="8">
                  <c:v>-2224814.8232676825</c:v>
                </c:pt>
                <c:pt idx="9">
                  <c:v>-2212559.4403585815</c:v>
                </c:pt>
                <c:pt idx="10">
                  <c:v>-2200362.6172184786</c:v>
                </c:pt>
                <c:pt idx="11">
                  <c:v>-2188224.074532948</c:v>
                </c:pt>
                <c:pt idx="12">
                  <c:v>-1274707.820032096</c:v>
                </c:pt>
                <c:pt idx="13">
                  <c:v>-1262819.4717724884</c:v>
                </c:pt>
                <c:pt idx="14">
                  <c:v>-1250987.9390911702</c:v>
                </c:pt>
                <c:pt idx="15">
                  <c:v>-1239212.950954519</c:v>
                </c:pt>
                <c:pt idx="16">
                  <c:v>-1227494.2376198752</c:v>
                </c:pt>
                <c:pt idx="17">
                  <c:v>-1215831.5306294018</c:v>
                </c:pt>
                <c:pt idx="18">
                  <c:v>-1204224.5628039713</c:v>
                </c:pt>
                <c:pt idx="19">
                  <c:v>-1192673.0682370835</c:v>
                </c:pt>
                <c:pt idx="20">
                  <c:v>-1181176.7822888116</c:v>
                </c:pt>
                <c:pt idx="21">
                  <c:v>-1169735.4415797768</c:v>
                </c:pt>
                <c:pt idx="22">
                  <c:v>-1158348.7839851519</c:v>
                </c:pt>
                <c:pt idx="23">
                  <c:v>-1147016.5486286934</c:v>
                </c:pt>
                <c:pt idx="24">
                  <c:v>-1015281.333019659</c:v>
                </c:pt>
                <c:pt idx="25">
                  <c:v>-1004314.8265475208</c:v>
                </c:pt>
                <c:pt idx="26">
                  <c:v>-993400.75055161153</c:v>
                </c:pt>
                <c:pt idx="27">
                  <c:v>-982538.85483498662</c:v>
                </c:pt>
                <c:pt idx="28">
                  <c:v>-971728.89039274643</c:v>
                </c:pt>
                <c:pt idx="29">
                  <c:v>-960970.60940636473</c:v>
                </c:pt>
                <c:pt idx="30">
                  <c:v>-950263.76523804374</c:v>
                </c:pt>
                <c:pt idx="31">
                  <c:v>-939608.11242509598</c:v>
                </c:pt>
                <c:pt idx="32">
                  <c:v>-929003.40667435306</c:v>
                </c:pt>
                <c:pt idx="33">
                  <c:v>-918449.40485660092</c:v>
                </c:pt>
                <c:pt idx="34">
                  <c:v>-907945.86500104121</c:v>
                </c:pt>
                <c:pt idx="35">
                  <c:v>-897492.54628977971</c:v>
                </c:pt>
                <c:pt idx="36">
                  <c:v>-858408.93694349693</c:v>
                </c:pt>
                <c:pt idx="37">
                  <c:v>-847959.22197177727</c:v>
                </c:pt>
                <c:pt idx="38">
                  <c:v>-837559.4663923725</c:v>
                </c:pt>
                <c:pt idx="39">
                  <c:v>-827209.43180158082</c:v>
                </c:pt>
                <c:pt idx="40">
                  <c:v>-816908.88093155215</c:v>
                </c:pt>
                <c:pt idx="41">
                  <c:v>-806657.577644884</c:v>
                </c:pt>
                <c:pt idx="42">
                  <c:v>-796455.28692924255</c:v>
                </c:pt>
                <c:pt idx="43">
                  <c:v>-786301.77489200956</c:v>
                </c:pt>
                <c:pt idx="44">
                  <c:v>-776196.80875495449</c:v>
                </c:pt>
                <c:pt idx="45">
                  <c:v>-766140.15684893203</c:v>
                </c:pt>
                <c:pt idx="46">
                  <c:v>-756131.58860860532</c:v>
                </c:pt>
                <c:pt idx="47">
                  <c:v>-746170.8745671931</c:v>
                </c:pt>
                <c:pt idx="48">
                  <c:v>-736257.78635124315</c:v>
                </c:pt>
                <c:pt idx="49">
                  <c:v>-726383.35317532858</c:v>
                </c:pt>
                <c:pt idx="50">
                  <c:v>-716556.13362008356</c:v>
                </c:pt>
                <c:pt idx="51">
                  <c:v>-706775.90236600756</c:v>
                </c:pt>
                <c:pt idx="52">
                  <c:v>-697042.43516718748</c:v>
                </c:pt>
                <c:pt idx="53">
                  <c:v>-687355.50884618959</c:v>
                </c:pt>
                <c:pt idx="54">
                  <c:v>-677714.90128897515</c:v>
                </c:pt>
                <c:pt idx="55">
                  <c:v>-668120.3914398402</c:v>
                </c:pt>
                <c:pt idx="56">
                  <c:v>-658571.75929637987</c:v>
                </c:pt>
                <c:pt idx="57">
                  <c:v>-649068.78590447619</c:v>
                </c:pt>
                <c:pt idx="58">
                  <c:v>-639611.25335330982</c:v>
                </c:pt>
                <c:pt idx="59">
                  <c:v>-630198.94477039564</c:v>
                </c:pt>
                <c:pt idx="60">
                  <c:v>-620831.64431664173</c:v>
                </c:pt>
                <c:pt idx="61">
                  <c:v>-611493.48025009281</c:v>
                </c:pt>
                <c:pt idx="62">
                  <c:v>-602199.96964010445</c:v>
                </c:pt>
                <c:pt idx="63">
                  <c:v>-592950.8993693121</c:v>
                </c:pt>
                <c:pt idx="64">
                  <c:v>-583746.05733586254</c:v>
                </c:pt>
                <c:pt idx="65">
                  <c:v>-574585.23244858149</c:v>
                </c:pt>
                <c:pt idx="66">
                  <c:v>-565468.21462216415</c:v>
                </c:pt>
                <c:pt idx="67">
                  <c:v>-556394.79477238853</c:v>
                </c:pt>
                <c:pt idx="68">
                  <c:v>-547364.7648113519</c:v>
                </c:pt>
                <c:pt idx="69">
                  <c:v>-538377.91764272947</c:v>
                </c:pt>
                <c:pt idx="70">
                  <c:v>-529434.0471570557</c:v>
                </c:pt>
                <c:pt idx="71">
                  <c:v>-520532.9482270283</c:v>
                </c:pt>
                <c:pt idx="72">
                  <c:v>-511674.41670283419</c:v>
                </c:pt>
                <c:pt idx="73">
                  <c:v>-502809.79480705759</c:v>
                </c:pt>
                <c:pt idx="74">
                  <c:v>-493987.56371239608</c:v>
                </c:pt>
                <c:pt idx="75">
                  <c:v>-485207.52109348064</c:v>
                </c:pt>
                <c:pt idx="76">
                  <c:v>-476469.4655890573</c:v>
                </c:pt>
                <c:pt idx="77">
                  <c:v>-467773.19679739932</c:v>
                </c:pt>
                <c:pt idx="78">
                  <c:v>-459118.51527174085</c:v>
                </c:pt>
                <c:pt idx="79">
                  <c:v>-450505.22251573269</c:v>
                </c:pt>
                <c:pt idx="80">
                  <c:v>-441933.1209789195</c:v>
                </c:pt>
                <c:pt idx="81">
                  <c:v>-433402.01405223832</c:v>
                </c:pt>
                <c:pt idx="82">
                  <c:v>-424911.70606353879</c:v>
                </c:pt>
                <c:pt idx="83">
                  <c:v>-416462.00227312441</c:v>
                </c:pt>
                <c:pt idx="84">
                  <c:v>-408052.70886931522</c:v>
                </c:pt>
                <c:pt idx="85">
                  <c:v>-399637.99997034913</c:v>
                </c:pt>
                <c:pt idx="86">
                  <c:v>-391263.53205968876</c:v>
                </c:pt>
                <c:pt idx="87">
                  <c:v>-382929.11306598963</c:v>
                </c:pt>
                <c:pt idx="88">
                  <c:v>-374634.55183318717</c:v>
                </c:pt>
                <c:pt idx="89">
                  <c:v>-366379.6581161411</c:v>
                </c:pt>
                <c:pt idx="90">
                  <c:v>-358164.24257630046</c:v>
                </c:pt>
                <c:pt idx="91">
                  <c:v>-349988.11677738925</c:v>
                </c:pt>
                <c:pt idx="92">
                  <c:v>-341851.09318111261</c:v>
                </c:pt>
                <c:pt idx="93">
                  <c:v>-333752.9851428835</c:v>
                </c:pt>
                <c:pt idx="94">
                  <c:v>-325693.60690756934</c:v>
                </c:pt>
                <c:pt idx="95">
                  <c:v>-317672.77360525948</c:v>
                </c:pt>
                <c:pt idx="96">
                  <c:v>-309690.30124705209</c:v>
                </c:pt>
                <c:pt idx="97">
                  <c:v>-301508.00285884261</c:v>
                </c:pt>
                <c:pt idx="98">
                  <c:v>-293364.82381135505</c:v>
                </c:pt>
                <c:pt idx="99">
                  <c:v>-285260.57742779993</c:v>
                </c:pt>
                <c:pt idx="100">
                  <c:v>-277195.07792079664</c:v>
                </c:pt>
                <c:pt idx="101">
                  <c:v>-269168.14038814185</c:v>
                </c:pt>
                <c:pt idx="102">
                  <c:v>-261179.58080859747</c:v>
                </c:pt>
                <c:pt idx="103">
                  <c:v>-253229.21603769911</c:v>
                </c:pt>
                <c:pt idx="104">
                  <c:v>-245316.86380358419</c:v>
                </c:pt>
                <c:pt idx="105">
                  <c:v>-237442.34270283993</c:v>
                </c:pt>
                <c:pt idx="106">
                  <c:v>-229605.47219637112</c:v>
                </c:pt>
                <c:pt idx="107">
                  <c:v>-221806.07260528748</c:v>
                </c:pt>
                <c:pt idx="108">
                  <c:v>-214043.96510681065</c:v>
                </c:pt>
                <c:pt idx="109">
                  <c:v>-206256.29181422116</c:v>
                </c:pt>
                <c:pt idx="110">
                  <c:v>-198505.8514673661</c:v>
                </c:pt>
                <c:pt idx="111">
                  <c:v>-190792.46639011029</c:v>
                </c:pt>
                <c:pt idx="112">
                  <c:v>-183115.95975284936</c:v>
                </c:pt>
                <c:pt idx="113">
                  <c:v>-175476.15556848177</c:v>
                </c:pt>
                <c:pt idx="114">
                  <c:v>-167872.87868840015</c:v>
                </c:pt>
                <c:pt idx="115">
                  <c:v>-160305.95479850163</c:v>
                </c:pt>
                <c:pt idx="116">
                  <c:v>-152775.21041521709</c:v>
                </c:pt>
                <c:pt idx="117">
                  <c:v>-145280.47288155937</c:v>
                </c:pt>
                <c:pt idx="118">
                  <c:v>-137821.57036319014</c:v>
                </c:pt>
                <c:pt idx="119">
                  <c:v>-130398.33184450555</c:v>
                </c:pt>
                <c:pt idx="120">
                  <c:v>-123010.58712474052</c:v>
                </c:pt>
                <c:pt idx="121">
                  <c:v>-115604.88844619428</c:v>
                </c:pt>
                <c:pt idx="122">
                  <c:v>-108234.59715076761</c:v>
                </c:pt>
                <c:pt idx="123">
                  <c:v>-100899.54427128314</c:v>
                </c:pt>
                <c:pt idx="124">
                  <c:v>-93599.561645611393</c:v>
                </c:pt>
                <c:pt idx="125">
                  <c:v>-86334.481912840318</c:v>
                </c:pt>
                <c:pt idx="126">
                  <c:v>-79104.138509462922</c:v>
                </c:pt>
                <c:pt idx="127">
                  <c:v>-71908.365665583071</c:v>
                </c:pt>
                <c:pt idx="128">
                  <c:v>-64746.998401139295</c:v>
                </c:pt>
                <c:pt idx="129">
                  <c:v>-57619.872522146572</c:v>
                </c:pt>
                <c:pt idx="130">
                  <c:v>-50526.824616955964</c:v>
                </c:pt>
                <c:pt idx="131">
                  <c:v>-43467.692052532009</c:v>
                </c:pt>
                <c:pt idx="132">
                  <c:v>-36442.312970747837</c:v>
                </c:pt>
                <c:pt idx="133">
                  <c:v>-29483.02911909602</c:v>
                </c:pt>
                <c:pt idx="134">
                  <c:v>-22557.023879928347</c:v>
                </c:pt>
                <c:pt idx="135">
                  <c:v>-15664.138422378095</c:v>
                </c:pt>
                <c:pt idx="136">
                  <c:v>-8804.2146724216091</c:v>
                </c:pt>
                <c:pt idx="137">
                  <c:v>-1977.0953092767741</c:v>
                </c:pt>
                <c:pt idx="138">
                  <c:v>4817.3762381814095</c:v>
                </c:pt>
                <c:pt idx="139">
                  <c:v>11579.355794988192</c:v>
                </c:pt>
                <c:pt idx="140">
                  <c:v>18308.998443639499</c:v>
                </c:pt>
                <c:pt idx="141">
                  <c:v>25006.458527625469</c:v>
                </c:pt>
                <c:pt idx="142">
                  <c:v>31671.889654947208</c:v>
                </c:pt>
                <c:pt idx="143">
                  <c:v>38305.444701616812</c:v>
                </c:pt>
                <c:pt idx="144">
                  <c:v>44907.275815140783</c:v>
                </c:pt>
                <c:pt idx="145">
                  <c:v>51496.365774358856</c:v>
                </c:pt>
                <c:pt idx="146">
                  <c:v>58053.945010507523</c:v>
                </c:pt>
                <c:pt idx="147">
                  <c:v>64580.163926120462</c:v>
                </c:pt>
                <c:pt idx="148">
                  <c:v>71075.172207012394</c:v>
                </c:pt>
                <c:pt idx="149">
                  <c:v>77539.118825689788</c:v>
                </c:pt>
                <c:pt idx="150">
                  <c:v>83972.152044745424</c:v>
                </c:pt>
                <c:pt idx="151">
                  <c:v>90374.419420236823</c:v>
                </c:pt>
                <c:pt idx="152">
                  <c:v>96746.067805048529</c:v>
                </c:pt>
                <c:pt idx="153">
                  <c:v>103087.2433522385</c:v>
                </c:pt>
                <c:pt idx="154">
                  <c:v>109398.09151836856</c:v>
                </c:pt>
                <c:pt idx="155">
                  <c:v>115678.75706681902</c:v>
                </c:pt>
                <c:pt idx="156">
                  <c:v>121929.38407108752</c:v>
                </c:pt>
                <c:pt idx="157">
                  <c:v>128200.03676515611</c:v>
                </c:pt>
                <c:pt idx="158">
                  <c:v>134440.70130151929</c:v>
                </c:pt>
                <c:pt idx="159">
                  <c:v>140651.52081655271</c:v>
                </c:pt>
                <c:pt idx="160">
                  <c:v>146832.63776453413</c:v>
                </c:pt>
                <c:pt idx="161">
                  <c:v>152984.19392088949</c:v>
                </c:pt>
                <c:pt idx="162">
                  <c:v>159106.33038542353</c:v>
                </c:pt>
                <c:pt idx="163">
                  <c:v>165199.18758553494</c:v>
                </c:pt>
                <c:pt idx="164">
                  <c:v>171262.90527941633</c:v>
                </c:pt>
                <c:pt idx="165">
                  <c:v>177297.62255923898</c:v>
                </c:pt>
                <c:pt idx="166">
                  <c:v>183303.47785432244</c:v>
                </c:pt>
                <c:pt idx="167">
                  <c:v>189280.60893428902</c:v>
                </c:pt>
                <c:pt idx="168">
                  <c:v>195229.15291220328</c:v>
                </c:pt>
                <c:pt idx="169">
                  <c:v>201164.32350877367</c:v>
                </c:pt>
                <c:pt idx="170">
                  <c:v>207071.10808412527</c:v>
                </c:pt>
                <c:pt idx="171">
                  <c:v>212949.64213645639</c:v>
                </c:pt>
                <c:pt idx="172">
                  <c:v>218800.06051823022</c:v>
                </c:pt>
                <c:pt idx="173">
                  <c:v>224622.49743924796</c:v>
                </c:pt>
                <c:pt idx="174">
                  <c:v>230417.08646970731</c:v>
                </c:pt>
                <c:pt idx="175">
                  <c:v>236183.96054324642</c:v>
                </c:pt>
                <c:pt idx="176">
                  <c:v>241923.25195997342</c:v>
                </c:pt>
                <c:pt idx="177">
                  <c:v>247635.09238948146</c:v>
                </c:pt>
                <c:pt idx="178">
                  <c:v>253319.61287384952</c:v>
                </c:pt>
                <c:pt idx="179">
                  <c:v>258976.94383062885</c:v>
                </c:pt>
                <c:pt idx="180">
                  <c:v>179106.42587014678</c:v>
                </c:pt>
                <c:pt idx="181">
                  <c:v>183884.34405790622</c:v>
                </c:pt>
                <c:pt idx="182">
                  <c:v>188639.35753025382</c:v>
                </c:pt>
                <c:pt idx="183">
                  <c:v>193371.57583500713</c:v>
                </c:pt>
                <c:pt idx="184">
                  <c:v>198081.10799705909</c:v>
                </c:pt>
                <c:pt idx="185">
                  <c:v>202768.06252087021</c:v>
                </c:pt>
                <c:pt idx="186">
                  <c:v>207432.54739294876</c:v>
                </c:pt>
                <c:pt idx="187">
                  <c:v>212074.67008431928</c:v>
                </c:pt>
                <c:pt idx="188">
                  <c:v>216694.53755297919</c:v>
                </c:pt>
                <c:pt idx="189">
                  <c:v>221292.25624634381</c:v>
                </c:pt>
                <c:pt idx="190">
                  <c:v>225867.93210367972</c:v>
                </c:pt>
                <c:pt idx="191">
                  <c:v>230421.67055852653</c:v>
                </c:pt>
                <c:pt idx="192">
                  <c:v>234953.57654110718</c:v>
                </c:pt>
                <c:pt idx="193">
                  <c:v>239485.92041437759</c:v>
                </c:pt>
                <c:pt idx="194">
                  <c:v>243996.53551780293</c:v>
                </c:pt>
                <c:pt idx="195">
                  <c:v>248485.52578014985</c:v>
                </c:pt>
                <c:pt idx="196">
                  <c:v>252952.99463406199</c:v>
                </c:pt>
                <c:pt idx="197">
                  <c:v>257399.04501842448</c:v>
                </c:pt>
                <c:pt idx="198">
                  <c:v>261823.77938071702</c:v>
                </c:pt>
                <c:pt idx="199">
                  <c:v>266227.29967935605</c:v>
                </c:pt>
                <c:pt idx="200">
                  <c:v>270609.7073860254</c:v>
                </c:pt>
                <c:pt idx="201">
                  <c:v>274971.10348799627</c:v>
                </c:pt>
                <c:pt idx="202">
                  <c:v>279311.58849043574</c:v>
                </c:pt>
                <c:pt idx="203">
                  <c:v>283631.26241870475</c:v>
                </c:pt>
                <c:pt idx="204">
                  <c:v>287930.22482064459</c:v>
                </c:pt>
                <c:pt idx="205">
                  <c:v>292278.81388128543</c:v>
                </c:pt>
                <c:pt idx="206">
                  <c:v>296606.55745003413</c:v>
                </c:pt>
                <c:pt idx="207">
                  <c:v>300913.55522163166</c:v>
                </c:pt>
                <c:pt idx="208">
                  <c:v>305199.90641494497</c:v>
                </c:pt>
                <c:pt idx="209">
                  <c:v>309465.7097752351</c:v>
                </c:pt>
                <c:pt idx="210">
                  <c:v>313711.06357641402</c:v>
                </c:pt>
                <c:pt idx="211">
                  <c:v>317936.06562329095</c:v>
                </c:pt>
                <c:pt idx="212">
                  <c:v>322140.81325380789</c:v>
                </c:pt>
                <c:pt idx="213">
                  <c:v>326325.40334126458</c:v>
                </c:pt>
                <c:pt idx="214">
                  <c:v>330489.93229653285</c:v>
                </c:pt>
                <c:pt idx="215">
                  <c:v>334634.49607026047</c:v>
                </c:pt>
                <c:pt idx="216">
                  <c:v>338759.1901550644</c:v>
                </c:pt>
                <c:pt idx="217">
                  <c:v>342878.91946557903</c:v>
                </c:pt>
                <c:pt idx="218">
                  <c:v>346978.89878139086</c:v>
                </c:pt>
                <c:pt idx="219">
                  <c:v>351059.22256423807</c:v>
                </c:pt>
                <c:pt idx="220">
                  <c:v>355119.98482493858</c:v>
                </c:pt>
                <c:pt idx="221">
                  <c:v>359161.279125539</c:v>
                </c:pt>
                <c:pt idx="222">
                  <c:v>363183.19858145353</c:v>
                </c:pt>
                <c:pt idx="223">
                  <c:v>367185.83586359239</c:v>
                </c:pt>
                <c:pt idx="224">
                  <c:v>371169.28320048033</c:v>
                </c:pt>
                <c:pt idx="225">
                  <c:v>375133.63238036504</c:v>
                </c:pt>
                <c:pt idx="226">
                  <c:v>379078.97475331539</c:v>
                </c:pt>
                <c:pt idx="227">
                  <c:v>383005.40123330976</c:v>
                </c:pt>
                <c:pt idx="228">
                  <c:v>386913.00230031461</c:v>
                </c:pt>
                <c:pt idx="229">
                  <c:v>390794.75213126233</c:v>
                </c:pt>
                <c:pt idx="230">
                  <c:v>394657.8898133529</c:v>
                </c:pt>
                <c:pt idx="231">
                  <c:v>398502.50437825371</c:v>
                </c:pt>
                <c:pt idx="232">
                  <c:v>402328.68443258433</c:v>
                </c:pt>
                <c:pt idx="233">
                  <c:v>406136.51815994229</c:v>
                </c:pt>
                <c:pt idx="234">
                  <c:v>409926.09332291939</c:v>
                </c:pt>
                <c:pt idx="235">
                  <c:v>413697.49726510834</c:v>
                </c:pt>
                <c:pt idx="236">
                  <c:v>417450.81691309984</c:v>
                </c:pt>
                <c:pt idx="237">
                  <c:v>421186.13877847011</c:v>
                </c:pt>
                <c:pt idx="238">
                  <c:v>424903.54895975901</c:v>
                </c:pt>
                <c:pt idx="239">
                  <c:v>428603.13314443879</c:v>
                </c:pt>
                <c:pt idx="240">
                  <c:v>432284.97661087348</c:v>
                </c:pt>
              </c:numCache>
            </c:numRef>
          </c:val>
          <c:smooth val="1"/>
          <c:extLst>
            <c:ext xmlns:c16="http://schemas.microsoft.com/office/drawing/2014/chart" uri="{C3380CC4-5D6E-409C-BE32-E72D297353CC}">
              <c16:uniqueId val="{00000001-BC7B-4303-A781-4383870BD177}"/>
            </c:ext>
          </c:extLst>
        </c:ser>
        <c:ser>
          <c:idx val="3"/>
          <c:order val="3"/>
          <c:tx>
            <c:strRef>
              <c:f>HybridCalcs!$O$3</c:f>
              <c:strCache>
                <c:ptCount val="1"/>
                <c:pt idx="0">
                  <c:v>PV Loan Interest Paid</c:v>
                </c:pt>
              </c:strCache>
            </c:strRef>
          </c:tx>
          <c:spPr>
            <a:ln w="19050" cap="rnd">
              <a:solidFill>
                <a:srgbClr val="FF0000"/>
              </a:solidFill>
              <a:prstDash val="sysDot"/>
              <a:round/>
            </a:ln>
            <a:effectLst/>
          </c:spPr>
          <c:marker>
            <c:symbol val="none"/>
          </c:marker>
          <c:val>
            <c:numRef>
              <c:f>[0]!PVLI</c:f>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1"/>
          <c:extLst>
            <c:ext xmlns:c16="http://schemas.microsoft.com/office/drawing/2014/chart" uri="{C3380CC4-5D6E-409C-BE32-E72D297353CC}">
              <c16:uniqueId val="{00000002-BC7B-4303-A781-4383870BD177}"/>
            </c:ext>
          </c:extLst>
        </c:ser>
        <c:ser>
          <c:idx val="4"/>
          <c:order val="4"/>
          <c:tx>
            <c:strRef>
              <c:f>HybridCalcs!$P$3</c:f>
              <c:strCache>
                <c:ptCount val="1"/>
                <c:pt idx="0">
                  <c:v>PV Loan Balance</c:v>
                </c:pt>
              </c:strCache>
            </c:strRef>
          </c:tx>
          <c:spPr>
            <a:ln w="19050" cap="rnd">
              <a:solidFill>
                <a:schemeClr val="tx1">
                  <a:lumMod val="65000"/>
                  <a:lumOff val="35000"/>
                </a:schemeClr>
              </a:solidFill>
              <a:prstDash val="sysDot"/>
              <a:round/>
            </a:ln>
            <a:effectLst/>
          </c:spPr>
          <c:marker>
            <c:symbol val="none"/>
          </c:marker>
          <c:val>
            <c:numRef>
              <c:f>[0]!PVLB</c:f>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1"/>
          <c:extLst>
            <c:ext xmlns:c16="http://schemas.microsoft.com/office/drawing/2014/chart" uri="{C3380CC4-5D6E-409C-BE32-E72D297353CC}">
              <c16:uniqueId val="{00000003-BC7B-4303-A781-4383870BD177}"/>
            </c:ext>
          </c:extLst>
        </c:ser>
        <c:dLbls>
          <c:showLegendKey val="0"/>
          <c:showVal val="0"/>
          <c:showCatName val="0"/>
          <c:showSerName val="0"/>
          <c:showPercent val="0"/>
          <c:showBubbleSize val="0"/>
        </c:dLbls>
        <c:smooth val="0"/>
        <c:axId val="1477208751"/>
        <c:axId val="1975814159"/>
        <c:extLst>
          <c:ext xmlns:c15="http://schemas.microsoft.com/office/drawing/2012/chart" uri="{02D57815-91ED-43cb-92C2-25804820EDAC}">
            <c15:filteredLineSeries>
              <c15:ser>
                <c:idx val="1"/>
                <c:order val="2"/>
                <c:tx>
                  <c:strRef>
                    <c:extLst>
                      <c:ext uri="{02D57815-91ED-43cb-92C2-25804820EDAC}">
                        <c15:formulaRef>
                          <c15:sqref>HybridCalcs!$J$3</c15:sqref>
                        </c15:formulaRef>
                      </c:ext>
                    </c:extLst>
                    <c:strCache>
                      <c:ptCount val="1"/>
                      <c:pt idx="0">
                        <c:v>Battery Cumulative DCF</c:v>
                      </c:pt>
                    </c:strCache>
                  </c:strRef>
                </c:tx>
                <c:spPr>
                  <a:ln w="25400" cap="rnd">
                    <a:solidFill>
                      <a:schemeClr val="accent1"/>
                    </a:solidFill>
                    <a:round/>
                  </a:ln>
                  <a:effectLst/>
                </c:spPr>
                <c:marker>
                  <c:symbol val="none"/>
                </c:marker>
                <c:val>
                  <c:numRef>
                    <c:extLst>
                      <c:ext uri="{02D57815-91ED-43cb-92C2-25804820EDAC}">
                        <c15:formulaRef>
                          <c15:sqref>[0]!BattcDCF</c15:sqref>
                        </c15:formulaRef>
                      </c:ext>
                    </c:extLst>
                    <c:numCache>
                      <c:formatCode>"$"#,##0.00_);\("$"#,##0.00\)</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1"/>
                <c:extLst>
                  <c:ext xmlns:c16="http://schemas.microsoft.com/office/drawing/2014/chart" uri="{C3380CC4-5D6E-409C-BE32-E72D297353CC}">
                    <c16:uniqueId val="{00000004-BC7B-4303-A781-4383870BD17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HybridCalcs!$Q$3</c15:sqref>
                        </c15:formulaRef>
                      </c:ext>
                    </c:extLst>
                    <c:strCache>
                      <c:ptCount val="1"/>
                      <c:pt idx="0">
                        <c:v> Battery Loan Interest Paid </c:v>
                      </c:pt>
                    </c:strCache>
                  </c:strRef>
                </c:tx>
                <c:spPr>
                  <a:ln w="19050" cap="rnd">
                    <a:solidFill>
                      <a:srgbClr val="C0000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[0]!Batt_L_I</c15:sqref>
                        </c15:formulaRef>
                      </c:ext>
                    </c:extLst>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0"/>
                <c:extLst xmlns:c15="http://schemas.microsoft.com/office/drawing/2012/chart">
                  <c:ext xmlns:c16="http://schemas.microsoft.com/office/drawing/2014/chart" uri="{C3380CC4-5D6E-409C-BE32-E72D297353CC}">
                    <c16:uniqueId val="{00000005-BC7B-4303-A781-4383870BD17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HybridCalcs!$R$3</c15:sqref>
                        </c15:formulaRef>
                      </c:ext>
                    </c:extLst>
                    <c:strCache>
                      <c:ptCount val="1"/>
                      <c:pt idx="0">
                        <c:v>Battery Loan Balance</c:v>
                      </c:pt>
                    </c:strCache>
                  </c:strRef>
                </c:tx>
                <c:spPr>
                  <a:ln w="19050" cap="rnd">
                    <a:solidFill>
                      <a:schemeClr val="tx2">
                        <a:lumMod val="75000"/>
                      </a:schemeClr>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[0]!Batt_L_B</c15:sqref>
                        </c15:formulaRef>
                      </c:ext>
                    </c:extLst>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0"/>
                <c:extLst xmlns:c15="http://schemas.microsoft.com/office/drawing/2012/chart">
                  <c:ext xmlns:c16="http://schemas.microsoft.com/office/drawing/2014/chart" uri="{C3380CC4-5D6E-409C-BE32-E72D297353CC}">
                    <c16:uniqueId val="{00000006-BC7B-4303-A781-4383870BD177}"/>
                  </c:ext>
                </c:extLst>
              </c15:ser>
            </c15:filteredLineSeries>
          </c:ext>
        </c:extLst>
      </c:lineChart>
      <c:catAx>
        <c:axId val="14772087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75814159"/>
        <c:crosses val="autoZero"/>
        <c:auto val="1"/>
        <c:lblAlgn val="ctr"/>
        <c:lblOffset val="100"/>
        <c:tickMarkSkip val="12"/>
        <c:noMultiLvlLbl val="0"/>
      </c:catAx>
      <c:valAx>
        <c:axId val="197581415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0_);\(&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7208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ysClr val="windowText" lastClr="000000"/>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a:t>Revenues</a:t>
            </a:r>
            <a:r>
              <a:rPr lang="en-US" sz="1400" baseline="0"/>
              <a:t>, Savings, Expenses </a:t>
            </a:r>
          </a:p>
          <a:p>
            <a:pPr>
              <a:defRPr sz="1600"/>
            </a:pPr>
            <a:r>
              <a:rPr lang="en-US" sz="1400" baseline="0"/>
              <a:t>Years 1-10 (Pre-Tax )</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87195011276879"/>
          <c:y val="6.4435308790717252E-2"/>
          <c:w val="0.46069984166374517"/>
          <c:h val="0.88745403367682896"/>
        </c:manualLayout>
      </c:layout>
      <c:barChart>
        <c:barDir val="col"/>
        <c:grouping val="stacked"/>
        <c:varyColors val="0"/>
        <c:ser>
          <c:idx val="16"/>
          <c:order val="0"/>
          <c:tx>
            <c:strRef>
              <c:f>Chrt!$S$2</c:f>
              <c:strCache>
                <c:ptCount val="1"/>
                <c:pt idx="0">
                  <c:v>#N/A</c:v>
                </c:pt>
              </c:strCache>
            </c:strRef>
          </c:tx>
          <c:spPr>
            <a:pattFill prst="ltDnDiag">
              <a:fgClr>
                <a:schemeClr val="bg1"/>
              </a:fgClr>
              <a:bgClr>
                <a:srgbClr val="A4A4A4"/>
              </a:bgClr>
            </a:pattFill>
            <a:ln>
              <a:noFill/>
            </a:ln>
            <a:effectLst/>
          </c:spPr>
          <c:invertIfNegative val="0"/>
          <c:val>
            <c:numRef>
              <c:f>Chrt!$S$3:$S$122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437-4CCD-93F5-25C4D1D7D466}"/>
            </c:ext>
          </c:extLst>
        </c:ser>
        <c:ser>
          <c:idx val="15"/>
          <c:order val="1"/>
          <c:tx>
            <c:strRef>
              <c:f>Chrt!$R$2</c:f>
              <c:strCache>
                <c:ptCount val="1"/>
                <c:pt idx="0">
                  <c:v>Equipment Refresh &amp; Replacement</c:v>
                </c:pt>
              </c:strCache>
            </c:strRef>
          </c:tx>
          <c:spPr>
            <a:pattFill prst="ltDnDiag">
              <a:fgClr>
                <a:schemeClr val="bg1"/>
              </a:fgClr>
              <a:bgClr>
                <a:srgbClr val="023246"/>
              </a:bgClr>
            </a:pattFill>
            <a:ln>
              <a:noFill/>
            </a:ln>
            <a:effectLst/>
          </c:spPr>
          <c:invertIfNegative val="0"/>
          <c:val>
            <c:numRef>
              <c:f>Chrt!$R$3:$R$122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437-4CCD-93F5-25C4D1D7D466}"/>
            </c:ext>
          </c:extLst>
        </c:ser>
        <c:ser>
          <c:idx val="14"/>
          <c:order val="2"/>
          <c:tx>
            <c:strRef>
              <c:f>Chrt!$Q$2</c:f>
              <c:strCache>
                <c:ptCount val="1"/>
                <c:pt idx="0">
                  <c:v>Insurance</c:v>
                </c:pt>
              </c:strCache>
            </c:strRef>
          </c:tx>
          <c:spPr>
            <a:pattFill prst="ltDnDiag">
              <a:fgClr>
                <a:schemeClr val="bg1"/>
              </a:fgClr>
              <a:bgClr>
                <a:srgbClr val="FFC000"/>
              </a:bgClr>
            </a:pattFill>
            <a:ln>
              <a:noFill/>
            </a:ln>
            <a:effectLst/>
          </c:spPr>
          <c:invertIfNegative val="0"/>
          <c:val>
            <c:numRef>
              <c:f>Chrt!$Q$3:$Q$122</c:f>
              <c:numCache>
                <c:formatCode>_("$"* #,##0.00_);_("$"* \(#,##0.00\);_("$"* "-"??_);_(@_)</c:formatCode>
                <c:ptCount val="10"/>
                <c:pt idx="0">
                  <c:v>-7500</c:v>
                </c:pt>
                <c:pt idx="1">
                  <c:v>-7500</c:v>
                </c:pt>
                <c:pt idx="2">
                  <c:v>-7500</c:v>
                </c:pt>
                <c:pt idx="3">
                  <c:v>-7500</c:v>
                </c:pt>
                <c:pt idx="4">
                  <c:v>-7500</c:v>
                </c:pt>
                <c:pt idx="5">
                  <c:v>-7500</c:v>
                </c:pt>
                <c:pt idx="6">
                  <c:v>-7500</c:v>
                </c:pt>
                <c:pt idx="7">
                  <c:v>-7500</c:v>
                </c:pt>
                <c:pt idx="8">
                  <c:v>-7500</c:v>
                </c:pt>
                <c:pt idx="9">
                  <c:v>-7500</c:v>
                </c:pt>
              </c:numCache>
            </c:numRef>
          </c:val>
          <c:extLst>
            <c:ext xmlns:c16="http://schemas.microsoft.com/office/drawing/2014/chart" uri="{C3380CC4-5D6E-409C-BE32-E72D297353CC}">
              <c16:uniqueId val="{00000002-A437-4CCD-93F5-25C4D1D7D466}"/>
            </c:ext>
          </c:extLst>
        </c:ser>
        <c:ser>
          <c:idx val="13"/>
          <c:order val="3"/>
          <c:tx>
            <c:strRef>
              <c:f>Chrt!$P$2</c:f>
              <c:strCache>
                <c:ptCount val="1"/>
                <c:pt idx="0">
                  <c:v>O&amp;M</c:v>
                </c:pt>
              </c:strCache>
            </c:strRef>
          </c:tx>
          <c:spPr>
            <a:pattFill prst="ltDnDiag">
              <a:fgClr>
                <a:schemeClr val="bg1"/>
              </a:fgClr>
              <a:bgClr>
                <a:srgbClr val="1086C0"/>
              </a:bgClr>
            </a:pattFill>
            <a:ln>
              <a:noFill/>
            </a:ln>
            <a:effectLst/>
          </c:spPr>
          <c:invertIfNegative val="0"/>
          <c:val>
            <c:numRef>
              <c:f>Chrt!$P$3:$P$122</c:f>
              <c:numCache>
                <c:formatCode>_("$"* #,##0.00_);_("$"* \(#,##0.00\);_("$"* "-"??_);_(@_)</c:formatCode>
                <c:ptCount val="10"/>
                <c:pt idx="0">
                  <c:v>-9000</c:v>
                </c:pt>
                <c:pt idx="1">
                  <c:v>-9000</c:v>
                </c:pt>
                <c:pt idx="2">
                  <c:v>-9000</c:v>
                </c:pt>
                <c:pt idx="3">
                  <c:v>-9000</c:v>
                </c:pt>
                <c:pt idx="4">
                  <c:v>-9000</c:v>
                </c:pt>
                <c:pt idx="5">
                  <c:v>-9000</c:v>
                </c:pt>
                <c:pt idx="6">
                  <c:v>-9000</c:v>
                </c:pt>
                <c:pt idx="7">
                  <c:v>-9000</c:v>
                </c:pt>
                <c:pt idx="8">
                  <c:v>-9000</c:v>
                </c:pt>
                <c:pt idx="9">
                  <c:v>-9000</c:v>
                </c:pt>
              </c:numCache>
            </c:numRef>
          </c:val>
          <c:extLst>
            <c:ext xmlns:c16="http://schemas.microsoft.com/office/drawing/2014/chart" uri="{C3380CC4-5D6E-409C-BE32-E72D297353CC}">
              <c16:uniqueId val="{00000003-A437-4CCD-93F5-25C4D1D7D466}"/>
            </c:ext>
          </c:extLst>
        </c:ser>
        <c:ser>
          <c:idx val="12"/>
          <c:order val="4"/>
          <c:tx>
            <c:strRef>
              <c:f>Chrt!$O$2</c:f>
              <c:strCache>
                <c:ptCount val="1"/>
                <c:pt idx="0">
                  <c:v>Loan Payment</c:v>
                </c:pt>
              </c:strCache>
            </c:strRef>
          </c:tx>
          <c:spPr>
            <a:pattFill prst="ltDnDiag">
              <a:fgClr>
                <a:schemeClr val="bg1"/>
              </a:fgClr>
              <a:bgClr>
                <a:srgbClr val="FF0000"/>
              </a:bgClr>
            </a:pattFill>
            <a:ln>
              <a:noFill/>
            </a:ln>
            <a:effectLst/>
          </c:spPr>
          <c:invertIfNegative val="0"/>
          <c:val>
            <c:numRef>
              <c:f>Chrt!$O$3:$O$122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A437-4CCD-93F5-25C4D1D7D466}"/>
            </c:ext>
          </c:extLst>
        </c:ser>
        <c:ser>
          <c:idx val="0"/>
          <c:order val="5"/>
          <c:tx>
            <c:strRef>
              <c:f>Chrt!$N$2</c:f>
              <c:strCache>
                <c:ptCount val="1"/>
                <c:pt idx="0">
                  <c:v>Electricity Write-off and Purchase</c:v>
                </c:pt>
              </c:strCache>
            </c:strRef>
          </c:tx>
          <c:spPr>
            <a:pattFill prst="ltDnDiag">
              <a:fgClr>
                <a:schemeClr val="bg1"/>
              </a:fgClr>
              <a:bgClr>
                <a:srgbClr val="00CD3B"/>
              </a:bgClr>
            </a:pattFill>
            <a:ln>
              <a:noFill/>
            </a:ln>
            <a:effectLst/>
          </c:spPr>
          <c:invertIfNegative val="0"/>
          <c:val>
            <c:numRef>
              <c:f>Chrt!$N$3:$N$122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437-4CCD-93F5-25C4D1D7D466}"/>
            </c:ext>
          </c:extLst>
        </c:ser>
        <c:ser>
          <c:idx val="1"/>
          <c:order val="6"/>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6-A437-4CCD-93F5-25C4D1D7D466}"/>
            </c:ext>
          </c:extLst>
        </c:ser>
        <c:ser>
          <c:idx val="3"/>
          <c:order val="7"/>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A437-4CCD-93F5-25C4D1D7D466}"/>
            </c:ext>
          </c:extLst>
        </c:ser>
        <c:ser>
          <c:idx val="4"/>
          <c:order val="8"/>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A437-4CCD-93F5-25C4D1D7D466}"/>
            </c:ext>
          </c:extLst>
        </c:ser>
        <c:ser>
          <c:idx val="5"/>
          <c:order val="9"/>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9-A437-4CCD-93F5-25C4D1D7D466}"/>
            </c:ext>
          </c:extLst>
        </c:ser>
        <c:ser>
          <c:idx val="6"/>
          <c:order val="10"/>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A-A437-4CCD-93F5-25C4D1D7D466}"/>
            </c:ext>
          </c:extLst>
        </c:ser>
        <c:ser>
          <c:idx val="17"/>
          <c:order val="11"/>
          <c:tx>
            <c:strRef>
              <c:f>Chrt!$H$2</c:f>
              <c:strCache>
                <c:ptCount val="1"/>
                <c:pt idx="0">
                  <c:v>#N/A</c:v>
                </c:pt>
              </c:strCache>
            </c:strRef>
          </c:tx>
          <c:spPr>
            <a:solidFill>
              <a:schemeClr val="accent6">
                <a:lumMod val="80000"/>
                <a:lumOff val="20000"/>
              </a:schemeClr>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B-A437-4CCD-93F5-25C4D1D7D466}"/>
            </c:ext>
          </c:extLst>
        </c:ser>
        <c:ser>
          <c:idx val="7"/>
          <c:order val="12"/>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C-A437-4CCD-93F5-25C4D1D7D466}"/>
            </c:ext>
          </c:extLst>
        </c:ser>
        <c:ser>
          <c:idx val="8"/>
          <c:order val="13"/>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D-A437-4CCD-93F5-25C4D1D7D466}"/>
            </c:ext>
          </c:extLst>
        </c:ser>
        <c:ser>
          <c:idx val="9"/>
          <c:order val="14"/>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E-A437-4CCD-93F5-25C4D1D7D466}"/>
            </c:ext>
          </c:extLst>
        </c:ser>
        <c:ser>
          <c:idx val="2"/>
          <c:order val="15"/>
          <c:tx>
            <c:strRef>
              <c:f>Chrt!$K$2</c:f>
              <c:strCache>
                <c:ptCount val="1"/>
                <c:pt idx="0">
                  <c:v>SRECs</c:v>
                </c:pt>
              </c:strCache>
            </c:strRef>
          </c:tx>
          <c:spPr>
            <a:solidFill>
              <a:srgbClr val="8CFF00"/>
            </a:solidFill>
            <a:ln>
              <a:noFill/>
            </a:ln>
            <a:effectLst/>
          </c:spPr>
          <c:invertIfNegative val="0"/>
          <c:val>
            <c:numRef>
              <c:f>Chrt!$K$3:$K$122</c:f>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numRef>
          </c:val>
          <c:extLst>
            <c:ext xmlns:c16="http://schemas.microsoft.com/office/drawing/2014/chart" uri="{C3380CC4-5D6E-409C-BE32-E72D297353CC}">
              <c16:uniqueId val="{0000000F-A437-4CCD-93F5-25C4D1D7D466}"/>
            </c:ext>
          </c:extLst>
        </c:ser>
        <c:ser>
          <c:idx val="10"/>
          <c:order val="16"/>
          <c:tx>
            <c:strRef>
              <c:f>Chrt!$L$2</c:f>
              <c:strCache>
                <c:ptCount val="1"/>
                <c:pt idx="0">
                  <c:v>Rebates and Grants</c:v>
                </c:pt>
              </c:strCache>
            </c:strRef>
          </c:tx>
          <c:spPr>
            <a:solidFill>
              <a:schemeClr val="accent5">
                <a:lumMod val="60000"/>
              </a:schemeClr>
            </a:solidFill>
            <a:ln>
              <a:noFill/>
            </a:ln>
            <a:effectLst/>
          </c:spPr>
          <c:invertIfNegative val="0"/>
          <c:val>
            <c:numRef>
              <c:f>Chrt!$L$3:$L$122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10-A437-4CCD-93F5-25C4D1D7D466}"/>
            </c:ext>
          </c:extLst>
        </c:ser>
        <c:ser>
          <c:idx val="11"/>
          <c:order val="17"/>
          <c:tx>
            <c:strRef>
              <c:f>Chrt!$M$2</c:f>
              <c:strCache>
                <c:ptCount val="1"/>
                <c:pt idx="0">
                  <c:v>Depreciation</c:v>
                </c:pt>
              </c:strCache>
            </c:strRef>
          </c:tx>
          <c:spPr>
            <a:solidFill>
              <a:schemeClr val="accent6">
                <a:lumMod val="60000"/>
              </a:schemeClr>
            </a:solidFill>
            <a:ln>
              <a:noFill/>
            </a:ln>
            <a:effectLst/>
          </c:spPr>
          <c:invertIfNegative val="0"/>
          <c:val>
            <c:numRef>
              <c:f>Chrt!$M$3:$M$122</c:f>
              <c:numCache>
                <c:formatCode>_("$"* #,##0.00_);_("$"* \(#,##0.00\);_("$"* "-"??_);_(@_)</c:formatCode>
                <c:ptCount val="10"/>
                <c:pt idx="0">
                  <c:v>249007.50000000003</c:v>
                </c:pt>
                <c:pt idx="1">
                  <c:v>132804</c:v>
                </c:pt>
                <c:pt idx="2">
                  <c:v>33200.999999999935</c:v>
                </c:pt>
                <c:pt idx="3">
                  <c:v>0</c:v>
                </c:pt>
                <c:pt idx="4">
                  <c:v>0</c:v>
                </c:pt>
                <c:pt idx="5">
                  <c:v>0</c:v>
                </c:pt>
              </c:numCache>
            </c:numRef>
          </c:val>
          <c:extLst xmlns:c15="http://schemas.microsoft.com/office/drawing/2012/chart">
            <c:ext xmlns:c16="http://schemas.microsoft.com/office/drawing/2014/chart" uri="{C3380CC4-5D6E-409C-BE32-E72D297353CC}">
              <c16:uniqueId val="{00000011-A437-4CCD-93F5-25C4D1D7D466}"/>
            </c:ext>
          </c:extLst>
        </c:ser>
        <c:dLbls>
          <c:showLegendKey val="0"/>
          <c:showVal val="0"/>
          <c:showCatName val="0"/>
          <c:showSerName val="0"/>
          <c:showPercent val="0"/>
          <c:showBubbleSize val="0"/>
        </c:dLbls>
        <c:gapWidth val="45"/>
        <c:overlap val="100"/>
        <c:axId val="1558807055"/>
        <c:axId val="1715428031"/>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r"/>
      <c:layout>
        <c:manualLayout>
          <c:xMode val="edge"/>
          <c:yMode val="edge"/>
          <c:x val="0.67512091658114048"/>
          <c:y val="5.9527428275558278E-2"/>
          <c:w val="0.32487905552191182"/>
          <c:h val="0.9225984922382786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400"/>
              <a:t>Revenues</a:t>
            </a:r>
            <a:r>
              <a:rPr lang="en-US" sz="1400" baseline="0"/>
              <a:t>, Savings, Expenses </a:t>
            </a:r>
          </a:p>
          <a:p>
            <a:pPr>
              <a:defRPr sz="1600"/>
            </a:pPr>
            <a:r>
              <a:rPr lang="en-US" sz="1400" baseline="0"/>
              <a:t>Years 1-10 (Pre-Tax)</a:t>
            </a:r>
          </a:p>
          <a:p>
            <a:pPr>
              <a:defRPr sz="1600"/>
            </a:pPr>
            <a:r>
              <a:rPr lang="en-US" sz="1100" baseline="0"/>
              <a:t>(excluding rebates and depreciation)</a:t>
            </a:r>
            <a:endParaRPr lang="en-US" sz="1600" baseline="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87195011276879"/>
          <c:y val="6.4435308790717252E-2"/>
          <c:w val="0.46069984166374517"/>
          <c:h val="0.88745403367682896"/>
        </c:manualLayout>
      </c:layout>
      <c:barChart>
        <c:barDir val="col"/>
        <c:grouping val="stacked"/>
        <c:varyColors val="0"/>
        <c:ser>
          <c:idx val="16"/>
          <c:order val="0"/>
          <c:tx>
            <c:strRef>
              <c:f>Chrt!$S$2</c:f>
              <c:strCache>
                <c:ptCount val="1"/>
                <c:pt idx="0">
                  <c:v>#N/A</c:v>
                </c:pt>
              </c:strCache>
            </c:strRef>
          </c:tx>
          <c:spPr>
            <a:pattFill prst="ltDnDiag">
              <a:fgClr>
                <a:schemeClr val="bg1"/>
              </a:fgClr>
              <a:bgClr>
                <a:srgbClr val="A4A4A4"/>
              </a:bgClr>
            </a:pattFill>
            <a:ln>
              <a:noFill/>
            </a:ln>
            <a:effectLst/>
          </c:spPr>
          <c:invertIfNegative val="0"/>
          <c:val>
            <c:numRef>
              <c:f>Chrt!$S$3:$S$122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E6C-42CF-8E99-C7AE7D3FF7BA}"/>
            </c:ext>
          </c:extLst>
        </c:ser>
        <c:ser>
          <c:idx val="15"/>
          <c:order val="1"/>
          <c:tx>
            <c:strRef>
              <c:f>Chrt!$R$2</c:f>
              <c:strCache>
                <c:ptCount val="1"/>
                <c:pt idx="0">
                  <c:v>Equipment Refresh &amp; Replacement</c:v>
                </c:pt>
              </c:strCache>
            </c:strRef>
          </c:tx>
          <c:spPr>
            <a:pattFill prst="ltDnDiag">
              <a:fgClr>
                <a:schemeClr val="bg1"/>
              </a:fgClr>
              <a:bgClr>
                <a:srgbClr val="023246"/>
              </a:bgClr>
            </a:pattFill>
            <a:ln>
              <a:noFill/>
            </a:ln>
            <a:effectLst/>
          </c:spPr>
          <c:invertIfNegative val="0"/>
          <c:val>
            <c:numRef>
              <c:f>Chrt!$R$3:$R$122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E6C-42CF-8E99-C7AE7D3FF7BA}"/>
            </c:ext>
          </c:extLst>
        </c:ser>
        <c:ser>
          <c:idx val="14"/>
          <c:order val="2"/>
          <c:tx>
            <c:strRef>
              <c:f>Chrt!$Q$2</c:f>
              <c:strCache>
                <c:ptCount val="1"/>
                <c:pt idx="0">
                  <c:v>Insurance</c:v>
                </c:pt>
              </c:strCache>
            </c:strRef>
          </c:tx>
          <c:spPr>
            <a:pattFill prst="ltDnDiag">
              <a:fgClr>
                <a:schemeClr val="bg1"/>
              </a:fgClr>
              <a:bgClr>
                <a:srgbClr val="FFC000"/>
              </a:bgClr>
            </a:pattFill>
            <a:ln>
              <a:noFill/>
            </a:ln>
            <a:effectLst/>
          </c:spPr>
          <c:invertIfNegative val="0"/>
          <c:val>
            <c:numRef>
              <c:f>Chrt!$Q$3:$Q$122</c:f>
              <c:numCache>
                <c:formatCode>_("$"* #,##0.00_);_("$"* \(#,##0.00\);_("$"* "-"??_);_(@_)</c:formatCode>
                <c:ptCount val="10"/>
                <c:pt idx="0">
                  <c:v>-7500</c:v>
                </c:pt>
                <c:pt idx="1">
                  <c:v>-7500</c:v>
                </c:pt>
                <c:pt idx="2">
                  <c:v>-7500</c:v>
                </c:pt>
                <c:pt idx="3">
                  <c:v>-7500</c:v>
                </c:pt>
                <c:pt idx="4">
                  <c:v>-7500</c:v>
                </c:pt>
                <c:pt idx="5">
                  <c:v>-7500</c:v>
                </c:pt>
                <c:pt idx="6">
                  <c:v>-7500</c:v>
                </c:pt>
                <c:pt idx="7">
                  <c:v>-7500</c:v>
                </c:pt>
                <c:pt idx="8">
                  <c:v>-7500</c:v>
                </c:pt>
                <c:pt idx="9">
                  <c:v>-7500</c:v>
                </c:pt>
              </c:numCache>
            </c:numRef>
          </c:val>
          <c:extLst>
            <c:ext xmlns:c16="http://schemas.microsoft.com/office/drawing/2014/chart" uri="{C3380CC4-5D6E-409C-BE32-E72D297353CC}">
              <c16:uniqueId val="{00000002-6E6C-42CF-8E99-C7AE7D3FF7BA}"/>
            </c:ext>
          </c:extLst>
        </c:ser>
        <c:ser>
          <c:idx val="13"/>
          <c:order val="3"/>
          <c:tx>
            <c:strRef>
              <c:f>Chrt!$P$2</c:f>
              <c:strCache>
                <c:ptCount val="1"/>
                <c:pt idx="0">
                  <c:v>O&amp;M</c:v>
                </c:pt>
              </c:strCache>
            </c:strRef>
          </c:tx>
          <c:spPr>
            <a:pattFill prst="ltDnDiag">
              <a:fgClr>
                <a:schemeClr val="bg1"/>
              </a:fgClr>
              <a:bgClr>
                <a:srgbClr val="1086C0"/>
              </a:bgClr>
            </a:pattFill>
            <a:ln>
              <a:noFill/>
            </a:ln>
            <a:effectLst/>
          </c:spPr>
          <c:invertIfNegative val="0"/>
          <c:val>
            <c:numRef>
              <c:f>Chrt!$P$3:$P$122</c:f>
              <c:numCache>
                <c:formatCode>_("$"* #,##0.00_);_("$"* \(#,##0.00\);_("$"* "-"??_);_(@_)</c:formatCode>
                <c:ptCount val="10"/>
                <c:pt idx="0">
                  <c:v>-9000</c:v>
                </c:pt>
                <c:pt idx="1">
                  <c:v>-9000</c:v>
                </c:pt>
                <c:pt idx="2">
                  <c:v>-9000</c:v>
                </c:pt>
                <c:pt idx="3">
                  <c:v>-9000</c:v>
                </c:pt>
                <c:pt idx="4">
                  <c:v>-9000</c:v>
                </c:pt>
                <c:pt idx="5">
                  <c:v>-9000</c:v>
                </c:pt>
                <c:pt idx="6">
                  <c:v>-9000</c:v>
                </c:pt>
                <c:pt idx="7">
                  <c:v>-9000</c:v>
                </c:pt>
                <c:pt idx="8">
                  <c:v>-9000</c:v>
                </c:pt>
                <c:pt idx="9">
                  <c:v>-9000</c:v>
                </c:pt>
              </c:numCache>
            </c:numRef>
          </c:val>
          <c:extLst>
            <c:ext xmlns:c16="http://schemas.microsoft.com/office/drawing/2014/chart" uri="{C3380CC4-5D6E-409C-BE32-E72D297353CC}">
              <c16:uniqueId val="{00000003-6E6C-42CF-8E99-C7AE7D3FF7BA}"/>
            </c:ext>
          </c:extLst>
        </c:ser>
        <c:ser>
          <c:idx val="12"/>
          <c:order val="4"/>
          <c:tx>
            <c:strRef>
              <c:f>Chrt!$O$2</c:f>
              <c:strCache>
                <c:ptCount val="1"/>
                <c:pt idx="0">
                  <c:v>Loan Payment</c:v>
                </c:pt>
              </c:strCache>
            </c:strRef>
          </c:tx>
          <c:spPr>
            <a:pattFill prst="ltDnDiag">
              <a:fgClr>
                <a:schemeClr val="bg1"/>
              </a:fgClr>
              <a:bgClr>
                <a:srgbClr val="FF0000"/>
              </a:bgClr>
            </a:pattFill>
            <a:ln>
              <a:noFill/>
            </a:ln>
            <a:effectLst/>
          </c:spPr>
          <c:invertIfNegative val="0"/>
          <c:val>
            <c:numRef>
              <c:f>Chrt!$O$3:$O$122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6E6C-42CF-8E99-C7AE7D3FF7BA}"/>
            </c:ext>
          </c:extLst>
        </c:ser>
        <c:ser>
          <c:idx val="0"/>
          <c:order val="5"/>
          <c:tx>
            <c:strRef>
              <c:f>Chrt!$N$2</c:f>
              <c:strCache>
                <c:ptCount val="1"/>
                <c:pt idx="0">
                  <c:v>Electricity Write-off and Purchase</c:v>
                </c:pt>
              </c:strCache>
            </c:strRef>
          </c:tx>
          <c:spPr>
            <a:pattFill prst="ltDnDiag">
              <a:fgClr>
                <a:schemeClr val="bg1"/>
              </a:fgClr>
              <a:bgClr>
                <a:srgbClr val="00CD3B"/>
              </a:bgClr>
            </a:pattFill>
            <a:ln>
              <a:noFill/>
            </a:ln>
            <a:effectLst/>
          </c:spPr>
          <c:invertIfNegative val="0"/>
          <c:val>
            <c:numRef>
              <c:f>Chrt!$N$3:$N$122</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6E6C-42CF-8E99-C7AE7D3FF7BA}"/>
            </c:ext>
          </c:extLst>
        </c:ser>
        <c:ser>
          <c:idx val="1"/>
          <c:order val="6"/>
          <c:tx>
            <c:strRef>
              <c:f>Chrt!$B$2</c:f>
              <c:strCache>
                <c:ptCount val="1"/>
                <c:pt idx="0">
                  <c:v>PV Electricity Savings</c:v>
                </c:pt>
              </c:strCache>
            </c:strRef>
          </c:tx>
          <c:spPr>
            <a:solidFill>
              <a:srgbClr val="00CD3B"/>
            </a:solidFill>
            <a:ln>
              <a:noFill/>
            </a:ln>
            <a:effectLst/>
          </c:spPr>
          <c:invertIfNegative val="0"/>
          <c:val>
            <c:numRef>
              <c:f>Chrt!$B$3:$B$122</c:f>
              <c:numCache>
                <c:formatCode>_("$"* #,##0.00_);_("$"* \(#,##0.00\);_("$"* "-"??_);_(@_)</c:formatCode>
                <c:ptCount val="10"/>
                <c:pt idx="0">
                  <c:v>138507.90385354718</c:v>
                </c:pt>
                <c:pt idx="1">
                  <c:v>135708.94219943791</c:v>
                </c:pt>
                <c:pt idx="2">
                  <c:v>134805.7166784271</c:v>
                </c:pt>
                <c:pt idx="3">
                  <c:v>135067.01191479585</c:v>
                </c:pt>
                <c:pt idx="4">
                  <c:v>134118.01344327218</c:v>
                </c:pt>
                <c:pt idx="5">
                  <c:v>133288.88264988482</c:v>
                </c:pt>
                <c:pt idx="6">
                  <c:v>133005.99052441888</c:v>
                </c:pt>
                <c:pt idx="7">
                  <c:v>132716.66664752521</c:v>
                </c:pt>
                <c:pt idx="8">
                  <c:v>135880.18969193147</c:v>
                </c:pt>
                <c:pt idx="9">
                  <c:v>135964.43815667994</c:v>
                </c:pt>
              </c:numCache>
            </c:numRef>
          </c:val>
          <c:extLst>
            <c:ext xmlns:c16="http://schemas.microsoft.com/office/drawing/2014/chart" uri="{C3380CC4-5D6E-409C-BE32-E72D297353CC}">
              <c16:uniqueId val="{00000006-6E6C-42CF-8E99-C7AE7D3FF7BA}"/>
            </c:ext>
          </c:extLst>
        </c:ser>
        <c:ser>
          <c:idx val="3"/>
          <c:order val="7"/>
          <c:tx>
            <c:strRef>
              <c:f>Chrt!$C$2</c:f>
              <c:strCache>
                <c:ptCount val="1"/>
                <c:pt idx="0">
                  <c:v>#N/A</c:v>
                </c:pt>
              </c:strCache>
            </c:strRef>
          </c:tx>
          <c:spPr>
            <a:solidFill>
              <a:srgbClr val="1086C0"/>
            </a:solidFill>
            <a:ln>
              <a:noFill/>
            </a:ln>
            <a:effectLst/>
          </c:spPr>
          <c:invertIfNegative val="0"/>
          <c:val>
            <c:numRef>
              <c:f>Chrt!$C$3:$C$122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7-6E6C-42CF-8E99-C7AE7D3FF7BA}"/>
            </c:ext>
          </c:extLst>
        </c:ser>
        <c:ser>
          <c:idx val="4"/>
          <c:order val="8"/>
          <c:tx>
            <c:strRef>
              <c:f>Chrt!$D$2</c:f>
              <c:strCache>
                <c:ptCount val="1"/>
                <c:pt idx="0">
                  <c:v>#N/A</c:v>
                </c:pt>
              </c:strCache>
            </c:strRef>
          </c:tx>
          <c:spPr>
            <a:solidFill>
              <a:srgbClr val="023246"/>
            </a:solidFill>
            <a:ln>
              <a:noFill/>
            </a:ln>
            <a:effectLst/>
          </c:spPr>
          <c:invertIfNegative val="0"/>
          <c:val>
            <c:numRef>
              <c:f>Chrt!$D$3:$D$122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8-6E6C-42CF-8E99-C7AE7D3FF7BA}"/>
            </c:ext>
          </c:extLst>
        </c:ser>
        <c:ser>
          <c:idx val="5"/>
          <c:order val="9"/>
          <c:tx>
            <c:strRef>
              <c:f>Chrt!$E$2</c:f>
              <c:strCache>
                <c:ptCount val="1"/>
                <c:pt idx="0">
                  <c:v>#N/A</c:v>
                </c:pt>
              </c:strCache>
            </c:strRef>
          </c:tx>
          <c:spPr>
            <a:solidFill>
              <a:schemeClr val="accent6"/>
            </a:solidFill>
            <a:ln>
              <a:noFill/>
            </a:ln>
            <a:effectLst/>
          </c:spPr>
          <c:invertIfNegative val="0"/>
          <c:val>
            <c:numRef>
              <c:f>Chrt!$E$3:$E$122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9-6E6C-42CF-8E99-C7AE7D3FF7BA}"/>
            </c:ext>
          </c:extLst>
        </c:ser>
        <c:ser>
          <c:idx val="6"/>
          <c:order val="10"/>
          <c:tx>
            <c:strRef>
              <c:f>Chrt!$F$2</c:f>
              <c:strCache>
                <c:ptCount val="1"/>
                <c:pt idx="0">
                  <c:v>#N/A</c:v>
                </c:pt>
              </c:strCache>
            </c:strRef>
          </c:tx>
          <c:spPr>
            <a:solidFill>
              <a:schemeClr val="accent1">
                <a:lumMod val="75000"/>
              </a:schemeClr>
            </a:solidFill>
            <a:ln>
              <a:noFill/>
            </a:ln>
            <a:effectLst/>
          </c:spPr>
          <c:invertIfNegative val="0"/>
          <c:val>
            <c:numRef>
              <c:f>Chrt!$F$3:$F$122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A-6E6C-42CF-8E99-C7AE7D3FF7BA}"/>
            </c:ext>
          </c:extLst>
        </c:ser>
        <c:ser>
          <c:idx val="17"/>
          <c:order val="11"/>
          <c:tx>
            <c:strRef>
              <c:f>Chrt!$H$2</c:f>
              <c:strCache>
                <c:ptCount val="1"/>
                <c:pt idx="0">
                  <c:v>#N/A</c:v>
                </c:pt>
              </c:strCache>
            </c:strRef>
          </c:tx>
          <c:spPr>
            <a:solidFill>
              <a:schemeClr val="accent6">
                <a:lumMod val="80000"/>
                <a:lumOff val="20000"/>
              </a:schemeClr>
            </a:solidFill>
            <a:ln>
              <a:noFill/>
            </a:ln>
            <a:effectLst/>
          </c:spPr>
          <c:invertIfNegative val="0"/>
          <c:val>
            <c:numRef>
              <c:f>Chrt!$H$14:$H$122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B-6E6C-42CF-8E99-C7AE7D3FF7BA}"/>
            </c:ext>
          </c:extLst>
        </c:ser>
        <c:ser>
          <c:idx val="7"/>
          <c:order val="12"/>
          <c:tx>
            <c:strRef>
              <c:f>Chrt!$G$2</c:f>
              <c:strCache>
                <c:ptCount val="1"/>
                <c:pt idx="0">
                  <c:v>#N/A</c:v>
                </c:pt>
              </c:strCache>
            </c:strRef>
          </c:tx>
          <c:spPr>
            <a:solidFill>
              <a:schemeClr val="accent6">
                <a:lumMod val="75000"/>
              </a:schemeClr>
            </a:solidFill>
            <a:ln>
              <a:noFill/>
            </a:ln>
            <a:effectLst/>
          </c:spPr>
          <c:invertIfNegative val="0"/>
          <c:val>
            <c:numRef>
              <c:f>Chrt!$G$3:$G$122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C-6E6C-42CF-8E99-C7AE7D3FF7BA}"/>
            </c:ext>
          </c:extLst>
        </c:ser>
        <c:ser>
          <c:idx val="8"/>
          <c:order val="13"/>
          <c:tx>
            <c:strRef>
              <c:f>Chrt!$I$2</c:f>
              <c:strCache>
                <c:ptCount val="1"/>
                <c:pt idx="0">
                  <c:v>#N/A</c:v>
                </c:pt>
              </c:strCache>
            </c:strRef>
          </c:tx>
          <c:spPr>
            <a:solidFill>
              <a:schemeClr val="accent3">
                <a:lumMod val="60000"/>
              </a:schemeClr>
            </a:solidFill>
            <a:ln>
              <a:noFill/>
            </a:ln>
            <a:effectLst/>
          </c:spPr>
          <c:invertIfNegative val="0"/>
          <c:val>
            <c:numRef>
              <c:f>Chrt!$I$3:$I$122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D-6E6C-42CF-8E99-C7AE7D3FF7BA}"/>
            </c:ext>
          </c:extLst>
        </c:ser>
        <c:ser>
          <c:idx val="9"/>
          <c:order val="14"/>
          <c:tx>
            <c:strRef>
              <c:f>Chrt!$J$2</c:f>
              <c:strCache>
                <c:ptCount val="1"/>
                <c:pt idx="0">
                  <c:v>#N/A</c:v>
                </c:pt>
              </c:strCache>
            </c:strRef>
          </c:tx>
          <c:spPr>
            <a:solidFill>
              <a:srgbClr val="A4A4A4"/>
            </a:solidFill>
            <a:ln>
              <a:noFill/>
            </a:ln>
            <a:effectLst/>
          </c:spPr>
          <c:invertIfNegative val="0"/>
          <c:val>
            <c:numRef>
              <c:f>Chrt!$J$3:$J$122</c:f>
              <c:numCache>
                <c:formatCode>_("$"* #,##0.00_);_("$"* \(#,##0.00\);_("$"* "-"??_);_(@_)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E-6E6C-42CF-8E99-C7AE7D3FF7BA}"/>
            </c:ext>
          </c:extLst>
        </c:ser>
        <c:ser>
          <c:idx val="2"/>
          <c:order val="15"/>
          <c:tx>
            <c:strRef>
              <c:f>Chrt!$K$2</c:f>
              <c:strCache>
                <c:ptCount val="1"/>
                <c:pt idx="0">
                  <c:v>SRECs</c:v>
                </c:pt>
              </c:strCache>
              <c:extLst xmlns:c15="http://schemas.microsoft.com/office/drawing/2012/chart"/>
            </c:strRef>
          </c:tx>
          <c:spPr>
            <a:solidFill>
              <a:srgbClr val="8CFF00"/>
            </a:solidFill>
            <a:ln>
              <a:noFill/>
            </a:ln>
            <a:effectLst/>
          </c:spPr>
          <c:invertIfNegative val="0"/>
          <c:val>
            <c:numRef>
              <c:f>Chrt!$K$3:$K$122</c:f>
              <c:numCache>
                <c:formatCode>_("$"* #,##0.00_);_("$"* \(#,##0.00\);_("$"* "-"??_);_(@_)</c:formatCode>
                <c:ptCount val="10"/>
                <c:pt idx="0">
                  <c:v>27349.573331524247</c:v>
                </c:pt>
                <c:pt idx="1">
                  <c:v>27131.577218907431</c:v>
                </c:pt>
                <c:pt idx="2">
                  <c:v>23326.609535517375</c:v>
                </c:pt>
                <c:pt idx="3">
                  <c:v>23140.679388175293</c:v>
                </c:pt>
                <c:pt idx="4">
                  <c:v>22956.231240162699</c:v>
                </c:pt>
                <c:pt idx="5">
                  <c:v>22773.253278860462</c:v>
                </c:pt>
                <c:pt idx="6">
                  <c:v>22591.733785804692</c:v>
                </c:pt>
                <c:pt idx="7">
                  <c:v>22411.661135936229</c:v>
                </c:pt>
                <c:pt idx="8">
                  <c:v>22233.023796856134</c:v>
                </c:pt>
                <c:pt idx="9">
                  <c:v>22055.810328087118</c:v>
                </c:pt>
              </c:numCache>
              <c:extLst xmlns:c15="http://schemas.microsoft.com/office/drawing/2012/chart"/>
            </c:numRef>
          </c:val>
          <c:extLst xmlns:c15="http://schemas.microsoft.com/office/drawing/2012/chart">
            <c:ext xmlns:c16="http://schemas.microsoft.com/office/drawing/2014/chart" uri="{C3380CC4-5D6E-409C-BE32-E72D297353CC}">
              <c16:uniqueId val="{0000000F-6E6C-42CF-8E99-C7AE7D3FF7BA}"/>
            </c:ext>
          </c:extLst>
        </c:ser>
        <c:dLbls>
          <c:showLegendKey val="0"/>
          <c:showVal val="0"/>
          <c:showCatName val="0"/>
          <c:showSerName val="0"/>
          <c:showPercent val="0"/>
          <c:showBubbleSize val="0"/>
        </c:dLbls>
        <c:gapWidth val="45"/>
        <c:overlap val="100"/>
        <c:axId val="1558807055"/>
        <c:axId val="1715428031"/>
        <c:extLst>
          <c:ext xmlns:c15="http://schemas.microsoft.com/office/drawing/2012/chart" uri="{02D57815-91ED-43cb-92C2-25804820EDAC}">
            <c15:filteredBarSeries>
              <c15:ser>
                <c:idx val="10"/>
                <c:order val="16"/>
                <c:tx>
                  <c:strRef>
                    <c:extLst>
                      <c:ext uri="{02D57815-91ED-43cb-92C2-25804820EDAC}">
                        <c15:formulaRef>
                          <c15:sqref>Chrt!$L$2</c15:sqref>
                        </c15:formulaRef>
                      </c:ext>
                    </c:extLst>
                    <c:strCache>
                      <c:ptCount val="1"/>
                      <c:pt idx="0">
                        <c:v>Rebates and Grants</c:v>
                      </c:pt>
                    </c:strCache>
                  </c:strRef>
                </c:tx>
                <c:spPr>
                  <a:solidFill>
                    <a:schemeClr val="accent5">
                      <a:lumMod val="60000"/>
                    </a:schemeClr>
                  </a:solidFill>
                  <a:ln>
                    <a:noFill/>
                  </a:ln>
                  <a:effectLst/>
                </c:spPr>
                <c:invertIfNegative val="0"/>
                <c:val>
                  <c:numRef>
                    <c:extLst>
                      <c:ext uri="{02D57815-91ED-43cb-92C2-25804820EDAC}">
                        <c15:formulaRef>
                          <c15:sqref>Chrt!$L$3:$L$122</c15:sqref>
                        </c15:formulaRef>
                      </c:ext>
                    </c:extLst>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6E6C-42CF-8E99-C7AE7D3FF7BA}"/>
                  </c:ext>
                </c:extLst>
              </c15:ser>
            </c15:filteredBarSeries>
            <c15:filteredBarSeries>
              <c15:ser>
                <c:idx val="11"/>
                <c:order val="17"/>
                <c:tx>
                  <c:strRef>
                    <c:extLst xmlns:c15="http://schemas.microsoft.com/office/drawing/2012/chart">
                      <c:ext xmlns:c15="http://schemas.microsoft.com/office/drawing/2012/chart" uri="{02D57815-91ED-43cb-92C2-25804820EDAC}">
                        <c15:formulaRef>
                          <c15:sqref>Chrt!$M$2</c15:sqref>
                        </c15:formulaRef>
                      </c:ext>
                    </c:extLst>
                    <c:strCache>
                      <c:ptCount val="1"/>
                      <c:pt idx="0">
                        <c:v>Depreciation</c:v>
                      </c:pt>
                    </c:strCache>
                  </c:strRef>
                </c:tx>
                <c:spPr>
                  <a:solidFill>
                    <a:schemeClr val="accent6">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Chrt!$M$3:$M$122</c15:sqref>
                        </c15:formulaRef>
                      </c:ext>
                    </c:extLst>
                    <c:numCache>
                      <c:formatCode>_("$"* #,##0.00_);_("$"* \(#,##0.00\);_("$"* "-"??_);_(@_)</c:formatCode>
                      <c:ptCount val="10"/>
                      <c:pt idx="0">
                        <c:v>249007.50000000003</c:v>
                      </c:pt>
                      <c:pt idx="1">
                        <c:v>132804</c:v>
                      </c:pt>
                      <c:pt idx="2">
                        <c:v>33200.999999999935</c:v>
                      </c:pt>
                      <c:pt idx="3">
                        <c:v>0</c:v>
                      </c:pt>
                      <c:pt idx="4">
                        <c:v>0</c:v>
                      </c:pt>
                      <c:pt idx="5">
                        <c:v>0</c:v>
                      </c:pt>
                    </c:numCache>
                  </c:numRef>
                </c:val>
                <c:extLst xmlns:c15="http://schemas.microsoft.com/office/drawing/2012/chart">
                  <c:ext xmlns:c16="http://schemas.microsoft.com/office/drawing/2014/chart" uri="{C3380CC4-5D6E-409C-BE32-E72D297353CC}">
                    <c16:uniqueId val="{00000011-6E6C-42CF-8E99-C7AE7D3FF7BA}"/>
                  </c:ext>
                </c:extLst>
              </c15:ser>
            </c15:filteredBarSeries>
          </c:ext>
        </c:extLst>
      </c:barChart>
      <c:catAx>
        <c:axId val="155880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428031"/>
        <c:crosses val="autoZero"/>
        <c:auto val="1"/>
        <c:lblAlgn val="ctr"/>
        <c:lblOffset val="100"/>
        <c:noMultiLvlLbl val="0"/>
      </c:catAx>
      <c:valAx>
        <c:axId val="171542803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558807055"/>
        <c:crosses val="autoZero"/>
        <c:crossBetween val="between"/>
      </c:valAx>
      <c:spPr>
        <a:noFill/>
        <a:ln>
          <a:noFill/>
        </a:ln>
        <a:effectLst/>
      </c:spPr>
    </c:plotArea>
    <c:legend>
      <c:legendPos val="r"/>
      <c:layout>
        <c:manualLayout>
          <c:xMode val="edge"/>
          <c:yMode val="edge"/>
          <c:x val="0.67512091658114048"/>
          <c:y val="5.9527428275558278E-2"/>
          <c:w val="0.32487900079180415"/>
          <c:h val="0.92902994405392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Retail</a:t>
            </a:r>
            <a:r>
              <a:rPr lang="en-US" baseline="0"/>
              <a:t> Electric Rate ($/kWh)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LkUP!$U$20</c:f>
              <c:strCache>
                <c:ptCount val="1"/>
                <c:pt idx="0">
                  <c:v>$/kWh</c:v>
                </c:pt>
              </c:strCache>
            </c:strRef>
          </c:tx>
          <c:spPr>
            <a:ln w="25400" cap="rnd">
              <a:solidFill>
                <a:schemeClr val="accent2">
                  <a:lumMod val="75000"/>
                </a:schemeClr>
              </a:solidFill>
              <a:round/>
            </a:ln>
            <a:effectLst/>
          </c:spPr>
          <c:marker>
            <c:symbol val="none"/>
          </c:marker>
          <c:cat>
            <c:numRef>
              <c:f>LkUP!$T$21:$T$61</c:f>
              <c:numCache>
                <c:formatCode>General</c:formatCode>
                <c:ptCount val="4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numCache>
            </c:numRef>
          </c:cat>
          <c:val>
            <c:numRef>
              <c:f>[0]!ElecPrice</c:f>
              <c:numCache>
                <c:formatCode>_("$"* #,##0.00_);_("$"* \(#,##0.00\);_("$"* "-"??_);_(@_)</c:formatCode>
                <c:ptCount val="21"/>
                <c:pt idx="0">
                  <c:v>7.5965300541213879E-2</c:v>
                </c:pt>
                <c:pt idx="1">
                  <c:v>7.5028226946311755E-2</c:v>
                </c:pt>
                <c:pt idx="2">
                  <c:v>7.5127691152510362E-2</c:v>
                </c:pt>
                <c:pt idx="3">
                  <c:v>7.5878115998166518E-2</c:v>
                </c:pt>
                <c:pt idx="4">
                  <c:v>7.5950366439599487E-2</c:v>
                </c:pt>
                <c:pt idx="5">
                  <c:v>7.6087305280047673E-2</c:v>
                </c:pt>
                <c:pt idx="6">
                  <c:v>7.6535864542804394E-2</c:v>
                </c:pt>
                <c:pt idx="7">
                  <c:v>7.6982989165910107E-2</c:v>
                </c:pt>
                <c:pt idx="8">
                  <c:v>7.9451292012060609E-2</c:v>
                </c:pt>
                <c:pt idx="9">
                  <c:v>8.0139322461707824E-2</c:v>
                </c:pt>
                <c:pt idx="10">
                  <c:v>8.0758328633592641E-2</c:v>
                </c:pt>
                <c:pt idx="11">
                  <c:v>8.0358632345087277E-2</c:v>
                </c:pt>
                <c:pt idx="12">
                  <c:v>8.0603739109022604E-2</c:v>
                </c:pt>
                <c:pt idx="13">
                  <c:v>8.1291473042801335E-2</c:v>
                </c:pt>
                <c:pt idx="14">
                  <c:v>8.1511322691594043E-2</c:v>
                </c:pt>
                <c:pt idx="15">
                  <c:v>8.1772056019351544E-2</c:v>
                </c:pt>
                <c:pt idx="16">
                  <c:v>8.2134148058886372E-2</c:v>
                </c:pt>
                <c:pt idx="17">
                  <c:v>8.3348590054429766E-2</c:v>
                </c:pt>
                <c:pt idx="18">
                  <c:v>8.3619617987009537E-2</c:v>
                </c:pt>
                <c:pt idx="19">
                  <c:v>8.3481784272323598E-2</c:v>
                </c:pt>
                <c:pt idx="20">
                  <c:v>8.3376332931343902E-2</c:v>
                </c:pt>
              </c:numCache>
            </c:numRef>
          </c:val>
          <c:smooth val="1"/>
          <c:extLst>
            <c:ext xmlns:c16="http://schemas.microsoft.com/office/drawing/2014/chart" uri="{C3380CC4-5D6E-409C-BE32-E72D297353CC}">
              <c16:uniqueId val="{00000000-1148-446C-8B2F-2AC7DA7057BA}"/>
            </c:ext>
          </c:extLst>
        </c:ser>
        <c:dLbls>
          <c:showLegendKey val="0"/>
          <c:showVal val="0"/>
          <c:showCatName val="0"/>
          <c:showSerName val="0"/>
          <c:showPercent val="0"/>
          <c:showBubbleSize val="0"/>
        </c:dLbls>
        <c:smooth val="0"/>
        <c:axId val="1895509600"/>
        <c:axId val="1769047488"/>
      </c:lineChart>
      <c:catAx>
        <c:axId val="1895509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9047488"/>
        <c:crosses val="autoZero"/>
        <c:auto val="1"/>
        <c:lblAlgn val="ctr"/>
        <c:lblOffset val="100"/>
        <c:noMultiLvlLbl val="0"/>
      </c:catAx>
      <c:valAx>
        <c:axId val="17690474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00_);_(&quot;$&quot;* \(#,##0.0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5509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LkUP!$T$7</c:f>
          <c:strCache>
            <c:ptCount val="1"/>
            <c:pt idx="0">
              <c:v>Battery, PV &amp; Hybrid Systems Net After-Tax Cash Flows</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89380570065487"/>
          <c:y val="0.15962278300118146"/>
          <c:w val="0.84353583431804546"/>
          <c:h val="0.68509548375418594"/>
        </c:manualLayout>
      </c:layout>
      <c:lineChart>
        <c:grouping val="standard"/>
        <c:varyColors val="0"/>
        <c:ser>
          <c:idx val="2"/>
          <c:order val="0"/>
          <c:tx>
            <c:strRef>
              <c:f>HybridCalcs!$M$3</c:f>
              <c:strCache>
                <c:ptCount val="1"/>
                <c:pt idx="0">
                  <c:v>Hybrid Cumulative DCF</c:v>
                </c:pt>
              </c:strCache>
            </c:strRef>
          </c:tx>
          <c:spPr>
            <a:ln w="25400" cap="rnd">
              <a:solidFill>
                <a:srgbClr val="023246"/>
              </a:solidFill>
              <a:round/>
            </a:ln>
            <a:effectLst/>
          </c:spPr>
          <c:marker>
            <c:symbol val="none"/>
          </c:marker>
          <c:val>
            <c:numRef>
              <c:f>[0]!HybcDCF</c:f>
              <c:numCache>
                <c:formatCode>"$"#,##0.00_);\("$"#,##0.00\)</c:formatCode>
                <c:ptCount val="241"/>
                <c:pt idx="0">
                  <c:v>-2325000</c:v>
                </c:pt>
                <c:pt idx="1">
                  <c:v>-2312265.9218780044</c:v>
                </c:pt>
                <c:pt idx="2">
                  <c:v>-2299592.6866985774</c:v>
                </c:pt>
                <c:pt idx="3">
                  <c:v>-2286980.0042738877</c:v>
                </c:pt>
                <c:pt idx="4">
                  <c:v>-2274427.5857980689</c:v>
                </c:pt>
                <c:pt idx="5">
                  <c:v>-2261935.143840645</c:v>
                </c:pt>
                <c:pt idx="6">
                  <c:v>-2249502.3923399886</c:v>
                </c:pt>
                <c:pt idx="7">
                  <c:v>-2237129.0465968112</c:v>
                </c:pt>
                <c:pt idx="8">
                  <c:v>-2224814.8232676825</c:v>
                </c:pt>
                <c:pt idx="9">
                  <c:v>-2212559.4403585815</c:v>
                </c:pt>
                <c:pt idx="10">
                  <c:v>-2200362.6172184786</c:v>
                </c:pt>
                <c:pt idx="11">
                  <c:v>-2188224.074532948</c:v>
                </c:pt>
                <c:pt idx="12">
                  <c:v>-1274707.820032096</c:v>
                </c:pt>
                <c:pt idx="13">
                  <c:v>-1262819.4717724884</c:v>
                </c:pt>
                <c:pt idx="14">
                  <c:v>-1250987.9390911702</c:v>
                </c:pt>
                <c:pt idx="15">
                  <c:v>-1239212.950954519</c:v>
                </c:pt>
                <c:pt idx="16">
                  <c:v>-1227494.2376198752</c:v>
                </c:pt>
                <c:pt idx="17">
                  <c:v>-1215831.5306294018</c:v>
                </c:pt>
                <c:pt idx="18">
                  <c:v>-1204224.5628039713</c:v>
                </c:pt>
                <c:pt idx="19">
                  <c:v>-1192673.0682370835</c:v>
                </c:pt>
                <c:pt idx="20">
                  <c:v>-1181176.7822888116</c:v>
                </c:pt>
                <c:pt idx="21">
                  <c:v>-1169735.4415797768</c:v>
                </c:pt>
                <c:pt idx="22">
                  <c:v>-1158348.7839851519</c:v>
                </c:pt>
                <c:pt idx="23">
                  <c:v>-1147016.5486286934</c:v>
                </c:pt>
                <c:pt idx="24">
                  <c:v>-1015281.333019659</c:v>
                </c:pt>
                <c:pt idx="25">
                  <c:v>-1004314.8265475208</c:v>
                </c:pt>
                <c:pt idx="26">
                  <c:v>-993400.75055161153</c:v>
                </c:pt>
                <c:pt idx="27">
                  <c:v>-982538.85483498662</c:v>
                </c:pt>
                <c:pt idx="28">
                  <c:v>-971728.89039274643</c:v>
                </c:pt>
                <c:pt idx="29">
                  <c:v>-960970.60940636473</c:v>
                </c:pt>
                <c:pt idx="30">
                  <c:v>-950263.76523804374</c:v>
                </c:pt>
                <c:pt idx="31">
                  <c:v>-939608.11242509598</c:v>
                </c:pt>
                <c:pt idx="32">
                  <c:v>-929003.40667435306</c:v>
                </c:pt>
                <c:pt idx="33">
                  <c:v>-918449.40485660092</c:v>
                </c:pt>
                <c:pt idx="34">
                  <c:v>-907945.86500104121</c:v>
                </c:pt>
                <c:pt idx="35">
                  <c:v>-897492.54628977971</c:v>
                </c:pt>
                <c:pt idx="36">
                  <c:v>-858408.93694349693</c:v>
                </c:pt>
                <c:pt idx="37">
                  <c:v>-847959.22197177727</c:v>
                </c:pt>
                <c:pt idx="38">
                  <c:v>-837559.4663923725</c:v>
                </c:pt>
                <c:pt idx="39">
                  <c:v>-827209.43180158082</c:v>
                </c:pt>
                <c:pt idx="40">
                  <c:v>-816908.88093155215</c:v>
                </c:pt>
                <c:pt idx="41">
                  <c:v>-806657.577644884</c:v>
                </c:pt>
                <c:pt idx="42">
                  <c:v>-796455.28692924255</c:v>
                </c:pt>
                <c:pt idx="43">
                  <c:v>-786301.77489200956</c:v>
                </c:pt>
                <c:pt idx="44">
                  <c:v>-776196.80875495449</c:v>
                </c:pt>
                <c:pt idx="45">
                  <c:v>-766140.15684893203</c:v>
                </c:pt>
                <c:pt idx="46">
                  <c:v>-756131.58860860532</c:v>
                </c:pt>
                <c:pt idx="47">
                  <c:v>-746170.8745671931</c:v>
                </c:pt>
                <c:pt idx="48">
                  <c:v>-736257.78635124315</c:v>
                </c:pt>
                <c:pt idx="49">
                  <c:v>-726383.35317532858</c:v>
                </c:pt>
                <c:pt idx="50">
                  <c:v>-716556.13362008356</c:v>
                </c:pt>
                <c:pt idx="51">
                  <c:v>-706775.90236600756</c:v>
                </c:pt>
                <c:pt idx="52">
                  <c:v>-697042.43516718748</c:v>
                </c:pt>
                <c:pt idx="53">
                  <c:v>-687355.50884618959</c:v>
                </c:pt>
                <c:pt idx="54">
                  <c:v>-677714.90128897515</c:v>
                </c:pt>
                <c:pt idx="55">
                  <c:v>-668120.3914398402</c:v>
                </c:pt>
                <c:pt idx="56">
                  <c:v>-658571.75929637987</c:v>
                </c:pt>
                <c:pt idx="57">
                  <c:v>-649068.78590447619</c:v>
                </c:pt>
                <c:pt idx="58">
                  <c:v>-639611.25335330982</c:v>
                </c:pt>
                <c:pt idx="59">
                  <c:v>-630198.94477039564</c:v>
                </c:pt>
                <c:pt idx="60">
                  <c:v>-620831.64431664173</c:v>
                </c:pt>
                <c:pt idx="61">
                  <c:v>-611493.48025009281</c:v>
                </c:pt>
                <c:pt idx="62">
                  <c:v>-602199.96964010445</c:v>
                </c:pt>
                <c:pt idx="63">
                  <c:v>-592950.8993693121</c:v>
                </c:pt>
                <c:pt idx="64">
                  <c:v>-583746.05733586254</c:v>
                </c:pt>
                <c:pt idx="65">
                  <c:v>-574585.23244858149</c:v>
                </c:pt>
                <c:pt idx="66">
                  <c:v>-565468.21462216415</c:v>
                </c:pt>
                <c:pt idx="67">
                  <c:v>-556394.79477238853</c:v>
                </c:pt>
                <c:pt idx="68">
                  <c:v>-547364.7648113519</c:v>
                </c:pt>
                <c:pt idx="69">
                  <c:v>-538377.91764272947</c:v>
                </c:pt>
                <c:pt idx="70">
                  <c:v>-529434.0471570557</c:v>
                </c:pt>
                <c:pt idx="71">
                  <c:v>-520532.9482270283</c:v>
                </c:pt>
                <c:pt idx="72">
                  <c:v>-511674.41670283419</c:v>
                </c:pt>
                <c:pt idx="73">
                  <c:v>-502809.79480705759</c:v>
                </c:pt>
                <c:pt idx="74">
                  <c:v>-493987.56371239608</c:v>
                </c:pt>
                <c:pt idx="75">
                  <c:v>-485207.52109348064</c:v>
                </c:pt>
                <c:pt idx="76">
                  <c:v>-476469.4655890573</c:v>
                </c:pt>
                <c:pt idx="77">
                  <c:v>-467773.19679739932</c:v>
                </c:pt>
                <c:pt idx="78">
                  <c:v>-459118.51527174085</c:v>
                </c:pt>
                <c:pt idx="79">
                  <c:v>-450505.22251573269</c:v>
                </c:pt>
                <c:pt idx="80">
                  <c:v>-441933.1209789195</c:v>
                </c:pt>
                <c:pt idx="81">
                  <c:v>-433402.01405223832</c:v>
                </c:pt>
                <c:pt idx="82">
                  <c:v>-424911.70606353879</c:v>
                </c:pt>
                <c:pt idx="83">
                  <c:v>-416462.00227312441</c:v>
                </c:pt>
                <c:pt idx="84">
                  <c:v>-408052.70886931522</c:v>
                </c:pt>
                <c:pt idx="85">
                  <c:v>-399637.99997034913</c:v>
                </c:pt>
                <c:pt idx="86">
                  <c:v>-391263.53205968876</c:v>
                </c:pt>
                <c:pt idx="87">
                  <c:v>-382929.11306598963</c:v>
                </c:pt>
                <c:pt idx="88">
                  <c:v>-374634.55183318717</c:v>
                </c:pt>
                <c:pt idx="89">
                  <c:v>-366379.6581161411</c:v>
                </c:pt>
                <c:pt idx="90">
                  <c:v>-358164.24257630046</c:v>
                </c:pt>
                <c:pt idx="91">
                  <c:v>-349988.11677738925</c:v>
                </c:pt>
                <c:pt idx="92">
                  <c:v>-341851.09318111261</c:v>
                </c:pt>
                <c:pt idx="93">
                  <c:v>-333752.9851428835</c:v>
                </c:pt>
                <c:pt idx="94">
                  <c:v>-325693.60690756934</c:v>
                </c:pt>
                <c:pt idx="95">
                  <c:v>-317672.77360525948</c:v>
                </c:pt>
                <c:pt idx="96">
                  <c:v>-309690.30124705209</c:v>
                </c:pt>
                <c:pt idx="97">
                  <c:v>-301508.00285884261</c:v>
                </c:pt>
                <c:pt idx="98">
                  <c:v>-293364.82381135505</c:v>
                </c:pt>
                <c:pt idx="99">
                  <c:v>-285260.57742779993</c:v>
                </c:pt>
                <c:pt idx="100">
                  <c:v>-277195.07792079664</c:v>
                </c:pt>
                <c:pt idx="101">
                  <c:v>-269168.14038814185</c:v>
                </c:pt>
                <c:pt idx="102">
                  <c:v>-261179.58080859747</c:v>
                </c:pt>
                <c:pt idx="103">
                  <c:v>-253229.21603769911</c:v>
                </c:pt>
                <c:pt idx="104">
                  <c:v>-245316.86380358419</c:v>
                </c:pt>
                <c:pt idx="105">
                  <c:v>-237442.34270283993</c:v>
                </c:pt>
                <c:pt idx="106">
                  <c:v>-229605.47219637112</c:v>
                </c:pt>
                <c:pt idx="107">
                  <c:v>-221806.07260528748</c:v>
                </c:pt>
                <c:pt idx="108">
                  <c:v>-214043.96510681065</c:v>
                </c:pt>
                <c:pt idx="109">
                  <c:v>-206256.29181422116</c:v>
                </c:pt>
                <c:pt idx="110">
                  <c:v>-198505.8514673661</c:v>
                </c:pt>
                <c:pt idx="111">
                  <c:v>-190792.46639011029</c:v>
                </c:pt>
                <c:pt idx="112">
                  <c:v>-183115.95975284936</c:v>
                </c:pt>
                <c:pt idx="113">
                  <c:v>-175476.15556848177</c:v>
                </c:pt>
                <c:pt idx="114">
                  <c:v>-167872.87868840015</c:v>
                </c:pt>
                <c:pt idx="115">
                  <c:v>-160305.95479850163</c:v>
                </c:pt>
                <c:pt idx="116">
                  <c:v>-152775.21041521709</c:v>
                </c:pt>
                <c:pt idx="117">
                  <c:v>-145280.47288155937</c:v>
                </c:pt>
                <c:pt idx="118">
                  <c:v>-137821.57036319014</c:v>
                </c:pt>
                <c:pt idx="119">
                  <c:v>-130398.33184450555</c:v>
                </c:pt>
                <c:pt idx="120">
                  <c:v>-123010.58712474052</c:v>
                </c:pt>
                <c:pt idx="121">
                  <c:v>-115604.88844619428</c:v>
                </c:pt>
                <c:pt idx="122">
                  <c:v>-108234.59715076761</c:v>
                </c:pt>
                <c:pt idx="123">
                  <c:v>-100899.54427128314</c:v>
                </c:pt>
                <c:pt idx="124">
                  <c:v>-93599.561645611393</c:v>
                </c:pt>
                <c:pt idx="125">
                  <c:v>-86334.481912840318</c:v>
                </c:pt>
                <c:pt idx="126">
                  <c:v>-79104.138509462922</c:v>
                </c:pt>
                <c:pt idx="127">
                  <c:v>-71908.365665583071</c:v>
                </c:pt>
                <c:pt idx="128">
                  <c:v>-64746.998401139295</c:v>
                </c:pt>
                <c:pt idx="129">
                  <c:v>-57619.872522146572</c:v>
                </c:pt>
                <c:pt idx="130">
                  <c:v>-50526.824616955964</c:v>
                </c:pt>
                <c:pt idx="131">
                  <c:v>-43467.692052532009</c:v>
                </c:pt>
                <c:pt idx="132">
                  <c:v>-36442.312970747837</c:v>
                </c:pt>
                <c:pt idx="133">
                  <c:v>-29483.02911909602</c:v>
                </c:pt>
                <c:pt idx="134">
                  <c:v>-22557.023879928347</c:v>
                </c:pt>
                <c:pt idx="135">
                  <c:v>-15664.138422378095</c:v>
                </c:pt>
                <c:pt idx="136">
                  <c:v>-8804.2146724216091</c:v>
                </c:pt>
                <c:pt idx="137">
                  <c:v>-1977.0953092767741</c:v>
                </c:pt>
                <c:pt idx="138">
                  <c:v>4817.3762381814095</c:v>
                </c:pt>
                <c:pt idx="139">
                  <c:v>11579.355794988192</c:v>
                </c:pt>
                <c:pt idx="140">
                  <c:v>18308.998443639499</c:v>
                </c:pt>
                <c:pt idx="141">
                  <c:v>25006.458527625469</c:v>
                </c:pt>
                <c:pt idx="142">
                  <c:v>31671.889654947208</c:v>
                </c:pt>
                <c:pt idx="143">
                  <c:v>38305.444701616812</c:v>
                </c:pt>
                <c:pt idx="144">
                  <c:v>44907.275815140783</c:v>
                </c:pt>
                <c:pt idx="145">
                  <c:v>51496.365774358856</c:v>
                </c:pt>
                <c:pt idx="146">
                  <c:v>58053.945010507523</c:v>
                </c:pt>
                <c:pt idx="147">
                  <c:v>64580.163926120462</c:v>
                </c:pt>
                <c:pt idx="148">
                  <c:v>71075.172207012394</c:v>
                </c:pt>
                <c:pt idx="149">
                  <c:v>77539.118825689788</c:v>
                </c:pt>
                <c:pt idx="150">
                  <c:v>83972.152044745424</c:v>
                </c:pt>
                <c:pt idx="151">
                  <c:v>90374.419420236823</c:v>
                </c:pt>
                <c:pt idx="152">
                  <c:v>96746.067805048529</c:v>
                </c:pt>
                <c:pt idx="153">
                  <c:v>103087.2433522385</c:v>
                </c:pt>
                <c:pt idx="154">
                  <c:v>109398.09151836856</c:v>
                </c:pt>
                <c:pt idx="155">
                  <c:v>115678.75706681902</c:v>
                </c:pt>
                <c:pt idx="156">
                  <c:v>121929.38407108752</c:v>
                </c:pt>
                <c:pt idx="157">
                  <c:v>128200.03676515611</c:v>
                </c:pt>
                <c:pt idx="158">
                  <c:v>134440.70130151929</c:v>
                </c:pt>
                <c:pt idx="159">
                  <c:v>140651.52081655271</c:v>
                </c:pt>
                <c:pt idx="160">
                  <c:v>146832.63776453413</c:v>
                </c:pt>
                <c:pt idx="161">
                  <c:v>152984.19392088949</c:v>
                </c:pt>
                <c:pt idx="162">
                  <c:v>159106.33038542353</c:v>
                </c:pt>
                <c:pt idx="163">
                  <c:v>165199.18758553494</c:v>
                </c:pt>
                <c:pt idx="164">
                  <c:v>171262.90527941633</c:v>
                </c:pt>
                <c:pt idx="165">
                  <c:v>177297.62255923898</c:v>
                </c:pt>
                <c:pt idx="166">
                  <c:v>183303.47785432244</c:v>
                </c:pt>
                <c:pt idx="167">
                  <c:v>189280.60893428902</c:v>
                </c:pt>
                <c:pt idx="168">
                  <c:v>195229.15291220328</c:v>
                </c:pt>
                <c:pt idx="169">
                  <c:v>201164.32350877367</c:v>
                </c:pt>
                <c:pt idx="170">
                  <c:v>207071.10808412527</c:v>
                </c:pt>
                <c:pt idx="171">
                  <c:v>212949.64213645639</c:v>
                </c:pt>
                <c:pt idx="172">
                  <c:v>218800.06051823022</c:v>
                </c:pt>
                <c:pt idx="173">
                  <c:v>224622.49743924796</c:v>
                </c:pt>
                <c:pt idx="174">
                  <c:v>230417.08646970731</c:v>
                </c:pt>
                <c:pt idx="175">
                  <c:v>236183.96054324642</c:v>
                </c:pt>
                <c:pt idx="176">
                  <c:v>241923.25195997342</c:v>
                </c:pt>
                <c:pt idx="177">
                  <c:v>247635.09238948146</c:v>
                </c:pt>
                <c:pt idx="178">
                  <c:v>253319.61287384952</c:v>
                </c:pt>
                <c:pt idx="179">
                  <c:v>258976.94383062885</c:v>
                </c:pt>
                <c:pt idx="180">
                  <c:v>179106.42587014678</c:v>
                </c:pt>
                <c:pt idx="181">
                  <c:v>183884.34405790622</c:v>
                </c:pt>
                <c:pt idx="182">
                  <c:v>188639.35753025382</c:v>
                </c:pt>
                <c:pt idx="183">
                  <c:v>193371.57583500713</c:v>
                </c:pt>
                <c:pt idx="184">
                  <c:v>198081.10799705909</c:v>
                </c:pt>
                <c:pt idx="185">
                  <c:v>202768.06252087021</c:v>
                </c:pt>
                <c:pt idx="186">
                  <c:v>207432.54739294876</c:v>
                </c:pt>
                <c:pt idx="187">
                  <c:v>212074.67008431928</c:v>
                </c:pt>
                <c:pt idx="188">
                  <c:v>216694.53755297919</c:v>
                </c:pt>
                <c:pt idx="189">
                  <c:v>221292.25624634381</c:v>
                </c:pt>
                <c:pt idx="190">
                  <c:v>225867.93210367972</c:v>
                </c:pt>
                <c:pt idx="191">
                  <c:v>230421.67055852653</c:v>
                </c:pt>
                <c:pt idx="192">
                  <c:v>234953.57654110718</c:v>
                </c:pt>
                <c:pt idx="193">
                  <c:v>239485.92041437759</c:v>
                </c:pt>
                <c:pt idx="194">
                  <c:v>243996.53551780293</c:v>
                </c:pt>
                <c:pt idx="195">
                  <c:v>248485.52578014985</c:v>
                </c:pt>
                <c:pt idx="196">
                  <c:v>252952.99463406199</c:v>
                </c:pt>
                <c:pt idx="197">
                  <c:v>257399.04501842448</c:v>
                </c:pt>
                <c:pt idx="198">
                  <c:v>261823.77938071702</c:v>
                </c:pt>
                <c:pt idx="199">
                  <c:v>266227.29967935605</c:v>
                </c:pt>
                <c:pt idx="200">
                  <c:v>270609.7073860254</c:v>
                </c:pt>
                <c:pt idx="201">
                  <c:v>274971.10348799627</c:v>
                </c:pt>
                <c:pt idx="202">
                  <c:v>279311.58849043574</c:v>
                </c:pt>
                <c:pt idx="203">
                  <c:v>283631.26241870475</c:v>
                </c:pt>
                <c:pt idx="204">
                  <c:v>287930.22482064459</c:v>
                </c:pt>
                <c:pt idx="205">
                  <c:v>292278.81388128543</c:v>
                </c:pt>
                <c:pt idx="206">
                  <c:v>296606.55745003413</c:v>
                </c:pt>
                <c:pt idx="207">
                  <c:v>300913.55522163166</c:v>
                </c:pt>
                <c:pt idx="208">
                  <c:v>305199.90641494497</c:v>
                </c:pt>
                <c:pt idx="209">
                  <c:v>309465.7097752351</c:v>
                </c:pt>
                <c:pt idx="210">
                  <c:v>313711.06357641402</c:v>
                </c:pt>
                <c:pt idx="211">
                  <c:v>317936.06562329095</c:v>
                </c:pt>
                <c:pt idx="212">
                  <c:v>322140.81325380789</c:v>
                </c:pt>
                <c:pt idx="213">
                  <c:v>326325.40334126458</c:v>
                </c:pt>
                <c:pt idx="214">
                  <c:v>330489.93229653285</c:v>
                </c:pt>
                <c:pt idx="215">
                  <c:v>334634.49607026047</c:v>
                </c:pt>
                <c:pt idx="216">
                  <c:v>338759.1901550644</c:v>
                </c:pt>
                <c:pt idx="217">
                  <c:v>342878.91946557903</c:v>
                </c:pt>
                <c:pt idx="218">
                  <c:v>346978.89878139086</c:v>
                </c:pt>
                <c:pt idx="219">
                  <c:v>351059.22256423807</c:v>
                </c:pt>
                <c:pt idx="220">
                  <c:v>355119.98482493858</c:v>
                </c:pt>
                <c:pt idx="221">
                  <c:v>359161.279125539</c:v>
                </c:pt>
                <c:pt idx="222">
                  <c:v>363183.19858145353</c:v>
                </c:pt>
                <c:pt idx="223">
                  <c:v>367185.83586359239</c:v>
                </c:pt>
                <c:pt idx="224">
                  <c:v>371169.28320048033</c:v>
                </c:pt>
                <c:pt idx="225">
                  <c:v>375133.63238036504</c:v>
                </c:pt>
                <c:pt idx="226">
                  <c:v>379078.97475331539</c:v>
                </c:pt>
                <c:pt idx="227">
                  <c:v>383005.40123330976</c:v>
                </c:pt>
                <c:pt idx="228">
                  <c:v>386913.00230031461</c:v>
                </c:pt>
                <c:pt idx="229">
                  <c:v>390794.75213126233</c:v>
                </c:pt>
                <c:pt idx="230">
                  <c:v>394657.8898133529</c:v>
                </c:pt>
                <c:pt idx="231">
                  <c:v>398502.50437825371</c:v>
                </c:pt>
                <c:pt idx="232">
                  <c:v>402328.68443258433</c:v>
                </c:pt>
                <c:pt idx="233">
                  <c:v>406136.51815994229</c:v>
                </c:pt>
                <c:pt idx="234">
                  <c:v>409926.09332291939</c:v>
                </c:pt>
                <c:pt idx="235">
                  <c:v>413697.49726510834</c:v>
                </c:pt>
                <c:pt idx="236">
                  <c:v>417450.81691309984</c:v>
                </c:pt>
                <c:pt idx="237">
                  <c:v>421186.13877847011</c:v>
                </c:pt>
                <c:pt idx="238">
                  <c:v>424903.54895975901</c:v>
                </c:pt>
                <c:pt idx="239">
                  <c:v>428603.13314443879</c:v>
                </c:pt>
                <c:pt idx="240">
                  <c:v>432284.97661087348</c:v>
                </c:pt>
              </c:numCache>
            </c:numRef>
          </c:val>
          <c:smooth val="1"/>
          <c:extLst>
            <c:ext xmlns:c16="http://schemas.microsoft.com/office/drawing/2014/chart" uri="{C3380CC4-5D6E-409C-BE32-E72D297353CC}">
              <c16:uniqueId val="{00000000-AFFC-4292-8ACC-1E1197004AAE}"/>
            </c:ext>
          </c:extLst>
        </c:ser>
        <c:ser>
          <c:idx val="1"/>
          <c:order val="1"/>
          <c:tx>
            <c:strRef>
              <c:f>HybridCalcs!$J$3</c:f>
              <c:strCache>
                <c:ptCount val="1"/>
                <c:pt idx="0">
                  <c:v>Battery Cumulative DCF</c:v>
                </c:pt>
              </c:strCache>
              <c:extLst xmlns:c15="http://schemas.microsoft.com/office/drawing/2012/chart"/>
            </c:strRef>
          </c:tx>
          <c:spPr>
            <a:ln w="28575" cap="rnd">
              <a:solidFill>
                <a:schemeClr val="accent1"/>
              </a:solidFill>
              <a:round/>
            </a:ln>
            <a:effectLst/>
          </c:spPr>
          <c:marker>
            <c:symbol val="none"/>
          </c:marker>
          <c:val>
            <c:numRef>
              <c:f>[0]!BattcDCF</c:f>
              <c:numCache>
                <c:formatCode>"$"#,##0.00_);\("$"#,##0.00\)</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extLst xmlns:c15="http://schemas.microsoft.com/office/drawing/2012/chart"/>
            </c:numRef>
          </c:val>
          <c:smooth val="1"/>
          <c:extLst>
            <c:ext xmlns:c16="http://schemas.microsoft.com/office/drawing/2014/chart" uri="{C3380CC4-5D6E-409C-BE32-E72D297353CC}">
              <c16:uniqueId val="{00000001-AFFC-4292-8ACC-1E1197004AAE}"/>
            </c:ext>
          </c:extLst>
        </c:ser>
        <c:ser>
          <c:idx val="0"/>
          <c:order val="2"/>
          <c:tx>
            <c:strRef>
              <c:f>HybridCalcs!$G$3</c:f>
              <c:strCache>
                <c:ptCount val="1"/>
                <c:pt idx="0">
                  <c:v>PV Cumulative DCF</c:v>
                </c:pt>
              </c:strCache>
            </c:strRef>
          </c:tx>
          <c:spPr>
            <a:ln w="19050" cap="rnd" cmpd="sng">
              <a:solidFill>
                <a:srgbClr val="00CD3B"/>
              </a:solidFill>
              <a:round/>
            </a:ln>
            <a:effectLst/>
          </c:spPr>
          <c:marker>
            <c:symbol val="none"/>
          </c:marker>
          <c:cat>
            <c:numRef>
              <c:f>[0]!Year</c:f>
              <c:numCache>
                <c:formatCode>General</c:formatCode>
                <c:ptCount val="241"/>
                <c:pt idx="0">
                  <c:v>2025</c:v>
                </c:pt>
                <c:pt idx="12">
                  <c:v>2026</c:v>
                </c:pt>
                <c:pt idx="24">
                  <c:v>2027</c:v>
                </c:pt>
                <c:pt idx="36">
                  <c:v>2028</c:v>
                </c:pt>
                <c:pt idx="48">
                  <c:v>2029</c:v>
                </c:pt>
                <c:pt idx="60">
                  <c:v>2030</c:v>
                </c:pt>
                <c:pt idx="72">
                  <c:v>2031</c:v>
                </c:pt>
                <c:pt idx="84">
                  <c:v>2032</c:v>
                </c:pt>
                <c:pt idx="96">
                  <c:v>2033</c:v>
                </c:pt>
                <c:pt idx="108">
                  <c:v>2034</c:v>
                </c:pt>
                <c:pt idx="120">
                  <c:v>2035</c:v>
                </c:pt>
                <c:pt idx="132">
                  <c:v>2036</c:v>
                </c:pt>
                <c:pt idx="144">
                  <c:v>2037</c:v>
                </c:pt>
                <c:pt idx="156">
                  <c:v>2038</c:v>
                </c:pt>
                <c:pt idx="168">
                  <c:v>2039</c:v>
                </c:pt>
                <c:pt idx="180">
                  <c:v>2040</c:v>
                </c:pt>
                <c:pt idx="192">
                  <c:v>2041</c:v>
                </c:pt>
                <c:pt idx="204">
                  <c:v>2042</c:v>
                </c:pt>
                <c:pt idx="216">
                  <c:v>2043</c:v>
                </c:pt>
                <c:pt idx="228">
                  <c:v>2044</c:v>
                </c:pt>
                <c:pt idx="240">
                  <c:v>2045</c:v>
                </c:pt>
              </c:numCache>
            </c:numRef>
          </c:cat>
          <c:val>
            <c:numRef>
              <c:f>[0]!PVcDCF</c:f>
              <c:numCache>
                <c:formatCode>"$"#,##0.00_);\("$"#,##0.00\)</c:formatCode>
                <c:ptCount val="241"/>
                <c:pt idx="0">
                  <c:v>-2325000</c:v>
                </c:pt>
                <c:pt idx="1">
                  <c:v>-2312265.9218780044</c:v>
                </c:pt>
                <c:pt idx="2">
                  <c:v>-2299592.6866985774</c:v>
                </c:pt>
                <c:pt idx="3">
                  <c:v>-2286980.0042738877</c:v>
                </c:pt>
                <c:pt idx="4">
                  <c:v>-2274427.5857980689</c:v>
                </c:pt>
                <c:pt idx="5">
                  <c:v>-2261935.143840645</c:v>
                </c:pt>
                <c:pt idx="6">
                  <c:v>-2249502.3923399886</c:v>
                </c:pt>
                <c:pt idx="7">
                  <c:v>-2237129.0465968112</c:v>
                </c:pt>
                <c:pt idx="8">
                  <c:v>-2224814.8232676825</c:v>
                </c:pt>
                <c:pt idx="9">
                  <c:v>-2212559.4403585815</c:v>
                </c:pt>
                <c:pt idx="10">
                  <c:v>-2200362.6172184786</c:v>
                </c:pt>
                <c:pt idx="11">
                  <c:v>-2188224.074532948</c:v>
                </c:pt>
                <c:pt idx="12">
                  <c:v>-1274707.820032096</c:v>
                </c:pt>
                <c:pt idx="13">
                  <c:v>-1262819.4717724884</c:v>
                </c:pt>
                <c:pt idx="14">
                  <c:v>-1250987.9390911702</c:v>
                </c:pt>
                <c:pt idx="15">
                  <c:v>-1239212.950954519</c:v>
                </c:pt>
                <c:pt idx="16">
                  <c:v>-1227494.2376198752</c:v>
                </c:pt>
                <c:pt idx="17">
                  <c:v>-1215831.5306294018</c:v>
                </c:pt>
                <c:pt idx="18">
                  <c:v>-1204224.5628039713</c:v>
                </c:pt>
                <c:pt idx="19">
                  <c:v>-1192673.0682370835</c:v>
                </c:pt>
                <c:pt idx="20">
                  <c:v>-1181176.7822888116</c:v>
                </c:pt>
                <c:pt idx="21">
                  <c:v>-1169735.4415797768</c:v>
                </c:pt>
                <c:pt idx="22">
                  <c:v>-1158348.7839851519</c:v>
                </c:pt>
                <c:pt idx="23">
                  <c:v>-1147016.5486286934</c:v>
                </c:pt>
                <c:pt idx="24">
                  <c:v>-1015281.333019659</c:v>
                </c:pt>
                <c:pt idx="25">
                  <c:v>-1004314.8265475208</c:v>
                </c:pt>
                <c:pt idx="26">
                  <c:v>-993400.75055161153</c:v>
                </c:pt>
                <c:pt idx="27">
                  <c:v>-982538.85483498662</c:v>
                </c:pt>
                <c:pt idx="28">
                  <c:v>-971728.89039274643</c:v>
                </c:pt>
                <c:pt idx="29">
                  <c:v>-960970.60940636473</c:v>
                </c:pt>
                <c:pt idx="30">
                  <c:v>-950263.76523804374</c:v>
                </c:pt>
                <c:pt idx="31">
                  <c:v>-939608.11242509598</c:v>
                </c:pt>
                <c:pt idx="32">
                  <c:v>-929003.40667435306</c:v>
                </c:pt>
                <c:pt idx="33">
                  <c:v>-918449.40485660092</c:v>
                </c:pt>
                <c:pt idx="34">
                  <c:v>-907945.86500104121</c:v>
                </c:pt>
                <c:pt idx="35">
                  <c:v>-897492.54628977971</c:v>
                </c:pt>
                <c:pt idx="36">
                  <c:v>-858408.93694349693</c:v>
                </c:pt>
                <c:pt idx="37">
                  <c:v>-847959.22197177727</c:v>
                </c:pt>
                <c:pt idx="38">
                  <c:v>-837559.4663923725</c:v>
                </c:pt>
                <c:pt idx="39">
                  <c:v>-827209.43180158082</c:v>
                </c:pt>
                <c:pt idx="40">
                  <c:v>-816908.88093155215</c:v>
                </c:pt>
                <c:pt idx="41">
                  <c:v>-806657.577644884</c:v>
                </c:pt>
                <c:pt idx="42">
                  <c:v>-796455.28692924255</c:v>
                </c:pt>
                <c:pt idx="43">
                  <c:v>-786301.77489200956</c:v>
                </c:pt>
                <c:pt idx="44">
                  <c:v>-776196.80875495449</c:v>
                </c:pt>
                <c:pt idx="45">
                  <c:v>-766140.15684893203</c:v>
                </c:pt>
                <c:pt idx="46">
                  <c:v>-756131.58860860532</c:v>
                </c:pt>
                <c:pt idx="47">
                  <c:v>-746170.8745671931</c:v>
                </c:pt>
                <c:pt idx="48">
                  <c:v>-736257.78635124315</c:v>
                </c:pt>
                <c:pt idx="49">
                  <c:v>-726383.35317532858</c:v>
                </c:pt>
                <c:pt idx="50">
                  <c:v>-716556.13362008356</c:v>
                </c:pt>
                <c:pt idx="51">
                  <c:v>-706775.90236600756</c:v>
                </c:pt>
                <c:pt idx="52">
                  <c:v>-697042.43516718748</c:v>
                </c:pt>
                <c:pt idx="53">
                  <c:v>-687355.50884618959</c:v>
                </c:pt>
                <c:pt idx="54">
                  <c:v>-677714.90128897515</c:v>
                </c:pt>
                <c:pt idx="55">
                  <c:v>-668120.3914398402</c:v>
                </c:pt>
                <c:pt idx="56">
                  <c:v>-658571.75929637987</c:v>
                </c:pt>
                <c:pt idx="57">
                  <c:v>-649068.78590447619</c:v>
                </c:pt>
                <c:pt idx="58">
                  <c:v>-639611.25335330982</c:v>
                </c:pt>
                <c:pt idx="59">
                  <c:v>-630198.94477039564</c:v>
                </c:pt>
                <c:pt idx="60">
                  <c:v>-620831.64431664173</c:v>
                </c:pt>
                <c:pt idx="61">
                  <c:v>-611493.48025009281</c:v>
                </c:pt>
                <c:pt idx="62">
                  <c:v>-602199.96964010445</c:v>
                </c:pt>
                <c:pt idx="63">
                  <c:v>-592950.8993693121</c:v>
                </c:pt>
                <c:pt idx="64">
                  <c:v>-583746.05733586254</c:v>
                </c:pt>
                <c:pt idx="65">
                  <c:v>-574585.23244858149</c:v>
                </c:pt>
                <c:pt idx="66">
                  <c:v>-565468.21462216415</c:v>
                </c:pt>
                <c:pt idx="67">
                  <c:v>-556394.79477238853</c:v>
                </c:pt>
                <c:pt idx="68">
                  <c:v>-547364.7648113519</c:v>
                </c:pt>
                <c:pt idx="69">
                  <c:v>-538377.91764272947</c:v>
                </c:pt>
                <c:pt idx="70">
                  <c:v>-529434.0471570557</c:v>
                </c:pt>
                <c:pt idx="71">
                  <c:v>-520532.9482270283</c:v>
                </c:pt>
                <c:pt idx="72">
                  <c:v>-511674.41670283419</c:v>
                </c:pt>
                <c:pt idx="73">
                  <c:v>-502809.79480705759</c:v>
                </c:pt>
                <c:pt idx="74">
                  <c:v>-493987.56371239608</c:v>
                </c:pt>
                <c:pt idx="75">
                  <c:v>-485207.52109348064</c:v>
                </c:pt>
                <c:pt idx="76">
                  <c:v>-476469.4655890573</c:v>
                </c:pt>
                <c:pt idx="77">
                  <c:v>-467773.19679739932</c:v>
                </c:pt>
                <c:pt idx="78">
                  <c:v>-459118.51527174085</c:v>
                </c:pt>
                <c:pt idx="79">
                  <c:v>-450505.22251573269</c:v>
                </c:pt>
                <c:pt idx="80">
                  <c:v>-441933.1209789195</c:v>
                </c:pt>
                <c:pt idx="81">
                  <c:v>-433402.01405223832</c:v>
                </c:pt>
                <c:pt idx="82">
                  <c:v>-424911.70606353879</c:v>
                </c:pt>
                <c:pt idx="83">
                  <c:v>-416462.00227312441</c:v>
                </c:pt>
                <c:pt idx="84">
                  <c:v>-408052.70886931522</c:v>
                </c:pt>
                <c:pt idx="85">
                  <c:v>-399637.99997034913</c:v>
                </c:pt>
                <c:pt idx="86">
                  <c:v>-391263.53205968876</c:v>
                </c:pt>
                <c:pt idx="87">
                  <c:v>-382929.11306598963</c:v>
                </c:pt>
                <c:pt idx="88">
                  <c:v>-374634.55183318717</c:v>
                </c:pt>
                <c:pt idx="89">
                  <c:v>-366379.6581161411</c:v>
                </c:pt>
                <c:pt idx="90">
                  <c:v>-358164.24257630046</c:v>
                </c:pt>
                <c:pt idx="91">
                  <c:v>-349988.11677738925</c:v>
                </c:pt>
                <c:pt idx="92">
                  <c:v>-341851.09318111261</c:v>
                </c:pt>
                <c:pt idx="93">
                  <c:v>-333752.9851428835</c:v>
                </c:pt>
                <c:pt idx="94">
                  <c:v>-325693.60690756934</c:v>
                </c:pt>
                <c:pt idx="95">
                  <c:v>-317672.77360525948</c:v>
                </c:pt>
                <c:pt idx="96">
                  <c:v>-309690.30124705209</c:v>
                </c:pt>
                <c:pt idx="97">
                  <c:v>-301508.00285884261</c:v>
                </c:pt>
                <c:pt idx="98">
                  <c:v>-293364.82381135505</c:v>
                </c:pt>
                <c:pt idx="99">
                  <c:v>-285260.57742779993</c:v>
                </c:pt>
                <c:pt idx="100">
                  <c:v>-277195.07792079664</c:v>
                </c:pt>
                <c:pt idx="101">
                  <c:v>-269168.14038814185</c:v>
                </c:pt>
                <c:pt idx="102">
                  <c:v>-261179.58080859747</c:v>
                </c:pt>
                <c:pt idx="103">
                  <c:v>-253229.21603769911</c:v>
                </c:pt>
                <c:pt idx="104">
                  <c:v>-245316.86380358419</c:v>
                </c:pt>
                <c:pt idx="105">
                  <c:v>-237442.34270283993</c:v>
                </c:pt>
                <c:pt idx="106">
                  <c:v>-229605.47219637112</c:v>
                </c:pt>
                <c:pt idx="107">
                  <c:v>-221806.07260528748</c:v>
                </c:pt>
                <c:pt idx="108">
                  <c:v>-214043.96510681065</c:v>
                </c:pt>
                <c:pt idx="109">
                  <c:v>-206256.29181422116</c:v>
                </c:pt>
                <c:pt idx="110">
                  <c:v>-198505.8514673661</c:v>
                </c:pt>
                <c:pt idx="111">
                  <c:v>-190792.46639011029</c:v>
                </c:pt>
                <c:pt idx="112">
                  <c:v>-183115.95975284936</c:v>
                </c:pt>
                <c:pt idx="113">
                  <c:v>-175476.15556848177</c:v>
                </c:pt>
                <c:pt idx="114">
                  <c:v>-167872.87868840015</c:v>
                </c:pt>
                <c:pt idx="115">
                  <c:v>-160305.95479850163</c:v>
                </c:pt>
                <c:pt idx="116">
                  <c:v>-152775.21041521709</c:v>
                </c:pt>
                <c:pt idx="117">
                  <c:v>-145280.47288155937</c:v>
                </c:pt>
                <c:pt idx="118">
                  <c:v>-137821.57036319014</c:v>
                </c:pt>
                <c:pt idx="119">
                  <c:v>-130398.33184450555</c:v>
                </c:pt>
                <c:pt idx="120">
                  <c:v>-123010.58712474052</c:v>
                </c:pt>
                <c:pt idx="121">
                  <c:v>-115604.88844619428</c:v>
                </c:pt>
                <c:pt idx="122">
                  <c:v>-108234.59715076761</c:v>
                </c:pt>
                <c:pt idx="123">
                  <c:v>-100899.54427128314</c:v>
                </c:pt>
                <c:pt idx="124">
                  <c:v>-93599.561645611393</c:v>
                </c:pt>
                <c:pt idx="125">
                  <c:v>-86334.481912840318</c:v>
                </c:pt>
                <c:pt idx="126">
                  <c:v>-79104.138509462922</c:v>
                </c:pt>
                <c:pt idx="127">
                  <c:v>-71908.365665583071</c:v>
                </c:pt>
                <c:pt idx="128">
                  <c:v>-64746.998401139295</c:v>
                </c:pt>
                <c:pt idx="129">
                  <c:v>-57619.872522146572</c:v>
                </c:pt>
                <c:pt idx="130">
                  <c:v>-50526.824616955964</c:v>
                </c:pt>
                <c:pt idx="131">
                  <c:v>-43467.692052532009</c:v>
                </c:pt>
                <c:pt idx="132">
                  <c:v>-36442.312970747837</c:v>
                </c:pt>
                <c:pt idx="133">
                  <c:v>-29483.02911909602</c:v>
                </c:pt>
                <c:pt idx="134">
                  <c:v>-22557.023879928347</c:v>
                </c:pt>
                <c:pt idx="135">
                  <c:v>-15664.138422378095</c:v>
                </c:pt>
                <c:pt idx="136">
                  <c:v>-8804.2146724216091</c:v>
                </c:pt>
                <c:pt idx="137">
                  <c:v>-1977.0953092767741</c:v>
                </c:pt>
                <c:pt idx="138">
                  <c:v>4817.3762381814095</c:v>
                </c:pt>
                <c:pt idx="139">
                  <c:v>11579.355794988192</c:v>
                </c:pt>
                <c:pt idx="140">
                  <c:v>18308.998443639499</c:v>
                </c:pt>
                <c:pt idx="141">
                  <c:v>25006.458527625469</c:v>
                </c:pt>
                <c:pt idx="142">
                  <c:v>31671.889654947208</c:v>
                </c:pt>
                <c:pt idx="143">
                  <c:v>38305.444701616812</c:v>
                </c:pt>
                <c:pt idx="144">
                  <c:v>44907.275815140783</c:v>
                </c:pt>
                <c:pt idx="145">
                  <c:v>51496.365774358856</c:v>
                </c:pt>
                <c:pt idx="146">
                  <c:v>58053.945010507523</c:v>
                </c:pt>
                <c:pt idx="147">
                  <c:v>64580.163926120462</c:v>
                </c:pt>
                <c:pt idx="148">
                  <c:v>71075.172207012394</c:v>
                </c:pt>
                <c:pt idx="149">
                  <c:v>77539.118825689788</c:v>
                </c:pt>
                <c:pt idx="150">
                  <c:v>83972.152044745424</c:v>
                </c:pt>
                <c:pt idx="151">
                  <c:v>90374.419420236823</c:v>
                </c:pt>
                <c:pt idx="152">
                  <c:v>96746.067805048529</c:v>
                </c:pt>
                <c:pt idx="153">
                  <c:v>103087.2433522385</c:v>
                </c:pt>
                <c:pt idx="154">
                  <c:v>109398.09151836856</c:v>
                </c:pt>
                <c:pt idx="155">
                  <c:v>115678.75706681902</c:v>
                </c:pt>
                <c:pt idx="156">
                  <c:v>121929.38407108752</c:v>
                </c:pt>
                <c:pt idx="157">
                  <c:v>128200.03676515611</c:v>
                </c:pt>
                <c:pt idx="158">
                  <c:v>134440.70130151929</c:v>
                </c:pt>
                <c:pt idx="159">
                  <c:v>140651.52081655271</c:v>
                </c:pt>
                <c:pt idx="160">
                  <c:v>146832.63776453413</c:v>
                </c:pt>
                <c:pt idx="161">
                  <c:v>152984.19392088949</c:v>
                </c:pt>
                <c:pt idx="162">
                  <c:v>159106.33038542353</c:v>
                </c:pt>
                <c:pt idx="163">
                  <c:v>165199.18758553494</c:v>
                </c:pt>
                <c:pt idx="164">
                  <c:v>171262.90527941633</c:v>
                </c:pt>
                <c:pt idx="165">
                  <c:v>177297.62255923898</c:v>
                </c:pt>
                <c:pt idx="166">
                  <c:v>183303.47785432244</c:v>
                </c:pt>
                <c:pt idx="167">
                  <c:v>189280.60893428902</c:v>
                </c:pt>
                <c:pt idx="168">
                  <c:v>195229.15291220328</c:v>
                </c:pt>
                <c:pt idx="169">
                  <c:v>201164.32350877367</c:v>
                </c:pt>
                <c:pt idx="170">
                  <c:v>207071.10808412527</c:v>
                </c:pt>
                <c:pt idx="171">
                  <c:v>212949.64213645639</c:v>
                </c:pt>
                <c:pt idx="172">
                  <c:v>218800.06051823022</c:v>
                </c:pt>
                <c:pt idx="173">
                  <c:v>224622.49743924796</c:v>
                </c:pt>
                <c:pt idx="174">
                  <c:v>230417.08646970731</c:v>
                </c:pt>
                <c:pt idx="175">
                  <c:v>236183.96054324642</c:v>
                </c:pt>
                <c:pt idx="176">
                  <c:v>241923.25195997342</c:v>
                </c:pt>
                <c:pt idx="177">
                  <c:v>247635.09238948146</c:v>
                </c:pt>
                <c:pt idx="178">
                  <c:v>253319.61287384952</c:v>
                </c:pt>
                <c:pt idx="179">
                  <c:v>258976.94383062885</c:v>
                </c:pt>
                <c:pt idx="180">
                  <c:v>179106.42587014678</c:v>
                </c:pt>
                <c:pt idx="181">
                  <c:v>183884.34405790622</c:v>
                </c:pt>
                <c:pt idx="182">
                  <c:v>188639.35753025382</c:v>
                </c:pt>
                <c:pt idx="183">
                  <c:v>193371.57583500713</c:v>
                </c:pt>
                <c:pt idx="184">
                  <c:v>198081.10799705909</c:v>
                </c:pt>
                <c:pt idx="185">
                  <c:v>202768.06252087021</c:v>
                </c:pt>
                <c:pt idx="186">
                  <c:v>207432.54739294876</c:v>
                </c:pt>
                <c:pt idx="187">
                  <c:v>212074.67008431928</c:v>
                </c:pt>
                <c:pt idx="188">
                  <c:v>216694.53755297919</c:v>
                </c:pt>
                <c:pt idx="189">
                  <c:v>221292.25624634381</c:v>
                </c:pt>
                <c:pt idx="190">
                  <c:v>225867.93210367972</c:v>
                </c:pt>
                <c:pt idx="191">
                  <c:v>230421.67055852653</c:v>
                </c:pt>
                <c:pt idx="192">
                  <c:v>234953.57654110718</c:v>
                </c:pt>
                <c:pt idx="193">
                  <c:v>239485.92041437759</c:v>
                </c:pt>
                <c:pt idx="194">
                  <c:v>243996.53551780293</c:v>
                </c:pt>
                <c:pt idx="195">
                  <c:v>248485.52578014985</c:v>
                </c:pt>
                <c:pt idx="196">
                  <c:v>252952.99463406199</c:v>
                </c:pt>
                <c:pt idx="197">
                  <c:v>257399.04501842448</c:v>
                </c:pt>
                <c:pt idx="198">
                  <c:v>261823.77938071702</c:v>
                </c:pt>
                <c:pt idx="199">
                  <c:v>266227.29967935605</c:v>
                </c:pt>
                <c:pt idx="200">
                  <c:v>270609.7073860254</c:v>
                </c:pt>
                <c:pt idx="201">
                  <c:v>274971.10348799627</c:v>
                </c:pt>
                <c:pt idx="202">
                  <c:v>279311.58849043574</c:v>
                </c:pt>
                <c:pt idx="203">
                  <c:v>283631.26241870475</c:v>
                </c:pt>
                <c:pt idx="204">
                  <c:v>287930.22482064459</c:v>
                </c:pt>
                <c:pt idx="205">
                  <c:v>292278.81388128543</c:v>
                </c:pt>
                <c:pt idx="206">
                  <c:v>296606.55745003413</c:v>
                </c:pt>
                <c:pt idx="207">
                  <c:v>300913.55522163166</c:v>
                </c:pt>
                <c:pt idx="208">
                  <c:v>305199.90641494497</c:v>
                </c:pt>
                <c:pt idx="209">
                  <c:v>309465.7097752351</c:v>
                </c:pt>
                <c:pt idx="210">
                  <c:v>313711.06357641402</c:v>
                </c:pt>
                <c:pt idx="211">
                  <c:v>317936.06562329095</c:v>
                </c:pt>
                <c:pt idx="212">
                  <c:v>322140.81325380789</c:v>
                </c:pt>
                <c:pt idx="213">
                  <c:v>326325.40334126458</c:v>
                </c:pt>
                <c:pt idx="214">
                  <c:v>330489.93229653285</c:v>
                </c:pt>
                <c:pt idx="215">
                  <c:v>334634.49607026047</c:v>
                </c:pt>
                <c:pt idx="216">
                  <c:v>338759.1901550644</c:v>
                </c:pt>
                <c:pt idx="217">
                  <c:v>342878.91946557903</c:v>
                </c:pt>
                <c:pt idx="218">
                  <c:v>346978.89878139086</c:v>
                </c:pt>
                <c:pt idx="219">
                  <c:v>351059.22256423807</c:v>
                </c:pt>
                <c:pt idx="220">
                  <c:v>355119.98482493858</c:v>
                </c:pt>
                <c:pt idx="221">
                  <c:v>359161.279125539</c:v>
                </c:pt>
                <c:pt idx="222">
                  <c:v>363183.19858145353</c:v>
                </c:pt>
                <c:pt idx="223">
                  <c:v>367185.83586359239</c:v>
                </c:pt>
                <c:pt idx="224">
                  <c:v>371169.28320048033</c:v>
                </c:pt>
                <c:pt idx="225">
                  <c:v>375133.63238036504</c:v>
                </c:pt>
                <c:pt idx="226">
                  <c:v>379078.97475331539</c:v>
                </c:pt>
                <c:pt idx="227">
                  <c:v>383005.40123330976</c:v>
                </c:pt>
                <c:pt idx="228">
                  <c:v>386913.00230031461</c:v>
                </c:pt>
                <c:pt idx="229">
                  <c:v>390794.75213126233</c:v>
                </c:pt>
                <c:pt idx="230">
                  <c:v>394657.8898133529</c:v>
                </c:pt>
                <c:pt idx="231">
                  <c:v>398502.50437825371</c:v>
                </c:pt>
                <c:pt idx="232">
                  <c:v>402328.68443258433</c:v>
                </c:pt>
                <c:pt idx="233">
                  <c:v>406136.51815994229</c:v>
                </c:pt>
                <c:pt idx="234">
                  <c:v>409926.09332291939</c:v>
                </c:pt>
                <c:pt idx="235">
                  <c:v>413697.49726510834</c:v>
                </c:pt>
                <c:pt idx="236">
                  <c:v>417450.81691309984</c:v>
                </c:pt>
                <c:pt idx="237">
                  <c:v>421186.13877847011</c:v>
                </c:pt>
                <c:pt idx="238">
                  <c:v>424903.54895975901</c:v>
                </c:pt>
                <c:pt idx="239">
                  <c:v>428603.13314443879</c:v>
                </c:pt>
                <c:pt idx="240">
                  <c:v>432284.97661087348</c:v>
                </c:pt>
              </c:numCache>
            </c:numRef>
          </c:val>
          <c:smooth val="1"/>
          <c:extLst>
            <c:ext xmlns:c16="http://schemas.microsoft.com/office/drawing/2014/chart" uri="{C3380CC4-5D6E-409C-BE32-E72D297353CC}">
              <c16:uniqueId val="{00000002-AFFC-4292-8ACC-1E1197004AAE}"/>
            </c:ext>
          </c:extLst>
        </c:ser>
        <c:ser>
          <c:idx val="5"/>
          <c:order val="5"/>
          <c:tx>
            <c:strRef>
              <c:f>HybridCalcs!$Q$3</c:f>
              <c:strCache>
                <c:ptCount val="1"/>
                <c:pt idx="0">
                  <c:v> Battery Loan Interest Paid </c:v>
                </c:pt>
              </c:strCache>
              <c:extLst xmlns:c15="http://schemas.microsoft.com/office/drawing/2012/chart"/>
            </c:strRef>
          </c:tx>
          <c:spPr>
            <a:ln w="19050" cap="rnd">
              <a:solidFill>
                <a:srgbClr val="C00000"/>
              </a:solidFill>
              <a:prstDash val="sysDot"/>
              <a:round/>
            </a:ln>
            <a:effectLst/>
          </c:spPr>
          <c:marker>
            <c:symbol val="none"/>
          </c:marker>
          <c:val>
            <c:numRef>
              <c:f>[0]!Batt_L_I</c:f>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extLst xmlns:c15="http://schemas.microsoft.com/office/drawing/2012/chart"/>
            </c:numRef>
          </c:val>
          <c:smooth val="0"/>
          <c:extLst>
            <c:ext xmlns:c16="http://schemas.microsoft.com/office/drawing/2014/chart" uri="{C3380CC4-5D6E-409C-BE32-E72D297353CC}">
              <c16:uniqueId val="{00000003-AFFC-4292-8ACC-1E1197004AAE}"/>
            </c:ext>
          </c:extLst>
        </c:ser>
        <c:ser>
          <c:idx val="6"/>
          <c:order val="6"/>
          <c:tx>
            <c:strRef>
              <c:f>HybridCalcs!$R$3</c:f>
              <c:strCache>
                <c:ptCount val="1"/>
                <c:pt idx="0">
                  <c:v>Battery Loan Balance</c:v>
                </c:pt>
              </c:strCache>
              <c:extLst xmlns:c15="http://schemas.microsoft.com/office/drawing/2012/chart"/>
            </c:strRef>
          </c:tx>
          <c:spPr>
            <a:ln w="19050" cap="rnd">
              <a:solidFill>
                <a:schemeClr val="tx2">
                  <a:lumMod val="75000"/>
                </a:schemeClr>
              </a:solidFill>
              <a:prstDash val="sysDot"/>
              <a:round/>
            </a:ln>
            <a:effectLst/>
          </c:spPr>
          <c:marker>
            <c:symbol val="none"/>
          </c:marker>
          <c:val>
            <c:numRef>
              <c:f>[0]!Batt_L_B</c:f>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extLst xmlns:c15="http://schemas.microsoft.com/office/drawing/2012/chart"/>
            </c:numRef>
          </c:val>
          <c:smooth val="0"/>
          <c:extLst>
            <c:ext xmlns:c16="http://schemas.microsoft.com/office/drawing/2014/chart" uri="{C3380CC4-5D6E-409C-BE32-E72D297353CC}">
              <c16:uniqueId val="{00000004-AFFC-4292-8ACC-1E1197004AAE}"/>
            </c:ext>
          </c:extLst>
        </c:ser>
        <c:dLbls>
          <c:showLegendKey val="0"/>
          <c:showVal val="0"/>
          <c:showCatName val="0"/>
          <c:showSerName val="0"/>
          <c:showPercent val="0"/>
          <c:showBubbleSize val="0"/>
        </c:dLbls>
        <c:smooth val="0"/>
        <c:axId val="1477208751"/>
        <c:axId val="1975814159"/>
        <c:extLst>
          <c:ext xmlns:c15="http://schemas.microsoft.com/office/drawing/2012/chart" uri="{02D57815-91ED-43cb-92C2-25804820EDAC}">
            <c15:filteredLineSeries>
              <c15:ser>
                <c:idx val="3"/>
                <c:order val="3"/>
                <c:tx>
                  <c:strRef>
                    <c:extLst>
                      <c:ext uri="{02D57815-91ED-43cb-92C2-25804820EDAC}">
                        <c15:formulaRef>
                          <c15:sqref>HybridCalcs!$O$3</c15:sqref>
                        </c15:formulaRef>
                      </c:ext>
                    </c:extLst>
                    <c:strCache>
                      <c:ptCount val="1"/>
                      <c:pt idx="0">
                        <c:v>PV Loan Interest Paid</c:v>
                      </c:pt>
                    </c:strCache>
                  </c:strRef>
                </c:tx>
                <c:spPr>
                  <a:ln w="19050" cap="rnd">
                    <a:solidFill>
                      <a:srgbClr val="FF0000"/>
                    </a:solidFill>
                    <a:prstDash val="sysDot"/>
                    <a:round/>
                  </a:ln>
                  <a:effectLst/>
                </c:spPr>
                <c:marker>
                  <c:symbol val="none"/>
                </c:marker>
                <c:val>
                  <c:numRef>
                    <c:extLst>
                      <c:ext uri="{02D57815-91ED-43cb-92C2-25804820EDAC}">
                        <c15:formulaRef>
                          <c15:sqref>[0]!PVLI</c15:sqref>
                        </c15:formulaRef>
                      </c:ext>
                    </c:extLst>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1"/>
                <c:extLst>
                  <c:ext xmlns:c16="http://schemas.microsoft.com/office/drawing/2014/chart" uri="{C3380CC4-5D6E-409C-BE32-E72D297353CC}">
                    <c16:uniqueId val="{00000005-AFFC-4292-8ACC-1E1197004AA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HybridCalcs!$P$3</c15:sqref>
                        </c15:formulaRef>
                      </c:ext>
                    </c:extLst>
                    <c:strCache>
                      <c:ptCount val="1"/>
                      <c:pt idx="0">
                        <c:v>PV Loan Balance</c:v>
                      </c:pt>
                    </c:strCache>
                  </c:strRef>
                </c:tx>
                <c:spPr>
                  <a:ln w="19050" cap="rnd">
                    <a:solidFill>
                      <a:schemeClr val="tx1">
                        <a:lumMod val="65000"/>
                        <a:lumOff val="35000"/>
                      </a:schemeClr>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[0]!PVLB</c15:sqref>
                        </c15:formulaRef>
                      </c:ext>
                    </c:extLst>
                    <c:numCache>
                      <c:formatCode>_("$"* #,##0.00_);_("$"* \(#,##0.00\);_("$"* "-"??_);_(@_)</c:formatCode>
                      <c:ptCount val="2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numCache>
                  </c:numRef>
                </c:val>
                <c:smooth val="1"/>
                <c:extLst xmlns:c15="http://schemas.microsoft.com/office/drawing/2012/chart">
                  <c:ext xmlns:c16="http://schemas.microsoft.com/office/drawing/2014/chart" uri="{C3380CC4-5D6E-409C-BE32-E72D297353CC}">
                    <c16:uniqueId val="{00000006-AFFC-4292-8ACC-1E1197004AAE}"/>
                  </c:ext>
                </c:extLst>
              </c15:ser>
            </c15:filteredLineSeries>
          </c:ext>
        </c:extLst>
      </c:lineChart>
      <c:catAx>
        <c:axId val="14772087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75814159"/>
        <c:crosses val="autoZero"/>
        <c:auto val="1"/>
        <c:lblAlgn val="ctr"/>
        <c:lblOffset val="100"/>
        <c:tickMarkSkip val="12"/>
        <c:noMultiLvlLbl val="0"/>
      </c:catAx>
      <c:valAx>
        <c:axId val="197581415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0_);\(&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7208751"/>
        <c:crosses val="autoZero"/>
        <c:crossBetween val="between"/>
      </c:valAx>
      <c:spPr>
        <a:noFill/>
        <a:ln>
          <a:noFill/>
        </a:ln>
        <a:effectLst/>
      </c:spPr>
    </c:plotArea>
    <c:legend>
      <c:legendPos val="b"/>
      <c:layout>
        <c:manualLayout>
          <c:xMode val="edge"/>
          <c:yMode val="edge"/>
          <c:x val="0.11158439806544272"/>
          <c:y val="0.87558796529744132"/>
          <c:w val="0.83242904444475974"/>
          <c:h val="0.1211279624529692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a:innerShdw dist="12700" dir="2700000">
        <a:schemeClr val="tx1"/>
      </a:inn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spc="0" normalizeH="0" baseline="0">
                <a:solidFill>
                  <a:schemeClr val="tx1">
                    <a:lumMod val="65000"/>
                    <a:lumOff val="35000"/>
                  </a:schemeClr>
                </a:solidFill>
                <a:latin typeface="+mj-lt"/>
                <a:ea typeface="+mj-ea"/>
                <a:cs typeface="+mj-cs"/>
              </a:defRPr>
            </a:pPr>
            <a:r>
              <a:rPr lang="en-US" sz="1800" b="1"/>
              <a:t>Hybrid,</a:t>
            </a:r>
            <a:r>
              <a:rPr lang="en-US" sz="1800" b="1" baseline="0"/>
              <a:t> </a:t>
            </a:r>
            <a:r>
              <a:rPr lang="en-US" sz="1800" b="1"/>
              <a:t>Battery, and PV System Net</a:t>
            </a:r>
            <a:r>
              <a:rPr lang="en-US" sz="1800" b="1" baseline="0"/>
              <a:t> After-Tax Cash Flows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lineChart>
        <c:grouping val="standard"/>
        <c:varyColors val="0"/>
        <c:ser>
          <c:idx val="4"/>
          <c:order val="1"/>
          <c:tx>
            <c:v>Hybrid DCF</c:v>
          </c:tx>
          <c:spPr>
            <a:ln w="31750" cap="rnd">
              <a:solidFill>
                <a:srgbClr val="023246"/>
              </a:solidFill>
              <a:round/>
            </a:ln>
            <a:effectLst/>
          </c:spPr>
          <c:marker>
            <c:symbol val="none"/>
          </c:marker>
          <c:cat>
            <c:numRef>
              <c:f>BattCalcs!$B$4:$B$304</c:f>
              <c:numCache>
                <c:formatCode>General</c:formatCode>
                <c:ptCount val="301"/>
                <c:pt idx="0">
                  <c:v>0</c:v>
                </c:pt>
                <c:pt idx="12">
                  <c:v>1</c:v>
                </c:pt>
                <c:pt idx="24">
                  <c:v>2</c:v>
                </c:pt>
                <c:pt idx="36">
                  <c:v>3</c:v>
                </c:pt>
                <c:pt idx="48">
                  <c:v>4</c:v>
                </c:pt>
                <c:pt idx="60">
                  <c:v>5</c:v>
                </c:pt>
                <c:pt idx="72">
                  <c:v>6</c:v>
                </c:pt>
                <c:pt idx="84">
                  <c:v>7</c:v>
                </c:pt>
                <c:pt idx="96">
                  <c:v>8</c:v>
                </c:pt>
                <c:pt idx="108">
                  <c:v>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c:v>
                </c:pt>
                <c:pt idx="288">
                  <c:v>24</c:v>
                </c:pt>
                <c:pt idx="300">
                  <c:v>25</c:v>
                </c:pt>
              </c:numCache>
            </c:numRef>
          </c:cat>
          <c:val>
            <c:numRef>
              <c:f>HybridCalcs!$M$4:$M$304</c:f>
              <c:numCache>
                <c:formatCode>"$"#,##0.00_);\("$"#,##0.00\)</c:formatCode>
                <c:ptCount val="301"/>
                <c:pt idx="0">
                  <c:v>-2325000</c:v>
                </c:pt>
                <c:pt idx="1">
                  <c:v>-2312265.9218780044</c:v>
                </c:pt>
                <c:pt idx="2">
                  <c:v>-2299592.6866985774</c:v>
                </c:pt>
                <c:pt idx="3">
                  <c:v>-2286980.0042738877</c:v>
                </c:pt>
                <c:pt idx="4">
                  <c:v>-2274427.5857980689</c:v>
                </c:pt>
                <c:pt idx="5">
                  <c:v>-2261935.143840645</c:v>
                </c:pt>
                <c:pt idx="6">
                  <c:v>-2249502.3923399886</c:v>
                </c:pt>
                <c:pt idx="7">
                  <c:v>-2237129.0465968112</c:v>
                </c:pt>
                <c:pt idx="8">
                  <c:v>-2224814.8232676825</c:v>
                </c:pt>
                <c:pt idx="9">
                  <c:v>-2212559.4403585815</c:v>
                </c:pt>
                <c:pt idx="10">
                  <c:v>-2200362.6172184786</c:v>
                </c:pt>
                <c:pt idx="11">
                  <c:v>-2188224.074532948</c:v>
                </c:pt>
                <c:pt idx="12">
                  <c:v>-1274707.820032096</c:v>
                </c:pt>
                <c:pt idx="13">
                  <c:v>-1262819.4717724884</c:v>
                </c:pt>
                <c:pt idx="14">
                  <c:v>-1250987.9390911702</c:v>
                </c:pt>
                <c:pt idx="15">
                  <c:v>-1239212.950954519</c:v>
                </c:pt>
                <c:pt idx="16">
                  <c:v>-1227494.2376198752</c:v>
                </c:pt>
                <c:pt idx="17">
                  <c:v>-1215831.5306294018</c:v>
                </c:pt>
                <c:pt idx="18">
                  <c:v>-1204224.5628039713</c:v>
                </c:pt>
                <c:pt idx="19">
                  <c:v>-1192673.0682370835</c:v>
                </c:pt>
                <c:pt idx="20">
                  <c:v>-1181176.7822888116</c:v>
                </c:pt>
                <c:pt idx="21">
                  <c:v>-1169735.4415797768</c:v>
                </c:pt>
                <c:pt idx="22">
                  <c:v>-1158348.7839851519</c:v>
                </c:pt>
                <c:pt idx="23">
                  <c:v>-1147016.5486286934</c:v>
                </c:pt>
                <c:pt idx="24">
                  <c:v>-1015281.333019659</c:v>
                </c:pt>
                <c:pt idx="25">
                  <c:v>-1004314.8265475208</c:v>
                </c:pt>
                <c:pt idx="26">
                  <c:v>-993400.75055161153</c:v>
                </c:pt>
                <c:pt idx="27">
                  <c:v>-982538.85483498662</c:v>
                </c:pt>
                <c:pt idx="28">
                  <c:v>-971728.89039274643</c:v>
                </c:pt>
                <c:pt idx="29">
                  <c:v>-960970.60940636473</c:v>
                </c:pt>
                <c:pt idx="30">
                  <c:v>-950263.76523804374</c:v>
                </c:pt>
                <c:pt idx="31">
                  <c:v>-939608.11242509598</c:v>
                </c:pt>
                <c:pt idx="32">
                  <c:v>-929003.40667435306</c:v>
                </c:pt>
                <c:pt idx="33">
                  <c:v>-918449.40485660092</c:v>
                </c:pt>
                <c:pt idx="34">
                  <c:v>-907945.86500104121</c:v>
                </c:pt>
                <c:pt idx="35">
                  <c:v>-897492.54628977971</c:v>
                </c:pt>
                <c:pt idx="36">
                  <c:v>-858408.93694349693</c:v>
                </c:pt>
                <c:pt idx="37">
                  <c:v>-847959.22197177727</c:v>
                </c:pt>
                <c:pt idx="38">
                  <c:v>-837559.4663923725</c:v>
                </c:pt>
                <c:pt idx="39">
                  <c:v>-827209.43180158082</c:v>
                </c:pt>
                <c:pt idx="40">
                  <c:v>-816908.88093155215</c:v>
                </c:pt>
                <c:pt idx="41">
                  <c:v>-806657.577644884</c:v>
                </c:pt>
                <c:pt idx="42">
                  <c:v>-796455.28692924255</c:v>
                </c:pt>
                <c:pt idx="43">
                  <c:v>-786301.77489200956</c:v>
                </c:pt>
                <c:pt idx="44">
                  <c:v>-776196.80875495449</c:v>
                </c:pt>
                <c:pt idx="45">
                  <c:v>-766140.15684893203</c:v>
                </c:pt>
                <c:pt idx="46">
                  <c:v>-756131.58860860532</c:v>
                </c:pt>
                <c:pt idx="47">
                  <c:v>-746170.8745671931</c:v>
                </c:pt>
                <c:pt idx="48">
                  <c:v>-736257.78635124315</c:v>
                </c:pt>
                <c:pt idx="49">
                  <c:v>-726383.35317532858</c:v>
                </c:pt>
                <c:pt idx="50">
                  <c:v>-716556.13362008356</c:v>
                </c:pt>
                <c:pt idx="51">
                  <c:v>-706775.90236600756</c:v>
                </c:pt>
                <c:pt idx="52">
                  <c:v>-697042.43516718748</c:v>
                </c:pt>
                <c:pt idx="53">
                  <c:v>-687355.50884618959</c:v>
                </c:pt>
                <c:pt idx="54">
                  <c:v>-677714.90128897515</c:v>
                </c:pt>
                <c:pt idx="55">
                  <c:v>-668120.3914398402</c:v>
                </c:pt>
                <c:pt idx="56">
                  <c:v>-658571.75929637987</c:v>
                </c:pt>
                <c:pt idx="57">
                  <c:v>-649068.78590447619</c:v>
                </c:pt>
                <c:pt idx="58">
                  <c:v>-639611.25335330982</c:v>
                </c:pt>
                <c:pt idx="59">
                  <c:v>-630198.94477039564</c:v>
                </c:pt>
                <c:pt idx="60">
                  <c:v>-620831.64431664173</c:v>
                </c:pt>
                <c:pt idx="61">
                  <c:v>-611493.48025009281</c:v>
                </c:pt>
                <c:pt idx="62">
                  <c:v>-602199.96964010445</c:v>
                </c:pt>
                <c:pt idx="63">
                  <c:v>-592950.8993693121</c:v>
                </c:pt>
                <c:pt idx="64">
                  <c:v>-583746.05733586254</c:v>
                </c:pt>
                <c:pt idx="65">
                  <c:v>-574585.23244858149</c:v>
                </c:pt>
                <c:pt idx="66">
                  <c:v>-565468.21462216415</c:v>
                </c:pt>
                <c:pt idx="67">
                  <c:v>-556394.79477238853</c:v>
                </c:pt>
                <c:pt idx="68">
                  <c:v>-547364.7648113519</c:v>
                </c:pt>
                <c:pt idx="69">
                  <c:v>-538377.91764272947</c:v>
                </c:pt>
                <c:pt idx="70">
                  <c:v>-529434.0471570557</c:v>
                </c:pt>
                <c:pt idx="71">
                  <c:v>-520532.9482270283</c:v>
                </c:pt>
                <c:pt idx="72">
                  <c:v>-511674.41670283419</c:v>
                </c:pt>
                <c:pt idx="73">
                  <c:v>-502809.79480705759</c:v>
                </c:pt>
                <c:pt idx="74">
                  <c:v>-493987.56371239608</c:v>
                </c:pt>
                <c:pt idx="75">
                  <c:v>-485207.52109348064</c:v>
                </c:pt>
                <c:pt idx="76">
                  <c:v>-476469.4655890573</c:v>
                </c:pt>
                <c:pt idx="77">
                  <c:v>-467773.19679739932</c:v>
                </c:pt>
                <c:pt idx="78">
                  <c:v>-459118.51527174085</c:v>
                </c:pt>
                <c:pt idx="79">
                  <c:v>-450505.22251573269</c:v>
                </c:pt>
                <c:pt idx="80">
                  <c:v>-441933.1209789195</c:v>
                </c:pt>
                <c:pt idx="81">
                  <c:v>-433402.01405223832</c:v>
                </c:pt>
                <c:pt idx="82">
                  <c:v>-424911.70606353879</c:v>
                </c:pt>
                <c:pt idx="83">
                  <c:v>-416462.00227312441</c:v>
                </c:pt>
                <c:pt idx="84">
                  <c:v>-408052.70886931522</c:v>
                </c:pt>
                <c:pt idx="85">
                  <c:v>-399637.99997034913</c:v>
                </c:pt>
                <c:pt idx="86">
                  <c:v>-391263.53205968876</c:v>
                </c:pt>
                <c:pt idx="87">
                  <c:v>-382929.11306598963</c:v>
                </c:pt>
                <c:pt idx="88">
                  <c:v>-374634.55183318717</c:v>
                </c:pt>
                <c:pt idx="89">
                  <c:v>-366379.6581161411</c:v>
                </c:pt>
                <c:pt idx="90">
                  <c:v>-358164.24257630046</c:v>
                </c:pt>
                <c:pt idx="91">
                  <c:v>-349988.11677738925</c:v>
                </c:pt>
                <c:pt idx="92">
                  <c:v>-341851.09318111261</c:v>
                </c:pt>
                <c:pt idx="93">
                  <c:v>-333752.9851428835</c:v>
                </c:pt>
                <c:pt idx="94">
                  <c:v>-325693.60690756934</c:v>
                </c:pt>
                <c:pt idx="95">
                  <c:v>-317672.77360525948</c:v>
                </c:pt>
                <c:pt idx="96">
                  <c:v>-309690.30124705209</c:v>
                </c:pt>
                <c:pt idx="97">
                  <c:v>-301508.00285884261</c:v>
                </c:pt>
                <c:pt idx="98">
                  <c:v>-293364.82381135505</c:v>
                </c:pt>
                <c:pt idx="99">
                  <c:v>-285260.57742779993</c:v>
                </c:pt>
                <c:pt idx="100">
                  <c:v>-277195.07792079664</c:v>
                </c:pt>
                <c:pt idx="101">
                  <c:v>-269168.14038814185</c:v>
                </c:pt>
                <c:pt idx="102">
                  <c:v>-261179.58080859747</c:v>
                </c:pt>
                <c:pt idx="103">
                  <c:v>-253229.21603769911</c:v>
                </c:pt>
                <c:pt idx="104">
                  <c:v>-245316.86380358419</c:v>
                </c:pt>
                <c:pt idx="105">
                  <c:v>-237442.34270283993</c:v>
                </c:pt>
                <c:pt idx="106">
                  <c:v>-229605.47219637112</c:v>
                </c:pt>
                <c:pt idx="107">
                  <c:v>-221806.07260528748</c:v>
                </c:pt>
                <c:pt idx="108">
                  <c:v>-214043.96510681065</c:v>
                </c:pt>
                <c:pt idx="109">
                  <c:v>-206256.29181422116</c:v>
                </c:pt>
                <c:pt idx="110">
                  <c:v>-198505.8514673661</c:v>
                </c:pt>
                <c:pt idx="111">
                  <c:v>-190792.46639011029</c:v>
                </c:pt>
                <c:pt idx="112">
                  <c:v>-183115.95975284936</c:v>
                </c:pt>
                <c:pt idx="113">
                  <c:v>-175476.15556848177</c:v>
                </c:pt>
                <c:pt idx="114">
                  <c:v>-167872.87868840015</c:v>
                </c:pt>
                <c:pt idx="115">
                  <c:v>-160305.95479850163</c:v>
                </c:pt>
                <c:pt idx="116">
                  <c:v>-152775.21041521709</c:v>
                </c:pt>
                <c:pt idx="117">
                  <c:v>-145280.47288155937</c:v>
                </c:pt>
                <c:pt idx="118">
                  <c:v>-137821.57036319014</c:v>
                </c:pt>
                <c:pt idx="119">
                  <c:v>-130398.33184450555</c:v>
                </c:pt>
                <c:pt idx="120">
                  <c:v>-123010.58712474052</c:v>
                </c:pt>
                <c:pt idx="121">
                  <c:v>-115604.88844619428</c:v>
                </c:pt>
                <c:pt idx="122">
                  <c:v>-108234.59715076761</c:v>
                </c:pt>
                <c:pt idx="123">
                  <c:v>-100899.54427128314</c:v>
                </c:pt>
                <c:pt idx="124">
                  <c:v>-93599.561645611393</c:v>
                </c:pt>
                <c:pt idx="125">
                  <c:v>-86334.481912840318</c:v>
                </c:pt>
                <c:pt idx="126">
                  <c:v>-79104.138509462922</c:v>
                </c:pt>
                <c:pt idx="127">
                  <c:v>-71908.365665583071</c:v>
                </c:pt>
                <c:pt idx="128">
                  <c:v>-64746.998401139295</c:v>
                </c:pt>
                <c:pt idx="129">
                  <c:v>-57619.872522146572</c:v>
                </c:pt>
                <c:pt idx="130">
                  <c:v>-50526.824616955964</c:v>
                </c:pt>
                <c:pt idx="131">
                  <c:v>-43467.692052532009</c:v>
                </c:pt>
                <c:pt idx="132">
                  <c:v>-36442.312970747837</c:v>
                </c:pt>
                <c:pt idx="133">
                  <c:v>-29483.02911909602</c:v>
                </c:pt>
                <c:pt idx="134">
                  <c:v>-22557.023879928347</c:v>
                </c:pt>
                <c:pt idx="135">
                  <c:v>-15664.138422378095</c:v>
                </c:pt>
                <c:pt idx="136">
                  <c:v>-8804.2146724216091</c:v>
                </c:pt>
                <c:pt idx="137">
                  <c:v>-1977.0953092767741</c:v>
                </c:pt>
                <c:pt idx="138">
                  <c:v>4817.3762381814095</c:v>
                </c:pt>
                <c:pt idx="139">
                  <c:v>11579.355794988192</c:v>
                </c:pt>
                <c:pt idx="140">
                  <c:v>18308.998443639499</c:v>
                </c:pt>
                <c:pt idx="141">
                  <c:v>25006.458527625469</c:v>
                </c:pt>
                <c:pt idx="142">
                  <c:v>31671.889654947208</c:v>
                </c:pt>
                <c:pt idx="143">
                  <c:v>38305.444701616812</c:v>
                </c:pt>
                <c:pt idx="144">
                  <c:v>44907.275815140783</c:v>
                </c:pt>
                <c:pt idx="145">
                  <c:v>51496.365774358856</c:v>
                </c:pt>
                <c:pt idx="146">
                  <c:v>58053.945010507523</c:v>
                </c:pt>
                <c:pt idx="147">
                  <c:v>64580.163926120462</c:v>
                </c:pt>
                <c:pt idx="148">
                  <c:v>71075.172207012394</c:v>
                </c:pt>
                <c:pt idx="149">
                  <c:v>77539.118825689788</c:v>
                </c:pt>
                <c:pt idx="150">
                  <c:v>83972.152044745424</c:v>
                </c:pt>
                <c:pt idx="151">
                  <c:v>90374.419420236823</c:v>
                </c:pt>
                <c:pt idx="152">
                  <c:v>96746.067805048529</c:v>
                </c:pt>
                <c:pt idx="153">
                  <c:v>103087.2433522385</c:v>
                </c:pt>
                <c:pt idx="154">
                  <c:v>109398.09151836856</c:v>
                </c:pt>
                <c:pt idx="155">
                  <c:v>115678.75706681902</c:v>
                </c:pt>
                <c:pt idx="156">
                  <c:v>121929.38407108752</c:v>
                </c:pt>
                <c:pt idx="157">
                  <c:v>128200.03676515611</c:v>
                </c:pt>
                <c:pt idx="158">
                  <c:v>134440.70130151929</c:v>
                </c:pt>
                <c:pt idx="159">
                  <c:v>140651.52081655271</c:v>
                </c:pt>
                <c:pt idx="160">
                  <c:v>146832.63776453413</c:v>
                </c:pt>
                <c:pt idx="161">
                  <c:v>152984.19392088949</c:v>
                </c:pt>
                <c:pt idx="162">
                  <c:v>159106.33038542353</c:v>
                </c:pt>
                <c:pt idx="163">
                  <c:v>165199.18758553494</c:v>
                </c:pt>
                <c:pt idx="164">
                  <c:v>171262.90527941633</c:v>
                </c:pt>
                <c:pt idx="165">
                  <c:v>177297.62255923898</c:v>
                </c:pt>
                <c:pt idx="166">
                  <c:v>183303.47785432244</c:v>
                </c:pt>
                <c:pt idx="167">
                  <c:v>189280.60893428902</c:v>
                </c:pt>
                <c:pt idx="168">
                  <c:v>195229.15291220328</c:v>
                </c:pt>
                <c:pt idx="169">
                  <c:v>201164.32350877367</c:v>
                </c:pt>
                <c:pt idx="170">
                  <c:v>207071.10808412527</c:v>
                </c:pt>
                <c:pt idx="171">
                  <c:v>212949.64213645639</c:v>
                </c:pt>
                <c:pt idx="172">
                  <c:v>218800.06051823022</c:v>
                </c:pt>
                <c:pt idx="173">
                  <c:v>224622.49743924796</c:v>
                </c:pt>
                <c:pt idx="174">
                  <c:v>230417.08646970731</c:v>
                </c:pt>
                <c:pt idx="175">
                  <c:v>236183.96054324642</c:v>
                </c:pt>
                <c:pt idx="176">
                  <c:v>241923.25195997342</c:v>
                </c:pt>
                <c:pt idx="177">
                  <c:v>247635.09238948146</c:v>
                </c:pt>
                <c:pt idx="178">
                  <c:v>253319.61287384952</c:v>
                </c:pt>
                <c:pt idx="179">
                  <c:v>258976.94383062885</c:v>
                </c:pt>
                <c:pt idx="180">
                  <c:v>179106.42587014678</c:v>
                </c:pt>
                <c:pt idx="181">
                  <c:v>183884.34405790622</c:v>
                </c:pt>
                <c:pt idx="182">
                  <c:v>188639.35753025382</c:v>
                </c:pt>
                <c:pt idx="183">
                  <c:v>193371.57583500713</c:v>
                </c:pt>
                <c:pt idx="184">
                  <c:v>198081.10799705909</c:v>
                </c:pt>
                <c:pt idx="185">
                  <c:v>202768.06252087021</c:v>
                </c:pt>
                <c:pt idx="186">
                  <c:v>207432.54739294876</c:v>
                </c:pt>
                <c:pt idx="187">
                  <c:v>212074.67008431928</c:v>
                </c:pt>
                <c:pt idx="188">
                  <c:v>216694.53755297919</c:v>
                </c:pt>
                <c:pt idx="189">
                  <c:v>221292.25624634381</c:v>
                </c:pt>
                <c:pt idx="190">
                  <c:v>225867.93210367972</c:v>
                </c:pt>
                <c:pt idx="191">
                  <c:v>230421.67055852653</c:v>
                </c:pt>
                <c:pt idx="192">
                  <c:v>234953.57654110718</c:v>
                </c:pt>
                <c:pt idx="193">
                  <c:v>239485.92041437759</c:v>
                </c:pt>
                <c:pt idx="194">
                  <c:v>243996.53551780293</c:v>
                </c:pt>
                <c:pt idx="195">
                  <c:v>248485.52578014985</c:v>
                </c:pt>
                <c:pt idx="196">
                  <c:v>252952.99463406199</c:v>
                </c:pt>
                <c:pt idx="197">
                  <c:v>257399.04501842448</c:v>
                </c:pt>
                <c:pt idx="198">
                  <c:v>261823.77938071702</c:v>
                </c:pt>
                <c:pt idx="199">
                  <c:v>266227.29967935605</c:v>
                </c:pt>
                <c:pt idx="200">
                  <c:v>270609.7073860254</c:v>
                </c:pt>
                <c:pt idx="201">
                  <c:v>274971.10348799627</c:v>
                </c:pt>
                <c:pt idx="202">
                  <c:v>279311.58849043574</c:v>
                </c:pt>
                <c:pt idx="203">
                  <c:v>283631.26241870475</c:v>
                </c:pt>
                <c:pt idx="204">
                  <c:v>287930.22482064459</c:v>
                </c:pt>
                <c:pt idx="205">
                  <c:v>292278.81388128543</c:v>
                </c:pt>
                <c:pt idx="206">
                  <c:v>296606.55745003413</c:v>
                </c:pt>
                <c:pt idx="207">
                  <c:v>300913.55522163166</c:v>
                </c:pt>
                <c:pt idx="208">
                  <c:v>305199.90641494497</c:v>
                </c:pt>
                <c:pt idx="209">
                  <c:v>309465.7097752351</c:v>
                </c:pt>
                <c:pt idx="210">
                  <c:v>313711.06357641402</c:v>
                </c:pt>
                <c:pt idx="211">
                  <c:v>317936.06562329095</c:v>
                </c:pt>
                <c:pt idx="212">
                  <c:v>322140.81325380789</c:v>
                </c:pt>
                <c:pt idx="213">
                  <c:v>326325.40334126458</c:v>
                </c:pt>
                <c:pt idx="214">
                  <c:v>330489.93229653285</c:v>
                </c:pt>
                <c:pt idx="215">
                  <c:v>334634.49607026047</c:v>
                </c:pt>
                <c:pt idx="216">
                  <c:v>338759.1901550644</c:v>
                </c:pt>
                <c:pt idx="217">
                  <c:v>342878.91946557903</c:v>
                </c:pt>
                <c:pt idx="218">
                  <c:v>346978.89878139086</c:v>
                </c:pt>
                <c:pt idx="219">
                  <c:v>351059.22256423807</c:v>
                </c:pt>
                <c:pt idx="220">
                  <c:v>355119.98482493858</c:v>
                </c:pt>
                <c:pt idx="221">
                  <c:v>359161.279125539</c:v>
                </c:pt>
                <c:pt idx="222">
                  <c:v>363183.19858145353</c:v>
                </c:pt>
                <c:pt idx="223">
                  <c:v>367185.83586359239</c:v>
                </c:pt>
                <c:pt idx="224">
                  <c:v>371169.28320048033</c:v>
                </c:pt>
                <c:pt idx="225">
                  <c:v>375133.63238036504</c:v>
                </c:pt>
                <c:pt idx="226">
                  <c:v>379078.97475331539</c:v>
                </c:pt>
                <c:pt idx="227">
                  <c:v>383005.40123330976</c:v>
                </c:pt>
                <c:pt idx="228">
                  <c:v>386913.00230031461</c:v>
                </c:pt>
                <c:pt idx="229">
                  <c:v>390794.75213126233</c:v>
                </c:pt>
                <c:pt idx="230">
                  <c:v>394657.8898133529</c:v>
                </c:pt>
                <c:pt idx="231">
                  <c:v>398502.50437825371</c:v>
                </c:pt>
                <c:pt idx="232">
                  <c:v>402328.68443258433</c:v>
                </c:pt>
                <c:pt idx="233">
                  <c:v>406136.51815994229</c:v>
                </c:pt>
                <c:pt idx="234">
                  <c:v>409926.09332291939</c:v>
                </c:pt>
                <c:pt idx="235">
                  <c:v>413697.49726510834</c:v>
                </c:pt>
                <c:pt idx="236">
                  <c:v>417450.81691309984</c:v>
                </c:pt>
                <c:pt idx="237">
                  <c:v>421186.13877847011</c:v>
                </c:pt>
                <c:pt idx="238">
                  <c:v>424903.54895975901</c:v>
                </c:pt>
                <c:pt idx="239">
                  <c:v>428603.13314443879</c:v>
                </c:pt>
                <c:pt idx="240">
                  <c:v>432284.97661087348</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numCache>
            </c:numRef>
          </c:val>
          <c:smooth val="1"/>
          <c:extLst>
            <c:ext xmlns:c16="http://schemas.microsoft.com/office/drawing/2014/chart" uri="{C3380CC4-5D6E-409C-BE32-E72D297353CC}">
              <c16:uniqueId val="{00000001-2BB6-48D6-A8BF-7E330068A144}"/>
            </c:ext>
          </c:extLst>
        </c:ser>
        <c:ser>
          <c:idx val="3"/>
          <c:order val="2"/>
          <c:tx>
            <c:v>Battery DCF</c:v>
          </c:tx>
          <c:spPr>
            <a:ln w="22225" cap="rnd">
              <a:solidFill>
                <a:srgbClr val="1086C0"/>
              </a:solidFill>
              <a:round/>
            </a:ln>
            <a:effectLst/>
          </c:spPr>
          <c:marker>
            <c:symbol val="none"/>
          </c:marker>
          <c:cat>
            <c:numRef>
              <c:f>BattCalcs!$B$4:$B$304</c:f>
              <c:numCache>
                <c:formatCode>General</c:formatCode>
                <c:ptCount val="301"/>
                <c:pt idx="0">
                  <c:v>0</c:v>
                </c:pt>
                <c:pt idx="12">
                  <c:v>1</c:v>
                </c:pt>
                <c:pt idx="24">
                  <c:v>2</c:v>
                </c:pt>
                <c:pt idx="36">
                  <c:v>3</c:v>
                </c:pt>
                <c:pt idx="48">
                  <c:v>4</c:v>
                </c:pt>
                <c:pt idx="60">
                  <c:v>5</c:v>
                </c:pt>
                <c:pt idx="72">
                  <c:v>6</c:v>
                </c:pt>
                <c:pt idx="84">
                  <c:v>7</c:v>
                </c:pt>
                <c:pt idx="96">
                  <c:v>8</c:v>
                </c:pt>
                <c:pt idx="108">
                  <c:v>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c:v>
                </c:pt>
                <c:pt idx="288">
                  <c:v>24</c:v>
                </c:pt>
                <c:pt idx="300">
                  <c:v>25</c:v>
                </c:pt>
              </c:numCache>
            </c:numRef>
          </c:cat>
          <c:val>
            <c:numRef>
              <c:f>BattCalcs!$CO$4:$CO$304</c:f>
              <c:numCache>
                <c:formatCode>_("$"* #,##0.00_);_("$"* \(#,##0.00\);_("$"* "-"??_);_(@_)</c:formatCode>
                <c:ptCount val="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numCache>
            </c:numRef>
          </c:val>
          <c:smooth val="1"/>
          <c:extLst>
            <c:ext xmlns:c16="http://schemas.microsoft.com/office/drawing/2014/chart" uri="{C3380CC4-5D6E-409C-BE32-E72D297353CC}">
              <c16:uniqueId val="{00000000-2BB6-48D6-A8BF-7E330068A144}"/>
            </c:ext>
          </c:extLst>
        </c:ser>
        <c:ser>
          <c:idx val="5"/>
          <c:order val="3"/>
          <c:tx>
            <c:v>PV DCF</c:v>
          </c:tx>
          <c:spPr>
            <a:ln w="22225" cap="rnd">
              <a:solidFill>
                <a:srgbClr val="00CD3B"/>
              </a:solidFill>
              <a:round/>
            </a:ln>
            <a:effectLst/>
          </c:spPr>
          <c:marker>
            <c:symbol val="none"/>
          </c:marker>
          <c:val>
            <c:numRef>
              <c:f>PVCalcs!$AX$4:$AX$304</c:f>
              <c:numCache>
                <c:formatCode>_("$"* #,##0.00_);_("$"* \(#,##0.00\);_("$"* "-"??_);_(@_)</c:formatCode>
                <c:ptCount val="301"/>
                <c:pt idx="0">
                  <c:v>-2325000</c:v>
                </c:pt>
                <c:pt idx="1">
                  <c:v>-2312265.9218780044</c:v>
                </c:pt>
                <c:pt idx="2">
                  <c:v>-2299592.6866985774</c:v>
                </c:pt>
                <c:pt idx="3">
                  <c:v>-2286980.0042738877</c:v>
                </c:pt>
                <c:pt idx="4">
                  <c:v>-2274427.5857980689</c:v>
                </c:pt>
                <c:pt idx="5">
                  <c:v>-2261935.143840645</c:v>
                </c:pt>
                <c:pt idx="6">
                  <c:v>-2249502.3923399886</c:v>
                </c:pt>
                <c:pt idx="7">
                  <c:v>-2237129.0465968112</c:v>
                </c:pt>
                <c:pt idx="8">
                  <c:v>-2224814.8232676825</c:v>
                </c:pt>
                <c:pt idx="9">
                  <c:v>-2212559.4403585815</c:v>
                </c:pt>
                <c:pt idx="10">
                  <c:v>-2200362.6172184786</c:v>
                </c:pt>
                <c:pt idx="11">
                  <c:v>-2188224.074532948</c:v>
                </c:pt>
                <c:pt idx="12">
                  <c:v>-1274707.820032096</c:v>
                </c:pt>
                <c:pt idx="13">
                  <c:v>-1262819.4717724884</c:v>
                </c:pt>
                <c:pt idx="14">
                  <c:v>-1250987.9390911702</c:v>
                </c:pt>
                <c:pt idx="15">
                  <c:v>-1239212.950954519</c:v>
                </c:pt>
                <c:pt idx="16">
                  <c:v>-1227494.2376198752</c:v>
                </c:pt>
                <c:pt idx="17">
                  <c:v>-1215831.5306294018</c:v>
                </c:pt>
                <c:pt idx="18">
                  <c:v>-1204224.5628039713</c:v>
                </c:pt>
                <c:pt idx="19">
                  <c:v>-1192673.0682370835</c:v>
                </c:pt>
                <c:pt idx="20">
                  <c:v>-1181176.7822888116</c:v>
                </c:pt>
                <c:pt idx="21">
                  <c:v>-1169735.4415797768</c:v>
                </c:pt>
                <c:pt idx="22">
                  <c:v>-1158348.7839851519</c:v>
                </c:pt>
                <c:pt idx="23">
                  <c:v>-1147016.5486286934</c:v>
                </c:pt>
                <c:pt idx="24">
                  <c:v>-1015281.333019659</c:v>
                </c:pt>
                <c:pt idx="25">
                  <c:v>-1004314.8265475208</c:v>
                </c:pt>
                <c:pt idx="26">
                  <c:v>-993400.75055161153</c:v>
                </c:pt>
                <c:pt idx="27">
                  <c:v>-982538.85483498662</c:v>
                </c:pt>
                <c:pt idx="28">
                  <c:v>-971728.89039274643</c:v>
                </c:pt>
                <c:pt idx="29">
                  <c:v>-960970.60940636473</c:v>
                </c:pt>
                <c:pt idx="30">
                  <c:v>-950263.76523804374</c:v>
                </c:pt>
                <c:pt idx="31">
                  <c:v>-939608.11242509598</c:v>
                </c:pt>
                <c:pt idx="32">
                  <c:v>-929003.40667435306</c:v>
                </c:pt>
                <c:pt idx="33">
                  <c:v>-918449.40485660092</c:v>
                </c:pt>
                <c:pt idx="34">
                  <c:v>-907945.86500104121</c:v>
                </c:pt>
                <c:pt idx="35">
                  <c:v>-897492.54628977971</c:v>
                </c:pt>
                <c:pt idx="36">
                  <c:v>-858408.93694349693</c:v>
                </c:pt>
                <c:pt idx="37">
                  <c:v>-847959.22197177727</c:v>
                </c:pt>
                <c:pt idx="38">
                  <c:v>-837559.4663923725</c:v>
                </c:pt>
                <c:pt idx="39">
                  <c:v>-827209.43180158082</c:v>
                </c:pt>
                <c:pt idx="40">
                  <c:v>-816908.88093155215</c:v>
                </c:pt>
                <c:pt idx="41">
                  <c:v>-806657.577644884</c:v>
                </c:pt>
                <c:pt idx="42">
                  <c:v>-796455.28692924255</c:v>
                </c:pt>
                <c:pt idx="43">
                  <c:v>-786301.77489200956</c:v>
                </c:pt>
                <c:pt idx="44">
                  <c:v>-776196.80875495449</c:v>
                </c:pt>
                <c:pt idx="45">
                  <c:v>-766140.15684893203</c:v>
                </c:pt>
                <c:pt idx="46">
                  <c:v>-756131.58860860532</c:v>
                </c:pt>
                <c:pt idx="47">
                  <c:v>-746170.8745671931</c:v>
                </c:pt>
                <c:pt idx="48">
                  <c:v>-736257.78635124315</c:v>
                </c:pt>
                <c:pt idx="49">
                  <c:v>-726383.35317532858</c:v>
                </c:pt>
                <c:pt idx="50">
                  <c:v>-716556.13362008356</c:v>
                </c:pt>
                <c:pt idx="51">
                  <c:v>-706775.90236600756</c:v>
                </c:pt>
                <c:pt idx="52">
                  <c:v>-697042.43516718748</c:v>
                </c:pt>
                <c:pt idx="53">
                  <c:v>-687355.50884618959</c:v>
                </c:pt>
                <c:pt idx="54">
                  <c:v>-677714.90128897515</c:v>
                </c:pt>
                <c:pt idx="55">
                  <c:v>-668120.3914398402</c:v>
                </c:pt>
                <c:pt idx="56">
                  <c:v>-658571.75929637987</c:v>
                </c:pt>
                <c:pt idx="57">
                  <c:v>-649068.78590447619</c:v>
                </c:pt>
                <c:pt idx="58">
                  <c:v>-639611.25335330982</c:v>
                </c:pt>
                <c:pt idx="59">
                  <c:v>-630198.94477039564</c:v>
                </c:pt>
                <c:pt idx="60">
                  <c:v>-620831.64431664173</c:v>
                </c:pt>
                <c:pt idx="61">
                  <c:v>-611493.48025009281</c:v>
                </c:pt>
                <c:pt idx="62">
                  <c:v>-602199.96964010445</c:v>
                </c:pt>
                <c:pt idx="63">
                  <c:v>-592950.8993693121</c:v>
                </c:pt>
                <c:pt idx="64">
                  <c:v>-583746.05733586254</c:v>
                </c:pt>
                <c:pt idx="65">
                  <c:v>-574585.23244858149</c:v>
                </c:pt>
                <c:pt idx="66">
                  <c:v>-565468.21462216415</c:v>
                </c:pt>
                <c:pt idx="67">
                  <c:v>-556394.79477238853</c:v>
                </c:pt>
                <c:pt idx="68">
                  <c:v>-547364.7648113519</c:v>
                </c:pt>
                <c:pt idx="69">
                  <c:v>-538377.91764272947</c:v>
                </c:pt>
                <c:pt idx="70">
                  <c:v>-529434.0471570557</c:v>
                </c:pt>
                <c:pt idx="71">
                  <c:v>-520532.9482270283</c:v>
                </c:pt>
                <c:pt idx="72">
                  <c:v>-511674.41670283419</c:v>
                </c:pt>
                <c:pt idx="73">
                  <c:v>-502809.79480705759</c:v>
                </c:pt>
                <c:pt idx="74">
                  <c:v>-493987.56371239608</c:v>
                </c:pt>
                <c:pt idx="75">
                  <c:v>-485207.52109348064</c:v>
                </c:pt>
                <c:pt idx="76">
                  <c:v>-476469.4655890573</c:v>
                </c:pt>
                <c:pt idx="77">
                  <c:v>-467773.19679739932</c:v>
                </c:pt>
                <c:pt idx="78">
                  <c:v>-459118.51527174085</c:v>
                </c:pt>
                <c:pt idx="79">
                  <c:v>-450505.22251573269</c:v>
                </c:pt>
                <c:pt idx="80">
                  <c:v>-441933.1209789195</c:v>
                </c:pt>
                <c:pt idx="81">
                  <c:v>-433402.01405223832</c:v>
                </c:pt>
                <c:pt idx="82">
                  <c:v>-424911.70606353879</c:v>
                </c:pt>
                <c:pt idx="83">
                  <c:v>-416462.00227312441</c:v>
                </c:pt>
                <c:pt idx="84">
                  <c:v>-408052.70886931522</c:v>
                </c:pt>
                <c:pt idx="85">
                  <c:v>-399637.99997034913</c:v>
                </c:pt>
                <c:pt idx="86">
                  <c:v>-391263.53205968876</c:v>
                </c:pt>
                <c:pt idx="87">
                  <c:v>-382929.11306598963</c:v>
                </c:pt>
                <c:pt idx="88">
                  <c:v>-374634.55183318717</c:v>
                </c:pt>
                <c:pt idx="89">
                  <c:v>-366379.6581161411</c:v>
                </c:pt>
                <c:pt idx="90">
                  <c:v>-358164.24257630046</c:v>
                </c:pt>
                <c:pt idx="91">
                  <c:v>-349988.11677738925</c:v>
                </c:pt>
                <c:pt idx="92">
                  <c:v>-341851.09318111261</c:v>
                </c:pt>
                <c:pt idx="93">
                  <c:v>-333752.9851428835</c:v>
                </c:pt>
                <c:pt idx="94">
                  <c:v>-325693.60690756934</c:v>
                </c:pt>
                <c:pt idx="95">
                  <c:v>-317672.77360525948</c:v>
                </c:pt>
                <c:pt idx="96">
                  <c:v>-309690.30124705209</c:v>
                </c:pt>
                <c:pt idx="97">
                  <c:v>-301508.00285884261</c:v>
                </c:pt>
                <c:pt idx="98">
                  <c:v>-293364.82381135505</c:v>
                </c:pt>
                <c:pt idx="99">
                  <c:v>-285260.57742779993</c:v>
                </c:pt>
                <c:pt idx="100">
                  <c:v>-277195.07792079664</c:v>
                </c:pt>
                <c:pt idx="101">
                  <c:v>-269168.14038814185</c:v>
                </c:pt>
                <c:pt idx="102">
                  <c:v>-261179.58080859747</c:v>
                </c:pt>
                <c:pt idx="103">
                  <c:v>-253229.21603769911</c:v>
                </c:pt>
                <c:pt idx="104">
                  <c:v>-245316.86380358419</c:v>
                </c:pt>
                <c:pt idx="105">
                  <c:v>-237442.34270283993</c:v>
                </c:pt>
                <c:pt idx="106">
                  <c:v>-229605.47219637112</c:v>
                </c:pt>
                <c:pt idx="107">
                  <c:v>-221806.07260528748</c:v>
                </c:pt>
                <c:pt idx="108">
                  <c:v>-214043.96510681065</c:v>
                </c:pt>
                <c:pt idx="109">
                  <c:v>-206256.29181422116</c:v>
                </c:pt>
                <c:pt idx="110">
                  <c:v>-198505.8514673661</c:v>
                </c:pt>
                <c:pt idx="111">
                  <c:v>-190792.46639011029</c:v>
                </c:pt>
                <c:pt idx="112">
                  <c:v>-183115.95975284936</c:v>
                </c:pt>
                <c:pt idx="113">
                  <c:v>-175476.15556848177</c:v>
                </c:pt>
                <c:pt idx="114">
                  <c:v>-167872.87868840015</c:v>
                </c:pt>
                <c:pt idx="115">
                  <c:v>-160305.95479850163</c:v>
                </c:pt>
                <c:pt idx="116">
                  <c:v>-152775.21041521709</c:v>
                </c:pt>
                <c:pt idx="117">
                  <c:v>-145280.47288155937</c:v>
                </c:pt>
                <c:pt idx="118">
                  <c:v>-137821.57036319014</c:v>
                </c:pt>
                <c:pt idx="119">
                  <c:v>-130398.33184450555</c:v>
                </c:pt>
                <c:pt idx="120">
                  <c:v>-123010.58712474052</c:v>
                </c:pt>
                <c:pt idx="121">
                  <c:v>-115604.88844619428</c:v>
                </c:pt>
                <c:pt idx="122">
                  <c:v>-108234.59715076761</c:v>
                </c:pt>
                <c:pt idx="123">
                  <c:v>-100899.54427128314</c:v>
                </c:pt>
                <c:pt idx="124">
                  <c:v>-93599.561645611393</c:v>
                </c:pt>
                <c:pt idx="125">
                  <c:v>-86334.481912840318</c:v>
                </c:pt>
                <c:pt idx="126">
                  <c:v>-79104.138509462922</c:v>
                </c:pt>
                <c:pt idx="127">
                  <c:v>-71908.365665583071</c:v>
                </c:pt>
                <c:pt idx="128">
                  <c:v>-64746.998401139295</c:v>
                </c:pt>
                <c:pt idx="129">
                  <c:v>-57619.872522146572</c:v>
                </c:pt>
                <c:pt idx="130">
                  <c:v>-50526.824616955964</c:v>
                </c:pt>
                <c:pt idx="131">
                  <c:v>-43467.692052532009</c:v>
                </c:pt>
                <c:pt idx="132">
                  <c:v>-36442.312970747837</c:v>
                </c:pt>
                <c:pt idx="133">
                  <c:v>-29483.02911909602</c:v>
                </c:pt>
                <c:pt idx="134">
                  <c:v>-22557.023879928347</c:v>
                </c:pt>
                <c:pt idx="135">
                  <c:v>-15664.138422378095</c:v>
                </c:pt>
                <c:pt idx="136">
                  <c:v>-8804.2146724216091</c:v>
                </c:pt>
                <c:pt idx="137">
                  <c:v>-1977.0953092767741</c:v>
                </c:pt>
                <c:pt idx="138">
                  <c:v>4817.3762381814095</c:v>
                </c:pt>
                <c:pt idx="139">
                  <c:v>11579.355794988192</c:v>
                </c:pt>
                <c:pt idx="140">
                  <c:v>18308.998443639499</c:v>
                </c:pt>
                <c:pt idx="141">
                  <c:v>25006.458527625469</c:v>
                </c:pt>
                <c:pt idx="142">
                  <c:v>31671.889654947208</c:v>
                </c:pt>
                <c:pt idx="143">
                  <c:v>38305.444701616812</c:v>
                </c:pt>
                <c:pt idx="144">
                  <c:v>44907.275815140783</c:v>
                </c:pt>
                <c:pt idx="145">
                  <c:v>51496.365774358856</c:v>
                </c:pt>
                <c:pt idx="146">
                  <c:v>58053.945010507523</c:v>
                </c:pt>
                <c:pt idx="147">
                  <c:v>64580.163926120462</c:v>
                </c:pt>
                <c:pt idx="148">
                  <c:v>71075.172207012394</c:v>
                </c:pt>
                <c:pt idx="149">
                  <c:v>77539.118825689788</c:v>
                </c:pt>
                <c:pt idx="150">
                  <c:v>83972.152044745424</c:v>
                </c:pt>
                <c:pt idx="151">
                  <c:v>90374.419420236823</c:v>
                </c:pt>
                <c:pt idx="152">
                  <c:v>96746.067805048529</c:v>
                </c:pt>
                <c:pt idx="153">
                  <c:v>103087.2433522385</c:v>
                </c:pt>
                <c:pt idx="154">
                  <c:v>109398.09151836856</c:v>
                </c:pt>
                <c:pt idx="155">
                  <c:v>115678.75706681902</c:v>
                </c:pt>
                <c:pt idx="156">
                  <c:v>121929.38407108752</c:v>
                </c:pt>
                <c:pt idx="157">
                  <c:v>128200.03676515611</c:v>
                </c:pt>
                <c:pt idx="158">
                  <c:v>134440.70130151929</c:v>
                </c:pt>
                <c:pt idx="159">
                  <c:v>140651.52081655271</c:v>
                </c:pt>
                <c:pt idx="160">
                  <c:v>146832.63776453413</c:v>
                </c:pt>
                <c:pt idx="161">
                  <c:v>152984.19392088949</c:v>
                </c:pt>
                <c:pt idx="162">
                  <c:v>159106.33038542353</c:v>
                </c:pt>
                <c:pt idx="163">
                  <c:v>165199.18758553494</c:v>
                </c:pt>
                <c:pt idx="164">
                  <c:v>171262.90527941633</c:v>
                </c:pt>
                <c:pt idx="165">
                  <c:v>177297.62255923898</c:v>
                </c:pt>
                <c:pt idx="166">
                  <c:v>183303.47785432244</c:v>
                </c:pt>
                <c:pt idx="167">
                  <c:v>189280.60893428902</c:v>
                </c:pt>
                <c:pt idx="168">
                  <c:v>195229.15291220328</c:v>
                </c:pt>
                <c:pt idx="169">
                  <c:v>201164.32350877367</c:v>
                </c:pt>
                <c:pt idx="170">
                  <c:v>207071.10808412527</c:v>
                </c:pt>
                <c:pt idx="171">
                  <c:v>212949.64213645639</c:v>
                </c:pt>
                <c:pt idx="172">
                  <c:v>218800.06051823022</c:v>
                </c:pt>
                <c:pt idx="173">
                  <c:v>224622.49743924796</c:v>
                </c:pt>
                <c:pt idx="174">
                  <c:v>230417.08646970731</c:v>
                </c:pt>
                <c:pt idx="175">
                  <c:v>236183.96054324642</c:v>
                </c:pt>
                <c:pt idx="176">
                  <c:v>241923.25195997342</c:v>
                </c:pt>
                <c:pt idx="177">
                  <c:v>247635.09238948146</c:v>
                </c:pt>
                <c:pt idx="178">
                  <c:v>253319.61287384952</c:v>
                </c:pt>
                <c:pt idx="179">
                  <c:v>258976.94383062885</c:v>
                </c:pt>
                <c:pt idx="180">
                  <c:v>179106.42587014678</c:v>
                </c:pt>
                <c:pt idx="181">
                  <c:v>183884.34405790622</c:v>
                </c:pt>
                <c:pt idx="182">
                  <c:v>188639.35753025382</c:v>
                </c:pt>
                <c:pt idx="183">
                  <c:v>193371.57583500713</c:v>
                </c:pt>
                <c:pt idx="184">
                  <c:v>198081.10799705909</c:v>
                </c:pt>
                <c:pt idx="185">
                  <c:v>202768.06252087021</c:v>
                </c:pt>
                <c:pt idx="186">
                  <c:v>207432.54739294876</c:v>
                </c:pt>
                <c:pt idx="187">
                  <c:v>212074.67008431928</c:v>
                </c:pt>
                <c:pt idx="188">
                  <c:v>216694.53755297919</c:v>
                </c:pt>
                <c:pt idx="189">
                  <c:v>221292.25624634381</c:v>
                </c:pt>
                <c:pt idx="190">
                  <c:v>225867.93210367972</c:v>
                </c:pt>
                <c:pt idx="191">
                  <c:v>230421.67055852653</c:v>
                </c:pt>
                <c:pt idx="192">
                  <c:v>234953.57654110718</c:v>
                </c:pt>
                <c:pt idx="193">
                  <c:v>239485.92041437759</c:v>
                </c:pt>
                <c:pt idx="194">
                  <c:v>243996.53551780293</c:v>
                </c:pt>
                <c:pt idx="195">
                  <c:v>248485.52578014985</c:v>
                </c:pt>
                <c:pt idx="196">
                  <c:v>252952.99463406199</c:v>
                </c:pt>
                <c:pt idx="197">
                  <c:v>257399.04501842448</c:v>
                </c:pt>
                <c:pt idx="198">
                  <c:v>261823.77938071702</c:v>
                </c:pt>
                <c:pt idx="199">
                  <c:v>266227.29967935605</c:v>
                </c:pt>
                <c:pt idx="200">
                  <c:v>270609.7073860254</c:v>
                </c:pt>
                <c:pt idx="201">
                  <c:v>274971.10348799627</c:v>
                </c:pt>
                <c:pt idx="202">
                  <c:v>279311.58849043574</c:v>
                </c:pt>
                <c:pt idx="203">
                  <c:v>283631.26241870475</c:v>
                </c:pt>
                <c:pt idx="204">
                  <c:v>287930.22482064459</c:v>
                </c:pt>
                <c:pt idx="205">
                  <c:v>292278.81388128543</c:v>
                </c:pt>
                <c:pt idx="206">
                  <c:v>296606.55745003413</c:v>
                </c:pt>
                <c:pt idx="207">
                  <c:v>300913.55522163166</c:v>
                </c:pt>
                <c:pt idx="208">
                  <c:v>305199.90641494497</c:v>
                </c:pt>
                <c:pt idx="209">
                  <c:v>309465.7097752351</c:v>
                </c:pt>
                <c:pt idx="210">
                  <c:v>313711.06357641402</c:v>
                </c:pt>
                <c:pt idx="211">
                  <c:v>317936.06562329095</c:v>
                </c:pt>
                <c:pt idx="212">
                  <c:v>322140.81325380789</c:v>
                </c:pt>
                <c:pt idx="213">
                  <c:v>326325.40334126458</c:v>
                </c:pt>
                <c:pt idx="214">
                  <c:v>330489.93229653285</c:v>
                </c:pt>
                <c:pt idx="215">
                  <c:v>334634.49607026047</c:v>
                </c:pt>
                <c:pt idx="216">
                  <c:v>338759.1901550644</c:v>
                </c:pt>
                <c:pt idx="217">
                  <c:v>342878.91946557903</c:v>
                </c:pt>
                <c:pt idx="218">
                  <c:v>346978.89878139086</c:v>
                </c:pt>
                <c:pt idx="219">
                  <c:v>351059.22256423807</c:v>
                </c:pt>
                <c:pt idx="220">
                  <c:v>355119.98482493858</c:v>
                </c:pt>
                <c:pt idx="221">
                  <c:v>359161.279125539</c:v>
                </c:pt>
                <c:pt idx="222">
                  <c:v>363183.19858145353</c:v>
                </c:pt>
                <c:pt idx="223">
                  <c:v>367185.83586359239</c:v>
                </c:pt>
                <c:pt idx="224">
                  <c:v>371169.28320048033</c:v>
                </c:pt>
                <c:pt idx="225">
                  <c:v>375133.63238036504</c:v>
                </c:pt>
                <c:pt idx="226">
                  <c:v>379078.97475331539</c:v>
                </c:pt>
                <c:pt idx="227">
                  <c:v>383005.40123330976</c:v>
                </c:pt>
                <c:pt idx="228">
                  <c:v>386913.00230031461</c:v>
                </c:pt>
                <c:pt idx="229">
                  <c:v>390794.75213126233</c:v>
                </c:pt>
                <c:pt idx="230">
                  <c:v>394657.8898133529</c:v>
                </c:pt>
                <c:pt idx="231">
                  <c:v>398502.50437825371</c:v>
                </c:pt>
                <c:pt idx="232">
                  <c:v>402328.68443258433</c:v>
                </c:pt>
                <c:pt idx="233">
                  <c:v>406136.51815994229</c:v>
                </c:pt>
                <c:pt idx="234">
                  <c:v>409926.09332291939</c:v>
                </c:pt>
                <c:pt idx="235">
                  <c:v>413697.49726510834</c:v>
                </c:pt>
                <c:pt idx="236">
                  <c:v>417450.81691309984</c:v>
                </c:pt>
                <c:pt idx="237">
                  <c:v>421186.13877847011</c:v>
                </c:pt>
                <c:pt idx="238">
                  <c:v>424903.54895975901</c:v>
                </c:pt>
                <c:pt idx="239">
                  <c:v>428603.13314443879</c:v>
                </c:pt>
                <c:pt idx="240">
                  <c:v>432284.97661087348</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numCache>
            </c:numRef>
          </c:val>
          <c:smooth val="1"/>
          <c:extLst>
            <c:ext xmlns:c16="http://schemas.microsoft.com/office/drawing/2014/chart" uri="{C3380CC4-5D6E-409C-BE32-E72D297353CC}">
              <c16:uniqueId val="{00000002-2BB6-48D6-A8BF-7E330068A144}"/>
            </c:ext>
          </c:extLst>
        </c:ser>
        <c:dLbls>
          <c:showLegendKey val="0"/>
          <c:showVal val="0"/>
          <c:showCatName val="0"/>
          <c:showSerName val="0"/>
          <c:showPercent val="0"/>
          <c:showBubbleSize val="0"/>
        </c:dLbls>
        <c:smooth val="0"/>
        <c:axId val="1765268960"/>
        <c:axId val="1765270048"/>
        <c:extLst>
          <c:ext xmlns:c15="http://schemas.microsoft.com/office/drawing/2012/chart" uri="{02D57815-91ED-43cb-92C2-25804820EDAC}">
            <c15:filteredLineSeries>
              <c15:ser>
                <c:idx val="1"/>
                <c:order val="0"/>
                <c:tx>
                  <c:v>Cash Flow</c:v>
                </c:tx>
                <c:spPr>
                  <a:ln w="19050" cap="rnd">
                    <a:solidFill>
                      <a:schemeClr val="accent6">
                        <a:lumMod val="60000"/>
                        <a:lumOff val="40000"/>
                      </a:schemeClr>
                    </a:solidFill>
                    <a:round/>
                  </a:ln>
                  <a:effectLst/>
                </c:spPr>
                <c:marker>
                  <c:symbol val="none"/>
                </c:marker>
                <c:cat>
                  <c:numRef>
                    <c:extLst>
                      <c:ext uri="{02D57815-91ED-43cb-92C2-25804820EDAC}">
                        <c15:formulaRef>
                          <c15:sqref>BattCalcs!$B$4:$B$304</c15:sqref>
                        </c15:formulaRef>
                      </c:ext>
                    </c:extLst>
                    <c:numCache>
                      <c:formatCode>General</c:formatCode>
                      <c:ptCount val="301"/>
                      <c:pt idx="0">
                        <c:v>0</c:v>
                      </c:pt>
                      <c:pt idx="12">
                        <c:v>1</c:v>
                      </c:pt>
                      <c:pt idx="24">
                        <c:v>2</c:v>
                      </c:pt>
                      <c:pt idx="36">
                        <c:v>3</c:v>
                      </c:pt>
                      <c:pt idx="48">
                        <c:v>4</c:v>
                      </c:pt>
                      <c:pt idx="60">
                        <c:v>5</c:v>
                      </c:pt>
                      <c:pt idx="72">
                        <c:v>6</c:v>
                      </c:pt>
                      <c:pt idx="84">
                        <c:v>7</c:v>
                      </c:pt>
                      <c:pt idx="96">
                        <c:v>8</c:v>
                      </c:pt>
                      <c:pt idx="108">
                        <c:v>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c:v>
                      </c:pt>
                      <c:pt idx="288">
                        <c:v>24</c:v>
                      </c:pt>
                      <c:pt idx="300">
                        <c:v>25</c:v>
                      </c:pt>
                    </c:numCache>
                  </c:numRef>
                </c:cat>
                <c:val>
                  <c:numRef>
                    <c:extLst>
                      <c:ext uri="{02D57815-91ED-43cb-92C2-25804820EDAC}">
                        <c15:formulaRef>
                          <c15:sqref>BattCalcs!$CM$5:$CM$304</c15:sqref>
                        </c15:formulaRef>
                      </c:ext>
                    </c:extLst>
                    <c:numCache>
                      <c:formatCode>_("$"* #,##0.00_);_("$"* \(#,##0.00\);_("$"* "-"??_);_(@_)</c:formatCode>
                      <c:ptCount val="3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numCache>
                  </c:numRef>
                </c:val>
                <c:smooth val="1"/>
                <c:extLst>
                  <c:ext xmlns:c16="http://schemas.microsoft.com/office/drawing/2014/chart" uri="{C3380CC4-5D6E-409C-BE32-E72D297353CC}">
                    <c16:uniqueId val="{00000003-2BB6-48D6-A8BF-7E330068A144}"/>
                  </c:ext>
                </c:extLst>
              </c15:ser>
            </c15:filteredLineSeries>
            <c15:filteredLineSeries>
              <c15:ser>
                <c:idx val="2"/>
                <c:order val="4"/>
                <c:tx>
                  <c:v>Interest Paid</c:v>
                </c:tx>
                <c:spPr>
                  <a:ln w="15875" cap="rnd" cmpd="sng">
                    <a:solidFill>
                      <a:srgbClr val="FF8989"/>
                    </a:solidFill>
                    <a:round/>
                  </a:ln>
                  <a:effectLst/>
                </c:spPr>
                <c:marker>
                  <c:symbol val="none"/>
                </c:marker>
                <c:cat>
                  <c:numRef>
                    <c:extLst xmlns:c15="http://schemas.microsoft.com/office/drawing/2012/chart">
                      <c:ext xmlns:c15="http://schemas.microsoft.com/office/drawing/2012/chart" uri="{02D57815-91ED-43cb-92C2-25804820EDAC}">
                        <c15:formulaRef>
                          <c15:sqref>BattCalcs!$B$4:$B$304</c15:sqref>
                        </c15:formulaRef>
                      </c:ext>
                    </c:extLst>
                    <c:numCache>
                      <c:formatCode>General</c:formatCode>
                      <c:ptCount val="301"/>
                      <c:pt idx="0">
                        <c:v>0</c:v>
                      </c:pt>
                      <c:pt idx="12">
                        <c:v>1</c:v>
                      </c:pt>
                      <c:pt idx="24">
                        <c:v>2</c:v>
                      </c:pt>
                      <c:pt idx="36">
                        <c:v>3</c:v>
                      </c:pt>
                      <c:pt idx="48">
                        <c:v>4</c:v>
                      </c:pt>
                      <c:pt idx="60">
                        <c:v>5</c:v>
                      </c:pt>
                      <c:pt idx="72">
                        <c:v>6</c:v>
                      </c:pt>
                      <c:pt idx="84">
                        <c:v>7</c:v>
                      </c:pt>
                      <c:pt idx="96">
                        <c:v>8</c:v>
                      </c:pt>
                      <c:pt idx="108">
                        <c:v>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c:v>
                      </c:pt>
                      <c:pt idx="288">
                        <c:v>24</c:v>
                      </c:pt>
                      <c:pt idx="300">
                        <c:v>25</c:v>
                      </c:pt>
                    </c:numCache>
                  </c:numRef>
                </c:cat>
                <c:val>
                  <c:numRef>
                    <c:extLst xmlns:c15="http://schemas.microsoft.com/office/drawing/2012/chart">
                      <c:ext xmlns:c15="http://schemas.microsoft.com/office/drawing/2012/chart" uri="{02D57815-91ED-43cb-92C2-25804820EDAC}">
                        <c15:formulaRef>
                          <c15:sqref>BattLoan!$G$32:$G$332</c15:sqref>
                        </c15:formulaRef>
                      </c:ext>
                    </c:extLst>
                    <c:numCache>
                      <c:formatCode>_("$"* #,##0.00_);_("$"* \(#,##0.00\);_("$"* "-"??_);_(@_)</c:formatCode>
                      <c:ptCount val="30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numCache>
                  </c:numRef>
                </c:val>
                <c:smooth val="1"/>
                <c:extLst xmlns:c15="http://schemas.microsoft.com/office/drawing/2012/chart">
                  <c:ext xmlns:c16="http://schemas.microsoft.com/office/drawing/2014/chart" uri="{C3380CC4-5D6E-409C-BE32-E72D297353CC}">
                    <c16:uniqueId val="{00000004-2BB6-48D6-A8BF-7E330068A144}"/>
                  </c:ext>
                </c:extLst>
              </c15:ser>
            </c15:filteredLineSeries>
            <c15:filteredLineSeries>
              <c15:ser>
                <c:idx val="0"/>
                <c:order val="5"/>
                <c:tx>
                  <c:v>Loan Balance</c:v>
                </c:tx>
                <c:spPr>
                  <a:ln w="158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BattCalcs!$B$4:$B$304</c15:sqref>
                        </c15:formulaRef>
                      </c:ext>
                    </c:extLst>
                    <c:numCache>
                      <c:formatCode>General</c:formatCode>
                      <c:ptCount val="301"/>
                      <c:pt idx="0">
                        <c:v>0</c:v>
                      </c:pt>
                      <c:pt idx="12">
                        <c:v>1</c:v>
                      </c:pt>
                      <c:pt idx="24">
                        <c:v>2</c:v>
                      </c:pt>
                      <c:pt idx="36">
                        <c:v>3</c:v>
                      </c:pt>
                      <c:pt idx="48">
                        <c:v>4</c:v>
                      </c:pt>
                      <c:pt idx="60">
                        <c:v>5</c:v>
                      </c:pt>
                      <c:pt idx="72">
                        <c:v>6</c:v>
                      </c:pt>
                      <c:pt idx="84">
                        <c:v>7</c:v>
                      </c:pt>
                      <c:pt idx="96">
                        <c:v>8</c:v>
                      </c:pt>
                      <c:pt idx="108">
                        <c:v>9</c:v>
                      </c:pt>
                      <c:pt idx="120">
                        <c:v>10</c:v>
                      </c:pt>
                      <c:pt idx="132">
                        <c:v>11</c:v>
                      </c:pt>
                      <c:pt idx="144">
                        <c:v>12</c:v>
                      </c:pt>
                      <c:pt idx="156">
                        <c:v>13</c:v>
                      </c:pt>
                      <c:pt idx="168">
                        <c:v>14</c:v>
                      </c:pt>
                      <c:pt idx="180">
                        <c:v>15</c:v>
                      </c:pt>
                      <c:pt idx="192">
                        <c:v>16</c:v>
                      </c:pt>
                      <c:pt idx="204">
                        <c:v>17</c:v>
                      </c:pt>
                      <c:pt idx="216">
                        <c:v>18</c:v>
                      </c:pt>
                      <c:pt idx="228">
                        <c:v>19</c:v>
                      </c:pt>
                      <c:pt idx="240">
                        <c:v>20</c:v>
                      </c:pt>
                      <c:pt idx="252">
                        <c:v>21</c:v>
                      </c:pt>
                      <c:pt idx="264">
                        <c:v>22</c:v>
                      </c:pt>
                      <c:pt idx="276">
                        <c:v>23</c:v>
                      </c:pt>
                      <c:pt idx="288">
                        <c:v>24</c:v>
                      </c:pt>
                      <c:pt idx="300">
                        <c:v>25</c:v>
                      </c:pt>
                    </c:numCache>
                  </c:numRef>
                </c:cat>
                <c:val>
                  <c:numRef>
                    <c:extLst xmlns:c15="http://schemas.microsoft.com/office/drawing/2012/chart">
                      <c:ext xmlns:c15="http://schemas.microsoft.com/office/drawing/2012/chart" uri="{02D57815-91ED-43cb-92C2-25804820EDAC}">
                        <c15:formulaRef>
                          <c15:sqref>BattLoan!$J$32:$J$332</c15:sqref>
                        </c15:formulaRef>
                      </c:ext>
                    </c:extLst>
                    <c:numCache>
                      <c:formatCode>_("$"* #,##0.00_);_("$"* \(#,##0.00\);_("$"* "-"??_);_(@_)</c:formatCode>
                      <c:ptCount val="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numCache>
                  </c:numRef>
                </c:val>
                <c:smooth val="1"/>
                <c:extLst xmlns:c15="http://schemas.microsoft.com/office/drawing/2012/chart">
                  <c:ext xmlns:c16="http://schemas.microsoft.com/office/drawing/2014/chart" uri="{C3380CC4-5D6E-409C-BE32-E72D297353CC}">
                    <c16:uniqueId val="{00000005-2BB6-48D6-A8BF-7E330068A144}"/>
                  </c:ext>
                </c:extLst>
              </c15:ser>
            </c15:filteredLineSeries>
          </c:ext>
        </c:extLst>
      </c:lineChart>
      <c:catAx>
        <c:axId val="1765268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765270048"/>
        <c:crosses val="autoZero"/>
        <c:auto val="1"/>
        <c:lblAlgn val="ctr"/>
        <c:lblOffset val="100"/>
        <c:tickLblSkip val="12"/>
        <c:tickMarkSkip val="12"/>
        <c:noMultiLvlLbl val="0"/>
      </c:catAx>
      <c:valAx>
        <c:axId val="17652700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0_);\(&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5268960"/>
        <c:crosses val="autoZero"/>
        <c:crossBetween val="between"/>
      </c:valAx>
      <c:spPr>
        <a:noFill/>
        <a:ln>
          <a:noFill/>
        </a:ln>
        <a:effectLst/>
      </c:spPr>
    </c:plotArea>
    <c:legend>
      <c:legendPos val="b"/>
      <c:layout>
        <c:manualLayout>
          <c:xMode val="edge"/>
          <c:yMode val="edge"/>
          <c:x val="0.31371205709216965"/>
          <c:y val="0.7820340003074826"/>
          <c:w val="0.51113748742675791"/>
          <c:h val="9.7268841394825653E-2"/>
        </c:manualLayout>
      </c:layout>
      <c:overlay val="1"/>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a:innerShdw dist="12700" dir="2700000">
        <a:prstClr val="black"/>
      </a:inn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creativecommons.org/licenses/by-sa/4.0/"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6.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28576</xdr:rowOff>
    </xdr:from>
    <xdr:to>
      <xdr:col>13</xdr:col>
      <xdr:colOff>0</xdr:colOff>
      <xdr:row>68</xdr:row>
      <xdr:rowOff>104776</xdr:rowOff>
    </xdr:to>
    <xdr:sp macro="" textlink="">
      <xdr:nvSpPr>
        <xdr:cNvPr id="6" name="TextBox 5">
          <a:extLst>
            <a:ext uri="{FF2B5EF4-FFF2-40B4-BE49-F238E27FC236}">
              <a16:creationId xmlns:a16="http://schemas.microsoft.com/office/drawing/2014/main" id="{018A8B11-C050-4D65-9A9F-134605F0DC68}"/>
            </a:ext>
          </a:extLst>
        </xdr:cNvPr>
        <xdr:cNvSpPr txBox="1"/>
      </xdr:nvSpPr>
      <xdr:spPr>
        <a:xfrm>
          <a:off x="19050" y="28576"/>
          <a:ext cx="7905750" cy="1303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r>
            <a:rPr lang="en-US" sz="1100">
              <a:solidFill>
                <a:schemeClr val="dk1"/>
              </a:solidFill>
              <a:effectLst/>
              <a:latin typeface="+mn-lt"/>
              <a:ea typeface="+mn-ea"/>
              <a:cs typeface="+mn-cs"/>
            </a:rPr>
            <a:t>HybridFAST was created as an internal tool for facilitating conversations around the financial implications of grid-interactive photovoltaic (PV) systems, battery energy storage systems (BESS), and hybrid systems utilizing both. It should prove a useful resource for stakeholders and decision makers across multiple sectors, including (but not limited to)</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  academia, research and development</a:t>
          </a:r>
        </a:p>
        <a:p>
          <a:pPr lvl="0"/>
          <a:r>
            <a:rPr lang="en-US" sz="1100">
              <a:solidFill>
                <a:schemeClr val="dk1"/>
              </a:solidFill>
              <a:effectLst/>
              <a:latin typeface="+mn-lt"/>
              <a:ea typeface="+mn-ea"/>
              <a:cs typeface="+mn-cs"/>
            </a:rPr>
            <a:t>      •  banking, finance, and insurance</a:t>
          </a:r>
        </a:p>
        <a:p>
          <a:pPr lvl="0"/>
          <a:r>
            <a:rPr lang="en-US" sz="1100">
              <a:solidFill>
                <a:schemeClr val="dk1"/>
              </a:solidFill>
              <a:effectLst/>
              <a:latin typeface="+mn-lt"/>
              <a:ea typeface="+mn-ea"/>
              <a:cs typeface="+mn-cs"/>
            </a:rPr>
            <a:t>      •  engineering and construction</a:t>
          </a:r>
        </a:p>
        <a:p>
          <a:pPr lvl="0"/>
          <a:r>
            <a:rPr lang="en-US" sz="1100">
              <a:solidFill>
                <a:schemeClr val="dk1"/>
              </a:solidFill>
              <a:effectLst/>
              <a:latin typeface="+mn-lt"/>
              <a:ea typeface="+mn-ea"/>
              <a:cs typeface="+mn-cs"/>
            </a:rPr>
            <a:t>      •  electric distribution utilities</a:t>
          </a:r>
        </a:p>
        <a:p>
          <a:pPr lvl="0"/>
          <a:r>
            <a:rPr lang="en-US" sz="1100">
              <a:solidFill>
                <a:schemeClr val="dk1"/>
              </a:solidFill>
              <a:effectLst/>
              <a:latin typeface="+mn-lt"/>
              <a:ea typeface="+mn-ea"/>
              <a:cs typeface="+mn-cs"/>
            </a:rPr>
            <a:t>      •  government and energy policy</a:t>
          </a:r>
        </a:p>
        <a:p>
          <a:endParaRPr lang="en-US" sz="1100">
            <a:solidFill>
              <a:schemeClr val="dk1"/>
            </a:solidFill>
            <a:effectLst/>
            <a:latin typeface="+mn-lt"/>
            <a:ea typeface="+mn-ea"/>
            <a:cs typeface="+mn-cs"/>
          </a:endParaRPr>
        </a:p>
        <a:p>
          <a:r>
            <a:rPr lang="en-US" sz="1100" b="0" i="0">
              <a:solidFill>
                <a:schemeClr val="dk1"/>
              </a:solidFill>
              <a:effectLst/>
              <a:latin typeface="+mn-lt"/>
              <a:ea typeface="+mn-ea"/>
              <a:cs typeface="+mn-cs"/>
            </a:rPr>
            <a:t>HybridFAST is made available for free under a Creative Commons license. </a:t>
          </a:r>
          <a:r>
            <a:rPr lang="en-US" sz="1100">
              <a:solidFill>
                <a:schemeClr val="dk1"/>
              </a:solidFill>
              <a:effectLst/>
              <a:latin typeface="+mn-lt"/>
              <a:ea typeface="+mn-ea"/>
              <a:cs typeface="+mn-cs"/>
            </a:rPr>
            <a:t>There are no macros, and all calculations can easily be reverse-engineered, inspected, and modified. With a minimal investment of time and practice, it can be easily utilized by anyone wishing to understand the financial implications of PV, BESS, and Hybrid systems.</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Intent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Conversations about the future of our electrical grid are complex. This tool is meant to organize, unify, and enrich those conversations by providing a framework that enables stakeholders to explore new revenue stacks for distributed energy resources (DER) collaboratively, and with intention.</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Hope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Our hope is to drive grid modernization through increased DER investment. By releasing HybridFAST publicly, we also hope that users will leverage ProtoGen's expertise to get the most out of the tool and their projects.</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Commitment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ProtoGen is committed to maximizing transparency, inclusion, and access. To that end, we encourage and welcome feedback of any type, which will drive periodic enhancements and debugging.</a:t>
          </a:r>
        </a:p>
        <a:p>
          <a:r>
            <a:rPr lang="en-US" sz="1100">
              <a:solidFill>
                <a:schemeClr val="dk1"/>
              </a:solidFill>
              <a:effectLst/>
              <a:latin typeface="+mn-lt"/>
              <a:ea typeface="+mn-ea"/>
              <a:cs typeface="+mn-cs"/>
            </a:rPr>
            <a:t>Contact us to learn how we can provide more in-depth support such as a guided tour of the tool.</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Disclaimer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HybridFAST is a good-faith attempt to provide an Excel-based model for parties interested in evaluating and understanding distributed energy resource (DER) project economics. HybridFAST does not purport to serve as a replacement for due diligence; its methodology, calculations, and outputs should not be construed to provide investment-grade information for any transaction, investment, liability, or other matter. ProtoGen shall not be responsible for any conclusions, direct or implied, arising from its use; further, ProtoGen and its respective officers, directors, employees, agents, advisers, and representatives make no representations or warranties, expressed or implied, concerning HybridFAST, and make no claim as to the accuracy or appropriateness of the methodology or calculations in relation to any current or future development DER projects.</a:t>
          </a:r>
        </a:p>
        <a:p>
          <a:r>
            <a:rPr lang="en-US" sz="1100">
              <a:solidFill>
                <a:schemeClr val="dk1"/>
              </a:solidFill>
              <a:effectLst/>
              <a:latin typeface="+mn-lt"/>
              <a:ea typeface="+mn-ea"/>
              <a:cs typeface="+mn-cs"/>
            </a:rPr>
            <a:t>By downloading or using HybridFAST, you indicate your acceptance of this disclaimer. If you do not accept the disclaimer, but would like further information, please contact ProtoGen directly.</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This work is licensed under a </a:t>
          </a:r>
          <a:r>
            <a:rPr lang="en-US" sz="1100">
              <a:solidFill>
                <a:schemeClr val="dk1"/>
              </a:solidFill>
              <a:effectLst/>
              <a:latin typeface="+mn-lt"/>
              <a:ea typeface="+mn-ea"/>
              <a:cs typeface="+mn-cs"/>
              <a:hlinkClick xmlns:r="http://schemas.openxmlformats.org/officeDocument/2006/relationships" r:id=""/>
            </a:rPr>
            <a:t>Creative Commons Attribution-ShareAlike 4.0 International License</a:t>
          </a:r>
          <a:r>
            <a:rPr lang="en-US" sz="1100">
              <a:solidFill>
                <a:schemeClr val="dk1"/>
              </a:solidFill>
              <a:effectLst/>
              <a:latin typeface="+mn-lt"/>
              <a:ea typeface="+mn-ea"/>
              <a:cs typeface="+mn-cs"/>
            </a:rPr>
            <a:t>.</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xdr:txBody>
    </xdr:sp>
    <xdr:clientData/>
  </xdr:twoCellAnchor>
  <xdr:twoCellAnchor>
    <xdr:from>
      <xdr:col>4</xdr:col>
      <xdr:colOff>554582</xdr:colOff>
      <xdr:row>0</xdr:row>
      <xdr:rowOff>0</xdr:rowOff>
    </xdr:from>
    <xdr:to>
      <xdr:col>12</xdr:col>
      <xdr:colOff>596061</xdr:colOff>
      <xdr:row>6</xdr:row>
      <xdr:rowOff>132524</xdr:rowOff>
    </xdr:to>
    <xdr:sp macro="" textlink="">
      <xdr:nvSpPr>
        <xdr:cNvPr id="3" name="TextBox 2">
          <a:extLst>
            <a:ext uri="{FF2B5EF4-FFF2-40B4-BE49-F238E27FC236}">
              <a16:creationId xmlns:a16="http://schemas.microsoft.com/office/drawing/2014/main" id="{472A5F03-8FC0-4737-8CA9-EEEF5662CCA7}"/>
            </a:ext>
          </a:extLst>
        </xdr:cNvPr>
        <xdr:cNvSpPr txBox="1"/>
      </xdr:nvSpPr>
      <xdr:spPr>
        <a:xfrm>
          <a:off x="2992982" y="0"/>
          <a:ext cx="4918279" cy="127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200">
              <a:solidFill>
                <a:srgbClr val="023246"/>
              </a:solidFill>
              <a:effectLst>
                <a:outerShdw blurRad="50800" dist="38100" dir="2700000" algn="tl" rotWithShape="0">
                  <a:prstClr val="black">
                    <a:alpha val="40000"/>
                  </a:prstClr>
                </a:outerShdw>
              </a:effectLst>
              <a:latin typeface="Trebuchet MS" panose="020B0603020202020204" pitchFamily="34" charset="0"/>
            </a:rPr>
            <a:t>Hybrid</a:t>
          </a:r>
          <a:r>
            <a:rPr lang="en-US" sz="7200">
              <a:solidFill>
                <a:srgbClr val="31A659"/>
              </a:solidFill>
              <a:effectLst>
                <a:outerShdw blurRad="50800" dist="38100" dir="2700000" algn="tl" rotWithShape="0">
                  <a:prstClr val="black">
                    <a:alpha val="40000"/>
                  </a:prstClr>
                </a:outerShdw>
              </a:effectLst>
              <a:latin typeface="Trebuchet MS" panose="020B0603020202020204" pitchFamily="34" charset="0"/>
            </a:rPr>
            <a:t>FAST</a:t>
          </a:r>
        </a:p>
      </xdr:txBody>
    </xdr:sp>
    <xdr:clientData/>
  </xdr:twoCellAnchor>
  <xdr:twoCellAnchor editAs="absolute">
    <xdr:from>
      <xdr:col>0</xdr:col>
      <xdr:colOff>114300</xdr:colOff>
      <xdr:row>25</xdr:row>
      <xdr:rowOff>76200</xdr:rowOff>
    </xdr:from>
    <xdr:to>
      <xdr:col>1</xdr:col>
      <xdr:colOff>342900</xdr:colOff>
      <xdr:row>26</xdr:row>
      <xdr:rowOff>180975</xdr:rowOff>
    </xdr:to>
    <xdr:pic>
      <xdr:nvPicPr>
        <xdr:cNvPr id="5" name="Picture 4" descr="Creative Commons License">
          <a:hlinkClick xmlns:r="http://schemas.openxmlformats.org/officeDocument/2006/relationships" r:id="rId1"/>
          <a:extLst>
            <a:ext uri="{FF2B5EF4-FFF2-40B4-BE49-F238E27FC236}">
              <a16:creationId xmlns:a16="http://schemas.microsoft.com/office/drawing/2014/main" id="{7389C621-5B7A-461E-91B8-54F2C0AB433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7848600"/>
          <a:ext cx="838200" cy="295275"/>
        </a:xfrm>
        <a:prstGeom prst="rect">
          <a:avLst/>
        </a:prstGeom>
        <a:noFill/>
        <a:ln>
          <a:noFill/>
        </a:ln>
      </xdr:spPr>
    </xdr:pic>
    <xdr:clientData/>
  </xdr:twoCellAnchor>
  <xdr:twoCellAnchor editAs="oneCell">
    <xdr:from>
      <xdr:col>0</xdr:col>
      <xdr:colOff>76200</xdr:colOff>
      <xdr:row>0</xdr:row>
      <xdr:rowOff>171450</xdr:rowOff>
    </xdr:from>
    <xdr:to>
      <xdr:col>5</xdr:col>
      <xdr:colOff>31038</xdr:colOff>
      <xdr:row>4</xdr:row>
      <xdr:rowOff>361950</xdr:rowOff>
    </xdr:to>
    <xdr:pic>
      <xdr:nvPicPr>
        <xdr:cNvPr id="7" name="Picture 6">
          <a:extLst>
            <a:ext uri="{FF2B5EF4-FFF2-40B4-BE49-F238E27FC236}">
              <a16:creationId xmlns:a16="http://schemas.microsoft.com/office/drawing/2014/main" id="{B39A6B5B-C627-4146-829A-49E0D60FE9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171450"/>
          <a:ext cx="3002838"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95250</xdr:colOff>
      <xdr:row>7</xdr:row>
      <xdr:rowOff>19050</xdr:rowOff>
    </xdr:to>
    <xdr:sp macro="" textlink="">
      <xdr:nvSpPr>
        <xdr:cNvPr id="24" name="Rectangle 23">
          <a:extLst>
            <a:ext uri="{FF2B5EF4-FFF2-40B4-BE49-F238E27FC236}">
              <a16:creationId xmlns:a16="http://schemas.microsoft.com/office/drawing/2014/main" id="{20279050-658A-4AEC-AC84-023BD3525421}"/>
            </a:ext>
          </a:extLst>
        </xdr:cNvPr>
        <xdr:cNvSpPr/>
      </xdr:nvSpPr>
      <xdr:spPr>
        <a:xfrm>
          <a:off x="0" y="0"/>
          <a:ext cx="2533650" cy="13525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609599</xdr:colOff>
      <xdr:row>0</xdr:row>
      <xdr:rowOff>0</xdr:rowOff>
    </xdr:from>
    <xdr:to>
      <xdr:col>13</xdr:col>
      <xdr:colOff>9524</xdr:colOff>
      <xdr:row>10</xdr:row>
      <xdr:rowOff>0</xdr:rowOff>
    </xdr:to>
    <xdr:sp macro="" textlink="">
      <xdr:nvSpPr>
        <xdr:cNvPr id="8" name="Rectangle 7">
          <a:extLst>
            <a:ext uri="{FF2B5EF4-FFF2-40B4-BE49-F238E27FC236}">
              <a16:creationId xmlns:a16="http://schemas.microsoft.com/office/drawing/2014/main" id="{2C8AAFDD-5A72-481D-8848-A36EED380D56}"/>
            </a:ext>
          </a:extLst>
        </xdr:cNvPr>
        <xdr:cNvSpPr/>
      </xdr:nvSpPr>
      <xdr:spPr>
        <a:xfrm>
          <a:off x="2438399" y="0"/>
          <a:ext cx="5495925" cy="190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6</xdr:row>
      <xdr:rowOff>57148</xdr:rowOff>
    </xdr:from>
    <xdr:to>
      <xdr:col>13</xdr:col>
      <xdr:colOff>0</xdr:colOff>
      <xdr:row>227</xdr:row>
      <xdr:rowOff>28575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E99D0206-96B4-4806-A098-86A9D74D9FD1}"/>
                </a:ext>
              </a:extLst>
            </xdr:cNvPr>
            <xdr:cNvSpPr txBox="1"/>
          </xdr:nvSpPr>
          <xdr:spPr>
            <a:xfrm>
              <a:off x="0" y="1200148"/>
              <a:ext cx="7924800" cy="420719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Welcome to the Hybrid System Financial Advisory Spreadsheet Tool (HybridFAST)</a:t>
              </a:r>
              <a:r>
                <a:rPr lang="en-US"/>
                <a:t> </a:t>
              </a:r>
            </a:p>
            <a:p>
              <a:endParaRPr lang="en-US" sz="1100"/>
            </a:p>
            <a:p>
              <a:r>
                <a:rPr lang="en-US" sz="1100"/>
                <a:t>This tool has been developed to aid decision makers, engineers, students, business owners, financial institutions, and anyone</a:t>
              </a:r>
              <a:r>
                <a:rPr lang="en-US" sz="1100" baseline="0"/>
                <a:t> interested in understanding the financial implications of grid-interactive photovoltaic (PV) systems, battery energy storage systems (BESS), and hybrid systems utilizing PV and BESS technology.</a:t>
              </a:r>
            </a:p>
            <a:p>
              <a:endParaRPr lang="en-US" sz="1100" baseline="0"/>
            </a:p>
            <a:p>
              <a:r>
                <a:rPr lang="en-US" sz="1100" baseline="0"/>
                <a:t>The tool has been developed in an open-source manner with all calculations visible within cells. There are no macros involved and the calculations can be easily revers engineered, inspected, and modified. While it may appear at first glance to be a black box of calculations, with a minimal investment of time and practice it can be easily utilized by anyone. With a significant investment of time it can be re-designed for any purpose.</a:t>
              </a:r>
            </a:p>
            <a:p>
              <a:endParaRPr lang="en-US" sz="1100" baseline="0"/>
            </a:p>
            <a:p>
              <a:r>
                <a:rPr lang="en-US" sz="1100" baseline="0"/>
                <a:t>While there are some assumptions prepopulated in the calculator, and some calculations missing, many years of research and development have gone into creating the most universally understood output format calculated by the most pertinent elements of financial proforma modeling. However, please keep in mind that just like any calculation performed, garbage in = garbage out.</a:t>
              </a:r>
            </a:p>
            <a:p>
              <a:endParaRPr lang="en-US" sz="1100" baseline="0"/>
            </a:p>
            <a:p>
              <a:r>
                <a:rPr lang="en-US" sz="1100" baseline="0"/>
                <a:t>The most basic rules of operation are as follows:</a:t>
              </a:r>
            </a:p>
            <a:p>
              <a:endParaRPr lang="en-US" sz="1100" baseline="0"/>
            </a:p>
            <a:p>
              <a:r>
                <a:rPr lang="en-US" sz="1100" baseline="0"/>
                <a:t>1.) Green cells are user input cells and can have values manually entered and adjusted.</a:t>
              </a:r>
            </a:p>
            <a:p>
              <a:endParaRPr lang="en-US" sz="1100" baseline="0"/>
            </a:p>
            <a:p>
              <a:endParaRPr lang="en-US" sz="1100" baseline="0"/>
            </a:p>
            <a:p>
              <a:r>
                <a:rPr lang="en-US" sz="1100" baseline="0"/>
                <a:t>2.) Grey cells are cells in which the value is derived via a formula calculation and should not be changed other than by an advanced user. If the value is manually adjusted to quickly see the impact, it can easily be undone with the 'undo' command or button.</a:t>
              </a:r>
            </a:p>
            <a:p>
              <a:endParaRPr lang="en-US" sz="1100" baseline="0"/>
            </a:p>
            <a:p>
              <a:endParaRPr lang="en-US" sz="1100"/>
            </a:p>
            <a:p>
              <a:r>
                <a:rPr lang="en-US" sz="1100"/>
                <a:t>2.a.) In the instance above, discount rate would typically be a manual input determined by the chosen discount rate to evaluate the time value of money. However,</a:t>
              </a:r>
              <a:r>
                <a:rPr lang="en-US" sz="1100" baseline="0"/>
                <a:t> in this instance the screen capture was taken from the 'PV IN' page. The purple text is used to indicate that this value's manual input is on another sheet, but utilized on the current sheet; 'Batt IN' in this example.</a:t>
              </a:r>
            </a:p>
            <a:p>
              <a:endParaRPr lang="en-US" sz="1100" baseline="0"/>
            </a:p>
            <a:p>
              <a:r>
                <a:rPr lang="en-US" sz="1100" baseline="0"/>
                <a:t>2.b.) Grey cells on the input sheets are also 'protected' in order maintain the integrity of all calculations. Once familiar with the operation of the tool, you may encounter instances where manually changing the value directly is beneficial. For instance, you may want to see what happens when you change the in service date of the battery system independently, which is typically input on the "PV IN' sheet. To do this, or to begin customizing the tool, you can simply unprotect the input sheets with the password: </a:t>
              </a:r>
              <a:r>
                <a:rPr lang="en-US" sz="1100" b="1" baseline="0"/>
                <a:t>ProtoGen</a:t>
              </a:r>
              <a:endParaRPr lang="en-US" sz="1100" baseline="0"/>
            </a:p>
            <a:p>
              <a:endParaRPr lang="en-US" sz="1100" baseline="0"/>
            </a:p>
            <a:p>
              <a:r>
                <a:rPr lang="en-US" sz="1100" baseline="0"/>
                <a:t>If you do make quick changes see what happens, it is very easy to simply use the 'undo' function to return the formula back to its original state; "Ctrl+z". </a:t>
              </a:r>
            </a:p>
            <a:p>
              <a:endParaRPr lang="en-US" sz="1100" baseline="0"/>
            </a:p>
            <a:p>
              <a:r>
                <a:rPr lang="en-US" sz="1100" baseline="0"/>
                <a:t>2.c.) To un-protect the input sheets, go to file, and click on "unprotect" for the sheet you wish to modify:</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r>
                <a:rPr lang="en-US" sz="1100" b="0" baseline="0"/>
                <a:t>It is recommended to safe a copy of the workbook prior to unprotecting, that way if anything happens, you can start over from a fresh copy. Saving the unprotected workbook will result in a permanently open tool for customization and editing.</a:t>
              </a:r>
            </a:p>
            <a:p>
              <a:endParaRPr lang="en-US" sz="1100" b="0" baseline="0"/>
            </a:p>
            <a:p>
              <a:r>
                <a:rPr lang="en-US" sz="1100" b="0" baseline="0"/>
                <a:t>3.) It is recommended to begin each project on the 'PV IN' tab and then move to the 'Batt IN' tab, even if you are creating a PV or Battery only system. If for instance, you are creating a "Commercial" "Battery Only" system, there are values on the PV tab which must be input. If such a selection on the 'PV IN' tab is made, the pertinent values will be the only ones that appear active.</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4.) Both the PV and Battery 'System Information' sections can utilize either a simple or advanced pricing model. With the 'Simple' option selected, all inputs are done via the 'PV IN' and 'Batt IN' tabs. If a more granular approach to system pricing/costing is desired, 'Advanced' can be selected for the pricing model which will then activate the input values on the 'Adv.' tab. When 'Advanced' is selected, the "System Retail Price" value is no longer directly calculated on the input sheets, but is retrieved from the system total sums on the 'Adv.' tab.</a:t>
              </a:r>
            </a:p>
            <a:p>
              <a:endParaRPr lang="en-US" sz="1100" b="0" baseline="0"/>
            </a:p>
            <a:p>
              <a:r>
                <a:rPr lang="en-US" sz="1100" b="0" baseline="0"/>
                <a:t>4.a.) The "Multiport Inverter: Net Cost/W" option only calculates the reduction in shared inverter costs when the PV system is set to use the 'Simple' pricing structure. The associated de-rates function in any configuration, but the shared inverter costs must be manually accounted for in the 'Adv.' tab if the system will utilize a multiport inverter and 'Advanced' pricing.</a:t>
              </a:r>
            </a:p>
            <a:p>
              <a:endParaRPr lang="en-US" sz="1100" b="0" baseline="0"/>
            </a:p>
            <a:p>
              <a:r>
                <a:rPr lang="en-US" sz="1100" b="0" baseline="0"/>
                <a:t>5.) Banks, investors, owners, and other financial institutions often ask for a series of cashflows for their own calculations. These can be found on the 'PV Calcs', 'Batt Calcs', 'Hybrid Calcs' tabs. Most often, they will be interested in the discounted cash flows. These are in columns E, H, and K for PV, battery, and hybrid total, respectively. The values in these columns represents the net after-tax cash flows for each month. Taxes are not calculated on an ongoing monthly basis; please note however, the net effect of the cash flow, as would be considered at the end of the year, is represented by these values.</a:t>
              </a:r>
            </a:p>
            <a:p>
              <a:endParaRPr lang="en-US" sz="1100" b="0" baseline="0"/>
            </a:p>
            <a:p>
              <a:r>
                <a:rPr lang="en-US" sz="1100" b="0" baseline="0"/>
                <a:t>5.a.) On the calculations tabs, 'DCF' stands for discounted cash flow and represents the period cash value after being corrected for the time value of money with the input discount rate. The '__ Cumulative DCF' values are a running sum of each period's individual cash flow.</a:t>
              </a:r>
            </a:p>
            <a:p>
              <a:endParaRPr lang="en-US" sz="1100" b="0" baseline="0"/>
            </a:p>
            <a:p>
              <a:r>
                <a:rPr lang="en-US" sz="1100" b="0" baseline="0"/>
                <a:t>6.) Base capacity factor for the PV system input is derived externally from the calculator as an energy per power per year unit (kWhAC/kWDC/yr). In other words, based on a system's physical characteristics, how many kilowatt hours of energy are going to be produced for each kilowatt of installed solar panels.</a:t>
              </a:r>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This value is easily created by using a PV system production estimation software such </a:t>
              </a:r>
              <a:r>
                <a:rPr lang="en-US" sz="1100" b="0" baseline="0">
                  <a:solidFill>
                    <a:schemeClr val="dk1"/>
                  </a:solidFill>
                  <a:latin typeface="+mn-lt"/>
                  <a:ea typeface="+mn-ea"/>
                  <a:cs typeface="+mn-cs"/>
                </a:rPr>
                <a:t>as PVWatts. </a:t>
              </a:r>
              <a:r>
                <a:rPr lang="en-US" sz="1100" b="0" baseline="0"/>
                <a:t>Simply put in the system of interests' characteristics such as location, tilt, azimuth and run the calculation. It is recommended that a system size of 1,000 Wdc is used to make the calculation even simpler. Take the annual AC energy output in kWhs and divide it by the system size in kW. </a:t>
              </a:r>
            </a:p>
            <a:p>
              <a:endParaRPr lang="en-US" sz="1100" b="0" baseline="0"/>
            </a:p>
            <a:p>
              <a:r>
                <a:rPr lang="en-US" sz="1100" b="0" baseline="0"/>
                <a:t>System production scales very linearly for most intents and purposes.  Therefore, once you calculate a base capacity factor for a location, you can just change the 'PV Size' value in the calculator to explore the results of various system sizes.</a:t>
              </a:r>
            </a:p>
            <a:p>
              <a:endParaRPr lang="en-US" sz="1100" b="0" baseline="0"/>
            </a:p>
            <a:p>
              <a:r>
                <a:rPr lang="en-US" sz="1100" b="0" baseline="0"/>
                <a:t>7.) For more information reguarding cell input values, clicking or highlighting a cell will bring up an input message with details about what should be entered. Additionally, some cells have small red arrows in the top right, this indicates an additional description that is visible by clicking on the cell or by hovering over with the mouse.</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8.) If the following message is seen, the values entered that relate to battery capacity must be checked. This error can occur when there are more kWhs promised than the system can deliver. A similar message will occure if the system is promising more inverter power than the inverter is capable of. In this instance, the daily capacity turn over exceeds the capability of the inverter and chemistry combination.</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9) Hovering your mouse over a section of the "Revenues, Savings, Expenses" chart will bring up an informational note describing the section's description and value.</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1" baseline="0"/>
                <a:t>Note:</a:t>
              </a:r>
            </a:p>
            <a:p>
              <a:r>
                <a:rPr lang="en-US" sz="1100" b="0" baseline="0"/>
                <a:t>PV Levelized Cost of Electricity (LCOE) is calculated with the following equation:</a:t>
              </a:r>
            </a:p>
            <a:p>
              <a:pPr/>
              <a14:m>
                <m:oMathPara xmlns:m="http://schemas.openxmlformats.org/officeDocument/2006/math">
                  <m:oMathParaPr>
                    <m:jc m:val="centerGroup"/>
                  </m:oMathParaPr>
                  <m:oMath xmlns:m="http://schemas.openxmlformats.org/officeDocument/2006/math">
                    <m:sSub>
                      <m:sSubPr>
                        <m:ctrlPr>
                          <a:rPr lang="en-US" sz="1100" b="0" i="1" baseline="0">
                            <a:latin typeface="Cambria Math" panose="02040503050406030204" pitchFamily="18" charset="0"/>
                          </a:rPr>
                        </m:ctrlPr>
                      </m:sSubPr>
                      <m:e>
                        <m:r>
                          <a:rPr lang="en-US" sz="1100" b="0" i="1" baseline="0">
                            <a:latin typeface="Cambria Math" panose="02040503050406030204" pitchFamily="18" charset="0"/>
                          </a:rPr>
                          <m:t>𝐿𝐶𝑂𝐸</m:t>
                        </m:r>
                      </m:e>
                      <m:sub>
                        <m:r>
                          <a:rPr lang="en-US" sz="1100" b="0" i="1" baseline="0">
                            <a:latin typeface="Cambria Math" panose="02040503050406030204" pitchFamily="18" charset="0"/>
                          </a:rPr>
                          <m:t>𝑃𝑉</m:t>
                        </m:r>
                      </m:sub>
                    </m:sSub>
                    <m:r>
                      <a:rPr lang="en-US" sz="1100" b="0" i="1" baseline="0">
                        <a:latin typeface="Cambria Math" panose="02040503050406030204" pitchFamily="18" charset="0"/>
                      </a:rPr>
                      <m:t>= </m:t>
                    </m:r>
                    <m:f>
                      <m:fPr>
                        <m:ctrlPr>
                          <a:rPr lang="en-US" sz="1100" b="0" i="1" baseline="0">
                            <a:solidFill>
                              <a:schemeClr val="dk1"/>
                            </a:solidFill>
                            <a:effectLst/>
                            <a:latin typeface="Cambria Math" panose="02040503050406030204" pitchFamily="18" charset="0"/>
                            <a:ea typeface="+mn-ea"/>
                            <a:cs typeface="+mn-cs"/>
                          </a:rPr>
                        </m:ctrlPr>
                      </m:fPr>
                      <m:num>
                        <m:nary>
                          <m:naryPr>
                            <m:chr m:val="∑"/>
                            <m:limLoc m:val="subSup"/>
                            <m:ctrlPr>
                              <a:rPr lang="en-US" sz="1100" b="0" i="1" baseline="0">
                                <a:solidFill>
                                  <a:schemeClr val="dk1"/>
                                </a:solidFill>
                                <a:effectLst/>
                                <a:latin typeface="Cambria Math" panose="02040503050406030204" pitchFamily="18" charset="0"/>
                                <a:ea typeface="+mn-ea"/>
                                <a:cs typeface="+mn-cs"/>
                              </a:rPr>
                            </m:ctrlPr>
                          </m:naryPr>
                          <m:sub>
                            <m:r>
                              <m:rPr>
                                <m:brk m:alnAt="25"/>
                              </m:rPr>
                              <a:rPr lang="en-US" sz="1100" b="0" i="1" baseline="0">
                                <a:solidFill>
                                  <a:schemeClr val="dk1"/>
                                </a:solidFill>
                                <a:effectLst/>
                                <a:latin typeface="Cambria Math" panose="02040503050406030204" pitchFamily="18" charset="0"/>
                                <a:ea typeface="+mn-ea"/>
                                <a:cs typeface="+mn-cs"/>
                              </a:rPr>
                              <m:t>𝑡</m:t>
                            </m:r>
                            <m:r>
                              <a:rPr lang="en-US" sz="1100" b="0" i="1" baseline="0">
                                <a:solidFill>
                                  <a:schemeClr val="dk1"/>
                                </a:solidFill>
                                <a:effectLst/>
                                <a:latin typeface="Cambria Math" panose="02040503050406030204" pitchFamily="18" charset="0"/>
                                <a:ea typeface="+mn-ea"/>
                                <a:cs typeface="+mn-cs"/>
                              </a:rPr>
                              <m:t>=0</m:t>
                            </m:r>
                          </m:sub>
                          <m:sup>
                            <m:r>
                              <a:rPr lang="en-US" sz="1100" b="0" i="1" baseline="0">
                                <a:solidFill>
                                  <a:schemeClr val="dk1"/>
                                </a:solidFill>
                                <a:effectLst/>
                                <a:latin typeface="Cambria Math" panose="02040503050406030204" pitchFamily="18" charset="0"/>
                                <a:ea typeface="+mn-ea"/>
                                <a:cs typeface="+mn-cs"/>
                              </a:rPr>
                              <m:t>𝑃𝑜𝐴</m:t>
                            </m:r>
                          </m:sup>
                          <m:e>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𝐼</m:t>
                                </m:r>
                              </m:e>
                              <m:sub>
                                <m:r>
                                  <a:rPr lang="en-US" sz="1100" b="0" i="1" baseline="0">
                                    <a:solidFill>
                                      <a:schemeClr val="dk1"/>
                                    </a:solidFill>
                                    <a:effectLst/>
                                    <a:latin typeface="Cambria Math" panose="02040503050406030204" pitchFamily="18" charset="0"/>
                                    <a:ea typeface="+mn-ea"/>
                                    <a:cs typeface="+mn-cs"/>
                                  </a:rPr>
                                  <m:t>𝑡</m:t>
                                </m:r>
                              </m:sub>
                            </m:sSub>
                          </m:e>
                        </m:nary>
                        <m:r>
                          <a:rPr lang="en-US" sz="1100" b="0" i="0"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𝑂</m:t>
                            </m:r>
                            <m:r>
                              <a:rPr lang="en-US" sz="1100" b="0" i="1" baseline="0">
                                <a:solidFill>
                                  <a:schemeClr val="dk1"/>
                                </a:solidFill>
                                <a:effectLst/>
                                <a:latin typeface="Cambria Math" panose="02040503050406030204" pitchFamily="18" charset="0"/>
                                <a:ea typeface="+mn-ea"/>
                                <a:cs typeface="+mn-cs"/>
                              </a:rPr>
                              <m:t>&amp;</m:t>
                            </m:r>
                            <m:r>
                              <a:rPr lang="en-US" sz="1100" b="0" i="1" baseline="0">
                                <a:solidFill>
                                  <a:schemeClr val="dk1"/>
                                </a:solidFill>
                                <a:effectLst/>
                                <a:latin typeface="Cambria Math" panose="02040503050406030204" pitchFamily="18" charset="0"/>
                                <a:ea typeface="+mn-ea"/>
                                <a:cs typeface="+mn-cs"/>
                              </a:rPr>
                              <m:t>𝑀</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𝐼𝑛𝑠</m:t>
                            </m:r>
                          </m:e>
                          <m:sub>
                            <m:r>
                              <a:rPr lang="en-US" sz="1100" b="0" i="1" baseline="0">
                                <a:solidFill>
                                  <a:schemeClr val="dk1"/>
                                </a:solidFill>
                                <a:effectLst/>
                                <a:latin typeface="Cambria Math" panose="02040503050406030204" pitchFamily="18" charset="0"/>
                                <a:ea typeface="+mn-ea"/>
                                <a:cs typeface="+mn-cs"/>
                              </a:rPr>
                              <m:t>𝑡</m:t>
                            </m:r>
                          </m:sub>
                        </m:sSub>
                        <m:r>
                          <a:rPr lang="en-US" sz="1100" b="0" i="0"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𝐹𝑖𝑛𝐸𝑥</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𝐸𝑞𝑢𝑖𝑝</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𝐼𝑇𝐶</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𝐷𝑒𝑝</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𝑆𝑅𝐸𝐶</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𝑅𝑒𝑏</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f>
                          <m:fPr>
                            <m:ctrlPr>
                              <a:rPr lang="en-US" sz="1100" b="0" i="1" baseline="0">
                                <a:solidFill>
                                  <a:schemeClr val="dk1"/>
                                </a:solidFill>
                                <a:effectLst/>
                                <a:latin typeface="Cambria Math" panose="02040503050406030204" pitchFamily="18" charset="0"/>
                                <a:ea typeface="+mn-ea"/>
                                <a:cs typeface="+mn-cs"/>
                              </a:rPr>
                            </m:ctrlPr>
                          </m:fPr>
                          <m:num>
                            <m:r>
                              <a:rPr lang="en-US" sz="1100" b="0" i="1" baseline="0">
                                <a:solidFill>
                                  <a:schemeClr val="dk1"/>
                                </a:solidFill>
                                <a:effectLst/>
                                <a:latin typeface="Cambria Math" panose="02040503050406030204" pitchFamily="18" charset="0"/>
                                <a:ea typeface="+mn-ea"/>
                                <a:cs typeface="+mn-cs"/>
                              </a:rPr>
                              <m:t>1</m:t>
                            </m:r>
                          </m:num>
                          <m:den>
                            <m:sSup>
                              <m:sSupPr>
                                <m:ctrlPr>
                                  <a:rPr lang="en-US" sz="1100" b="0" i="1" baseline="0">
                                    <a:solidFill>
                                      <a:schemeClr val="dk1"/>
                                    </a:solidFill>
                                    <a:effectLst/>
                                    <a:latin typeface="Cambria Math" panose="02040503050406030204" pitchFamily="18" charset="0"/>
                                    <a:ea typeface="+mn-ea"/>
                                    <a:cs typeface="+mn-cs"/>
                                  </a:rPr>
                                </m:ctrlPr>
                              </m:sSupPr>
                              <m:e>
                                <m:r>
                                  <a:rPr lang="en-US" sz="1100" b="0" i="1" baseline="0">
                                    <a:solidFill>
                                      <a:schemeClr val="dk1"/>
                                    </a:solidFill>
                                    <a:effectLst/>
                                    <a:latin typeface="Cambria Math" panose="02040503050406030204" pitchFamily="18" charset="0"/>
                                    <a:ea typeface="+mn-ea"/>
                                    <a:cs typeface="+mn-cs"/>
                                  </a:rPr>
                                  <m:t>(1+</m:t>
                                </m:r>
                                <m:d>
                                  <m:dPr>
                                    <m:ctrlPr>
                                      <a:rPr lang="en-US" sz="1100" b="0" i="1" baseline="0">
                                        <a:solidFill>
                                          <a:schemeClr val="dk1"/>
                                        </a:solidFill>
                                        <a:effectLst/>
                                        <a:latin typeface="Cambria Math" panose="02040503050406030204" pitchFamily="18" charset="0"/>
                                        <a:ea typeface="+mn-ea"/>
                                        <a:cs typeface="+mn-cs"/>
                                      </a:rPr>
                                    </m:ctrlPr>
                                  </m:dPr>
                                  <m:e>
                                    <m:f>
                                      <m:fPr>
                                        <m:ctrlPr>
                                          <a:rPr lang="en-US" sz="1100" b="0" i="1" baseline="0">
                                            <a:solidFill>
                                              <a:schemeClr val="dk1"/>
                                            </a:solidFill>
                                            <a:effectLst/>
                                            <a:latin typeface="Cambria Math" panose="02040503050406030204" pitchFamily="18" charset="0"/>
                                            <a:ea typeface="+mn-ea"/>
                                            <a:cs typeface="+mn-cs"/>
                                          </a:rPr>
                                        </m:ctrlPr>
                                      </m:fPr>
                                      <m:num>
                                        <m:r>
                                          <a:rPr lang="en-US" sz="1100" b="0" i="1" baseline="0">
                                            <a:solidFill>
                                              <a:schemeClr val="dk1"/>
                                            </a:solidFill>
                                            <a:effectLst/>
                                            <a:latin typeface="Cambria Math" panose="02040503050406030204" pitchFamily="18" charset="0"/>
                                            <a:ea typeface="+mn-ea"/>
                                            <a:cs typeface="+mn-cs"/>
                                          </a:rPr>
                                          <m:t>𝑖</m:t>
                                        </m:r>
                                      </m:num>
                                      <m:den>
                                        <m:r>
                                          <a:rPr lang="en-US" sz="1100" b="0" i="1" baseline="0">
                                            <a:solidFill>
                                              <a:schemeClr val="dk1"/>
                                            </a:solidFill>
                                            <a:effectLst/>
                                            <a:latin typeface="Cambria Math" panose="02040503050406030204" pitchFamily="18" charset="0"/>
                                            <a:ea typeface="+mn-ea"/>
                                            <a:cs typeface="+mn-cs"/>
                                          </a:rPr>
                                          <m:t>12</m:t>
                                        </m:r>
                                      </m:den>
                                    </m:f>
                                  </m:e>
                                </m:d>
                                <m:r>
                                  <a:rPr lang="en-US" sz="1100" b="0" i="1" baseline="0">
                                    <a:solidFill>
                                      <a:schemeClr val="dk1"/>
                                    </a:solidFill>
                                    <a:effectLst/>
                                    <a:latin typeface="Cambria Math" panose="02040503050406030204" pitchFamily="18" charset="0"/>
                                    <a:ea typeface="+mn-ea"/>
                                    <a:cs typeface="+mn-cs"/>
                                  </a:rPr>
                                  <m:t>)</m:t>
                                </m:r>
                              </m:e>
                              <m:sup>
                                <m:r>
                                  <a:rPr lang="en-US" sz="1100" b="0" i="1" baseline="0">
                                    <a:solidFill>
                                      <a:schemeClr val="dk1"/>
                                    </a:solidFill>
                                    <a:effectLst/>
                                    <a:latin typeface="Cambria Math" panose="02040503050406030204" pitchFamily="18" charset="0"/>
                                    <a:ea typeface="+mn-ea"/>
                                    <a:cs typeface="+mn-cs"/>
                                  </a:rPr>
                                  <m:t>𝑡</m:t>
                                </m:r>
                              </m:sup>
                            </m:sSup>
                          </m:den>
                        </m:f>
                      </m:num>
                      <m:den>
                        <m:nary>
                          <m:naryPr>
                            <m:chr m:val="∑"/>
                            <m:limLoc m:val="subSup"/>
                            <m:ctrlPr>
                              <a:rPr lang="en-US" sz="1100" b="0" i="1" baseline="0">
                                <a:solidFill>
                                  <a:schemeClr val="dk1"/>
                                </a:solidFill>
                                <a:effectLst/>
                                <a:latin typeface="Cambria Math" panose="02040503050406030204" pitchFamily="18" charset="0"/>
                                <a:ea typeface="+mn-ea"/>
                                <a:cs typeface="+mn-cs"/>
                              </a:rPr>
                            </m:ctrlPr>
                          </m:naryPr>
                          <m:sub>
                            <m:r>
                              <m:rPr>
                                <m:brk m:alnAt="25"/>
                              </m:rPr>
                              <a:rPr lang="en-US" sz="1100" b="0" i="1" baseline="0">
                                <a:solidFill>
                                  <a:schemeClr val="dk1"/>
                                </a:solidFill>
                                <a:effectLst/>
                                <a:latin typeface="Cambria Math" panose="02040503050406030204" pitchFamily="18" charset="0"/>
                                <a:ea typeface="+mn-ea"/>
                                <a:cs typeface="+mn-cs"/>
                              </a:rPr>
                              <m:t>𝑡</m:t>
                            </m:r>
                            <m:r>
                              <a:rPr lang="en-US" sz="1100" b="0" i="1" baseline="0">
                                <a:solidFill>
                                  <a:schemeClr val="dk1"/>
                                </a:solidFill>
                                <a:effectLst/>
                                <a:latin typeface="Cambria Math" panose="02040503050406030204" pitchFamily="18" charset="0"/>
                                <a:ea typeface="+mn-ea"/>
                                <a:cs typeface="+mn-cs"/>
                              </a:rPr>
                              <m:t>=</m:t>
                            </m:r>
                            <m:r>
                              <a:rPr lang="en-US" sz="1100" b="0" i="1" baseline="0">
                                <a:solidFill>
                                  <a:schemeClr val="dk1"/>
                                </a:solidFill>
                                <a:effectLst/>
                                <a:latin typeface="Cambria Math" panose="02040503050406030204" pitchFamily="18" charset="0"/>
                                <a:ea typeface="+mn-ea"/>
                                <a:cs typeface="+mn-cs"/>
                              </a:rPr>
                              <m:t>𝑜</m:t>
                            </m:r>
                          </m:sub>
                          <m:sup>
                            <m:r>
                              <a:rPr lang="en-US" sz="1100" b="0" i="1" baseline="0">
                                <a:solidFill>
                                  <a:schemeClr val="dk1"/>
                                </a:solidFill>
                                <a:effectLst/>
                                <a:latin typeface="Cambria Math" panose="02040503050406030204" pitchFamily="18" charset="0"/>
                                <a:ea typeface="+mn-ea"/>
                                <a:cs typeface="+mn-cs"/>
                              </a:rPr>
                              <m:t>𝑃𝑜𝐴</m:t>
                            </m:r>
                          </m:sup>
                          <m:e>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𝑃</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Cambria Math" panose="02040503050406030204" pitchFamily="18" charset="0"/>
                                <a:cs typeface="+mn-cs"/>
                              </a:rPr>
                              <m:t>×</m:t>
                            </m:r>
                            <m:sSub>
                              <m:sSubPr>
                                <m:ctrlPr>
                                  <a:rPr lang="en-US" sz="1100" b="0" i="1" baseline="0">
                                    <a:solidFill>
                                      <a:schemeClr val="dk1"/>
                                    </a:solidFill>
                                    <a:effectLst/>
                                    <a:latin typeface="Cambria Math" panose="02040503050406030204" pitchFamily="18" charset="0"/>
                                    <a:ea typeface="Cambria Math" panose="02040503050406030204" pitchFamily="18" charset="0"/>
                                    <a:cs typeface="+mn-cs"/>
                                  </a:rPr>
                                </m:ctrlPr>
                              </m:sSubPr>
                              <m:e>
                                <m:r>
                                  <a:rPr lang="en-US" sz="1100" b="0" i="1" baseline="0">
                                    <a:solidFill>
                                      <a:schemeClr val="dk1"/>
                                    </a:solidFill>
                                    <a:effectLst/>
                                    <a:latin typeface="Cambria Math" panose="02040503050406030204" pitchFamily="18" charset="0"/>
                                    <a:ea typeface="Cambria Math" panose="02040503050406030204" pitchFamily="18" charset="0"/>
                                    <a:cs typeface="+mn-cs"/>
                                  </a:rPr>
                                  <m:t>𝐷𝑒𝑔</m:t>
                                </m:r>
                              </m:e>
                              <m:sub>
                                <m:r>
                                  <a:rPr lang="en-US" sz="1100" b="0" i="1" baseline="0">
                                    <a:solidFill>
                                      <a:schemeClr val="dk1"/>
                                    </a:solidFill>
                                    <a:effectLst/>
                                    <a:latin typeface="Cambria Math" panose="02040503050406030204" pitchFamily="18" charset="0"/>
                                    <a:ea typeface="Cambria Math" panose="02040503050406030204" pitchFamily="18" charset="0"/>
                                    <a:cs typeface="+mn-cs"/>
                                  </a:rPr>
                                  <m:t>𝑡</m:t>
                                </m:r>
                              </m:sub>
                            </m:sSub>
                          </m:e>
                        </m:nary>
                      </m:den>
                    </m:f>
                  </m:oMath>
                </m:oMathPara>
              </a14:m>
              <a:endParaRPr lang="en-US" sz="1100" b="0" baseline="0"/>
            </a:p>
            <a:p>
              <a:r>
                <a:rPr lang="en-US" sz="1100" b="0" baseline="0"/>
                <a:t>Where:</a:t>
              </a:r>
            </a:p>
            <a:p>
              <a:r>
                <a:rPr lang="en-US" sz="1100" b="0" baseline="0"/>
                <a:t>	</a:t>
              </a:r>
              <a:r>
                <a:rPr lang="en-US" sz="1100" b="0" i="1" baseline="0"/>
                <a:t>PoA</a:t>
              </a:r>
              <a:r>
                <a:rPr lang="en-US" sz="1100" b="0" baseline="0"/>
                <a:t> 	= Period of Analysis (represented in years, calculated in months)</a:t>
              </a:r>
            </a:p>
            <a:p>
              <a:r>
                <a:rPr lang="en-US" sz="1100" b="0" baseline="0"/>
                <a:t>	</a:t>
              </a:r>
              <a:r>
                <a:rPr lang="en-US" sz="1100" b="0" i="1" baseline="0"/>
                <a:t>I</a:t>
              </a:r>
              <a:r>
                <a:rPr lang="en-US" sz="1100" b="0" i="1" baseline="-25000"/>
                <a:t>t</a:t>
              </a:r>
              <a:r>
                <a:rPr lang="en-US" sz="1100" b="0" baseline="0"/>
                <a:t> 	= Upfront investment (period 0)</a:t>
              </a:r>
            </a:p>
            <a:p>
              <a:r>
                <a:rPr lang="en-US" sz="1100" b="0" baseline="0"/>
                <a:t>	</a:t>
              </a:r>
              <a:r>
                <a:rPr lang="en-US" sz="1100" b="0" i="1" baseline="0"/>
                <a:t>O&amp;M</a:t>
              </a:r>
              <a:r>
                <a:rPr lang="en-US" sz="1100" b="0" i="1" baseline="-25000"/>
                <a:t>t</a:t>
              </a:r>
              <a:r>
                <a:rPr lang="en-US" sz="1100" b="0" i="1" baseline="0"/>
                <a:t> </a:t>
              </a:r>
              <a:r>
                <a:rPr lang="en-US" sz="1100" b="0" baseline="0"/>
                <a:t>	= Operation and maintenance for period</a:t>
              </a:r>
            </a:p>
            <a:p>
              <a:r>
                <a:rPr lang="en-US" sz="1100" b="0" baseline="0"/>
                <a:t>	</a:t>
              </a:r>
              <a:r>
                <a:rPr lang="en-US" sz="1100" b="0" i="1" baseline="0"/>
                <a:t>Ins</a:t>
              </a:r>
              <a:r>
                <a:rPr lang="en-US" sz="1100" b="0" i="1" baseline="-25000"/>
                <a:t>t</a:t>
              </a:r>
              <a:r>
                <a:rPr lang="en-US" sz="1100" b="0" baseline="0"/>
                <a:t> 	= Insurance cost for period</a:t>
              </a:r>
            </a:p>
            <a:p>
              <a:r>
                <a:rPr lang="en-US" sz="1100" b="0" baseline="0"/>
                <a:t>	</a:t>
              </a:r>
              <a:r>
                <a:rPr lang="en-US" sz="1100" b="0" i="1" baseline="0"/>
                <a:t>FinEx</a:t>
              </a:r>
              <a:r>
                <a:rPr lang="en-US" sz="1100" b="0" i="1" baseline="-25000"/>
                <a:t>t</a:t>
              </a:r>
              <a:r>
                <a:rPr lang="en-US" sz="1100" b="0" i="1" baseline="0"/>
                <a:t> </a:t>
              </a:r>
              <a:r>
                <a:rPr lang="en-US" sz="1100" b="0" baseline="0"/>
                <a:t>	= Financial expense (principal and interest)</a:t>
              </a:r>
            </a:p>
            <a:p>
              <a:r>
                <a:rPr lang="en-US" sz="1100" b="0" baseline="0"/>
                <a:t>	</a:t>
              </a:r>
              <a:r>
                <a:rPr lang="en-US" sz="1100" b="0" i="1" baseline="0"/>
                <a:t>Equip</a:t>
              </a:r>
              <a:r>
                <a:rPr lang="en-US" sz="1100" b="0" i="1" baseline="-25000"/>
                <a:t>t</a:t>
              </a:r>
              <a:r>
                <a:rPr lang="en-US" sz="1100" b="0" i="1" baseline="0"/>
                <a:t> </a:t>
              </a:r>
              <a:r>
                <a:rPr lang="en-US" sz="1100" b="0" baseline="0"/>
                <a:t>	= Equipment purchases (e.g. inverter replacement)</a:t>
              </a:r>
            </a:p>
            <a:p>
              <a:r>
                <a:rPr lang="en-US" sz="1100" b="0" baseline="0"/>
                <a:t>	</a:t>
              </a:r>
              <a:r>
                <a:rPr lang="en-US" sz="1100" b="0" i="1" baseline="0"/>
                <a:t>ITC</a:t>
              </a:r>
              <a:r>
                <a:rPr lang="en-US" sz="1100" b="0" i="1" baseline="-25000"/>
                <a:t>t</a:t>
              </a:r>
              <a:r>
                <a:rPr lang="en-US" sz="1100" b="0" i="1" baseline="0"/>
                <a:t> </a:t>
              </a:r>
              <a:r>
                <a:rPr lang="en-US" sz="1100" b="0" baseline="0"/>
                <a:t>	= Investment tax credit</a:t>
              </a:r>
            </a:p>
            <a:p>
              <a:r>
                <a:rPr lang="en-US" sz="1100" b="0" baseline="0"/>
                <a:t>	</a:t>
              </a:r>
              <a:r>
                <a:rPr lang="en-US" sz="1100" b="0" i="1" baseline="0"/>
                <a:t>Dep</a:t>
              </a:r>
              <a:r>
                <a:rPr lang="en-US" sz="1100" b="0" i="1" baseline="-25000"/>
                <a:t>t</a:t>
              </a:r>
              <a:r>
                <a:rPr lang="en-US" sz="1100" b="0" i="1" baseline="0"/>
                <a:t> </a:t>
              </a:r>
              <a:r>
                <a:rPr lang="en-US" sz="1100" b="0" baseline="0"/>
                <a:t>	= Depreciation benefit</a:t>
              </a:r>
            </a:p>
            <a:p>
              <a:r>
                <a:rPr lang="en-US" sz="1100" b="0" baseline="0"/>
                <a:t>	</a:t>
              </a:r>
              <a:r>
                <a:rPr lang="en-US" sz="1100" b="0" i="1" baseline="0"/>
                <a:t>SREC</a:t>
              </a:r>
              <a:r>
                <a:rPr lang="en-US" sz="1100" b="0" i="1" baseline="-25000"/>
                <a:t>t</a:t>
              </a:r>
              <a:r>
                <a:rPr lang="en-US" sz="1100" b="0" i="1" baseline="0"/>
                <a:t> </a:t>
              </a:r>
              <a:r>
                <a:rPr lang="en-US" sz="1100" b="0" baseline="0"/>
                <a:t>	= Solar Renewable Energy Credits</a:t>
              </a:r>
            </a:p>
            <a:p>
              <a:r>
                <a:rPr lang="en-US" sz="1100" b="0" baseline="0"/>
                <a:t>	</a:t>
              </a:r>
              <a:r>
                <a:rPr lang="en-US" sz="1100" b="0" i="1" baseline="0"/>
                <a:t>Reb</a:t>
              </a:r>
              <a:r>
                <a:rPr lang="en-US" sz="1100" b="0" i="1" baseline="-25000"/>
                <a:t>t</a:t>
              </a:r>
              <a:r>
                <a:rPr lang="en-US" sz="1100" b="0" i="1" baseline="0"/>
                <a:t> </a:t>
              </a:r>
              <a:r>
                <a:rPr lang="en-US" sz="1100" b="0" baseline="0"/>
                <a:t>	= Any other rebates and/or grants</a:t>
              </a:r>
            </a:p>
            <a:p>
              <a:r>
                <a:rPr lang="en-US" sz="1100" b="0" baseline="0"/>
                <a:t>	</a:t>
              </a:r>
              <a:r>
                <a:rPr lang="en-US" sz="1100" b="0" i="1" baseline="0"/>
                <a:t>i </a:t>
              </a:r>
              <a:r>
                <a:rPr lang="en-US" sz="1100" b="0" baseline="0"/>
                <a:t>	= discount rate</a:t>
              </a:r>
            </a:p>
            <a:p>
              <a:r>
                <a:rPr lang="en-US" sz="1100" b="0" baseline="0"/>
                <a:t>	</a:t>
              </a:r>
              <a:r>
                <a:rPr lang="en-US" sz="1100" b="0" i="1" baseline="0"/>
                <a:t>P</a:t>
              </a:r>
              <a:r>
                <a:rPr lang="en-US" sz="1100" b="0" i="1" baseline="-25000"/>
                <a:t>t</a:t>
              </a:r>
              <a:r>
                <a:rPr lang="en-US" sz="1100" b="0" i="1" baseline="0"/>
                <a:t> </a:t>
              </a:r>
              <a:r>
                <a:rPr lang="en-US" sz="1100" b="0" baseline="0"/>
                <a:t>	= Period Production in kWh</a:t>
              </a:r>
            </a:p>
            <a:p>
              <a:r>
                <a:rPr lang="en-US" sz="1100" b="0" baseline="0"/>
                <a:t>	</a:t>
              </a:r>
              <a:r>
                <a:rPr lang="en-US" sz="1100" b="0" i="1" baseline="0"/>
                <a:t>Deg</a:t>
              </a:r>
              <a:r>
                <a:rPr lang="en-US" sz="1100" b="0" i="1" baseline="-25000"/>
                <a:t>t</a:t>
              </a:r>
              <a:r>
                <a:rPr lang="en-US" sz="1100" b="0" i="1" baseline="0"/>
                <a:t> </a:t>
              </a:r>
              <a:r>
                <a:rPr lang="en-US" sz="1100" b="0" baseline="0"/>
                <a:t>	= Degradation factor calculated as a decay function based on module performance</a:t>
              </a:r>
            </a:p>
            <a:p>
              <a:endParaRPr lang="en-US" sz="1100" b="0" baseline="0"/>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Battery Levelized Cost of Storage (LCOS) is calculated with the following equation:</a:t>
              </a:r>
              <a:endParaRPr lang="en-US">
                <a:effectLst/>
              </a:endParaRPr>
            </a:p>
            <a:p>
              <a:pPr/>
              <a14:m>
                <m:oMathPara xmlns:m="http://schemas.openxmlformats.org/officeDocument/2006/math">
                  <m:oMathParaPr>
                    <m:jc m:val="centerGroup"/>
                  </m:oMathParaPr>
                  <m:oMath xmlns:m="http://schemas.openxmlformats.org/officeDocument/2006/math">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𝐿𝐶𝑂𝑆</m:t>
                        </m:r>
                      </m:e>
                      <m:sub>
                        <m:r>
                          <a:rPr lang="en-US" sz="1100" b="0" i="1" baseline="0">
                            <a:solidFill>
                              <a:schemeClr val="dk1"/>
                            </a:solidFill>
                            <a:effectLst/>
                            <a:latin typeface="Cambria Math" panose="02040503050406030204" pitchFamily="18" charset="0"/>
                            <a:ea typeface="+mn-ea"/>
                            <a:cs typeface="+mn-cs"/>
                          </a:rPr>
                          <m:t>𝐵𝑎𝑡𝑡</m:t>
                        </m:r>
                      </m:sub>
                    </m:sSub>
                    <m:r>
                      <a:rPr lang="en-US" sz="1100" b="0" i="1" baseline="0">
                        <a:solidFill>
                          <a:schemeClr val="dk1"/>
                        </a:solidFill>
                        <a:effectLst/>
                        <a:latin typeface="Cambria Math" panose="02040503050406030204" pitchFamily="18" charset="0"/>
                        <a:ea typeface="+mn-ea"/>
                        <a:cs typeface="+mn-cs"/>
                      </a:rPr>
                      <m:t>= </m:t>
                    </m:r>
                    <m:f>
                      <m:fPr>
                        <m:ctrlPr>
                          <a:rPr lang="en-US" sz="1100" b="0" i="1" baseline="0">
                            <a:solidFill>
                              <a:schemeClr val="dk1"/>
                            </a:solidFill>
                            <a:effectLst/>
                            <a:latin typeface="Cambria Math" panose="02040503050406030204" pitchFamily="18" charset="0"/>
                            <a:ea typeface="+mn-ea"/>
                            <a:cs typeface="+mn-cs"/>
                          </a:rPr>
                        </m:ctrlPr>
                      </m:fPr>
                      <m:num>
                        <m:nary>
                          <m:naryPr>
                            <m:chr m:val="∑"/>
                            <m:limLoc m:val="subSup"/>
                            <m:ctrlPr>
                              <a:rPr lang="en-US" sz="1100" b="0" i="1" baseline="0">
                                <a:solidFill>
                                  <a:schemeClr val="dk1"/>
                                </a:solidFill>
                                <a:effectLst/>
                                <a:latin typeface="Cambria Math" panose="02040503050406030204" pitchFamily="18" charset="0"/>
                                <a:ea typeface="+mn-ea"/>
                                <a:cs typeface="+mn-cs"/>
                              </a:rPr>
                            </m:ctrlPr>
                          </m:naryPr>
                          <m:sub>
                            <m:r>
                              <m:rPr>
                                <m:brk m:alnAt="25"/>
                              </m:rPr>
                              <a:rPr lang="en-US" sz="1100" b="0" i="1" baseline="0">
                                <a:solidFill>
                                  <a:schemeClr val="dk1"/>
                                </a:solidFill>
                                <a:effectLst/>
                                <a:latin typeface="Cambria Math" panose="02040503050406030204" pitchFamily="18" charset="0"/>
                                <a:ea typeface="+mn-ea"/>
                                <a:cs typeface="+mn-cs"/>
                              </a:rPr>
                              <m:t>𝑡</m:t>
                            </m:r>
                            <m:r>
                              <a:rPr lang="en-US" sz="1100" b="0" i="1" baseline="0">
                                <a:solidFill>
                                  <a:schemeClr val="dk1"/>
                                </a:solidFill>
                                <a:effectLst/>
                                <a:latin typeface="Cambria Math" panose="02040503050406030204" pitchFamily="18" charset="0"/>
                                <a:ea typeface="+mn-ea"/>
                                <a:cs typeface="+mn-cs"/>
                              </a:rPr>
                              <m:t>=0</m:t>
                            </m:r>
                          </m:sub>
                          <m:sup>
                            <m:r>
                              <a:rPr lang="en-US" sz="1100" b="0" i="1" baseline="0">
                                <a:solidFill>
                                  <a:schemeClr val="dk1"/>
                                </a:solidFill>
                                <a:effectLst/>
                                <a:latin typeface="Cambria Math" panose="02040503050406030204" pitchFamily="18" charset="0"/>
                                <a:ea typeface="+mn-ea"/>
                                <a:cs typeface="+mn-cs"/>
                              </a:rPr>
                              <m:t>𝑃𝑜𝐴</m:t>
                            </m:r>
                          </m:sup>
                          <m:e>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𝐼</m:t>
                                </m:r>
                              </m:e>
                              <m:sub>
                                <m:r>
                                  <a:rPr lang="en-US" sz="1100" b="0" i="1" baseline="0">
                                    <a:solidFill>
                                      <a:schemeClr val="dk1"/>
                                    </a:solidFill>
                                    <a:effectLst/>
                                    <a:latin typeface="Cambria Math" panose="02040503050406030204" pitchFamily="18" charset="0"/>
                                    <a:ea typeface="+mn-ea"/>
                                    <a:cs typeface="+mn-cs"/>
                                  </a:rPr>
                                  <m:t>𝑡</m:t>
                                </m:r>
                              </m:sub>
                            </m:sSub>
                          </m:e>
                        </m:nary>
                        <m:r>
                          <a:rPr lang="en-US" sz="1100" b="0" i="0"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𝑂</m:t>
                            </m:r>
                            <m:r>
                              <a:rPr lang="en-US" sz="1100" b="0" i="1" baseline="0">
                                <a:solidFill>
                                  <a:schemeClr val="dk1"/>
                                </a:solidFill>
                                <a:effectLst/>
                                <a:latin typeface="Cambria Math" panose="02040503050406030204" pitchFamily="18" charset="0"/>
                                <a:ea typeface="+mn-ea"/>
                                <a:cs typeface="+mn-cs"/>
                              </a:rPr>
                              <m:t>&amp;</m:t>
                            </m:r>
                            <m:r>
                              <a:rPr lang="en-US" sz="1100" b="0" i="1" baseline="0">
                                <a:solidFill>
                                  <a:schemeClr val="dk1"/>
                                </a:solidFill>
                                <a:effectLst/>
                                <a:latin typeface="Cambria Math" panose="02040503050406030204" pitchFamily="18" charset="0"/>
                                <a:ea typeface="+mn-ea"/>
                                <a:cs typeface="+mn-cs"/>
                              </a:rPr>
                              <m:t>𝑀</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𝐶h𝑎𝑟𝑔𝑒</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𝐼𝑛𝑠</m:t>
                            </m:r>
                          </m:e>
                          <m:sub>
                            <m:r>
                              <a:rPr lang="en-US" sz="1100" b="0" i="1" baseline="0">
                                <a:solidFill>
                                  <a:schemeClr val="dk1"/>
                                </a:solidFill>
                                <a:effectLst/>
                                <a:latin typeface="Cambria Math" panose="02040503050406030204" pitchFamily="18" charset="0"/>
                                <a:ea typeface="+mn-ea"/>
                                <a:cs typeface="+mn-cs"/>
                              </a:rPr>
                              <m:t>𝑡</m:t>
                            </m:r>
                          </m:sub>
                        </m:sSub>
                        <m:r>
                          <a:rPr lang="en-US" sz="1100" b="0" i="0"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𝐹𝑖𝑛𝐸𝑥</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𝐸𝑞𝑢𝑖𝑝</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𝐷𝑒𝑐𝑜𝑚</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𝐼𝑇𝐶</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𝐷𝑒𝑝</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𝑅𝑒𝑏</m:t>
                            </m:r>
                          </m:e>
                          <m:sub>
                            <m:r>
                              <a:rPr lang="en-US" sz="1100" b="0" i="1" baseline="0">
                                <a:solidFill>
                                  <a:schemeClr val="dk1"/>
                                </a:solidFill>
                                <a:effectLst/>
                                <a:latin typeface="Cambria Math" panose="02040503050406030204" pitchFamily="18" charset="0"/>
                                <a:ea typeface="+mn-ea"/>
                                <a:cs typeface="+mn-cs"/>
                              </a:rPr>
                              <m:t>𝑡</m:t>
                            </m:r>
                          </m:sub>
                        </m:sSub>
                        <m:r>
                          <a:rPr lang="en-US" sz="1100" b="0" i="1" baseline="0">
                            <a:solidFill>
                              <a:schemeClr val="dk1"/>
                            </a:solidFill>
                            <a:effectLst/>
                            <a:latin typeface="Cambria Math" panose="02040503050406030204" pitchFamily="18" charset="0"/>
                            <a:ea typeface="+mn-ea"/>
                            <a:cs typeface="+mn-cs"/>
                          </a:rPr>
                          <m:t>)</m:t>
                        </m:r>
                        <m:f>
                          <m:fPr>
                            <m:ctrlPr>
                              <a:rPr lang="en-US" sz="1100" b="0" i="1" baseline="0">
                                <a:solidFill>
                                  <a:schemeClr val="dk1"/>
                                </a:solidFill>
                                <a:effectLst/>
                                <a:latin typeface="Cambria Math" panose="02040503050406030204" pitchFamily="18" charset="0"/>
                                <a:ea typeface="+mn-ea"/>
                                <a:cs typeface="+mn-cs"/>
                              </a:rPr>
                            </m:ctrlPr>
                          </m:fPr>
                          <m:num>
                            <m:r>
                              <a:rPr lang="en-US" sz="1100" b="0" i="1" baseline="0">
                                <a:solidFill>
                                  <a:schemeClr val="dk1"/>
                                </a:solidFill>
                                <a:effectLst/>
                                <a:latin typeface="Cambria Math" panose="02040503050406030204" pitchFamily="18" charset="0"/>
                                <a:ea typeface="+mn-ea"/>
                                <a:cs typeface="+mn-cs"/>
                              </a:rPr>
                              <m:t>1</m:t>
                            </m:r>
                          </m:num>
                          <m:den>
                            <m:sSup>
                              <m:sSupPr>
                                <m:ctrlPr>
                                  <a:rPr lang="en-US" sz="1100" b="0" i="1" baseline="0">
                                    <a:solidFill>
                                      <a:schemeClr val="dk1"/>
                                    </a:solidFill>
                                    <a:effectLst/>
                                    <a:latin typeface="Cambria Math" panose="02040503050406030204" pitchFamily="18" charset="0"/>
                                    <a:ea typeface="+mn-ea"/>
                                    <a:cs typeface="+mn-cs"/>
                                  </a:rPr>
                                </m:ctrlPr>
                              </m:sSupPr>
                              <m:e>
                                <m:r>
                                  <a:rPr lang="en-US" sz="1100" b="0" i="1" baseline="0">
                                    <a:solidFill>
                                      <a:schemeClr val="dk1"/>
                                    </a:solidFill>
                                    <a:effectLst/>
                                    <a:latin typeface="Cambria Math" panose="02040503050406030204" pitchFamily="18" charset="0"/>
                                    <a:ea typeface="+mn-ea"/>
                                    <a:cs typeface="+mn-cs"/>
                                  </a:rPr>
                                  <m:t>(1+</m:t>
                                </m:r>
                                <m:d>
                                  <m:dPr>
                                    <m:ctrlPr>
                                      <a:rPr lang="en-US" sz="1100" b="0" i="1" baseline="0">
                                        <a:solidFill>
                                          <a:schemeClr val="dk1"/>
                                        </a:solidFill>
                                        <a:effectLst/>
                                        <a:latin typeface="Cambria Math" panose="02040503050406030204" pitchFamily="18" charset="0"/>
                                        <a:ea typeface="+mn-ea"/>
                                        <a:cs typeface="+mn-cs"/>
                                      </a:rPr>
                                    </m:ctrlPr>
                                  </m:dPr>
                                  <m:e>
                                    <m:f>
                                      <m:fPr>
                                        <m:ctrlPr>
                                          <a:rPr lang="en-US" sz="1100" b="0" i="1" baseline="0">
                                            <a:solidFill>
                                              <a:schemeClr val="dk1"/>
                                            </a:solidFill>
                                            <a:effectLst/>
                                            <a:latin typeface="Cambria Math" panose="02040503050406030204" pitchFamily="18" charset="0"/>
                                            <a:ea typeface="+mn-ea"/>
                                            <a:cs typeface="+mn-cs"/>
                                          </a:rPr>
                                        </m:ctrlPr>
                                      </m:fPr>
                                      <m:num>
                                        <m:r>
                                          <a:rPr lang="en-US" sz="1100" b="0" i="1" baseline="0">
                                            <a:solidFill>
                                              <a:schemeClr val="dk1"/>
                                            </a:solidFill>
                                            <a:effectLst/>
                                            <a:latin typeface="Cambria Math" panose="02040503050406030204" pitchFamily="18" charset="0"/>
                                            <a:ea typeface="+mn-ea"/>
                                            <a:cs typeface="+mn-cs"/>
                                          </a:rPr>
                                          <m:t>𝑖</m:t>
                                        </m:r>
                                      </m:num>
                                      <m:den>
                                        <m:r>
                                          <a:rPr lang="en-US" sz="1100" b="0" i="1" baseline="0">
                                            <a:solidFill>
                                              <a:schemeClr val="dk1"/>
                                            </a:solidFill>
                                            <a:effectLst/>
                                            <a:latin typeface="Cambria Math" panose="02040503050406030204" pitchFamily="18" charset="0"/>
                                            <a:ea typeface="+mn-ea"/>
                                            <a:cs typeface="+mn-cs"/>
                                          </a:rPr>
                                          <m:t>12</m:t>
                                        </m:r>
                                      </m:den>
                                    </m:f>
                                  </m:e>
                                </m:d>
                                <m:r>
                                  <a:rPr lang="en-US" sz="1100" b="0" i="1" baseline="0">
                                    <a:solidFill>
                                      <a:schemeClr val="dk1"/>
                                    </a:solidFill>
                                    <a:effectLst/>
                                    <a:latin typeface="Cambria Math" panose="02040503050406030204" pitchFamily="18" charset="0"/>
                                    <a:ea typeface="+mn-ea"/>
                                    <a:cs typeface="+mn-cs"/>
                                  </a:rPr>
                                  <m:t>)</m:t>
                                </m:r>
                              </m:e>
                              <m:sup>
                                <m:r>
                                  <a:rPr lang="en-US" sz="1100" b="0" i="1" baseline="0">
                                    <a:solidFill>
                                      <a:schemeClr val="dk1"/>
                                    </a:solidFill>
                                    <a:effectLst/>
                                    <a:latin typeface="Cambria Math" panose="02040503050406030204" pitchFamily="18" charset="0"/>
                                    <a:ea typeface="+mn-ea"/>
                                    <a:cs typeface="+mn-cs"/>
                                  </a:rPr>
                                  <m:t>𝑡</m:t>
                                </m:r>
                              </m:sup>
                            </m:sSup>
                          </m:den>
                        </m:f>
                      </m:num>
                      <m:den>
                        <m:nary>
                          <m:naryPr>
                            <m:chr m:val="∑"/>
                            <m:limLoc m:val="subSup"/>
                            <m:ctrlPr>
                              <a:rPr lang="en-US" sz="1100" b="0" i="1" baseline="0">
                                <a:solidFill>
                                  <a:schemeClr val="dk1"/>
                                </a:solidFill>
                                <a:effectLst/>
                                <a:latin typeface="Cambria Math" panose="02040503050406030204" pitchFamily="18" charset="0"/>
                                <a:ea typeface="+mn-ea"/>
                                <a:cs typeface="+mn-cs"/>
                              </a:rPr>
                            </m:ctrlPr>
                          </m:naryPr>
                          <m:sub>
                            <m:r>
                              <m:rPr>
                                <m:brk m:alnAt="25"/>
                              </m:rPr>
                              <a:rPr lang="en-US" sz="1100" b="0" i="1" baseline="0">
                                <a:solidFill>
                                  <a:schemeClr val="dk1"/>
                                </a:solidFill>
                                <a:effectLst/>
                                <a:latin typeface="Cambria Math" panose="02040503050406030204" pitchFamily="18" charset="0"/>
                                <a:ea typeface="+mn-ea"/>
                                <a:cs typeface="+mn-cs"/>
                              </a:rPr>
                              <m:t>𝑡</m:t>
                            </m:r>
                            <m:r>
                              <a:rPr lang="en-US" sz="1100" b="0" i="1" baseline="0">
                                <a:solidFill>
                                  <a:schemeClr val="dk1"/>
                                </a:solidFill>
                                <a:effectLst/>
                                <a:latin typeface="Cambria Math" panose="02040503050406030204" pitchFamily="18" charset="0"/>
                                <a:ea typeface="+mn-ea"/>
                                <a:cs typeface="+mn-cs"/>
                              </a:rPr>
                              <m:t>=</m:t>
                            </m:r>
                            <m:r>
                              <a:rPr lang="en-US" sz="1100" b="0" i="1" baseline="0">
                                <a:solidFill>
                                  <a:schemeClr val="dk1"/>
                                </a:solidFill>
                                <a:effectLst/>
                                <a:latin typeface="Cambria Math" panose="02040503050406030204" pitchFamily="18" charset="0"/>
                                <a:ea typeface="+mn-ea"/>
                                <a:cs typeface="+mn-cs"/>
                              </a:rPr>
                              <m:t>𝑜</m:t>
                            </m:r>
                          </m:sub>
                          <m:sup>
                            <m:r>
                              <a:rPr lang="en-US" sz="1100" b="0" i="1" baseline="0">
                                <a:solidFill>
                                  <a:schemeClr val="dk1"/>
                                </a:solidFill>
                                <a:effectLst/>
                                <a:latin typeface="Cambria Math" panose="02040503050406030204" pitchFamily="18" charset="0"/>
                                <a:ea typeface="+mn-ea"/>
                                <a:cs typeface="+mn-cs"/>
                              </a:rPr>
                              <m:t>𝑃𝑜𝐴</m:t>
                            </m:r>
                          </m:sup>
                          <m:e>
                            <m:sSub>
                              <m:sSubPr>
                                <m:ctrlPr>
                                  <a:rPr lang="en-US" sz="1100" b="0" i="1" baseline="0">
                                    <a:solidFill>
                                      <a:schemeClr val="dk1"/>
                                    </a:solidFill>
                                    <a:effectLst/>
                                    <a:latin typeface="Cambria Math" panose="02040503050406030204" pitchFamily="18" charset="0"/>
                                    <a:ea typeface="+mn-ea"/>
                                    <a:cs typeface="+mn-cs"/>
                                  </a:rPr>
                                </m:ctrlPr>
                              </m:sSubPr>
                              <m:e>
                                <m:r>
                                  <a:rPr lang="en-US" sz="1100" b="0" i="1" baseline="0">
                                    <a:solidFill>
                                      <a:schemeClr val="dk1"/>
                                    </a:solidFill>
                                    <a:effectLst/>
                                    <a:latin typeface="Cambria Math" panose="02040503050406030204" pitchFamily="18" charset="0"/>
                                    <a:ea typeface="+mn-ea"/>
                                    <a:cs typeface="+mn-cs"/>
                                  </a:rPr>
                                  <m:t>𝑘𝑊h</m:t>
                                </m:r>
                              </m:e>
                              <m:sub>
                                <m:r>
                                  <a:rPr lang="en-US" sz="1100" b="0" i="1" baseline="0">
                                    <a:solidFill>
                                      <a:schemeClr val="dk1"/>
                                    </a:solidFill>
                                    <a:effectLst/>
                                    <a:latin typeface="Cambria Math" panose="02040503050406030204" pitchFamily="18" charset="0"/>
                                    <a:ea typeface="+mn-ea"/>
                                    <a:cs typeface="+mn-cs"/>
                                  </a:rPr>
                                  <m:t>𝑡</m:t>
                                </m:r>
                              </m:sub>
                            </m:sSub>
                          </m:e>
                        </m:nary>
                      </m:den>
                    </m:f>
                  </m:oMath>
                </m:oMathPara>
              </a14:m>
              <a:endParaRPr lang="en-US">
                <a:effectLst/>
              </a:endParaRPr>
            </a:p>
            <a:p>
              <a:r>
                <a:rPr lang="en-US" sz="1100" b="0" baseline="0">
                  <a:solidFill>
                    <a:schemeClr val="dk1"/>
                  </a:solidFill>
                  <a:effectLst/>
                  <a:latin typeface="+mn-lt"/>
                  <a:ea typeface="+mn-ea"/>
                  <a:cs typeface="+mn-cs"/>
                </a:rPr>
                <a:t>Where:</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PoA</a:t>
              </a:r>
              <a:r>
                <a:rPr lang="en-US" sz="1100" b="0" baseline="0">
                  <a:solidFill>
                    <a:schemeClr val="dk1"/>
                  </a:solidFill>
                  <a:effectLst/>
                  <a:latin typeface="+mn-lt"/>
                  <a:ea typeface="+mn-ea"/>
                  <a:cs typeface="+mn-cs"/>
                </a:rPr>
                <a:t> 	= Period of Analysis (represented in years, calculated in months)</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a:t>
              </a:r>
              <a:r>
                <a:rPr lang="en-US" sz="1100" b="0" i="1" baseline="-25000">
                  <a:solidFill>
                    <a:schemeClr val="dk1"/>
                  </a:solidFill>
                  <a:effectLst/>
                  <a:latin typeface="+mn-lt"/>
                  <a:ea typeface="+mn-ea"/>
                  <a:cs typeface="+mn-cs"/>
                </a:rPr>
                <a:t>t</a:t>
              </a:r>
              <a:r>
                <a:rPr lang="en-US" sz="1100" b="0" baseline="0">
                  <a:solidFill>
                    <a:schemeClr val="dk1"/>
                  </a:solidFill>
                  <a:effectLst/>
                  <a:latin typeface="+mn-lt"/>
                  <a:ea typeface="+mn-ea"/>
                  <a:cs typeface="+mn-cs"/>
                </a:rPr>
                <a:t> 	= Upfront investment (period 0)</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O&amp;M</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Operation and maintenance for period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dk1"/>
                  </a:solidFill>
                  <a:effectLst/>
                  <a:latin typeface="+mn-lt"/>
                  <a:ea typeface="+mn-ea"/>
                  <a:cs typeface="+mn-cs"/>
                </a:rPr>
                <a:t>	Charge</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Charging expenses (reduced by PV charge)</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Ins</a:t>
              </a:r>
              <a:r>
                <a:rPr lang="en-US" sz="1100" b="0" i="1" baseline="-25000">
                  <a:solidFill>
                    <a:schemeClr val="dk1"/>
                  </a:solidFill>
                  <a:effectLst/>
                  <a:latin typeface="+mn-lt"/>
                  <a:ea typeface="+mn-ea"/>
                  <a:cs typeface="+mn-cs"/>
                </a:rPr>
                <a:t>t</a:t>
              </a:r>
              <a:r>
                <a:rPr lang="en-US" sz="1100" b="0" baseline="0">
                  <a:solidFill>
                    <a:schemeClr val="dk1"/>
                  </a:solidFill>
                  <a:effectLst/>
                  <a:latin typeface="+mn-lt"/>
                  <a:ea typeface="+mn-ea"/>
                  <a:cs typeface="+mn-cs"/>
                </a:rPr>
                <a:t> 	= Insurance cost for period</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FinEx</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Financial expense (principal and interest)</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Equip</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Equipment purchases (e.g. inverter replacement, battery refresh)</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ITC</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Investment tax credit</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Dep</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Depreciation benefit</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Decom</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End of life decommissioning</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Reb</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Any other rebates and/or grants</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 </a:t>
              </a:r>
              <a:r>
                <a:rPr lang="en-US" sz="1100" b="0" baseline="0">
                  <a:solidFill>
                    <a:schemeClr val="dk1"/>
                  </a:solidFill>
                  <a:effectLst/>
                  <a:latin typeface="+mn-lt"/>
                  <a:ea typeface="+mn-ea"/>
                  <a:cs typeface="+mn-cs"/>
                </a:rPr>
                <a:t>	= discount rate</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kWh</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Energy delivered from battery</a:t>
              </a:r>
              <a:endParaRPr lang="en-US">
                <a:effectLst/>
              </a:endParaRPr>
            </a:p>
            <a:p>
              <a:endParaRPr lang="en-US" sz="1100" b="0" baseline="0"/>
            </a:p>
            <a:p>
              <a:endParaRPr lang="en-US" sz="1100" b="0" baseline="-25000"/>
            </a:p>
            <a:p>
              <a:endParaRPr lang="en-US" sz="1100" b="0" baseline="0"/>
            </a:p>
            <a:p>
              <a:endParaRPr lang="en-US" sz="1100" b="0" baseline="0"/>
            </a:p>
            <a:p>
              <a:endParaRPr lang="en-US" sz="1100" b="0" baseline="0"/>
            </a:p>
          </xdr:txBody>
        </xdr:sp>
      </mc:Choice>
      <mc:Fallback xmlns="">
        <xdr:sp macro="" textlink="">
          <xdr:nvSpPr>
            <xdr:cNvPr id="6" name="TextBox 5">
              <a:extLst>
                <a:ext uri="{FF2B5EF4-FFF2-40B4-BE49-F238E27FC236}">
                  <a16:creationId xmlns:a16="http://schemas.microsoft.com/office/drawing/2014/main" id="{E99D0206-96B4-4806-A098-86A9D74D9FD1}"/>
                </a:ext>
              </a:extLst>
            </xdr:cNvPr>
            <xdr:cNvSpPr txBox="1"/>
          </xdr:nvSpPr>
          <xdr:spPr>
            <a:xfrm>
              <a:off x="0" y="1200148"/>
              <a:ext cx="7924800" cy="420719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Welcome to the Hybrid System Financial Advisory Spreadsheet Tool (HybridFAST)</a:t>
              </a:r>
              <a:r>
                <a:rPr lang="en-US"/>
                <a:t> </a:t>
              </a:r>
            </a:p>
            <a:p>
              <a:endParaRPr lang="en-US" sz="1100"/>
            </a:p>
            <a:p>
              <a:r>
                <a:rPr lang="en-US" sz="1100"/>
                <a:t>This tool has been developed to aid decision makers, engineers, students, business owners, financial institutions, and anyone</a:t>
              </a:r>
              <a:r>
                <a:rPr lang="en-US" sz="1100" baseline="0"/>
                <a:t> interested in understanding the financial implications of grid-interactive photovoltaic (PV) systems, battery energy storage systems (BESS), and hybrid systems utilizing PV and BESS technology.</a:t>
              </a:r>
            </a:p>
            <a:p>
              <a:endParaRPr lang="en-US" sz="1100" baseline="0"/>
            </a:p>
            <a:p>
              <a:r>
                <a:rPr lang="en-US" sz="1100" baseline="0"/>
                <a:t>The tool has been developed in an open-source manner with all calculations visible within cells. There are no macros involved and the calculations can be easily revers engineered, inspected, and modified. While it may appear at first glance to be a black box of calculations, with a minimal investment of time and practice it can be easily utilized by anyone. With a significant investment of time it can be re-designed for any purpose.</a:t>
              </a:r>
            </a:p>
            <a:p>
              <a:endParaRPr lang="en-US" sz="1100" baseline="0"/>
            </a:p>
            <a:p>
              <a:r>
                <a:rPr lang="en-US" sz="1100" baseline="0"/>
                <a:t>While there are some assumptions prepopulated in the calculator, and some calculations missing, many years of research and development have gone into creating the most universally understood output format calculated by the most pertinent elements of financial proforma modeling. However, please keep in mind that just like any calculation performed, garbage in = garbage out.</a:t>
              </a:r>
            </a:p>
            <a:p>
              <a:endParaRPr lang="en-US" sz="1100" baseline="0"/>
            </a:p>
            <a:p>
              <a:r>
                <a:rPr lang="en-US" sz="1100" baseline="0"/>
                <a:t>The most basic rules of operation are as follows:</a:t>
              </a:r>
            </a:p>
            <a:p>
              <a:endParaRPr lang="en-US" sz="1100" baseline="0"/>
            </a:p>
            <a:p>
              <a:r>
                <a:rPr lang="en-US" sz="1100" baseline="0"/>
                <a:t>1.) Green cells are user input cells and can have values manually entered and adjusted.</a:t>
              </a:r>
            </a:p>
            <a:p>
              <a:endParaRPr lang="en-US" sz="1100" baseline="0"/>
            </a:p>
            <a:p>
              <a:endParaRPr lang="en-US" sz="1100" baseline="0"/>
            </a:p>
            <a:p>
              <a:r>
                <a:rPr lang="en-US" sz="1100" baseline="0"/>
                <a:t>2.) Grey cells are cells in which the value is derived via a formula calculation and should not be changed other than by an advanced user. If the value is manually adjusted to quickly see the impact, it can easily be undone with the 'undo' command or button.</a:t>
              </a:r>
            </a:p>
            <a:p>
              <a:endParaRPr lang="en-US" sz="1100" baseline="0"/>
            </a:p>
            <a:p>
              <a:endParaRPr lang="en-US" sz="1100"/>
            </a:p>
            <a:p>
              <a:r>
                <a:rPr lang="en-US" sz="1100"/>
                <a:t>2.a.) In the instance above, discount rate would typically be a manual input determined by the chosen discount rate to evaluate the time value of money. However,</a:t>
              </a:r>
              <a:r>
                <a:rPr lang="en-US" sz="1100" baseline="0"/>
                <a:t> in this instance the screen capture was taken from the 'PV IN' page. The purple text is used to indicate that this value's manual input is on another sheet, but utilized on the current sheet; 'Batt IN' in this example.</a:t>
              </a:r>
            </a:p>
            <a:p>
              <a:endParaRPr lang="en-US" sz="1100" baseline="0"/>
            </a:p>
            <a:p>
              <a:r>
                <a:rPr lang="en-US" sz="1100" baseline="0"/>
                <a:t>2.b.) Grey cells on the input sheets are also 'protected' in order maintain the integrity of all calculations. Once familiar with the operation of the tool, you may encounter instances where manually changing the value directly is beneficial. For instance, you may want to see what happens when you change the in service date of the battery system independently, which is typically input on the "PV IN' sheet. To do this, or to begin customizing the tool, you can simply unprotect the input sheets with the password: </a:t>
              </a:r>
              <a:r>
                <a:rPr lang="en-US" sz="1100" b="1" baseline="0"/>
                <a:t>ProtoGen</a:t>
              </a:r>
              <a:endParaRPr lang="en-US" sz="1100" baseline="0"/>
            </a:p>
            <a:p>
              <a:endParaRPr lang="en-US" sz="1100" baseline="0"/>
            </a:p>
            <a:p>
              <a:r>
                <a:rPr lang="en-US" sz="1100" baseline="0"/>
                <a:t>If you do make quick changes see what happens, it is very easy to simply use the 'undo' function to return the formula back to its original state; "Ctrl+z". </a:t>
              </a:r>
            </a:p>
            <a:p>
              <a:endParaRPr lang="en-US" sz="1100" baseline="0"/>
            </a:p>
            <a:p>
              <a:r>
                <a:rPr lang="en-US" sz="1100" baseline="0"/>
                <a:t>2.c.) To un-protect the input sheets, go to file, and click on "unprotect" for the sheet you wish to modify:</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r>
                <a:rPr lang="en-US" sz="1100" b="0" baseline="0"/>
                <a:t>It is recommended to safe a copy of the workbook prior to unprotecting, that way if anything happens, you can start over from a fresh copy. Saving the unprotected workbook will result in a permanently open tool for customization and editing.</a:t>
              </a:r>
            </a:p>
            <a:p>
              <a:endParaRPr lang="en-US" sz="1100" b="0" baseline="0"/>
            </a:p>
            <a:p>
              <a:r>
                <a:rPr lang="en-US" sz="1100" b="0" baseline="0"/>
                <a:t>3.) It is recommended to begin each project on the 'PV IN' tab and then move to the 'Batt IN' tab, even if you are creating a PV or Battery only system. If for instance, you are creating a "Commercial" "Battery Only" system, there are values on the PV tab which must be input. If such a selection on the 'PV IN' tab is made, the pertinent values will be the only ones that appear active.</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4.) Both the PV and Battery 'System Information' sections can utilize either a simple or advanced pricing model. With the 'Simple' option selected, all inputs are done via the 'PV IN' and 'Batt IN' tabs. If a more granular approach to system pricing/costing is desired, 'Advanced' can be selected for the pricing model which will then activate the input values on the 'Adv.' tab. When 'Advanced' is selected, the "System Retail Price" value is no longer directly calculated on the input sheets, but is retrieved from the system total sums on the 'Adv.' tab.</a:t>
              </a:r>
            </a:p>
            <a:p>
              <a:endParaRPr lang="en-US" sz="1100" b="0" baseline="0"/>
            </a:p>
            <a:p>
              <a:r>
                <a:rPr lang="en-US" sz="1100" b="0" baseline="0"/>
                <a:t>4.a.) The "Multiport Inverter: Net Cost/W" option only calculates the reduction in shared inverter costs when the PV system is set to use the 'Simple' pricing structure. The associated de-rates function in any configuration, but the shared inverter costs must be manually accounted for in the 'Adv.' tab if the system will utilize a multiport inverter and 'Advanced' pricing.</a:t>
              </a:r>
            </a:p>
            <a:p>
              <a:endParaRPr lang="en-US" sz="1100" b="0" baseline="0"/>
            </a:p>
            <a:p>
              <a:r>
                <a:rPr lang="en-US" sz="1100" b="0" baseline="0"/>
                <a:t>5.) Banks, investors, owners, and other financial institutions often ask for a series of cashflows for their own calculations. These can be found on the 'PV Calcs', 'Batt Calcs', 'Hybrid Calcs' tabs. Most often, they will be interested in the discounted cash flows. These are in columns E, H, and K for PV, battery, and hybrid total, respectively. The values in these columns represents the net after-tax cash flows for each month. Taxes are not calculated on an ongoing monthly basis; please note however, the net effect of the cash flow, as would be considered at the end of the year, is represented by these values.</a:t>
              </a:r>
            </a:p>
            <a:p>
              <a:endParaRPr lang="en-US" sz="1100" b="0" baseline="0"/>
            </a:p>
            <a:p>
              <a:r>
                <a:rPr lang="en-US" sz="1100" b="0" baseline="0"/>
                <a:t>5.a.) On the calculations tabs, 'DCF' stands for discounted cash flow and represents the period cash value after being corrected for the time value of money with the input discount rate. The '__ Cumulative DCF' values are a running sum of each period's individual cash flow.</a:t>
              </a:r>
            </a:p>
            <a:p>
              <a:endParaRPr lang="en-US" sz="1100" b="0" baseline="0"/>
            </a:p>
            <a:p>
              <a:r>
                <a:rPr lang="en-US" sz="1100" b="0" baseline="0"/>
                <a:t>6.) Base capacity factor for the PV system input is derived externally from the calculator as an energy per power per year unit (kWhAC/kWDC/yr). In other words, based on a system's physical characteristics, how many kilowatt hours of energy are going to be produced for each kilowatt of installed solar panels.</a:t>
              </a:r>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This value is easily created by using a PV system production estimation software such </a:t>
              </a:r>
              <a:r>
                <a:rPr lang="en-US" sz="1100" b="0" baseline="0">
                  <a:solidFill>
                    <a:schemeClr val="dk1"/>
                  </a:solidFill>
                  <a:latin typeface="+mn-lt"/>
                  <a:ea typeface="+mn-ea"/>
                  <a:cs typeface="+mn-cs"/>
                </a:rPr>
                <a:t>as PVWatts. </a:t>
              </a:r>
              <a:r>
                <a:rPr lang="en-US" sz="1100" b="0" baseline="0"/>
                <a:t>Simply put in the system of interests' characteristics such as location, tilt, azimuth and run the calculation. It is recommended that a system size of 1,000 Wdc is used to make the calculation even simpler. Take the annual AC energy output in kWhs and divide it by the system size in kW. </a:t>
              </a:r>
            </a:p>
            <a:p>
              <a:endParaRPr lang="en-US" sz="1100" b="0" baseline="0"/>
            </a:p>
            <a:p>
              <a:r>
                <a:rPr lang="en-US" sz="1100" b="0" baseline="0"/>
                <a:t>System production scales very linearly for most intents and purposes.  Therefore, once you calculate a base capacity factor for a location, you can just change the 'PV Size' value in the calculator to explore the results of various system sizes.</a:t>
              </a:r>
            </a:p>
            <a:p>
              <a:endParaRPr lang="en-US" sz="1100" b="0" baseline="0"/>
            </a:p>
            <a:p>
              <a:r>
                <a:rPr lang="en-US" sz="1100" b="0" baseline="0"/>
                <a:t>7.) For more information reguarding cell input values, clicking or highlighting a cell will bring up an input message with details about what should be entered. Additionally, some cells have small red arrows in the top right, this indicates an additional description that is visible by clicking on the cell or by hovering over with the mouse.</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8.) If the following message is seen, the values entered that relate to battery capacity must be checked. This error can occur when there are more kWhs promised than the system can deliver. A similar message will occure if the system is promising more inverter power than the inverter is capable of. In this instance, the daily capacity turn over exceeds the capability of the inverter and chemistry combination.</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0" baseline="0"/>
                <a:t>9) Hovering your mouse over a section of the "Revenues, Savings, Expenses" chart will bring up an informational note describing the section's description and value.</a:t>
              </a:r>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endParaRPr lang="en-US" sz="1100" b="0" baseline="0"/>
            </a:p>
            <a:p>
              <a:r>
                <a:rPr lang="en-US" sz="1100" b="1" baseline="0"/>
                <a:t>Note:</a:t>
              </a:r>
            </a:p>
            <a:p>
              <a:r>
                <a:rPr lang="en-US" sz="1100" b="0" baseline="0"/>
                <a:t>PV Levelized Cost of Electricity (LCOE) is calculated with the following equation:</a:t>
              </a:r>
            </a:p>
            <a:p>
              <a:pPr/>
              <a:r>
                <a:rPr lang="en-US" sz="1100" b="0" i="0" baseline="0">
                  <a:latin typeface="Cambria Math" panose="02040503050406030204" pitchFamily="18" charset="0"/>
                </a:rPr>
                <a:t>〖𝐿𝐶𝑂𝐸〗_𝑃𝑉= </a:t>
              </a:r>
              <a:r>
                <a:rPr lang="en-US" sz="1100" b="0" i="0" baseline="0">
                  <a:solidFill>
                    <a:schemeClr val="dk1"/>
                  </a:solidFill>
                  <a:effectLst/>
                  <a:latin typeface="Cambria Math" panose="02040503050406030204" pitchFamily="18" charset="0"/>
                  <a:ea typeface="+mn-ea"/>
                  <a:cs typeface="+mn-cs"/>
                </a:rPr>
                <a:t> (∑2_(𝑡=0)^𝑃𝑜𝐴▒〖(𝐼_𝑡 〗+〖𝑂&amp;𝑀〗_𝑡+〖𝐼𝑛𝑠〗_𝑡+〖𝐹𝑖𝑛𝐸𝑥〗_𝑡+〖𝐸𝑞𝑢𝑖𝑝〗_𝑡−〖𝐼𝑇𝐶〗_𝑡−〖𝐷𝑒𝑝〗_𝑡−〖𝑆𝑅𝐸𝐶〗_𝑡−〖𝑅𝑒𝑏〗_𝑡)1/〖(1+(𝑖/12))〗^𝑡 )/(∑2_(𝑡=𝑜)^𝑃𝑜𝐴</a:t>
              </a:r>
              <a:r>
                <a:rPr lang="en-US" sz="1100" b="0" i="0" baseline="0">
                  <a:solidFill>
                    <a:schemeClr val="dk1"/>
                  </a:solidFill>
                  <a:effectLst/>
                  <a:latin typeface="Cambria Math" panose="02040503050406030204" pitchFamily="18" charset="0"/>
                  <a:ea typeface="Cambria Math" panose="02040503050406030204" pitchFamily="18" charset="0"/>
                  <a:cs typeface="+mn-cs"/>
                </a:rPr>
                <a:t>▒</a:t>
              </a:r>
              <a:r>
                <a:rPr lang="en-US" sz="1100" b="0" i="0" baseline="0">
                  <a:solidFill>
                    <a:schemeClr val="dk1"/>
                  </a:solidFill>
                  <a:effectLst/>
                  <a:latin typeface="Cambria Math" panose="02040503050406030204" pitchFamily="18" charset="0"/>
                  <a:ea typeface="+mn-ea"/>
                  <a:cs typeface="+mn-cs"/>
                </a:rPr>
                <a:t>〖𝑃_𝑡</a:t>
              </a:r>
              <a:r>
                <a:rPr lang="en-US" sz="1100" b="0" i="0" baseline="0">
                  <a:solidFill>
                    <a:schemeClr val="dk1"/>
                  </a:solidFill>
                  <a:effectLst/>
                  <a:latin typeface="Cambria Math" panose="02040503050406030204" pitchFamily="18" charset="0"/>
                  <a:ea typeface="Cambria Math" panose="02040503050406030204" pitchFamily="18" charset="0"/>
                  <a:cs typeface="+mn-cs"/>
                </a:rPr>
                <a:t>×〖𝐷𝑒𝑔〗_𝑡 </a:t>
              </a:r>
              <a:r>
                <a:rPr lang="en-US" sz="1100" b="0" i="0" baseline="0">
                  <a:solidFill>
                    <a:schemeClr val="dk1"/>
                  </a:solidFill>
                  <a:effectLst/>
                  <a:latin typeface="Cambria Math" panose="02040503050406030204" pitchFamily="18" charset="0"/>
                  <a:ea typeface="+mn-ea"/>
                  <a:cs typeface="+mn-cs"/>
                </a:rPr>
                <a:t>〗)</a:t>
              </a:r>
              <a:endParaRPr lang="en-US" sz="1100" b="0" baseline="0"/>
            </a:p>
            <a:p>
              <a:r>
                <a:rPr lang="en-US" sz="1100" b="0" baseline="0"/>
                <a:t>Where:</a:t>
              </a:r>
            </a:p>
            <a:p>
              <a:r>
                <a:rPr lang="en-US" sz="1100" b="0" baseline="0"/>
                <a:t>	</a:t>
              </a:r>
              <a:r>
                <a:rPr lang="en-US" sz="1100" b="0" i="1" baseline="0"/>
                <a:t>PoA</a:t>
              </a:r>
              <a:r>
                <a:rPr lang="en-US" sz="1100" b="0" baseline="0"/>
                <a:t> 	= Period of Analysis (represented in years, calculated in months)</a:t>
              </a:r>
            </a:p>
            <a:p>
              <a:r>
                <a:rPr lang="en-US" sz="1100" b="0" baseline="0"/>
                <a:t>	</a:t>
              </a:r>
              <a:r>
                <a:rPr lang="en-US" sz="1100" b="0" i="1" baseline="0"/>
                <a:t>I</a:t>
              </a:r>
              <a:r>
                <a:rPr lang="en-US" sz="1100" b="0" i="1" baseline="-25000"/>
                <a:t>t</a:t>
              </a:r>
              <a:r>
                <a:rPr lang="en-US" sz="1100" b="0" baseline="0"/>
                <a:t> 	= Upfront investment (period 0)</a:t>
              </a:r>
            </a:p>
            <a:p>
              <a:r>
                <a:rPr lang="en-US" sz="1100" b="0" baseline="0"/>
                <a:t>	</a:t>
              </a:r>
              <a:r>
                <a:rPr lang="en-US" sz="1100" b="0" i="1" baseline="0"/>
                <a:t>O&amp;M</a:t>
              </a:r>
              <a:r>
                <a:rPr lang="en-US" sz="1100" b="0" i="1" baseline="-25000"/>
                <a:t>t</a:t>
              </a:r>
              <a:r>
                <a:rPr lang="en-US" sz="1100" b="0" i="1" baseline="0"/>
                <a:t> </a:t>
              </a:r>
              <a:r>
                <a:rPr lang="en-US" sz="1100" b="0" baseline="0"/>
                <a:t>	= Operation and maintenance for period</a:t>
              </a:r>
            </a:p>
            <a:p>
              <a:r>
                <a:rPr lang="en-US" sz="1100" b="0" baseline="0"/>
                <a:t>	</a:t>
              </a:r>
              <a:r>
                <a:rPr lang="en-US" sz="1100" b="0" i="1" baseline="0"/>
                <a:t>Ins</a:t>
              </a:r>
              <a:r>
                <a:rPr lang="en-US" sz="1100" b="0" i="1" baseline="-25000"/>
                <a:t>t</a:t>
              </a:r>
              <a:r>
                <a:rPr lang="en-US" sz="1100" b="0" baseline="0"/>
                <a:t> 	= Insurance cost for period</a:t>
              </a:r>
            </a:p>
            <a:p>
              <a:r>
                <a:rPr lang="en-US" sz="1100" b="0" baseline="0"/>
                <a:t>	</a:t>
              </a:r>
              <a:r>
                <a:rPr lang="en-US" sz="1100" b="0" i="1" baseline="0"/>
                <a:t>FinEx</a:t>
              </a:r>
              <a:r>
                <a:rPr lang="en-US" sz="1100" b="0" i="1" baseline="-25000"/>
                <a:t>t</a:t>
              </a:r>
              <a:r>
                <a:rPr lang="en-US" sz="1100" b="0" i="1" baseline="0"/>
                <a:t> </a:t>
              </a:r>
              <a:r>
                <a:rPr lang="en-US" sz="1100" b="0" baseline="0"/>
                <a:t>	= Financial expense (principal and interest)</a:t>
              </a:r>
            </a:p>
            <a:p>
              <a:r>
                <a:rPr lang="en-US" sz="1100" b="0" baseline="0"/>
                <a:t>	</a:t>
              </a:r>
              <a:r>
                <a:rPr lang="en-US" sz="1100" b="0" i="1" baseline="0"/>
                <a:t>Equip</a:t>
              </a:r>
              <a:r>
                <a:rPr lang="en-US" sz="1100" b="0" i="1" baseline="-25000"/>
                <a:t>t</a:t>
              </a:r>
              <a:r>
                <a:rPr lang="en-US" sz="1100" b="0" i="1" baseline="0"/>
                <a:t> </a:t>
              </a:r>
              <a:r>
                <a:rPr lang="en-US" sz="1100" b="0" baseline="0"/>
                <a:t>	= Equipment purchases (e.g. inverter replacement)</a:t>
              </a:r>
            </a:p>
            <a:p>
              <a:r>
                <a:rPr lang="en-US" sz="1100" b="0" baseline="0"/>
                <a:t>	</a:t>
              </a:r>
              <a:r>
                <a:rPr lang="en-US" sz="1100" b="0" i="1" baseline="0"/>
                <a:t>ITC</a:t>
              </a:r>
              <a:r>
                <a:rPr lang="en-US" sz="1100" b="0" i="1" baseline="-25000"/>
                <a:t>t</a:t>
              </a:r>
              <a:r>
                <a:rPr lang="en-US" sz="1100" b="0" i="1" baseline="0"/>
                <a:t> </a:t>
              </a:r>
              <a:r>
                <a:rPr lang="en-US" sz="1100" b="0" baseline="0"/>
                <a:t>	= Investment tax credit</a:t>
              </a:r>
            </a:p>
            <a:p>
              <a:r>
                <a:rPr lang="en-US" sz="1100" b="0" baseline="0"/>
                <a:t>	</a:t>
              </a:r>
              <a:r>
                <a:rPr lang="en-US" sz="1100" b="0" i="1" baseline="0"/>
                <a:t>Dep</a:t>
              </a:r>
              <a:r>
                <a:rPr lang="en-US" sz="1100" b="0" i="1" baseline="-25000"/>
                <a:t>t</a:t>
              </a:r>
              <a:r>
                <a:rPr lang="en-US" sz="1100" b="0" i="1" baseline="0"/>
                <a:t> </a:t>
              </a:r>
              <a:r>
                <a:rPr lang="en-US" sz="1100" b="0" baseline="0"/>
                <a:t>	= Depreciation benefit</a:t>
              </a:r>
            </a:p>
            <a:p>
              <a:r>
                <a:rPr lang="en-US" sz="1100" b="0" baseline="0"/>
                <a:t>	</a:t>
              </a:r>
              <a:r>
                <a:rPr lang="en-US" sz="1100" b="0" i="1" baseline="0"/>
                <a:t>SREC</a:t>
              </a:r>
              <a:r>
                <a:rPr lang="en-US" sz="1100" b="0" i="1" baseline="-25000"/>
                <a:t>t</a:t>
              </a:r>
              <a:r>
                <a:rPr lang="en-US" sz="1100" b="0" i="1" baseline="0"/>
                <a:t> </a:t>
              </a:r>
              <a:r>
                <a:rPr lang="en-US" sz="1100" b="0" baseline="0"/>
                <a:t>	= Solar Renewable Energy Credits</a:t>
              </a:r>
            </a:p>
            <a:p>
              <a:r>
                <a:rPr lang="en-US" sz="1100" b="0" baseline="0"/>
                <a:t>	</a:t>
              </a:r>
              <a:r>
                <a:rPr lang="en-US" sz="1100" b="0" i="1" baseline="0"/>
                <a:t>Reb</a:t>
              </a:r>
              <a:r>
                <a:rPr lang="en-US" sz="1100" b="0" i="1" baseline="-25000"/>
                <a:t>t</a:t>
              </a:r>
              <a:r>
                <a:rPr lang="en-US" sz="1100" b="0" i="1" baseline="0"/>
                <a:t> </a:t>
              </a:r>
              <a:r>
                <a:rPr lang="en-US" sz="1100" b="0" baseline="0"/>
                <a:t>	= Any other rebates and/or grants</a:t>
              </a:r>
            </a:p>
            <a:p>
              <a:r>
                <a:rPr lang="en-US" sz="1100" b="0" baseline="0"/>
                <a:t>	</a:t>
              </a:r>
              <a:r>
                <a:rPr lang="en-US" sz="1100" b="0" i="1" baseline="0"/>
                <a:t>i </a:t>
              </a:r>
              <a:r>
                <a:rPr lang="en-US" sz="1100" b="0" baseline="0"/>
                <a:t>	= discount rate</a:t>
              </a:r>
            </a:p>
            <a:p>
              <a:r>
                <a:rPr lang="en-US" sz="1100" b="0" baseline="0"/>
                <a:t>	</a:t>
              </a:r>
              <a:r>
                <a:rPr lang="en-US" sz="1100" b="0" i="1" baseline="0"/>
                <a:t>P</a:t>
              </a:r>
              <a:r>
                <a:rPr lang="en-US" sz="1100" b="0" i="1" baseline="-25000"/>
                <a:t>t</a:t>
              </a:r>
              <a:r>
                <a:rPr lang="en-US" sz="1100" b="0" i="1" baseline="0"/>
                <a:t> </a:t>
              </a:r>
              <a:r>
                <a:rPr lang="en-US" sz="1100" b="0" baseline="0"/>
                <a:t>	= Period Production in kWh</a:t>
              </a:r>
            </a:p>
            <a:p>
              <a:r>
                <a:rPr lang="en-US" sz="1100" b="0" baseline="0"/>
                <a:t>	</a:t>
              </a:r>
              <a:r>
                <a:rPr lang="en-US" sz="1100" b="0" i="1" baseline="0"/>
                <a:t>Deg</a:t>
              </a:r>
              <a:r>
                <a:rPr lang="en-US" sz="1100" b="0" i="1" baseline="-25000"/>
                <a:t>t</a:t>
              </a:r>
              <a:r>
                <a:rPr lang="en-US" sz="1100" b="0" i="1" baseline="0"/>
                <a:t> </a:t>
              </a:r>
              <a:r>
                <a:rPr lang="en-US" sz="1100" b="0" baseline="0"/>
                <a:t>	= Degradation factor calculated as a decay function based on module performance</a:t>
              </a:r>
            </a:p>
            <a:p>
              <a:endParaRPr lang="en-US" sz="1100" b="0" baseline="0"/>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Battery Levelized Cost of Storage (LCOS) is calculated with the following equation:</a:t>
              </a:r>
              <a:endParaRPr lang="en-US">
                <a:effectLst/>
              </a:endParaRPr>
            </a:p>
            <a:p>
              <a:r>
                <a:rPr lang="en-US" sz="1100" b="0" i="0" baseline="0">
                  <a:solidFill>
                    <a:schemeClr val="dk1"/>
                  </a:solidFill>
                  <a:effectLst/>
                  <a:latin typeface="+mn-lt"/>
                  <a:ea typeface="+mn-ea"/>
                  <a:cs typeface="+mn-cs"/>
                </a:rPr>
                <a:t>〖𝐿𝐶𝑂</a:t>
              </a:r>
              <a:r>
                <a:rPr lang="en-US" sz="1100" b="0" i="0" baseline="0">
                  <a:solidFill>
                    <a:schemeClr val="dk1"/>
                  </a:solidFill>
                  <a:effectLst/>
                  <a:latin typeface="Cambria Math" panose="02040503050406030204" pitchFamily="18" charset="0"/>
                  <a:ea typeface="+mn-ea"/>
                  <a:cs typeface="+mn-cs"/>
                </a:rPr>
                <a:t>𝑆</a:t>
              </a:r>
              <a:r>
                <a:rPr lang="en-US" sz="1100" b="0" i="0" baseline="0">
                  <a:solidFill>
                    <a:schemeClr val="dk1"/>
                  </a:solidFill>
                  <a:effectLst/>
                  <a:latin typeface="+mn-lt"/>
                  <a:ea typeface="+mn-ea"/>
                  <a:cs typeface="+mn-cs"/>
                </a:rPr>
                <a:t>〗_</a:t>
              </a:r>
              <a:r>
                <a:rPr lang="en-US" sz="1100" b="0" i="0" baseline="0">
                  <a:solidFill>
                    <a:schemeClr val="dk1"/>
                  </a:solidFill>
                  <a:effectLst/>
                  <a:latin typeface="Cambria Math" panose="02040503050406030204" pitchFamily="18" charset="0"/>
                  <a:ea typeface="+mn-ea"/>
                  <a:cs typeface="+mn-cs"/>
                </a:rPr>
                <a:t>𝐵𝑎𝑡𝑡</a:t>
              </a:r>
              <a:r>
                <a:rPr lang="en-US" sz="1100" b="0" i="0" baseline="0">
                  <a:solidFill>
                    <a:schemeClr val="dk1"/>
                  </a:solidFill>
                  <a:effectLst/>
                  <a:latin typeface="+mn-lt"/>
                  <a:ea typeface="+mn-ea"/>
                  <a:cs typeface="+mn-cs"/>
                </a:rPr>
                <a:t>=  (∑2_(𝑡=0)^𝑃𝑜𝐴▒〖(𝐼_𝑡 〗+〖𝑂&amp;𝑀〗_𝑡+</a:t>
              </a:r>
              <a:r>
                <a:rPr lang="en-US" sz="1100" b="0" i="0" baseline="0">
                  <a:solidFill>
                    <a:schemeClr val="dk1"/>
                  </a:solidFill>
                  <a:effectLst/>
                  <a:latin typeface="Cambria Math" panose="02040503050406030204" pitchFamily="18" charset="0"/>
                  <a:ea typeface="+mn-ea"/>
                  <a:cs typeface="+mn-cs"/>
                </a:rPr>
                <a:t>〖𝐶ℎ𝑎𝑟𝑔𝑒〗_𝑡+</a:t>
              </a:r>
              <a:r>
                <a:rPr lang="en-US" sz="1100" b="0" i="0" baseline="0">
                  <a:solidFill>
                    <a:schemeClr val="dk1"/>
                  </a:solidFill>
                  <a:effectLst/>
                  <a:latin typeface="+mn-lt"/>
                  <a:ea typeface="+mn-ea"/>
                  <a:cs typeface="+mn-cs"/>
                </a:rPr>
                <a:t>〖𝐼𝑛𝑠〗_𝑡+〖𝐹𝑖𝑛𝐸𝑥〗_𝑡+〖𝐸𝑞𝑢𝑖𝑝〗_𝑡</a:t>
              </a:r>
              <a:r>
                <a:rPr lang="en-US" sz="1100" b="0" i="0" baseline="0">
                  <a:solidFill>
                    <a:schemeClr val="dk1"/>
                  </a:solidFill>
                  <a:effectLst/>
                  <a:latin typeface="Cambria Math" panose="02040503050406030204" pitchFamily="18" charset="0"/>
                  <a:ea typeface="+mn-ea"/>
                  <a:cs typeface="+mn-cs"/>
                </a:rPr>
                <a:t>+〖𝐷𝑒𝑐𝑜𝑚〗_𝑡</a:t>
              </a:r>
              <a:r>
                <a:rPr lang="en-US" sz="1100" b="0" i="0" baseline="0">
                  <a:solidFill>
                    <a:schemeClr val="dk1"/>
                  </a:solidFill>
                  <a:effectLst/>
                  <a:latin typeface="+mn-lt"/>
                  <a:ea typeface="+mn-ea"/>
                  <a:cs typeface="+mn-cs"/>
                </a:rPr>
                <a:t>−〖𝐼𝑇𝐶〗_𝑡−〖𝐷𝑒𝑝〗_𝑡−〖𝑅𝑒𝑏〗_𝑡)1/〖(1+(𝑖/12))〗^𝑡 )/(∑2_(𝑡=𝑜)^𝑃𝑜𝐴▒〖</a:t>
              </a:r>
              <a:r>
                <a:rPr lang="en-US" sz="1100" b="0" i="0" baseline="0">
                  <a:solidFill>
                    <a:schemeClr val="dk1"/>
                  </a:solidFill>
                  <a:effectLst/>
                  <a:latin typeface="Cambria Math" panose="02040503050406030204" pitchFamily="18" charset="0"/>
                  <a:ea typeface="+mn-ea"/>
                  <a:cs typeface="+mn-cs"/>
                </a:rPr>
                <a:t>𝑘𝑊ℎ</a:t>
              </a:r>
              <a:r>
                <a:rPr lang="en-US" sz="1100" b="0" i="0" baseline="0">
                  <a:solidFill>
                    <a:schemeClr val="dk1"/>
                  </a:solidFill>
                  <a:effectLst/>
                  <a:latin typeface="+mn-lt"/>
                  <a:ea typeface="+mn-ea"/>
                  <a:cs typeface="+mn-cs"/>
                </a:rPr>
                <a:t>〗_𝑡 )</a:t>
              </a:r>
              <a:endParaRPr lang="en-US">
                <a:effectLst/>
              </a:endParaRPr>
            </a:p>
            <a:p>
              <a:r>
                <a:rPr lang="en-US" sz="1100" b="0" baseline="0">
                  <a:solidFill>
                    <a:schemeClr val="dk1"/>
                  </a:solidFill>
                  <a:effectLst/>
                  <a:latin typeface="+mn-lt"/>
                  <a:ea typeface="+mn-ea"/>
                  <a:cs typeface="+mn-cs"/>
                </a:rPr>
                <a:t>Where:</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PoA</a:t>
              </a:r>
              <a:r>
                <a:rPr lang="en-US" sz="1100" b="0" baseline="0">
                  <a:solidFill>
                    <a:schemeClr val="dk1"/>
                  </a:solidFill>
                  <a:effectLst/>
                  <a:latin typeface="+mn-lt"/>
                  <a:ea typeface="+mn-ea"/>
                  <a:cs typeface="+mn-cs"/>
                </a:rPr>
                <a:t> 	= Period of Analysis (represented in years, calculated in months)</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a:t>
              </a:r>
              <a:r>
                <a:rPr lang="en-US" sz="1100" b="0" i="1" baseline="-25000">
                  <a:solidFill>
                    <a:schemeClr val="dk1"/>
                  </a:solidFill>
                  <a:effectLst/>
                  <a:latin typeface="+mn-lt"/>
                  <a:ea typeface="+mn-ea"/>
                  <a:cs typeface="+mn-cs"/>
                </a:rPr>
                <a:t>t</a:t>
              </a:r>
              <a:r>
                <a:rPr lang="en-US" sz="1100" b="0" baseline="0">
                  <a:solidFill>
                    <a:schemeClr val="dk1"/>
                  </a:solidFill>
                  <a:effectLst/>
                  <a:latin typeface="+mn-lt"/>
                  <a:ea typeface="+mn-ea"/>
                  <a:cs typeface="+mn-cs"/>
                </a:rPr>
                <a:t> 	= Upfront investment (period 0)</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O&amp;M</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Operation and maintenance for period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dk1"/>
                  </a:solidFill>
                  <a:effectLst/>
                  <a:latin typeface="+mn-lt"/>
                  <a:ea typeface="+mn-ea"/>
                  <a:cs typeface="+mn-cs"/>
                </a:rPr>
                <a:t>	Charge</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Charging expenses (reduced by PV charge)</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Ins</a:t>
              </a:r>
              <a:r>
                <a:rPr lang="en-US" sz="1100" b="0" i="1" baseline="-25000">
                  <a:solidFill>
                    <a:schemeClr val="dk1"/>
                  </a:solidFill>
                  <a:effectLst/>
                  <a:latin typeface="+mn-lt"/>
                  <a:ea typeface="+mn-ea"/>
                  <a:cs typeface="+mn-cs"/>
                </a:rPr>
                <a:t>t</a:t>
              </a:r>
              <a:r>
                <a:rPr lang="en-US" sz="1100" b="0" baseline="0">
                  <a:solidFill>
                    <a:schemeClr val="dk1"/>
                  </a:solidFill>
                  <a:effectLst/>
                  <a:latin typeface="+mn-lt"/>
                  <a:ea typeface="+mn-ea"/>
                  <a:cs typeface="+mn-cs"/>
                </a:rPr>
                <a:t> 	= Insurance cost for period</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FinEx</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Financial expense (principal and interest)</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Equip</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Equipment purchases (e.g. inverter replacement, battery refresh)</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ITC</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Investment tax credit</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Dep</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Depreciation benefit</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Decom</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End of life decommissioning</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Reb</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Any other rebates and/or grants</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i </a:t>
              </a:r>
              <a:r>
                <a:rPr lang="en-US" sz="1100" b="0" baseline="0">
                  <a:solidFill>
                    <a:schemeClr val="dk1"/>
                  </a:solidFill>
                  <a:effectLst/>
                  <a:latin typeface="+mn-lt"/>
                  <a:ea typeface="+mn-ea"/>
                  <a:cs typeface="+mn-cs"/>
                </a:rPr>
                <a:t>	= discount rate</a:t>
              </a:r>
              <a:endParaRPr lang="en-US">
                <a:effectLst/>
              </a:endParaRPr>
            </a:p>
            <a:p>
              <a:r>
                <a:rPr lang="en-US" sz="1100" b="0" baseline="0">
                  <a:solidFill>
                    <a:schemeClr val="dk1"/>
                  </a:solidFill>
                  <a:effectLst/>
                  <a:latin typeface="+mn-lt"/>
                  <a:ea typeface="+mn-ea"/>
                  <a:cs typeface="+mn-cs"/>
                </a:rPr>
                <a:t>	</a:t>
              </a:r>
              <a:r>
                <a:rPr lang="en-US" sz="1100" b="0" i="1" baseline="0">
                  <a:solidFill>
                    <a:schemeClr val="dk1"/>
                  </a:solidFill>
                  <a:effectLst/>
                  <a:latin typeface="+mn-lt"/>
                  <a:ea typeface="+mn-ea"/>
                  <a:cs typeface="+mn-cs"/>
                </a:rPr>
                <a:t>kWh</a:t>
              </a:r>
              <a:r>
                <a:rPr lang="en-US" sz="1100" b="0" i="1" baseline="-25000">
                  <a:solidFill>
                    <a:schemeClr val="dk1"/>
                  </a:solidFill>
                  <a:effectLst/>
                  <a:latin typeface="+mn-lt"/>
                  <a:ea typeface="+mn-ea"/>
                  <a:cs typeface="+mn-cs"/>
                </a:rPr>
                <a:t>t</a:t>
              </a:r>
              <a:r>
                <a:rPr lang="en-US" sz="1100" b="0" i="1" baseline="0">
                  <a:solidFill>
                    <a:schemeClr val="dk1"/>
                  </a:solidFill>
                  <a:effectLst/>
                  <a:latin typeface="+mn-lt"/>
                  <a:ea typeface="+mn-ea"/>
                  <a:cs typeface="+mn-cs"/>
                </a:rPr>
                <a:t> </a:t>
              </a:r>
              <a:r>
                <a:rPr lang="en-US" sz="1100" b="0" baseline="0">
                  <a:solidFill>
                    <a:schemeClr val="dk1"/>
                  </a:solidFill>
                  <a:effectLst/>
                  <a:latin typeface="+mn-lt"/>
                  <a:ea typeface="+mn-ea"/>
                  <a:cs typeface="+mn-cs"/>
                </a:rPr>
                <a:t>	= Energy delivered from battery</a:t>
              </a:r>
              <a:endParaRPr lang="en-US">
                <a:effectLst/>
              </a:endParaRPr>
            </a:p>
            <a:p>
              <a:endParaRPr lang="en-US" sz="1100" b="0" baseline="0"/>
            </a:p>
            <a:p>
              <a:endParaRPr lang="en-US" sz="1100" b="0" baseline="-25000"/>
            </a:p>
            <a:p>
              <a:endParaRPr lang="en-US" sz="1100" b="0" baseline="0"/>
            </a:p>
            <a:p>
              <a:endParaRPr lang="en-US" sz="1100" b="0" baseline="0"/>
            </a:p>
            <a:p>
              <a:endParaRPr lang="en-US" sz="1100" b="0" baseline="0"/>
            </a:p>
          </xdr:txBody>
        </xdr:sp>
      </mc:Fallback>
    </mc:AlternateContent>
    <xdr:clientData/>
  </xdr:twoCellAnchor>
  <xdr:twoCellAnchor editAs="oneCell">
    <xdr:from>
      <xdr:col>0</xdr:col>
      <xdr:colOff>259081</xdr:colOff>
      <xdr:row>22</xdr:row>
      <xdr:rowOff>120015</xdr:rowOff>
    </xdr:from>
    <xdr:to>
      <xdr:col>10</xdr:col>
      <xdr:colOff>29309</xdr:colOff>
      <xdr:row>23</xdr:row>
      <xdr:rowOff>116180</xdr:rowOff>
    </xdr:to>
    <xdr:pic>
      <xdr:nvPicPr>
        <xdr:cNvPr id="9" name="Picture 8">
          <a:extLst>
            <a:ext uri="{FF2B5EF4-FFF2-40B4-BE49-F238E27FC236}">
              <a16:creationId xmlns:a16="http://schemas.microsoft.com/office/drawing/2014/main" id="{59681C7F-984E-40F9-863E-63D9CFD0CEC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238" t="6208" b="11014"/>
        <a:stretch/>
      </xdr:blipFill>
      <xdr:spPr>
        <a:xfrm>
          <a:off x="259081" y="4311015"/>
          <a:ext cx="5866228" cy="186665"/>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0</xdr:col>
      <xdr:colOff>351692</xdr:colOff>
      <xdr:row>39</xdr:row>
      <xdr:rowOff>102960</xdr:rowOff>
    </xdr:from>
    <xdr:to>
      <xdr:col>12</xdr:col>
      <xdr:colOff>161886</xdr:colOff>
      <xdr:row>49</xdr:row>
      <xdr:rowOff>143194</xdr:rowOff>
    </xdr:to>
    <xdr:grpSp>
      <xdr:nvGrpSpPr>
        <xdr:cNvPr id="18" name="Group 17">
          <a:extLst>
            <a:ext uri="{FF2B5EF4-FFF2-40B4-BE49-F238E27FC236}">
              <a16:creationId xmlns:a16="http://schemas.microsoft.com/office/drawing/2014/main" id="{5BF6E9CE-ACD6-4F8E-A06A-FC6FC5BF5D19}"/>
            </a:ext>
          </a:extLst>
        </xdr:cNvPr>
        <xdr:cNvGrpSpPr/>
      </xdr:nvGrpSpPr>
      <xdr:grpSpPr>
        <a:xfrm>
          <a:off x="351692" y="7532460"/>
          <a:ext cx="7125394" cy="1945234"/>
          <a:chOff x="351692" y="7532460"/>
          <a:chExt cx="7135785" cy="1945234"/>
        </a:xfrm>
      </xdr:grpSpPr>
      <xdr:pic>
        <xdr:nvPicPr>
          <xdr:cNvPr id="2" name="Picture 1">
            <a:extLst>
              <a:ext uri="{FF2B5EF4-FFF2-40B4-BE49-F238E27FC236}">
                <a16:creationId xmlns:a16="http://schemas.microsoft.com/office/drawing/2014/main" id="{1899391B-A8C4-4B8F-B42A-BFAA8743852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51692" y="7532460"/>
            <a:ext cx="4832439" cy="1945234"/>
          </a:xfrm>
          <a:prstGeom prst="rect">
            <a:avLst/>
          </a:prstGeom>
          <a:effectLst>
            <a:outerShdw blurRad="50800" dist="38100" dir="2700000" algn="tl" rotWithShape="0">
              <a:prstClr val="black">
                <a:alpha val="40000"/>
              </a:prstClr>
            </a:outerShdw>
          </a:effectLst>
        </xdr:spPr>
      </xdr:pic>
      <xdr:grpSp>
        <xdr:nvGrpSpPr>
          <xdr:cNvPr id="17" name="Group 16">
            <a:extLst>
              <a:ext uri="{FF2B5EF4-FFF2-40B4-BE49-F238E27FC236}">
                <a16:creationId xmlns:a16="http://schemas.microsoft.com/office/drawing/2014/main" id="{A3632D05-307C-4F49-8309-1D61798C7298}"/>
              </a:ext>
            </a:extLst>
          </xdr:cNvPr>
          <xdr:cNvGrpSpPr/>
        </xdr:nvGrpSpPr>
        <xdr:grpSpPr>
          <a:xfrm>
            <a:off x="5312352" y="7558919"/>
            <a:ext cx="2175125" cy="1567962"/>
            <a:chOff x="6139295" y="7589226"/>
            <a:chExt cx="2175125" cy="1567962"/>
          </a:xfrm>
        </xdr:grpSpPr>
        <xdr:pic>
          <xdr:nvPicPr>
            <xdr:cNvPr id="3" name="Picture 2">
              <a:extLst>
                <a:ext uri="{FF2B5EF4-FFF2-40B4-BE49-F238E27FC236}">
                  <a16:creationId xmlns:a16="http://schemas.microsoft.com/office/drawing/2014/main" id="{FAA212AF-7AD9-4893-8136-10337B4395C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2158" t="3733" r="2158" b="4812"/>
            <a:stretch/>
          </xdr:blipFill>
          <xdr:spPr>
            <a:xfrm>
              <a:off x="6321829" y="7589226"/>
              <a:ext cx="1955957" cy="718039"/>
            </a:xfrm>
            <a:prstGeom prst="rect">
              <a:avLst/>
            </a:prstGeom>
            <a:ln>
              <a:solidFill>
                <a:sysClr val="windowText" lastClr="000000"/>
              </a:solidFill>
            </a:ln>
            <a:effectLst>
              <a:outerShdw blurRad="50800" dist="38100" dir="2700000" algn="tl" rotWithShape="0">
                <a:prstClr val="black">
                  <a:alpha val="40000"/>
                </a:prstClr>
              </a:outerShdw>
            </a:effectLst>
          </xdr:spPr>
        </xdr:pic>
        <xdr:sp macro="" textlink="">
          <xdr:nvSpPr>
            <xdr:cNvPr id="4" name="Callout: Bent Line 3">
              <a:extLst>
                <a:ext uri="{FF2B5EF4-FFF2-40B4-BE49-F238E27FC236}">
                  <a16:creationId xmlns:a16="http://schemas.microsoft.com/office/drawing/2014/main" id="{AB66AB91-4FAD-41CC-B501-888E74ABB5EB}"/>
                </a:ext>
              </a:extLst>
            </xdr:cNvPr>
            <xdr:cNvSpPr/>
          </xdr:nvSpPr>
          <xdr:spPr>
            <a:xfrm>
              <a:off x="6276402" y="8512419"/>
              <a:ext cx="2038018" cy="644769"/>
            </a:xfrm>
            <a:prstGeom prst="borderCallout2">
              <a:avLst>
                <a:gd name="adj1" fmla="val 17449"/>
                <a:gd name="adj2" fmla="val -48"/>
                <a:gd name="adj3" fmla="val 17515"/>
                <a:gd name="adj4" fmla="val -6920"/>
                <a:gd name="adj5" fmla="val 107143"/>
                <a:gd name="adj6" fmla="val -29146"/>
              </a:avLst>
            </a:prstGeom>
            <a:solidFill>
              <a:schemeClr val="bg1"/>
            </a:solidFill>
            <a:ln w="15875">
              <a:solidFill>
                <a:srgbClr val="31A659"/>
              </a:solidFill>
              <a:tailEnd type="arrow"/>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Click</a:t>
              </a:r>
              <a:r>
                <a:rPr lang="en-US" sz="1100" baseline="0">
                  <a:solidFill>
                    <a:schemeClr val="tx1"/>
                  </a:solidFill>
                </a:rPr>
                <a:t> "Unprotect" for the sheet you wish to modify, then enter </a:t>
              </a:r>
              <a:r>
                <a:rPr lang="en-US" sz="1100" b="1" baseline="0">
                  <a:solidFill>
                    <a:schemeClr val="tx1"/>
                  </a:solidFill>
                </a:rPr>
                <a:t>ProtoGen</a:t>
              </a:r>
              <a:r>
                <a:rPr lang="en-US" sz="1100" b="0" baseline="0">
                  <a:solidFill>
                    <a:schemeClr val="tx1"/>
                  </a:solidFill>
                </a:rPr>
                <a:t> as the password.</a:t>
              </a:r>
              <a:endParaRPr lang="en-US" sz="1100">
                <a:solidFill>
                  <a:schemeClr val="tx1"/>
                </a:solidFill>
              </a:endParaRPr>
            </a:p>
          </xdr:txBody>
        </xdr:sp>
        <xdr:cxnSp macro="">
          <xdr:nvCxnSpPr>
            <xdr:cNvPr id="11" name="Connector: Elbow 10">
              <a:extLst>
                <a:ext uri="{FF2B5EF4-FFF2-40B4-BE49-F238E27FC236}">
                  <a16:creationId xmlns:a16="http://schemas.microsoft.com/office/drawing/2014/main" id="{A975D514-0A3B-4B96-894B-4F4BF6948F07}"/>
                </a:ext>
              </a:extLst>
            </xdr:cNvPr>
            <xdr:cNvCxnSpPr>
              <a:endCxn id="3" idx="1"/>
            </xdr:cNvCxnSpPr>
          </xdr:nvCxnSpPr>
          <xdr:spPr>
            <a:xfrm rot="5400000" flipH="1" flipV="1">
              <a:off x="5890293" y="8197248"/>
              <a:ext cx="680538" cy="182534"/>
            </a:xfrm>
            <a:prstGeom prst="bentConnector2">
              <a:avLst/>
            </a:prstGeom>
            <a:ln w="15875">
              <a:solidFill>
                <a:srgbClr val="31A659"/>
              </a:solidFill>
              <a:tailEnd type="arrow"/>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548721</xdr:colOff>
      <xdr:row>0</xdr:row>
      <xdr:rowOff>0</xdr:rowOff>
    </xdr:from>
    <xdr:to>
      <xdr:col>12</xdr:col>
      <xdr:colOff>603388</xdr:colOff>
      <xdr:row>6</xdr:row>
      <xdr:rowOff>132524</xdr:rowOff>
    </xdr:to>
    <xdr:sp macro="" textlink="">
      <xdr:nvSpPr>
        <xdr:cNvPr id="14" name="TextBox 13">
          <a:extLst>
            <a:ext uri="{FF2B5EF4-FFF2-40B4-BE49-F238E27FC236}">
              <a16:creationId xmlns:a16="http://schemas.microsoft.com/office/drawing/2014/main" id="{B56D8F39-5F55-4D3D-ABF6-C7633BF7F815}"/>
            </a:ext>
          </a:extLst>
        </xdr:cNvPr>
        <xdr:cNvSpPr txBox="1"/>
      </xdr:nvSpPr>
      <xdr:spPr>
        <a:xfrm>
          <a:off x="2987121" y="0"/>
          <a:ext cx="4931467" cy="127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200">
              <a:solidFill>
                <a:srgbClr val="023246"/>
              </a:solidFill>
              <a:effectLst>
                <a:outerShdw blurRad="50800" dist="38100" dir="2700000" algn="tl" rotWithShape="0">
                  <a:prstClr val="black">
                    <a:alpha val="40000"/>
                  </a:prstClr>
                </a:outerShdw>
              </a:effectLst>
              <a:latin typeface="Trebuchet MS" panose="020B0603020202020204" pitchFamily="34" charset="0"/>
            </a:rPr>
            <a:t>Hybrid</a:t>
          </a:r>
          <a:r>
            <a:rPr lang="en-US" sz="7200">
              <a:solidFill>
                <a:srgbClr val="31A659"/>
              </a:solidFill>
              <a:effectLst>
                <a:outerShdw blurRad="50800" dist="38100" dir="2700000" algn="tl" rotWithShape="0">
                  <a:prstClr val="black">
                    <a:alpha val="40000"/>
                  </a:prstClr>
                </a:outerShdw>
              </a:effectLst>
              <a:latin typeface="Trebuchet MS" panose="020B0603020202020204" pitchFamily="34" charset="0"/>
            </a:rPr>
            <a:t>FAST</a:t>
          </a:r>
        </a:p>
      </xdr:txBody>
    </xdr:sp>
    <xdr:clientData/>
  </xdr:twoCellAnchor>
  <xdr:twoCellAnchor editAs="oneCell">
    <xdr:from>
      <xdr:col>0</xdr:col>
      <xdr:colOff>249654</xdr:colOff>
      <xdr:row>26</xdr:row>
      <xdr:rowOff>73269</xdr:rowOff>
    </xdr:from>
    <xdr:to>
      <xdr:col>11</xdr:col>
      <xdr:colOff>14655</xdr:colOff>
      <xdr:row>27</xdr:row>
      <xdr:rowOff>69018</xdr:rowOff>
    </xdr:to>
    <xdr:pic>
      <xdr:nvPicPr>
        <xdr:cNvPr id="12" name="Picture 11">
          <a:extLst>
            <a:ext uri="{FF2B5EF4-FFF2-40B4-BE49-F238E27FC236}">
              <a16:creationId xmlns:a16="http://schemas.microsoft.com/office/drawing/2014/main" id="{5C4F9F39-F2D5-4FA8-B08B-33D0401C1E76}"/>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1" t="2509" r="164" b="6878"/>
        <a:stretch/>
      </xdr:blipFill>
      <xdr:spPr>
        <a:xfrm>
          <a:off x="249654" y="5026269"/>
          <a:ext cx="6454482" cy="186249"/>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9</xdr:col>
      <xdr:colOff>110421</xdr:colOff>
      <xdr:row>84</xdr:row>
      <xdr:rowOff>73491</xdr:rowOff>
    </xdr:from>
    <xdr:to>
      <xdr:col>9</xdr:col>
      <xdr:colOff>461094</xdr:colOff>
      <xdr:row>85</xdr:row>
      <xdr:rowOff>42765</xdr:rowOff>
    </xdr:to>
    <xdr:pic>
      <xdr:nvPicPr>
        <xdr:cNvPr id="15" name="Picture 14">
          <a:extLst>
            <a:ext uri="{FF2B5EF4-FFF2-40B4-BE49-F238E27FC236}">
              <a16:creationId xmlns:a16="http://schemas.microsoft.com/office/drawing/2014/main" id="{12BD76F6-78E8-4856-A297-5ACFC87DD24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l="2852" t="7676" r="2708" b="9517"/>
        <a:stretch/>
      </xdr:blipFill>
      <xdr:spPr>
        <a:xfrm>
          <a:off x="5583633" y="16075491"/>
          <a:ext cx="350673" cy="159774"/>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298023</xdr:colOff>
      <xdr:row>83</xdr:row>
      <xdr:rowOff>77389</xdr:rowOff>
    </xdr:from>
    <xdr:to>
      <xdr:col>4</xdr:col>
      <xdr:colOff>86411</xdr:colOff>
      <xdr:row>84</xdr:row>
      <xdr:rowOff>56601</xdr:rowOff>
    </xdr:to>
    <xdr:pic>
      <xdr:nvPicPr>
        <xdr:cNvPr id="16" name="Picture 15">
          <a:extLst>
            <a:ext uri="{FF2B5EF4-FFF2-40B4-BE49-F238E27FC236}">
              <a16:creationId xmlns:a16="http://schemas.microsoft.com/office/drawing/2014/main" id="{C579CEAC-3008-472E-A74F-2CC6CAA4007B}"/>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l="755" t="8595" r="52070" b="7801"/>
        <a:stretch/>
      </xdr:blipFill>
      <xdr:spPr>
        <a:xfrm>
          <a:off x="2122427" y="15888889"/>
          <a:ext cx="396522" cy="169712"/>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356361</xdr:colOff>
      <xdr:row>83</xdr:row>
      <xdr:rowOff>80960</xdr:rowOff>
    </xdr:from>
    <xdr:to>
      <xdr:col>5</xdr:col>
      <xdr:colOff>192331</xdr:colOff>
      <xdr:row>84</xdr:row>
      <xdr:rowOff>60172</xdr:rowOff>
    </xdr:to>
    <xdr:pic>
      <xdr:nvPicPr>
        <xdr:cNvPr id="19" name="Picture 18">
          <a:extLst>
            <a:ext uri="{FF2B5EF4-FFF2-40B4-BE49-F238E27FC236}">
              <a16:creationId xmlns:a16="http://schemas.microsoft.com/office/drawing/2014/main" id="{F01F7AC8-042F-48EE-96D7-E3F0E8C0B9AD}"/>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l="45288" t="8595" r="1497" b="7801"/>
        <a:stretch/>
      </xdr:blipFill>
      <xdr:spPr>
        <a:xfrm>
          <a:off x="2788899" y="15892460"/>
          <a:ext cx="444105" cy="169712"/>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229494</xdr:colOff>
      <xdr:row>92</xdr:row>
      <xdr:rowOff>67183</xdr:rowOff>
    </xdr:from>
    <xdr:to>
      <xdr:col>4</xdr:col>
      <xdr:colOff>476250</xdr:colOff>
      <xdr:row>93</xdr:row>
      <xdr:rowOff>74094</xdr:rowOff>
    </xdr:to>
    <xdr:pic>
      <xdr:nvPicPr>
        <xdr:cNvPr id="7" name="Picture 6">
          <a:extLst>
            <a:ext uri="{FF2B5EF4-FFF2-40B4-BE49-F238E27FC236}">
              <a16:creationId xmlns:a16="http://schemas.microsoft.com/office/drawing/2014/main" id="{F30CE54B-7528-496A-8DF9-4E9688EE1314}"/>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837629" y="17593183"/>
          <a:ext cx="2071159" cy="19741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70938</xdr:colOff>
      <xdr:row>103</xdr:row>
      <xdr:rowOff>71270</xdr:rowOff>
    </xdr:from>
    <xdr:to>
      <xdr:col>10</xdr:col>
      <xdr:colOff>40631</xdr:colOff>
      <xdr:row>107</xdr:row>
      <xdr:rowOff>36635</xdr:rowOff>
    </xdr:to>
    <xdr:pic>
      <xdr:nvPicPr>
        <xdr:cNvPr id="13" name="Picture 12">
          <a:extLst>
            <a:ext uri="{FF2B5EF4-FFF2-40B4-BE49-F238E27FC236}">
              <a16:creationId xmlns:a16="http://schemas.microsoft.com/office/drawing/2014/main" id="{B48209E8-202E-4E68-AEB9-3534183CDF7A}"/>
            </a:ext>
          </a:extLst>
        </xdr:cNvPr>
        <xdr:cNvPicPr>
          <a:picLocks noChangeAspect="1"/>
        </xdr:cNvPicPr>
      </xdr:nvPicPr>
      <xdr:blipFill rotWithShape="1">
        <a:blip xmlns:r="http://schemas.openxmlformats.org/officeDocument/2006/relationships" r:embed="rId8"/>
        <a:srcRect l="502" t="1468" r="275" b="4243"/>
        <a:stretch/>
      </xdr:blipFill>
      <xdr:spPr>
        <a:xfrm>
          <a:off x="679073" y="19692770"/>
          <a:ext cx="5442904" cy="727365"/>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editAs="oneCell">
    <xdr:from>
      <xdr:col>0</xdr:col>
      <xdr:colOff>89550</xdr:colOff>
      <xdr:row>55</xdr:row>
      <xdr:rowOff>152400</xdr:rowOff>
    </xdr:from>
    <xdr:to>
      <xdr:col>12</xdr:col>
      <xdr:colOff>438150</xdr:colOff>
      <xdr:row>82</xdr:row>
      <xdr:rowOff>17410</xdr:rowOff>
    </xdr:to>
    <xdr:pic>
      <xdr:nvPicPr>
        <xdr:cNvPr id="21" name="Picture 20">
          <a:extLst>
            <a:ext uri="{FF2B5EF4-FFF2-40B4-BE49-F238E27FC236}">
              <a16:creationId xmlns:a16="http://schemas.microsoft.com/office/drawing/2014/main" id="{2ADF7584-63C3-4544-A6B3-9A9C0414BDEF}"/>
            </a:ext>
          </a:extLst>
        </xdr:cNvPr>
        <xdr:cNvPicPr>
          <a:picLocks noChangeAspect="1"/>
        </xdr:cNvPicPr>
      </xdr:nvPicPr>
      <xdr:blipFill>
        <a:blip xmlns:r="http://schemas.openxmlformats.org/officeDocument/2006/relationships" r:embed="rId9"/>
        <a:stretch>
          <a:fillRect/>
        </a:stretch>
      </xdr:blipFill>
      <xdr:spPr>
        <a:xfrm>
          <a:off x="89550" y="10629900"/>
          <a:ext cx="7663800" cy="5008510"/>
        </a:xfrm>
        <a:prstGeom prst="rect">
          <a:avLst/>
        </a:prstGeom>
        <a:ln>
          <a:solidFill>
            <a:sysClr val="windowText" lastClr="000000"/>
          </a:solidFill>
        </a:ln>
      </xdr:spPr>
    </xdr:pic>
    <xdr:clientData/>
  </xdr:twoCellAnchor>
  <xdr:twoCellAnchor editAs="oneCell">
    <xdr:from>
      <xdr:col>0</xdr:col>
      <xdr:colOff>361950</xdr:colOff>
      <xdr:row>117</xdr:row>
      <xdr:rowOff>19050</xdr:rowOff>
    </xdr:from>
    <xdr:to>
      <xdr:col>12</xdr:col>
      <xdr:colOff>123825</xdr:colOff>
      <xdr:row>131</xdr:row>
      <xdr:rowOff>84171</xdr:rowOff>
    </xdr:to>
    <xdr:pic>
      <xdr:nvPicPr>
        <xdr:cNvPr id="22" name="Picture 21">
          <a:extLst>
            <a:ext uri="{FF2B5EF4-FFF2-40B4-BE49-F238E27FC236}">
              <a16:creationId xmlns:a16="http://schemas.microsoft.com/office/drawing/2014/main" id="{F1CE75C3-07A9-446B-85D7-0B2BF64E1256}"/>
            </a:ext>
          </a:extLst>
        </xdr:cNvPr>
        <xdr:cNvPicPr>
          <a:picLocks noChangeAspect="1"/>
        </xdr:cNvPicPr>
      </xdr:nvPicPr>
      <xdr:blipFill>
        <a:blip xmlns:r="http://schemas.openxmlformats.org/officeDocument/2006/relationships" r:embed="rId10"/>
        <a:stretch>
          <a:fillRect/>
        </a:stretch>
      </xdr:blipFill>
      <xdr:spPr>
        <a:xfrm>
          <a:off x="361950" y="22307550"/>
          <a:ext cx="7077075" cy="2732121"/>
        </a:xfrm>
        <a:prstGeom prst="rect">
          <a:avLst/>
        </a:prstGeom>
        <a:ln>
          <a:solidFill>
            <a:sysClr val="windowText" lastClr="000000"/>
          </a:solidFill>
        </a:ln>
      </xdr:spPr>
    </xdr:pic>
    <xdr:clientData/>
  </xdr:twoCellAnchor>
  <xdr:twoCellAnchor editAs="oneCell">
    <xdr:from>
      <xdr:col>0</xdr:col>
      <xdr:colOff>333375</xdr:colOff>
      <xdr:row>135</xdr:row>
      <xdr:rowOff>9524</xdr:rowOff>
    </xdr:from>
    <xdr:to>
      <xdr:col>12</xdr:col>
      <xdr:colOff>133350</xdr:colOff>
      <xdr:row>145</xdr:row>
      <xdr:rowOff>110206</xdr:rowOff>
    </xdr:to>
    <xdr:pic>
      <xdr:nvPicPr>
        <xdr:cNvPr id="23" name="Picture 22">
          <a:extLst>
            <a:ext uri="{FF2B5EF4-FFF2-40B4-BE49-F238E27FC236}">
              <a16:creationId xmlns:a16="http://schemas.microsoft.com/office/drawing/2014/main" id="{7304931A-CC29-4FCC-AC5F-57F4E9839D8B}"/>
            </a:ext>
          </a:extLst>
        </xdr:cNvPr>
        <xdr:cNvPicPr>
          <a:picLocks noChangeAspect="1"/>
        </xdr:cNvPicPr>
      </xdr:nvPicPr>
      <xdr:blipFill rotWithShape="1">
        <a:blip xmlns:r="http://schemas.openxmlformats.org/officeDocument/2006/relationships" r:embed="rId11"/>
        <a:srcRect l="255"/>
        <a:stretch/>
      </xdr:blipFill>
      <xdr:spPr>
        <a:xfrm>
          <a:off x="333375" y="25727024"/>
          <a:ext cx="7115175" cy="2005682"/>
        </a:xfrm>
        <a:prstGeom prst="rect">
          <a:avLst/>
        </a:prstGeom>
        <a:ln>
          <a:solidFill>
            <a:sysClr val="windowText" lastClr="000000"/>
          </a:solidFill>
        </a:ln>
      </xdr:spPr>
    </xdr:pic>
    <xdr:clientData/>
  </xdr:twoCellAnchor>
  <xdr:twoCellAnchor editAs="oneCell">
    <xdr:from>
      <xdr:col>0</xdr:col>
      <xdr:colOff>333375</xdr:colOff>
      <xdr:row>148</xdr:row>
      <xdr:rowOff>66675</xdr:rowOff>
    </xdr:from>
    <xdr:to>
      <xdr:col>4</xdr:col>
      <xdr:colOff>504825</xdr:colOff>
      <xdr:row>188</xdr:row>
      <xdr:rowOff>74359</xdr:rowOff>
    </xdr:to>
    <xdr:pic>
      <xdr:nvPicPr>
        <xdr:cNvPr id="10" name="Picture 9">
          <a:extLst>
            <a:ext uri="{FF2B5EF4-FFF2-40B4-BE49-F238E27FC236}">
              <a16:creationId xmlns:a16="http://schemas.microsoft.com/office/drawing/2014/main" id="{FF2C960E-CC09-4BBA-BEBF-44D2B33D5D8E}"/>
            </a:ext>
          </a:extLst>
        </xdr:cNvPr>
        <xdr:cNvPicPr>
          <a:picLocks noChangeAspect="1"/>
        </xdr:cNvPicPr>
      </xdr:nvPicPr>
      <xdr:blipFill rotWithShape="1">
        <a:blip xmlns:r="http://schemas.openxmlformats.org/officeDocument/2006/relationships" r:embed="rId12"/>
        <a:srcRect l="2128" t="466" r="1583" b="827"/>
        <a:stretch/>
      </xdr:blipFill>
      <xdr:spPr>
        <a:xfrm>
          <a:off x="333375" y="28260675"/>
          <a:ext cx="2609850" cy="7627684"/>
        </a:xfrm>
        <a:prstGeom prst="rect">
          <a:avLst/>
        </a:prstGeom>
        <a:ln>
          <a:solidFill>
            <a:sysClr val="windowText" lastClr="000000"/>
          </a:solidFill>
        </a:ln>
      </xdr:spPr>
    </xdr:pic>
    <xdr:clientData/>
  </xdr:twoCellAnchor>
  <xdr:twoCellAnchor editAs="oneCell">
    <xdr:from>
      <xdr:col>7</xdr:col>
      <xdr:colOff>476249</xdr:colOff>
      <xdr:row>148</xdr:row>
      <xdr:rowOff>66674</xdr:rowOff>
    </xdr:from>
    <xdr:to>
      <xdr:col>12</xdr:col>
      <xdr:colOff>25976</xdr:colOff>
      <xdr:row>188</xdr:row>
      <xdr:rowOff>66675</xdr:rowOff>
    </xdr:to>
    <xdr:pic>
      <xdr:nvPicPr>
        <xdr:cNvPr id="20" name="Picture 19">
          <a:extLst>
            <a:ext uri="{FF2B5EF4-FFF2-40B4-BE49-F238E27FC236}">
              <a16:creationId xmlns:a16="http://schemas.microsoft.com/office/drawing/2014/main" id="{59AC10FE-1DBD-4D24-89A6-8E35F983D77E}"/>
            </a:ext>
          </a:extLst>
        </xdr:cNvPr>
        <xdr:cNvPicPr>
          <a:picLocks noChangeAspect="1"/>
        </xdr:cNvPicPr>
      </xdr:nvPicPr>
      <xdr:blipFill rotWithShape="1">
        <a:blip xmlns:r="http://schemas.openxmlformats.org/officeDocument/2006/relationships" r:embed="rId13"/>
        <a:srcRect l="1337" t="468" r="1858"/>
        <a:stretch/>
      </xdr:blipFill>
      <xdr:spPr>
        <a:xfrm>
          <a:off x="4743449" y="28260674"/>
          <a:ext cx="2597727" cy="7620001"/>
        </a:xfrm>
        <a:prstGeom prst="rect">
          <a:avLst/>
        </a:prstGeom>
        <a:ln>
          <a:solidFill>
            <a:sysClr val="windowText" lastClr="000000"/>
          </a:solidFill>
        </a:ln>
      </xdr:spPr>
    </xdr:pic>
    <xdr:clientData/>
  </xdr:twoCellAnchor>
  <xdr:twoCellAnchor>
    <xdr:from>
      <xdr:col>3</xdr:col>
      <xdr:colOff>571500</xdr:colOff>
      <xdr:row>161</xdr:row>
      <xdr:rowOff>114300</xdr:rowOff>
    </xdr:from>
    <xdr:to>
      <xdr:col>6</xdr:col>
      <xdr:colOff>38100</xdr:colOff>
      <xdr:row>167</xdr:row>
      <xdr:rowOff>47625</xdr:rowOff>
    </xdr:to>
    <xdr:cxnSp macro="">
      <xdr:nvCxnSpPr>
        <xdr:cNvPr id="25" name="Straight Arrow Connector 24">
          <a:extLst>
            <a:ext uri="{FF2B5EF4-FFF2-40B4-BE49-F238E27FC236}">
              <a16:creationId xmlns:a16="http://schemas.microsoft.com/office/drawing/2014/main" id="{52DB98BE-1EAB-47B4-95A8-97B772AE75F3}"/>
            </a:ext>
          </a:extLst>
        </xdr:cNvPr>
        <xdr:cNvCxnSpPr/>
      </xdr:nvCxnSpPr>
      <xdr:spPr>
        <a:xfrm flipH="1">
          <a:off x="2400300" y="30784800"/>
          <a:ext cx="1295400" cy="1076325"/>
        </a:xfrm>
        <a:prstGeom prst="straightConnector1">
          <a:avLst/>
        </a:prstGeom>
        <a:ln w="28575">
          <a:solidFill>
            <a:srgbClr val="FF0000"/>
          </a:solidFill>
          <a:tailEnd type="stealth" w="lg" len="lg"/>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95250</xdr:colOff>
      <xdr:row>172</xdr:row>
      <xdr:rowOff>133350</xdr:rowOff>
    </xdr:from>
    <xdr:to>
      <xdr:col>9</xdr:col>
      <xdr:colOff>85725</xdr:colOff>
      <xdr:row>177</xdr:row>
      <xdr:rowOff>161925</xdr:rowOff>
    </xdr:to>
    <xdr:cxnSp macro="">
      <xdr:nvCxnSpPr>
        <xdr:cNvPr id="26" name="Straight Arrow Connector 25">
          <a:extLst>
            <a:ext uri="{FF2B5EF4-FFF2-40B4-BE49-F238E27FC236}">
              <a16:creationId xmlns:a16="http://schemas.microsoft.com/office/drawing/2014/main" id="{5A63EED1-CB74-46C8-9574-625C3C202D54}"/>
            </a:ext>
          </a:extLst>
        </xdr:cNvPr>
        <xdr:cNvCxnSpPr/>
      </xdr:nvCxnSpPr>
      <xdr:spPr>
        <a:xfrm>
          <a:off x="4362450" y="32899350"/>
          <a:ext cx="1209675" cy="981075"/>
        </a:xfrm>
        <a:prstGeom prst="straightConnector1">
          <a:avLst/>
        </a:prstGeom>
        <a:ln w="28575">
          <a:solidFill>
            <a:srgbClr val="FF0000"/>
          </a:solidFill>
          <a:tailEnd type="stealth" w="lg" len="lg"/>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66675</xdr:colOff>
      <xdr:row>0</xdr:row>
      <xdr:rowOff>152400</xdr:rowOff>
    </xdr:from>
    <xdr:to>
      <xdr:col>5</xdr:col>
      <xdr:colOff>21513</xdr:colOff>
      <xdr:row>5</xdr:row>
      <xdr:rowOff>152400</xdr:rowOff>
    </xdr:to>
    <xdr:pic>
      <xdr:nvPicPr>
        <xdr:cNvPr id="27" name="Picture 26">
          <a:extLst>
            <a:ext uri="{FF2B5EF4-FFF2-40B4-BE49-F238E27FC236}">
              <a16:creationId xmlns:a16="http://schemas.microsoft.com/office/drawing/2014/main" id="{911D59E1-545E-4D92-858F-6CCDF2E4BBB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675" y="152400"/>
          <a:ext cx="3002838"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48</xdr:row>
      <xdr:rowOff>123266</xdr:rowOff>
    </xdr:from>
    <xdr:to>
      <xdr:col>17</xdr:col>
      <xdr:colOff>0</xdr:colOff>
      <xdr:row>62</xdr:row>
      <xdr:rowOff>107261</xdr:rowOff>
    </xdr:to>
    <xdr:graphicFrame macro="">
      <xdr:nvGraphicFramePr>
        <xdr:cNvPr id="15" name="Chart 14">
          <a:extLst>
            <a:ext uri="{FF2B5EF4-FFF2-40B4-BE49-F238E27FC236}">
              <a16:creationId xmlns:a16="http://schemas.microsoft.com/office/drawing/2014/main" id="{3E0B83FB-418C-4345-BE88-44569446E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48</xdr:row>
      <xdr:rowOff>56030</xdr:rowOff>
    </xdr:from>
    <xdr:to>
      <xdr:col>10</xdr:col>
      <xdr:colOff>0</xdr:colOff>
      <xdr:row>71</xdr:row>
      <xdr:rowOff>145678</xdr:rowOff>
    </xdr:to>
    <xdr:pic>
      <xdr:nvPicPr>
        <xdr:cNvPr id="4" name="Picture 3">
          <a:extLst>
            <a:ext uri="{FF2B5EF4-FFF2-40B4-BE49-F238E27FC236}">
              <a16:creationId xmlns:a16="http://schemas.microsoft.com/office/drawing/2014/main" id="{0A0EEB33-5E2F-4D9C-BDA7-AEEB78669D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049" b="22480"/>
        <a:stretch/>
      </xdr:blipFill>
      <xdr:spPr>
        <a:xfrm>
          <a:off x="0" y="10343030"/>
          <a:ext cx="7754470" cy="4471147"/>
        </a:xfrm>
        <a:prstGeom prst="rect">
          <a:avLst/>
        </a:prstGeom>
        <a:ln>
          <a:solidFill>
            <a:schemeClr val="tx1"/>
          </a:solidFill>
        </a:ln>
        <a:effectLst>
          <a:innerShdw dist="12700" dir="2700000">
            <a:schemeClr val="tx1"/>
          </a:innerShdw>
        </a:effectLst>
      </xdr:spPr>
    </xdr:pic>
    <xdr:clientData/>
  </xdr:twoCellAnchor>
  <xdr:twoCellAnchor editAs="absolute">
    <xdr:from>
      <xdr:col>25</xdr:col>
      <xdr:colOff>14408</xdr:colOff>
      <xdr:row>1</xdr:row>
      <xdr:rowOff>56029</xdr:rowOff>
    </xdr:from>
    <xdr:to>
      <xdr:col>32</xdr:col>
      <xdr:colOff>533018</xdr:colOff>
      <xdr:row>61</xdr:row>
      <xdr:rowOff>49626</xdr:rowOff>
    </xdr:to>
    <xdr:graphicFrame macro="">
      <xdr:nvGraphicFramePr>
        <xdr:cNvPr id="10" name="Chart 9">
          <a:extLst>
            <a:ext uri="{FF2B5EF4-FFF2-40B4-BE49-F238E27FC236}">
              <a16:creationId xmlns:a16="http://schemas.microsoft.com/office/drawing/2014/main" id="{4D27E294-95CC-45EE-A850-55D2CB991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18</xdr:col>
      <xdr:colOff>30417</xdr:colOff>
      <xdr:row>1</xdr:row>
      <xdr:rowOff>56029</xdr:rowOff>
    </xdr:from>
    <xdr:to>
      <xdr:col>25</xdr:col>
      <xdr:colOff>176</xdr:colOff>
      <xdr:row>61</xdr:row>
      <xdr:rowOff>49626</xdr:rowOff>
    </xdr:to>
    <xdr:graphicFrame macro="">
      <xdr:nvGraphicFramePr>
        <xdr:cNvPr id="13" name="Chart 12">
          <a:extLst>
            <a:ext uri="{FF2B5EF4-FFF2-40B4-BE49-F238E27FC236}">
              <a16:creationId xmlns:a16="http://schemas.microsoft.com/office/drawing/2014/main" id="{154BE591-C20D-4ABE-B235-1F525C839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192099</xdr:colOff>
      <xdr:row>30</xdr:row>
      <xdr:rowOff>40019</xdr:rowOff>
    </xdr:from>
    <xdr:to>
      <xdr:col>16</xdr:col>
      <xdr:colOff>1299881</xdr:colOff>
      <xdr:row>48</xdr:row>
      <xdr:rowOff>100851</xdr:rowOff>
    </xdr:to>
    <xdr:graphicFrame macro="">
      <xdr:nvGraphicFramePr>
        <xdr:cNvPr id="7" name="Chart 6">
          <a:extLst>
            <a:ext uri="{FF2B5EF4-FFF2-40B4-BE49-F238E27FC236}">
              <a16:creationId xmlns:a16="http://schemas.microsoft.com/office/drawing/2014/main" id="{1EEA915F-2976-4228-BF26-9E0805C52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56030</xdr:colOff>
      <xdr:row>2</xdr:row>
      <xdr:rowOff>0</xdr:rowOff>
    </xdr:from>
    <xdr:to>
      <xdr:col>22</xdr:col>
      <xdr:colOff>877197</xdr:colOff>
      <xdr:row>57</xdr:row>
      <xdr:rowOff>166744</xdr:rowOff>
    </xdr:to>
    <xdr:graphicFrame macro="">
      <xdr:nvGraphicFramePr>
        <xdr:cNvPr id="15" name="Chart 14">
          <a:extLst>
            <a:ext uri="{FF2B5EF4-FFF2-40B4-BE49-F238E27FC236}">
              <a16:creationId xmlns:a16="http://schemas.microsoft.com/office/drawing/2014/main" id="{410CB68D-9212-451A-8BF3-35C436121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23</xdr:col>
      <xdr:colOff>1</xdr:colOff>
      <xdr:row>2</xdr:row>
      <xdr:rowOff>0</xdr:rowOff>
    </xdr:from>
    <xdr:to>
      <xdr:col>30</xdr:col>
      <xdr:colOff>484991</xdr:colOff>
      <xdr:row>57</xdr:row>
      <xdr:rowOff>166744</xdr:rowOff>
    </xdr:to>
    <xdr:graphicFrame macro="">
      <xdr:nvGraphicFramePr>
        <xdr:cNvPr id="16" name="Chart 15">
          <a:extLst>
            <a:ext uri="{FF2B5EF4-FFF2-40B4-BE49-F238E27FC236}">
              <a16:creationId xmlns:a16="http://schemas.microsoft.com/office/drawing/2014/main" id="{DEF01D5F-BDDE-4A89-A8C7-0EF185EF2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56</xdr:row>
      <xdr:rowOff>59228</xdr:rowOff>
    </xdr:from>
    <xdr:to>
      <xdr:col>18</xdr:col>
      <xdr:colOff>0</xdr:colOff>
      <xdr:row>69</xdr:row>
      <xdr:rowOff>126464</xdr:rowOff>
    </xdr:to>
    <xdr:graphicFrame macro="">
      <xdr:nvGraphicFramePr>
        <xdr:cNvPr id="6" name="Chart 5">
          <a:extLst>
            <a:ext uri="{FF2B5EF4-FFF2-40B4-BE49-F238E27FC236}">
              <a16:creationId xmlns:a16="http://schemas.microsoft.com/office/drawing/2014/main" id="{8A78F069-8DC1-4B06-9870-AB346B978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38</xdr:row>
      <xdr:rowOff>81639</xdr:rowOff>
    </xdr:from>
    <xdr:to>
      <xdr:col>18</xdr:col>
      <xdr:colOff>4161</xdr:colOff>
      <xdr:row>56</xdr:row>
      <xdr:rowOff>19206</xdr:rowOff>
    </xdr:to>
    <xdr:graphicFrame macro="">
      <xdr:nvGraphicFramePr>
        <xdr:cNvPr id="8" name="Chart 7">
          <a:extLst>
            <a:ext uri="{FF2B5EF4-FFF2-40B4-BE49-F238E27FC236}">
              <a16:creationId xmlns:a16="http://schemas.microsoft.com/office/drawing/2014/main" id="{14742265-FB7B-4833-A8A8-CE1B45ECA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56031</xdr:colOff>
      <xdr:row>0</xdr:row>
      <xdr:rowOff>33617</xdr:rowOff>
    </xdr:from>
    <xdr:to>
      <xdr:col>4</xdr:col>
      <xdr:colOff>2061884</xdr:colOff>
      <xdr:row>2</xdr:row>
      <xdr:rowOff>35835</xdr:rowOff>
    </xdr:to>
    <xdr:pic>
      <xdr:nvPicPr>
        <xdr:cNvPr id="3" name="Picture 2">
          <a:extLst>
            <a:ext uri="{FF2B5EF4-FFF2-40B4-BE49-F238E27FC236}">
              <a16:creationId xmlns:a16="http://schemas.microsoft.com/office/drawing/2014/main" id="{02150B32-5F49-426E-8D26-69357300FC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31" y="33617"/>
          <a:ext cx="2409265" cy="7642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571500</xdr:colOff>
      <xdr:row>12</xdr:row>
      <xdr:rowOff>33617</xdr:rowOff>
    </xdr:from>
    <xdr:to>
      <xdr:col>20</xdr:col>
      <xdr:colOff>986118</xdr:colOff>
      <xdr:row>26</xdr:row>
      <xdr:rowOff>78441</xdr:rowOff>
    </xdr:to>
    <xdr:graphicFrame macro="">
      <xdr:nvGraphicFramePr>
        <xdr:cNvPr id="3" name="Chart 2">
          <a:extLst>
            <a:ext uri="{FF2B5EF4-FFF2-40B4-BE49-F238E27FC236}">
              <a16:creationId xmlns:a16="http://schemas.microsoft.com/office/drawing/2014/main" id="{399EB274-743E-41CE-BB91-4ADCACE4A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13</xdr:row>
      <xdr:rowOff>95249</xdr:rowOff>
    </xdr:from>
    <xdr:to>
      <xdr:col>8</xdr:col>
      <xdr:colOff>152400</xdr:colOff>
      <xdr:row>28</xdr:row>
      <xdr:rowOff>9524</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180975</xdr:colOff>
      <xdr:row>13</xdr:row>
      <xdr:rowOff>95249</xdr:rowOff>
    </xdr:from>
    <xdr:to>
      <xdr:col>8</xdr:col>
      <xdr:colOff>152400</xdr:colOff>
      <xdr:row>28</xdr:row>
      <xdr:rowOff>9524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40</xdr:col>
      <xdr:colOff>452436</xdr:colOff>
      <xdr:row>1</xdr:row>
      <xdr:rowOff>595311</xdr:rowOff>
    </xdr:from>
    <xdr:to>
      <xdr:col>51</xdr:col>
      <xdr:colOff>400049</xdr:colOff>
      <xdr:row>309</xdr:row>
      <xdr:rowOff>0</xdr:rowOff>
    </xdr:to>
    <xdr:graphicFrame macro="">
      <xdr:nvGraphicFramePr>
        <xdr:cNvPr id="5" name="Chart 4">
          <a:extLst>
            <a:ext uri="{FF2B5EF4-FFF2-40B4-BE49-F238E27FC236}">
              <a16:creationId xmlns:a16="http://schemas.microsoft.com/office/drawing/2014/main" id="{BAD83FBF-4F9D-4838-BB86-A466C35DA5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19</xdr:col>
      <xdr:colOff>45944</xdr:colOff>
      <xdr:row>0</xdr:row>
      <xdr:rowOff>187139</xdr:rowOff>
    </xdr:from>
    <xdr:to>
      <xdr:col>25</xdr:col>
      <xdr:colOff>577663</xdr:colOff>
      <xdr:row>334</xdr:row>
      <xdr:rowOff>97492</xdr:rowOff>
    </xdr:to>
    <xdr:graphicFrame macro="">
      <xdr:nvGraphicFramePr>
        <xdr:cNvPr id="3" name="Chart 2">
          <a:extLst>
            <a:ext uri="{FF2B5EF4-FFF2-40B4-BE49-F238E27FC236}">
              <a16:creationId xmlns:a16="http://schemas.microsoft.com/office/drawing/2014/main" id="{D7E1D95E-25ED-4A1A-AEEA-180B3EA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33</xdr:col>
      <xdr:colOff>47625</xdr:colOff>
      <xdr:row>0</xdr:row>
      <xdr:rowOff>188820</xdr:rowOff>
    </xdr:from>
    <xdr:to>
      <xdr:col>39</xdr:col>
      <xdr:colOff>95248</xdr:colOff>
      <xdr:row>334</xdr:row>
      <xdr:rowOff>99173</xdr:rowOff>
    </xdr:to>
    <xdr:graphicFrame macro="">
      <xdr:nvGraphicFramePr>
        <xdr:cNvPr id="6" name="Chart 5">
          <a:extLst>
            <a:ext uri="{FF2B5EF4-FFF2-40B4-BE49-F238E27FC236}">
              <a16:creationId xmlns:a16="http://schemas.microsoft.com/office/drawing/2014/main" id="{84B57D24-F293-4EA4-BE82-50E4A8C5C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26</xdr:col>
      <xdr:colOff>39782</xdr:colOff>
      <xdr:row>1</xdr:row>
      <xdr:rowOff>11206</xdr:rowOff>
    </xdr:from>
    <xdr:to>
      <xdr:col>32</xdr:col>
      <xdr:colOff>577664</xdr:colOff>
      <xdr:row>334</xdr:row>
      <xdr:rowOff>112059</xdr:rowOff>
    </xdr:to>
    <xdr:graphicFrame macro="">
      <xdr:nvGraphicFramePr>
        <xdr:cNvPr id="9" name="Chart 8">
          <a:extLst>
            <a:ext uri="{FF2B5EF4-FFF2-40B4-BE49-F238E27FC236}">
              <a16:creationId xmlns:a16="http://schemas.microsoft.com/office/drawing/2014/main" id="{7C0DD770-7D66-4999-AE0F-D2D04AEA3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rotogenenergy.com/" TargetMode="External"/><Relationship Id="rId1" Type="http://schemas.openxmlformats.org/officeDocument/2006/relationships/hyperlink" Target="mailto:Contact@ProtoGenEnergy.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rotogenenergy.com/" TargetMode="External"/><Relationship Id="rId1" Type="http://schemas.openxmlformats.org/officeDocument/2006/relationships/hyperlink" Target="mailto:Contact@ProtoGenEnergy.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O1:P14"/>
  <sheetViews>
    <sheetView showGridLines="0" workbookViewId="0">
      <selection activeCell="P15" sqref="P15"/>
    </sheetView>
  </sheetViews>
  <sheetFormatPr defaultRowHeight="15" x14ac:dyDescent="0.25"/>
  <cols>
    <col min="16" max="16" width="58.7109375" customWidth="1"/>
  </cols>
  <sheetData>
    <row r="1" spans="15:16" x14ac:dyDescent="0.25">
      <c r="O1" s="312" t="s">
        <v>94</v>
      </c>
      <c r="P1" s="312"/>
    </row>
    <row r="2" spans="15:16" x14ac:dyDescent="0.25">
      <c r="O2" s="243" t="s">
        <v>513</v>
      </c>
      <c r="P2" s="243" t="s">
        <v>512</v>
      </c>
    </row>
    <row r="3" spans="15:16" x14ac:dyDescent="0.25">
      <c r="O3" s="244" t="s">
        <v>223</v>
      </c>
      <c r="P3" s="245" t="s">
        <v>224</v>
      </c>
    </row>
    <row r="4" spans="15:16" x14ac:dyDescent="0.25">
      <c r="O4" s="244" t="s">
        <v>365</v>
      </c>
      <c r="P4" s="245" t="s">
        <v>366</v>
      </c>
    </row>
    <row r="5" spans="15:16" ht="60" x14ac:dyDescent="0.25">
      <c r="O5" s="244" t="s">
        <v>367</v>
      </c>
      <c r="P5" s="245" t="s">
        <v>369</v>
      </c>
    </row>
    <row r="6" spans="15:16" ht="24" x14ac:dyDescent="0.25">
      <c r="O6" s="244" t="s">
        <v>388</v>
      </c>
      <c r="P6" s="245" t="s">
        <v>511</v>
      </c>
    </row>
    <row r="7" spans="15:16" ht="24" x14ac:dyDescent="0.25">
      <c r="O7" s="244" t="s">
        <v>393</v>
      </c>
      <c r="P7" s="245" t="s">
        <v>391</v>
      </c>
    </row>
    <row r="8" spans="15:16" ht="60" x14ac:dyDescent="0.25">
      <c r="O8" s="241" t="s">
        <v>510</v>
      </c>
      <c r="P8" s="242" t="s">
        <v>507</v>
      </c>
    </row>
    <row r="9" spans="15:16" ht="24" x14ac:dyDescent="0.25">
      <c r="O9" s="241"/>
      <c r="P9" s="242" t="s">
        <v>515</v>
      </c>
    </row>
    <row r="10" spans="15:16" ht="60" x14ac:dyDescent="0.25">
      <c r="O10" s="244"/>
      <c r="P10" s="245" t="s">
        <v>492</v>
      </c>
    </row>
    <row r="11" spans="15:16" ht="24" x14ac:dyDescent="0.25">
      <c r="O11" s="241" t="s">
        <v>518</v>
      </c>
      <c r="P11" s="242" t="s">
        <v>519</v>
      </c>
    </row>
    <row r="12" spans="15:16" ht="36" x14ac:dyDescent="0.25">
      <c r="O12" s="241" t="s">
        <v>520</v>
      </c>
      <c r="P12" s="242" t="s">
        <v>521</v>
      </c>
    </row>
    <row r="13" spans="15:16" ht="48" x14ac:dyDescent="0.25">
      <c r="O13" s="241" t="s">
        <v>522</v>
      </c>
      <c r="P13" s="242" t="s">
        <v>524</v>
      </c>
    </row>
    <row r="14" spans="15:16" x14ac:dyDescent="0.25">
      <c r="O14" s="241" t="s">
        <v>535</v>
      </c>
      <c r="P14" s="242" t="s">
        <v>536</v>
      </c>
    </row>
  </sheetData>
  <mergeCells count="1">
    <mergeCell ref="O1:P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G26"/>
  <sheetViews>
    <sheetView zoomScale="85" zoomScaleNormal="85" workbookViewId="0">
      <selection activeCell="D21" sqref="D21"/>
    </sheetView>
  </sheetViews>
  <sheetFormatPr defaultRowHeight="15" x14ac:dyDescent="0.25"/>
  <cols>
    <col min="1" max="1" width="3.28515625" customWidth="1"/>
    <col min="2" max="2" width="17.5703125" bestFit="1" customWidth="1"/>
    <col min="3" max="3" width="12.7109375" bestFit="1" customWidth="1"/>
    <col min="4" max="4" width="15.42578125" bestFit="1" customWidth="1"/>
    <col min="5" max="6" width="15.42578125" customWidth="1"/>
    <col min="7" max="7" width="15.42578125" bestFit="1" customWidth="1"/>
  </cols>
  <sheetData>
    <row r="2" spans="1:7" x14ac:dyDescent="0.25">
      <c r="A2" s="3" t="s">
        <v>122</v>
      </c>
    </row>
    <row r="3" spans="1:7" x14ac:dyDescent="0.25">
      <c r="B3" t="s">
        <v>59</v>
      </c>
      <c r="D3" s="10">
        <f>'PV IN'!O16</f>
        <v>2325000</v>
      </c>
      <c r="E3" s="10"/>
      <c r="F3" s="10"/>
    </row>
    <row r="4" spans="1:7" x14ac:dyDescent="0.25">
      <c r="B4" t="s">
        <v>60</v>
      </c>
      <c r="D4" s="10">
        <f>IF('PV IN'!E4="Residential",0,'PV IN'!O20)</f>
        <v>1976250</v>
      </c>
      <c r="E4" s="10"/>
      <c r="F4" s="10"/>
    </row>
    <row r="6" spans="1:7" ht="45" x14ac:dyDescent="0.25">
      <c r="B6" t="s">
        <v>55</v>
      </c>
      <c r="C6" s="9" t="s">
        <v>56</v>
      </c>
      <c r="D6" s="9" t="s">
        <v>389</v>
      </c>
      <c r="E6" s="9" t="s">
        <v>390</v>
      </c>
      <c r="F6" s="9" t="s">
        <v>234</v>
      </c>
      <c r="G6" s="9" t="s">
        <v>57</v>
      </c>
    </row>
    <row r="7" spans="1:7" x14ac:dyDescent="0.25">
      <c r="B7">
        <v>1</v>
      </c>
      <c r="C7" s="12">
        <f>IF('PV IN'!$D$46="MACRS",0.2,0)</f>
        <v>0.2</v>
      </c>
      <c r="D7" s="1" cm="1">
        <f t="array" ref="D7">IF('PV IN'!$E$4="Residential",0,IF('PV IN'!$D$46="OFF",0,IF('PV IN'!$D$47="YES",INDEX(LkUP!$D$2:$D$38,MATCH('PV IN'!$E$5,LkUP!$A$2:$A$38),0),0)))</f>
        <v>0.4</v>
      </c>
      <c r="E7" s="12">
        <f>MIN(1,SUM(C7:D7))</f>
        <v>0.60000000000000009</v>
      </c>
      <c r="F7" s="11">
        <f t="shared" ref="F7:F12" si="0">$D$4*E7</f>
        <v>1185750.0000000002</v>
      </c>
      <c r="G7" s="11">
        <f>F7*'PV IN'!$E$8</f>
        <v>249007.50000000003</v>
      </c>
    </row>
    <row r="8" spans="1:7" x14ac:dyDescent="0.25">
      <c r="B8">
        <v>2</v>
      </c>
      <c r="C8" s="12">
        <f>IF('PV IN'!$D$46="MACRS",0.32,0)</f>
        <v>0.32</v>
      </c>
      <c r="D8" s="1"/>
      <c r="E8" s="12">
        <f>IF(E7+C8&gt;1,MIN(1-(E7),C8),C8)</f>
        <v>0.32</v>
      </c>
      <c r="F8" s="11">
        <f t="shared" si="0"/>
        <v>632400</v>
      </c>
      <c r="G8" s="11">
        <f>F8*'PV IN'!$E$8</f>
        <v>132804</v>
      </c>
    </row>
    <row r="9" spans="1:7" x14ac:dyDescent="0.25">
      <c r="B9">
        <v>3</v>
      </c>
      <c r="C9" s="12">
        <f>IF('PV IN'!$D$46="MACRS",0.192,0)</f>
        <v>0.192</v>
      </c>
      <c r="D9" s="1"/>
      <c r="E9" s="12">
        <f>IF(E7+E8+C9&gt;1,MIN(1-(E8+E7),C9),C9)</f>
        <v>7.9999999999999849E-2</v>
      </c>
      <c r="F9" s="11">
        <f t="shared" si="0"/>
        <v>158099.99999999971</v>
      </c>
      <c r="G9" s="11">
        <f>F9*'PV IN'!$E$8</f>
        <v>33200.999999999935</v>
      </c>
    </row>
    <row r="10" spans="1:7" x14ac:dyDescent="0.25">
      <c r="B10">
        <v>4</v>
      </c>
      <c r="C10" s="12">
        <f>IF('PV IN'!$D$46="MACRS",0.1152,0)</f>
        <v>0.1152</v>
      </c>
      <c r="D10" s="1"/>
      <c r="E10" s="12">
        <f>IF(E7+E8+E9+C10&gt;1,MIN(1-(E7+E9+E8),C10),C10)</f>
        <v>0</v>
      </c>
      <c r="F10" s="11">
        <f t="shared" si="0"/>
        <v>0</v>
      </c>
      <c r="G10" s="11">
        <f>F10*'PV IN'!$E$8</f>
        <v>0</v>
      </c>
    </row>
    <row r="11" spans="1:7" x14ac:dyDescent="0.25">
      <c r="B11">
        <v>5</v>
      </c>
      <c r="C11" s="12">
        <f>IF('PV IN'!$D$46="MACRS",0.1152,0)</f>
        <v>0.1152</v>
      </c>
      <c r="D11" s="1"/>
      <c r="E11" s="12">
        <f>IF(E7+E8+E9+E10+C11&gt;1,MIN(1-(E7+E8+E9+E10),C11),C11)</f>
        <v>0</v>
      </c>
      <c r="F11" s="11">
        <f t="shared" si="0"/>
        <v>0</v>
      </c>
      <c r="G11" s="11">
        <f>F11*'PV IN'!$E$8</f>
        <v>0</v>
      </c>
    </row>
    <row r="12" spans="1:7" x14ac:dyDescent="0.25">
      <c r="B12">
        <v>6</v>
      </c>
      <c r="C12" s="12">
        <f>IF('PV IN'!$D$46="MACRS",0.0576,0)</f>
        <v>5.7599999999999998E-2</v>
      </c>
      <c r="D12" s="1"/>
      <c r="E12" s="12">
        <f>IF(E7+E8+E9+E10+E11+C12&gt;1,MIN(1-(E7+E8+E9+E10+E11),C12),C12)</f>
        <v>0</v>
      </c>
      <c r="F12" s="11">
        <f t="shared" si="0"/>
        <v>0</v>
      </c>
      <c r="G12" s="11">
        <f>F12*'PV IN'!$E$8</f>
        <v>0</v>
      </c>
    </row>
    <row r="13" spans="1:7" x14ac:dyDescent="0.25">
      <c r="C13" t="s">
        <v>58</v>
      </c>
      <c r="E13" s="85">
        <f>SUM(E7:E12)</f>
        <v>1</v>
      </c>
      <c r="F13" s="11">
        <f t="shared" ref="F13" si="1">SUM(F7:F12)</f>
        <v>1976250</v>
      </c>
      <c r="G13" s="11">
        <f>SUM(G7:G12)</f>
        <v>415012.49999999994</v>
      </c>
    </row>
    <row r="15" spans="1:7" x14ac:dyDescent="0.25">
      <c r="A15" s="3" t="s">
        <v>127</v>
      </c>
    </row>
    <row r="16" spans="1:7" x14ac:dyDescent="0.25">
      <c r="B16" t="s">
        <v>59</v>
      </c>
      <c r="D16" s="10">
        <f>'Batt IN'!O24</f>
        <v>0</v>
      </c>
      <c r="E16" s="10"/>
      <c r="F16" s="10"/>
    </row>
    <row r="17" spans="2:7" x14ac:dyDescent="0.25">
      <c r="B17" t="s">
        <v>60</v>
      </c>
      <c r="D17" s="10">
        <f>IF('Batt IN'!$E$4="Residential",0,'Batt IN'!O28)</f>
        <v>0</v>
      </c>
      <c r="E17" s="10"/>
      <c r="F17" s="10"/>
    </row>
    <row r="19" spans="2:7" ht="45" x14ac:dyDescent="0.25">
      <c r="B19" t="s">
        <v>55</v>
      </c>
      <c r="C19" s="9" t="s">
        <v>56</v>
      </c>
      <c r="D19" s="9" t="s">
        <v>389</v>
      </c>
      <c r="E19" s="9" t="s">
        <v>390</v>
      </c>
      <c r="F19" s="9" t="s">
        <v>234</v>
      </c>
      <c r="G19" s="9" t="s">
        <v>57</v>
      </c>
    </row>
    <row r="20" spans="2:7" x14ac:dyDescent="0.25">
      <c r="B20">
        <v>1</v>
      </c>
      <c r="C20" s="12">
        <f>IF('Batt IN'!$N$7="MACRS",0.2,0)</f>
        <v>0.2</v>
      </c>
      <c r="D20" s="1" cm="1">
        <f t="array" ref="D20">IF('Batt IN'!$E$4="Residential",0,IF('Batt IN'!$N$7="OFF",0,IF('Batt IN'!$N$8="YES",INDEX(LkUP!$D$2:$D$38,MATCH('PV IN'!$E$5,LkUP!$A$2:$A$38),0),0)))</f>
        <v>0.4</v>
      </c>
      <c r="E20" s="12">
        <f>MIN(1,SUM(C20:D20))</f>
        <v>0.60000000000000009</v>
      </c>
      <c r="F20" s="11">
        <f t="shared" ref="F20:F25" si="2">$D$17*E20</f>
        <v>0</v>
      </c>
      <c r="G20" s="11">
        <f>F20*'PV IN'!$E$8</f>
        <v>0</v>
      </c>
    </row>
    <row r="21" spans="2:7" x14ac:dyDescent="0.25">
      <c r="B21">
        <v>2</v>
      </c>
      <c r="C21" s="12">
        <f>IF('Batt IN'!$N$7="MACRS",0.32,0)</f>
        <v>0.32</v>
      </c>
      <c r="D21" s="1"/>
      <c r="E21" s="12">
        <f>IF(E20+C21&gt;1,MIN(1-(E20),C21),C21)</f>
        <v>0.32</v>
      </c>
      <c r="F21" s="11">
        <f t="shared" si="2"/>
        <v>0</v>
      </c>
      <c r="G21" s="11">
        <f>F21*'PV IN'!$E$8</f>
        <v>0</v>
      </c>
    </row>
    <row r="22" spans="2:7" x14ac:dyDescent="0.25">
      <c r="B22">
        <v>3</v>
      </c>
      <c r="C22" s="12">
        <f>IF('Batt IN'!$N$7="MACRS",0.192,0)</f>
        <v>0.192</v>
      </c>
      <c r="D22" s="1"/>
      <c r="E22" s="12">
        <f>IF(E20+E21+C22&gt;1,MIN(1-(E21+E20),C22),C22)</f>
        <v>7.9999999999999849E-2</v>
      </c>
      <c r="F22" s="11">
        <f t="shared" si="2"/>
        <v>0</v>
      </c>
      <c r="G22" s="11">
        <f>F22*'PV IN'!$E$8</f>
        <v>0</v>
      </c>
    </row>
    <row r="23" spans="2:7" x14ac:dyDescent="0.25">
      <c r="B23">
        <v>4</v>
      </c>
      <c r="C23" s="12">
        <f>IF('Batt IN'!$N$7="MACRS",0.1152,0)</f>
        <v>0.1152</v>
      </c>
      <c r="D23" s="1"/>
      <c r="E23" s="12">
        <f>IF(E20+E21+E22+C23&gt;1,MIN(1-(E20+E22+E21),C23),C23)</f>
        <v>0</v>
      </c>
      <c r="F23" s="11">
        <f t="shared" si="2"/>
        <v>0</v>
      </c>
      <c r="G23" s="11">
        <f>F23*'PV IN'!$E$8</f>
        <v>0</v>
      </c>
    </row>
    <row r="24" spans="2:7" x14ac:dyDescent="0.25">
      <c r="B24">
        <v>5</v>
      </c>
      <c r="C24" s="12">
        <f>IF('Batt IN'!$N$7="MACRS",0.1152,0)</f>
        <v>0.1152</v>
      </c>
      <c r="D24" s="1"/>
      <c r="E24" s="12">
        <f>IF(E20+E21+E22+E23+C24&gt;1,MIN(1-(E20+E21+E22+E23),C24),C24)</f>
        <v>0</v>
      </c>
      <c r="F24" s="11">
        <f t="shared" si="2"/>
        <v>0</v>
      </c>
      <c r="G24" s="11">
        <f>F24*'PV IN'!$E$8</f>
        <v>0</v>
      </c>
    </row>
    <row r="25" spans="2:7" x14ac:dyDescent="0.25">
      <c r="B25">
        <v>6</v>
      </c>
      <c r="C25" s="12">
        <f>IF('Batt IN'!$N$7="MACRS",0.0576,0)</f>
        <v>5.7599999999999998E-2</v>
      </c>
      <c r="D25" s="1"/>
      <c r="E25" s="12">
        <f>IF(E20+E21+E22+E23+E24+C25&gt;1,MIN(1-(E20+E21+E22+E23+E24),C25),C25)</f>
        <v>0</v>
      </c>
      <c r="F25" s="11">
        <f t="shared" si="2"/>
        <v>0</v>
      </c>
      <c r="G25" s="11">
        <f>F25*'PV IN'!$E$8</f>
        <v>0</v>
      </c>
    </row>
    <row r="26" spans="2:7" x14ac:dyDescent="0.25">
      <c r="C26" t="s">
        <v>58</v>
      </c>
      <c r="E26" s="85">
        <f>SUM(E20:E25)</f>
        <v>1</v>
      </c>
      <c r="F26" s="11">
        <f>SUM(F20:F25)</f>
        <v>0</v>
      </c>
      <c r="G26" s="11">
        <f>SUM(G20:G25)</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3:O512"/>
  <sheetViews>
    <sheetView zoomScale="85" zoomScaleNormal="85" workbookViewId="0"/>
  </sheetViews>
  <sheetFormatPr defaultRowHeight="15" x14ac:dyDescent="0.25"/>
  <cols>
    <col min="3" max="3" width="11.5703125" bestFit="1" customWidth="1"/>
    <col min="4" max="5" width="14.28515625" bestFit="1" customWidth="1"/>
    <col min="6" max="6" width="16.140625" bestFit="1" customWidth="1"/>
    <col min="7" max="10" width="14.28515625" bestFit="1" customWidth="1"/>
    <col min="11" max="11" width="15" bestFit="1" customWidth="1"/>
    <col min="12" max="12" width="14.28515625" bestFit="1" customWidth="1"/>
    <col min="13" max="13" width="15" bestFit="1" customWidth="1"/>
    <col min="14" max="14" width="2.85546875" customWidth="1"/>
    <col min="15" max="15" width="11.5703125" bestFit="1" customWidth="1"/>
  </cols>
  <sheetData>
    <row r="3" spans="2:6" x14ac:dyDescent="0.25">
      <c r="B3" t="s">
        <v>26</v>
      </c>
      <c r="E3" s="10">
        <f>'PV IN'!O6</f>
        <v>0</v>
      </c>
    </row>
    <row r="4" spans="2:6" x14ac:dyDescent="0.25">
      <c r="B4" t="s">
        <v>61</v>
      </c>
      <c r="E4">
        <v>12</v>
      </c>
    </row>
    <row r="5" spans="2:6" x14ac:dyDescent="0.25">
      <c r="B5" t="s">
        <v>17</v>
      </c>
      <c r="E5" s="12">
        <f>'PV IN'!O7</f>
        <v>4.4999999999999998E-2</v>
      </c>
    </row>
    <row r="6" spans="2:6" x14ac:dyDescent="0.25">
      <c r="B6" t="s">
        <v>18</v>
      </c>
      <c r="E6">
        <f>'PV IN'!O8</f>
        <v>20</v>
      </c>
    </row>
    <row r="8" spans="2:6" x14ac:dyDescent="0.25">
      <c r="B8" t="s">
        <v>62</v>
      </c>
      <c r="E8" s="13">
        <f>(1+(E5/E4))^(12/E4)-1</f>
        <v>3.7499999999999201E-3</v>
      </c>
      <c r="F8" s="14" t="s">
        <v>68</v>
      </c>
    </row>
    <row r="9" spans="2:6" x14ac:dyDescent="0.25">
      <c r="B9" t="s">
        <v>63</v>
      </c>
      <c r="E9">
        <f>E6*E4</f>
        <v>240</v>
      </c>
      <c r="F9" t="s">
        <v>69</v>
      </c>
    </row>
    <row r="10" spans="2:6" x14ac:dyDescent="0.25">
      <c r="B10" t="s">
        <v>64</v>
      </c>
      <c r="E10">
        <f>(1-(1/(1+E8))^E9)/E8</f>
        <v>158.06543681034532</v>
      </c>
    </row>
    <row r="11" spans="2:6" x14ac:dyDescent="0.25">
      <c r="B11" t="s">
        <v>65</v>
      </c>
      <c r="E11" s="10">
        <f>E3/E10</f>
        <v>0</v>
      </c>
    </row>
    <row r="12" spans="2:6" x14ac:dyDescent="0.25">
      <c r="B12" t="s">
        <v>66</v>
      </c>
    </row>
    <row r="13" spans="2:6" x14ac:dyDescent="0.25">
      <c r="B13" t="s">
        <v>67</v>
      </c>
    </row>
    <row r="29" spans="1:15" x14ac:dyDescent="0.25">
      <c r="M29" s="10"/>
    </row>
    <row r="30" spans="1:15" x14ac:dyDescent="0.25">
      <c r="M30" s="10"/>
    </row>
    <row r="31" spans="1:15" ht="45" x14ac:dyDescent="0.25">
      <c r="A31" s="9" t="s">
        <v>70</v>
      </c>
      <c r="B31" s="9" t="s">
        <v>71</v>
      </c>
      <c r="C31" s="15" t="s">
        <v>72</v>
      </c>
      <c r="D31" s="15" t="s">
        <v>73</v>
      </c>
      <c r="E31" s="15" t="s">
        <v>81</v>
      </c>
      <c r="F31" s="9" t="s">
        <v>74</v>
      </c>
      <c r="G31" s="9" t="s">
        <v>75</v>
      </c>
      <c r="H31" s="9" t="s">
        <v>76</v>
      </c>
      <c r="I31" s="9" t="s">
        <v>77</v>
      </c>
      <c r="J31" s="9" t="s">
        <v>78</v>
      </c>
      <c r="K31" s="9" t="s">
        <v>80</v>
      </c>
      <c r="L31" s="9" t="s">
        <v>79</v>
      </c>
      <c r="M31" s="9" t="s">
        <v>83</v>
      </c>
      <c r="O31" s="9" t="s">
        <v>87</v>
      </c>
    </row>
    <row r="32" spans="1:15" x14ac:dyDescent="0.25">
      <c r="B32">
        <v>0</v>
      </c>
      <c r="J32" s="10">
        <f>E3</f>
        <v>0</v>
      </c>
    </row>
    <row r="33" spans="1:15" x14ac:dyDescent="0.25">
      <c r="B33">
        <f>IF(B32&gt;=$E$9,NA(),B32+1)</f>
        <v>1</v>
      </c>
      <c r="C33" s="2">
        <f>IF(ISERROR(B33),"0",IF(J32=0,0,$E$11))</f>
        <v>0</v>
      </c>
      <c r="E33" s="10">
        <f>C33+D33</f>
        <v>0</v>
      </c>
      <c r="F33" s="2">
        <f>IF(ISERROR(B33),0,$E$8*J32)</f>
        <v>0</v>
      </c>
      <c r="G33" s="2">
        <f>IF(ISERROR(B33),"-",IF(J32=0,0,SUM($F$33:F33)))</f>
        <v>0</v>
      </c>
      <c r="H33" s="2">
        <f>IF(ISERROR($B33),0,IF(J32=0,0,E33-F33))</f>
        <v>0</v>
      </c>
      <c r="I33" s="2">
        <f>IF(ISERROR($B33),"-",IF(J32=0,0,SUM($H$33:H33)))</f>
        <v>0</v>
      </c>
      <c r="J33" s="2">
        <f>IF(ISERROR($B33),"-",IF(J32-H33&lt;0,0,J32-H33))</f>
        <v>0</v>
      </c>
      <c r="K33" s="2">
        <f>IF(ISERROR(B33),"-",J32-H33)</f>
        <v>0</v>
      </c>
      <c r="L33" s="2">
        <f>IF(K33&gt;=0,E33,E33+K33)</f>
        <v>0</v>
      </c>
      <c r="M33" s="2">
        <f>-IF(K33&lt;0,K33,0)</f>
        <v>0</v>
      </c>
      <c r="O33" s="2">
        <f>IF('PV IN'!$N$10="Yes",PVLoan!F33*'PV IN'!$E$8,0)</f>
        <v>0</v>
      </c>
    </row>
    <row r="34" spans="1:15" x14ac:dyDescent="0.25">
      <c r="B34">
        <f t="shared" ref="B34:B97" si="0">IF(B33&gt;=$E$9,NA(),B33+1)</f>
        <v>2</v>
      </c>
      <c r="C34" s="2">
        <f t="shared" ref="C34:C97" si="1">IF(ISERROR(B34),"0",IF(J33=0,0,$E$11))</f>
        <v>0</v>
      </c>
      <c r="E34" s="10">
        <f t="shared" ref="E34:E97" si="2">C34+D34</f>
        <v>0</v>
      </c>
      <c r="F34" s="2">
        <f t="shared" ref="F34:F97" si="3">IF(ISERROR(B34),0,$E$8*J33)</f>
        <v>0</v>
      </c>
      <c r="G34" s="2">
        <f>IF(ISERROR(B34),"-",IF(J33=0,0,SUM($F$33:F34)))</f>
        <v>0</v>
      </c>
      <c r="H34" s="2">
        <f t="shared" ref="H34:H97" si="4">IF(ISERROR($B34),0,IF(J33=0,0,E34-F34))</f>
        <v>0</v>
      </c>
      <c r="I34" s="2">
        <f>IF(ISERROR($B34),"-",IF(J33=0,0,SUM($H$33:H34)))</f>
        <v>0</v>
      </c>
      <c r="J34" s="2">
        <f t="shared" ref="J34:J97" si="5">IF(ISERROR($B34),"-",IF(J33-H34&lt;0,0,J33-H34))</f>
        <v>0</v>
      </c>
      <c r="K34" s="2">
        <f t="shared" ref="K34:K97" si="6">IF(ISERROR(B34),"-",J33-H34)</f>
        <v>0</v>
      </c>
      <c r="L34" s="2">
        <f t="shared" ref="L34:L97" si="7">IF(K34&gt;=0,E34,E34+K34)</f>
        <v>0</v>
      </c>
      <c r="M34" s="2">
        <f t="shared" ref="M34:M97" si="8">-IF(K34&lt;0,K34,0)</f>
        <v>0</v>
      </c>
      <c r="O34" s="2">
        <f>IF('PV IN'!$N$10="Yes",PVLoan!F34*'PV IN'!$E$8,0)</f>
        <v>0</v>
      </c>
    </row>
    <row r="35" spans="1:15" x14ac:dyDescent="0.25">
      <c r="B35">
        <f t="shared" si="0"/>
        <v>3</v>
      </c>
      <c r="C35" s="2">
        <f t="shared" si="1"/>
        <v>0</v>
      </c>
      <c r="E35" s="10">
        <f t="shared" si="2"/>
        <v>0</v>
      </c>
      <c r="F35" s="2">
        <f t="shared" si="3"/>
        <v>0</v>
      </c>
      <c r="G35" s="2">
        <f>IF(ISERROR(B35),"-",IF(J34=0,0,SUM($F$33:F35)))</f>
        <v>0</v>
      </c>
      <c r="H35" s="2">
        <f t="shared" si="4"/>
        <v>0</v>
      </c>
      <c r="I35" s="2">
        <f>IF(ISERROR($B35),"-",IF(J34=0,0,SUM($H$33:H35)))</f>
        <v>0</v>
      </c>
      <c r="J35" s="2">
        <f t="shared" si="5"/>
        <v>0</v>
      </c>
      <c r="K35" s="2">
        <f t="shared" si="6"/>
        <v>0</v>
      </c>
      <c r="L35" s="2">
        <f t="shared" si="7"/>
        <v>0</v>
      </c>
      <c r="M35" s="2">
        <f t="shared" si="8"/>
        <v>0</v>
      </c>
      <c r="O35" s="2">
        <f>IF('PV IN'!$N$10="Yes",PVLoan!F35*'PV IN'!$E$8,0)</f>
        <v>0</v>
      </c>
    </row>
    <row r="36" spans="1:15" x14ac:dyDescent="0.25">
      <c r="B36">
        <f t="shared" si="0"/>
        <v>4</v>
      </c>
      <c r="C36" s="2">
        <f t="shared" si="1"/>
        <v>0</v>
      </c>
      <c r="E36" s="10">
        <f t="shared" si="2"/>
        <v>0</v>
      </c>
      <c r="F36" s="2">
        <f t="shared" si="3"/>
        <v>0</v>
      </c>
      <c r="G36" s="2">
        <f>IF(ISERROR(B36),"-",IF(J35=0,0,SUM($F$33:F36)))</f>
        <v>0</v>
      </c>
      <c r="H36" s="2">
        <f t="shared" si="4"/>
        <v>0</v>
      </c>
      <c r="I36" s="2">
        <f>IF(ISERROR($B36),"-",IF(J35=0,0,SUM($H$33:H36)))</f>
        <v>0</v>
      </c>
      <c r="J36" s="2">
        <f t="shared" si="5"/>
        <v>0</v>
      </c>
      <c r="K36" s="2">
        <f t="shared" si="6"/>
        <v>0</v>
      </c>
      <c r="L36" s="2">
        <f t="shared" si="7"/>
        <v>0</v>
      </c>
      <c r="M36" s="2">
        <f t="shared" si="8"/>
        <v>0</v>
      </c>
      <c r="O36" s="2">
        <f>IF('PV IN'!$N$10="Yes",PVLoan!F36*'PV IN'!$E$8,0)</f>
        <v>0</v>
      </c>
    </row>
    <row r="37" spans="1:15" x14ac:dyDescent="0.25">
      <c r="B37">
        <f t="shared" si="0"/>
        <v>5</v>
      </c>
      <c r="C37" s="2">
        <f t="shared" si="1"/>
        <v>0</v>
      </c>
      <c r="E37" s="10">
        <f t="shared" si="2"/>
        <v>0</v>
      </c>
      <c r="F37" s="2">
        <f t="shared" si="3"/>
        <v>0</v>
      </c>
      <c r="G37" s="2">
        <f>IF(ISERROR(B37),"-",IF(J36=0,0,SUM($F$33:F37)))</f>
        <v>0</v>
      </c>
      <c r="H37" s="2">
        <f t="shared" si="4"/>
        <v>0</v>
      </c>
      <c r="I37" s="2">
        <f>IF(ISERROR($B37),"-",IF(J36=0,0,SUM($H$33:H37)))</f>
        <v>0</v>
      </c>
      <c r="J37" s="2">
        <f t="shared" si="5"/>
        <v>0</v>
      </c>
      <c r="K37" s="2">
        <f t="shared" si="6"/>
        <v>0</v>
      </c>
      <c r="L37" s="2">
        <f t="shared" si="7"/>
        <v>0</v>
      </c>
      <c r="M37" s="2">
        <f t="shared" si="8"/>
        <v>0</v>
      </c>
      <c r="O37" s="2">
        <f>IF('PV IN'!$N$10="Yes",PVLoan!F37*'PV IN'!$E$8,0)</f>
        <v>0</v>
      </c>
    </row>
    <row r="38" spans="1:15" x14ac:dyDescent="0.25">
      <c r="B38">
        <f t="shared" si="0"/>
        <v>6</v>
      </c>
      <c r="C38" s="2">
        <f t="shared" si="1"/>
        <v>0</v>
      </c>
      <c r="E38" s="10">
        <f t="shared" si="2"/>
        <v>0</v>
      </c>
      <c r="F38" s="2">
        <f t="shared" si="3"/>
        <v>0</v>
      </c>
      <c r="G38" s="2">
        <f>IF(ISERROR(B38),"-",IF(J37=0,0,SUM($F$33:F38)))</f>
        <v>0</v>
      </c>
      <c r="H38" s="2">
        <f t="shared" si="4"/>
        <v>0</v>
      </c>
      <c r="I38" s="2">
        <f>IF(ISERROR($B38),"-",IF(J37=0,0,SUM($H$33:H38)))</f>
        <v>0</v>
      </c>
      <c r="J38" s="2">
        <f t="shared" si="5"/>
        <v>0</v>
      </c>
      <c r="K38" s="2">
        <f t="shared" si="6"/>
        <v>0</v>
      </c>
      <c r="L38" s="2">
        <f t="shared" si="7"/>
        <v>0</v>
      </c>
      <c r="M38" s="2">
        <f t="shared" si="8"/>
        <v>0</v>
      </c>
      <c r="O38" s="2">
        <f>IF('PV IN'!$N$10="Yes",PVLoan!F38*'PV IN'!$E$8,0)</f>
        <v>0</v>
      </c>
    </row>
    <row r="39" spans="1:15" x14ac:dyDescent="0.25">
      <c r="B39">
        <f t="shared" si="0"/>
        <v>7</v>
      </c>
      <c r="C39" s="2">
        <f t="shared" si="1"/>
        <v>0</v>
      </c>
      <c r="E39" s="10">
        <f t="shared" si="2"/>
        <v>0</v>
      </c>
      <c r="F39" s="2">
        <f t="shared" si="3"/>
        <v>0</v>
      </c>
      <c r="G39" s="2">
        <f>IF(ISERROR(B39),"-",IF(J38=0,0,SUM($F$33:F39)))</f>
        <v>0</v>
      </c>
      <c r="H39" s="2">
        <f t="shared" si="4"/>
        <v>0</v>
      </c>
      <c r="I39" s="2">
        <f>IF(ISERROR($B39),"-",IF(J38=0,0,SUM($H$33:H39)))</f>
        <v>0</v>
      </c>
      <c r="J39" s="2">
        <f t="shared" si="5"/>
        <v>0</v>
      </c>
      <c r="K39" s="2">
        <f t="shared" si="6"/>
        <v>0</v>
      </c>
      <c r="L39" s="2">
        <f t="shared" si="7"/>
        <v>0</v>
      </c>
      <c r="M39" s="2">
        <f t="shared" si="8"/>
        <v>0</v>
      </c>
      <c r="O39" s="2">
        <f>IF('PV IN'!$N$10="Yes",PVLoan!F39*'PV IN'!$E$8,0)</f>
        <v>0</v>
      </c>
    </row>
    <row r="40" spans="1:15" x14ac:dyDescent="0.25">
      <c r="B40">
        <f t="shared" si="0"/>
        <v>8</v>
      </c>
      <c r="C40" s="2">
        <f t="shared" si="1"/>
        <v>0</v>
      </c>
      <c r="E40" s="10">
        <f t="shared" si="2"/>
        <v>0</v>
      </c>
      <c r="F40" s="2">
        <f t="shared" si="3"/>
        <v>0</v>
      </c>
      <c r="G40" s="2">
        <f>IF(ISERROR(B40),"-",IF(J39=0,0,SUM($F$33:F40)))</f>
        <v>0</v>
      </c>
      <c r="H40" s="2">
        <f t="shared" si="4"/>
        <v>0</v>
      </c>
      <c r="I40" s="2">
        <f>IF(ISERROR($B40),"-",IF(J39=0,0,SUM($H$33:H40)))</f>
        <v>0</v>
      </c>
      <c r="J40" s="2">
        <f t="shared" si="5"/>
        <v>0</v>
      </c>
      <c r="K40" s="2">
        <f t="shared" si="6"/>
        <v>0</v>
      </c>
      <c r="L40" s="2">
        <f t="shared" si="7"/>
        <v>0</v>
      </c>
      <c r="M40" s="2">
        <f t="shared" si="8"/>
        <v>0</v>
      </c>
      <c r="O40" s="2">
        <f>IF('PV IN'!$N$10="Yes",PVLoan!F40*'PV IN'!$E$8,0)</f>
        <v>0</v>
      </c>
    </row>
    <row r="41" spans="1:15" x14ac:dyDescent="0.25">
      <c r="B41">
        <f t="shared" si="0"/>
        <v>9</v>
      </c>
      <c r="C41" s="2">
        <f t="shared" si="1"/>
        <v>0</v>
      </c>
      <c r="E41" s="10">
        <f t="shared" si="2"/>
        <v>0</v>
      </c>
      <c r="F41" s="2">
        <f t="shared" si="3"/>
        <v>0</v>
      </c>
      <c r="G41" s="2">
        <f>IF(ISERROR(B41),"-",IF(J40=0,0,SUM($F$33:F41)))</f>
        <v>0</v>
      </c>
      <c r="H41" s="2">
        <f t="shared" si="4"/>
        <v>0</v>
      </c>
      <c r="I41" s="2">
        <f>IF(ISERROR($B41),"-",IF(J40=0,0,SUM($H$33:H41)))</f>
        <v>0</v>
      </c>
      <c r="J41" s="2">
        <f t="shared" si="5"/>
        <v>0</v>
      </c>
      <c r="K41" s="2">
        <f t="shared" si="6"/>
        <v>0</v>
      </c>
      <c r="L41" s="2">
        <f t="shared" si="7"/>
        <v>0</v>
      </c>
      <c r="M41" s="2">
        <f t="shared" si="8"/>
        <v>0</v>
      </c>
      <c r="O41" s="2">
        <f>IF('PV IN'!$N$10="Yes",PVLoan!F41*'PV IN'!$E$8,0)</f>
        <v>0</v>
      </c>
    </row>
    <row r="42" spans="1:15" x14ac:dyDescent="0.25">
      <c r="B42">
        <f t="shared" si="0"/>
        <v>10</v>
      </c>
      <c r="C42" s="2">
        <f t="shared" si="1"/>
        <v>0</v>
      </c>
      <c r="E42" s="10">
        <f t="shared" si="2"/>
        <v>0</v>
      </c>
      <c r="F42" s="2">
        <f t="shared" si="3"/>
        <v>0</v>
      </c>
      <c r="G42" s="2">
        <f>IF(ISERROR(B42),"-",IF(J41=0,0,SUM($F$33:F42)))</f>
        <v>0</v>
      </c>
      <c r="H42" s="2">
        <f t="shared" si="4"/>
        <v>0</v>
      </c>
      <c r="I42" s="2">
        <f>IF(ISERROR($B42),"-",IF(J41=0,0,SUM($H$33:H42)))</f>
        <v>0</v>
      </c>
      <c r="J42" s="2">
        <f t="shared" si="5"/>
        <v>0</v>
      </c>
      <c r="K42" s="2">
        <f t="shared" si="6"/>
        <v>0</v>
      </c>
      <c r="L42" s="2">
        <f t="shared" si="7"/>
        <v>0</v>
      </c>
      <c r="M42" s="2">
        <f t="shared" si="8"/>
        <v>0</v>
      </c>
      <c r="O42" s="2">
        <f>IF('PV IN'!$N$10="Yes",PVLoan!F42*'PV IN'!$E$8,0)</f>
        <v>0</v>
      </c>
    </row>
    <row r="43" spans="1:15" x14ac:dyDescent="0.25">
      <c r="B43">
        <f t="shared" si="0"/>
        <v>11</v>
      </c>
      <c r="C43" s="2">
        <f t="shared" si="1"/>
        <v>0</v>
      </c>
      <c r="E43" s="10">
        <f t="shared" si="2"/>
        <v>0</v>
      </c>
      <c r="F43" s="2">
        <f t="shared" si="3"/>
        <v>0</v>
      </c>
      <c r="G43" s="2">
        <f>IF(ISERROR(B43),"-",IF(J42=0,0,SUM($F$33:F43)))</f>
        <v>0</v>
      </c>
      <c r="H43" s="2">
        <f t="shared" si="4"/>
        <v>0</v>
      </c>
      <c r="I43" s="2">
        <f>IF(ISERROR($B43),"-",IF(J42=0,0,SUM($H$33:H43)))</f>
        <v>0</v>
      </c>
      <c r="J43" s="2">
        <f t="shared" si="5"/>
        <v>0</v>
      </c>
      <c r="K43" s="2">
        <f t="shared" si="6"/>
        <v>0</v>
      </c>
      <c r="L43" s="2">
        <f t="shared" si="7"/>
        <v>0</v>
      </c>
      <c r="M43" s="2">
        <f t="shared" si="8"/>
        <v>0</v>
      </c>
      <c r="O43" s="2">
        <f>IF('PV IN'!$N$10="Yes",PVLoan!F43*'PV IN'!$E$8,0)</f>
        <v>0</v>
      </c>
    </row>
    <row r="44" spans="1:15" x14ac:dyDescent="0.25">
      <c r="A44">
        <v>1</v>
      </c>
      <c r="B44">
        <f t="shared" si="0"/>
        <v>12</v>
      </c>
      <c r="C44" s="2">
        <f t="shared" si="1"/>
        <v>0</v>
      </c>
      <c r="D44" s="2">
        <f>IF('PV IN'!$O$4=0,0,IF('PV IN'!$N$11="YES",'PV IN'!$F$40+'PV IN'!$F$41,0))</f>
        <v>0</v>
      </c>
      <c r="E44" s="10">
        <f>C44+D44</f>
        <v>0</v>
      </c>
      <c r="F44" s="2">
        <f t="shared" si="3"/>
        <v>0</v>
      </c>
      <c r="G44" s="2">
        <f>IF(ISERROR(B44),"-",IF(J43=0,0,SUM($F$33:F44)))</f>
        <v>0</v>
      </c>
      <c r="H44" s="2">
        <f t="shared" si="4"/>
        <v>0</v>
      </c>
      <c r="I44" s="2">
        <f>IF(ISERROR($B44),"-",IF(J43=0,0,SUM($H$33:H44)))</f>
        <v>0</v>
      </c>
      <c r="J44" s="2">
        <f t="shared" si="5"/>
        <v>0</v>
      </c>
      <c r="K44" s="2">
        <f t="shared" si="6"/>
        <v>0</v>
      </c>
      <c r="L44" s="2">
        <f t="shared" si="7"/>
        <v>0</v>
      </c>
      <c r="M44" s="2">
        <f t="shared" si="8"/>
        <v>0</v>
      </c>
      <c r="O44" s="2">
        <f>IF('PV IN'!$N$10="Yes",PVLoan!F44*'PV IN'!$E$8,0)</f>
        <v>0</v>
      </c>
    </row>
    <row r="45" spans="1:15" x14ac:dyDescent="0.25">
      <c r="B45">
        <f t="shared" si="0"/>
        <v>13</v>
      </c>
      <c r="C45" s="2">
        <f t="shared" si="1"/>
        <v>0</v>
      </c>
      <c r="D45" s="2"/>
      <c r="E45" s="10">
        <f>C45+D45</f>
        <v>0</v>
      </c>
      <c r="F45" s="2">
        <f t="shared" si="3"/>
        <v>0</v>
      </c>
      <c r="G45" s="2">
        <f>IF(ISERROR(B45),"-",IF(J44=0,0,SUM($F$33:F45)))</f>
        <v>0</v>
      </c>
      <c r="H45" s="2">
        <f t="shared" si="4"/>
        <v>0</v>
      </c>
      <c r="I45" s="2">
        <f>IF(ISERROR($B45),"-",IF(J44=0,0,SUM($H$33:H45)))</f>
        <v>0</v>
      </c>
      <c r="J45" s="2">
        <f t="shared" si="5"/>
        <v>0</v>
      </c>
      <c r="K45" s="2">
        <f t="shared" si="6"/>
        <v>0</v>
      </c>
      <c r="L45" s="2">
        <f t="shared" si="7"/>
        <v>0</v>
      </c>
      <c r="M45" s="2">
        <f t="shared" si="8"/>
        <v>0</v>
      </c>
      <c r="O45" s="2">
        <f>IF('PV IN'!$N$10="Yes",PVLoan!F45*'PV IN'!$E$8,0)</f>
        <v>0</v>
      </c>
    </row>
    <row r="46" spans="1:15" x14ac:dyDescent="0.25">
      <c r="B46">
        <f t="shared" si="0"/>
        <v>14</v>
      </c>
      <c r="C46" s="2">
        <f t="shared" si="1"/>
        <v>0</v>
      </c>
      <c r="E46" s="10">
        <f t="shared" si="2"/>
        <v>0</v>
      </c>
      <c r="F46" s="2">
        <f t="shared" si="3"/>
        <v>0</v>
      </c>
      <c r="G46" s="2">
        <f>IF(ISERROR(B46),"-",IF(J45=0,0,SUM($F$33:F46)))</f>
        <v>0</v>
      </c>
      <c r="H46" s="2">
        <f t="shared" si="4"/>
        <v>0</v>
      </c>
      <c r="I46" s="2">
        <f>IF(ISERROR($B46),"-",IF(J45=0,0,SUM($H$33:H46)))</f>
        <v>0</v>
      </c>
      <c r="J46" s="2">
        <f t="shared" si="5"/>
        <v>0</v>
      </c>
      <c r="K46" s="2">
        <f t="shared" si="6"/>
        <v>0</v>
      </c>
      <c r="L46" s="2">
        <f t="shared" si="7"/>
        <v>0</v>
      </c>
      <c r="M46" s="2">
        <f t="shared" si="8"/>
        <v>0</v>
      </c>
      <c r="O46" s="2">
        <f>IF('PV IN'!$N$10="Yes",PVLoan!F46*'PV IN'!$E$8,0)</f>
        <v>0</v>
      </c>
    </row>
    <row r="47" spans="1:15" x14ac:dyDescent="0.25">
      <c r="B47">
        <f t="shared" si="0"/>
        <v>15</v>
      </c>
      <c r="C47" s="2">
        <f t="shared" si="1"/>
        <v>0</v>
      </c>
      <c r="E47" s="10">
        <f t="shared" si="2"/>
        <v>0</v>
      </c>
      <c r="F47" s="2">
        <f t="shared" si="3"/>
        <v>0</v>
      </c>
      <c r="G47" s="2">
        <f>IF(ISERROR(B47),"-",IF(J46=0,0,SUM($F$33:F47)))</f>
        <v>0</v>
      </c>
      <c r="H47" s="2">
        <f t="shared" si="4"/>
        <v>0</v>
      </c>
      <c r="I47" s="2">
        <f>IF(ISERROR($B47),"-",IF(J46=0,0,SUM($H$33:H47)))</f>
        <v>0</v>
      </c>
      <c r="J47" s="2">
        <f t="shared" si="5"/>
        <v>0</v>
      </c>
      <c r="K47" s="2">
        <f t="shared" si="6"/>
        <v>0</v>
      </c>
      <c r="L47" s="2">
        <f t="shared" si="7"/>
        <v>0</v>
      </c>
      <c r="M47" s="2">
        <f t="shared" si="8"/>
        <v>0</v>
      </c>
      <c r="O47" s="2">
        <f>IF('PV IN'!$N$10="Yes",PVLoan!F47*'PV IN'!$E$8,0)</f>
        <v>0</v>
      </c>
    </row>
    <row r="48" spans="1:15" x14ac:dyDescent="0.25">
      <c r="B48">
        <f t="shared" si="0"/>
        <v>16</v>
      </c>
      <c r="C48" s="2">
        <f t="shared" si="1"/>
        <v>0</v>
      </c>
      <c r="E48" s="10">
        <f t="shared" si="2"/>
        <v>0</v>
      </c>
      <c r="F48" s="2">
        <f t="shared" si="3"/>
        <v>0</v>
      </c>
      <c r="G48" s="2">
        <f>IF(ISERROR(B48),"-",IF(J47=0,0,SUM($F$33:F48)))</f>
        <v>0</v>
      </c>
      <c r="H48" s="2">
        <f t="shared" si="4"/>
        <v>0</v>
      </c>
      <c r="I48" s="2">
        <f>IF(ISERROR($B48),"-",IF(J47=0,0,SUM($H$33:H48)))</f>
        <v>0</v>
      </c>
      <c r="J48" s="2">
        <f t="shared" si="5"/>
        <v>0</v>
      </c>
      <c r="K48" s="2">
        <f t="shared" si="6"/>
        <v>0</v>
      </c>
      <c r="L48" s="2">
        <f t="shared" si="7"/>
        <v>0</v>
      </c>
      <c r="M48" s="2">
        <f t="shared" si="8"/>
        <v>0</v>
      </c>
      <c r="O48" s="2">
        <f>IF('PV IN'!$N$10="Yes",PVLoan!F48*'PV IN'!$E$8,0)</f>
        <v>0</v>
      </c>
    </row>
    <row r="49" spans="1:15" x14ac:dyDescent="0.25">
      <c r="B49">
        <f t="shared" si="0"/>
        <v>17</v>
      </c>
      <c r="C49" s="2">
        <f t="shared" si="1"/>
        <v>0</v>
      </c>
      <c r="E49" s="10">
        <f t="shared" si="2"/>
        <v>0</v>
      </c>
      <c r="F49" s="2">
        <f t="shared" si="3"/>
        <v>0</v>
      </c>
      <c r="G49" s="2">
        <f>IF(ISERROR(B49),"-",IF(J48=0,0,SUM($F$33:F49)))</f>
        <v>0</v>
      </c>
      <c r="H49" s="2">
        <f t="shared" si="4"/>
        <v>0</v>
      </c>
      <c r="I49" s="2">
        <f>IF(ISERROR($B49),"-",IF(J48=0,0,SUM($H$33:H49)))</f>
        <v>0</v>
      </c>
      <c r="J49" s="2">
        <f t="shared" si="5"/>
        <v>0</v>
      </c>
      <c r="K49" s="2">
        <f t="shared" si="6"/>
        <v>0</v>
      </c>
      <c r="L49" s="2">
        <f t="shared" si="7"/>
        <v>0</v>
      </c>
      <c r="M49" s="2">
        <f t="shared" si="8"/>
        <v>0</v>
      </c>
      <c r="O49" s="2">
        <f>IF('PV IN'!$N$10="Yes",PVLoan!F49*'PV IN'!$E$8,0)</f>
        <v>0</v>
      </c>
    </row>
    <row r="50" spans="1:15" x14ac:dyDescent="0.25">
      <c r="B50">
        <f t="shared" si="0"/>
        <v>18</v>
      </c>
      <c r="C50" s="2">
        <f t="shared" si="1"/>
        <v>0</v>
      </c>
      <c r="E50" s="10">
        <f t="shared" si="2"/>
        <v>0</v>
      </c>
      <c r="F50" s="2">
        <f t="shared" si="3"/>
        <v>0</v>
      </c>
      <c r="G50" s="2">
        <f>IF(ISERROR(B50),"-",IF(J49=0,0,SUM($F$33:F50)))</f>
        <v>0</v>
      </c>
      <c r="H50" s="2">
        <f t="shared" si="4"/>
        <v>0</v>
      </c>
      <c r="I50" s="2">
        <f>IF(ISERROR($B50),"-",IF(J49=0,0,SUM($H$33:H50)))</f>
        <v>0</v>
      </c>
      <c r="J50" s="2">
        <f t="shared" si="5"/>
        <v>0</v>
      </c>
      <c r="K50" s="2">
        <f t="shared" si="6"/>
        <v>0</v>
      </c>
      <c r="L50" s="2">
        <f t="shared" si="7"/>
        <v>0</v>
      </c>
      <c r="M50" s="2">
        <f t="shared" si="8"/>
        <v>0</v>
      </c>
      <c r="O50" s="2">
        <f>IF('PV IN'!$N$10="Yes",PVLoan!F50*'PV IN'!$E$8,0)</f>
        <v>0</v>
      </c>
    </row>
    <row r="51" spans="1:15" x14ac:dyDescent="0.25">
      <c r="B51">
        <f t="shared" si="0"/>
        <v>19</v>
      </c>
      <c r="C51" s="2">
        <f t="shared" si="1"/>
        <v>0</v>
      </c>
      <c r="E51" s="10">
        <f t="shared" si="2"/>
        <v>0</v>
      </c>
      <c r="F51" s="2">
        <f t="shared" si="3"/>
        <v>0</v>
      </c>
      <c r="G51" s="2">
        <f>IF(ISERROR(B51),"-",IF(J50=0,0,SUM($F$33:F51)))</f>
        <v>0</v>
      </c>
      <c r="H51" s="2">
        <f t="shared" si="4"/>
        <v>0</v>
      </c>
      <c r="I51" s="2">
        <f>IF(ISERROR($B51),"-",IF(J50=0,0,SUM($H$33:H51)))</f>
        <v>0</v>
      </c>
      <c r="J51" s="2">
        <f t="shared" si="5"/>
        <v>0</v>
      </c>
      <c r="K51" s="2">
        <f t="shared" si="6"/>
        <v>0</v>
      </c>
      <c r="L51" s="2">
        <f t="shared" si="7"/>
        <v>0</v>
      </c>
      <c r="M51" s="2">
        <f t="shared" si="8"/>
        <v>0</v>
      </c>
      <c r="O51" s="2">
        <f>IF('PV IN'!$N$10="Yes",PVLoan!F51*'PV IN'!$E$8,0)</f>
        <v>0</v>
      </c>
    </row>
    <row r="52" spans="1:15" x14ac:dyDescent="0.25">
      <c r="B52">
        <f t="shared" si="0"/>
        <v>20</v>
      </c>
      <c r="C52" s="2">
        <f t="shared" si="1"/>
        <v>0</v>
      </c>
      <c r="E52" s="10">
        <f t="shared" si="2"/>
        <v>0</v>
      </c>
      <c r="F52" s="2">
        <f t="shared" si="3"/>
        <v>0</v>
      </c>
      <c r="G52" s="2">
        <f>IF(ISERROR(B52),"-",IF(J51=0,0,SUM($F$33:F52)))</f>
        <v>0</v>
      </c>
      <c r="H52" s="2">
        <f t="shared" si="4"/>
        <v>0</v>
      </c>
      <c r="I52" s="2">
        <f>IF(ISERROR($B52),"-",IF(J51=0,0,SUM($H$33:H52)))</f>
        <v>0</v>
      </c>
      <c r="J52" s="2">
        <f t="shared" si="5"/>
        <v>0</v>
      </c>
      <c r="K52" s="2">
        <f t="shared" si="6"/>
        <v>0</v>
      </c>
      <c r="L52" s="2">
        <f t="shared" si="7"/>
        <v>0</v>
      </c>
      <c r="M52" s="2">
        <f t="shared" si="8"/>
        <v>0</v>
      </c>
      <c r="O52" s="2">
        <f>IF('PV IN'!$N$10="Yes",PVLoan!F52*'PV IN'!$E$8,0)</f>
        <v>0</v>
      </c>
    </row>
    <row r="53" spans="1:15" x14ac:dyDescent="0.25">
      <c r="B53">
        <f t="shared" si="0"/>
        <v>21</v>
      </c>
      <c r="C53" s="2">
        <f t="shared" si="1"/>
        <v>0</v>
      </c>
      <c r="E53" s="10">
        <f t="shared" si="2"/>
        <v>0</v>
      </c>
      <c r="F53" s="2">
        <f t="shared" si="3"/>
        <v>0</v>
      </c>
      <c r="G53" s="2">
        <f>IF(ISERROR(B53),"-",IF(J52=0,0,SUM($F$33:F53)))</f>
        <v>0</v>
      </c>
      <c r="H53" s="2">
        <f t="shared" si="4"/>
        <v>0</v>
      </c>
      <c r="I53" s="2">
        <f>IF(ISERROR($B53),"-",IF(J52=0,0,SUM($H$33:H53)))</f>
        <v>0</v>
      </c>
      <c r="J53" s="2">
        <f t="shared" si="5"/>
        <v>0</v>
      </c>
      <c r="K53" s="2">
        <f t="shared" si="6"/>
        <v>0</v>
      </c>
      <c r="L53" s="2">
        <f t="shared" si="7"/>
        <v>0</v>
      </c>
      <c r="M53" s="2">
        <f t="shared" si="8"/>
        <v>0</v>
      </c>
      <c r="O53" s="2">
        <f>IF('PV IN'!$N$10="Yes",PVLoan!F53*'PV IN'!$E$8,0)</f>
        <v>0</v>
      </c>
    </row>
    <row r="54" spans="1:15" x14ac:dyDescent="0.25">
      <c r="B54">
        <f t="shared" si="0"/>
        <v>22</v>
      </c>
      <c r="C54" s="2">
        <f t="shared" si="1"/>
        <v>0</v>
      </c>
      <c r="E54" s="10">
        <f t="shared" si="2"/>
        <v>0</v>
      </c>
      <c r="F54" s="2">
        <f t="shared" si="3"/>
        <v>0</v>
      </c>
      <c r="G54" s="2">
        <f>IF(ISERROR(B54),"-",IF(J53=0,0,SUM($F$33:F54)))</f>
        <v>0</v>
      </c>
      <c r="H54" s="2">
        <f t="shared" si="4"/>
        <v>0</v>
      </c>
      <c r="I54" s="2">
        <f>IF(ISERROR($B54),"-",IF(J53=0,0,SUM($H$33:H54)))</f>
        <v>0</v>
      </c>
      <c r="J54" s="2">
        <f t="shared" si="5"/>
        <v>0</v>
      </c>
      <c r="K54" s="2">
        <f t="shared" si="6"/>
        <v>0</v>
      </c>
      <c r="L54" s="2">
        <f t="shared" si="7"/>
        <v>0</v>
      </c>
      <c r="M54" s="2">
        <f t="shared" si="8"/>
        <v>0</v>
      </c>
      <c r="O54" s="2">
        <f>IF('PV IN'!$N$10="Yes",PVLoan!F54*'PV IN'!$E$8,0)</f>
        <v>0</v>
      </c>
    </row>
    <row r="55" spans="1:15" x14ac:dyDescent="0.25">
      <c r="B55">
        <f t="shared" si="0"/>
        <v>23</v>
      </c>
      <c r="C55" s="2">
        <f t="shared" si="1"/>
        <v>0</v>
      </c>
      <c r="E55" s="10">
        <f t="shared" si="2"/>
        <v>0</v>
      </c>
      <c r="F55" s="2">
        <f t="shared" si="3"/>
        <v>0</v>
      </c>
      <c r="G55" s="2">
        <f>IF(ISERROR(B55),"-",IF(J54=0,0,SUM($F$33:F55)))</f>
        <v>0</v>
      </c>
      <c r="H55" s="2">
        <f t="shared" si="4"/>
        <v>0</v>
      </c>
      <c r="I55" s="2">
        <f>IF(ISERROR($B55),"-",IF(J54=0,0,SUM($H$33:H55)))</f>
        <v>0</v>
      </c>
      <c r="J55" s="2">
        <f t="shared" si="5"/>
        <v>0</v>
      </c>
      <c r="K55" s="2">
        <f t="shared" si="6"/>
        <v>0</v>
      </c>
      <c r="L55" s="2">
        <f t="shared" si="7"/>
        <v>0</v>
      </c>
      <c r="M55" s="2">
        <f t="shared" si="8"/>
        <v>0</v>
      </c>
      <c r="O55" s="2">
        <f>IF('PV IN'!$N$10="Yes",PVLoan!F55*'PV IN'!$E$8,0)</f>
        <v>0</v>
      </c>
    </row>
    <row r="56" spans="1:15" x14ac:dyDescent="0.25">
      <c r="A56">
        <v>2</v>
      </c>
      <c r="B56">
        <f t="shared" si="0"/>
        <v>24</v>
      </c>
      <c r="C56" s="2">
        <f t="shared" si="1"/>
        <v>0</v>
      </c>
      <c r="E56" s="10">
        <f t="shared" si="2"/>
        <v>0</v>
      </c>
      <c r="F56" s="2">
        <f t="shared" si="3"/>
        <v>0</v>
      </c>
      <c r="G56" s="2">
        <f>IF(ISERROR(B56),"-",IF(J55=0,0,SUM($F$33:F56)))</f>
        <v>0</v>
      </c>
      <c r="H56" s="2">
        <f t="shared" si="4"/>
        <v>0</v>
      </c>
      <c r="I56" s="2">
        <f>IF(ISERROR($B56),"-",IF(J55=0,0,SUM($H$33:H56)))</f>
        <v>0</v>
      </c>
      <c r="J56" s="2">
        <f t="shared" si="5"/>
        <v>0</v>
      </c>
      <c r="K56" s="2">
        <f t="shared" si="6"/>
        <v>0</v>
      </c>
      <c r="L56" s="2">
        <f t="shared" si="7"/>
        <v>0</v>
      </c>
      <c r="M56" s="2">
        <f t="shared" si="8"/>
        <v>0</v>
      </c>
      <c r="O56" s="2">
        <f>IF('PV IN'!$N$10="Yes",PVLoan!F56*'PV IN'!$E$8,0)</f>
        <v>0</v>
      </c>
    </row>
    <row r="57" spans="1:15" x14ac:dyDescent="0.25">
      <c r="B57">
        <f t="shared" si="0"/>
        <v>25</v>
      </c>
      <c r="C57" s="2">
        <f t="shared" si="1"/>
        <v>0</v>
      </c>
      <c r="E57" s="10">
        <f t="shared" si="2"/>
        <v>0</v>
      </c>
      <c r="F57" s="2">
        <f t="shared" si="3"/>
        <v>0</v>
      </c>
      <c r="G57" s="2">
        <f>IF(ISERROR(B57),"-",IF(J56=0,0,SUM($F$33:F57)))</f>
        <v>0</v>
      </c>
      <c r="H57" s="2">
        <f t="shared" si="4"/>
        <v>0</v>
      </c>
      <c r="I57" s="2">
        <f>IF(ISERROR($B57),"-",IF(J56=0,0,SUM($H$33:H57)))</f>
        <v>0</v>
      </c>
      <c r="J57" s="2">
        <f t="shared" si="5"/>
        <v>0</v>
      </c>
      <c r="K57" s="2">
        <f t="shared" si="6"/>
        <v>0</v>
      </c>
      <c r="L57" s="2">
        <f t="shared" si="7"/>
        <v>0</v>
      </c>
      <c r="M57" s="2">
        <f t="shared" si="8"/>
        <v>0</v>
      </c>
      <c r="O57" s="2">
        <f>IF('PV IN'!$N$10="Yes",PVLoan!F57*'PV IN'!$E$8,0)</f>
        <v>0</v>
      </c>
    </row>
    <row r="58" spans="1:15" x14ac:dyDescent="0.25">
      <c r="B58">
        <f t="shared" si="0"/>
        <v>26</v>
      </c>
      <c r="C58" s="2">
        <f t="shared" si="1"/>
        <v>0</v>
      </c>
      <c r="E58" s="10">
        <f t="shared" si="2"/>
        <v>0</v>
      </c>
      <c r="F58" s="2">
        <f t="shared" si="3"/>
        <v>0</v>
      </c>
      <c r="G58" s="2">
        <f>IF(ISERROR(B58),"-",IF(J57=0,0,SUM($F$33:F58)))</f>
        <v>0</v>
      </c>
      <c r="H58" s="2">
        <f t="shared" si="4"/>
        <v>0</v>
      </c>
      <c r="I58" s="2">
        <f>IF(ISERROR($B58),"-",IF(J57=0,0,SUM($H$33:H58)))</f>
        <v>0</v>
      </c>
      <c r="J58" s="2">
        <f t="shared" si="5"/>
        <v>0</v>
      </c>
      <c r="K58" s="2">
        <f t="shared" si="6"/>
        <v>0</v>
      </c>
      <c r="L58" s="2">
        <f t="shared" si="7"/>
        <v>0</v>
      </c>
      <c r="M58" s="2">
        <f t="shared" si="8"/>
        <v>0</v>
      </c>
      <c r="O58" s="2">
        <f>IF('PV IN'!$N$10="Yes",PVLoan!F58*'PV IN'!$E$8,0)</f>
        <v>0</v>
      </c>
    </row>
    <row r="59" spans="1:15" x14ac:dyDescent="0.25">
      <c r="B59">
        <f t="shared" si="0"/>
        <v>27</v>
      </c>
      <c r="C59" s="2">
        <f t="shared" si="1"/>
        <v>0</v>
      </c>
      <c r="E59" s="10">
        <f t="shared" si="2"/>
        <v>0</v>
      </c>
      <c r="F59" s="2">
        <f t="shared" si="3"/>
        <v>0</v>
      </c>
      <c r="G59" s="2">
        <f>IF(ISERROR(B59),"-",IF(J58=0,0,SUM($F$33:F59)))</f>
        <v>0</v>
      </c>
      <c r="H59" s="2">
        <f t="shared" si="4"/>
        <v>0</v>
      </c>
      <c r="I59" s="2">
        <f>IF(ISERROR($B59),"-",IF(J58=0,0,SUM($H$33:H59)))</f>
        <v>0</v>
      </c>
      <c r="J59" s="2">
        <f t="shared" si="5"/>
        <v>0</v>
      </c>
      <c r="K59" s="2">
        <f t="shared" si="6"/>
        <v>0</v>
      </c>
      <c r="L59" s="2">
        <f t="shared" si="7"/>
        <v>0</v>
      </c>
      <c r="M59" s="2">
        <f t="shared" si="8"/>
        <v>0</v>
      </c>
      <c r="O59" s="2">
        <f>IF('PV IN'!$N$10="Yes",PVLoan!F59*'PV IN'!$E$8,0)</f>
        <v>0</v>
      </c>
    </row>
    <row r="60" spans="1:15" x14ac:dyDescent="0.25">
      <c r="B60">
        <f t="shared" si="0"/>
        <v>28</v>
      </c>
      <c r="C60" s="2">
        <f t="shared" si="1"/>
        <v>0</v>
      </c>
      <c r="E60" s="10">
        <f t="shared" si="2"/>
        <v>0</v>
      </c>
      <c r="F60" s="2">
        <f t="shared" si="3"/>
        <v>0</v>
      </c>
      <c r="G60" s="2">
        <f>IF(ISERROR(B60),"-",IF(J59=0,0,SUM($F$33:F60)))</f>
        <v>0</v>
      </c>
      <c r="H60" s="2">
        <f t="shared" si="4"/>
        <v>0</v>
      </c>
      <c r="I60" s="2">
        <f>IF(ISERROR($B60),"-",IF(J59=0,0,SUM($H$33:H60)))</f>
        <v>0</v>
      </c>
      <c r="J60" s="2">
        <f t="shared" si="5"/>
        <v>0</v>
      </c>
      <c r="K60" s="2">
        <f t="shared" si="6"/>
        <v>0</v>
      </c>
      <c r="L60" s="2">
        <f t="shared" si="7"/>
        <v>0</v>
      </c>
      <c r="M60" s="2">
        <f t="shared" si="8"/>
        <v>0</v>
      </c>
      <c r="O60" s="2">
        <f>IF('PV IN'!$N$10="Yes",PVLoan!F60*'PV IN'!$E$8,0)</f>
        <v>0</v>
      </c>
    </row>
    <row r="61" spans="1:15" x14ac:dyDescent="0.25">
      <c r="B61">
        <f t="shared" si="0"/>
        <v>29</v>
      </c>
      <c r="C61" s="2">
        <f t="shared" si="1"/>
        <v>0</v>
      </c>
      <c r="E61" s="10">
        <f t="shared" si="2"/>
        <v>0</v>
      </c>
      <c r="F61" s="2">
        <f t="shared" si="3"/>
        <v>0</v>
      </c>
      <c r="G61" s="2">
        <f>IF(ISERROR(B61),"-",IF(J60=0,0,SUM($F$33:F61)))</f>
        <v>0</v>
      </c>
      <c r="H61" s="2">
        <f t="shared" si="4"/>
        <v>0</v>
      </c>
      <c r="I61" s="2">
        <f>IF(ISERROR($B61),"-",IF(J60=0,0,SUM($H$33:H61)))</f>
        <v>0</v>
      </c>
      <c r="J61" s="2">
        <f t="shared" si="5"/>
        <v>0</v>
      </c>
      <c r="K61" s="2">
        <f t="shared" si="6"/>
        <v>0</v>
      </c>
      <c r="L61" s="2">
        <f t="shared" si="7"/>
        <v>0</v>
      </c>
      <c r="M61" s="2">
        <f t="shared" si="8"/>
        <v>0</v>
      </c>
      <c r="O61" s="2">
        <f>IF('PV IN'!$N$10="Yes",PVLoan!F61*'PV IN'!$E$8,0)</f>
        <v>0</v>
      </c>
    </row>
    <row r="62" spans="1:15" x14ac:dyDescent="0.25">
      <c r="B62">
        <f t="shared" si="0"/>
        <v>30</v>
      </c>
      <c r="C62" s="2">
        <f t="shared" si="1"/>
        <v>0</v>
      </c>
      <c r="E62" s="10">
        <f t="shared" si="2"/>
        <v>0</v>
      </c>
      <c r="F62" s="2">
        <f t="shared" si="3"/>
        <v>0</v>
      </c>
      <c r="G62" s="2">
        <f>IF(ISERROR(B62),"-",IF(J61=0,0,SUM($F$33:F62)))</f>
        <v>0</v>
      </c>
      <c r="H62" s="2">
        <f t="shared" si="4"/>
        <v>0</v>
      </c>
      <c r="I62" s="2">
        <f>IF(ISERROR($B62),"-",IF(J61=0,0,SUM($H$33:H62)))</f>
        <v>0</v>
      </c>
      <c r="J62" s="2">
        <f t="shared" si="5"/>
        <v>0</v>
      </c>
      <c r="K62" s="2">
        <f t="shared" si="6"/>
        <v>0</v>
      </c>
      <c r="L62" s="2">
        <f t="shared" si="7"/>
        <v>0</v>
      </c>
      <c r="M62" s="2">
        <f t="shared" si="8"/>
        <v>0</v>
      </c>
      <c r="O62" s="2">
        <f>IF('PV IN'!$N$10="Yes",PVLoan!F62*'PV IN'!$E$8,0)</f>
        <v>0</v>
      </c>
    </row>
    <row r="63" spans="1:15" x14ac:dyDescent="0.25">
      <c r="B63">
        <f t="shared" si="0"/>
        <v>31</v>
      </c>
      <c r="C63" s="2">
        <f t="shared" si="1"/>
        <v>0</v>
      </c>
      <c r="E63" s="10">
        <f t="shared" si="2"/>
        <v>0</v>
      </c>
      <c r="F63" s="2">
        <f t="shared" si="3"/>
        <v>0</v>
      </c>
      <c r="G63" s="2">
        <f>IF(ISERROR(B63),"-",IF(J62=0,0,SUM($F$33:F63)))</f>
        <v>0</v>
      </c>
      <c r="H63" s="2">
        <f t="shared" si="4"/>
        <v>0</v>
      </c>
      <c r="I63" s="2">
        <f>IF(ISERROR($B63),"-",IF(J62=0,0,SUM($H$33:H63)))</f>
        <v>0</v>
      </c>
      <c r="J63" s="2">
        <f t="shared" si="5"/>
        <v>0</v>
      </c>
      <c r="K63" s="2">
        <f t="shared" si="6"/>
        <v>0</v>
      </c>
      <c r="L63" s="2">
        <f t="shared" si="7"/>
        <v>0</v>
      </c>
      <c r="M63" s="2">
        <f t="shared" si="8"/>
        <v>0</v>
      </c>
      <c r="O63" s="2">
        <f>IF('PV IN'!$N$10="Yes",PVLoan!F63*'PV IN'!$E$8,0)</f>
        <v>0</v>
      </c>
    </row>
    <row r="64" spans="1:15" x14ac:dyDescent="0.25">
      <c r="B64">
        <f t="shared" si="0"/>
        <v>32</v>
      </c>
      <c r="C64" s="2">
        <f t="shared" si="1"/>
        <v>0</v>
      </c>
      <c r="E64" s="10">
        <f t="shared" si="2"/>
        <v>0</v>
      </c>
      <c r="F64" s="2">
        <f t="shared" si="3"/>
        <v>0</v>
      </c>
      <c r="G64" s="2">
        <f>IF(ISERROR(B64),"-",IF(J63=0,0,SUM($F$33:F64)))</f>
        <v>0</v>
      </c>
      <c r="H64" s="2">
        <f t="shared" si="4"/>
        <v>0</v>
      </c>
      <c r="I64" s="2">
        <f>IF(ISERROR($B64),"-",IF(J63=0,0,SUM($H$33:H64)))</f>
        <v>0</v>
      </c>
      <c r="J64" s="2">
        <f t="shared" si="5"/>
        <v>0</v>
      </c>
      <c r="K64" s="2">
        <f t="shared" si="6"/>
        <v>0</v>
      </c>
      <c r="L64" s="2">
        <f t="shared" si="7"/>
        <v>0</v>
      </c>
      <c r="M64" s="2">
        <f t="shared" si="8"/>
        <v>0</v>
      </c>
      <c r="O64" s="2">
        <f>IF('PV IN'!$N$10="Yes",PVLoan!F64*'PV IN'!$E$8,0)</f>
        <v>0</v>
      </c>
    </row>
    <row r="65" spans="1:15" x14ac:dyDescent="0.25">
      <c r="B65">
        <f t="shared" si="0"/>
        <v>33</v>
      </c>
      <c r="C65" s="2">
        <f t="shared" si="1"/>
        <v>0</v>
      </c>
      <c r="E65" s="10">
        <f t="shared" si="2"/>
        <v>0</v>
      </c>
      <c r="F65" s="2">
        <f t="shared" si="3"/>
        <v>0</v>
      </c>
      <c r="G65" s="2">
        <f>IF(ISERROR(B65),"-",IF(J64=0,0,SUM($F$33:F65)))</f>
        <v>0</v>
      </c>
      <c r="H65" s="2">
        <f t="shared" si="4"/>
        <v>0</v>
      </c>
      <c r="I65" s="2">
        <f>IF(ISERROR($B65),"-",IF(J64=0,0,SUM($H$33:H65)))</f>
        <v>0</v>
      </c>
      <c r="J65" s="2">
        <f t="shared" si="5"/>
        <v>0</v>
      </c>
      <c r="K65" s="2">
        <f t="shared" si="6"/>
        <v>0</v>
      </c>
      <c r="L65" s="2">
        <f t="shared" si="7"/>
        <v>0</v>
      </c>
      <c r="M65" s="2">
        <f t="shared" si="8"/>
        <v>0</v>
      </c>
      <c r="O65" s="2">
        <f>IF('PV IN'!$N$10="Yes",PVLoan!F65*'PV IN'!$E$8,0)</f>
        <v>0</v>
      </c>
    </row>
    <row r="66" spans="1:15" x14ac:dyDescent="0.25">
      <c r="B66">
        <f t="shared" si="0"/>
        <v>34</v>
      </c>
      <c r="C66" s="2">
        <f t="shared" si="1"/>
        <v>0</v>
      </c>
      <c r="E66" s="10">
        <f t="shared" si="2"/>
        <v>0</v>
      </c>
      <c r="F66" s="2">
        <f t="shared" si="3"/>
        <v>0</v>
      </c>
      <c r="G66" s="2">
        <f>IF(ISERROR(B66),"-",IF(J65=0,0,SUM($F$33:F66)))</f>
        <v>0</v>
      </c>
      <c r="H66" s="2">
        <f t="shared" si="4"/>
        <v>0</v>
      </c>
      <c r="I66" s="2">
        <f>IF(ISERROR($B66),"-",IF(J65=0,0,SUM($H$33:H66)))</f>
        <v>0</v>
      </c>
      <c r="J66" s="2">
        <f t="shared" si="5"/>
        <v>0</v>
      </c>
      <c r="K66" s="2">
        <f t="shared" si="6"/>
        <v>0</v>
      </c>
      <c r="L66" s="2">
        <f t="shared" si="7"/>
        <v>0</v>
      </c>
      <c r="M66" s="2">
        <f t="shared" si="8"/>
        <v>0</v>
      </c>
      <c r="O66" s="2">
        <f>IF('PV IN'!$N$10="Yes",PVLoan!F66*'PV IN'!$E$8,0)</f>
        <v>0</v>
      </c>
    </row>
    <row r="67" spans="1:15" x14ac:dyDescent="0.25">
      <c r="B67">
        <f t="shared" si="0"/>
        <v>35</v>
      </c>
      <c r="C67" s="2">
        <f t="shared" si="1"/>
        <v>0</v>
      </c>
      <c r="E67" s="10">
        <f t="shared" si="2"/>
        <v>0</v>
      </c>
      <c r="F67" s="2">
        <f t="shared" si="3"/>
        <v>0</v>
      </c>
      <c r="G67" s="2">
        <f>IF(ISERROR(B67),"-",IF(J66=0,0,SUM($F$33:F67)))</f>
        <v>0</v>
      </c>
      <c r="H67" s="2">
        <f t="shared" si="4"/>
        <v>0</v>
      </c>
      <c r="I67" s="2">
        <f>IF(ISERROR($B67),"-",IF(J66=0,0,SUM($H$33:H67)))</f>
        <v>0</v>
      </c>
      <c r="J67" s="2">
        <f t="shared" si="5"/>
        <v>0</v>
      </c>
      <c r="K67" s="2">
        <f t="shared" si="6"/>
        <v>0</v>
      </c>
      <c r="L67" s="2">
        <f t="shared" si="7"/>
        <v>0</v>
      </c>
      <c r="M67" s="2">
        <f t="shared" si="8"/>
        <v>0</v>
      </c>
      <c r="O67" s="2">
        <f>IF('PV IN'!$N$10="Yes",PVLoan!F67*'PV IN'!$E$8,0)</f>
        <v>0</v>
      </c>
    </row>
    <row r="68" spans="1:15" x14ac:dyDescent="0.25">
      <c r="A68">
        <v>3</v>
      </c>
      <c r="B68">
        <f t="shared" si="0"/>
        <v>36</v>
      </c>
      <c r="C68" s="2">
        <f t="shared" si="1"/>
        <v>0</v>
      </c>
      <c r="E68" s="10">
        <f t="shared" si="2"/>
        <v>0</v>
      </c>
      <c r="F68" s="2">
        <f t="shared" si="3"/>
        <v>0</v>
      </c>
      <c r="G68" s="2">
        <f>IF(ISERROR(B68),"-",IF(J67=0,0,SUM($F$33:F68)))</f>
        <v>0</v>
      </c>
      <c r="H68" s="2">
        <f t="shared" si="4"/>
        <v>0</v>
      </c>
      <c r="I68" s="2">
        <f>IF(ISERROR($B68),"-",IF(J67=0,0,SUM($H$33:H68)))</f>
        <v>0</v>
      </c>
      <c r="J68" s="2">
        <f t="shared" si="5"/>
        <v>0</v>
      </c>
      <c r="K68" s="2">
        <f t="shared" si="6"/>
        <v>0</v>
      </c>
      <c r="L68" s="2">
        <f t="shared" si="7"/>
        <v>0</v>
      </c>
      <c r="M68" s="2">
        <f t="shared" si="8"/>
        <v>0</v>
      </c>
      <c r="O68" s="2">
        <f>IF('PV IN'!$N$10="Yes",PVLoan!F68*'PV IN'!$E$8,0)</f>
        <v>0</v>
      </c>
    </row>
    <row r="69" spans="1:15" x14ac:dyDescent="0.25">
      <c r="B69">
        <f t="shared" si="0"/>
        <v>37</v>
      </c>
      <c r="C69" s="2">
        <f t="shared" si="1"/>
        <v>0</v>
      </c>
      <c r="E69" s="10">
        <f t="shared" si="2"/>
        <v>0</v>
      </c>
      <c r="F69" s="2">
        <f t="shared" si="3"/>
        <v>0</v>
      </c>
      <c r="G69" s="2">
        <f>IF(ISERROR(B69),"-",IF(J68=0,0,SUM($F$33:F69)))</f>
        <v>0</v>
      </c>
      <c r="H69" s="2">
        <f t="shared" si="4"/>
        <v>0</v>
      </c>
      <c r="I69" s="2">
        <f>IF(ISERROR($B69),"-",IF(J68=0,0,SUM($H$33:H69)))</f>
        <v>0</v>
      </c>
      <c r="J69" s="2">
        <f t="shared" si="5"/>
        <v>0</v>
      </c>
      <c r="K69" s="2">
        <f t="shared" si="6"/>
        <v>0</v>
      </c>
      <c r="L69" s="2">
        <f t="shared" si="7"/>
        <v>0</v>
      </c>
      <c r="M69" s="2">
        <f t="shared" si="8"/>
        <v>0</v>
      </c>
      <c r="O69" s="2">
        <f>IF('PV IN'!$N$10="Yes",PVLoan!F69*'PV IN'!$E$8,0)</f>
        <v>0</v>
      </c>
    </row>
    <row r="70" spans="1:15" x14ac:dyDescent="0.25">
      <c r="B70">
        <f t="shared" si="0"/>
        <v>38</v>
      </c>
      <c r="C70" s="2">
        <f t="shared" si="1"/>
        <v>0</v>
      </c>
      <c r="E70" s="10">
        <f t="shared" si="2"/>
        <v>0</v>
      </c>
      <c r="F70" s="2">
        <f t="shared" si="3"/>
        <v>0</v>
      </c>
      <c r="G70" s="2">
        <f>IF(ISERROR(B70),"-",IF(J69=0,0,SUM($F$33:F70)))</f>
        <v>0</v>
      </c>
      <c r="H70" s="2">
        <f t="shared" si="4"/>
        <v>0</v>
      </c>
      <c r="I70" s="2">
        <f>IF(ISERROR($B70),"-",IF(J69=0,0,SUM($H$33:H70)))</f>
        <v>0</v>
      </c>
      <c r="J70" s="2">
        <f t="shared" si="5"/>
        <v>0</v>
      </c>
      <c r="K70" s="2">
        <f t="shared" si="6"/>
        <v>0</v>
      </c>
      <c r="L70" s="2">
        <f t="shared" si="7"/>
        <v>0</v>
      </c>
      <c r="M70" s="2">
        <f t="shared" si="8"/>
        <v>0</v>
      </c>
      <c r="O70" s="2">
        <f>IF('PV IN'!$N$10="Yes",PVLoan!F70*'PV IN'!$E$8,0)</f>
        <v>0</v>
      </c>
    </row>
    <row r="71" spans="1:15" x14ac:dyDescent="0.25">
      <c r="B71">
        <f t="shared" si="0"/>
        <v>39</v>
      </c>
      <c r="C71" s="2">
        <f t="shared" si="1"/>
        <v>0</v>
      </c>
      <c r="E71" s="10">
        <f t="shared" si="2"/>
        <v>0</v>
      </c>
      <c r="F71" s="2">
        <f t="shared" si="3"/>
        <v>0</v>
      </c>
      <c r="G71" s="2">
        <f>IF(ISERROR(B71),"-",IF(J70=0,0,SUM($F$33:F71)))</f>
        <v>0</v>
      </c>
      <c r="H71" s="2">
        <f t="shared" si="4"/>
        <v>0</v>
      </c>
      <c r="I71" s="2">
        <f>IF(ISERROR($B71),"-",IF(J70=0,0,SUM($H$33:H71)))</f>
        <v>0</v>
      </c>
      <c r="J71" s="2">
        <f t="shared" si="5"/>
        <v>0</v>
      </c>
      <c r="K71" s="2">
        <f t="shared" si="6"/>
        <v>0</v>
      </c>
      <c r="L71" s="2">
        <f t="shared" si="7"/>
        <v>0</v>
      </c>
      <c r="M71" s="2">
        <f t="shared" si="8"/>
        <v>0</v>
      </c>
      <c r="O71" s="2">
        <f>IF('PV IN'!$N$10="Yes",PVLoan!F71*'PV IN'!$E$8,0)</f>
        <v>0</v>
      </c>
    </row>
    <row r="72" spans="1:15" x14ac:dyDescent="0.25">
      <c r="B72">
        <f t="shared" si="0"/>
        <v>40</v>
      </c>
      <c r="C72" s="2">
        <f t="shared" si="1"/>
        <v>0</v>
      </c>
      <c r="E72" s="10">
        <f t="shared" si="2"/>
        <v>0</v>
      </c>
      <c r="F72" s="2">
        <f t="shared" si="3"/>
        <v>0</v>
      </c>
      <c r="G72" s="2">
        <f>IF(ISERROR(B72),"-",IF(J71=0,0,SUM($F$33:F72)))</f>
        <v>0</v>
      </c>
      <c r="H72" s="2">
        <f t="shared" si="4"/>
        <v>0</v>
      </c>
      <c r="I72" s="2">
        <f>IF(ISERROR($B72),"-",IF(J71=0,0,SUM($H$33:H72)))</f>
        <v>0</v>
      </c>
      <c r="J72" s="2">
        <f t="shared" si="5"/>
        <v>0</v>
      </c>
      <c r="K72" s="2">
        <f t="shared" si="6"/>
        <v>0</v>
      </c>
      <c r="L72" s="2">
        <f t="shared" si="7"/>
        <v>0</v>
      </c>
      <c r="M72" s="2">
        <f t="shared" si="8"/>
        <v>0</v>
      </c>
      <c r="O72" s="2">
        <f>IF('PV IN'!$N$10="Yes",PVLoan!F72*'PV IN'!$E$8,0)</f>
        <v>0</v>
      </c>
    </row>
    <row r="73" spans="1:15" x14ac:dyDescent="0.25">
      <c r="B73">
        <f t="shared" si="0"/>
        <v>41</v>
      </c>
      <c r="C73" s="2">
        <f t="shared" si="1"/>
        <v>0</v>
      </c>
      <c r="E73" s="10">
        <f t="shared" si="2"/>
        <v>0</v>
      </c>
      <c r="F73" s="2">
        <f t="shared" si="3"/>
        <v>0</v>
      </c>
      <c r="G73" s="2">
        <f>IF(ISERROR(B73),"-",IF(J72=0,0,SUM($F$33:F73)))</f>
        <v>0</v>
      </c>
      <c r="H73" s="2">
        <f t="shared" si="4"/>
        <v>0</v>
      </c>
      <c r="I73" s="2">
        <f>IF(ISERROR($B73),"-",IF(J72=0,0,SUM($H$33:H73)))</f>
        <v>0</v>
      </c>
      <c r="J73" s="2">
        <f t="shared" si="5"/>
        <v>0</v>
      </c>
      <c r="K73" s="2">
        <f t="shared" si="6"/>
        <v>0</v>
      </c>
      <c r="L73" s="2">
        <f t="shared" si="7"/>
        <v>0</v>
      </c>
      <c r="M73" s="2">
        <f t="shared" si="8"/>
        <v>0</v>
      </c>
      <c r="O73" s="2">
        <f>IF('PV IN'!$N$10="Yes",PVLoan!F73*'PV IN'!$E$8,0)</f>
        <v>0</v>
      </c>
    </row>
    <row r="74" spans="1:15" x14ac:dyDescent="0.25">
      <c r="B74">
        <f t="shared" si="0"/>
        <v>42</v>
      </c>
      <c r="C74" s="2">
        <f t="shared" si="1"/>
        <v>0</v>
      </c>
      <c r="E74" s="10">
        <f t="shared" si="2"/>
        <v>0</v>
      </c>
      <c r="F74" s="2">
        <f t="shared" si="3"/>
        <v>0</v>
      </c>
      <c r="G74" s="2">
        <f>IF(ISERROR(B74),"-",IF(J73=0,0,SUM($F$33:F74)))</f>
        <v>0</v>
      </c>
      <c r="H74" s="2">
        <f t="shared" si="4"/>
        <v>0</v>
      </c>
      <c r="I74" s="2">
        <f>IF(ISERROR($B74),"-",IF(J73=0,0,SUM($H$33:H74)))</f>
        <v>0</v>
      </c>
      <c r="J74" s="2">
        <f t="shared" si="5"/>
        <v>0</v>
      </c>
      <c r="K74" s="2">
        <f t="shared" si="6"/>
        <v>0</v>
      </c>
      <c r="L74" s="2">
        <f t="shared" si="7"/>
        <v>0</v>
      </c>
      <c r="M74" s="2">
        <f t="shared" si="8"/>
        <v>0</v>
      </c>
      <c r="O74" s="2">
        <f>IF('PV IN'!$N$10="Yes",PVLoan!F74*'PV IN'!$E$8,0)</f>
        <v>0</v>
      </c>
    </row>
    <row r="75" spans="1:15" x14ac:dyDescent="0.25">
      <c r="B75">
        <f t="shared" si="0"/>
        <v>43</v>
      </c>
      <c r="C75" s="2">
        <f t="shared" si="1"/>
        <v>0</v>
      </c>
      <c r="E75" s="10">
        <f t="shared" si="2"/>
        <v>0</v>
      </c>
      <c r="F75" s="2">
        <f t="shared" si="3"/>
        <v>0</v>
      </c>
      <c r="G75" s="2">
        <f>IF(ISERROR(B75),"-",IF(J74=0,0,SUM($F$33:F75)))</f>
        <v>0</v>
      </c>
      <c r="H75" s="2">
        <f t="shared" si="4"/>
        <v>0</v>
      </c>
      <c r="I75" s="2">
        <f>IF(ISERROR($B75),"-",IF(J74=0,0,SUM($H$33:H75)))</f>
        <v>0</v>
      </c>
      <c r="J75" s="2">
        <f t="shared" si="5"/>
        <v>0</v>
      </c>
      <c r="K75" s="2">
        <f t="shared" si="6"/>
        <v>0</v>
      </c>
      <c r="L75" s="2">
        <f t="shared" si="7"/>
        <v>0</v>
      </c>
      <c r="M75" s="2">
        <f t="shared" si="8"/>
        <v>0</v>
      </c>
      <c r="O75" s="2">
        <f>IF('PV IN'!$N$10="Yes",PVLoan!F75*'PV IN'!$E$8,0)</f>
        <v>0</v>
      </c>
    </row>
    <row r="76" spans="1:15" x14ac:dyDescent="0.25">
      <c r="B76">
        <f t="shared" si="0"/>
        <v>44</v>
      </c>
      <c r="C76" s="2">
        <f t="shared" si="1"/>
        <v>0</v>
      </c>
      <c r="E76" s="10">
        <f t="shared" si="2"/>
        <v>0</v>
      </c>
      <c r="F76" s="2">
        <f t="shared" si="3"/>
        <v>0</v>
      </c>
      <c r="G76" s="2">
        <f>IF(ISERROR(B76),"-",IF(J75=0,0,SUM($F$33:F76)))</f>
        <v>0</v>
      </c>
      <c r="H76" s="2">
        <f t="shared" si="4"/>
        <v>0</v>
      </c>
      <c r="I76" s="2">
        <f>IF(ISERROR($B76),"-",IF(J75=0,0,SUM($H$33:H76)))</f>
        <v>0</v>
      </c>
      <c r="J76" s="2">
        <f t="shared" si="5"/>
        <v>0</v>
      </c>
      <c r="K76" s="2">
        <f t="shared" si="6"/>
        <v>0</v>
      </c>
      <c r="L76" s="2">
        <f t="shared" si="7"/>
        <v>0</v>
      </c>
      <c r="M76" s="2">
        <f t="shared" si="8"/>
        <v>0</v>
      </c>
      <c r="O76" s="2">
        <f>IF('PV IN'!$N$10="Yes",PVLoan!F76*'PV IN'!$E$8,0)</f>
        <v>0</v>
      </c>
    </row>
    <row r="77" spans="1:15" x14ac:dyDescent="0.25">
      <c r="B77">
        <f t="shared" si="0"/>
        <v>45</v>
      </c>
      <c r="C77" s="2">
        <f t="shared" si="1"/>
        <v>0</v>
      </c>
      <c r="E77" s="10">
        <f t="shared" si="2"/>
        <v>0</v>
      </c>
      <c r="F77" s="2">
        <f t="shared" si="3"/>
        <v>0</v>
      </c>
      <c r="G77" s="2">
        <f>IF(ISERROR(B77),"-",IF(J76=0,0,SUM($F$33:F77)))</f>
        <v>0</v>
      </c>
      <c r="H77" s="2">
        <f t="shared" si="4"/>
        <v>0</v>
      </c>
      <c r="I77" s="2">
        <f>IF(ISERROR($B77),"-",IF(J76=0,0,SUM($H$33:H77)))</f>
        <v>0</v>
      </c>
      <c r="J77" s="2">
        <f t="shared" si="5"/>
        <v>0</v>
      </c>
      <c r="K77" s="2">
        <f t="shared" si="6"/>
        <v>0</v>
      </c>
      <c r="L77" s="2">
        <f t="shared" si="7"/>
        <v>0</v>
      </c>
      <c r="M77" s="2">
        <f t="shared" si="8"/>
        <v>0</v>
      </c>
      <c r="O77" s="2">
        <f>IF('PV IN'!$N$10="Yes",PVLoan!F77*'PV IN'!$E$8,0)</f>
        <v>0</v>
      </c>
    </row>
    <row r="78" spans="1:15" x14ac:dyDescent="0.25">
      <c r="B78">
        <f t="shared" si="0"/>
        <v>46</v>
      </c>
      <c r="C78" s="2">
        <f t="shared" si="1"/>
        <v>0</v>
      </c>
      <c r="E78" s="10">
        <f t="shared" si="2"/>
        <v>0</v>
      </c>
      <c r="F78" s="2">
        <f t="shared" si="3"/>
        <v>0</v>
      </c>
      <c r="G78" s="2">
        <f>IF(ISERROR(B78),"-",IF(J77=0,0,SUM($F$33:F78)))</f>
        <v>0</v>
      </c>
      <c r="H78" s="2">
        <f t="shared" si="4"/>
        <v>0</v>
      </c>
      <c r="I78" s="2">
        <f>IF(ISERROR($B78),"-",IF(J77=0,0,SUM($H$33:H78)))</f>
        <v>0</v>
      </c>
      <c r="J78" s="2">
        <f t="shared" si="5"/>
        <v>0</v>
      </c>
      <c r="K78" s="2">
        <f t="shared" si="6"/>
        <v>0</v>
      </c>
      <c r="L78" s="2">
        <f t="shared" si="7"/>
        <v>0</v>
      </c>
      <c r="M78" s="2">
        <f t="shared" si="8"/>
        <v>0</v>
      </c>
      <c r="O78" s="2">
        <f>IF('PV IN'!$N$10="Yes",PVLoan!F78*'PV IN'!$E$8,0)</f>
        <v>0</v>
      </c>
    </row>
    <row r="79" spans="1:15" x14ac:dyDescent="0.25">
      <c r="B79">
        <f t="shared" si="0"/>
        <v>47</v>
      </c>
      <c r="C79" s="2">
        <f t="shared" si="1"/>
        <v>0</v>
      </c>
      <c r="E79" s="10">
        <f t="shared" si="2"/>
        <v>0</v>
      </c>
      <c r="F79" s="2">
        <f t="shared" si="3"/>
        <v>0</v>
      </c>
      <c r="G79" s="2">
        <f>IF(ISERROR(B79),"-",IF(J78=0,0,SUM($F$33:F79)))</f>
        <v>0</v>
      </c>
      <c r="H79" s="2">
        <f t="shared" si="4"/>
        <v>0</v>
      </c>
      <c r="I79" s="2">
        <f>IF(ISERROR($B79),"-",IF(J78=0,0,SUM($H$33:H79)))</f>
        <v>0</v>
      </c>
      <c r="J79" s="2">
        <f t="shared" si="5"/>
        <v>0</v>
      </c>
      <c r="K79" s="2">
        <f t="shared" si="6"/>
        <v>0</v>
      </c>
      <c r="L79" s="2">
        <f t="shared" si="7"/>
        <v>0</v>
      </c>
      <c r="M79" s="2">
        <f t="shared" si="8"/>
        <v>0</v>
      </c>
      <c r="O79" s="2">
        <f>IF('PV IN'!$N$10="Yes",PVLoan!F79*'PV IN'!$E$8,0)</f>
        <v>0</v>
      </c>
    </row>
    <row r="80" spans="1:15" x14ac:dyDescent="0.25">
      <c r="A80">
        <v>4</v>
      </c>
      <c r="B80">
        <f t="shared" si="0"/>
        <v>48</v>
      </c>
      <c r="C80" s="2">
        <f t="shared" si="1"/>
        <v>0</v>
      </c>
      <c r="E80" s="10">
        <f t="shared" si="2"/>
        <v>0</v>
      </c>
      <c r="F80" s="2">
        <f t="shared" si="3"/>
        <v>0</v>
      </c>
      <c r="G80" s="2">
        <f>IF(ISERROR(B80),"-",IF(J79=0,0,SUM($F$33:F80)))</f>
        <v>0</v>
      </c>
      <c r="H80" s="2">
        <f t="shared" si="4"/>
        <v>0</v>
      </c>
      <c r="I80" s="2">
        <f>IF(ISERROR($B80),"-",IF(J79=0,0,SUM($H$33:H80)))</f>
        <v>0</v>
      </c>
      <c r="J80" s="2">
        <f t="shared" si="5"/>
        <v>0</v>
      </c>
      <c r="K80" s="2">
        <f t="shared" si="6"/>
        <v>0</v>
      </c>
      <c r="L80" s="2">
        <f t="shared" si="7"/>
        <v>0</v>
      </c>
      <c r="M80" s="2">
        <f t="shared" si="8"/>
        <v>0</v>
      </c>
      <c r="O80" s="2">
        <f>IF('PV IN'!$N$10="Yes",PVLoan!F80*'PV IN'!$E$8,0)</f>
        <v>0</v>
      </c>
    </row>
    <row r="81" spans="1:15" x14ac:dyDescent="0.25">
      <c r="B81">
        <f t="shared" si="0"/>
        <v>49</v>
      </c>
      <c r="C81" s="2">
        <f t="shared" si="1"/>
        <v>0</v>
      </c>
      <c r="E81" s="10">
        <f t="shared" si="2"/>
        <v>0</v>
      </c>
      <c r="F81" s="2">
        <f t="shared" si="3"/>
        <v>0</v>
      </c>
      <c r="G81" s="2">
        <f>IF(ISERROR(B81),"-",IF(J80=0,0,SUM($F$33:F81)))</f>
        <v>0</v>
      </c>
      <c r="H81" s="2">
        <f t="shared" si="4"/>
        <v>0</v>
      </c>
      <c r="I81" s="2">
        <f>IF(ISERROR($B81),"-",IF(J80=0,0,SUM($H$33:H81)))</f>
        <v>0</v>
      </c>
      <c r="J81" s="2">
        <f t="shared" si="5"/>
        <v>0</v>
      </c>
      <c r="K81" s="2">
        <f t="shared" si="6"/>
        <v>0</v>
      </c>
      <c r="L81" s="2">
        <f t="shared" si="7"/>
        <v>0</v>
      </c>
      <c r="M81" s="2">
        <f t="shared" si="8"/>
        <v>0</v>
      </c>
      <c r="O81" s="2">
        <f>IF('PV IN'!$N$10="Yes",PVLoan!F81*'PV IN'!$E$8,0)</f>
        <v>0</v>
      </c>
    </row>
    <row r="82" spans="1:15" x14ac:dyDescent="0.25">
      <c r="B82">
        <f t="shared" si="0"/>
        <v>50</v>
      </c>
      <c r="C82" s="2">
        <f t="shared" si="1"/>
        <v>0</v>
      </c>
      <c r="E82" s="10">
        <f t="shared" si="2"/>
        <v>0</v>
      </c>
      <c r="F82" s="2">
        <f t="shared" si="3"/>
        <v>0</v>
      </c>
      <c r="G82" s="2">
        <f>IF(ISERROR(B82),"-",IF(J81=0,0,SUM($F$33:F82)))</f>
        <v>0</v>
      </c>
      <c r="H82" s="2">
        <f t="shared" si="4"/>
        <v>0</v>
      </c>
      <c r="I82" s="2">
        <f>IF(ISERROR($B82),"-",IF(J81=0,0,SUM($H$33:H82)))</f>
        <v>0</v>
      </c>
      <c r="J82" s="2">
        <f t="shared" si="5"/>
        <v>0</v>
      </c>
      <c r="K82" s="2">
        <f t="shared" si="6"/>
        <v>0</v>
      </c>
      <c r="L82" s="2">
        <f t="shared" si="7"/>
        <v>0</v>
      </c>
      <c r="M82" s="2">
        <f t="shared" si="8"/>
        <v>0</v>
      </c>
      <c r="O82" s="2">
        <f>IF('PV IN'!$N$10="Yes",PVLoan!F82*'PV IN'!$E$8,0)</f>
        <v>0</v>
      </c>
    </row>
    <row r="83" spans="1:15" x14ac:dyDescent="0.25">
      <c r="B83">
        <f t="shared" si="0"/>
        <v>51</v>
      </c>
      <c r="C83" s="2">
        <f t="shared" si="1"/>
        <v>0</v>
      </c>
      <c r="E83" s="10">
        <f t="shared" si="2"/>
        <v>0</v>
      </c>
      <c r="F83" s="2">
        <f t="shared" si="3"/>
        <v>0</v>
      </c>
      <c r="G83" s="2">
        <f>IF(ISERROR(B83),"-",IF(J82=0,0,SUM($F$33:F83)))</f>
        <v>0</v>
      </c>
      <c r="H83" s="2">
        <f t="shared" si="4"/>
        <v>0</v>
      </c>
      <c r="I83" s="2">
        <f>IF(ISERROR($B83),"-",IF(J82=0,0,SUM($H$33:H83)))</f>
        <v>0</v>
      </c>
      <c r="J83" s="2">
        <f t="shared" si="5"/>
        <v>0</v>
      </c>
      <c r="K83" s="2">
        <f t="shared" si="6"/>
        <v>0</v>
      </c>
      <c r="L83" s="2">
        <f t="shared" si="7"/>
        <v>0</v>
      </c>
      <c r="M83" s="2">
        <f t="shared" si="8"/>
        <v>0</v>
      </c>
      <c r="O83" s="2">
        <f>IF('PV IN'!$N$10="Yes",PVLoan!F83*'PV IN'!$E$8,0)</f>
        <v>0</v>
      </c>
    </row>
    <row r="84" spans="1:15" x14ac:dyDescent="0.25">
      <c r="B84">
        <f t="shared" si="0"/>
        <v>52</v>
      </c>
      <c r="C84" s="2">
        <f t="shared" si="1"/>
        <v>0</v>
      </c>
      <c r="E84" s="10">
        <f t="shared" si="2"/>
        <v>0</v>
      </c>
      <c r="F84" s="2">
        <f t="shared" si="3"/>
        <v>0</v>
      </c>
      <c r="G84" s="2">
        <f>IF(ISERROR(B84),"-",IF(J83=0,0,SUM($F$33:F84)))</f>
        <v>0</v>
      </c>
      <c r="H84" s="2">
        <f t="shared" si="4"/>
        <v>0</v>
      </c>
      <c r="I84" s="2">
        <f>IF(ISERROR($B84),"-",IF(J83=0,0,SUM($H$33:H84)))</f>
        <v>0</v>
      </c>
      <c r="J84" s="2">
        <f t="shared" si="5"/>
        <v>0</v>
      </c>
      <c r="K84" s="2">
        <f t="shared" si="6"/>
        <v>0</v>
      </c>
      <c r="L84" s="2">
        <f t="shared" si="7"/>
        <v>0</v>
      </c>
      <c r="M84" s="2">
        <f t="shared" si="8"/>
        <v>0</v>
      </c>
      <c r="O84" s="2">
        <f>IF('PV IN'!$N$10="Yes",PVLoan!F84*'PV IN'!$E$8,0)</f>
        <v>0</v>
      </c>
    </row>
    <row r="85" spans="1:15" x14ac:dyDescent="0.25">
      <c r="B85">
        <f t="shared" si="0"/>
        <v>53</v>
      </c>
      <c r="C85" s="2">
        <f t="shared" si="1"/>
        <v>0</v>
      </c>
      <c r="E85" s="10">
        <f t="shared" si="2"/>
        <v>0</v>
      </c>
      <c r="F85" s="2">
        <f t="shared" si="3"/>
        <v>0</v>
      </c>
      <c r="G85" s="2">
        <f>IF(ISERROR(B85),"-",IF(J84=0,0,SUM($F$33:F85)))</f>
        <v>0</v>
      </c>
      <c r="H85" s="2">
        <f t="shared" si="4"/>
        <v>0</v>
      </c>
      <c r="I85" s="2">
        <f>IF(ISERROR($B85),"-",IF(J84=0,0,SUM($H$33:H85)))</f>
        <v>0</v>
      </c>
      <c r="J85" s="2">
        <f t="shared" si="5"/>
        <v>0</v>
      </c>
      <c r="K85" s="2">
        <f t="shared" si="6"/>
        <v>0</v>
      </c>
      <c r="L85" s="2">
        <f t="shared" si="7"/>
        <v>0</v>
      </c>
      <c r="M85" s="2">
        <f t="shared" si="8"/>
        <v>0</v>
      </c>
      <c r="O85" s="2">
        <f>IF('PV IN'!$N$10="Yes",PVLoan!F85*'PV IN'!$E$8,0)</f>
        <v>0</v>
      </c>
    </row>
    <row r="86" spans="1:15" x14ac:dyDescent="0.25">
      <c r="B86">
        <f t="shared" si="0"/>
        <v>54</v>
      </c>
      <c r="C86" s="2">
        <f t="shared" si="1"/>
        <v>0</v>
      </c>
      <c r="E86" s="10">
        <f t="shared" si="2"/>
        <v>0</v>
      </c>
      <c r="F86" s="2">
        <f t="shared" si="3"/>
        <v>0</v>
      </c>
      <c r="G86" s="2">
        <f>IF(ISERROR(B86),"-",IF(J85=0,0,SUM($F$33:F86)))</f>
        <v>0</v>
      </c>
      <c r="H86" s="2">
        <f t="shared" si="4"/>
        <v>0</v>
      </c>
      <c r="I86" s="2">
        <f>IF(ISERROR($B86),"-",IF(J85=0,0,SUM($H$33:H86)))</f>
        <v>0</v>
      </c>
      <c r="J86" s="2">
        <f t="shared" si="5"/>
        <v>0</v>
      </c>
      <c r="K86" s="2">
        <f t="shared" si="6"/>
        <v>0</v>
      </c>
      <c r="L86" s="2">
        <f t="shared" si="7"/>
        <v>0</v>
      </c>
      <c r="M86" s="2">
        <f t="shared" si="8"/>
        <v>0</v>
      </c>
      <c r="O86" s="2">
        <f>IF('PV IN'!$N$10="Yes",PVLoan!F86*'PV IN'!$E$8,0)</f>
        <v>0</v>
      </c>
    </row>
    <row r="87" spans="1:15" x14ac:dyDescent="0.25">
      <c r="B87">
        <f t="shared" si="0"/>
        <v>55</v>
      </c>
      <c r="C87" s="2">
        <f t="shared" si="1"/>
        <v>0</v>
      </c>
      <c r="E87" s="10">
        <f t="shared" si="2"/>
        <v>0</v>
      </c>
      <c r="F87" s="2">
        <f t="shared" si="3"/>
        <v>0</v>
      </c>
      <c r="G87" s="2">
        <f>IF(ISERROR(B87),"-",IF(J86=0,0,SUM($F$33:F87)))</f>
        <v>0</v>
      </c>
      <c r="H87" s="2">
        <f t="shared" si="4"/>
        <v>0</v>
      </c>
      <c r="I87" s="2">
        <f>IF(ISERROR($B87),"-",IF(J86=0,0,SUM($H$33:H87)))</f>
        <v>0</v>
      </c>
      <c r="J87" s="2">
        <f t="shared" si="5"/>
        <v>0</v>
      </c>
      <c r="K87" s="2">
        <f t="shared" si="6"/>
        <v>0</v>
      </c>
      <c r="L87" s="2">
        <f t="shared" si="7"/>
        <v>0</v>
      </c>
      <c r="M87" s="2">
        <f t="shared" si="8"/>
        <v>0</v>
      </c>
      <c r="O87" s="2">
        <f>IF('PV IN'!$N$10="Yes",PVLoan!F87*'PV IN'!$E$8,0)</f>
        <v>0</v>
      </c>
    </row>
    <row r="88" spans="1:15" x14ac:dyDescent="0.25">
      <c r="B88">
        <f t="shared" si="0"/>
        <v>56</v>
      </c>
      <c r="C88" s="2">
        <f t="shared" si="1"/>
        <v>0</v>
      </c>
      <c r="E88" s="10">
        <f t="shared" si="2"/>
        <v>0</v>
      </c>
      <c r="F88" s="2">
        <f t="shared" si="3"/>
        <v>0</v>
      </c>
      <c r="G88" s="2">
        <f>IF(ISERROR(B88),"-",IF(J87=0,0,SUM($F$33:F88)))</f>
        <v>0</v>
      </c>
      <c r="H88" s="2">
        <f t="shared" si="4"/>
        <v>0</v>
      </c>
      <c r="I88" s="2">
        <f>IF(ISERROR($B88),"-",IF(J87=0,0,SUM($H$33:H88)))</f>
        <v>0</v>
      </c>
      <c r="J88" s="2">
        <f t="shared" si="5"/>
        <v>0</v>
      </c>
      <c r="K88" s="2">
        <f t="shared" si="6"/>
        <v>0</v>
      </c>
      <c r="L88" s="2">
        <f t="shared" si="7"/>
        <v>0</v>
      </c>
      <c r="M88" s="2">
        <f t="shared" si="8"/>
        <v>0</v>
      </c>
      <c r="O88" s="2">
        <f>IF('PV IN'!$N$10="Yes",PVLoan!F88*'PV IN'!$E$8,0)</f>
        <v>0</v>
      </c>
    </row>
    <row r="89" spans="1:15" x14ac:dyDescent="0.25">
      <c r="B89">
        <f t="shared" si="0"/>
        <v>57</v>
      </c>
      <c r="C89" s="2">
        <f t="shared" si="1"/>
        <v>0</v>
      </c>
      <c r="E89" s="10">
        <f t="shared" si="2"/>
        <v>0</v>
      </c>
      <c r="F89" s="2">
        <f t="shared" si="3"/>
        <v>0</v>
      </c>
      <c r="G89" s="2">
        <f>IF(ISERROR(B89),"-",IF(J88=0,0,SUM($F$33:F89)))</f>
        <v>0</v>
      </c>
      <c r="H89" s="2">
        <f t="shared" si="4"/>
        <v>0</v>
      </c>
      <c r="I89" s="2">
        <f>IF(ISERROR($B89),"-",IF(J88=0,0,SUM($H$33:H89)))</f>
        <v>0</v>
      </c>
      <c r="J89" s="2">
        <f t="shared" si="5"/>
        <v>0</v>
      </c>
      <c r="K89" s="2">
        <f t="shared" si="6"/>
        <v>0</v>
      </c>
      <c r="L89" s="2">
        <f t="shared" si="7"/>
        <v>0</v>
      </c>
      <c r="M89" s="2">
        <f t="shared" si="8"/>
        <v>0</v>
      </c>
      <c r="O89" s="2">
        <f>IF('PV IN'!$N$10="Yes",PVLoan!F89*'PV IN'!$E$8,0)</f>
        <v>0</v>
      </c>
    </row>
    <row r="90" spans="1:15" x14ac:dyDescent="0.25">
      <c r="B90">
        <f t="shared" si="0"/>
        <v>58</v>
      </c>
      <c r="C90" s="2">
        <f t="shared" si="1"/>
        <v>0</v>
      </c>
      <c r="E90" s="10">
        <f t="shared" si="2"/>
        <v>0</v>
      </c>
      <c r="F90" s="2">
        <f t="shared" si="3"/>
        <v>0</v>
      </c>
      <c r="G90" s="2">
        <f>IF(ISERROR(B90),"-",IF(J89=0,0,SUM($F$33:F90)))</f>
        <v>0</v>
      </c>
      <c r="H90" s="2">
        <f t="shared" si="4"/>
        <v>0</v>
      </c>
      <c r="I90" s="2">
        <f>IF(ISERROR($B90),"-",IF(J89=0,0,SUM($H$33:H90)))</f>
        <v>0</v>
      </c>
      <c r="J90" s="2">
        <f t="shared" si="5"/>
        <v>0</v>
      </c>
      <c r="K90" s="2">
        <f t="shared" si="6"/>
        <v>0</v>
      </c>
      <c r="L90" s="2">
        <f t="shared" si="7"/>
        <v>0</v>
      </c>
      <c r="M90" s="2">
        <f t="shared" si="8"/>
        <v>0</v>
      </c>
      <c r="O90" s="2">
        <f>IF('PV IN'!$N$10="Yes",PVLoan!F90*'PV IN'!$E$8,0)</f>
        <v>0</v>
      </c>
    </row>
    <row r="91" spans="1:15" x14ac:dyDescent="0.25">
      <c r="B91">
        <f t="shared" si="0"/>
        <v>59</v>
      </c>
      <c r="C91" s="2">
        <f t="shared" si="1"/>
        <v>0</v>
      </c>
      <c r="E91" s="10">
        <f t="shared" si="2"/>
        <v>0</v>
      </c>
      <c r="F91" s="2">
        <f t="shared" si="3"/>
        <v>0</v>
      </c>
      <c r="G91" s="2">
        <f>IF(ISERROR(B91),"-",IF(J90=0,0,SUM($F$33:F91)))</f>
        <v>0</v>
      </c>
      <c r="H91" s="2">
        <f t="shared" si="4"/>
        <v>0</v>
      </c>
      <c r="I91" s="2">
        <f>IF(ISERROR($B91),"-",IF(J90=0,0,SUM($H$33:H91)))</f>
        <v>0</v>
      </c>
      <c r="J91" s="2">
        <f t="shared" si="5"/>
        <v>0</v>
      </c>
      <c r="K91" s="2">
        <f t="shared" si="6"/>
        <v>0</v>
      </c>
      <c r="L91" s="2">
        <f t="shared" si="7"/>
        <v>0</v>
      </c>
      <c r="M91" s="2">
        <f t="shared" si="8"/>
        <v>0</v>
      </c>
      <c r="O91" s="2">
        <f>IF('PV IN'!$N$10="Yes",PVLoan!F91*'PV IN'!$E$8,0)</f>
        <v>0</v>
      </c>
    </row>
    <row r="92" spans="1:15" x14ac:dyDescent="0.25">
      <c r="A92">
        <v>5</v>
      </c>
      <c r="B92">
        <f t="shared" si="0"/>
        <v>60</v>
      </c>
      <c r="C92" s="2">
        <f t="shared" si="1"/>
        <v>0</v>
      </c>
      <c r="E92" s="10">
        <f t="shared" si="2"/>
        <v>0</v>
      </c>
      <c r="F92" s="2">
        <f t="shared" si="3"/>
        <v>0</v>
      </c>
      <c r="G92" s="2">
        <f>IF(ISERROR(B92),"-",IF(J91=0,0,SUM($F$33:F92)))</f>
        <v>0</v>
      </c>
      <c r="H92" s="2">
        <f t="shared" si="4"/>
        <v>0</v>
      </c>
      <c r="I92" s="2">
        <f>IF(ISERROR($B92),"-",IF(J91=0,0,SUM($H$33:H92)))</f>
        <v>0</v>
      </c>
      <c r="J92" s="2">
        <f t="shared" si="5"/>
        <v>0</v>
      </c>
      <c r="K92" s="2">
        <f t="shared" si="6"/>
        <v>0</v>
      </c>
      <c r="L92" s="2">
        <f t="shared" si="7"/>
        <v>0</v>
      </c>
      <c r="M92" s="2">
        <f t="shared" si="8"/>
        <v>0</v>
      </c>
      <c r="O92" s="2">
        <f>IF('PV IN'!$N$10="Yes",PVLoan!F92*'PV IN'!$E$8,0)</f>
        <v>0</v>
      </c>
    </row>
    <row r="93" spans="1:15" x14ac:dyDescent="0.25">
      <c r="B93">
        <f t="shared" si="0"/>
        <v>61</v>
      </c>
      <c r="C93" s="2">
        <f t="shared" si="1"/>
        <v>0</v>
      </c>
      <c r="E93" s="10">
        <f t="shared" si="2"/>
        <v>0</v>
      </c>
      <c r="F93" s="2">
        <f t="shared" si="3"/>
        <v>0</v>
      </c>
      <c r="G93" s="2">
        <f>IF(ISERROR(B93),"-",IF(J92=0,0,SUM($F$33:F93)))</f>
        <v>0</v>
      </c>
      <c r="H93" s="2">
        <f t="shared" si="4"/>
        <v>0</v>
      </c>
      <c r="I93" s="2">
        <f>IF(ISERROR($B93),"-",IF(J92=0,0,SUM($H$33:H93)))</f>
        <v>0</v>
      </c>
      <c r="J93" s="2">
        <f t="shared" si="5"/>
        <v>0</v>
      </c>
      <c r="K93" s="2">
        <f t="shared" si="6"/>
        <v>0</v>
      </c>
      <c r="L93" s="2">
        <f t="shared" si="7"/>
        <v>0</v>
      </c>
      <c r="M93" s="2">
        <f t="shared" si="8"/>
        <v>0</v>
      </c>
      <c r="O93" s="2">
        <f>IF('PV IN'!$N$10="Yes",PVLoan!F93*'PV IN'!$E$8,0)</f>
        <v>0</v>
      </c>
    </row>
    <row r="94" spans="1:15" x14ac:dyDescent="0.25">
      <c r="B94">
        <f t="shared" si="0"/>
        <v>62</v>
      </c>
      <c r="C94" s="2">
        <f t="shared" si="1"/>
        <v>0</v>
      </c>
      <c r="E94" s="10">
        <f t="shared" si="2"/>
        <v>0</v>
      </c>
      <c r="F94" s="2">
        <f t="shared" si="3"/>
        <v>0</v>
      </c>
      <c r="G94" s="2">
        <f>IF(ISERROR(B94),"-",IF(J93=0,0,SUM($F$33:F94)))</f>
        <v>0</v>
      </c>
      <c r="H94" s="2">
        <f t="shared" si="4"/>
        <v>0</v>
      </c>
      <c r="I94" s="2">
        <f>IF(ISERROR($B94),"-",IF(J93=0,0,SUM($H$33:H94)))</f>
        <v>0</v>
      </c>
      <c r="J94" s="2">
        <f t="shared" si="5"/>
        <v>0</v>
      </c>
      <c r="K94" s="2">
        <f t="shared" si="6"/>
        <v>0</v>
      </c>
      <c r="L94" s="2">
        <f t="shared" si="7"/>
        <v>0</v>
      </c>
      <c r="M94" s="2">
        <f t="shared" si="8"/>
        <v>0</v>
      </c>
      <c r="O94" s="2">
        <f>IF('PV IN'!$N$10="Yes",PVLoan!F94*'PV IN'!$E$8,0)</f>
        <v>0</v>
      </c>
    </row>
    <row r="95" spans="1:15" x14ac:dyDescent="0.25">
      <c r="B95">
        <f t="shared" si="0"/>
        <v>63</v>
      </c>
      <c r="C95" s="2">
        <f t="shared" si="1"/>
        <v>0</v>
      </c>
      <c r="E95" s="10">
        <f t="shared" si="2"/>
        <v>0</v>
      </c>
      <c r="F95" s="2">
        <f t="shared" si="3"/>
        <v>0</v>
      </c>
      <c r="G95" s="2">
        <f>IF(ISERROR(B95),"-",IF(J94=0,0,SUM($F$33:F95)))</f>
        <v>0</v>
      </c>
      <c r="H95" s="2">
        <f t="shared" si="4"/>
        <v>0</v>
      </c>
      <c r="I95" s="2">
        <f>IF(ISERROR($B95),"-",IF(J94=0,0,SUM($H$33:H95)))</f>
        <v>0</v>
      </c>
      <c r="J95" s="2">
        <f t="shared" si="5"/>
        <v>0</v>
      </c>
      <c r="K95" s="2">
        <f t="shared" si="6"/>
        <v>0</v>
      </c>
      <c r="L95" s="2">
        <f t="shared" si="7"/>
        <v>0</v>
      </c>
      <c r="M95" s="2">
        <f t="shared" si="8"/>
        <v>0</v>
      </c>
      <c r="O95" s="2">
        <f>IF('PV IN'!$N$10="Yes",PVLoan!F95*'PV IN'!$E$8,0)</f>
        <v>0</v>
      </c>
    </row>
    <row r="96" spans="1:15" x14ac:dyDescent="0.25">
      <c r="B96">
        <f t="shared" si="0"/>
        <v>64</v>
      </c>
      <c r="C96" s="2">
        <f t="shared" si="1"/>
        <v>0</v>
      </c>
      <c r="E96" s="10">
        <f t="shared" si="2"/>
        <v>0</v>
      </c>
      <c r="F96" s="2">
        <f t="shared" si="3"/>
        <v>0</v>
      </c>
      <c r="G96" s="2">
        <f>IF(ISERROR(B96),"-",IF(J95=0,0,SUM($F$33:F96)))</f>
        <v>0</v>
      </c>
      <c r="H96" s="2">
        <f t="shared" si="4"/>
        <v>0</v>
      </c>
      <c r="I96" s="2">
        <f>IF(ISERROR($B96),"-",IF(J95=0,0,SUM($H$33:H96)))</f>
        <v>0</v>
      </c>
      <c r="J96" s="2">
        <f t="shared" si="5"/>
        <v>0</v>
      </c>
      <c r="K96" s="2">
        <f t="shared" si="6"/>
        <v>0</v>
      </c>
      <c r="L96" s="2">
        <f t="shared" si="7"/>
        <v>0</v>
      </c>
      <c r="M96" s="2">
        <f t="shared" si="8"/>
        <v>0</v>
      </c>
      <c r="O96" s="2">
        <f>IF('PV IN'!$N$10="Yes",PVLoan!F96*'PV IN'!$E$8,0)</f>
        <v>0</v>
      </c>
    </row>
    <row r="97" spans="1:15" x14ac:dyDescent="0.25">
      <c r="B97">
        <f t="shared" si="0"/>
        <v>65</v>
      </c>
      <c r="C97" s="2">
        <f t="shared" si="1"/>
        <v>0</v>
      </c>
      <c r="E97" s="10">
        <f t="shared" si="2"/>
        <v>0</v>
      </c>
      <c r="F97" s="2">
        <f t="shared" si="3"/>
        <v>0</v>
      </c>
      <c r="G97" s="2">
        <f>IF(ISERROR(B97),"-",IF(J96=0,0,SUM($F$33:F97)))</f>
        <v>0</v>
      </c>
      <c r="H97" s="2">
        <f t="shared" si="4"/>
        <v>0</v>
      </c>
      <c r="I97" s="2">
        <f>IF(ISERROR($B97),"-",IF(J96=0,0,SUM($H$33:H97)))</f>
        <v>0</v>
      </c>
      <c r="J97" s="2">
        <f t="shared" si="5"/>
        <v>0</v>
      </c>
      <c r="K97" s="2">
        <f t="shared" si="6"/>
        <v>0</v>
      </c>
      <c r="L97" s="2">
        <f t="shared" si="7"/>
        <v>0</v>
      </c>
      <c r="M97" s="2">
        <f t="shared" si="8"/>
        <v>0</v>
      </c>
      <c r="O97" s="2">
        <f>IF('PV IN'!$N$10="Yes",PVLoan!F97*'PV IN'!$E$8,0)</f>
        <v>0</v>
      </c>
    </row>
    <row r="98" spans="1:15" x14ac:dyDescent="0.25">
      <c r="B98">
        <f t="shared" ref="B98:B161" si="9">IF(B97&gt;=$E$9,NA(),B97+1)</f>
        <v>66</v>
      </c>
      <c r="C98" s="2">
        <f t="shared" ref="C98:C161" si="10">IF(ISERROR(B98),"0",IF(J97=0,0,$E$11))</f>
        <v>0</v>
      </c>
      <c r="E98" s="10">
        <f t="shared" ref="E98:E161" si="11">C98+D98</f>
        <v>0</v>
      </c>
      <c r="F98" s="2">
        <f t="shared" ref="F98:F161" si="12">IF(ISERROR(B98),0,$E$8*J97)</f>
        <v>0</v>
      </c>
      <c r="G98" s="2">
        <f>IF(ISERROR(B98),"-",IF(J97=0,0,SUM($F$33:F98)))</f>
        <v>0</v>
      </c>
      <c r="H98" s="2">
        <f t="shared" ref="H98:H161" si="13">IF(ISERROR($B98),0,IF(J97=0,0,E98-F98))</f>
        <v>0</v>
      </c>
      <c r="I98" s="2">
        <f>IF(ISERROR($B98),"-",IF(J97=0,0,SUM($H$33:H98)))</f>
        <v>0</v>
      </c>
      <c r="J98" s="2">
        <f t="shared" ref="J98:J161" si="14">IF(ISERROR($B98),"-",IF(J97-H98&lt;0,0,J97-H98))</f>
        <v>0</v>
      </c>
      <c r="K98" s="2">
        <f t="shared" ref="K98:K161" si="15">IF(ISERROR(B98),"-",J97-H98)</f>
        <v>0</v>
      </c>
      <c r="L98" s="2">
        <f t="shared" ref="L98:L161" si="16">IF(K98&gt;=0,E98,E98+K98)</f>
        <v>0</v>
      </c>
      <c r="M98" s="2">
        <f t="shared" ref="M98:M161" si="17">-IF(K98&lt;0,K98,0)</f>
        <v>0</v>
      </c>
      <c r="O98" s="2">
        <f>IF('PV IN'!$N$10="Yes",PVLoan!F98*'PV IN'!$E$8,0)</f>
        <v>0</v>
      </c>
    </row>
    <row r="99" spans="1:15" x14ac:dyDescent="0.25">
      <c r="B99">
        <f t="shared" si="9"/>
        <v>67</v>
      </c>
      <c r="C99" s="2">
        <f t="shared" si="10"/>
        <v>0</v>
      </c>
      <c r="E99" s="10">
        <f t="shared" si="11"/>
        <v>0</v>
      </c>
      <c r="F99" s="2">
        <f t="shared" si="12"/>
        <v>0</v>
      </c>
      <c r="G99" s="2">
        <f>IF(ISERROR(B99),"-",IF(J98=0,0,SUM($F$33:F99)))</f>
        <v>0</v>
      </c>
      <c r="H99" s="2">
        <f t="shared" si="13"/>
        <v>0</v>
      </c>
      <c r="I99" s="2">
        <f>IF(ISERROR($B99),"-",IF(J98=0,0,SUM($H$33:H99)))</f>
        <v>0</v>
      </c>
      <c r="J99" s="2">
        <f t="shared" si="14"/>
        <v>0</v>
      </c>
      <c r="K99" s="2">
        <f t="shared" si="15"/>
        <v>0</v>
      </c>
      <c r="L99" s="2">
        <f t="shared" si="16"/>
        <v>0</v>
      </c>
      <c r="M99" s="2">
        <f t="shared" si="17"/>
        <v>0</v>
      </c>
      <c r="O99" s="2">
        <f>IF('PV IN'!$N$10="Yes",PVLoan!F99*'PV IN'!$E$8,0)</f>
        <v>0</v>
      </c>
    </row>
    <row r="100" spans="1:15" x14ac:dyDescent="0.25">
      <c r="B100">
        <f t="shared" si="9"/>
        <v>68</v>
      </c>
      <c r="C100" s="2">
        <f t="shared" si="10"/>
        <v>0</v>
      </c>
      <c r="E100" s="10">
        <f t="shared" si="11"/>
        <v>0</v>
      </c>
      <c r="F100" s="2">
        <f t="shared" si="12"/>
        <v>0</v>
      </c>
      <c r="G100" s="2">
        <f>IF(ISERROR(B100),"-",IF(J99=0,0,SUM($F$33:F100)))</f>
        <v>0</v>
      </c>
      <c r="H100" s="2">
        <f t="shared" si="13"/>
        <v>0</v>
      </c>
      <c r="I100" s="2">
        <f>IF(ISERROR($B100),"-",IF(J99=0,0,SUM($H$33:H100)))</f>
        <v>0</v>
      </c>
      <c r="J100" s="2">
        <f t="shared" si="14"/>
        <v>0</v>
      </c>
      <c r="K100" s="2">
        <f t="shared" si="15"/>
        <v>0</v>
      </c>
      <c r="L100" s="2">
        <f t="shared" si="16"/>
        <v>0</v>
      </c>
      <c r="M100" s="2">
        <f t="shared" si="17"/>
        <v>0</v>
      </c>
      <c r="O100" s="2">
        <f>IF('PV IN'!$N$10="Yes",PVLoan!F100*'PV IN'!$E$8,0)</f>
        <v>0</v>
      </c>
    </row>
    <row r="101" spans="1:15" x14ac:dyDescent="0.25">
      <c r="B101">
        <f t="shared" si="9"/>
        <v>69</v>
      </c>
      <c r="C101" s="2">
        <f t="shared" si="10"/>
        <v>0</v>
      </c>
      <c r="E101" s="10">
        <f t="shared" si="11"/>
        <v>0</v>
      </c>
      <c r="F101" s="2">
        <f t="shared" si="12"/>
        <v>0</v>
      </c>
      <c r="G101" s="2">
        <f>IF(ISERROR(B101),"-",IF(J100=0,0,SUM($F$33:F101)))</f>
        <v>0</v>
      </c>
      <c r="H101" s="2">
        <f t="shared" si="13"/>
        <v>0</v>
      </c>
      <c r="I101" s="2">
        <f>IF(ISERROR($B101),"-",IF(J100=0,0,SUM($H$33:H101)))</f>
        <v>0</v>
      </c>
      <c r="J101" s="2">
        <f t="shared" si="14"/>
        <v>0</v>
      </c>
      <c r="K101" s="2">
        <f t="shared" si="15"/>
        <v>0</v>
      </c>
      <c r="L101" s="2">
        <f t="shared" si="16"/>
        <v>0</v>
      </c>
      <c r="M101" s="2">
        <f t="shared" si="17"/>
        <v>0</v>
      </c>
      <c r="O101" s="2">
        <f>IF('PV IN'!$N$10="Yes",PVLoan!F101*'PV IN'!$E$8,0)</f>
        <v>0</v>
      </c>
    </row>
    <row r="102" spans="1:15" x14ac:dyDescent="0.25">
      <c r="B102">
        <f t="shared" si="9"/>
        <v>70</v>
      </c>
      <c r="C102" s="2">
        <f t="shared" si="10"/>
        <v>0</v>
      </c>
      <c r="E102" s="10">
        <f t="shared" si="11"/>
        <v>0</v>
      </c>
      <c r="F102" s="2">
        <f t="shared" si="12"/>
        <v>0</v>
      </c>
      <c r="G102" s="2">
        <f>IF(ISERROR(B102),"-",IF(J101=0,0,SUM($F$33:F102)))</f>
        <v>0</v>
      </c>
      <c r="H102" s="2">
        <f t="shared" si="13"/>
        <v>0</v>
      </c>
      <c r="I102" s="2">
        <f>IF(ISERROR($B102),"-",IF(J101=0,0,SUM($H$33:H102)))</f>
        <v>0</v>
      </c>
      <c r="J102" s="2">
        <f t="shared" si="14"/>
        <v>0</v>
      </c>
      <c r="K102" s="2">
        <f t="shared" si="15"/>
        <v>0</v>
      </c>
      <c r="L102" s="2">
        <f t="shared" si="16"/>
        <v>0</v>
      </c>
      <c r="M102" s="2">
        <f t="shared" si="17"/>
        <v>0</v>
      </c>
      <c r="O102" s="2">
        <f>IF('PV IN'!$N$10="Yes",PVLoan!F102*'PV IN'!$E$8,0)</f>
        <v>0</v>
      </c>
    </row>
    <row r="103" spans="1:15" x14ac:dyDescent="0.25">
      <c r="B103">
        <f t="shared" si="9"/>
        <v>71</v>
      </c>
      <c r="C103" s="2">
        <f t="shared" si="10"/>
        <v>0</v>
      </c>
      <c r="E103" s="10">
        <f t="shared" si="11"/>
        <v>0</v>
      </c>
      <c r="F103" s="2">
        <f t="shared" si="12"/>
        <v>0</v>
      </c>
      <c r="G103" s="2">
        <f>IF(ISERROR(B103),"-",IF(J102=0,0,SUM($F$33:F103)))</f>
        <v>0</v>
      </c>
      <c r="H103" s="2">
        <f t="shared" si="13"/>
        <v>0</v>
      </c>
      <c r="I103" s="2">
        <f>IF(ISERROR($B103),"-",IF(J102=0,0,SUM($H$33:H103)))</f>
        <v>0</v>
      </c>
      <c r="J103" s="2">
        <f t="shared" si="14"/>
        <v>0</v>
      </c>
      <c r="K103" s="2">
        <f t="shared" si="15"/>
        <v>0</v>
      </c>
      <c r="L103" s="2">
        <f t="shared" si="16"/>
        <v>0</v>
      </c>
      <c r="M103" s="2">
        <f t="shared" si="17"/>
        <v>0</v>
      </c>
      <c r="O103" s="2">
        <f>IF('PV IN'!$N$10="Yes",PVLoan!F103*'PV IN'!$E$8,0)</f>
        <v>0</v>
      </c>
    </row>
    <row r="104" spans="1:15" x14ac:dyDescent="0.25">
      <c r="A104">
        <v>6</v>
      </c>
      <c r="B104">
        <f t="shared" si="9"/>
        <v>72</v>
      </c>
      <c r="C104" s="2">
        <f t="shared" si="10"/>
        <v>0</v>
      </c>
      <c r="E104" s="10">
        <f t="shared" si="11"/>
        <v>0</v>
      </c>
      <c r="F104" s="2">
        <f t="shared" si="12"/>
        <v>0</v>
      </c>
      <c r="G104" s="2">
        <f>IF(ISERROR(B104),"-",IF(J103=0,0,SUM($F$33:F104)))</f>
        <v>0</v>
      </c>
      <c r="H104" s="2">
        <f t="shared" si="13"/>
        <v>0</v>
      </c>
      <c r="I104" s="2">
        <f>IF(ISERROR($B104),"-",IF(J103=0,0,SUM($H$33:H104)))</f>
        <v>0</v>
      </c>
      <c r="J104" s="2">
        <f t="shared" si="14"/>
        <v>0</v>
      </c>
      <c r="K104" s="2">
        <f t="shared" si="15"/>
        <v>0</v>
      </c>
      <c r="L104" s="2">
        <f t="shared" si="16"/>
        <v>0</v>
      </c>
      <c r="M104" s="2">
        <f t="shared" si="17"/>
        <v>0</v>
      </c>
      <c r="O104" s="2">
        <f>IF('PV IN'!$N$10="Yes",PVLoan!F104*'PV IN'!$E$8,0)</f>
        <v>0</v>
      </c>
    </row>
    <row r="105" spans="1:15" x14ac:dyDescent="0.25">
      <c r="B105">
        <f t="shared" si="9"/>
        <v>73</v>
      </c>
      <c r="C105" s="2">
        <f t="shared" si="10"/>
        <v>0</v>
      </c>
      <c r="E105" s="10">
        <f t="shared" si="11"/>
        <v>0</v>
      </c>
      <c r="F105" s="2">
        <f t="shared" si="12"/>
        <v>0</v>
      </c>
      <c r="G105" s="2">
        <f>IF(ISERROR(B105),"-",IF(J104=0,0,SUM($F$33:F105)))</f>
        <v>0</v>
      </c>
      <c r="H105" s="2">
        <f t="shared" si="13"/>
        <v>0</v>
      </c>
      <c r="I105" s="2">
        <f>IF(ISERROR($B105),"-",IF(J104=0,0,SUM($H$33:H105)))</f>
        <v>0</v>
      </c>
      <c r="J105" s="2">
        <f t="shared" si="14"/>
        <v>0</v>
      </c>
      <c r="K105" s="2">
        <f t="shared" si="15"/>
        <v>0</v>
      </c>
      <c r="L105" s="2">
        <f t="shared" si="16"/>
        <v>0</v>
      </c>
      <c r="M105" s="2">
        <f t="shared" si="17"/>
        <v>0</v>
      </c>
      <c r="O105" s="2">
        <f>IF('PV IN'!$N$10="Yes",PVLoan!F105*'PV IN'!$E$8,0)</f>
        <v>0</v>
      </c>
    </row>
    <row r="106" spans="1:15" x14ac:dyDescent="0.25">
      <c r="B106">
        <f t="shared" si="9"/>
        <v>74</v>
      </c>
      <c r="C106" s="2">
        <f t="shared" si="10"/>
        <v>0</v>
      </c>
      <c r="E106" s="10">
        <f t="shared" si="11"/>
        <v>0</v>
      </c>
      <c r="F106" s="2">
        <f t="shared" si="12"/>
        <v>0</v>
      </c>
      <c r="G106" s="2">
        <f>IF(ISERROR(B106),"-",IF(J105=0,0,SUM($F$33:F106)))</f>
        <v>0</v>
      </c>
      <c r="H106" s="2">
        <f t="shared" si="13"/>
        <v>0</v>
      </c>
      <c r="I106" s="2">
        <f>IF(ISERROR($B106),"-",IF(J105=0,0,SUM($H$33:H106)))</f>
        <v>0</v>
      </c>
      <c r="J106" s="2">
        <f t="shared" si="14"/>
        <v>0</v>
      </c>
      <c r="K106" s="2">
        <f t="shared" si="15"/>
        <v>0</v>
      </c>
      <c r="L106" s="2">
        <f t="shared" si="16"/>
        <v>0</v>
      </c>
      <c r="M106" s="2">
        <f t="shared" si="17"/>
        <v>0</v>
      </c>
      <c r="O106" s="2">
        <f>IF('PV IN'!$N$10="Yes",PVLoan!F106*'PV IN'!$E$8,0)</f>
        <v>0</v>
      </c>
    </row>
    <row r="107" spans="1:15" x14ac:dyDescent="0.25">
      <c r="B107">
        <f t="shared" si="9"/>
        <v>75</v>
      </c>
      <c r="C107" s="2">
        <f t="shared" si="10"/>
        <v>0</v>
      </c>
      <c r="E107" s="10">
        <f t="shared" si="11"/>
        <v>0</v>
      </c>
      <c r="F107" s="2">
        <f t="shared" si="12"/>
        <v>0</v>
      </c>
      <c r="G107" s="2">
        <f>IF(ISERROR(B107),"-",IF(J106=0,0,SUM($F$33:F107)))</f>
        <v>0</v>
      </c>
      <c r="H107" s="2">
        <f t="shared" si="13"/>
        <v>0</v>
      </c>
      <c r="I107" s="2">
        <f>IF(ISERROR($B107),"-",IF(J106=0,0,SUM($H$33:H107)))</f>
        <v>0</v>
      </c>
      <c r="J107" s="2">
        <f t="shared" si="14"/>
        <v>0</v>
      </c>
      <c r="K107" s="2">
        <f t="shared" si="15"/>
        <v>0</v>
      </c>
      <c r="L107" s="2">
        <f t="shared" si="16"/>
        <v>0</v>
      </c>
      <c r="M107" s="2">
        <f t="shared" si="17"/>
        <v>0</v>
      </c>
      <c r="O107" s="2">
        <f>IF('PV IN'!$N$10="Yes",PVLoan!F107*'PV IN'!$E$8,0)</f>
        <v>0</v>
      </c>
    </row>
    <row r="108" spans="1:15" x14ac:dyDescent="0.25">
      <c r="B108">
        <f t="shared" si="9"/>
        <v>76</v>
      </c>
      <c r="C108" s="2">
        <f t="shared" si="10"/>
        <v>0</v>
      </c>
      <c r="E108" s="10">
        <f t="shared" si="11"/>
        <v>0</v>
      </c>
      <c r="F108" s="2">
        <f t="shared" si="12"/>
        <v>0</v>
      </c>
      <c r="G108" s="2">
        <f>IF(ISERROR(B108),"-",IF(J107=0,0,SUM($F$33:F108)))</f>
        <v>0</v>
      </c>
      <c r="H108" s="2">
        <f t="shared" si="13"/>
        <v>0</v>
      </c>
      <c r="I108" s="2">
        <f>IF(ISERROR($B108),"-",IF(J107=0,0,SUM($H$33:H108)))</f>
        <v>0</v>
      </c>
      <c r="J108" s="2">
        <f t="shared" si="14"/>
        <v>0</v>
      </c>
      <c r="K108" s="2">
        <f t="shared" si="15"/>
        <v>0</v>
      </c>
      <c r="L108" s="2">
        <f t="shared" si="16"/>
        <v>0</v>
      </c>
      <c r="M108" s="2">
        <f t="shared" si="17"/>
        <v>0</v>
      </c>
      <c r="O108" s="2">
        <f>IF('PV IN'!$N$10="Yes",PVLoan!F108*'PV IN'!$E$8,0)</f>
        <v>0</v>
      </c>
    </row>
    <row r="109" spans="1:15" x14ac:dyDescent="0.25">
      <c r="B109">
        <f t="shared" si="9"/>
        <v>77</v>
      </c>
      <c r="C109" s="2">
        <f t="shared" si="10"/>
        <v>0</v>
      </c>
      <c r="E109" s="10">
        <f t="shared" si="11"/>
        <v>0</v>
      </c>
      <c r="F109" s="2">
        <f t="shared" si="12"/>
        <v>0</v>
      </c>
      <c r="G109" s="2">
        <f>IF(ISERROR(B109),"-",IF(J108=0,0,SUM($F$33:F109)))</f>
        <v>0</v>
      </c>
      <c r="H109" s="2">
        <f t="shared" si="13"/>
        <v>0</v>
      </c>
      <c r="I109" s="2">
        <f>IF(ISERROR($B109),"-",IF(J108=0,0,SUM($H$33:H109)))</f>
        <v>0</v>
      </c>
      <c r="J109" s="2">
        <f t="shared" si="14"/>
        <v>0</v>
      </c>
      <c r="K109" s="2">
        <f t="shared" si="15"/>
        <v>0</v>
      </c>
      <c r="L109" s="2">
        <f t="shared" si="16"/>
        <v>0</v>
      </c>
      <c r="M109" s="2">
        <f t="shared" si="17"/>
        <v>0</v>
      </c>
      <c r="O109" s="2">
        <f>IF('PV IN'!$N$10="Yes",PVLoan!F109*'PV IN'!$E$8,0)</f>
        <v>0</v>
      </c>
    </row>
    <row r="110" spans="1:15" x14ac:dyDescent="0.25">
      <c r="B110">
        <f t="shared" si="9"/>
        <v>78</v>
      </c>
      <c r="C110" s="2">
        <f t="shared" si="10"/>
        <v>0</v>
      </c>
      <c r="E110" s="10">
        <f t="shared" si="11"/>
        <v>0</v>
      </c>
      <c r="F110" s="2">
        <f t="shared" si="12"/>
        <v>0</v>
      </c>
      <c r="G110" s="2">
        <f>IF(ISERROR(B110),"-",IF(J109=0,0,SUM($F$33:F110)))</f>
        <v>0</v>
      </c>
      <c r="H110" s="2">
        <f t="shared" si="13"/>
        <v>0</v>
      </c>
      <c r="I110" s="2">
        <f>IF(ISERROR($B110),"-",IF(J109=0,0,SUM($H$33:H110)))</f>
        <v>0</v>
      </c>
      <c r="J110" s="2">
        <f t="shared" si="14"/>
        <v>0</v>
      </c>
      <c r="K110" s="2">
        <f t="shared" si="15"/>
        <v>0</v>
      </c>
      <c r="L110" s="2">
        <f t="shared" si="16"/>
        <v>0</v>
      </c>
      <c r="M110" s="2">
        <f t="shared" si="17"/>
        <v>0</v>
      </c>
      <c r="O110" s="2">
        <f>IF('PV IN'!$N$10="Yes",PVLoan!F110*'PV IN'!$E$8,0)</f>
        <v>0</v>
      </c>
    </row>
    <row r="111" spans="1:15" x14ac:dyDescent="0.25">
      <c r="B111">
        <f t="shared" si="9"/>
        <v>79</v>
      </c>
      <c r="C111" s="2">
        <f t="shared" si="10"/>
        <v>0</v>
      </c>
      <c r="E111" s="10">
        <f t="shared" si="11"/>
        <v>0</v>
      </c>
      <c r="F111" s="2">
        <f t="shared" si="12"/>
        <v>0</v>
      </c>
      <c r="G111" s="2">
        <f>IF(ISERROR(B111),"-",IF(J110=0,0,SUM($F$33:F111)))</f>
        <v>0</v>
      </c>
      <c r="H111" s="2">
        <f t="shared" si="13"/>
        <v>0</v>
      </c>
      <c r="I111" s="2">
        <f>IF(ISERROR($B111),"-",IF(J110=0,0,SUM($H$33:H111)))</f>
        <v>0</v>
      </c>
      <c r="J111" s="2">
        <f t="shared" si="14"/>
        <v>0</v>
      </c>
      <c r="K111" s="2">
        <f t="shared" si="15"/>
        <v>0</v>
      </c>
      <c r="L111" s="2">
        <f t="shared" si="16"/>
        <v>0</v>
      </c>
      <c r="M111" s="2">
        <f t="shared" si="17"/>
        <v>0</v>
      </c>
      <c r="O111" s="2">
        <f>IF('PV IN'!$N$10="Yes",PVLoan!F111*'PV IN'!$E$8,0)</f>
        <v>0</v>
      </c>
    </row>
    <row r="112" spans="1:15" x14ac:dyDescent="0.25">
      <c r="B112">
        <f t="shared" si="9"/>
        <v>80</v>
      </c>
      <c r="C112" s="2">
        <f t="shared" si="10"/>
        <v>0</v>
      </c>
      <c r="E112" s="10">
        <f t="shared" si="11"/>
        <v>0</v>
      </c>
      <c r="F112" s="2">
        <f t="shared" si="12"/>
        <v>0</v>
      </c>
      <c r="G112" s="2">
        <f>IF(ISERROR(B112),"-",IF(J111=0,0,SUM($F$33:F112)))</f>
        <v>0</v>
      </c>
      <c r="H112" s="2">
        <f t="shared" si="13"/>
        <v>0</v>
      </c>
      <c r="I112" s="2">
        <f>IF(ISERROR($B112),"-",IF(J111=0,0,SUM($H$33:H112)))</f>
        <v>0</v>
      </c>
      <c r="J112" s="2">
        <f t="shared" si="14"/>
        <v>0</v>
      </c>
      <c r="K112" s="2">
        <f t="shared" si="15"/>
        <v>0</v>
      </c>
      <c r="L112" s="2">
        <f t="shared" si="16"/>
        <v>0</v>
      </c>
      <c r="M112" s="2">
        <f t="shared" si="17"/>
        <v>0</v>
      </c>
      <c r="O112" s="2">
        <f>IF('PV IN'!$N$10="Yes",PVLoan!F112*'PV IN'!$E$8,0)</f>
        <v>0</v>
      </c>
    </row>
    <row r="113" spans="1:15" x14ac:dyDescent="0.25">
      <c r="B113">
        <f t="shared" si="9"/>
        <v>81</v>
      </c>
      <c r="C113" s="2">
        <f t="shared" si="10"/>
        <v>0</v>
      </c>
      <c r="E113" s="10">
        <f t="shared" si="11"/>
        <v>0</v>
      </c>
      <c r="F113" s="2">
        <f t="shared" si="12"/>
        <v>0</v>
      </c>
      <c r="G113" s="2">
        <f>IF(ISERROR(B113),"-",IF(J112=0,0,SUM($F$33:F113)))</f>
        <v>0</v>
      </c>
      <c r="H113" s="2">
        <f t="shared" si="13"/>
        <v>0</v>
      </c>
      <c r="I113" s="2">
        <f>IF(ISERROR($B113),"-",IF(J112=0,0,SUM($H$33:H113)))</f>
        <v>0</v>
      </c>
      <c r="J113" s="2">
        <f t="shared" si="14"/>
        <v>0</v>
      </c>
      <c r="K113" s="2">
        <f t="shared" si="15"/>
        <v>0</v>
      </c>
      <c r="L113" s="2">
        <f t="shared" si="16"/>
        <v>0</v>
      </c>
      <c r="M113" s="2">
        <f t="shared" si="17"/>
        <v>0</v>
      </c>
      <c r="O113" s="2">
        <f>IF('PV IN'!$N$10="Yes",PVLoan!F113*'PV IN'!$E$8,0)</f>
        <v>0</v>
      </c>
    </row>
    <row r="114" spans="1:15" x14ac:dyDescent="0.25">
      <c r="B114">
        <f t="shared" si="9"/>
        <v>82</v>
      </c>
      <c r="C114" s="2">
        <f t="shared" si="10"/>
        <v>0</v>
      </c>
      <c r="E114" s="10">
        <f t="shared" si="11"/>
        <v>0</v>
      </c>
      <c r="F114" s="2">
        <f t="shared" si="12"/>
        <v>0</v>
      </c>
      <c r="G114" s="2">
        <f>IF(ISERROR(B114),"-",IF(J113=0,0,SUM($F$33:F114)))</f>
        <v>0</v>
      </c>
      <c r="H114" s="2">
        <f t="shared" si="13"/>
        <v>0</v>
      </c>
      <c r="I114" s="2">
        <f>IF(ISERROR($B114),"-",IF(J113=0,0,SUM($H$33:H114)))</f>
        <v>0</v>
      </c>
      <c r="J114" s="2">
        <f t="shared" si="14"/>
        <v>0</v>
      </c>
      <c r="K114" s="2">
        <f t="shared" si="15"/>
        <v>0</v>
      </c>
      <c r="L114" s="2">
        <f t="shared" si="16"/>
        <v>0</v>
      </c>
      <c r="M114" s="2">
        <f t="shared" si="17"/>
        <v>0</v>
      </c>
      <c r="O114" s="2">
        <f>IF('PV IN'!$N$10="Yes",PVLoan!F114*'PV IN'!$E$8,0)</f>
        <v>0</v>
      </c>
    </row>
    <row r="115" spans="1:15" x14ac:dyDescent="0.25">
      <c r="B115">
        <f t="shared" si="9"/>
        <v>83</v>
      </c>
      <c r="C115" s="2">
        <f t="shared" si="10"/>
        <v>0</v>
      </c>
      <c r="E115" s="10">
        <f t="shared" si="11"/>
        <v>0</v>
      </c>
      <c r="F115" s="2">
        <f t="shared" si="12"/>
        <v>0</v>
      </c>
      <c r="G115" s="2">
        <f>IF(ISERROR(B115),"-",IF(J114=0,0,SUM($F$33:F115)))</f>
        <v>0</v>
      </c>
      <c r="H115" s="2">
        <f t="shared" si="13"/>
        <v>0</v>
      </c>
      <c r="I115" s="2">
        <f>IF(ISERROR($B115),"-",IF(J114=0,0,SUM($H$33:H115)))</f>
        <v>0</v>
      </c>
      <c r="J115" s="2">
        <f t="shared" si="14"/>
        <v>0</v>
      </c>
      <c r="K115" s="2">
        <f t="shared" si="15"/>
        <v>0</v>
      </c>
      <c r="L115" s="2">
        <f t="shared" si="16"/>
        <v>0</v>
      </c>
      <c r="M115" s="2">
        <f t="shared" si="17"/>
        <v>0</v>
      </c>
      <c r="O115" s="2">
        <f>IF('PV IN'!$N$10="Yes",PVLoan!F115*'PV IN'!$E$8,0)</f>
        <v>0</v>
      </c>
    </row>
    <row r="116" spans="1:15" x14ac:dyDescent="0.25">
      <c r="A116">
        <v>7</v>
      </c>
      <c r="B116">
        <f t="shared" si="9"/>
        <v>84</v>
      </c>
      <c r="C116" s="2">
        <f t="shared" si="10"/>
        <v>0</v>
      </c>
      <c r="E116" s="10">
        <f t="shared" si="11"/>
        <v>0</v>
      </c>
      <c r="F116" s="2">
        <f t="shared" si="12"/>
        <v>0</v>
      </c>
      <c r="G116" s="2">
        <f>IF(ISERROR(B116),"-",IF(J115=0,0,SUM($F$33:F116)))</f>
        <v>0</v>
      </c>
      <c r="H116" s="2">
        <f t="shared" si="13"/>
        <v>0</v>
      </c>
      <c r="I116" s="2">
        <f>IF(ISERROR($B116),"-",IF(J115=0,0,SUM($H$33:H116)))</f>
        <v>0</v>
      </c>
      <c r="J116" s="2">
        <f t="shared" si="14"/>
        <v>0</v>
      </c>
      <c r="K116" s="2">
        <f t="shared" si="15"/>
        <v>0</v>
      </c>
      <c r="L116" s="2">
        <f t="shared" si="16"/>
        <v>0</v>
      </c>
      <c r="M116" s="2">
        <f t="shared" si="17"/>
        <v>0</v>
      </c>
      <c r="O116" s="2">
        <f>IF('PV IN'!$N$10="Yes",PVLoan!F116*'PV IN'!$E$8,0)</f>
        <v>0</v>
      </c>
    </row>
    <row r="117" spans="1:15" x14ac:dyDescent="0.25">
      <c r="B117">
        <f t="shared" si="9"/>
        <v>85</v>
      </c>
      <c r="C117" s="2">
        <f t="shared" si="10"/>
        <v>0</v>
      </c>
      <c r="E117" s="10">
        <f t="shared" si="11"/>
        <v>0</v>
      </c>
      <c r="F117" s="2">
        <f t="shared" si="12"/>
        <v>0</v>
      </c>
      <c r="G117" s="2">
        <f>IF(ISERROR(B117),"-",IF(J116=0,0,SUM($F$33:F117)))</f>
        <v>0</v>
      </c>
      <c r="H117" s="2">
        <f t="shared" si="13"/>
        <v>0</v>
      </c>
      <c r="I117" s="2">
        <f>IF(ISERROR($B117),"-",IF(J116=0,0,SUM($H$33:H117)))</f>
        <v>0</v>
      </c>
      <c r="J117" s="2">
        <f t="shared" si="14"/>
        <v>0</v>
      </c>
      <c r="K117" s="2">
        <f t="shared" si="15"/>
        <v>0</v>
      </c>
      <c r="L117" s="2">
        <f t="shared" si="16"/>
        <v>0</v>
      </c>
      <c r="M117" s="2">
        <f t="shared" si="17"/>
        <v>0</v>
      </c>
      <c r="O117" s="2">
        <f>IF('PV IN'!$N$10="Yes",PVLoan!F117*'PV IN'!$E$8,0)</f>
        <v>0</v>
      </c>
    </row>
    <row r="118" spans="1:15" x14ac:dyDescent="0.25">
      <c r="B118">
        <f t="shared" si="9"/>
        <v>86</v>
      </c>
      <c r="C118" s="2">
        <f t="shared" si="10"/>
        <v>0</v>
      </c>
      <c r="E118" s="10">
        <f t="shared" si="11"/>
        <v>0</v>
      </c>
      <c r="F118" s="2">
        <f t="shared" si="12"/>
        <v>0</v>
      </c>
      <c r="G118" s="2">
        <f>IF(ISERROR(B118),"-",IF(J117=0,0,SUM($F$33:F118)))</f>
        <v>0</v>
      </c>
      <c r="H118" s="2">
        <f t="shared" si="13"/>
        <v>0</v>
      </c>
      <c r="I118" s="2">
        <f>IF(ISERROR($B118),"-",IF(J117=0,0,SUM($H$33:H118)))</f>
        <v>0</v>
      </c>
      <c r="J118" s="2">
        <f t="shared" si="14"/>
        <v>0</v>
      </c>
      <c r="K118" s="2">
        <f t="shared" si="15"/>
        <v>0</v>
      </c>
      <c r="L118" s="2">
        <f t="shared" si="16"/>
        <v>0</v>
      </c>
      <c r="M118" s="2">
        <f t="shared" si="17"/>
        <v>0</v>
      </c>
      <c r="O118" s="2">
        <f>IF('PV IN'!$N$10="Yes",PVLoan!F118*'PV IN'!$E$8,0)</f>
        <v>0</v>
      </c>
    </row>
    <row r="119" spans="1:15" x14ac:dyDescent="0.25">
      <c r="B119">
        <f t="shared" si="9"/>
        <v>87</v>
      </c>
      <c r="C119" s="2">
        <f t="shared" si="10"/>
        <v>0</v>
      </c>
      <c r="E119" s="10">
        <f t="shared" si="11"/>
        <v>0</v>
      </c>
      <c r="F119" s="2">
        <f t="shared" si="12"/>
        <v>0</v>
      </c>
      <c r="G119" s="2">
        <f>IF(ISERROR(B119),"-",IF(J118=0,0,SUM($F$33:F119)))</f>
        <v>0</v>
      </c>
      <c r="H119" s="2">
        <f t="shared" si="13"/>
        <v>0</v>
      </c>
      <c r="I119" s="2">
        <f>IF(ISERROR($B119),"-",IF(J118=0,0,SUM($H$33:H119)))</f>
        <v>0</v>
      </c>
      <c r="J119" s="2">
        <f t="shared" si="14"/>
        <v>0</v>
      </c>
      <c r="K119" s="2">
        <f t="shared" si="15"/>
        <v>0</v>
      </c>
      <c r="L119" s="2">
        <f t="shared" si="16"/>
        <v>0</v>
      </c>
      <c r="M119" s="2">
        <f t="shared" si="17"/>
        <v>0</v>
      </c>
      <c r="O119" s="2">
        <f>IF('PV IN'!$N$10="Yes",PVLoan!F119*'PV IN'!$E$8,0)</f>
        <v>0</v>
      </c>
    </row>
    <row r="120" spans="1:15" x14ac:dyDescent="0.25">
      <c r="B120">
        <f t="shared" si="9"/>
        <v>88</v>
      </c>
      <c r="C120" s="2">
        <f t="shared" si="10"/>
        <v>0</v>
      </c>
      <c r="E120" s="10">
        <f t="shared" si="11"/>
        <v>0</v>
      </c>
      <c r="F120" s="2">
        <f t="shared" si="12"/>
        <v>0</v>
      </c>
      <c r="G120" s="2">
        <f>IF(ISERROR(B120),"-",IF(J119=0,0,SUM($F$33:F120)))</f>
        <v>0</v>
      </c>
      <c r="H120" s="2">
        <f t="shared" si="13"/>
        <v>0</v>
      </c>
      <c r="I120" s="2">
        <f>IF(ISERROR($B120),"-",IF(J119=0,0,SUM($H$33:H120)))</f>
        <v>0</v>
      </c>
      <c r="J120" s="2">
        <f t="shared" si="14"/>
        <v>0</v>
      </c>
      <c r="K120" s="2">
        <f t="shared" si="15"/>
        <v>0</v>
      </c>
      <c r="L120" s="2">
        <f t="shared" si="16"/>
        <v>0</v>
      </c>
      <c r="M120" s="2">
        <f t="shared" si="17"/>
        <v>0</v>
      </c>
      <c r="O120" s="2">
        <f>IF('PV IN'!$N$10="Yes",PVLoan!F120*'PV IN'!$E$8,0)</f>
        <v>0</v>
      </c>
    </row>
    <row r="121" spans="1:15" x14ac:dyDescent="0.25">
      <c r="B121">
        <f t="shared" si="9"/>
        <v>89</v>
      </c>
      <c r="C121" s="2">
        <f t="shared" si="10"/>
        <v>0</v>
      </c>
      <c r="E121" s="10">
        <f t="shared" si="11"/>
        <v>0</v>
      </c>
      <c r="F121" s="2">
        <f t="shared" si="12"/>
        <v>0</v>
      </c>
      <c r="G121" s="2">
        <f>IF(ISERROR(B121),"-",IF(J120=0,0,SUM($F$33:F121)))</f>
        <v>0</v>
      </c>
      <c r="H121" s="2">
        <f t="shared" si="13"/>
        <v>0</v>
      </c>
      <c r="I121" s="2">
        <f>IF(ISERROR($B121),"-",IF(J120=0,0,SUM($H$33:H121)))</f>
        <v>0</v>
      </c>
      <c r="J121" s="2">
        <f t="shared" si="14"/>
        <v>0</v>
      </c>
      <c r="K121" s="2">
        <f t="shared" si="15"/>
        <v>0</v>
      </c>
      <c r="L121" s="2">
        <f t="shared" si="16"/>
        <v>0</v>
      </c>
      <c r="M121" s="2">
        <f t="shared" si="17"/>
        <v>0</v>
      </c>
      <c r="O121" s="2">
        <f>IF('PV IN'!$N$10="Yes",PVLoan!F121*'PV IN'!$E$8,0)</f>
        <v>0</v>
      </c>
    </row>
    <row r="122" spans="1:15" x14ac:dyDescent="0.25">
      <c r="B122">
        <f t="shared" si="9"/>
        <v>90</v>
      </c>
      <c r="C122" s="2">
        <f t="shared" si="10"/>
        <v>0</v>
      </c>
      <c r="E122" s="10">
        <f t="shared" si="11"/>
        <v>0</v>
      </c>
      <c r="F122" s="2">
        <f t="shared" si="12"/>
        <v>0</v>
      </c>
      <c r="G122" s="2">
        <f>IF(ISERROR(B122),"-",IF(J121=0,0,SUM($F$33:F122)))</f>
        <v>0</v>
      </c>
      <c r="H122" s="2">
        <f t="shared" si="13"/>
        <v>0</v>
      </c>
      <c r="I122" s="2">
        <f>IF(ISERROR($B122),"-",IF(J121=0,0,SUM($H$33:H122)))</f>
        <v>0</v>
      </c>
      <c r="J122" s="2">
        <f t="shared" si="14"/>
        <v>0</v>
      </c>
      <c r="K122" s="2">
        <f t="shared" si="15"/>
        <v>0</v>
      </c>
      <c r="L122" s="2">
        <f t="shared" si="16"/>
        <v>0</v>
      </c>
      <c r="M122" s="2">
        <f t="shared" si="17"/>
        <v>0</v>
      </c>
      <c r="O122" s="2">
        <f>IF('PV IN'!$N$10="Yes",PVLoan!F122*'PV IN'!$E$8,0)</f>
        <v>0</v>
      </c>
    </row>
    <row r="123" spans="1:15" x14ac:dyDescent="0.25">
      <c r="B123">
        <f t="shared" si="9"/>
        <v>91</v>
      </c>
      <c r="C123" s="2">
        <f t="shared" si="10"/>
        <v>0</v>
      </c>
      <c r="E123" s="10">
        <f t="shared" si="11"/>
        <v>0</v>
      </c>
      <c r="F123" s="2">
        <f t="shared" si="12"/>
        <v>0</v>
      </c>
      <c r="G123" s="2">
        <f>IF(ISERROR(B123),"-",IF(J122=0,0,SUM($F$33:F123)))</f>
        <v>0</v>
      </c>
      <c r="H123" s="2">
        <f t="shared" si="13"/>
        <v>0</v>
      </c>
      <c r="I123" s="2">
        <f>IF(ISERROR($B123),"-",IF(J122=0,0,SUM($H$33:H123)))</f>
        <v>0</v>
      </c>
      <c r="J123" s="2">
        <f t="shared" si="14"/>
        <v>0</v>
      </c>
      <c r="K123" s="2">
        <f t="shared" si="15"/>
        <v>0</v>
      </c>
      <c r="L123" s="2">
        <f t="shared" si="16"/>
        <v>0</v>
      </c>
      <c r="M123" s="2">
        <f t="shared" si="17"/>
        <v>0</v>
      </c>
      <c r="O123" s="2">
        <f>IF('PV IN'!$N$10="Yes",PVLoan!F123*'PV IN'!$E$8,0)</f>
        <v>0</v>
      </c>
    </row>
    <row r="124" spans="1:15" x14ac:dyDescent="0.25">
      <c r="B124">
        <f t="shared" si="9"/>
        <v>92</v>
      </c>
      <c r="C124" s="2">
        <f t="shared" si="10"/>
        <v>0</v>
      </c>
      <c r="E124" s="10">
        <f t="shared" si="11"/>
        <v>0</v>
      </c>
      <c r="F124" s="2">
        <f t="shared" si="12"/>
        <v>0</v>
      </c>
      <c r="G124" s="2">
        <f>IF(ISERROR(B124),"-",IF(J123=0,0,SUM($F$33:F124)))</f>
        <v>0</v>
      </c>
      <c r="H124" s="2">
        <f t="shared" si="13"/>
        <v>0</v>
      </c>
      <c r="I124" s="2">
        <f>IF(ISERROR($B124),"-",IF(J123=0,0,SUM($H$33:H124)))</f>
        <v>0</v>
      </c>
      <c r="J124" s="2">
        <f t="shared" si="14"/>
        <v>0</v>
      </c>
      <c r="K124" s="2">
        <f t="shared" si="15"/>
        <v>0</v>
      </c>
      <c r="L124" s="2">
        <f t="shared" si="16"/>
        <v>0</v>
      </c>
      <c r="M124" s="2">
        <f t="shared" si="17"/>
        <v>0</v>
      </c>
      <c r="O124" s="2">
        <f>IF('PV IN'!$N$10="Yes",PVLoan!F124*'PV IN'!$E$8,0)</f>
        <v>0</v>
      </c>
    </row>
    <row r="125" spans="1:15" x14ac:dyDescent="0.25">
      <c r="B125">
        <f t="shared" si="9"/>
        <v>93</v>
      </c>
      <c r="C125" s="2">
        <f t="shared" si="10"/>
        <v>0</v>
      </c>
      <c r="E125" s="10">
        <f t="shared" si="11"/>
        <v>0</v>
      </c>
      <c r="F125" s="2">
        <f t="shared" si="12"/>
        <v>0</v>
      </c>
      <c r="G125" s="2">
        <f>IF(ISERROR(B125),"-",IF(J124=0,0,SUM($F$33:F125)))</f>
        <v>0</v>
      </c>
      <c r="H125" s="2">
        <f t="shared" si="13"/>
        <v>0</v>
      </c>
      <c r="I125" s="2">
        <f>IF(ISERROR($B125),"-",IF(J124=0,0,SUM($H$33:H125)))</f>
        <v>0</v>
      </c>
      <c r="J125" s="2">
        <f t="shared" si="14"/>
        <v>0</v>
      </c>
      <c r="K125" s="2">
        <f t="shared" si="15"/>
        <v>0</v>
      </c>
      <c r="L125" s="2">
        <f t="shared" si="16"/>
        <v>0</v>
      </c>
      <c r="M125" s="2">
        <f t="shared" si="17"/>
        <v>0</v>
      </c>
      <c r="O125" s="2">
        <f>IF('PV IN'!$N$10="Yes",PVLoan!F125*'PV IN'!$E$8,0)</f>
        <v>0</v>
      </c>
    </row>
    <row r="126" spans="1:15" x14ac:dyDescent="0.25">
      <c r="B126">
        <f t="shared" si="9"/>
        <v>94</v>
      </c>
      <c r="C126" s="2">
        <f t="shared" si="10"/>
        <v>0</v>
      </c>
      <c r="E126" s="10">
        <f t="shared" si="11"/>
        <v>0</v>
      </c>
      <c r="F126" s="2">
        <f t="shared" si="12"/>
        <v>0</v>
      </c>
      <c r="G126" s="2">
        <f>IF(ISERROR(B126),"-",IF(J125=0,0,SUM($F$33:F126)))</f>
        <v>0</v>
      </c>
      <c r="H126" s="2">
        <f t="shared" si="13"/>
        <v>0</v>
      </c>
      <c r="I126" s="2">
        <f>IF(ISERROR($B126),"-",IF(J125=0,0,SUM($H$33:H126)))</f>
        <v>0</v>
      </c>
      <c r="J126" s="2">
        <f t="shared" si="14"/>
        <v>0</v>
      </c>
      <c r="K126" s="2">
        <f t="shared" si="15"/>
        <v>0</v>
      </c>
      <c r="L126" s="2">
        <f t="shared" si="16"/>
        <v>0</v>
      </c>
      <c r="M126" s="2">
        <f t="shared" si="17"/>
        <v>0</v>
      </c>
      <c r="O126" s="2">
        <f>IF('PV IN'!$N$10="Yes",PVLoan!F126*'PV IN'!$E$8,0)</f>
        <v>0</v>
      </c>
    </row>
    <row r="127" spans="1:15" x14ac:dyDescent="0.25">
      <c r="B127">
        <f t="shared" si="9"/>
        <v>95</v>
      </c>
      <c r="C127" s="2">
        <f t="shared" si="10"/>
        <v>0</v>
      </c>
      <c r="E127" s="10">
        <f t="shared" si="11"/>
        <v>0</v>
      </c>
      <c r="F127" s="2">
        <f t="shared" si="12"/>
        <v>0</v>
      </c>
      <c r="G127" s="2">
        <f>IF(ISERROR(B127),"-",IF(J126=0,0,SUM($F$33:F127)))</f>
        <v>0</v>
      </c>
      <c r="H127" s="2">
        <f t="shared" si="13"/>
        <v>0</v>
      </c>
      <c r="I127" s="2">
        <f>IF(ISERROR($B127),"-",IF(J126=0,0,SUM($H$33:H127)))</f>
        <v>0</v>
      </c>
      <c r="J127" s="2">
        <f t="shared" si="14"/>
        <v>0</v>
      </c>
      <c r="K127" s="2">
        <f t="shared" si="15"/>
        <v>0</v>
      </c>
      <c r="L127" s="2">
        <f t="shared" si="16"/>
        <v>0</v>
      </c>
      <c r="M127" s="2">
        <f t="shared" si="17"/>
        <v>0</v>
      </c>
      <c r="O127" s="2">
        <f>IF('PV IN'!$N$10="Yes",PVLoan!F127*'PV IN'!$E$8,0)</f>
        <v>0</v>
      </c>
    </row>
    <row r="128" spans="1:15" x14ac:dyDescent="0.25">
      <c r="A128">
        <v>8</v>
      </c>
      <c r="B128">
        <f t="shared" si="9"/>
        <v>96</v>
      </c>
      <c r="C128" s="2">
        <f t="shared" si="10"/>
        <v>0</v>
      </c>
      <c r="E128" s="10">
        <f t="shared" si="11"/>
        <v>0</v>
      </c>
      <c r="F128" s="2">
        <f t="shared" si="12"/>
        <v>0</v>
      </c>
      <c r="G128" s="2">
        <f>IF(ISERROR(B128),"-",IF(J127=0,0,SUM($F$33:F128)))</f>
        <v>0</v>
      </c>
      <c r="H128" s="2">
        <f t="shared" si="13"/>
        <v>0</v>
      </c>
      <c r="I128" s="2">
        <f>IF(ISERROR($B128),"-",IF(J127=0,0,SUM($H$33:H128)))</f>
        <v>0</v>
      </c>
      <c r="J128" s="2">
        <f t="shared" si="14"/>
        <v>0</v>
      </c>
      <c r="K128" s="2">
        <f t="shared" si="15"/>
        <v>0</v>
      </c>
      <c r="L128" s="2">
        <f t="shared" si="16"/>
        <v>0</v>
      </c>
      <c r="M128" s="2">
        <f t="shared" si="17"/>
        <v>0</v>
      </c>
      <c r="O128" s="2">
        <f>IF('PV IN'!$N$10="Yes",PVLoan!F128*'PV IN'!$E$8,0)</f>
        <v>0</v>
      </c>
    </row>
    <row r="129" spans="1:15" x14ac:dyDescent="0.25">
      <c r="B129">
        <f t="shared" si="9"/>
        <v>97</v>
      </c>
      <c r="C129" s="2">
        <f t="shared" si="10"/>
        <v>0</v>
      </c>
      <c r="E129" s="10">
        <f t="shared" si="11"/>
        <v>0</v>
      </c>
      <c r="F129" s="2">
        <f t="shared" si="12"/>
        <v>0</v>
      </c>
      <c r="G129" s="2">
        <f>IF(ISERROR(B129),"-",IF(J128=0,0,SUM($F$33:F129)))</f>
        <v>0</v>
      </c>
      <c r="H129" s="2">
        <f t="shared" si="13"/>
        <v>0</v>
      </c>
      <c r="I129" s="2">
        <f>IF(ISERROR($B129),"-",IF(J128=0,0,SUM($H$33:H129)))</f>
        <v>0</v>
      </c>
      <c r="J129" s="2">
        <f t="shared" si="14"/>
        <v>0</v>
      </c>
      <c r="K129" s="2">
        <f t="shared" si="15"/>
        <v>0</v>
      </c>
      <c r="L129" s="2">
        <f t="shared" si="16"/>
        <v>0</v>
      </c>
      <c r="M129" s="2">
        <f t="shared" si="17"/>
        <v>0</v>
      </c>
      <c r="O129" s="2">
        <f>IF('PV IN'!$N$10="Yes",PVLoan!F129*'PV IN'!$E$8,0)</f>
        <v>0</v>
      </c>
    </row>
    <row r="130" spans="1:15" x14ac:dyDescent="0.25">
      <c r="B130">
        <f t="shared" si="9"/>
        <v>98</v>
      </c>
      <c r="C130" s="2">
        <f t="shared" si="10"/>
        <v>0</v>
      </c>
      <c r="E130" s="10">
        <f t="shared" si="11"/>
        <v>0</v>
      </c>
      <c r="F130" s="2">
        <f t="shared" si="12"/>
        <v>0</v>
      </c>
      <c r="G130" s="2">
        <f>IF(ISERROR(B130),"-",IF(J129=0,0,SUM($F$33:F130)))</f>
        <v>0</v>
      </c>
      <c r="H130" s="2">
        <f t="shared" si="13"/>
        <v>0</v>
      </c>
      <c r="I130" s="2">
        <f>IF(ISERROR($B130),"-",IF(J129=0,0,SUM($H$33:H130)))</f>
        <v>0</v>
      </c>
      <c r="J130" s="2">
        <f t="shared" si="14"/>
        <v>0</v>
      </c>
      <c r="K130" s="2">
        <f t="shared" si="15"/>
        <v>0</v>
      </c>
      <c r="L130" s="2">
        <f t="shared" si="16"/>
        <v>0</v>
      </c>
      <c r="M130" s="2">
        <f t="shared" si="17"/>
        <v>0</v>
      </c>
      <c r="O130" s="2">
        <f>IF('PV IN'!$N$10="Yes",PVLoan!F130*'PV IN'!$E$8,0)</f>
        <v>0</v>
      </c>
    </row>
    <row r="131" spans="1:15" x14ac:dyDescent="0.25">
      <c r="B131">
        <f t="shared" si="9"/>
        <v>99</v>
      </c>
      <c r="C131" s="2">
        <f t="shared" si="10"/>
        <v>0</v>
      </c>
      <c r="E131" s="10">
        <f t="shared" si="11"/>
        <v>0</v>
      </c>
      <c r="F131" s="2">
        <f t="shared" si="12"/>
        <v>0</v>
      </c>
      <c r="G131" s="2">
        <f>IF(ISERROR(B131),"-",IF(J130=0,0,SUM($F$33:F131)))</f>
        <v>0</v>
      </c>
      <c r="H131" s="2">
        <f t="shared" si="13"/>
        <v>0</v>
      </c>
      <c r="I131" s="2">
        <f>IF(ISERROR($B131),"-",IF(J130=0,0,SUM($H$33:H131)))</f>
        <v>0</v>
      </c>
      <c r="J131" s="2">
        <f t="shared" si="14"/>
        <v>0</v>
      </c>
      <c r="K131" s="2">
        <f t="shared" si="15"/>
        <v>0</v>
      </c>
      <c r="L131" s="2">
        <f t="shared" si="16"/>
        <v>0</v>
      </c>
      <c r="M131" s="2">
        <f t="shared" si="17"/>
        <v>0</v>
      </c>
      <c r="O131" s="2">
        <f>IF('PV IN'!$N$10="Yes",PVLoan!F131*'PV IN'!$E$8,0)</f>
        <v>0</v>
      </c>
    </row>
    <row r="132" spans="1:15" x14ac:dyDescent="0.25">
      <c r="B132">
        <f t="shared" si="9"/>
        <v>100</v>
      </c>
      <c r="C132" s="2">
        <f t="shared" si="10"/>
        <v>0</v>
      </c>
      <c r="E132" s="10">
        <f t="shared" si="11"/>
        <v>0</v>
      </c>
      <c r="F132" s="2">
        <f t="shared" si="12"/>
        <v>0</v>
      </c>
      <c r="G132" s="2">
        <f>IF(ISERROR(B132),"-",IF(J131=0,0,SUM($F$33:F132)))</f>
        <v>0</v>
      </c>
      <c r="H132" s="2">
        <f t="shared" si="13"/>
        <v>0</v>
      </c>
      <c r="I132" s="2">
        <f>IF(ISERROR($B132),"-",IF(J131=0,0,SUM($H$33:H132)))</f>
        <v>0</v>
      </c>
      <c r="J132" s="2">
        <f t="shared" si="14"/>
        <v>0</v>
      </c>
      <c r="K132" s="2">
        <f t="shared" si="15"/>
        <v>0</v>
      </c>
      <c r="L132" s="2">
        <f t="shared" si="16"/>
        <v>0</v>
      </c>
      <c r="M132" s="2">
        <f t="shared" si="17"/>
        <v>0</v>
      </c>
      <c r="O132" s="2">
        <f>IF('PV IN'!$N$10="Yes",PVLoan!F132*'PV IN'!$E$8,0)</f>
        <v>0</v>
      </c>
    </row>
    <row r="133" spans="1:15" x14ac:dyDescent="0.25">
      <c r="B133">
        <f t="shared" si="9"/>
        <v>101</v>
      </c>
      <c r="C133" s="2">
        <f t="shared" si="10"/>
        <v>0</v>
      </c>
      <c r="E133" s="10">
        <f t="shared" si="11"/>
        <v>0</v>
      </c>
      <c r="F133" s="2">
        <f t="shared" si="12"/>
        <v>0</v>
      </c>
      <c r="G133" s="2">
        <f>IF(ISERROR(B133),"-",IF(J132=0,0,SUM($F$33:F133)))</f>
        <v>0</v>
      </c>
      <c r="H133" s="2">
        <f t="shared" si="13"/>
        <v>0</v>
      </c>
      <c r="I133" s="2">
        <f>IF(ISERROR($B133),"-",IF(J132=0,0,SUM($H$33:H133)))</f>
        <v>0</v>
      </c>
      <c r="J133" s="2">
        <f t="shared" si="14"/>
        <v>0</v>
      </c>
      <c r="K133" s="2">
        <f t="shared" si="15"/>
        <v>0</v>
      </c>
      <c r="L133" s="2">
        <f t="shared" si="16"/>
        <v>0</v>
      </c>
      <c r="M133" s="2">
        <f t="shared" si="17"/>
        <v>0</v>
      </c>
      <c r="O133" s="2">
        <f>IF('PV IN'!$N$10="Yes",PVLoan!F133*'PV IN'!$E$8,0)</f>
        <v>0</v>
      </c>
    </row>
    <row r="134" spans="1:15" x14ac:dyDescent="0.25">
      <c r="B134">
        <f t="shared" si="9"/>
        <v>102</v>
      </c>
      <c r="C134" s="2">
        <f t="shared" si="10"/>
        <v>0</v>
      </c>
      <c r="E134" s="10">
        <f t="shared" si="11"/>
        <v>0</v>
      </c>
      <c r="F134" s="2">
        <f t="shared" si="12"/>
        <v>0</v>
      </c>
      <c r="G134" s="2">
        <f>IF(ISERROR(B134),"-",IF(J133=0,0,SUM($F$33:F134)))</f>
        <v>0</v>
      </c>
      <c r="H134" s="2">
        <f t="shared" si="13"/>
        <v>0</v>
      </c>
      <c r="I134" s="2">
        <f>IF(ISERROR($B134),"-",IF(J133=0,0,SUM($H$33:H134)))</f>
        <v>0</v>
      </c>
      <c r="J134" s="2">
        <f t="shared" si="14"/>
        <v>0</v>
      </c>
      <c r="K134" s="2">
        <f t="shared" si="15"/>
        <v>0</v>
      </c>
      <c r="L134" s="2">
        <f t="shared" si="16"/>
        <v>0</v>
      </c>
      <c r="M134" s="2">
        <f t="shared" si="17"/>
        <v>0</v>
      </c>
      <c r="O134" s="2">
        <f>IF('PV IN'!$N$10="Yes",PVLoan!F134*'PV IN'!$E$8,0)</f>
        <v>0</v>
      </c>
    </row>
    <row r="135" spans="1:15" x14ac:dyDescent="0.25">
      <c r="B135">
        <f t="shared" si="9"/>
        <v>103</v>
      </c>
      <c r="C135" s="2">
        <f t="shared" si="10"/>
        <v>0</v>
      </c>
      <c r="E135" s="10">
        <f t="shared" si="11"/>
        <v>0</v>
      </c>
      <c r="F135" s="2">
        <f t="shared" si="12"/>
        <v>0</v>
      </c>
      <c r="G135" s="2">
        <f>IF(ISERROR(B135),"-",IF(J134=0,0,SUM($F$33:F135)))</f>
        <v>0</v>
      </c>
      <c r="H135" s="2">
        <f t="shared" si="13"/>
        <v>0</v>
      </c>
      <c r="I135" s="2">
        <f>IF(ISERROR($B135),"-",IF(J134=0,0,SUM($H$33:H135)))</f>
        <v>0</v>
      </c>
      <c r="J135" s="2">
        <f t="shared" si="14"/>
        <v>0</v>
      </c>
      <c r="K135" s="2">
        <f t="shared" si="15"/>
        <v>0</v>
      </c>
      <c r="L135" s="2">
        <f t="shared" si="16"/>
        <v>0</v>
      </c>
      <c r="M135" s="2">
        <f t="shared" si="17"/>
        <v>0</v>
      </c>
      <c r="O135" s="2">
        <f>IF('PV IN'!$N$10="Yes",PVLoan!F135*'PV IN'!$E$8,0)</f>
        <v>0</v>
      </c>
    </row>
    <row r="136" spans="1:15" x14ac:dyDescent="0.25">
      <c r="B136">
        <f t="shared" si="9"/>
        <v>104</v>
      </c>
      <c r="C136" s="2">
        <f t="shared" si="10"/>
        <v>0</v>
      </c>
      <c r="E136" s="10">
        <f t="shared" si="11"/>
        <v>0</v>
      </c>
      <c r="F136" s="2">
        <f t="shared" si="12"/>
        <v>0</v>
      </c>
      <c r="G136" s="2">
        <f>IF(ISERROR(B136),"-",IF(J135=0,0,SUM($F$33:F136)))</f>
        <v>0</v>
      </c>
      <c r="H136" s="2">
        <f t="shared" si="13"/>
        <v>0</v>
      </c>
      <c r="I136" s="2">
        <f>IF(ISERROR($B136),"-",IF(J135=0,0,SUM($H$33:H136)))</f>
        <v>0</v>
      </c>
      <c r="J136" s="2">
        <f t="shared" si="14"/>
        <v>0</v>
      </c>
      <c r="K136" s="2">
        <f t="shared" si="15"/>
        <v>0</v>
      </c>
      <c r="L136" s="2">
        <f t="shared" si="16"/>
        <v>0</v>
      </c>
      <c r="M136" s="2">
        <f t="shared" si="17"/>
        <v>0</v>
      </c>
      <c r="O136" s="2">
        <f>IF('PV IN'!$N$10="Yes",PVLoan!F136*'PV IN'!$E$8,0)</f>
        <v>0</v>
      </c>
    </row>
    <row r="137" spans="1:15" x14ac:dyDescent="0.25">
      <c r="B137">
        <f t="shared" si="9"/>
        <v>105</v>
      </c>
      <c r="C137" s="2">
        <f t="shared" si="10"/>
        <v>0</v>
      </c>
      <c r="E137" s="10">
        <f t="shared" si="11"/>
        <v>0</v>
      </c>
      <c r="F137" s="2">
        <f t="shared" si="12"/>
        <v>0</v>
      </c>
      <c r="G137" s="2">
        <f>IF(ISERROR(B137),"-",IF(J136=0,0,SUM($F$33:F137)))</f>
        <v>0</v>
      </c>
      <c r="H137" s="2">
        <f t="shared" si="13"/>
        <v>0</v>
      </c>
      <c r="I137" s="2">
        <f>IF(ISERROR($B137),"-",IF(J136=0,0,SUM($H$33:H137)))</f>
        <v>0</v>
      </c>
      <c r="J137" s="2">
        <f t="shared" si="14"/>
        <v>0</v>
      </c>
      <c r="K137" s="2">
        <f t="shared" si="15"/>
        <v>0</v>
      </c>
      <c r="L137" s="2">
        <f t="shared" si="16"/>
        <v>0</v>
      </c>
      <c r="M137" s="2">
        <f t="shared" si="17"/>
        <v>0</v>
      </c>
      <c r="O137" s="2">
        <f>IF('PV IN'!$N$10="Yes",PVLoan!F137*'PV IN'!$E$8,0)</f>
        <v>0</v>
      </c>
    </row>
    <row r="138" spans="1:15" x14ac:dyDescent="0.25">
      <c r="B138">
        <f t="shared" si="9"/>
        <v>106</v>
      </c>
      <c r="C138" s="2">
        <f t="shared" si="10"/>
        <v>0</v>
      </c>
      <c r="E138" s="10">
        <f t="shared" si="11"/>
        <v>0</v>
      </c>
      <c r="F138" s="2">
        <f t="shared" si="12"/>
        <v>0</v>
      </c>
      <c r="G138" s="2">
        <f>IF(ISERROR(B138),"-",IF(J137=0,0,SUM($F$33:F138)))</f>
        <v>0</v>
      </c>
      <c r="H138" s="2">
        <f t="shared" si="13"/>
        <v>0</v>
      </c>
      <c r="I138" s="2">
        <f>IF(ISERROR($B138),"-",IF(J137=0,0,SUM($H$33:H138)))</f>
        <v>0</v>
      </c>
      <c r="J138" s="2">
        <f t="shared" si="14"/>
        <v>0</v>
      </c>
      <c r="K138" s="2">
        <f t="shared" si="15"/>
        <v>0</v>
      </c>
      <c r="L138" s="2">
        <f t="shared" si="16"/>
        <v>0</v>
      </c>
      <c r="M138" s="2">
        <f t="shared" si="17"/>
        <v>0</v>
      </c>
      <c r="O138" s="2">
        <f>IF('PV IN'!$N$10="Yes",PVLoan!F138*'PV IN'!$E$8,0)</f>
        <v>0</v>
      </c>
    </row>
    <row r="139" spans="1:15" x14ac:dyDescent="0.25">
      <c r="B139">
        <f t="shared" si="9"/>
        <v>107</v>
      </c>
      <c r="C139" s="2">
        <f t="shared" si="10"/>
        <v>0</v>
      </c>
      <c r="E139" s="10">
        <f t="shared" si="11"/>
        <v>0</v>
      </c>
      <c r="F139" s="2">
        <f t="shared" si="12"/>
        <v>0</v>
      </c>
      <c r="G139" s="2">
        <f>IF(ISERROR(B139),"-",IF(J138=0,0,SUM($F$33:F139)))</f>
        <v>0</v>
      </c>
      <c r="H139" s="2">
        <f t="shared" si="13"/>
        <v>0</v>
      </c>
      <c r="I139" s="2">
        <f>IF(ISERROR($B139),"-",IF(J138=0,0,SUM($H$33:H139)))</f>
        <v>0</v>
      </c>
      <c r="J139" s="2">
        <f t="shared" si="14"/>
        <v>0</v>
      </c>
      <c r="K139" s="2">
        <f t="shared" si="15"/>
        <v>0</v>
      </c>
      <c r="L139" s="2">
        <f t="shared" si="16"/>
        <v>0</v>
      </c>
      <c r="M139" s="2">
        <f t="shared" si="17"/>
        <v>0</v>
      </c>
      <c r="O139" s="2">
        <f>IF('PV IN'!$N$10="Yes",PVLoan!F139*'PV IN'!$E$8,0)</f>
        <v>0</v>
      </c>
    </row>
    <row r="140" spans="1:15" x14ac:dyDescent="0.25">
      <c r="A140">
        <v>9</v>
      </c>
      <c r="B140">
        <f t="shared" si="9"/>
        <v>108</v>
      </c>
      <c r="C140" s="2">
        <f t="shared" si="10"/>
        <v>0</v>
      </c>
      <c r="E140" s="10">
        <f t="shared" si="11"/>
        <v>0</v>
      </c>
      <c r="F140" s="2">
        <f t="shared" si="12"/>
        <v>0</v>
      </c>
      <c r="G140" s="2">
        <f>IF(ISERROR(B140),"-",IF(J139=0,0,SUM($F$33:F140)))</f>
        <v>0</v>
      </c>
      <c r="H140" s="2">
        <f t="shared" si="13"/>
        <v>0</v>
      </c>
      <c r="I140" s="2">
        <f>IF(ISERROR($B140),"-",IF(J139=0,0,SUM($H$33:H140)))</f>
        <v>0</v>
      </c>
      <c r="J140" s="2">
        <f t="shared" si="14"/>
        <v>0</v>
      </c>
      <c r="K140" s="2">
        <f t="shared" si="15"/>
        <v>0</v>
      </c>
      <c r="L140" s="2">
        <f t="shared" si="16"/>
        <v>0</v>
      </c>
      <c r="M140" s="2">
        <f t="shared" si="17"/>
        <v>0</v>
      </c>
      <c r="O140" s="2">
        <f>IF('PV IN'!$N$10="Yes",PVLoan!F140*'PV IN'!$E$8,0)</f>
        <v>0</v>
      </c>
    </row>
    <row r="141" spans="1:15" x14ac:dyDescent="0.25">
      <c r="B141">
        <f t="shared" si="9"/>
        <v>109</v>
      </c>
      <c r="C141" s="2">
        <f t="shared" si="10"/>
        <v>0</v>
      </c>
      <c r="E141" s="10">
        <f t="shared" si="11"/>
        <v>0</v>
      </c>
      <c r="F141" s="2">
        <f t="shared" si="12"/>
        <v>0</v>
      </c>
      <c r="G141" s="2">
        <f>IF(ISERROR(B141),"-",IF(J140=0,0,SUM($F$33:F141)))</f>
        <v>0</v>
      </c>
      <c r="H141" s="2">
        <f t="shared" si="13"/>
        <v>0</v>
      </c>
      <c r="I141" s="2">
        <f>IF(ISERROR($B141),"-",IF(J140=0,0,SUM($H$33:H141)))</f>
        <v>0</v>
      </c>
      <c r="J141" s="2">
        <f t="shared" si="14"/>
        <v>0</v>
      </c>
      <c r="K141" s="2">
        <f t="shared" si="15"/>
        <v>0</v>
      </c>
      <c r="L141" s="2">
        <f t="shared" si="16"/>
        <v>0</v>
      </c>
      <c r="M141" s="2">
        <f t="shared" si="17"/>
        <v>0</v>
      </c>
      <c r="O141" s="2">
        <f>IF('PV IN'!$N$10="Yes",PVLoan!F141*'PV IN'!$E$8,0)</f>
        <v>0</v>
      </c>
    </row>
    <row r="142" spans="1:15" x14ac:dyDescent="0.25">
      <c r="B142">
        <f t="shared" si="9"/>
        <v>110</v>
      </c>
      <c r="C142" s="2">
        <f t="shared" si="10"/>
        <v>0</v>
      </c>
      <c r="E142" s="10">
        <f t="shared" si="11"/>
        <v>0</v>
      </c>
      <c r="F142" s="2">
        <f t="shared" si="12"/>
        <v>0</v>
      </c>
      <c r="G142" s="2">
        <f>IF(ISERROR(B142),"-",IF(J141=0,0,SUM($F$33:F142)))</f>
        <v>0</v>
      </c>
      <c r="H142" s="2">
        <f t="shared" si="13"/>
        <v>0</v>
      </c>
      <c r="I142" s="2">
        <f>IF(ISERROR($B142),"-",IF(J141=0,0,SUM($H$33:H142)))</f>
        <v>0</v>
      </c>
      <c r="J142" s="2">
        <f t="shared" si="14"/>
        <v>0</v>
      </c>
      <c r="K142" s="2">
        <f t="shared" si="15"/>
        <v>0</v>
      </c>
      <c r="L142" s="2">
        <f t="shared" si="16"/>
        <v>0</v>
      </c>
      <c r="M142" s="2">
        <f t="shared" si="17"/>
        <v>0</v>
      </c>
      <c r="O142" s="2">
        <f>IF('PV IN'!$N$10="Yes",PVLoan!F142*'PV IN'!$E$8,0)</f>
        <v>0</v>
      </c>
    </row>
    <row r="143" spans="1:15" x14ac:dyDescent="0.25">
      <c r="B143">
        <f t="shared" si="9"/>
        <v>111</v>
      </c>
      <c r="C143" s="2">
        <f t="shared" si="10"/>
        <v>0</v>
      </c>
      <c r="E143" s="10">
        <f t="shared" si="11"/>
        <v>0</v>
      </c>
      <c r="F143" s="2">
        <f t="shared" si="12"/>
        <v>0</v>
      </c>
      <c r="G143" s="2">
        <f>IF(ISERROR(B143),"-",IF(J142=0,0,SUM($F$33:F143)))</f>
        <v>0</v>
      </c>
      <c r="H143" s="2">
        <f t="shared" si="13"/>
        <v>0</v>
      </c>
      <c r="I143" s="2">
        <f>IF(ISERROR($B143),"-",IF(J142=0,0,SUM($H$33:H143)))</f>
        <v>0</v>
      </c>
      <c r="J143" s="2">
        <f t="shared" si="14"/>
        <v>0</v>
      </c>
      <c r="K143" s="2">
        <f t="shared" si="15"/>
        <v>0</v>
      </c>
      <c r="L143" s="2">
        <f t="shared" si="16"/>
        <v>0</v>
      </c>
      <c r="M143" s="2">
        <f t="shared" si="17"/>
        <v>0</v>
      </c>
      <c r="O143" s="2">
        <f>IF('PV IN'!$N$10="Yes",PVLoan!F143*'PV IN'!$E$8,0)</f>
        <v>0</v>
      </c>
    </row>
    <row r="144" spans="1:15" x14ac:dyDescent="0.25">
      <c r="B144">
        <f t="shared" si="9"/>
        <v>112</v>
      </c>
      <c r="C144" s="2">
        <f t="shared" si="10"/>
        <v>0</v>
      </c>
      <c r="E144" s="10">
        <f t="shared" si="11"/>
        <v>0</v>
      </c>
      <c r="F144" s="2">
        <f t="shared" si="12"/>
        <v>0</v>
      </c>
      <c r="G144" s="2">
        <f>IF(ISERROR(B144),"-",IF(J143=0,0,SUM($F$33:F144)))</f>
        <v>0</v>
      </c>
      <c r="H144" s="2">
        <f t="shared" si="13"/>
        <v>0</v>
      </c>
      <c r="I144" s="2">
        <f>IF(ISERROR($B144),"-",IF(J143=0,0,SUM($H$33:H144)))</f>
        <v>0</v>
      </c>
      <c r="J144" s="2">
        <f t="shared" si="14"/>
        <v>0</v>
      </c>
      <c r="K144" s="2">
        <f t="shared" si="15"/>
        <v>0</v>
      </c>
      <c r="L144" s="2">
        <f t="shared" si="16"/>
        <v>0</v>
      </c>
      <c r="M144" s="2">
        <f t="shared" si="17"/>
        <v>0</v>
      </c>
      <c r="O144" s="2">
        <f>IF('PV IN'!$N$10="Yes",PVLoan!F144*'PV IN'!$E$8,0)</f>
        <v>0</v>
      </c>
    </row>
    <row r="145" spans="1:15" x14ac:dyDescent="0.25">
      <c r="B145">
        <f t="shared" si="9"/>
        <v>113</v>
      </c>
      <c r="C145" s="2">
        <f t="shared" si="10"/>
        <v>0</v>
      </c>
      <c r="E145" s="10">
        <f t="shared" si="11"/>
        <v>0</v>
      </c>
      <c r="F145" s="2">
        <f t="shared" si="12"/>
        <v>0</v>
      </c>
      <c r="G145" s="2">
        <f>IF(ISERROR(B145),"-",IF(J144=0,0,SUM($F$33:F145)))</f>
        <v>0</v>
      </c>
      <c r="H145" s="2">
        <f t="shared" si="13"/>
        <v>0</v>
      </c>
      <c r="I145" s="2">
        <f>IF(ISERROR($B145),"-",IF(J144=0,0,SUM($H$33:H145)))</f>
        <v>0</v>
      </c>
      <c r="J145" s="2">
        <f t="shared" si="14"/>
        <v>0</v>
      </c>
      <c r="K145" s="2">
        <f t="shared" si="15"/>
        <v>0</v>
      </c>
      <c r="L145" s="2">
        <f t="shared" si="16"/>
        <v>0</v>
      </c>
      <c r="M145" s="2">
        <f t="shared" si="17"/>
        <v>0</v>
      </c>
      <c r="O145" s="2">
        <f>IF('PV IN'!$N$10="Yes",PVLoan!F145*'PV IN'!$E$8,0)</f>
        <v>0</v>
      </c>
    </row>
    <row r="146" spans="1:15" x14ac:dyDescent="0.25">
      <c r="B146">
        <f t="shared" si="9"/>
        <v>114</v>
      </c>
      <c r="C146" s="2">
        <f t="shared" si="10"/>
        <v>0</v>
      </c>
      <c r="E146" s="10">
        <f t="shared" si="11"/>
        <v>0</v>
      </c>
      <c r="F146" s="2">
        <f t="shared" si="12"/>
        <v>0</v>
      </c>
      <c r="G146" s="2">
        <f>IF(ISERROR(B146),"-",IF(J145=0,0,SUM($F$33:F146)))</f>
        <v>0</v>
      </c>
      <c r="H146" s="2">
        <f t="shared" si="13"/>
        <v>0</v>
      </c>
      <c r="I146" s="2">
        <f>IF(ISERROR($B146),"-",IF(J145=0,0,SUM($H$33:H146)))</f>
        <v>0</v>
      </c>
      <c r="J146" s="2">
        <f t="shared" si="14"/>
        <v>0</v>
      </c>
      <c r="K146" s="2">
        <f t="shared" si="15"/>
        <v>0</v>
      </c>
      <c r="L146" s="2">
        <f t="shared" si="16"/>
        <v>0</v>
      </c>
      <c r="M146" s="2">
        <f t="shared" si="17"/>
        <v>0</v>
      </c>
      <c r="O146" s="2">
        <f>IF('PV IN'!$N$10="Yes",PVLoan!F146*'PV IN'!$E$8,0)</f>
        <v>0</v>
      </c>
    </row>
    <row r="147" spans="1:15" x14ac:dyDescent="0.25">
      <c r="B147">
        <f t="shared" si="9"/>
        <v>115</v>
      </c>
      <c r="C147" s="2">
        <f t="shared" si="10"/>
        <v>0</v>
      </c>
      <c r="E147" s="10">
        <f t="shared" si="11"/>
        <v>0</v>
      </c>
      <c r="F147" s="2">
        <f t="shared" si="12"/>
        <v>0</v>
      </c>
      <c r="G147" s="2">
        <f>IF(ISERROR(B147),"-",IF(J146=0,0,SUM($F$33:F147)))</f>
        <v>0</v>
      </c>
      <c r="H147" s="2">
        <f t="shared" si="13"/>
        <v>0</v>
      </c>
      <c r="I147" s="2">
        <f>IF(ISERROR($B147),"-",IF(J146=0,0,SUM($H$33:H147)))</f>
        <v>0</v>
      </c>
      <c r="J147" s="2">
        <f t="shared" si="14"/>
        <v>0</v>
      </c>
      <c r="K147" s="2">
        <f t="shared" si="15"/>
        <v>0</v>
      </c>
      <c r="L147" s="2">
        <f t="shared" si="16"/>
        <v>0</v>
      </c>
      <c r="M147" s="2">
        <f t="shared" si="17"/>
        <v>0</v>
      </c>
      <c r="O147" s="2">
        <f>IF('PV IN'!$N$10="Yes",PVLoan!F147*'PV IN'!$E$8,0)</f>
        <v>0</v>
      </c>
    </row>
    <row r="148" spans="1:15" x14ac:dyDescent="0.25">
      <c r="B148">
        <f t="shared" si="9"/>
        <v>116</v>
      </c>
      <c r="C148" s="2">
        <f t="shared" si="10"/>
        <v>0</v>
      </c>
      <c r="E148" s="10">
        <f t="shared" si="11"/>
        <v>0</v>
      </c>
      <c r="F148" s="2">
        <f t="shared" si="12"/>
        <v>0</v>
      </c>
      <c r="G148" s="2">
        <f>IF(ISERROR(B148),"-",IF(J147=0,0,SUM($F$33:F148)))</f>
        <v>0</v>
      </c>
      <c r="H148" s="2">
        <f t="shared" si="13"/>
        <v>0</v>
      </c>
      <c r="I148" s="2">
        <f>IF(ISERROR($B148),"-",IF(J147=0,0,SUM($H$33:H148)))</f>
        <v>0</v>
      </c>
      <c r="J148" s="2">
        <f t="shared" si="14"/>
        <v>0</v>
      </c>
      <c r="K148" s="2">
        <f t="shared" si="15"/>
        <v>0</v>
      </c>
      <c r="L148" s="2">
        <f t="shared" si="16"/>
        <v>0</v>
      </c>
      <c r="M148" s="2">
        <f t="shared" si="17"/>
        <v>0</v>
      </c>
      <c r="O148" s="2">
        <f>IF('PV IN'!$N$10="Yes",PVLoan!F148*'PV IN'!$E$8,0)</f>
        <v>0</v>
      </c>
    </row>
    <row r="149" spans="1:15" x14ac:dyDescent="0.25">
      <c r="B149">
        <f t="shared" si="9"/>
        <v>117</v>
      </c>
      <c r="C149" s="2">
        <f t="shared" si="10"/>
        <v>0</v>
      </c>
      <c r="E149" s="10">
        <f t="shared" si="11"/>
        <v>0</v>
      </c>
      <c r="F149" s="2">
        <f t="shared" si="12"/>
        <v>0</v>
      </c>
      <c r="G149" s="2">
        <f>IF(ISERROR(B149),"-",IF(J148=0,0,SUM($F$33:F149)))</f>
        <v>0</v>
      </c>
      <c r="H149" s="2">
        <f t="shared" si="13"/>
        <v>0</v>
      </c>
      <c r="I149" s="2">
        <f>IF(ISERROR($B149),"-",IF(J148=0,0,SUM($H$33:H149)))</f>
        <v>0</v>
      </c>
      <c r="J149" s="2">
        <f t="shared" si="14"/>
        <v>0</v>
      </c>
      <c r="K149" s="2">
        <f t="shared" si="15"/>
        <v>0</v>
      </c>
      <c r="L149" s="2">
        <f t="shared" si="16"/>
        <v>0</v>
      </c>
      <c r="M149" s="2">
        <f t="shared" si="17"/>
        <v>0</v>
      </c>
      <c r="O149" s="2">
        <f>IF('PV IN'!$N$10="Yes",PVLoan!F149*'PV IN'!$E$8,0)</f>
        <v>0</v>
      </c>
    </row>
    <row r="150" spans="1:15" x14ac:dyDescent="0.25">
      <c r="B150">
        <f t="shared" si="9"/>
        <v>118</v>
      </c>
      <c r="C150" s="2">
        <f t="shared" si="10"/>
        <v>0</v>
      </c>
      <c r="E150" s="10">
        <f t="shared" si="11"/>
        <v>0</v>
      </c>
      <c r="F150" s="2">
        <f t="shared" si="12"/>
        <v>0</v>
      </c>
      <c r="G150" s="2">
        <f>IF(ISERROR(B150),"-",IF(J149=0,0,SUM($F$33:F150)))</f>
        <v>0</v>
      </c>
      <c r="H150" s="2">
        <f t="shared" si="13"/>
        <v>0</v>
      </c>
      <c r="I150" s="2">
        <f>IF(ISERROR($B150),"-",IF(J149=0,0,SUM($H$33:H150)))</f>
        <v>0</v>
      </c>
      <c r="J150" s="2">
        <f t="shared" si="14"/>
        <v>0</v>
      </c>
      <c r="K150" s="2">
        <f t="shared" si="15"/>
        <v>0</v>
      </c>
      <c r="L150" s="2">
        <f t="shared" si="16"/>
        <v>0</v>
      </c>
      <c r="M150" s="2">
        <f t="shared" si="17"/>
        <v>0</v>
      </c>
      <c r="O150" s="2">
        <f>IF('PV IN'!$N$10="Yes",PVLoan!F150*'PV IN'!$E$8,0)</f>
        <v>0</v>
      </c>
    </row>
    <row r="151" spans="1:15" x14ac:dyDescent="0.25">
      <c r="B151">
        <f t="shared" si="9"/>
        <v>119</v>
      </c>
      <c r="C151" s="2">
        <f t="shared" si="10"/>
        <v>0</v>
      </c>
      <c r="E151" s="10">
        <f t="shared" si="11"/>
        <v>0</v>
      </c>
      <c r="F151" s="2">
        <f t="shared" si="12"/>
        <v>0</v>
      </c>
      <c r="G151" s="2">
        <f>IF(ISERROR(B151),"-",IF(J150=0,0,SUM($F$33:F151)))</f>
        <v>0</v>
      </c>
      <c r="H151" s="2">
        <f t="shared" si="13"/>
        <v>0</v>
      </c>
      <c r="I151" s="2">
        <f>IF(ISERROR($B151),"-",IF(J150=0,0,SUM($H$33:H151)))</f>
        <v>0</v>
      </c>
      <c r="J151" s="2">
        <f t="shared" si="14"/>
        <v>0</v>
      </c>
      <c r="K151" s="2">
        <f t="shared" si="15"/>
        <v>0</v>
      </c>
      <c r="L151" s="2">
        <f t="shared" si="16"/>
        <v>0</v>
      </c>
      <c r="M151" s="2">
        <f t="shared" si="17"/>
        <v>0</v>
      </c>
      <c r="O151" s="2">
        <f>IF('PV IN'!$N$10="Yes",PVLoan!F151*'PV IN'!$E$8,0)</f>
        <v>0</v>
      </c>
    </row>
    <row r="152" spans="1:15" x14ac:dyDescent="0.25">
      <c r="A152">
        <v>10</v>
      </c>
      <c r="B152">
        <f t="shared" si="9"/>
        <v>120</v>
      </c>
      <c r="C152" s="2">
        <f t="shared" si="10"/>
        <v>0</v>
      </c>
      <c r="E152" s="10">
        <f t="shared" si="11"/>
        <v>0</v>
      </c>
      <c r="F152" s="2">
        <f t="shared" si="12"/>
        <v>0</v>
      </c>
      <c r="G152" s="2">
        <f>IF(ISERROR(B152),"-",IF(J151=0,0,SUM($F$33:F152)))</f>
        <v>0</v>
      </c>
      <c r="H152" s="2">
        <f t="shared" si="13"/>
        <v>0</v>
      </c>
      <c r="I152" s="2">
        <f>IF(ISERROR($B152),"-",IF(J151=0,0,SUM($H$33:H152)))</f>
        <v>0</v>
      </c>
      <c r="J152" s="2">
        <f t="shared" si="14"/>
        <v>0</v>
      </c>
      <c r="K152" s="2">
        <f t="shared" si="15"/>
        <v>0</v>
      </c>
      <c r="L152" s="2">
        <f t="shared" si="16"/>
        <v>0</v>
      </c>
      <c r="M152" s="2">
        <f t="shared" si="17"/>
        <v>0</v>
      </c>
      <c r="O152" s="2">
        <f>IF('PV IN'!$N$10="Yes",PVLoan!F152*'PV IN'!$E$8,0)</f>
        <v>0</v>
      </c>
    </row>
    <row r="153" spans="1:15" x14ac:dyDescent="0.25">
      <c r="B153">
        <f t="shared" si="9"/>
        <v>121</v>
      </c>
      <c r="C153" s="2">
        <f t="shared" si="10"/>
        <v>0</v>
      </c>
      <c r="E153" s="10">
        <f t="shared" si="11"/>
        <v>0</v>
      </c>
      <c r="F153" s="2">
        <f t="shared" si="12"/>
        <v>0</v>
      </c>
      <c r="G153" s="2">
        <f>IF(ISERROR(B153),"-",IF(J152=0,0,SUM($F$33:F153)))</f>
        <v>0</v>
      </c>
      <c r="H153" s="2">
        <f t="shared" si="13"/>
        <v>0</v>
      </c>
      <c r="I153" s="2">
        <f>IF(ISERROR($B153),"-",IF(J152=0,0,SUM($H$33:H153)))</f>
        <v>0</v>
      </c>
      <c r="J153" s="2">
        <f t="shared" si="14"/>
        <v>0</v>
      </c>
      <c r="K153" s="2">
        <f t="shared" si="15"/>
        <v>0</v>
      </c>
      <c r="L153" s="2">
        <f t="shared" si="16"/>
        <v>0</v>
      </c>
      <c r="M153" s="2">
        <f t="shared" si="17"/>
        <v>0</v>
      </c>
      <c r="O153" s="2">
        <f>IF('PV IN'!$N$10="Yes",PVLoan!F153*'PV IN'!$E$8,0)</f>
        <v>0</v>
      </c>
    </row>
    <row r="154" spans="1:15" x14ac:dyDescent="0.25">
      <c r="B154">
        <f t="shared" si="9"/>
        <v>122</v>
      </c>
      <c r="C154" s="2">
        <f t="shared" si="10"/>
        <v>0</v>
      </c>
      <c r="E154" s="10">
        <f t="shared" si="11"/>
        <v>0</v>
      </c>
      <c r="F154" s="2">
        <f t="shared" si="12"/>
        <v>0</v>
      </c>
      <c r="G154" s="2">
        <f>IF(ISERROR(B154),"-",IF(J153=0,0,SUM($F$33:F154)))</f>
        <v>0</v>
      </c>
      <c r="H154" s="2">
        <f t="shared" si="13"/>
        <v>0</v>
      </c>
      <c r="I154" s="2">
        <f>IF(ISERROR($B154),"-",IF(J153=0,0,SUM($H$33:H154)))</f>
        <v>0</v>
      </c>
      <c r="J154" s="2">
        <f t="shared" si="14"/>
        <v>0</v>
      </c>
      <c r="K154" s="2">
        <f t="shared" si="15"/>
        <v>0</v>
      </c>
      <c r="L154" s="2">
        <f t="shared" si="16"/>
        <v>0</v>
      </c>
      <c r="M154" s="2">
        <f t="shared" si="17"/>
        <v>0</v>
      </c>
      <c r="O154" s="2">
        <f>IF('PV IN'!$N$10="Yes",PVLoan!F154*'PV IN'!$E$8,0)</f>
        <v>0</v>
      </c>
    </row>
    <row r="155" spans="1:15" x14ac:dyDescent="0.25">
      <c r="B155">
        <f t="shared" si="9"/>
        <v>123</v>
      </c>
      <c r="C155" s="2">
        <f t="shared" si="10"/>
        <v>0</v>
      </c>
      <c r="E155" s="10">
        <f t="shared" si="11"/>
        <v>0</v>
      </c>
      <c r="F155" s="2">
        <f t="shared" si="12"/>
        <v>0</v>
      </c>
      <c r="G155" s="2">
        <f>IF(ISERROR(B155),"-",IF(J154=0,0,SUM($F$33:F155)))</f>
        <v>0</v>
      </c>
      <c r="H155" s="2">
        <f t="shared" si="13"/>
        <v>0</v>
      </c>
      <c r="I155" s="2">
        <f>IF(ISERROR($B155),"-",IF(J154=0,0,SUM($H$33:H155)))</f>
        <v>0</v>
      </c>
      <c r="J155" s="2">
        <f t="shared" si="14"/>
        <v>0</v>
      </c>
      <c r="K155" s="2">
        <f t="shared" si="15"/>
        <v>0</v>
      </c>
      <c r="L155" s="2">
        <f t="shared" si="16"/>
        <v>0</v>
      </c>
      <c r="M155" s="2">
        <f t="shared" si="17"/>
        <v>0</v>
      </c>
      <c r="O155" s="2">
        <f>IF('PV IN'!$N$10="Yes",PVLoan!F155*'PV IN'!$E$8,0)</f>
        <v>0</v>
      </c>
    </row>
    <row r="156" spans="1:15" x14ac:dyDescent="0.25">
      <c r="B156">
        <f t="shared" si="9"/>
        <v>124</v>
      </c>
      <c r="C156" s="2">
        <f t="shared" si="10"/>
        <v>0</v>
      </c>
      <c r="E156" s="10">
        <f t="shared" si="11"/>
        <v>0</v>
      </c>
      <c r="F156" s="2">
        <f t="shared" si="12"/>
        <v>0</v>
      </c>
      <c r="G156" s="2">
        <f>IF(ISERROR(B156),"-",IF(J155=0,0,SUM($F$33:F156)))</f>
        <v>0</v>
      </c>
      <c r="H156" s="2">
        <f t="shared" si="13"/>
        <v>0</v>
      </c>
      <c r="I156" s="2">
        <f>IF(ISERROR($B156),"-",IF(J155=0,0,SUM($H$33:H156)))</f>
        <v>0</v>
      </c>
      <c r="J156" s="2">
        <f t="shared" si="14"/>
        <v>0</v>
      </c>
      <c r="K156" s="2">
        <f t="shared" si="15"/>
        <v>0</v>
      </c>
      <c r="L156" s="2">
        <f t="shared" si="16"/>
        <v>0</v>
      </c>
      <c r="M156" s="2">
        <f t="shared" si="17"/>
        <v>0</v>
      </c>
      <c r="O156" s="2">
        <f>IF('PV IN'!$N$10="Yes",PVLoan!F156*'PV IN'!$E$8,0)</f>
        <v>0</v>
      </c>
    </row>
    <row r="157" spans="1:15" x14ac:dyDescent="0.25">
      <c r="B157">
        <f t="shared" si="9"/>
        <v>125</v>
      </c>
      <c r="C157" s="2">
        <f t="shared" si="10"/>
        <v>0</v>
      </c>
      <c r="E157" s="10">
        <f t="shared" si="11"/>
        <v>0</v>
      </c>
      <c r="F157" s="2">
        <f t="shared" si="12"/>
        <v>0</v>
      </c>
      <c r="G157" s="2">
        <f>IF(ISERROR(B157),"-",IF(J156=0,0,SUM($F$33:F157)))</f>
        <v>0</v>
      </c>
      <c r="H157" s="2">
        <f t="shared" si="13"/>
        <v>0</v>
      </c>
      <c r="I157" s="2">
        <f>IF(ISERROR($B157),"-",IF(J156=0,0,SUM($H$33:H157)))</f>
        <v>0</v>
      </c>
      <c r="J157" s="2">
        <f t="shared" si="14"/>
        <v>0</v>
      </c>
      <c r="K157" s="2">
        <f t="shared" si="15"/>
        <v>0</v>
      </c>
      <c r="L157" s="2">
        <f t="shared" si="16"/>
        <v>0</v>
      </c>
      <c r="M157" s="2">
        <f t="shared" si="17"/>
        <v>0</v>
      </c>
      <c r="O157" s="2">
        <f>IF('PV IN'!$N$10="Yes",PVLoan!F157*'PV IN'!$E$8,0)</f>
        <v>0</v>
      </c>
    </row>
    <row r="158" spans="1:15" x14ac:dyDescent="0.25">
      <c r="B158">
        <f t="shared" si="9"/>
        <v>126</v>
      </c>
      <c r="C158" s="2">
        <f t="shared" si="10"/>
        <v>0</v>
      </c>
      <c r="E158" s="10">
        <f t="shared" si="11"/>
        <v>0</v>
      </c>
      <c r="F158" s="2">
        <f t="shared" si="12"/>
        <v>0</v>
      </c>
      <c r="G158" s="2">
        <f>IF(ISERROR(B158),"-",IF(J157=0,0,SUM($F$33:F158)))</f>
        <v>0</v>
      </c>
      <c r="H158" s="2">
        <f t="shared" si="13"/>
        <v>0</v>
      </c>
      <c r="I158" s="2">
        <f>IF(ISERROR($B158),"-",IF(J157=0,0,SUM($H$33:H158)))</f>
        <v>0</v>
      </c>
      <c r="J158" s="2">
        <f t="shared" si="14"/>
        <v>0</v>
      </c>
      <c r="K158" s="2">
        <f t="shared" si="15"/>
        <v>0</v>
      </c>
      <c r="L158" s="2">
        <f t="shared" si="16"/>
        <v>0</v>
      </c>
      <c r="M158" s="2">
        <f t="shared" si="17"/>
        <v>0</v>
      </c>
      <c r="O158" s="2">
        <f>IF('PV IN'!$N$10="Yes",PVLoan!F158*'PV IN'!$E$8,0)</f>
        <v>0</v>
      </c>
    </row>
    <row r="159" spans="1:15" x14ac:dyDescent="0.25">
      <c r="B159">
        <f t="shared" si="9"/>
        <v>127</v>
      </c>
      <c r="C159" s="2">
        <f t="shared" si="10"/>
        <v>0</v>
      </c>
      <c r="E159" s="10">
        <f t="shared" si="11"/>
        <v>0</v>
      </c>
      <c r="F159" s="2">
        <f t="shared" si="12"/>
        <v>0</v>
      </c>
      <c r="G159" s="2">
        <f>IF(ISERROR(B159),"-",IF(J158=0,0,SUM($F$33:F159)))</f>
        <v>0</v>
      </c>
      <c r="H159" s="2">
        <f t="shared" si="13"/>
        <v>0</v>
      </c>
      <c r="I159" s="2">
        <f>IF(ISERROR($B159),"-",IF(J158=0,0,SUM($H$33:H159)))</f>
        <v>0</v>
      </c>
      <c r="J159" s="2">
        <f t="shared" si="14"/>
        <v>0</v>
      </c>
      <c r="K159" s="2">
        <f t="shared" si="15"/>
        <v>0</v>
      </c>
      <c r="L159" s="2">
        <f t="shared" si="16"/>
        <v>0</v>
      </c>
      <c r="M159" s="2">
        <f t="shared" si="17"/>
        <v>0</v>
      </c>
      <c r="O159" s="2">
        <f>IF('PV IN'!$N$10="Yes",PVLoan!F159*'PV IN'!$E$8,0)</f>
        <v>0</v>
      </c>
    </row>
    <row r="160" spans="1:15" x14ac:dyDescent="0.25">
      <c r="B160">
        <f t="shared" si="9"/>
        <v>128</v>
      </c>
      <c r="C160" s="2">
        <f t="shared" si="10"/>
        <v>0</v>
      </c>
      <c r="E160" s="10">
        <f t="shared" si="11"/>
        <v>0</v>
      </c>
      <c r="F160" s="2">
        <f t="shared" si="12"/>
        <v>0</v>
      </c>
      <c r="G160" s="2">
        <f>IF(ISERROR(B160),"-",IF(J159=0,0,SUM($F$33:F160)))</f>
        <v>0</v>
      </c>
      <c r="H160" s="2">
        <f t="shared" si="13"/>
        <v>0</v>
      </c>
      <c r="I160" s="2">
        <f>IF(ISERROR($B160),"-",IF(J159=0,0,SUM($H$33:H160)))</f>
        <v>0</v>
      </c>
      <c r="J160" s="2">
        <f t="shared" si="14"/>
        <v>0</v>
      </c>
      <c r="K160" s="2">
        <f t="shared" si="15"/>
        <v>0</v>
      </c>
      <c r="L160" s="2">
        <f t="shared" si="16"/>
        <v>0</v>
      </c>
      <c r="M160" s="2">
        <f t="shared" si="17"/>
        <v>0</v>
      </c>
      <c r="O160" s="2">
        <f>IF('PV IN'!$N$10="Yes",PVLoan!F160*'PV IN'!$E$8,0)</f>
        <v>0</v>
      </c>
    </row>
    <row r="161" spans="1:15" x14ac:dyDescent="0.25">
      <c r="B161">
        <f t="shared" si="9"/>
        <v>129</v>
      </c>
      <c r="C161" s="2">
        <f t="shared" si="10"/>
        <v>0</v>
      </c>
      <c r="E161" s="10">
        <f t="shared" si="11"/>
        <v>0</v>
      </c>
      <c r="F161" s="2">
        <f t="shared" si="12"/>
        <v>0</v>
      </c>
      <c r="G161" s="2">
        <f>IF(ISERROR(B161),"-",IF(J160=0,0,SUM($F$33:F161)))</f>
        <v>0</v>
      </c>
      <c r="H161" s="2">
        <f t="shared" si="13"/>
        <v>0</v>
      </c>
      <c r="I161" s="2">
        <f>IF(ISERROR($B161),"-",IF(J160=0,0,SUM($H$33:H161)))</f>
        <v>0</v>
      </c>
      <c r="J161" s="2">
        <f t="shared" si="14"/>
        <v>0</v>
      </c>
      <c r="K161" s="2">
        <f t="shared" si="15"/>
        <v>0</v>
      </c>
      <c r="L161" s="2">
        <f t="shared" si="16"/>
        <v>0</v>
      </c>
      <c r="M161" s="2">
        <f t="shared" si="17"/>
        <v>0</v>
      </c>
      <c r="O161" s="2">
        <f>IF('PV IN'!$N$10="Yes",PVLoan!F161*'PV IN'!$E$8,0)</f>
        <v>0</v>
      </c>
    </row>
    <row r="162" spans="1:15" x14ac:dyDescent="0.25">
      <c r="B162">
        <f t="shared" ref="B162:B225" si="18">IF(B161&gt;=$E$9,NA(),B161+1)</f>
        <v>130</v>
      </c>
      <c r="C162" s="2">
        <f t="shared" ref="C162:C225" si="19">IF(ISERROR(B162),"0",IF(J161=0,0,$E$11))</f>
        <v>0</v>
      </c>
      <c r="E162" s="10">
        <f t="shared" ref="E162:E225" si="20">C162+D162</f>
        <v>0</v>
      </c>
      <c r="F162" s="2">
        <f t="shared" ref="F162:F225" si="21">IF(ISERROR(B162),0,$E$8*J161)</f>
        <v>0</v>
      </c>
      <c r="G162" s="2">
        <f>IF(ISERROR(B162),"-",IF(J161=0,0,SUM($F$33:F162)))</f>
        <v>0</v>
      </c>
      <c r="H162" s="2">
        <f t="shared" ref="H162:H225" si="22">IF(ISERROR($B162),0,IF(J161=0,0,E162-F162))</f>
        <v>0</v>
      </c>
      <c r="I162" s="2">
        <f>IF(ISERROR($B162),"-",IF(J161=0,0,SUM($H$33:H162)))</f>
        <v>0</v>
      </c>
      <c r="J162" s="2">
        <f t="shared" ref="J162:J225" si="23">IF(ISERROR($B162),"-",IF(J161-H162&lt;0,0,J161-H162))</f>
        <v>0</v>
      </c>
      <c r="K162" s="2">
        <f t="shared" ref="K162:K225" si="24">IF(ISERROR(B162),"-",J161-H162)</f>
        <v>0</v>
      </c>
      <c r="L162" s="2">
        <f t="shared" ref="L162:L225" si="25">IF(K162&gt;=0,E162,E162+K162)</f>
        <v>0</v>
      </c>
      <c r="M162" s="2">
        <f t="shared" ref="M162:M225" si="26">-IF(K162&lt;0,K162,0)</f>
        <v>0</v>
      </c>
      <c r="O162" s="2">
        <f>IF('PV IN'!$N$10="Yes",PVLoan!F162*'PV IN'!$E$8,0)</f>
        <v>0</v>
      </c>
    </row>
    <row r="163" spans="1:15" x14ac:dyDescent="0.25">
      <c r="B163">
        <f t="shared" si="18"/>
        <v>131</v>
      </c>
      <c r="C163" s="2">
        <f t="shared" si="19"/>
        <v>0</v>
      </c>
      <c r="E163" s="10">
        <f t="shared" si="20"/>
        <v>0</v>
      </c>
      <c r="F163" s="2">
        <f t="shared" si="21"/>
        <v>0</v>
      </c>
      <c r="G163" s="2">
        <f>IF(ISERROR(B163),"-",IF(J162=0,0,SUM($F$33:F163)))</f>
        <v>0</v>
      </c>
      <c r="H163" s="2">
        <f t="shared" si="22"/>
        <v>0</v>
      </c>
      <c r="I163" s="2">
        <f>IF(ISERROR($B163),"-",IF(J162=0,0,SUM($H$33:H163)))</f>
        <v>0</v>
      </c>
      <c r="J163" s="2">
        <f t="shared" si="23"/>
        <v>0</v>
      </c>
      <c r="K163" s="2">
        <f t="shared" si="24"/>
        <v>0</v>
      </c>
      <c r="L163" s="2">
        <f t="shared" si="25"/>
        <v>0</v>
      </c>
      <c r="M163" s="2">
        <f t="shared" si="26"/>
        <v>0</v>
      </c>
      <c r="O163" s="2">
        <f>IF('PV IN'!$N$10="Yes",PVLoan!F163*'PV IN'!$E$8,0)</f>
        <v>0</v>
      </c>
    </row>
    <row r="164" spans="1:15" x14ac:dyDescent="0.25">
      <c r="A164">
        <v>11</v>
      </c>
      <c r="B164">
        <f t="shared" si="18"/>
        <v>132</v>
      </c>
      <c r="C164" s="2">
        <f t="shared" si="19"/>
        <v>0</v>
      </c>
      <c r="E164" s="10">
        <f t="shared" si="20"/>
        <v>0</v>
      </c>
      <c r="F164" s="2">
        <f t="shared" si="21"/>
        <v>0</v>
      </c>
      <c r="G164" s="2">
        <f>IF(ISERROR(B164),"-",IF(J163=0,0,SUM($F$33:F164)))</f>
        <v>0</v>
      </c>
      <c r="H164" s="2">
        <f t="shared" si="22"/>
        <v>0</v>
      </c>
      <c r="I164" s="2">
        <f>IF(ISERROR($B164),"-",IF(J163=0,0,SUM($H$33:H164)))</f>
        <v>0</v>
      </c>
      <c r="J164" s="2">
        <f t="shared" si="23"/>
        <v>0</v>
      </c>
      <c r="K164" s="2">
        <f t="shared" si="24"/>
        <v>0</v>
      </c>
      <c r="L164" s="2">
        <f t="shared" si="25"/>
        <v>0</v>
      </c>
      <c r="M164" s="2">
        <f t="shared" si="26"/>
        <v>0</v>
      </c>
      <c r="O164" s="2">
        <f>IF('PV IN'!$N$10="Yes",PVLoan!F164*'PV IN'!$E$8,0)</f>
        <v>0</v>
      </c>
    </row>
    <row r="165" spans="1:15" x14ac:dyDescent="0.25">
      <c r="B165">
        <f t="shared" si="18"/>
        <v>133</v>
      </c>
      <c r="C165" s="2">
        <f t="shared" si="19"/>
        <v>0</v>
      </c>
      <c r="E165" s="10">
        <f t="shared" si="20"/>
        <v>0</v>
      </c>
      <c r="F165" s="2">
        <f t="shared" si="21"/>
        <v>0</v>
      </c>
      <c r="G165" s="2">
        <f>IF(ISERROR(B165),"-",IF(J164=0,0,SUM($F$33:F165)))</f>
        <v>0</v>
      </c>
      <c r="H165" s="2">
        <f t="shared" si="22"/>
        <v>0</v>
      </c>
      <c r="I165" s="2">
        <f>IF(ISERROR($B165),"-",IF(J164=0,0,SUM($H$33:H165)))</f>
        <v>0</v>
      </c>
      <c r="J165" s="2">
        <f t="shared" si="23"/>
        <v>0</v>
      </c>
      <c r="K165" s="2">
        <f t="shared" si="24"/>
        <v>0</v>
      </c>
      <c r="L165" s="2">
        <f t="shared" si="25"/>
        <v>0</v>
      </c>
      <c r="M165" s="2">
        <f t="shared" si="26"/>
        <v>0</v>
      </c>
      <c r="O165" s="2">
        <f>IF('PV IN'!$N$10="Yes",PVLoan!F165*'PV IN'!$E$8,0)</f>
        <v>0</v>
      </c>
    </row>
    <row r="166" spans="1:15" x14ac:dyDescent="0.25">
      <c r="B166">
        <f t="shared" si="18"/>
        <v>134</v>
      </c>
      <c r="C166" s="2">
        <f t="shared" si="19"/>
        <v>0</v>
      </c>
      <c r="E166" s="10">
        <f t="shared" si="20"/>
        <v>0</v>
      </c>
      <c r="F166" s="2">
        <f t="shared" si="21"/>
        <v>0</v>
      </c>
      <c r="G166" s="2">
        <f>IF(ISERROR(B166),"-",IF(J165=0,0,SUM($F$33:F166)))</f>
        <v>0</v>
      </c>
      <c r="H166" s="2">
        <f t="shared" si="22"/>
        <v>0</v>
      </c>
      <c r="I166" s="2">
        <f>IF(ISERROR($B166),"-",IF(J165=0,0,SUM($H$33:H166)))</f>
        <v>0</v>
      </c>
      <c r="J166" s="2">
        <f t="shared" si="23"/>
        <v>0</v>
      </c>
      <c r="K166" s="2">
        <f t="shared" si="24"/>
        <v>0</v>
      </c>
      <c r="L166" s="2">
        <f t="shared" si="25"/>
        <v>0</v>
      </c>
      <c r="M166" s="2">
        <f t="shared" si="26"/>
        <v>0</v>
      </c>
      <c r="O166" s="2">
        <f>IF('PV IN'!$N$10="Yes",PVLoan!F166*'PV IN'!$E$8,0)</f>
        <v>0</v>
      </c>
    </row>
    <row r="167" spans="1:15" x14ac:dyDescent="0.25">
      <c r="B167">
        <f t="shared" si="18"/>
        <v>135</v>
      </c>
      <c r="C167" s="2">
        <f t="shared" si="19"/>
        <v>0</v>
      </c>
      <c r="E167" s="10">
        <f t="shared" si="20"/>
        <v>0</v>
      </c>
      <c r="F167" s="2">
        <f t="shared" si="21"/>
        <v>0</v>
      </c>
      <c r="G167" s="2">
        <f>IF(ISERROR(B167),"-",IF(J166=0,0,SUM($F$33:F167)))</f>
        <v>0</v>
      </c>
      <c r="H167" s="2">
        <f t="shared" si="22"/>
        <v>0</v>
      </c>
      <c r="I167" s="2">
        <f>IF(ISERROR($B167),"-",IF(J166=0,0,SUM($H$33:H167)))</f>
        <v>0</v>
      </c>
      <c r="J167" s="2">
        <f t="shared" si="23"/>
        <v>0</v>
      </c>
      <c r="K167" s="2">
        <f t="shared" si="24"/>
        <v>0</v>
      </c>
      <c r="L167" s="2">
        <f t="shared" si="25"/>
        <v>0</v>
      </c>
      <c r="M167" s="2">
        <f t="shared" si="26"/>
        <v>0</v>
      </c>
      <c r="O167" s="2">
        <f>IF('PV IN'!$N$10="Yes",PVLoan!F167*'PV IN'!$E$8,0)</f>
        <v>0</v>
      </c>
    </row>
    <row r="168" spans="1:15" x14ac:dyDescent="0.25">
      <c r="B168">
        <f t="shared" si="18"/>
        <v>136</v>
      </c>
      <c r="C168" s="2">
        <f t="shared" si="19"/>
        <v>0</v>
      </c>
      <c r="E168" s="10">
        <f t="shared" si="20"/>
        <v>0</v>
      </c>
      <c r="F168" s="2">
        <f t="shared" si="21"/>
        <v>0</v>
      </c>
      <c r="G168" s="2">
        <f>IF(ISERROR(B168),"-",IF(J167=0,0,SUM($F$33:F168)))</f>
        <v>0</v>
      </c>
      <c r="H168" s="2">
        <f t="shared" si="22"/>
        <v>0</v>
      </c>
      <c r="I168" s="2">
        <f>IF(ISERROR($B168),"-",IF(J167=0,0,SUM($H$33:H168)))</f>
        <v>0</v>
      </c>
      <c r="J168" s="2">
        <f t="shared" si="23"/>
        <v>0</v>
      </c>
      <c r="K168" s="2">
        <f t="shared" si="24"/>
        <v>0</v>
      </c>
      <c r="L168" s="2">
        <f t="shared" si="25"/>
        <v>0</v>
      </c>
      <c r="M168" s="2">
        <f t="shared" si="26"/>
        <v>0</v>
      </c>
      <c r="O168" s="2">
        <f>IF('PV IN'!$N$10="Yes",PVLoan!F168*'PV IN'!$E$8,0)</f>
        <v>0</v>
      </c>
    </row>
    <row r="169" spans="1:15" x14ac:dyDescent="0.25">
      <c r="B169">
        <f t="shared" si="18"/>
        <v>137</v>
      </c>
      <c r="C169" s="2">
        <f t="shared" si="19"/>
        <v>0</v>
      </c>
      <c r="E169" s="10">
        <f t="shared" si="20"/>
        <v>0</v>
      </c>
      <c r="F169" s="2">
        <f t="shared" si="21"/>
        <v>0</v>
      </c>
      <c r="G169" s="2">
        <f>IF(ISERROR(B169),"-",IF(J168=0,0,SUM($F$33:F169)))</f>
        <v>0</v>
      </c>
      <c r="H169" s="2">
        <f t="shared" si="22"/>
        <v>0</v>
      </c>
      <c r="I169" s="2">
        <f>IF(ISERROR($B169),"-",IF(J168=0,0,SUM($H$33:H169)))</f>
        <v>0</v>
      </c>
      <c r="J169" s="2">
        <f t="shared" si="23"/>
        <v>0</v>
      </c>
      <c r="K169" s="2">
        <f t="shared" si="24"/>
        <v>0</v>
      </c>
      <c r="L169" s="2">
        <f t="shared" si="25"/>
        <v>0</v>
      </c>
      <c r="M169" s="2">
        <f t="shared" si="26"/>
        <v>0</v>
      </c>
      <c r="O169" s="2">
        <f>IF('PV IN'!$N$10="Yes",PVLoan!F169*'PV IN'!$E$8,0)</f>
        <v>0</v>
      </c>
    </row>
    <row r="170" spans="1:15" x14ac:dyDescent="0.25">
      <c r="B170">
        <f t="shared" si="18"/>
        <v>138</v>
      </c>
      <c r="C170" s="2">
        <f t="shared" si="19"/>
        <v>0</v>
      </c>
      <c r="E170" s="10">
        <f t="shared" si="20"/>
        <v>0</v>
      </c>
      <c r="F170" s="2">
        <f t="shared" si="21"/>
        <v>0</v>
      </c>
      <c r="G170" s="2">
        <f>IF(ISERROR(B170),"-",IF(J169=0,0,SUM($F$33:F170)))</f>
        <v>0</v>
      </c>
      <c r="H170" s="2">
        <f t="shared" si="22"/>
        <v>0</v>
      </c>
      <c r="I170" s="2">
        <f>IF(ISERROR($B170),"-",IF(J169=0,0,SUM($H$33:H170)))</f>
        <v>0</v>
      </c>
      <c r="J170" s="2">
        <f t="shared" si="23"/>
        <v>0</v>
      </c>
      <c r="K170" s="2">
        <f t="shared" si="24"/>
        <v>0</v>
      </c>
      <c r="L170" s="2">
        <f t="shared" si="25"/>
        <v>0</v>
      </c>
      <c r="M170" s="2">
        <f t="shared" si="26"/>
        <v>0</v>
      </c>
      <c r="O170" s="2">
        <f>IF('PV IN'!$N$10="Yes",PVLoan!F170*'PV IN'!$E$8,0)</f>
        <v>0</v>
      </c>
    </row>
    <row r="171" spans="1:15" x14ac:dyDescent="0.25">
      <c r="B171">
        <f t="shared" si="18"/>
        <v>139</v>
      </c>
      <c r="C171" s="2">
        <f t="shared" si="19"/>
        <v>0</v>
      </c>
      <c r="E171" s="10">
        <f t="shared" si="20"/>
        <v>0</v>
      </c>
      <c r="F171" s="2">
        <f t="shared" si="21"/>
        <v>0</v>
      </c>
      <c r="G171" s="2">
        <f>IF(ISERROR(B171),"-",IF(J170=0,0,SUM($F$33:F171)))</f>
        <v>0</v>
      </c>
      <c r="H171" s="2">
        <f t="shared" si="22"/>
        <v>0</v>
      </c>
      <c r="I171" s="2">
        <f>IF(ISERROR($B171),"-",IF(J170=0,0,SUM($H$33:H171)))</f>
        <v>0</v>
      </c>
      <c r="J171" s="2">
        <f t="shared" si="23"/>
        <v>0</v>
      </c>
      <c r="K171" s="2">
        <f t="shared" si="24"/>
        <v>0</v>
      </c>
      <c r="L171" s="2">
        <f t="shared" si="25"/>
        <v>0</v>
      </c>
      <c r="M171" s="2">
        <f t="shared" si="26"/>
        <v>0</v>
      </c>
      <c r="O171" s="2">
        <f>IF('PV IN'!$N$10="Yes",PVLoan!F171*'PV IN'!$E$8,0)</f>
        <v>0</v>
      </c>
    </row>
    <row r="172" spans="1:15" x14ac:dyDescent="0.25">
      <c r="B172">
        <f t="shared" si="18"/>
        <v>140</v>
      </c>
      <c r="C172" s="2">
        <f t="shared" si="19"/>
        <v>0</v>
      </c>
      <c r="E172" s="10">
        <f t="shared" si="20"/>
        <v>0</v>
      </c>
      <c r="F172" s="2">
        <f t="shared" si="21"/>
        <v>0</v>
      </c>
      <c r="G172" s="2">
        <f>IF(ISERROR(B172),"-",IF(J171=0,0,SUM($F$33:F172)))</f>
        <v>0</v>
      </c>
      <c r="H172" s="2">
        <f t="shared" si="22"/>
        <v>0</v>
      </c>
      <c r="I172" s="2">
        <f>IF(ISERROR($B172),"-",IF(J171=0,0,SUM($H$33:H172)))</f>
        <v>0</v>
      </c>
      <c r="J172" s="2">
        <f t="shared" si="23"/>
        <v>0</v>
      </c>
      <c r="K172" s="2">
        <f t="shared" si="24"/>
        <v>0</v>
      </c>
      <c r="L172" s="2">
        <f t="shared" si="25"/>
        <v>0</v>
      </c>
      <c r="M172" s="2">
        <f t="shared" si="26"/>
        <v>0</v>
      </c>
      <c r="O172" s="2">
        <f>IF('PV IN'!$N$10="Yes",PVLoan!F172*'PV IN'!$E$8,0)</f>
        <v>0</v>
      </c>
    </row>
    <row r="173" spans="1:15" x14ac:dyDescent="0.25">
      <c r="B173">
        <f t="shared" si="18"/>
        <v>141</v>
      </c>
      <c r="C173" s="2">
        <f t="shared" si="19"/>
        <v>0</v>
      </c>
      <c r="E173" s="10">
        <f t="shared" si="20"/>
        <v>0</v>
      </c>
      <c r="F173" s="2">
        <f t="shared" si="21"/>
        <v>0</v>
      </c>
      <c r="G173" s="2">
        <f>IF(ISERROR(B173),"-",IF(J172=0,0,SUM($F$33:F173)))</f>
        <v>0</v>
      </c>
      <c r="H173" s="2">
        <f t="shared" si="22"/>
        <v>0</v>
      </c>
      <c r="I173" s="2">
        <f>IF(ISERROR($B173),"-",IF(J172=0,0,SUM($H$33:H173)))</f>
        <v>0</v>
      </c>
      <c r="J173" s="2">
        <f t="shared" si="23"/>
        <v>0</v>
      </c>
      <c r="K173" s="2">
        <f t="shared" si="24"/>
        <v>0</v>
      </c>
      <c r="L173" s="2">
        <f t="shared" si="25"/>
        <v>0</v>
      </c>
      <c r="M173" s="2">
        <f t="shared" si="26"/>
        <v>0</v>
      </c>
      <c r="O173" s="2">
        <f>IF('PV IN'!$N$10="Yes",PVLoan!F173*'PV IN'!$E$8,0)</f>
        <v>0</v>
      </c>
    </row>
    <row r="174" spans="1:15" x14ac:dyDescent="0.25">
      <c r="B174">
        <f t="shared" si="18"/>
        <v>142</v>
      </c>
      <c r="C174" s="2">
        <f t="shared" si="19"/>
        <v>0</v>
      </c>
      <c r="E174" s="10">
        <f t="shared" si="20"/>
        <v>0</v>
      </c>
      <c r="F174" s="2">
        <f t="shared" si="21"/>
        <v>0</v>
      </c>
      <c r="G174" s="2">
        <f>IF(ISERROR(B174),"-",IF(J173=0,0,SUM($F$33:F174)))</f>
        <v>0</v>
      </c>
      <c r="H174" s="2">
        <f t="shared" si="22"/>
        <v>0</v>
      </c>
      <c r="I174" s="2">
        <f>IF(ISERROR($B174),"-",IF(J173=0,0,SUM($H$33:H174)))</f>
        <v>0</v>
      </c>
      <c r="J174" s="2">
        <f t="shared" si="23"/>
        <v>0</v>
      </c>
      <c r="K174" s="2">
        <f t="shared" si="24"/>
        <v>0</v>
      </c>
      <c r="L174" s="2">
        <f t="shared" si="25"/>
        <v>0</v>
      </c>
      <c r="M174" s="2">
        <f t="shared" si="26"/>
        <v>0</v>
      </c>
      <c r="O174" s="2">
        <f>IF('PV IN'!$N$10="Yes",PVLoan!F174*'PV IN'!$E$8,0)</f>
        <v>0</v>
      </c>
    </row>
    <row r="175" spans="1:15" x14ac:dyDescent="0.25">
      <c r="B175">
        <f t="shared" si="18"/>
        <v>143</v>
      </c>
      <c r="C175" s="2">
        <f t="shared" si="19"/>
        <v>0</v>
      </c>
      <c r="E175" s="10">
        <f t="shared" si="20"/>
        <v>0</v>
      </c>
      <c r="F175" s="2">
        <f t="shared" si="21"/>
        <v>0</v>
      </c>
      <c r="G175" s="2">
        <f>IF(ISERROR(B175),"-",IF(J174=0,0,SUM($F$33:F175)))</f>
        <v>0</v>
      </c>
      <c r="H175" s="2">
        <f t="shared" si="22"/>
        <v>0</v>
      </c>
      <c r="I175" s="2">
        <f>IF(ISERROR($B175),"-",IF(J174=0,0,SUM($H$33:H175)))</f>
        <v>0</v>
      </c>
      <c r="J175" s="2">
        <f t="shared" si="23"/>
        <v>0</v>
      </c>
      <c r="K175" s="2">
        <f t="shared" si="24"/>
        <v>0</v>
      </c>
      <c r="L175" s="2">
        <f t="shared" si="25"/>
        <v>0</v>
      </c>
      <c r="M175" s="2">
        <f t="shared" si="26"/>
        <v>0</v>
      </c>
      <c r="O175" s="2">
        <f>IF('PV IN'!$N$10="Yes",PVLoan!F175*'PV IN'!$E$8,0)</f>
        <v>0</v>
      </c>
    </row>
    <row r="176" spans="1:15" x14ac:dyDescent="0.25">
      <c r="A176">
        <v>12</v>
      </c>
      <c r="B176">
        <f t="shared" si="18"/>
        <v>144</v>
      </c>
      <c r="C176" s="2">
        <f t="shared" si="19"/>
        <v>0</v>
      </c>
      <c r="E176" s="10">
        <f t="shared" si="20"/>
        <v>0</v>
      </c>
      <c r="F176" s="2">
        <f t="shared" si="21"/>
        <v>0</v>
      </c>
      <c r="G176" s="2">
        <f>IF(ISERROR(B176),"-",IF(J175=0,0,SUM($F$33:F176)))</f>
        <v>0</v>
      </c>
      <c r="H176" s="2">
        <f t="shared" si="22"/>
        <v>0</v>
      </c>
      <c r="I176" s="2">
        <f>IF(ISERROR($B176),"-",IF(J175=0,0,SUM($H$33:H176)))</f>
        <v>0</v>
      </c>
      <c r="J176" s="2">
        <f t="shared" si="23"/>
        <v>0</v>
      </c>
      <c r="K176" s="2">
        <f t="shared" si="24"/>
        <v>0</v>
      </c>
      <c r="L176" s="2">
        <f t="shared" si="25"/>
        <v>0</v>
      </c>
      <c r="M176" s="2">
        <f t="shared" si="26"/>
        <v>0</v>
      </c>
      <c r="O176" s="2">
        <f>IF('PV IN'!$N$10="Yes",PVLoan!F176*'PV IN'!$E$8,0)</f>
        <v>0</v>
      </c>
    </row>
    <row r="177" spans="1:15" x14ac:dyDescent="0.25">
      <c r="B177">
        <f t="shared" si="18"/>
        <v>145</v>
      </c>
      <c r="C177" s="2">
        <f t="shared" si="19"/>
        <v>0</v>
      </c>
      <c r="E177" s="10">
        <f t="shared" si="20"/>
        <v>0</v>
      </c>
      <c r="F177" s="2">
        <f t="shared" si="21"/>
        <v>0</v>
      </c>
      <c r="G177" s="2">
        <f>IF(ISERROR(B177),"-",IF(J176=0,0,SUM($F$33:F177)))</f>
        <v>0</v>
      </c>
      <c r="H177" s="2">
        <f t="shared" si="22"/>
        <v>0</v>
      </c>
      <c r="I177" s="2">
        <f>IF(ISERROR($B177),"-",IF(J176=0,0,SUM($H$33:H177)))</f>
        <v>0</v>
      </c>
      <c r="J177" s="2">
        <f t="shared" si="23"/>
        <v>0</v>
      </c>
      <c r="K177" s="2">
        <f t="shared" si="24"/>
        <v>0</v>
      </c>
      <c r="L177" s="2">
        <f t="shared" si="25"/>
        <v>0</v>
      </c>
      <c r="M177" s="2">
        <f t="shared" si="26"/>
        <v>0</v>
      </c>
      <c r="O177" s="2">
        <f>IF('PV IN'!$N$10="Yes",PVLoan!F177*'PV IN'!$E$8,0)</f>
        <v>0</v>
      </c>
    </row>
    <row r="178" spans="1:15" x14ac:dyDescent="0.25">
      <c r="B178">
        <f t="shared" si="18"/>
        <v>146</v>
      </c>
      <c r="C178" s="2">
        <f t="shared" si="19"/>
        <v>0</v>
      </c>
      <c r="E178" s="10">
        <f t="shared" si="20"/>
        <v>0</v>
      </c>
      <c r="F178" s="2">
        <f t="shared" si="21"/>
        <v>0</v>
      </c>
      <c r="G178" s="2">
        <f>IF(ISERROR(B178),"-",IF(J177=0,0,SUM($F$33:F178)))</f>
        <v>0</v>
      </c>
      <c r="H178" s="2">
        <f t="shared" si="22"/>
        <v>0</v>
      </c>
      <c r="I178" s="2">
        <f>IF(ISERROR($B178),"-",IF(J177=0,0,SUM($H$33:H178)))</f>
        <v>0</v>
      </c>
      <c r="J178" s="2">
        <f t="shared" si="23"/>
        <v>0</v>
      </c>
      <c r="K178" s="2">
        <f t="shared" si="24"/>
        <v>0</v>
      </c>
      <c r="L178" s="2">
        <f t="shared" si="25"/>
        <v>0</v>
      </c>
      <c r="M178" s="2">
        <f t="shared" si="26"/>
        <v>0</v>
      </c>
      <c r="O178" s="2">
        <f>IF('PV IN'!$N$10="Yes",PVLoan!F178*'PV IN'!$E$8,0)</f>
        <v>0</v>
      </c>
    </row>
    <row r="179" spans="1:15" x14ac:dyDescent="0.25">
      <c r="B179">
        <f t="shared" si="18"/>
        <v>147</v>
      </c>
      <c r="C179" s="2">
        <f t="shared" si="19"/>
        <v>0</v>
      </c>
      <c r="E179" s="10">
        <f t="shared" si="20"/>
        <v>0</v>
      </c>
      <c r="F179" s="2">
        <f t="shared" si="21"/>
        <v>0</v>
      </c>
      <c r="G179" s="2">
        <f>IF(ISERROR(B179),"-",IF(J178=0,0,SUM($F$33:F179)))</f>
        <v>0</v>
      </c>
      <c r="H179" s="2">
        <f t="shared" si="22"/>
        <v>0</v>
      </c>
      <c r="I179" s="2">
        <f>IF(ISERROR($B179),"-",IF(J178=0,0,SUM($H$33:H179)))</f>
        <v>0</v>
      </c>
      <c r="J179" s="2">
        <f t="shared" si="23"/>
        <v>0</v>
      </c>
      <c r="K179" s="2">
        <f t="shared" si="24"/>
        <v>0</v>
      </c>
      <c r="L179" s="2">
        <f t="shared" si="25"/>
        <v>0</v>
      </c>
      <c r="M179" s="2">
        <f t="shared" si="26"/>
        <v>0</v>
      </c>
      <c r="O179" s="2">
        <f>IF('PV IN'!$N$10="Yes",PVLoan!F179*'PV IN'!$E$8,0)</f>
        <v>0</v>
      </c>
    </row>
    <row r="180" spans="1:15" x14ac:dyDescent="0.25">
      <c r="B180">
        <f t="shared" si="18"/>
        <v>148</v>
      </c>
      <c r="C180" s="2">
        <f t="shared" si="19"/>
        <v>0</v>
      </c>
      <c r="E180" s="10">
        <f t="shared" si="20"/>
        <v>0</v>
      </c>
      <c r="F180" s="2">
        <f t="shared" si="21"/>
        <v>0</v>
      </c>
      <c r="G180" s="2">
        <f>IF(ISERROR(B180),"-",IF(J179=0,0,SUM($F$33:F180)))</f>
        <v>0</v>
      </c>
      <c r="H180" s="2">
        <f t="shared" si="22"/>
        <v>0</v>
      </c>
      <c r="I180" s="2">
        <f>IF(ISERROR($B180),"-",IF(J179=0,0,SUM($H$33:H180)))</f>
        <v>0</v>
      </c>
      <c r="J180" s="2">
        <f t="shared" si="23"/>
        <v>0</v>
      </c>
      <c r="K180" s="2">
        <f t="shared" si="24"/>
        <v>0</v>
      </c>
      <c r="L180" s="2">
        <f t="shared" si="25"/>
        <v>0</v>
      </c>
      <c r="M180" s="2">
        <f t="shared" si="26"/>
        <v>0</v>
      </c>
      <c r="O180" s="2">
        <f>IF('PV IN'!$N$10="Yes",PVLoan!F180*'PV IN'!$E$8,0)</f>
        <v>0</v>
      </c>
    </row>
    <row r="181" spans="1:15" x14ac:dyDescent="0.25">
      <c r="B181">
        <f t="shared" si="18"/>
        <v>149</v>
      </c>
      <c r="C181" s="2">
        <f t="shared" si="19"/>
        <v>0</v>
      </c>
      <c r="E181" s="10">
        <f t="shared" si="20"/>
        <v>0</v>
      </c>
      <c r="F181" s="2">
        <f t="shared" si="21"/>
        <v>0</v>
      </c>
      <c r="G181" s="2">
        <f>IF(ISERROR(B181),"-",IF(J180=0,0,SUM($F$33:F181)))</f>
        <v>0</v>
      </c>
      <c r="H181" s="2">
        <f t="shared" si="22"/>
        <v>0</v>
      </c>
      <c r="I181" s="2">
        <f>IF(ISERROR($B181),"-",IF(J180=0,0,SUM($H$33:H181)))</f>
        <v>0</v>
      </c>
      <c r="J181" s="2">
        <f t="shared" si="23"/>
        <v>0</v>
      </c>
      <c r="K181" s="2">
        <f t="shared" si="24"/>
        <v>0</v>
      </c>
      <c r="L181" s="2">
        <f t="shared" si="25"/>
        <v>0</v>
      </c>
      <c r="M181" s="2">
        <f t="shared" si="26"/>
        <v>0</v>
      </c>
      <c r="O181" s="2">
        <f>IF('PV IN'!$N$10="Yes",PVLoan!F181*'PV IN'!$E$8,0)</f>
        <v>0</v>
      </c>
    </row>
    <row r="182" spans="1:15" x14ac:dyDescent="0.25">
      <c r="B182">
        <f t="shared" si="18"/>
        <v>150</v>
      </c>
      <c r="C182" s="2">
        <f t="shared" si="19"/>
        <v>0</v>
      </c>
      <c r="E182" s="10">
        <f t="shared" si="20"/>
        <v>0</v>
      </c>
      <c r="F182" s="2">
        <f t="shared" si="21"/>
        <v>0</v>
      </c>
      <c r="G182" s="2">
        <f>IF(ISERROR(B182),"-",IF(J181=0,0,SUM($F$33:F182)))</f>
        <v>0</v>
      </c>
      <c r="H182" s="2">
        <f t="shared" si="22"/>
        <v>0</v>
      </c>
      <c r="I182" s="2">
        <f>IF(ISERROR($B182),"-",IF(J181=0,0,SUM($H$33:H182)))</f>
        <v>0</v>
      </c>
      <c r="J182" s="2">
        <f t="shared" si="23"/>
        <v>0</v>
      </c>
      <c r="K182" s="2">
        <f t="shared" si="24"/>
        <v>0</v>
      </c>
      <c r="L182" s="2">
        <f t="shared" si="25"/>
        <v>0</v>
      </c>
      <c r="M182" s="2">
        <f t="shared" si="26"/>
        <v>0</v>
      </c>
      <c r="O182" s="2">
        <f>IF('PV IN'!$N$10="Yes",PVLoan!F182*'PV IN'!$E$8,0)</f>
        <v>0</v>
      </c>
    </row>
    <row r="183" spans="1:15" x14ac:dyDescent="0.25">
      <c r="B183">
        <f t="shared" si="18"/>
        <v>151</v>
      </c>
      <c r="C183" s="2">
        <f t="shared" si="19"/>
        <v>0</v>
      </c>
      <c r="E183" s="10">
        <f t="shared" si="20"/>
        <v>0</v>
      </c>
      <c r="F183" s="2">
        <f t="shared" si="21"/>
        <v>0</v>
      </c>
      <c r="G183" s="2">
        <f>IF(ISERROR(B183),"-",IF(J182=0,0,SUM($F$33:F183)))</f>
        <v>0</v>
      </c>
      <c r="H183" s="2">
        <f t="shared" si="22"/>
        <v>0</v>
      </c>
      <c r="I183" s="2">
        <f>IF(ISERROR($B183),"-",IF(J182=0,0,SUM($H$33:H183)))</f>
        <v>0</v>
      </c>
      <c r="J183" s="2">
        <f t="shared" si="23"/>
        <v>0</v>
      </c>
      <c r="K183" s="2">
        <f t="shared" si="24"/>
        <v>0</v>
      </c>
      <c r="L183" s="2">
        <f t="shared" si="25"/>
        <v>0</v>
      </c>
      <c r="M183" s="2">
        <f t="shared" si="26"/>
        <v>0</v>
      </c>
      <c r="O183" s="2">
        <f>IF('PV IN'!$N$10="Yes",PVLoan!F183*'PV IN'!$E$8,0)</f>
        <v>0</v>
      </c>
    </row>
    <row r="184" spans="1:15" x14ac:dyDescent="0.25">
      <c r="B184">
        <f t="shared" si="18"/>
        <v>152</v>
      </c>
      <c r="C184" s="2">
        <f t="shared" si="19"/>
        <v>0</v>
      </c>
      <c r="E184" s="10">
        <f t="shared" si="20"/>
        <v>0</v>
      </c>
      <c r="F184" s="2">
        <f t="shared" si="21"/>
        <v>0</v>
      </c>
      <c r="G184" s="2">
        <f>IF(ISERROR(B184),"-",IF(J183=0,0,SUM($F$33:F184)))</f>
        <v>0</v>
      </c>
      <c r="H184" s="2">
        <f t="shared" si="22"/>
        <v>0</v>
      </c>
      <c r="I184" s="2">
        <f>IF(ISERROR($B184),"-",IF(J183=0,0,SUM($H$33:H184)))</f>
        <v>0</v>
      </c>
      <c r="J184" s="2">
        <f t="shared" si="23"/>
        <v>0</v>
      </c>
      <c r="K184" s="2">
        <f t="shared" si="24"/>
        <v>0</v>
      </c>
      <c r="L184" s="2">
        <f t="shared" si="25"/>
        <v>0</v>
      </c>
      <c r="M184" s="2">
        <f t="shared" si="26"/>
        <v>0</v>
      </c>
      <c r="O184" s="2">
        <f>IF('PV IN'!$N$10="Yes",PVLoan!F184*'PV IN'!$E$8,0)</f>
        <v>0</v>
      </c>
    </row>
    <row r="185" spans="1:15" x14ac:dyDescent="0.25">
      <c r="B185">
        <f t="shared" si="18"/>
        <v>153</v>
      </c>
      <c r="C185" s="2">
        <f t="shared" si="19"/>
        <v>0</v>
      </c>
      <c r="E185" s="10">
        <f t="shared" si="20"/>
        <v>0</v>
      </c>
      <c r="F185" s="2">
        <f t="shared" si="21"/>
        <v>0</v>
      </c>
      <c r="G185" s="2">
        <f>IF(ISERROR(B185),"-",IF(J184=0,0,SUM($F$33:F185)))</f>
        <v>0</v>
      </c>
      <c r="H185" s="2">
        <f t="shared" si="22"/>
        <v>0</v>
      </c>
      <c r="I185" s="2">
        <f>IF(ISERROR($B185),"-",IF(J184=0,0,SUM($H$33:H185)))</f>
        <v>0</v>
      </c>
      <c r="J185" s="2">
        <f t="shared" si="23"/>
        <v>0</v>
      </c>
      <c r="K185" s="2">
        <f t="shared" si="24"/>
        <v>0</v>
      </c>
      <c r="L185" s="2">
        <f t="shared" si="25"/>
        <v>0</v>
      </c>
      <c r="M185" s="2">
        <f t="shared" si="26"/>
        <v>0</v>
      </c>
      <c r="O185" s="2">
        <f>IF('PV IN'!$N$10="Yes",PVLoan!F185*'PV IN'!$E$8,0)</f>
        <v>0</v>
      </c>
    </row>
    <row r="186" spans="1:15" x14ac:dyDescent="0.25">
      <c r="B186">
        <f t="shared" si="18"/>
        <v>154</v>
      </c>
      <c r="C186" s="2">
        <f t="shared" si="19"/>
        <v>0</v>
      </c>
      <c r="E186" s="10">
        <f t="shared" si="20"/>
        <v>0</v>
      </c>
      <c r="F186" s="2">
        <f t="shared" si="21"/>
        <v>0</v>
      </c>
      <c r="G186" s="2">
        <f>IF(ISERROR(B186),"-",IF(J185=0,0,SUM($F$33:F186)))</f>
        <v>0</v>
      </c>
      <c r="H186" s="2">
        <f t="shared" si="22"/>
        <v>0</v>
      </c>
      <c r="I186" s="2">
        <f>IF(ISERROR($B186),"-",IF(J185=0,0,SUM($H$33:H186)))</f>
        <v>0</v>
      </c>
      <c r="J186" s="2">
        <f t="shared" si="23"/>
        <v>0</v>
      </c>
      <c r="K186" s="2">
        <f t="shared" si="24"/>
        <v>0</v>
      </c>
      <c r="L186" s="2">
        <f t="shared" si="25"/>
        <v>0</v>
      </c>
      <c r="M186" s="2">
        <f t="shared" si="26"/>
        <v>0</v>
      </c>
      <c r="O186" s="2">
        <f>IF('PV IN'!$N$10="Yes",PVLoan!F186*'PV IN'!$E$8,0)</f>
        <v>0</v>
      </c>
    </row>
    <row r="187" spans="1:15" x14ac:dyDescent="0.25">
      <c r="B187">
        <f t="shared" si="18"/>
        <v>155</v>
      </c>
      <c r="C187" s="2">
        <f t="shared" si="19"/>
        <v>0</v>
      </c>
      <c r="E187" s="10">
        <f t="shared" si="20"/>
        <v>0</v>
      </c>
      <c r="F187" s="2">
        <f t="shared" si="21"/>
        <v>0</v>
      </c>
      <c r="G187" s="2">
        <f>IF(ISERROR(B187),"-",IF(J186=0,0,SUM($F$33:F187)))</f>
        <v>0</v>
      </c>
      <c r="H187" s="2">
        <f t="shared" si="22"/>
        <v>0</v>
      </c>
      <c r="I187" s="2">
        <f>IF(ISERROR($B187),"-",IF(J186=0,0,SUM($H$33:H187)))</f>
        <v>0</v>
      </c>
      <c r="J187" s="2">
        <f t="shared" si="23"/>
        <v>0</v>
      </c>
      <c r="K187" s="2">
        <f t="shared" si="24"/>
        <v>0</v>
      </c>
      <c r="L187" s="2">
        <f t="shared" si="25"/>
        <v>0</v>
      </c>
      <c r="M187" s="2">
        <f t="shared" si="26"/>
        <v>0</v>
      </c>
      <c r="O187" s="2">
        <f>IF('PV IN'!$N$10="Yes",PVLoan!F187*'PV IN'!$E$8,0)</f>
        <v>0</v>
      </c>
    </row>
    <row r="188" spans="1:15" x14ac:dyDescent="0.25">
      <c r="A188">
        <v>13</v>
      </c>
      <c r="B188">
        <f t="shared" si="18"/>
        <v>156</v>
      </c>
      <c r="C188" s="2">
        <f t="shared" si="19"/>
        <v>0</v>
      </c>
      <c r="E188" s="10">
        <f t="shared" si="20"/>
        <v>0</v>
      </c>
      <c r="F188" s="2">
        <f t="shared" si="21"/>
        <v>0</v>
      </c>
      <c r="G188" s="2">
        <f>IF(ISERROR(B188),"-",IF(J187=0,0,SUM($F$33:F188)))</f>
        <v>0</v>
      </c>
      <c r="H188" s="2">
        <f t="shared" si="22"/>
        <v>0</v>
      </c>
      <c r="I188" s="2">
        <f>IF(ISERROR($B188),"-",IF(J187=0,0,SUM($H$33:H188)))</f>
        <v>0</v>
      </c>
      <c r="J188" s="2">
        <f t="shared" si="23"/>
        <v>0</v>
      </c>
      <c r="K188" s="2">
        <f t="shared" si="24"/>
        <v>0</v>
      </c>
      <c r="L188" s="2">
        <f t="shared" si="25"/>
        <v>0</v>
      </c>
      <c r="M188" s="2">
        <f t="shared" si="26"/>
        <v>0</v>
      </c>
      <c r="O188" s="2">
        <f>IF('PV IN'!$N$10="Yes",PVLoan!F188*'PV IN'!$E$8,0)</f>
        <v>0</v>
      </c>
    </row>
    <row r="189" spans="1:15" x14ac:dyDescent="0.25">
      <c r="B189">
        <f t="shared" si="18"/>
        <v>157</v>
      </c>
      <c r="C189" s="2">
        <f t="shared" si="19"/>
        <v>0</v>
      </c>
      <c r="E189" s="10">
        <f t="shared" si="20"/>
        <v>0</v>
      </c>
      <c r="F189" s="2">
        <f t="shared" si="21"/>
        <v>0</v>
      </c>
      <c r="G189" s="2">
        <f>IF(ISERROR(B189),"-",IF(J188=0,0,SUM($F$33:F189)))</f>
        <v>0</v>
      </c>
      <c r="H189" s="2">
        <f t="shared" si="22"/>
        <v>0</v>
      </c>
      <c r="I189" s="2">
        <f>IF(ISERROR($B189),"-",IF(J188=0,0,SUM($H$33:H189)))</f>
        <v>0</v>
      </c>
      <c r="J189" s="2">
        <f t="shared" si="23"/>
        <v>0</v>
      </c>
      <c r="K189" s="2">
        <f t="shared" si="24"/>
        <v>0</v>
      </c>
      <c r="L189" s="2">
        <f t="shared" si="25"/>
        <v>0</v>
      </c>
      <c r="M189" s="2">
        <f t="shared" si="26"/>
        <v>0</v>
      </c>
      <c r="O189" s="2">
        <f>IF('PV IN'!$N$10="Yes",PVLoan!F189*'PV IN'!$E$8,0)</f>
        <v>0</v>
      </c>
    </row>
    <row r="190" spans="1:15" x14ac:dyDescent="0.25">
      <c r="B190">
        <f t="shared" si="18"/>
        <v>158</v>
      </c>
      <c r="C190" s="2">
        <f t="shared" si="19"/>
        <v>0</v>
      </c>
      <c r="E190" s="10">
        <f t="shared" si="20"/>
        <v>0</v>
      </c>
      <c r="F190" s="2">
        <f t="shared" si="21"/>
        <v>0</v>
      </c>
      <c r="G190" s="2">
        <f>IF(ISERROR(B190),"-",IF(J189=0,0,SUM($F$33:F190)))</f>
        <v>0</v>
      </c>
      <c r="H190" s="2">
        <f t="shared" si="22"/>
        <v>0</v>
      </c>
      <c r="I190" s="2">
        <f>IF(ISERROR($B190),"-",IF(J189=0,0,SUM($H$33:H190)))</f>
        <v>0</v>
      </c>
      <c r="J190" s="2">
        <f t="shared" si="23"/>
        <v>0</v>
      </c>
      <c r="K190" s="2">
        <f t="shared" si="24"/>
        <v>0</v>
      </c>
      <c r="L190" s="2">
        <f t="shared" si="25"/>
        <v>0</v>
      </c>
      <c r="M190" s="2">
        <f t="shared" si="26"/>
        <v>0</v>
      </c>
      <c r="O190" s="2">
        <f>IF('PV IN'!$N$10="Yes",PVLoan!F190*'PV IN'!$E$8,0)</f>
        <v>0</v>
      </c>
    </row>
    <row r="191" spans="1:15" x14ac:dyDescent="0.25">
      <c r="B191">
        <f t="shared" si="18"/>
        <v>159</v>
      </c>
      <c r="C191" s="2">
        <f t="shared" si="19"/>
        <v>0</v>
      </c>
      <c r="E191" s="10">
        <f t="shared" si="20"/>
        <v>0</v>
      </c>
      <c r="F191" s="2">
        <f t="shared" si="21"/>
        <v>0</v>
      </c>
      <c r="G191" s="2">
        <f>IF(ISERROR(B191),"-",IF(J190=0,0,SUM($F$33:F191)))</f>
        <v>0</v>
      </c>
      <c r="H191" s="2">
        <f t="shared" si="22"/>
        <v>0</v>
      </c>
      <c r="I191" s="2">
        <f>IF(ISERROR($B191),"-",IF(J190=0,0,SUM($H$33:H191)))</f>
        <v>0</v>
      </c>
      <c r="J191" s="2">
        <f t="shared" si="23"/>
        <v>0</v>
      </c>
      <c r="K191" s="2">
        <f t="shared" si="24"/>
        <v>0</v>
      </c>
      <c r="L191" s="2">
        <f t="shared" si="25"/>
        <v>0</v>
      </c>
      <c r="M191" s="2">
        <f t="shared" si="26"/>
        <v>0</v>
      </c>
      <c r="O191" s="2">
        <f>IF('PV IN'!$N$10="Yes",PVLoan!F191*'PV IN'!$E$8,0)</f>
        <v>0</v>
      </c>
    </row>
    <row r="192" spans="1:15" x14ac:dyDescent="0.25">
      <c r="B192">
        <f t="shared" si="18"/>
        <v>160</v>
      </c>
      <c r="C192" s="2">
        <f t="shared" si="19"/>
        <v>0</v>
      </c>
      <c r="E192" s="10">
        <f t="shared" si="20"/>
        <v>0</v>
      </c>
      <c r="F192" s="2">
        <f t="shared" si="21"/>
        <v>0</v>
      </c>
      <c r="G192" s="2">
        <f>IF(ISERROR(B192),"-",IF(J191=0,0,SUM($F$33:F192)))</f>
        <v>0</v>
      </c>
      <c r="H192" s="2">
        <f t="shared" si="22"/>
        <v>0</v>
      </c>
      <c r="I192" s="2">
        <f>IF(ISERROR($B192),"-",IF(J191=0,0,SUM($H$33:H192)))</f>
        <v>0</v>
      </c>
      <c r="J192" s="2">
        <f t="shared" si="23"/>
        <v>0</v>
      </c>
      <c r="K192" s="2">
        <f t="shared" si="24"/>
        <v>0</v>
      </c>
      <c r="L192" s="2">
        <f t="shared" si="25"/>
        <v>0</v>
      </c>
      <c r="M192" s="2">
        <f t="shared" si="26"/>
        <v>0</v>
      </c>
      <c r="O192" s="2">
        <f>IF('PV IN'!$N$10="Yes",PVLoan!F192*'PV IN'!$E$8,0)</f>
        <v>0</v>
      </c>
    </row>
    <row r="193" spans="1:15" x14ac:dyDescent="0.25">
      <c r="B193">
        <f t="shared" si="18"/>
        <v>161</v>
      </c>
      <c r="C193" s="2">
        <f t="shared" si="19"/>
        <v>0</v>
      </c>
      <c r="E193" s="10">
        <f t="shared" si="20"/>
        <v>0</v>
      </c>
      <c r="F193" s="2">
        <f t="shared" si="21"/>
        <v>0</v>
      </c>
      <c r="G193" s="2">
        <f>IF(ISERROR(B193),"-",IF(J192=0,0,SUM($F$33:F193)))</f>
        <v>0</v>
      </c>
      <c r="H193" s="2">
        <f t="shared" si="22"/>
        <v>0</v>
      </c>
      <c r="I193" s="2">
        <f>IF(ISERROR($B193),"-",IF(J192=0,0,SUM($H$33:H193)))</f>
        <v>0</v>
      </c>
      <c r="J193" s="2">
        <f t="shared" si="23"/>
        <v>0</v>
      </c>
      <c r="K193" s="2">
        <f t="shared" si="24"/>
        <v>0</v>
      </c>
      <c r="L193" s="2">
        <f t="shared" si="25"/>
        <v>0</v>
      </c>
      <c r="M193" s="2">
        <f t="shared" si="26"/>
        <v>0</v>
      </c>
      <c r="O193" s="2">
        <f>IF('PV IN'!$N$10="Yes",PVLoan!F193*'PV IN'!$E$8,0)</f>
        <v>0</v>
      </c>
    </row>
    <row r="194" spans="1:15" x14ac:dyDescent="0.25">
      <c r="B194">
        <f t="shared" si="18"/>
        <v>162</v>
      </c>
      <c r="C194" s="2">
        <f t="shared" si="19"/>
        <v>0</v>
      </c>
      <c r="E194" s="10">
        <f t="shared" si="20"/>
        <v>0</v>
      </c>
      <c r="F194" s="2">
        <f t="shared" si="21"/>
        <v>0</v>
      </c>
      <c r="G194" s="2">
        <f>IF(ISERROR(B194),"-",IF(J193=0,0,SUM($F$33:F194)))</f>
        <v>0</v>
      </c>
      <c r="H194" s="2">
        <f t="shared" si="22"/>
        <v>0</v>
      </c>
      <c r="I194" s="2">
        <f>IF(ISERROR($B194),"-",IF(J193=0,0,SUM($H$33:H194)))</f>
        <v>0</v>
      </c>
      <c r="J194" s="2">
        <f t="shared" si="23"/>
        <v>0</v>
      </c>
      <c r="K194" s="2">
        <f t="shared" si="24"/>
        <v>0</v>
      </c>
      <c r="L194" s="2">
        <f t="shared" si="25"/>
        <v>0</v>
      </c>
      <c r="M194" s="2">
        <f t="shared" si="26"/>
        <v>0</v>
      </c>
      <c r="O194" s="2">
        <f>IF('PV IN'!$N$10="Yes",PVLoan!F194*'PV IN'!$E$8,0)</f>
        <v>0</v>
      </c>
    </row>
    <row r="195" spans="1:15" x14ac:dyDescent="0.25">
      <c r="B195">
        <f t="shared" si="18"/>
        <v>163</v>
      </c>
      <c r="C195" s="2">
        <f t="shared" si="19"/>
        <v>0</v>
      </c>
      <c r="E195" s="10">
        <f t="shared" si="20"/>
        <v>0</v>
      </c>
      <c r="F195" s="2">
        <f t="shared" si="21"/>
        <v>0</v>
      </c>
      <c r="G195" s="2">
        <f>IF(ISERROR(B195),"-",IF(J194=0,0,SUM($F$33:F195)))</f>
        <v>0</v>
      </c>
      <c r="H195" s="2">
        <f t="shared" si="22"/>
        <v>0</v>
      </c>
      <c r="I195" s="2">
        <f>IF(ISERROR($B195),"-",IF(J194=0,0,SUM($H$33:H195)))</f>
        <v>0</v>
      </c>
      <c r="J195" s="2">
        <f t="shared" si="23"/>
        <v>0</v>
      </c>
      <c r="K195" s="2">
        <f t="shared" si="24"/>
        <v>0</v>
      </c>
      <c r="L195" s="2">
        <f t="shared" si="25"/>
        <v>0</v>
      </c>
      <c r="M195" s="2">
        <f t="shared" si="26"/>
        <v>0</v>
      </c>
      <c r="O195" s="2">
        <f>IF('PV IN'!$N$10="Yes",PVLoan!F195*'PV IN'!$E$8,0)</f>
        <v>0</v>
      </c>
    </row>
    <row r="196" spans="1:15" x14ac:dyDescent="0.25">
      <c r="B196">
        <f t="shared" si="18"/>
        <v>164</v>
      </c>
      <c r="C196" s="2">
        <f t="shared" si="19"/>
        <v>0</v>
      </c>
      <c r="E196" s="10">
        <f t="shared" si="20"/>
        <v>0</v>
      </c>
      <c r="F196" s="2">
        <f t="shared" si="21"/>
        <v>0</v>
      </c>
      <c r="G196" s="2">
        <f>IF(ISERROR(B196),"-",IF(J195=0,0,SUM($F$33:F196)))</f>
        <v>0</v>
      </c>
      <c r="H196" s="2">
        <f t="shared" si="22"/>
        <v>0</v>
      </c>
      <c r="I196" s="2">
        <f>IF(ISERROR($B196),"-",IF(J195=0,0,SUM($H$33:H196)))</f>
        <v>0</v>
      </c>
      <c r="J196" s="2">
        <f t="shared" si="23"/>
        <v>0</v>
      </c>
      <c r="K196" s="2">
        <f t="shared" si="24"/>
        <v>0</v>
      </c>
      <c r="L196" s="2">
        <f t="shared" si="25"/>
        <v>0</v>
      </c>
      <c r="M196" s="2">
        <f t="shared" si="26"/>
        <v>0</v>
      </c>
      <c r="O196" s="2">
        <f>IF('PV IN'!$N$10="Yes",PVLoan!F196*'PV IN'!$E$8,0)</f>
        <v>0</v>
      </c>
    </row>
    <row r="197" spans="1:15" x14ac:dyDescent="0.25">
      <c r="B197">
        <f t="shared" si="18"/>
        <v>165</v>
      </c>
      <c r="C197" s="2">
        <f t="shared" si="19"/>
        <v>0</v>
      </c>
      <c r="E197" s="10">
        <f t="shared" si="20"/>
        <v>0</v>
      </c>
      <c r="F197" s="2">
        <f t="shared" si="21"/>
        <v>0</v>
      </c>
      <c r="G197" s="2">
        <f>IF(ISERROR(B197),"-",IF(J196=0,0,SUM($F$33:F197)))</f>
        <v>0</v>
      </c>
      <c r="H197" s="2">
        <f t="shared" si="22"/>
        <v>0</v>
      </c>
      <c r="I197" s="2">
        <f>IF(ISERROR($B197),"-",IF(J196=0,0,SUM($H$33:H197)))</f>
        <v>0</v>
      </c>
      <c r="J197" s="2">
        <f t="shared" si="23"/>
        <v>0</v>
      </c>
      <c r="K197" s="2">
        <f t="shared" si="24"/>
        <v>0</v>
      </c>
      <c r="L197" s="2">
        <f t="shared" si="25"/>
        <v>0</v>
      </c>
      <c r="M197" s="2">
        <f t="shared" si="26"/>
        <v>0</v>
      </c>
      <c r="O197" s="2">
        <f>IF('PV IN'!$N$10="Yes",PVLoan!F197*'PV IN'!$E$8,0)</f>
        <v>0</v>
      </c>
    </row>
    <row r="198" spans="1:15" x14ac:dyDescent="0.25">
      <c r="B198">
        <f t="shared" si="18"/>
        <v>166</v>
      </c>
      <c r="C198" s="2">
        <f t="shared" si="19"/>
        <v>0</v>
      </c>
      <c r="E198" s="10">
        <f t="shared" si="20"/>
        <v>0</v>
      </c>
      <c r="F198" s="2">
        <f t="shared" si="21"/>
        <v>0</v>
      </c>
      <c r="G198" s="2">
        <f>IF(ISERROR(B198),"-",IF(J197=0,0,SUM($F$33:F198)))</f>
        <v>0</v>
      </c>
      <c r="H198" s="2">
        <f t="shared" si="22"/>
        <v>0</v>
      </c>
      <c r="I198" s="2">
        <f>IF(ISERROR($B198),"-",IF(J197=0,0,SUM($H$33:H198)))</f>
        <v>0</v>
      </c>
      <c r="J198" s="2">
        <f t="shared" si="23"/>
        <v>0</v>
      </c>
      <c r="K198" s="2">
        <f t="shared" si="24"/>
        <v>0</v>
      </c>
      <c r="L198" s="2">
        <f t="shared" si="25"/>
        <v>0</v>
      </c>
      <c r="M198" s="2">
        <f t="shared" si="26"/>
        <v>0</v>
      </c>
      <c r="O198" s="2">
        <f>IF('PV IN'!$N$10="Yes",PVLoan!F198*'PV IN'!$E$8,0)</f>
        <v>0</v>
      </c>
    </row>
    <row r="199" spans="1:15" x14ac:dyDescent="0.25">
      <c r="B199">
        <f t="shared" si="18"/>
        <v>167</v>
      </c>
      <c r="C199" s="2">
        <f t="shared" si="19"/>
        <v>0</v>
      </c>
      <c r="E199" s="10">
        <f t="shared" si="20"/>
        <v>0</v>
      </c>
      <c r="F199" s="2">
        <f t="shared" si="21"/>
        <v>0</v>
      </c>
      <c r="G199" s="2">
        <f>IF(ISERROR(B199),"-",IF(J198=0,0,SUM($F$33:F199)))</f>
        <v>0</v>
      </c>
      <c r="H199" s="2">
        <f t="shared" si="22"/>
        <v>0</v>
      </c>
      <c r="I199" s="2">
        <f>IF(ISERROR($B199),"-",IF(J198=0,0,SUM($H$33:H199)))</f>
        <v>0</v>
      </c>
      <c r="J199" s="2">
        <f t="shared" si="23"/>
        <v>0</v>
      </c>
      <c r="K199" s="2">
        <f t="shared" si="24"/>
        <v>0</v>
      </c>
      <c r="L199" s="2">
        <f t="shared" si="25"/>
        <v>0</v>
      </c>
      <c r="M199" s="2">
        <f t="shared" si="26"/>
        <v>0</v>
      </c>
      <c r="O199" s="2">
        <f>IF('PV IN'!$N$10="Yes",PVLoan!F199*'PV IN'!$E$8,0)</f>
        <v>0</v>
      </c>
    </row>
    <row r="200" spans="1:15" x14ac:dyDescent="0.25">
      <c r="A200">
        <v>14</v>
      </c>
      <c r="B200">
        <f t="shared" si="18"/>
        <v>168</v>
      </c>
      <c r="C200" s="2">
        <f t="shared" si="19"/>
        <v>0</v>
      </c>
      <c r="E200" s="10">
        <f t="shared" si="20"/>
        <v>0</v>
      </c>
      <c r="F200" s="2">
        <f t="shared" si="21"/>
        <v>0</v>
      </c>
      <c r="G200" s="2">
        <f>IF(ISERROR(B200),"-",IF(J199=0,0,SUM($F$33:F200)))</f>
        <v>0</v>
      </c>
      <c r="H200" s="2">
        <f t="shared" si="22"/>
        <v>0</v>
      </c>
      <c r="I200" s="2">
        <f>IF(ISERROR($B200),"-",IF(J199=0,0,SUM($H$33:H200)))</f>
        <v>0</v>
      </c>
      <c r="J200" s="2">
        <f t="shared" si="23"/>
        <v>0</v>
      </c>
      <c r="K200" s="2">
        <f t="shared" si="24"/>
        <v>0</v>
      </c>
      <c r="L200" s="2">
        <f t="shared" si="25"/>
        <v>0</v>
      </c>
      <c r="M200" s="2">
        <f t="shared" si="26"/>
        <v>0</v>
      </c>
      <c r="O200" s="2">
        <f>IF('PV IN'!$N$10="Yes",PVLoan!F200*'PV IN'!$E$8,0)</f>
        <v>0</v>
      </c>
    </row>
    <row r="201" spans="1:15" x14ac:dyDescent="0.25">
      <c r="B201">
        <f t="shared" si="18"/>
        <v>169</v>
      </c>
      <c r="C201" s="2">
        <f t="shared" si="19"/>
        <v>0</v>
      </c>
      <c r="E201" s="10">
        <f t="shared" si="20"/>
        <v>0</v>
      </c>
      <c r="F201" s="2">
        <f t="shared" si="21"/>
        <v>0</v>
      </c>
      <c r="G201" s="2">
        <f>IF(ISERROR(B201),"-",IF(J200=0,0,SUM($F$33:F201)))</f>
        <v>0</v>
      </c>
      <c r="H201" s="2">
        <f t="shared" si="22"/>
        <v>0</v>
      </c>
      <c r="I201" s="2">
        <f>IF(ISERROR($B201),"-",IF(J200=0,0,SUM($H$33:H201)))</f>
        <v>0</v>
      </c>
      <c r="J201" s="2">
        <f t="shared" si="23"/>
        <v>0</v>
      </c>
      <c r="K201" s="2">
        <f t="shared" si="24"/>
        <v>0</v>
      </c>
      <c r="L201" s="2">
        <f t="shared" si="25"/>
        <v>0</v>
      </c>
      <c r="M201" s="2">
        <f t="shared" si="26"/>
        <v>0</v>
      </c>
      <c r="O201" s="2">
        <f>IF('PV IN'!$N$10="Yes",PVLoan!F201*'PV IN'!$E$8,0)</f>
        <v>0</v>
      </c>
    </row>
    <row r="202" spans="1:15" x14ac:dyDescent="0.25">
      <c r="B202">
        <f t="shared" si="18"/>
        <v>170</v>
      </c>
      <c r="C202" s="2">
        <f t="shared" si="19"/>
        <v>0</v>
      </c>
      <c r="E202" s="10">
        <f t="shared" si="20"/>
        <v>0</v>
      </c>
      <c r="F202" s="2">
        <f t="shared" si="21"/>
        <v>0</v>
      </c>
      <c r="G202" s="2">
        <f>IF(ISERROR(B202),"-",IF(J201=0,0,SUM($F$33:F202)))</f>
        <v>0</v>
      </c>
      <c r="H202" s="2">
        <f t="shared" si="22"/>
        <v>0</v>
      </c>
      <c r="I202" s="2">
        <f>IF(ISERROR($B202),"-",IF(J201=0,0,SUM($H$33:H202)))</f>
        <v>0</v>
      </c>
      <c r="J202" s="2">
        <f t="shared" si="23"/>
        <v>0</v>
      </c>
      <c r="K202" s="2">
        <f t="shared" si="24"/>
        <v>0</v>
      </c>
      <c r="L202" s="2">
        <f t="shared" si="25"/>
        <v>0</v>
      </c>
      <c r="M202" s="2">
        <f t="shared" si="26"/>
        <v>0</v>
      </c>
      <c r="O202" s="2">
        <f>IF('PV IN'!$N$10="Yes",PVLoan!F202*'PV IN'!$E$8,0)</f>
        <v>0</v>
      </c>
    </row>
    <row r="203" spans="1:15" x14ac:dyDescent="0.25">
      <c r="B203">
        <f t="shared" si="18"/>
        <v>171</v>
      </c>
      <c r="C203" s="2">
        <f t="shared" si="19"/>
        <v>0</v>
      </c>
      <c r="E203" s="10">
        <f t="shared" si="20"/>
        <v>0</v>
      </c>
      <c r="F203" s="2">
        <f t="shared" si="21"/>
        <v>0</v>
      </c>
      <c r="G203" s="2">
        <f>IF(ISERROR(B203),"-",IF(J202=0,0,SUM($F$33:F203)))</f>
        <v>0</v>
      </c>
      <c r="H203" s="2">
        <f t="shared" si="22"/>
        <v>0</v>
      </c>
      <c r="I203" s="2">
        <f>IF(ISERROR($B203),"-",IF(J202=0,0,SUM($H$33:H203)))</f>
        <v>0</v>
      </c>
      <c r="J203" s="2">
        <f t="shared" si="23"/>
        <v>0</v>
      </c>
      <c r="K203" s="2">
        <f t="shared" si="24"/>
        <v>0</v>
      </c>
      <c r="L203" s="2">
        <f t="shared" si="25"/>
        <v>0</v>
      </c>
      <c r="M203" s="2">
        <f t="shared" si="26"/>
        <v>0</v>
      </c>
      <c r="O203" s="2">
        <f>IF('PV IN'!$N$10="Yes",PVLoan!F203*'PV IN'!$E$8,0)</f>
        <v>0</v>
      </c>
    </row>
    <row r="204" spans="1:15" x14ac:dyDescent="0.25">
      <c r="B204">
        <f t="shared" si="18"/>
        <v>172</v>
      </c>
      <c r="C204" s="2">
        <f t="shared" si="19"/>
        <v>0</v>
      </c>
      <c r="E204" s="10">
        <f t="shared" si="20"/>
        <v>0</v>
      </c>
      <c r="F204" s="2">
        <f t="shared" si="21"/>
        <v>0</v>
      </c>
      <c r="G204" s="2">
        <f>IF(ISERROR(B204),"-",IF(J203=0,0,SUM($F$33:F204)))</f>
        <v>0</v>
      </c>
      <c r="H204" s="2">
        <f t="shared" si="22"/>
        <v>0</v>
      </c>
      <c r="I204" s="2">
        <f>IF(ISERROR($B204),"-",IF(J203=0,0,SUM($H$33:H204)))</f>
        <v>0</v>
      </c>
      <c r="J204" s="2">
        <f t="shared" si="23"/>
        <v>0</v>
      </c>
      <c r="K204" s="2">
        <f t="shared" si="24"/>
        <v>0</v>
      </c>
      <c r="L204" s="2">
        <f t="shared" si="25"/>
        <v>0</v>
      </c>
      <c r="M204" s="2">
        <f t="shared" si="26"/>
        <v>0</v>
      </c>
      <c r="O204" s="2">
        <f>IF('PV IN'!$N$10="Yes",PVLoan!F204*'PV IN'!$E$8,0)</f>
        <v>0</v>
      </c>
    </row>
    <row r="205" spans="1:15" x14ac:dyDescent="0.25">
      <c r="B205">
        <f t="shared" si="18"/>
        <v>173</v>
      </c>
      <c r="C205" s="2">
        <f t="shared" si="19"/>
        <v>0</v>
      </c>
      <c r="E205" s="10">
        <f t="shared" si="20"/>
        <v>0</v>
      </c>
      <c r="F205" s="2">
        <f t="shared" si="21"/>
        <v>0</v>
      </c>
      <c r="G205" s="2">
        <f>IF(ISERROR(B205),"-",IF(J204=0,0,SUM($F$33:F205)))</f>
        <v>0</v>
      </c>
      <c r="H205" s="2">
        <f t="shared" si="22"/>
        <v>0</v>
      </c>
      <c r="I205" s="2">
        <f>IF(ISERROR($B205),"-",IF(J204=0,0,SUM($H$33:H205)))</f>
        <v>0</v>
      </c>
      <c r="J205" s="2">
        <f t="shared" si="23"/>
        <v>0</v>
      </c>
      <c r="K205" s="2">
        <f t="shared" si="24"/>
        <v>0</v>
      </c>
      <c r="L205" s="2">
        <f t="shared" si="25"/>
        <v>0</v>
      </c>
      <c r="M205" s="2">
        <f t="shared" si="26"/>
        <v>0</v>
      </c>
      <c r="O205" s="2">
        <f>IF('PV IN'!$N$10="Yes",PVLoan!F205*'PV IN'!$E$8,0)</f>
        <v>0</v>
      </c>
    </row>
    <row r="206" spans="1:15" x14ac:dyDescent="0.25">
      <c r="B206">
        <f t="shared" si="18"/>
        <v>174</v>
      </c>
      <c r="C206" s="2">
        <f t="shared" si="19"/>
        <v>0</v>
      </c>
      <c r="E206" s="10">
        <f t="shared" si="20"/>
        <v>0</v>
      </c>
      <c r="F206" s="2">
        <f t="shared" si="21"/>
        <v>0</v>
      </c>
      <c r="G206" s="2">
        <f>IF(ISERROR(B206),"-",IF(J205=0,0,SUM($F$33:F206)))</f>
        <v>0</v>
      </c>
      <c r="H206" s="2">
        <f t="shared" si="22"/>
        <v>0</v>
      </c>
      <c r="I206" s="2">
        <f>IF(ISERROR($B206),"-",IF(J205=0,0,SUM($H$33:H206)))</f>
        <v>0</v>
      </c>
      <c r="J206" s="2">
        <f t="shared" si="23"/>
        <v>0</v>
      </c>
      <c r="K206" s="2">
        <f t="shared" si="24"/>
        <v>0</v>
      </c>
      <c r="L206" s="2">
        <f t="shared" si="25"/>
        <v>0</v>
      </c>
      <c r="M206" s="2">
        <f t="shared" si="26"/>
        <v>0</v>
      </c>
      <c r="O206" s="2">
        <f>IF('PV IN'!$N$10="Yes",PVLoan!F206*'PV IN'!$E$8,0)</f>
        <v>0</v>
      </c>
    </row>
    <row r="207" spans="1:15" x14ac:dyDescent="0.25">
      <c r="B207">
        <f t="shared" si="18"/>
        <v>175</v>
      </c>
      <c r="C207" s="2">
        <f t="shared" si="19"/>
        <v>0</v>
      </c>
      <c r="E207" s="10">
        <f t="shared" si="20"/>
        <v>0</v>
      </c>
      <c r="F207" s="2">
        <f t="shared" si="21"/>
        <v>0</v>
      </c>
      <c r="G207" s="2">
        <f>IF(ISERROR(B207),"-",IF(J206=0,0,SUM($F$33:F207)))</f>
        <v>0</v>
      </c>
      <c r="H207" s="2">
        <f t="shared" si="22"/>
        <v>0</v>
      </c>
      <c r="I207" s="2">
        <f>IF(ISERROR($B207),"-",IF(J206=0,0,SUM($H$33:H207)))</f>
        <v>0</v>
      </c>
      <c r="J207" s="2">
        <f t="shared" si="23"/>
        <v>0</v>
      </c>
      <c r="K207" s="2">
        <f t="shared" si="24"/>
        <v>0</v>
      </c>
      <c r="L207" s="2">
        <f t="shared" si="25"/>
        <v>0</v>
      </c>
      <c r="M207" s="2">
        <f t="shared" si="26"/>
        <v>0</v>
      </c>
      <c r="O207" s="2">
        <f>IF('PV IN'!$N$10="Yes",PVLoan!F207*'PV IN'!$E$8,0)</f>
        <v>0</v>
      </c>
    </row>
    <row r="208" spans="1:15" x14ac:dyDescent="0.25">
      <c r="B208">
        <f t="shared" si="18"/>
        <v>176</v>
      </c>
      <c r="C208" s="2">
        <f t="shared" si="19"/>
        <v>0</v>
      </c>
      <c r="E208" s="10">
        <f t="shared" si="20"/>
        <v>0</v>
      </c>
      <c r="F208" s="2">
        <f t="shared" si="21"/>
        <v>0</v>
      </c>
      <c r="G208" s="2">
        <f>IF(ISERROR(B208),"-",IF(J207=0,0,SUM($F$33:F208)))</f>
        <v>0</v>
      </c>
      <c r="H208" s="2">
        <f t="shared" si="22"/>
        <v>0</v>
      </c>
      <c r="I208" s="2">
        <f>IF(ISERROR($B208),"-",IF(J207=0,0,SUM($H$33:H208)))</f>
        <v>0</v>
      </c>
      <c r="J208" s="2">
        <f t="shared" si="23"/>
        <v>0</v>
      </c>
      <c r="K208" s="2">
        <f t="shared" si="24"/>
        <v>0</v>
      </c>
      <c r="L208" s="2">
        <f t="shared" si="25"/>
        <v>0</v>
      </c>
      <c r="M208" s="2">
        <f t="shared" si="26"/>
        <v>0</v>
      </c>
      <c r="O208" s="2">
        <f>IF('PV IN'!$N$10="Yes",PVLoan!F208*'PV IN'!$E$8,0)</f>
        <v>0</v>
      </c>
    </row>
    <row r="209" spans="1:15" x14ac:dyDescent="0.25">
      <c r="B209">
        <f t="shared" si="18"/>
        <v>177</v>
      </c>
      <c r="C209" s="2">
        <f t="shared" si="19"/>
        <v>0</v>
      </c>
      <c r="E209" s="10">
        <f t="shared" si="20"/>
        <v>0</v>
      </c>
      <c r="F209" s="2">
        <f t="shared" si="21"/>
        <v>0</v>
      </c>
      <c r="G209" s="2">
        <f>IF(ISERROR(B209),"-",IF(J208=0,0,SUM($F$33:F209)))</f>
        <v>0</v>
      </c>
      <c r="H209" s="2">
        <f t="shared" si="22"/>
        <v>0</v>
      </c>
      <c r="I209" s="2">
        <f>IF(ISERROR($B209),"-",IF(J208=0,0,SUM($H$33:H209)))</f>
        <v>0</v>
      </c>
      <c r="J209" s="2">
        <f t="shared" si="23"/>
        <v>0</v>
      </c>
      <c r="K209" s="2">
        <f t="shared" si="24"/>
        <v>0</v>
      </c>
      <c r="L209" s="2">
        <f t="shared" si="25"/>
        <v>0</v>
      </c>
      <c r="M209" s="2">
        <f t="shared" si="26"/>
        <v>0</v>
      </c>
      <c r="O209" s="2">
        <f>IF('PV IN'!$N$10="Yes",PVLoan!F209*'PV IN'!$E$8,0)</f>
        <v>0</v>
      </c>
    </row>
    <row r="210" spans="1:15" x14ac:dyDescent="0.25">
      <c r="B210">
        <f t="shared" si="18"/>
        <v>178</v>
      </c>
      <c r="C210" s="2">
        <f t="shared" si="19"/>
        <v>0</v>
      </c>
      <c r="E210" s="10">
        <f t="shared" si="20"/>
        <v>0</v>
      </c>
      <c r="F210" s="2">
        <f t="shared" si="21"/>
        <v>0</v>
      </c>
      <c r="G210" s="2">
        <f>IF(ISERROR(B210),"-",IF(J209=0,0,SUM($F$33:F210)))</f>
        <v>0</v>
      </c>
      <c r="H210" s="2">
        <f t="shared" si="22"/>
        <v>0</v>
      </c>
      <c r="I210" s="2">
        <f>IF(ISERROR($B210),"-",IF(J209=0,0,SUM($H$33:H210)))</f>
        <v>0</v>
      </c>
      <c r="J210" s="2">
        <f t="shared" si="23"/>
        <v>0</v>
      </c>
      <c r="K210" s="2">
        <f t="shared" si="24"/>
        <v>0</v>
      </c>
      <c r="L210" s="2">
        <f t="shared" si="25"/>
        <v>0</v>
      </c>
      <c r="M210" s="2">
        <f t="shared" si="26"/>
        <v>0</v>
      </c>
      <c r="O210" s="2">
        <f>IF('PV IN'!$N$10="Yes",PVLoan!F210*'PV IN'!$E$8,0)</f>
        <v>0</v>
      </c>
    </row>
    <row r="211" spans="1:15" x14ac:dyDescent="0.25">
      <c r="B211">
        <f t="shared" si="18"/>
        <v>179</v>
      </c>
      <c r="C211" s="2">
        <f t="shared" si="19"/>
        <v>0</v>
      </c>
      <c r="E211" s="10">
        <f t="shared" si="20"/>
        <v>0</v>
      </c>
      <c r="F211" s="2">
        <f t="shared" si="21"/>
        <v>0</v>
      </c>
      <c r="G211" s="2">
        <f>IF(ISERROR(B211),"-",IF(J210=0,0,SUM($F$33:F211)))</f>
        <v>0</v>
      </c>
      <c r="H211" s="2">
        <f t="shared" si="22"/>
        <v>0</v>
      </c>
      <c r="I211" s="2">
        <f>IF(ISERROR($B211),"-",IF(J210=0,0,SUM($H$33:H211)))</f>
        <v>0</v>
      </c>
      <c r="J211" s="2">
        <f t="shared" si="23"/>
        <v>0</v>
      </c>
      <c r="K211" s="2">
        <f t="shared" si="24"/>
        <v>0</v>
      </c>
      <c r="L211" s="2">
        <f t="shared" si="25"/>
        <v>0</v>
      </c>
      <c r="M211" s="2">
        <f t="shared" si="26"/>
        <v>0</v>
      </c>
      <c r="O211" s="2">
        <f>IF('PV IN'!$N$10="Yes",PVLoan!F211*'PV IN'!$E$8,0)</f>
        <v>0</v>
      </c>
    </row>
    <row r="212" spans="1:15" x14ac:dyDescent="0.25">
      <c r="A212">
        <v>15</v>
      </c>
      <c r="B212">
        <f t="shared" si="18"/>
        <v>180</v>
      </c>
      <c r="C212" s="2">
        <f t="shared" si="19"/>
        <v>0</v>
      </c>
      <c r="E212" s="10">
        <f t="shared" si="20"/>
        <v>0</v>
      </c>
      <c r="F212" s="2">
        <f t="shared" si="21"/>
        <v>0</v>
      </c>
      <c r="G212" s="2">
        <f>IF(ISERROR(B212),"-",IF(J211=0,0,SUM($F$33:F212)))</f>
        <v>0</v>
      </c>
      <c r="H212" s="2">
        <f t="shared" si="22"/>
        <v>0</v>
      </c>
      <c r="I212" s="2">
        <f>IF(ISERROR($B212),"-",IF(J211=0,0,SUM($H$33:H212)))</f>
        <v>0</v>
      </c>
      <c r="J212" s="2">
        <f t="shared" si="23"/>
        <v>0</v>
      </c>
      <c r="K212" s="2">
        <f t="shared" si="24"/>
        <v>0</v>
      </c>
      <c r="L212" s="2">
        <f t="shared" si="25"/>
        <v>0</v>
      </c>
      <c r="M212" s="2">
        <f t="shared" si="26"/>
        <v>0</v>
      </c>
      <c r="O212" s="2">
        <f>IF('PV IN'!$N$10="Yes",PVLoan!F212*'PV IN'!$E$8,0)</f>
        <v>0</v>
      </c>
    </row>
    <row r="213" spans="1:15" x14ac:dyDescent="0.25">
      <c r="B213">
        <f t="shared" si="18"/>
        <v>181</v>
      </c>
      <c r="C213" s="2">
        <f t="shared" si="19"/>
        <v>0</v>
      </c>
      <c r="E213" s="10">
        <f t="shared" si="20"/>
        <v>0</v>
      </c>
      <c r="F213" s="2">
        <f t="shared" si="21"/>
        <v>0</v>
      </c>
      <c r="G213" s="2">
        <f>IF(ISERROR(B213),"-",IF(J212=0,0,SUM($F$33:F213)))</f>
        <v>0</v>
      </c>
      <c r="H213" s="2">
        <f t="shared" si="22"/>
        <v>0</v>
      </c>
      <c r="I213" s="2">
        <f>IF(ISERROR($B213),"-",IF(J212=0,0,SUM($H$33:H213)))</f>
        <v>0</v>
      </c>
      <c r="J213" s="2">
        <f t="shared" si="23"/>
        <v>0</v>
      </c>
      <c r="K213" s="2">
        <f t="shared" si="24"/>
        <v>0</v>
      </c>
      <c r="L213" s="2">
        <f t="shared" si="25"/>
        <v>0</v>
      </c>
      <c r="M213" s="2">
        <f t="shared" si="26"/>
        <v>0</v>
      </c>
      <c r="O213" s="2">
        <f>IF('PV IN'!$N$10="Yes",PVLoan!F213*'PV IN'!$E$8,0)</f>
        <v>0</v>
      </c>
    </row>
    <row r="214" spans="1:15" x14ac:dyDescent="0.25">
      <c r="B214">
        <f t="shared" si="18"/>
        <v>182</v>
      </c>
      <c r="C214" s="2">
        <f t="shared" si="19"/>
        <v>0</v>
      </c>
      <c r="E214" s="10">
        <f t="shared" si="20"/>
        <v>0</v>
      </c>
      <c r="F214" s="2">
        <f t="shared" si="21"/>
        <v>0</v>
      </c>
      <c r="G214" s="2">
        <f>IF(ISERROR(B214),"-",IF(J213=0,0,SUM($F$33:F214)))</f>
        <v>0</v>
      </c>
      <c r="H214" s="2">
        <f t="shared" si="22"/>
        <v>0</v>
      </c>
      <c r="I214" s="2">
        <f>IF(ISERROR($B214),"-",IF(J213=0,0,SUM($H$33:H214)))</f>
        <v>0</v>
      </c>
      <c r="J214" s="2">
        <f t="shared" si="23"/>
        <v>0</v>
      </c>
      <c r="K214" s="2">
        <f t="shared" si="24"/>
        <v>0</v>
      </c>
      <c r="L214" s="2">
        <f t="shared" si="25"/>
        <v>0</v>
      </c>
      <c r="M214" s="2">
        <f t="shared" si="26"/>
        <v>0</v>
      </c>
      <c r="O214" s="2">
        <f>IF('PV IN'!$N$10="Yes",PVLoan!F214*'PV IN'!$E$8,0)</f>
        <v>0</v>
      </c>
    </row>
    <row r="215" spans="1:15" x14ac:dyDescent="0.25">
      <c r="B215">
        <f t="shared" si="18"/>
        <v>183</v>
      </c>
      <c r="C215" s="2">
        <f t="shared" si="19"/>
        <v>0</v>
      </c>
      <c r="E215" s="10">
        <f t="shared" si="20"/>
        <v>0</v>
      </c>
      <c r="F215" s="2">
        <f t="shared" si="21"/>
        <v>0</v>
      </c>
      <c r="G215" s="2">
        <f>IF(ISERROR(B215),"-",IF(J214=0,0,SUM($F$33:F215)))</f>
        <v>0</v>
      </c>
      <c r="H215" s="2">
        <f t="shared" si="22"/>
        <v>0</v>
      </c>
      <c r="I215" s="2">
        <f>IF(ISERROR($B215),"-",IF(J214=0,0,SUM($H$33:H215)))</f>
        <v>0</v>
      </c>
      <c r="J215" s="2">
        <f t="shared" si="23"/>
        <v>0</v>
      </c>
      <c r="K215" s="2">
        <f t="shared" si="24"/>
        <v>0</v>
      </c>
      <c r="L215" s="2">
        <f t="shared" si="25"/>
        <v>0</v>
      </c>
      <c r="M215" s="2">
        <f t="shared" si="26"/>
        <v>0</v>
      </c>
      <c r="O215" s="2">
        <f>IF('PV IN'!$N$10="Yes",PVLoan!F215*'PV IN'!$E$8,0)</f>
        <v>0</v>
      </c>
    </row>
    <row r="216" spans="1:15" x14ac:dyDescent="0.25">
      <c r="B216">
        <f t="shared" si="18"/>
        <v>184</v>
      </c>
      <c r="C216" s="2">
        <f t="shared" si="19"/>
        <v>0</v>
      </c>
      <c r="E216" s="10">
        <f t="shared" si="20"/>
        <v>0</v>
      </c>
      <c r="F216" s="2">
        <f t="shared" si="21"/>
        <v>0</v>
      </c>
      <c r="G216" s="2">
        <f>IF(ISERROR(B216),"-",IF(J215=0,0,SUM($F$33:F216)))</f>
        <v>0</v>
      </c>
      <c r="H216" s="2">
        <f t="shared" si="22"/>
        <v>0</v>
      </c>
      <c r="I216" s="2">
        <f>IF(ISERROR($B216),"-",IF(J215=0,0,SUM($H$33:H216)))</f>
        <v>0</v>
      </c>
      <c r="J216" s="2">
        <f t="shared" si="23"/>
        <v>0</v>
      </c>
      <c r="K216" s="2">
        <f t="shared" si="24"/>
        <v>0</v>
      </c>
      <c r="L216" s="2">
        <f t="shared" si="25"/>
        <v>0</v>
      </c>
      <c r="M216" s="2">
        <f t="shared" si="26"/>
        <v>0</v>
      </c>
      <c r="O216" s="2">
        <f>IF('PV IN'!$N$10="Yes",PVLoan!F216*'PV IN'!$E$8,0)</f>
        <v>0</v>
      </c>
    </row>
    <row r="217" spans="1:15" x14ac:dyDescent="0.25">
      <c r="B217">
        <f t="shared" si="18"/>
        <v>185</v>
      </c>
      <c r="C217" s="2">
        <f t="shared" si="19"/>
        <v>0</v>
      </c>
      <c r="E217" s="10">
        <f t="shared" si="20"/>
        <v>0</v>
      </c>
      <c r="F217" s="2">
        <f t="shared" si="21"/>
        <v>0</v>
      </c>
      <c r="G217" s="2">
        <f>IF(ISERROR(B217),"-",IF(J216=0,0,SUM($F$33:F217)))</f>
        <v>0</v>
      </c>
      <c r="H217" s="2">
        <f t="shared" si="22"/>
        <v>0</v>
      </c>
      <c r="I217" s="2">
        <f>IF(ISERROR($B217),"-",IF(J216=0,0,SUM($H$33:H217)))</f>
        <v>0</v>
      </c>
      <c r="J217" s="2">
        <f t="shared" si="23"/>
        <v>0</v>
      </c>
      <c r="K217" s="2">
        <f t="shared" si="24"/>
        <v>0</v>
      </c>
      <c r="L217" s="2">
        <f t="shared" si="25"/>
        <v>0</v>
      </c>
      <c r="M217" s="2">
        <f t="shared" si="26"/>
        <v>0</v>
      </c>
      <c r="O217" s="2">
        <f>IF('PV IN'!$N$10="Yes",PVLoan!F217*'PV IN'!$E$8,0)</f>
        <v>0</v>
      </c>
    </row>
    <row r="218" spans="1:15" x14ac:dyDescent="0.25">
      <c r="B218">
        <f t="shared" si="18"/>
        <v>186</v>
      </c>
      <c r="C218" s="2">
        <f t="shared" si="19"/>
        <v>0</v>
      </c>
      <c r="E218" s="10">
        <f t="shared" si="20"/>
        <v>0</v>
      </c>
      <c r="F218" s="2">
        <f t="shared" si="21"/>
        <v>0</v>
      </c>
      <c r="G218" s="2">
        <f>IF(ISERROR(B218),"-",IF(J217=0,0,SUM($F$33:F218)))</f>
        <v>0</v>
      </c>
      <c r="H218" s="2">
        <f t="shared" si="22"/>
        <v>0</v>
      </c>
      <c r="I218" s="2">
        <f>IF(ISERROR($B218),"-",IF(J217=0,0,SUM($H$33:H218)))</f>
        <v>0</v>
      </c>
      <c r="J218" s="2">
        <f t="shared" si="23"/>
        <v>0</v>
      </c>
      <c r="K218" s="2">
        <f t="shared" si="24"/>
        <v>0</v>
      </c>
      <c r="L218" s="2">
        <f t="shared" si="25"/>
        <v>0</v>
      </c>
      <c r="M218" s="2">
        <f t="shared" si="26"/>
        <v>0</v>
      </c>
      <c r="O218" s="2">
        <f>IF('PV IN'!$N$10="Yes",PVLoan!F218*'PV IN'!$E$8,0)</f>
        <v>0</v>
      </c>
    </row>
    <row r="219" spans="1:15" x14ac:dyDescent="0.25">
      <c r="B219">
        <f t="shared" si="18"/>
        <v>187</v>
      </c>
      <c r="C219" s="2">
        <f t="shared" si="19"/>
        <v>0</v>
      </c>
      <c r="E219" s="10">
        <f t="shared" si="20"/>
        <v>0</v>
      </c>
      <c r="F219" s="2">
        <f t="shared" si="21"/>
        <v>0</v>
      </c>
      <c r="G219" s="2">
        <f>IF(ISERROR(B219),"-",IF(J218=0,0,SUM($F$33:F219)))</f>
        <v>0</v>
      </c>
      <c r="H219" s="2">
        <f t="shared" si="22"/>
        <v>0</v>
      </c>
      <c r="I219" s="2">
        <f>IF(ISERROR($B219),"-",IF(J218=0,0,SUM($H$33:H219)))</f>
        <v>0</v>
      </c>
      <c r="J219" s="2">
        <f t="shared" si="23"/>
        <v>0</v>
      </c>
      <c r="K219" s="2">
        <f t="shared" si="24"/>
        <v>0</v>
      </c>
      <c r="L219" s="2">
        <f t="shared" si="25"/>
        <v>0</v>
      </c>
      <c r="M219" s="2">
        <f t="shared" si="26"/>
        <v>0</v>
      </c>
      <c r="O219" s="2">
        <f>IF('PV IN'!$N$10="Yes",PVLoan!F219*'PV IN'!$E$8,0)</f>
        <v>0</v>
      </c>
    </row>
    <row r="220" spans="1:15" x14ac:dyDescent="0.25">
      <c r="B220">
        <f t="shared" si="18"/>
        <v>188</v>
      </c>
      <c r="C220" s="2">
        <f t="shared" si="19"/>
        <v>0</v>
      </c>
      <c r="E220" s="10">
        <f t="shared" si="20"/>
        <v>0</v>
      </c>
      <c r="F220" s="2">
        <f t="shared" si="21"/>
        <v>0</v>
      </c>
      <c r="G220" s="2">
        <f>IF(ISERROR(B220),"-",IF(J219=0,0,SUM($F$33:F220)))</f>
        <v>0</v>
      </c>
      <c r="H220" s="2">
        <f t="shared" si="22"/>
        <v>0</v>
      </c>
      <c r="I220" s="2">
        <f>IF(ISERROR($B220),"-",IF(J219=0,0,SUM($H$33:H220)))</f>
        <v>0</v>
      </c>
      <c r="J220" s="2">
        <f t="shared" si="23"/>
        <v>0</v>
      </c>
      <c r="K220" s="2">
        <f t="shared" si="24"/>
        <v>0</v>
      </c>
      <c r="L220" s="2">
        <f t="shared" si="25"/>
        <v>0</v>
      </c>
      <c r="M220" s="2">
        <f t="shared" si="26"/>
        <v>0</v>
      </c>
      <c r="O220" s="2">
        <f>IF('PV IN'!$N$10="Yes",PVLoan!F220*'PV IN'!$E$8,0)</f>
        <v>0</v>
      </c>
    </row>
    <row r="221" spans="1:15" x14ac:dyDescent="0.25">
      <c r="B221">
        <f t="shared" si="18"/>
        <v>189</v>
      </c>
      <c r="C221" s="2">
        <f t="shared" si="19"/>
        <v>0</v>
      </c>
      <c r="E221" s="10">
        <f t="shared" si="20"/>
        <v>0</v>
      </c>
      <c r="F221" s="2">
        <f t="shared" si="21"/>
        <v>0</v>
      </c>
      <c r="G221" s="2">
        <f>IF(ISERROR(B221),"-",IF(J220=0,0,SUM($F$33:F221)))</f>
        <v>0</v>
      </c>
      <c r="H221" s="2">
        <f t="shared" si="22"/>
        <v>0</v>
      </c>
      <c r="I221" s="2">
        <f>IF(ISERROR($B221),"-",IF(J220=0,0,SUM($H$33:H221)))</f>
        <v>0</v>
      </c>
      <c r="J221" s="2">
        <f t="shared" si="23"/>
        <v>0</v>
      </c>
      <c r="K221" s="2">
        <f t="shared" si="24"/>
        <v>0</v>
      </c>
      <c r="L221" s="2">
        <f t="shared" si="25"/>
        <v>0</v>
      </c>
      <c r="M221" s="2">
        <f t="shared" si="26"/>
        <v>0</v>
      </c>
      <c r="O221" s="2">
        <f>IF('PV IN'!$N$10="Yes",PVLoan!F221*'PV IN'!$E$8,0)</f>
        <v>0</v>
      </c>
    </row>
    <row r="222" spans="1:15" x14ac:dyDescent="0.25">
      <c r="B222">
        <f t="shared" si="18"/>
        <v>190</v>
      </c>
      <c r="C222" s="2">
        <f t="shared" si="19"/>
        <v>0</v>
      </c>
      <c r="E222" s="10">
        <f t="shared" si="20"/>
        <v>0</v>
      </c>
      <c r="F222" s="2">
        <f t="shared" si="21"/>
        <v>0</v>
      </c>
      <c r="G222" s="2">
        <f>IF(ISERROR(B222),"-",IF(J221=0,0,SUM($F$33:F222)))</f>
        <v>0</v>
      </c>
      <c r="H222" s="2">
        <f t="shared" si="22"/>
        <v>0</v>
      </c>
      <c r="I222" s="2">
        <f>IF(ISERROR($B222),"-",IF(J221=0,0,SUM($H$33:H222)))</f>
        <v>0</v>
      </c>
      <c r="J222" s="2">
        <f t="shared" si="23"/>
        <v>0</v>
      </c>
      <c r="K222" s="2">
        <f t="shared" si="24"/>
        <v>0</v>
      </c>
      <c r="L222" s="2">
        <f t="shared" si="25"/>
        <v>0</v>
      </c>
      <c r="M222" s="2">
        <f t="shared" si="26"/>
        <v>0</v>
      </c>
      <c r="O222" s="2">
        <f>IF('PV IN'!$N$10="Yes",PVLoan!F222*'PV IN'!$E$8,0)</f>
        <v>0</v>
      </c>
    </row>
    <row r="223" spans="1:15" x14ac:dyDescent="0.25">
      <c r="B223">
        <f t="shared" si="18"/>
        <v>191</v>
      </c>
      <c r="C223" s="2">
        <f t="shared" si="19"/>
        <v>0</v>
      </c>
      <c r="E223" s="10">
        <f t="shared" si="20"/>
        <v>0</v>
      </c>
      <c r="F223" s="2">
        <f t="shared" si="21"/>
        <v>0</v>
      </c>
      <c r="G223" s="2">
        <f>IF(ISERROR(B223),"-",IF(J222=0,0,SUM($F$33:F223)))</f>
        <v>0</v>
      </c>
      <c r="H223" s="2">
        <f t="shared" si="22"/>
        <v>0</v>
      </c>
      <c r="I223" s="2">
        <f>IF(ISERROR($B223),"-",IF(J222=0,0,SUM($H$33:H223)))</f>
        <v>0</v>
      </c>
      <c r="J223" s="2">
        <f t="shared" si="23"/>
        <v>0</v>
      </c>
      <c r="K223" s="2">
        <f t="shared" si="24"/>
        <v>0</v>
      </c>
      <c r="L223" s="2">
        <f t="shared" si="25"/>
        <v>0</v>
      </c>
      <c r="M223" s="2">
        <f t="shared" si="26"/>
        <v>0</v>
      </c>
      <c r="O223" s="2">
        <f>IF('PV IN'!$N$10="Yes",PVLoan!F223*'PV IN'!$E$8,0)</f>
        <v>0</v>
      </c>
    </row>
    <row r="224" spans="1:15" x14ac:dyDescent="0.25">
      <c r="A224">
        <v>16</v>
      </c>
      <c r="B224">
        <f t="shared" si="18"/>
        <v>192</v>
      </c>
      <c r="C224" s="2">
        <f t="shared" si="19"/>
        <v>0</v>
      </c>
      <c r="E224" s="10">
        <f t="shared" si="20"/>
        <v>0</v>
      </c>
      <c r="F224" s="2">
        <f t="shared" si="21"/>
        <v>0</v>
      </c>
      <c r="G224" s="2">
        <f>IF(ISERROR(B224),"-",IF(J223=0,0,SUM($F$33:F224)))</f>
        <v>0</v>
      </c>
      <c r="H224" s="2">
        <f t="shared" si="22"/>
        <v>0</v>
      </c>
      <c r="I224" s="2">
        <f>IF(ISERROR($B224),"-",IF(J223=0,0,SUM($H$33:H224)))</f>
        <v>0</v>
      </c>
      <c r="J224" s="2">
        <f t="shared" si="23"/>
        <v>0</v>
      </c>
      <c r="K224" s="2">
        <f t="shared" si="24"/>
        <v>0</v>
      </c>
      <c r="L224" s="2">
        <f t="shared" si="25"/>
        <v>0</v>
      </c>
      <c r="M224" s="2">
        <f t="shared" si="26"/>
        <v>0</v>
      </c>
      <c r="O224" s="2">
        <f>IF('PV IN'!$N$10="Yes",PVLoan!F224*'PV IN'!$E$8,0)</f>
        <v>0</v>
      </c>
    </row>
    <row r="225" spans="1:15" x14ac:dyDescent="0.25">
      <c r="B225">
        <f t="shared" si="18"/>
        <v>193</v>
      </c>
      <c r="C225" s="2">
        <f t="shared" si="19"/>
        <v>0</v>
      </c>
      <c r="E225" s="10">
        <f t="shared" si="20"/>
        <v>0</v>
      </c>
      <c r="F225" s="2">
        <f t="shared" si="21"/>
        <v>0</v>
      </c>
      <c r="G225" s="2">
        <f>IF(ISERROR(B225),"-",IF(J224=0,0,SUM($F$33:F225)))</f>
        <v>0</v>
      </c>
      <c r="H225" s="2">
        <f t="shared" si="22"/>
        <v>0</v>
      </c>
      <c r="I225" s="2">
        <f>IF(ISERROR($B225),"-",IF(J224=0,0,SUM($H$33:H225)))</f>
        <v>0</v>
      </c>
      <c r="J225" s="2">
        <f t="shared" si="23"/>
        <v>0</v>
      </c>
      <c r="K225" s="2">
        <f t="shared" si="24"/>
        <v>0</v>
      </c>
      <c r="L225" s="2">
        <f t="shared" si="25"/>
        <v>0</v>
      </c>
      <c r="M225" s="2">
        <f t="shared" si="26"/>
        <v>0</v>
      </c>
      <c r="O225" s="2">
        <f>IF('PV IN'!$N$10="Yes",PVLoan!F225*'PV IN'!$E$8,0)</f>
        <v>0</v>
      </c>
    </row>
    <row r="226" spans="1:15" x14ac:dyDescent="0.25">
      <c r="B226">
        <f t="shared" ref="B226:B289" si="27">IF(B225&gt;=$E$9,NA(),B225+1)</f>
        <v>194</v>
      </c>
      <c r="C226" s="2">
        <f t="shared" ref="C226:C289" si="28">IF(ISERROR(B226),"0",IF(J225=0,0,$E$11))</f>
        <v>0</v>
      </c>
      <c r="E226" s="10">
        <f t="shared" ref="E226:E289" si="29">C226+D226</f>
        <v>0</v>
      </c>
      <c r="F226" s="2">
        <f t="shared" ref="F226:F289" si="30">IF(ISERROR(B226),0,$E$8*J225)</f>
        <v>0</v>
      </c>
      <c r="G226" s="2">
        <f>IF(ISERROR(B226),"-",IF(J225=0,0,SUM($F$33:F226)))</f>
        <v>0</v>
      </c>
      <c r="H226" s="2">
        <f t="shared" ref="H226:H289" si="31">IF(ISERROR($B226),0,IF(J225=0,0,E226-F226))</f>
        <v>0</v>
      </c>
      <c r="I226" s="2">
        <f>IF(ISERROR($B226),"-",IF(J225=0,0,SUM($H$33:H226)))</f>
        <v>0</v>
      </c>
      <c r="J226" s="2">
        <f t="shared" ref="J226:J289" si="32">IF(ISERROR($B226),"-",IF(J225-H226&lt;0,0,J225-H226))</f>
        <v>0</v>
      </c>
      <c r="K226" s="2">
        <f t="shared" ref="K226:K289" si="33">IF(ISERROR(B226),"-",J225-H226)</f>
        <v>0</v>
      </c>
      <c r="L226" s="2">
        <f t="shared" ref="L226:L289" si="34">IF(K226&gt;=0,E226,E226+K226)</f>
        <v>0</v>
      </c>
      <c r="M226" s="2">
        <f t="shared" ref="M226:M289" si="35">-IF(K226&lt;0,K226,0)</f>
        <v>0</v>
      </c>
      <c r="O226" s="2">
        <f>IF('PV IN'!$N$10="Yes",PVLoan!F226*'PV IN'!$E$8,0)</f>
        <v>0</v>
      </c>
    </row>
    <row r="227" spans="1:15" x14ac:dyDescent="0.25">
      <c r="B227">
        <f t="shared" si="27"/>
        <v>195</v>
      </c>
      <c r="C227" s="2">
        <f t="shared" si="28"/>
        <v>0</v>
      </c>
      <c r="E227" s="10">
        <f t="shared" si="29"/>
        <v>0</v>
      </c>
      <c r="F227" s="2">
        <f t="shared" si="30"/>
        <v>0</v>
      </c>
      <c r="G227" s="2">
        <f>IF(ISERROR(B227),"-",IF(J226=0,0,SUM($F$33:F227)))</f>
        <v>0</v>
      </c>
      <c r="H227" s="2">
        <f t="shared" si="31"/>
        <v>0</v>
      </c>
      <c r="I227" s="2">
        <f>IF(ISERROR($B227),"-",IF(J226=0,0,SUM($H$33:H227)))</f>
        <v>0</v>
      </c>
      <c r="J227" s="2">
        <f t="shared" si="32"/>
        <v>0</v>
      </c>
      <c r="K227" s="2">
        <f t="shared" si="33"/>
        <v>0</v>
      </c>
      <c r="L227" s="2">
        <f t="shared" si="34"/>
        <v>0</v>
      </c>
      <c r="M227" s="2">
        <f t="shared" si="35"/>
        <v>0</v>
      </c>
      <c r="O227" s="2">
        <f>IF('PV IN'!$N$10="Yes",PVLoan!F227*'PV IN'!$E$8,0)</f>
        <v>0</v>
      </c>
    </row>
    <row r="228" spans="1:15" x14ac:dyDescent="0.25">
      <c r="B228">
        <f t="shared" si="27"/>
        <v>196</v>
      </c>
      <c r="C228" s="2">
        <f t="shared" si="28"/>
        <v>0</v>
      </c>
      <c r="E228" s="10">
        <f t="shared" si="29"/>
        <v>0</v>
      </c>
      <c r="F228" s="2">
        <f t="shared" si="30"/>
        <v>0</v>
      </c>
      <c r="G228" s="2">
        <f>IF(ISERROR(B228),"-",IF(J227=0,0,SUM($F$33:F228)))</f>
        <v>0</v>
      </c>
      <c r="H228" s="2">
        <f t="shared" si="31"/>
        <v>0</v>
      </c>
      <c r="I228" s="2">
        <f>IF(ISERROR($B228),"-",IF(J227=0,0,SUM($H$33:H228)))</f>
        <v>0</v>
      </c>
      <c r="J228" s="2">
        <f t="shared" si="32"/>
        <v>0</v>
      </c>
      <c r="K228" s="2">
        <f t="shared" si="33"/>
        <v>0</v>
      </c>
      <c r="L228" s="2">
        <f t="shared" si="34"/>
        <v>0</v>
      </c>
      <c r="M228" s="2">
        <f t="shared" si="35"/>
        <v>0</v>
      </c>
      <c r="O228" s="2">
        <f>IF('PV IN'!$N$10="Yes",PVLoan!F228*'PV IN'!$E$8,0)</f>
        <v>0</v>
      </c>
    </row>
    <row r="229" spans="1:15" x14ac:dyDescent="0.25">
      <c r="B229">
        <f t="shared" si="27"/>
        <v>197</v>
      </c>
      <c r="C229" s="2">
        <f t="shared" si="28"/>
        <v>0</v>
      </c>
      <c r="E229" s="10">
        <f t="shared" si="29"/>
        <v>0</v>
      </c>
      <c r="F229" s="2">
        <f t="shared" si="30"/>
        <v>0</v>
      </c>
      <c r="G229" s="2">
        <f>IF(ISERROR(B229),"-",IF(J228=0,0,SUM($F$33:F229)))</f>
        <v>0</v>
      </c>
      <c r="H229" s="2">
        <f t="shared" si="31"/>
        <v>0</v>
      </c>
      <c r="I229" s="2">
        <f>IF(ISERROR($B229),"-",IF(J228=0,0,SUM($H$33:H229)))</f>
        <v>0</v>
      </c>
      <c r="J229" s="2">
        <f t="shared" si="32"/>
        <v>0</v>
      </c>
      <c r="K229" s="2">
        <f t="shared" si="33"/>
        <v>0</v>
      </c>
      <c r="L229" s="2">
        <f t="shared" si="34"/>
        <v>0</v>
      </c>
      <c r="M229" s="2">
        <f t="shared" si="35"/>
        <v>0</v>
      </c>
      <c r="O229" s="2">
        <f>IF('PV IN'!$N$10="Yes",PVLoan!F229*'PV IN'!$E$8,0)</f>
        <v>0</v>
      </c>
    </row>
    <row r="230" spans="1:15" x14ac:dyDescent="0.25">
      <c r="B230">
        <f t="shared" si="27"/>
        <v>198</v>
      </c>
      <c r="C230" s="2">
        <f t="shared" si="28"/>
        <v>0</v>
      </c>
      <c r="E230" s="10">
        <f t="shared" si="29"/>
        <v>0</v>
      </c>
      <c r="F230" s="2">
        <f t="shared" si="30"/>
        <v>0</v>
      </c>
      <c r="G230" s="2">
        <f>IF(ISERROR(B230),"-",IF(J229=0,0,SUM($F$33:F230)))</f>
        <v>0</v>
      </c>
      <c r="H230" s="2">
        <f t="shared" si="31"/>
        <v>0</v>
      </c>
      <c r="I230" s="2">
        <f>IF(ISERROR($B230),"-",IF(J229=0,0,SUM($H$33:H230)))</f>
        <v>0</v>
      </c>
      <c r="J230" s="2">
        <f t="shared" si="32"/>
        <v>0</v>
      </c>
      <c r="K230" s="2">
        <f t="shared" si="33"/>
        <v>0</v>
      </c>
      <c r="L230" s="2">
        <f t="shared" si="34"/>
        <v>0</v>
      </c>
      <c r="M230" s="2">
        <f t="shared" si="35"/>
        <v>0</v>
      </c>
      <c r="O230" s="2">
        <f>IF('PV IN'!$N$10="Yes",PVLoan!F230*'PV IN'!$E$8,0)</f>
        <v>0</v>
      </c>
    </row>
    <row r="231" spans="1:15" x14ac:dyDescent="0.25">
      <c r="B231">
        <f t="shared" si="27"/>
        <v>199</v>
      </c>
      <c r="C231" s="2">
        <f t="shared" si="28"/>
        <v>0</v>
      </c>
      <c r="E231" s="10">
        <f t="shared" si="29"/>
        <v>0</v>
      </c>
      <c r="F231" s="2">
        <f t="shared" si="30"/>
        <v>0</v>
      </c>
      <c r="G231" s="2">
        <f>IF(ISERROR(B231),"-",IF(J230=0,0,SUM($F$33:F231)))</f>
        <v>0</v>
      </c>
      <c r="H231" s="2">
        <f t="shared" si="31"/>
        <v>0</v>
      </c>
      <c r="I231" s="2">
        <f>IF(ISERROR($B231),"-",IF(J230=0,0,SUM($H$33:H231)))</f>
        <v>0</v>
      </c>
      <c r="J231" s="2">
        <f t="shared" si="32"/>
        <v>0</v>
      </c>
      <c r="K231" s="2">
        <f t="shared" si="33"/>
        <v>0</v>
      </c>
      <c r="L231" s="2">
        <f t="shared" si="34"/>
        <v>0</v>
      </c>
      <c r="M231" s="2">
        <f t="shared" si="35"/>
        <v>0</v>
      </c>
      <c r="O231" s="2">
        <f>IF('PV IN'!$N$10="Yes",PVLoan!F231*'PV IN'!$E$8,0)</f>
        <v>0</v>
      </c>
    </row>
    <row r="232" spans="1:15" x14ac:dyDescent="0.25">
      <c r="B232">
        <f t="shared" si="27"/>
        <v>200</v>
      </c>
      <c r="C232" s="2">
        <f t="shared" si="28"/>
        <v>0</v>
      </c>
      <c r="E232" s="10">
        <f t="shared" si="29"/>
        <v>0</v>
      </c>
      <c r="F232" s="2">
        <f t="shared" si="30"/>
        <v>0</v>
      </c>
      <c r="G232" s="2">
        <f>IF(ISERROR(B232),"-",IF(J231=0,0,SUM($F$33:F232)))</f>
        <v>0</v>
      </c>
      <c r="H232" s="2">
        <f t="shared" si="31"/>
        <v>0</v>
      </c>
      <c r="I232" s="2">
        <f>IF(ISERROR($B232),"-",IF(J231=0,0,SUM($H$33:H232)))</f>
        <v>0</v>
      </c>
      <c r="J232" s="2">
        <f t="shared" si="32"/>
        <v>0</v>
      </c>
      <c r="K232" s="2">
        <f t="shared" si="33"/>
        <v>0</v>
      </c>
      <c r="L232" s="2">
        <f t="shared" si="34"/>
        <v>0</v>
      </c>
      <c r="M232" s="2">
        <f t="shared" si="35"/>
        <v>0</v>
      </c>
      <c r="O232" s="2">
        <f>IF('PV IN'!$N$10="Yes",PVLoan!F232*'PV IN'!$E$8,0)</f>
        <v>0</v>
      </c>
    </row>
    <row r="233" spans="1:15" x14ac:dyDescent="0.25">
      <c r="B233">
        <f t="shared" si="27"/>
        <v>201</v>
      </c>
      <c r="C233" s="2">
        <f t="shared" si="28"/>
        <v>0</v>
      </c>
      <c r="E233" s="10">
        <f t="shared" si="29"/>
        <v>0</v>
      </c>
      <c r="F233" s="2">
        <f t="shared" si="30"/>
        <v>0</v>
      </c>
      <c r="G233" s="2">
        <f>IF(ISERROR(B233),"-",IF(J232=0,0,SUM($F$33:F233)))</f>
        <v>0</v>
      </c>
      <c r="H233" s="2">
        <f t="shared" si="31"/>
        <v>0</v>
      </c>
      <c r="I233" s="2">
        <f>IF(ISERROR($B233),"-",IF(J232=0,0,SUM($H$33:H233)))</f>
        <v>0</v>
      </c>
      <c r="J233" s="2">
        <f t="shared" si="32"/>
        <v>0</v>
      </c>
      <c r="K233" s="2">
        <f t="shared" si="33"/>
        <v>0</v>
      </c>
      <c r="L233" s="2">
        <f t="shared" si="34"/>
        <v>0</v>
      </c>
      <c r="M233" s="2">
        <f t="shared" si="35"/>
        <v>0</v>
      </c>
      <c r="O233" s="2">
        <f>IF('PV IN'!$N$10="Yes",PVLoan!F233*'PV IN'!$E$8,0)</f>
        <v>0</v>
      </c>
    </row>
    <row r="234" spans="1:15" x14ac:dyDescent="0.25">
      <c r="B234">
        <f t="shared" si="27"/>
        <v>202</v>
      </c>
      <c r="C234" s="2">
        <f t="shared" si="28"/>
        <v>0</v>
      </c>
      <c r="E234" s="10">
        <f t="shared" si="29"/>
        <v>0</v>
      </c>
      <c r="F234" s="2">
        <f t="shared" si="30"/>
        <v>0</v>
      </c>
      <c r="G234" s="2">
        <f>IF(ISERROR(B234),"-",IF(J233=0,0,SUM($F$33:F234)))</f>
        <v>0</v>
      </c>
      <c r="H234" s="2">
        <f t="shared" si="31"/>
        <v>0</v>
      </c>
      <c r="I234" s="2">
        <f>IF(ISERROR($B234),"-",IF(J233=0,0,SUM($H$33:H234)))</f>
        <v>0</v>
      </c>
      <c r="J234" s="2">
        <f t="shared" si="32"/>
        <v>0</v>
      </c>
      <c r="K234" s="2">
        <f t="shared" si="33"/>
        <v>0</v>
      </c>
      <c r="L234" s="2">
        <f t="shared" si="34"/>
        <v>0</v>
      </c>
      <c r="M234" s="2">
        <f t="shared" si="35"/>
        <v>0</v>
      </c>
      <c r="O234" s="2">
        <f>IF('PV IN'!$N$10="Yes",PVLoan!F234*'PV IN'!$E$8,0)</f>
        <v>0</v>
      </c>
    </row>
    <row r="235" spans="1:15" x14ac:dyDescent="0.25">
      <c r="B235">
        <f t="shared" si="27"/>
        <v>203</v>
      </c>
      <c r="C235" s="2">
        <f t="shared" si="28"/>
        <v>0</v>
      </c>
      <c r="E235" s="10">
        <f t="shared" si="29"/>
        <v>0</v>
      </c>
      <c r="F235" s="2">
        <f t="shared" si="30"/>
        <v>0</v>
      </c>
      <c r="G235" s="2">
        <f>IF(ISERROR(B235),"-",IF(J234=0,0,SUM($F$33:F235)))</f>
        <v>0</v>
      </c>
      <c r="H235" s="2">
        <f t="shared" si="31"/>
        <v>0</v>
      </c>
      <c r="I235" s="2">
        <f>IF(ISERROR($B235),"-",IF(J234=0,0,SUM($H$33:H235)))</f>
        <v>0</v>
      </c>
      <c r="J235" s="2">
        <f t="shared" si="32"/>
        <v>0</v>
      </c>
      <c r="K235" s="2">
        <f t="shared" si="33"/>
        <v>0</v>
      </c>
      <c r="L235" s="2">
        <f t="shared" si="34"/>
        <v>0</v>
      </c>
      <c r="M235" s="2">
        <f t="shared" si="35"/>
        <v>0</v>
      </c>
      <c r="O235" s="2">
        <f>IF('PV IN'!$N$10="Yes",PVLoan!F235*'PV IN'!$E$8,0)</f>
        <v>0</v>
      </c>
    </row>
    <row r="236" spans="1:15" x14ac:dyDescent="0.25">
      <c r="A236">
        <v>17</v>
      </c>
      <c r="B236">
        <f t="shared" si="27"/>
        <v>204</v>
      </c>
      <c r="C236" s="2">
        <f t="shared" si="28"/>
        <v>0</v>
      </c>
      <c r="E236" s="10">
        <f t="shared" si="29"/>
        <v>0</v>
      </c>
      <c r="F236" s="2">
        <f t="shared" si="30"/>
        <v>0</v>
      </c>
      <c r="G236" s="2">
        <f>IF(ISERROR(B236),"-",IF(J235=0,0,SUM($F$33:F236)))</f>
        <v>0</v>
      </c>
      <c r="H236" s="2">
        <f t="shared" si="31"/>
        <v>0</v>
      </c>
      <c r="I236" s="2">
        <f>IF(ISERROR($B236),"-",IF(J235=0,0,SUM($H$33:H236)))</f>
        <v>0</v>
      </c>
      <c r="J236" s="2">
        <f t="shared" si="32"/>
        <v>0</v>
      </c>
      <c r="K236" s="2">
        <f t="shared" si="33"/>
        <v>0</v>
      </c>
      <c r="L236" s="2">
        <f t="shared" si="34"/>
        <v>0</v>
      </c>
      <c r="M236" s="2">
        <f t="shared" si="35"/>
        <v>0</v>
      </c>
      <c r="O236" s="2">
        <f>IF('PV IN'!$N$10="Yes",PVLoan!F236*'PV IN'!$E$8,0)</f>
        <v>0</v>
      </c>
    </row>
    <row r="237" spans="1:15" x14ac:dyDescent="0.25">
      <c r="B237">
        <f t="shared" si="27"/>
        <v>205</v>
      </c>
      <c r="C237" s="2">
        <f t="shared" si="28"/>
        <v>0</v>
      </c>
      <c r="E237" s="10">
        <f t="shared" si="29"/>
        <v>0</v>
      </c>
      <c r="F237" s="2">
        <f t="shared" si="30"/>
        <v>0</v>
      </c>
      <c r="G237" s="2">
        <f>IF(ISERROR(B237),"-",IF(J236=0,0,SUM($F$33:F237)))</f>
        <v>0</v>
      </c>
      <c r="H237" s="2">
        <f t="shared" si="31"/>
        <v>0</v>
      </c>
      <c r="I237" s="2">
        <f>IF(ISERROR($B237),"-",IF(J236=0,0,SUM($H$33:H237)))</f>
        <v>0</v>
      </c>
      <c r="J237" s="2">
        <f t="shared" si="32"/>
        <v>0</v>
      </c>
      <c r="K237" s="2">
        <f t="shared" si="33"/>
        <v>0</v>
      </c>
      <c r="L237" s="2">
        <f t="shared" si="34"/>
        <v>0</v>
      </c>
      <c r="M237" s="2">
        <f t="shared" si="35"/>
        <v>0</v>
      </c>
      <c r="O237" s="2">
        <f>IF('PV IN'!$N$10="Yes",PVLoan!F237*'PV IN'!$E$8,0)</f>
        <v>0</v>
      </c>
    </row>
    <row r="238" spans="1:15" x14ac:dyDescent="0.25">
      <c r="B238">
        <f t="shared" si="27"/>
        <v>206</v>
      </c>
      <c r="C238" s="2">
        <f t="shared" si="28"/>
        <v>0</v>
      </c>
      <c r="E238" s="10">
        <f t="shared" si="29"/>
        <v>0</v>
      </c>
      <c r="F238" s="2">
        <f t="shared" si="30"/>
        <v>0</v>
      </c>
      <c r="G238" s="2">
        <f>IF(ISERROR(B238),"-",IF(J237=0,0,SUM($F$33:F238)))</f>
        <v>0</v>
      </c>
      <c r="H238" s="2">
        <f t="shared" si="31"/>
        <v>0</v>
      </c>
      <c r="I238" s="2">
        <f>IF(ISERROR($B238),"-",IF(J237=0,0,SUM($H$33:H238)))</f>
        <v>0</v>
      </c>
      <c r="J238" s="2">
        <f t="shared" si="32"/>
        <v>0</v>
      </c>
      <c r="K238" s="2">
        <f t="shared" si="33"/>
        <v>0</v>
      </c>
      <c r="L238" s="2">
        <f t="shared" si="34"/>
        <v>0</v>
      </c>
      <c r="M238" s="2">
        <f t="shared" si="35"/>
        <v>0</v>
      </c>
      <c r="O238" s="2">
        <f>IF('PV IN'!$N$10="Yes",PVLoan!F238*'PV IN'!$E$8,0)</f>
        <v>0</v>
      </c>
    </row>
    <row r="239" spans="1:15" x14ac:dyDescent="0.25">
      <c r="B239">
        <f t="shared" si="27"/>
        <v>207</v>
      </c>
      <c r="C239" s="2">
        <f t="shared" si="28"/>
        <v>0</v>
      </c>
      <c r="E239" s="10">
        <f t="shared" si="29"/>
        <v>0</v>
      </c>
      <c r="F239" s="2">
        <f t="shared" si="30"/>
        <v>0</v>
      </c>
      <c r="G239" s="2">
        <f>IF(ISERROR(B239),"-",IF(J238=0,0,SUM($F$33:F239)))</f>
        <v>0</v>
      </c>
      <c r="H239" s="2">
        <f t="shared" si="31"/>
        <v>0</v>
      </c>
      <c r="I239" s="2">
        <f>IF(ISERROR($B239),"-",IF(J238=0,0,SUM($H$33:H239)))</f>
        <v>0</v>
      </c>
      <c r="J239" s="2">
        <f t="shared" si="32"/>
        <v>0</v>
      </c>
      <c r="K239" s="2">
        <f t="shared" si="33"/>
        <v>0</v>
      </c>
      <c r="L239" s="2">
        <f t="shared" si="34"/>
        <v>0</v>
      </c>
      <c r="M239" s="2">
        <f t="shared" si="35"/>
        <v>0</v>
      </c>
      <c r="O239" s="2">
        <f>IF('PV IN'!$N$10="Yes",PVLoan!F239*'PV IN'!$E$8,0)</f>
        <v>0</v>
      </c>
    </row>
    <row r="240" spans="1:15" x14ac:dyDescent="0.25">
      <c r="B240">
        <f t="shared" si="27"/>
        <v>208</v>
      </c>
      <c r="C240" s="2">
        <f t="shared" si="28"/>
        <v>0</v>
      </c>
      <c r="E240" s="10">
        <f t="shared" si="29"/>
        <v>0</v>
      </c>
      <c r="F240" s="2">
        <f t="shared" si="30"/>
        <v>0</v>
      </c>
      <c r="G240" s="2">
        <f>IF(ISERROR(B240),"-",IF(J239=0,0,SUM($F$33:F240)))</f>
        <v>0</v>
      </c>
      <c r="H240" s="2">
        <f t="shared" si="31"/>
        <v>0</v>
      </c>
      <c r="I240" s="2">
        <f>IF(ISERROR($B240),"-",IF(J239=0,0,SUM($H$33:H240)))</f>
        <v>0</v>
      </c>
      <c r="J240" s="2">
        <f t="shared" si="32"/>
        <v>0</v>
      </c>
      <c r="K240" s="2">
        <f t="shared" si="33"/>
        <v>0</v>
      </c>
      <c r="L240" s="2">
        <f t="shared" si="34"/>
        <v>0</v>
      </c>
      <c r="M240" s="2">
        <f t="shared" si="35"/>
        <v>0</v>
      </c>
      <c r="O240" s="2">
        <f>IF('PV IN'!$N$10="Yes",PVLoan!F240*'PV IN'!$E$8,0)</f>
        <v>0</v>
      </c>
    </row>
    <row r="241" spans="1:15" x14ac:dyDescent="0.25">
      <c r="B241">
        <f t="shared" si="27"/>
        <v>209</v>
      </c>
      <c r="C241" s="2">
        <f t="shared" si="28"/>
        <v>0</v>
      </c>
      <c r="E241" s="10">
        <f t="shared" si="29"/>
        <v>0</v>
      </c>
      <c r="F241" s="2">
        <f t="shared" si="30"/>
        <v>0</v>
      </c>
      <c r="G241" s="2">
        <f>IF(ISERROR(B241),"-",IF(J240=0,0,SUM($F$33:F241)))</f>
        <v>0</v>
      </c>
      <c r="H241" s="2">
        <f t="shared" si="31"/>
        <v>0</v>
      </c>
      <c r="I241" s="2">
        <f>IF(ISERROR($B241),"-",IF(J240=0,0,SUM($H$33:H241)))</f>
        <v>0</v>
      </c>
      <c r="J241" s="2">
        <f t="shared" si="32"/>
        <v>0</v>
      </c>
      <c r="K241" s="2">
        <f t="shared" si="33"/>
        <v>0</v>
      </c>
      <c r="L241" s="2">
        <f t="shared" si="34"/>
        <v>0</v>
      </c>
      <c r="M241" s="2">
        <f t="shared" si="35"/>
        <v>0</v>
      </c>
      <c r="O241" s="2">
        <f>IF('PV IN'!$N$10="Yes",PVLoan!F241*'PV IN'!$E$8,0)</f>
        <v>0</v>
      </c>
    </row>
    <row r="242" spans="1:15" x14ac:dyDescent="0.25">
      <c r="B242">
        <f t="shared" si="27"/>
        <v>210</v>
      </c>
      <c r="C242" s="2">
        <f t="shared" si="28"/>
        <v>0</v>
      </c>
      <c r="E242" s="10">
        <f t="shared" si="29"/>
        <v>0</v>
      </c>
      <c r="F242" s="2">
        <f t="shared" si="30"/>
        <v>0</v>
      </c>
      <c r="G242" s="2">
        <f>IF(ISERROR(B242),"-",IF(J241=0,0,SUM($F$33:F242)))</f>
        <v>0</v>
      </c>
      <c r="H242" s="2">
        <f t="shared" si="31"/>
        <v>0</v>
      </c>
      <c r="I242" s="2">
        <f>IF(ISERROR($B242),"-",IF(J241=0,0,SUM($H$33:H242)))</f>
        <v>0</v>
      </c>
      <c r="J242" s="2">
        <f t="shared" si="32"/>
        <v>0</v>
      </c>
      <c r="K242" s="2">
        <f t="shared" si="33"/>
        <v>0</v>
      </c>
      <c r="L242" s="2">
        <f t="shared" si="34"/>
        <v>0</v>
      </c>
      <c r="M242" s="2">
        <f t="shared" si="35"/>
        <v>0</v>
      </c>
      <c r="O242" s="2">
        <f>IF('PV IN'!$N$10="Yes",PVLoan!F242*'PV IN'!$E$8,0)</f>
        <v>0</v>
      </c>
    </row>
    <row r="243" spans="1:15" x14ac:dyDescent="0.25">
      <c r="B243">
        <f t="shared" si="27"/>
        <v>211</v>
      </c>
      <c r="C243" s="2">
        <f t="shared" si="28"/>
        <v>0</v>
      </c>
      <c r="E243" s="10">
        <f t="shared" si="29"/>
        <v>0</v>
      </c>
      <c r="F243" s="2">
        <f t="shared" si="30"/>
        <v>0</v>
      </c>
      <c r="G243" s="2">
        <f>IF(ISERROR(B243),"-",IF(J242=0,0,SUM($F$33:F243)))</f>
        <v>0</v>
      </c>
      <c r="H243" s="2">
        <f t="shared" si="31"/>
        <v>0</v>
      </c>
      <c r="I243" s="2">
        <f>IF(ISERROR($B243),"-",IF(J242=0,0,SUM($H$33:H243)))</f>
        <v>0</v>
      </c>
      <c r="J243" s="2">
        <f t="shared" si="32"/>
        <v>0</v>
      </c>
      <c r="K243" s="2">
        <f t="shared" si="33"/>
        <v>0</v>
      </c>
      <c r="L243" s="2">
        <f t="shared" si="34"/>
        <v>0</v>
      </c>
      <c r="M243" s="2">
        <f t="shared" si="35"/>
        <v>0</v>
      </c>
      <c r="O243" s="2">
        <f>IF('PV IN'!$N$10="Yes",PVLoan!F243*'PV IN'!$E$8,0)</f>
        <v>0</v>
      </c>
    </row>
    <row r="244" spans="1:15" x14ac:dyDescent="0.25">
      <c r="B244">
        <f t="shared" si="27"/>
        <v>212</v>
      </c>
      <c r="C244" s="2">
        <f t="shared" si="28"/>
        <v>0</v>
      </c>
      <c r="E244" s="10">
        <f t="shared" si="29"/>
        <v>0</v>
      </c>
      <c r="F244" s="2">
        <f t="shared" si="30"/>
        <v>0</v>
      </c>
      <c r="G244" s="2">
        <f>IF(ISERROR(B244),"-",IF(J243=0,0,SUM($F$33:F244)))</f>
        <v>0</v>
      </c>
      <c r="H244" s="2">
        <f t="shared" si="31"/>
        <v>0</v>
      </c>
      <c r="I244" s="2">
        <f>IF(ISERROR($B244),"-",IF(J243=0,0,SUM($H$33:H244)))</f>
        <v>0</v>
      </c>
      <c r="J244" s="2">
        <f t="shared" si="32"/>
        <v>0</v>
      </c>
      <c r="K244" s="2">
        <f t="shared" si="33"/>
        <v>0</v>
      </c>
      <c r="L244" s="2">
        <f t="shared" si="34"/>
        <v>0</v>
      </c>
      <c r="M244" s="2">
        <f t="shared" si="35"/>
        <v>0</v>
      </c>
      <c r="O244" s="2">
        <f>IF('PV IN'!$N$10="Yes",PVLoan!F244*'PV IN'!$E$8,0)</f>
        <v>0</v>
      </c>
    </row>
    <row r="245" spans="1:15" x14ac:dyDescent="0.25">
      <c r="B245">
        <f t="shared" si="27"/>
        <v>213</v>
      </c>
      <c r="C245" s="2">
        <f t="shared" si="28"/>
        <v>0</v>
      </c>
      <c r="E245" s="10">
        <f t="shared" si="29"/>
        <v>0</v>
      </c>
      <c r="F245" s="2">
        <f t="shared" si="30"/>
        <v>0</v>
      </c>
      <c r="G245" s="2">
        <f>IF(ISERROR(B245),"-",IF(J244=0,0,SUM($F$33:F245)))</f>
        <v>0</v>
      </c>
      <c r="H245" s="2">
        <f t="shared" si="31"/>
        <v>0</v>
      </c>
      <c r="I245" s="2">
        <f>IF(ISERROR($B245),"-",IF(J244=0,0,SUM($H$33:H245)))</f>
        <v>0</v>
      </c>
      <c r="J245" s="2">
        <f t="shared" si="32"/>
        <v>0</v>
      </c>
      <c r="K245" s="2">
        <f t="shared" si="33"/>
        <v>0</v>
      </c>
      <c r="L245" s="2">
        <f t="shared" si="34"/>
        <v>0</v>
      </c>
      <c r="M245" s="2">
        <f t="shared" si="35"/>
        <v>0</v>
      </c>
      <c r="O245" s="2">
        <f>IF('PV IN'!$N$10="Yes",PVLoan!F245*'PV IN'!$E$8,0)</f>
        <v>0</v>
      </c>
    </row>
    <row r="246" spans="1:15" x14ac:dyDescent="0.25">
      <c r="B246">
        <f t="shared" si="27"/>
        <v>214</v>
      </c>
      <c r="C246" s="2">
        <f t="shared" si="28"/>
        <v>0</v>
      </c>
      <c r="E246" s="10">
        <f t="shared" si="29"/>
        <v>0</v>
      </c>
      <c r="F246" s="2">
        <f t="shared" si="30"/>
        <v>0</v>
      </c>
      <c r="G246" s="2">
        <f>IF(ISERROR(B246),"-",IF(J245=0,0,SUM($F$33:F246)))</f>
        <v>0</v>
      </c>
      <c r="H246" s="2">
        <f t="shared" si="31"/>
        <v>0</v>
      </c>
      <c r="I246" s="2">
        <f>IF(ISERROR($B246),"-",IF(J245=0,0,SUM($H$33:H246)))</f>
        <v>0</v>
      </c>
      <c r="J246" s="2">
        <f t="shared" si="32"/>
        <v>0</v>
      </c>
      <c r="K246" s="2">
        <f t="shared" si="33"/>
        <v>0</v>
      </c>
      <c r="L246" s="2">
        <f t="shared" si="34"/>
        <v>0</v>
      </c>
      <c r="M246" s="2">
        <f t="shared" si="35"/>
        <v>0</v>
      </c>
      <c r="O246" s="2">
        <f>IF('PV IN'!$N$10="Yes",PVLoan!F246*'PV IN'!$E$8,0)</f>
        <v>0</v>
      </c>
    </row>
    <row r="247" spans="1:15" x14ac:dyDescent="0.25">
      <c r="B247">
        <f t="shared" si="27"/>
        <v>215</v>
      </c>
      <c r="C247" s="2">
        <f t="shared" si="28"/>
        <v>0</v>
      </c>
      <c r="E247" s="10">
        <f t="shared" si="29"/>
        <v>0</v>
      </c>
      <c r="F247" s="2">
        <f t="shared" si="30"/>
        <v>0</v>
      </c>
      <c r="G247" s="2">
        <f>IF(ISERROR(B247),"-",IF(J246=0,0,SUM($F$33:F247)))</f>
        <v>0</v>
      </c>
      <c r="H247" s="2">
        <f t="shared" si="31"/>
        <v>0</v>
      </c>
      <c r="I247" s="2">
        <f>IF(ISERROR($B247),"-",IF(J246=0,0,SUM($H$33:H247)))</f>
        <v>0</v>
      </c>
      <c r="J247" s="2">
        <f t="shared" si="32"/>
        <v>0</v>
      </c>
      <c r="K247" s="2">
        <f t="shared" si="33"/>
        <v>0</v>
      </c>
      <c r="L247" s="2">
        <f t="shared" si="34"/>
        <v>0</v>
      </c>
      <c r="M247" s="2">
        <f t="shared" si="35"/>
        <v>0</v>
      </c>
      <c r="O247" s="2">
        <f>IF('PV IN'!$N$10="Yes",PVLoan!F247*'PV IN'!$E$8,0)</f>
        <v>0</v>
      </c>
    </row>
    <row r="248" spans="1:15" x14ac:dyDescent="0.25">
      <c r="A248">
        <v>18</v>
      </c>
      <c r="B248">
        <f t="shared" si="27"/>
        <v>216</v>
      </c>
      <c r="C248" s="2">
        <f t="shared" si="28"/>
        <v>0</v>
      </c>
      <c r="E248" s="10">
        <f t="shared" si="29"/>
        <v>0</v>
      </c>
      <c r="F248" s="2">
        <f t="shared" si="30"/>
        <v>0</v>
      </c>
      <c r="G248" s="2">
        <f>IF(ISERROR(B248),"-",IF(J247=0,0,SUM($F$33:F248)))</f>
        <v>0</v>
      </c>
      <c r="H248" s="2">
        <f t="shared" si="31"/>
        <v>0</v>
      </c>
      <c r="I248" s="2">
        <f>IF(ISERROR($B248),"-",IF(J247=0,0,SUM($H$33:H248)))</f>
        <v>0</v>
      </c>
      <c r="J248" s="2">
        <f t="shared" si="32"/>
        <v>0</v>
      </c>
      <c r="K248" s="2">
        <f t="shared" si="33"/>
        <v>0</v>
      </c>
      <c r="L248" s="2">
        <f t="shared" si="34"/>
        <v>0</v>
      </c>
      <c r="M248" s="2">
        <f t="shared" si="35"/>
        <v>0</v>
      </c>
      <c r="O248" s="2">
        <f>IF('PV IN'!$N$10="Yes",PVLoan!F248*'PV IN'!$E$8,0)</f>
        <v>0</v>
      </c>
    </row>
    <row r="249" spans="1:15" x14ac:dyDescent="0.25">
      <c r="B249">
        <f t="shared" si="27"/>
        <v>217</v>
      </c>
      <c r="C249" s="2">
        <f t="shared" si="28"/>
        <v>0</v>
      </c>
      <c r="E249" s="10">
        <f t="shared" si="29"/>
        <v>0</v>
      </c>
      <c r="F249" s="2">
        <f t="shared" si="30"/>
        <v>0</v>
      </c>
      <c r="G249" s="2">
        <f>IF(ISERROR(B249),"-",IF(J248=0,0,SUM($F$33:F249)))</f>
        <v>0</v>
      </c>
      <c r="H249" s="2">
        <f t="shared" si="31"/>
        <v>0</v>
      </c>
      <c r="I249" s="2">
        <f>IF(ISERROR($B249),"-",IF(J248=0,0,SUM($H$33:H249)))</f>
        <v>0</v>
      </c>
      <c r="J249" s="2">
        <f t="shared" si="32"/>
        <v>0</v>
      </c>
      <c r="K249" s="2">
        <f t="shared" si="33"/>
        <v>0</v>
      </c>
      <c r="L249" s="2">
        <f t="shared" si="34"/>
        <v>0</v>
      </c>
      <c r="M249" s="2">
        <f t="shared" si="35"/>
        <v>0</v>
      </c>
      <c r="O249" s="2">
        <f>IF('PV IN'!$N$10="Yes",PVLoan!F249*'PV IN'!$E$8,0)</f>
        <v>0</v>
      </c>
    </row>
    <row r="250" spans="1:15" x14ac:dyDescent="0.25">
      <c r="B250">
        <f t="shared" si="27"/>
        <v>218</v>
      </c>
      <c r="C250" s="2">
        <f t="shared" si="28"/>
        <v>0</v>
      </c>
      <c r="E250" s="10">
        <f t="shared" si="29"/>
        <v>0</v>
      </c>
      <c r="F250" s="2">
        <f t="shared" si="30"/>
        <v>0</v>
      </c>
      <c r="G250" s="2">
        <f>IF(ISERROR(B250),"-",IF(J249=0,0,SUM($F$33:F250)))</f>
        <v>0</v>
      </c>
      <c r="H250" s="2">
        <f t="shared" si="31"/>
        <v>0</v>
      </c>
      <c r="I250" s="2">
        <f>IF(ISERROR($B250),"-",IF(J249=0,0,SUM($H$33:H250)))</f>
        <v>0</v>
      </c>
      <c r="J250" s="2">
        <f t="shared" si="32"/>
        <v>0</v>
      </c>
      <c r="K250" s="2">
        <f t="shared" si="33"/>
        <v>0</v>
      </c>
      <c r="L250" s="2">
        <f t="shared" si="34"/>
        <v>0</v>
      </c>
      <c r="M250" s="2">
        <f t="shared" si="35"/>
        <v>0</v>
      </c>
      <c r="O250" s="2">
        <f>IF('PV IN'!$N$10="Yes",PVLoan!F250*'PV IN'!$E$8,0)</f>
        <v>0</v>
      </c>
    </row>
    <row r="251" spans="1:15" x14ac:dyDescent="0.25">
      <c r="B251">
        <f t="shared" si="27"/>
        <v>219</v>
      </c>
      <c r="C251" s="2">
        <f t="shared" si="28"/>
        <v>0</v>
      </c>
      <c r="E251" s="10">
        <f t="shared" si="29"/>
        <v>0</v>
      </c>
      <c r="F251" s="2">
        <f t="shared" si="30"/>
        <v>0</v>
      </c>
      <c r="G251" s="2">
        <f>IF(ISERROR(B251),"-",IF(J250=0,0,SUM($F$33:F251)))</f>
        <v>0</v>
      </c>
      <c r="H251" s="2">
        <f t="shared" si="31"/>
        <v>0</v>
      </c>
      <c r="I251" s="2">
        <f>IF(ISERROR($B251),"-",IF(J250=0,0,SUM($H$33:H251)))</f>
        <v>0</v>
      </c>
      <c r="J251" s="2">
        <f t="shared" si="32"/>
        <v>0</v>
      </c>
      <c r="K251" s="2">
        <f t="shared" si="33"/>
        <v>0</v>
      </c>
      <c r="L251" s="2">
        <f t="shared" si="34"/>
        <v>0</v>
      </c>
      <c r="M251" s="2">
        <f t="shared" si="35"/>
        <v>0</v>
      </c>
      <c r="O251" s="2">
        <f>IF('PV IN'!$N$10="Yes",PVLoan!F251*'PV IN'!$E$8,0)</f>
        <v>0</v>
      </c>
    </row>
    <row r="252" spans="1:15" x14ac:dyDescent="0.25">
      <c r="B252">
        <f t="shared" si="27"/>
        <v>220</v>
      </c>
      <c r="C252" s="2">
        <f t="shared" si="28"/>
        <v>0</v>
      </c>
      <c r="E252" s="10">
        <f t="shared" si="29"/>
        <v>0</v>
      </c>
      <c r="F252" s="2">
        <f t="shared" si="30"/>
        <v>0</v>
      </c>
      <c r="G252" s="2">
        <f>IF(ISERROR(B252),"-",IF(J251=0,0,SUM($F$33:F252)))</f>
        <v>0</v>
      </c>
      <c r="H252" s="2">
        <f t="shared" si="31"/>
        <v>0</v>
      </c>
      <c r="I252" s="2">
        <f>IF(ISERROR($B252),"-",IF(J251=0,0,SUM($H$33:H252)))</f>
        <v>0</v>
      </c>
      <c r="J252" s="2">
        <f t="shared" si="32"/>
        <v>0</v>
      </c>
      <c r="K252" s="2">
        <f t="shared" si="33"/>
        <v>0</v>
      </c>
      <c r="L252" s="2">
        <f t="shared" si="34"/>
        <v>0</v>
      </c>
      <c r="M252" s="2">
        <f t="shared" si="35"/>
        <v>0</v>
      </c>
      <c r="O252" s="2">
        <f>IF('PV IN'!$N$10="Yes",PVLoan!F252*'PV IN'!$E$8,0)</f>
        <v>0</v>
      </c>
    </row>
    <row r="253" spans="1:15" x14ac:dyDescent="0.25">
      <c r="B253">
        <f t="shared" si="27"/>
        <v>221</v>
      </c>
      <c r="C253" s="2">
        <f t="shared" si="28"/>
        <v>0</v>
      </c>
      <c r="E253" s="10">
        <f t="shared" si="29"/>
        <v>0</v>
      </c>
      <c r="F253" s="2">
        <f t="shared" si="30"/>
        <v>0</v>
      </c>
      <c r="G253" s="2">
        <f>IF(ISERROR(B253),"-",IF(J252=0,0,SUM($F$33:F253)))</f>
        <v>0</v>
      </c>
      <c r="H253" s="2">
        <f t="shared" si="31"/>
        <v>0</v>
      </c>
      <c r="I253" s="2">
        <f>IF(ISERROR($B253),"-",IF(J252=0,0,SUM($H$33:H253)))</f>
        <v>0</v>
      </c>
      <c r="J253" s="2">
        <f t="shared" si="32"/>
        <v>0</v>
      </c>
      <c r="K253" s="2">
        <f t="shared" si="33"/>
        <v>0</v>
      </c>
      <c r="L253" s="2">
        <f t="shared" si="34"/>
        <v>0</v>
      </c>
      <c r="M253" s="2">
        <f t="shared" si="35"/>
        <v>0</v>
      </c>
      <c r="O253" s="2">
        <f>IF('PV IN'!$N$10="Yes",PVLoan!F253*'PV IN'!$E$8,0)</f>
        <v>0</v>
      </c>
    </row>
    <row r="254" spans="1:15" x14ac:dyDescent="0.25">
      <c r="B254">
        <f t="shared" si="27"/>
        <v>222</v>
      </c>
      <c r="C254" s="2">
        <f t="shared" si="28"/>
        <v>0</v>
      </c>
      <c r="E254" s="10">
        <f t="shared" si="29"/>
        <v>0</v>
      </c>
      <c r="F254" s="2">
        <f t="shared" si="30"/>
        <v>0</v>
      </c>
      <c r="G254" s="2">
        <f>IF(ISERROR(B254),"-",IF(J253=0,0,SUM($F$33:F254)))</f>
        <v>0</v>
      </c>
      <c r="H254" s="2">
        <f t="shared" si="31"/>
        <v>0</v>
      </c>
      <c r="I254" s="2">
        <f>IF(ISERROR($B254),"-",IF(J253=0,0,SUM($H$33:H254)))</f>
        <v>0</v>
      </c>
      <c r="J254" s="2">
        <f t="shared" si="32"/>
        <v>0</v>
      </c>
      <c r="K254" s="2">
        <f t="shared" si="33"/>
        <v>0</v>
      </c>
      <c r="L254" s="2">
        <f t="shared" si="34"/>
        <v>0</v>
      </c>
      <c r="M254" s="2">
        <f t="shared" si="35"/>
        <v>0</v>
      </c>
      <c r="O254" s="2">
        <f>IF('PV IN'!$N$10="Yes",PVLoan!F254*'PV IN'!$E$8,0)</f>
        <v>0</v>
      </c>
    </row>
    <row r="255" spans="1:15" x14ac:dyDescent="0.25">
      <c r="B255">
        <f t="shared" si="27"/>
        <v>223</v>
      </c>
      <c r="C255" s="2">
        <f t="shared" si="28"/>
        <v>0</v>
      </c>
      <c r="E255" s="10">
        <f t="shared" si="29"/>
        <v>0</v>
      </c>
      <c r="F255" s="2">
        <f t="shared" si="30"/>
        <v>0</v>
      </c>
      <c r="G255" s="2">
        <f>IF(ISERROR(B255),"-",IF(J254=0,0,SUM($F$33:F255)))</f>
        <v>0</v>
      </c>
      <c r="H255" s="2">
        <f t="shared" si="31"/>
        <v>0</v>
      </c>
      <c r="I255" s="2">
        <f>IF(ISERROR($B255),"-",IF(J254=0,0,SUM($H$33:H255)))</f>
        <v>0</v>
      </c>
      <c r="J255" s="2">
        <f t="shared" si="32"/>
        <v>0</v>
      </c>
      <c r="K255" s="2">
        <f t="shared" si="33"/>
        <v>0</v>
      </c>
      <c r="L255" s="2">
        <f t="shared" si="34"/>
        <v>0</v>
      </c>
      <c r="M255" s="2">
        <f t="shared" si="35"/>
        <v>0</v>
      </c>
      <c r="O255" s="2">
        <f>IF('PV IN'!$N$10="Yes",PVLoan!F255*'PV IN'!$E$8,0)</f>
        <v>0</v>
      </c>
    </row>
    <row r="256" spans="1:15" x14ac:dyDescent="0.25">
      <c r="B256">
        <f t="shared" si="27"/>
        <v>224</v>
      </c>
      <c r="C256" s="2">
        <f t="shared" si="28"/>
        <v>0</v>
      </c>
      <c r="E256" s="10">
        <f t="shared" si="29"/>
        <v>0</v>
      </c>
      <c r="F256" s="2">
        <f t="shared" si="30"/>
        <v>0</v>
      </c>
      <c r="G256" s="2">
        <f>IF(ISERROR(B256),"-",IF(J255=0,0,SUM($F$33:F256)))</f>
        <v>0</v>
      </c>
      <c r="H256" s="2">
        <f t="shared" si="31"/>
        <v>0</v>
      </c>
      <c r="I256" s="2">
        <f>IF(ISERROR($B256),"-",IF(J255=0,0,SUM($H$33:H256)))</f>
        <v>0</v>
      </c>
      <c r="J256" s="2">
        <f t="shared" si="32"/>
        <v>0</v>
      </c>
      <c r="K256" s="2">
        <f t="shared" si="33"/>
        <v>0</v>
      </c>
      <c r="L256" s="2">
        <f t="shared" si="34"/>
        <v>0</v>
      </c>
      <c r="M256" s="2">
        <f t="shared" si="35"/>
        <v>0</v>
      </c>
      <c r="O256" s="2">
        <f>IF('PV IN'!$N$10="Yes",PVLoan!F256*'PV IN'!$E$8,0)</f>
        <v>0</v>
      </c>
    </row>
    <row r="257" spans="1:15" x14ac:dyDescent="0.25">
      <c r="B257">
        <f t="shared" si="27"/>
        <v>225</v>
      </c>
      <c r="C257" s="2">
        <f t="shared" si="28"/>
        <v>0</v>
      </c>
      <c r="E257" s="10">
        <f t="shared" si="29"/>
        <v>0</v>
      </c>
      <c r="F257" s="2">
        <f t="shared" si="30"/>
        <v>0</v>
      </c>
      <c r="G257" s="2">
        <f>IF(ISERROR(B257),"-",IF(J256=0,0,SUM($F$33:F257)))</f>
        <v>0</v>
      </c>
      <c r="H257" s="2">
        <f t="shared" si="31"/>
        <v>0</v>
      </c>
      <c r="I257" s="2">
        <f>IF(ISERROR($B257),"-",IF(J256=0,0,SUM($H$33:H257)))</f>
        <v>0</v>
      </c>
      <c r="J257" s="2">
        <f t="shared" si="32"/>
        <v>0</v>
      </c>
      <c r="K257" s="2">
        <f t="shared" si="33"/>
        <v>0</v>
      </c>
      <c r="L257" s="2">
        <f t="shared" si="34"/>
        <v>0</v>
      </c>
      <c r="M257" s="2">
        <f t="shared" si="35"/>
        <v>0</v>
      </c>
      <c r="O257" s="2">
        <f>IF('PV IN'!$N$10="Yes",PVLoan!F257*'PV IN'!$E$8,0)</f>
        <v>0</v>
      </c>
    </row>
    <row r="258" spans="1:15" x14ac:dyDescent="0.25">
      <c r="B258">
        <f t="shared" si="27"/>
        <v>226</v>
      </c>
      <c r="C258" s="2">
        <f t="shared" si="28"/>
        <v>0</v>
      </c>
      <c r="E258" s="10">
        <f t="shared" si="29"/>
        <v>0</v>
      </c>
      <c r="F258" s="2">
        <f t="shared" si="30"/>
        <v>0</v>
      </c>
      <c r="G258" s="2">
        <f>IF(ISERROR(B258),"-",IF(J257=0,0,SUM($F$33:F258)))</f>
        <v>0</v>
      </c>
      <c r="H258" s="2">
        <f t="shared" si="31"/>
        <v>0</v>
      </c>
      <c r="I258" s="2">
        <f>IF(ISERROR($B258),"-",IF(J257=0,0,SUM($H$33:H258)))</f>
        <v>0</v>
      </c>
      <c r="J258" s="2">
        <f t="shared" si="32"/>
        <v>0</v>
      </c>
      <c r="K258" s="2">
        <f t="shared" si="33"/>
        <v>0</v>
      </c>
      <c r="L258" s="2">
        <f t="shared" si="34"/>
        <v>0</v>
      </c>
      <c r="M258" s="2">
        <f t="shared" si="35"/>
        <v>0</v>
      </c>
      <c r="O258" s="2">
        <f>IF('PV IN'!$N$10="Yes",PVLoan!F258*'PV IN'!$E$8,0)</f>
        <v>0</v>
      </c>
    </row>
    <row r="259" spans="1:15" x14ac:dyDescent="0.25">
      <c r="B259">
        <f t="shared" si="27"/>
        <v>227</v>
      </c>
      <c r="C259" s="2">
        <f t="shared" si="28"/>
        <v>0</v>
      </c>
      <c r="E259" s="10">
        <f t="shared" si="29"/>
        <v>0</v>
      </c>
      <c r="F259" s="2">
        <f t="shared" si="30"/>
        <v>0</v>
      </c>
      <c r="G259" s="2">
        <f>IF(ISERROR(B259),"-",IF(J258=0,0,SUM($F$33:F259)))</f>
        <v>0</v>
      </c>
      <c r="H259" s="2">
        <f t="shared" si="31"/>
        <v>0</v>
      </c>
      <c r="I259" s="2">
        <f>IF(ISERROR($B259),"-",IF(J258=0,0,SUM($H$33:H259)))</f>
        <v>0</v>
      </c>
      <c r="J259" s="2">
        <f t="shared" si="32"/>
        <v>0</v>
      </c>
      <c r="K259" s="2">
        <f t="shared" si="33"/>
        <v>0</v>
      </c>
      <c r="L259" s="2">
        <f t="shared" si="34"/>
        <v>0</v>
      </c>
      <c r="M259" s="2">
        <f t="shared" si="35"/>
        <v>0</v>
      </c>
      <c r="O259" s="2">
        <f>IF('PV IN'!$N$10="Yes",PVLoan!F259*'PV IN'!$E$8,0)</f>
        <v>0</v>
      </c>
    </row>
    <row r="260" spans="1:15" x14ac:dyDescent="0.25">
      <c r="A260">
        <v>19</v>
      </c>
      <c r="B260">
        <f t="shared" si="27"/>
        <v>228</v>
      </c>
      <c r="C260" s="2">
        <f t="shared" si="28"/>
        <v>0</v>
      </c>
      <c r="E260" s="10">
        <f t="shared" si="29"/>
        <v>0</v>
      </c>
      <c r="F260" s="2">
        <f t="shared" si="30"/>
        <v>0</v>
      </c>
      <c r="G260" s="2">
        <f>IF(ISERROR(B260),"-",IF(J259=0,0,SUM($F$33:F260)))</f>
        <v>0</v>
      </c>
      <c r="H260" s="2">
        <f t="shared" si="31"/>
        <v>0</v>
      </c>
      <c r="I260" s="2">
        <f>IF(ISERROR($B260),"-",IF(J259=0,0,SUM($H$33:H260)))</f>
        <v>0</v>
      </c>
      <c r="J260" s="2">
        <f t="shared" si="32"/>
        <v>0</v>
      </c>
      <c r="K260" s="2">
        <f t="shared" si="33"/>
        <v>0</v>
      </c>
      <c r="L260" s="2">
        <f t="shared" si="34"/>
        <v>0</v>
      </c>
      <c r="M260" s="2">
        <f t="shared" si="35"/>
        <v>0</v>
      </c>
      <c r="O260" s="2">
        <f>IF('PV IN'!$N$10="Yes",PVLoan!F260*'PV IN'!$E$8,0)</f>
        <v>0</v>
      </c>
    </row>
    <row r="261" spans="1:15" x14ac:dyDescent="0.25">
      <c r="B261">
        <f t="shared" si="27"/>
        <v>229</v>
      </c>
      <c r="C261" s="2">
        <f t="shared" si="28"/>
        <v>0</v>
      </c>
      <c r="E261" s="10">
        <f t="shared" si="29"/>
        <v>0</v>
      </c>
      <c r="F261" s="2">
        <f t="shared" si="30"/>
        <v>0</v>
      </c>
      <c r="G261" s="2">
        <f>IF(ISERROR(B261),"-",IF(J260=0,0,SUM($F$33:F261)))</f>
        <v>0</v>
      </c>
      <c r="H261" s="2">
        <f t="shared" si="31"/>
        <v>0</v>
      </c>
      <c r="I261" s="2">
        <f>IF(ISERROR($B261),"-",IF(J260=0,0,SUM($H$33:H261)))</f>
        <v>0</v>
      </c>
      <c r="J261" s="2">
        <f t="shared" si="32"/>
        <v>0</v>
      </c>
      <c r="K261" s="2">
        <f t="shared" si="33"/>
        <v>0</v>
      </c>
      <c r="L261" s="2">
        <f t="shared" si="34"/>
        <v>0</v>
      </c>
      <c r="M261" s="2">
        <f t="shared" si="35"/>
        <v>0</v>
      </c>
      <c r="O261" s="2">
        <f>IF('PV IN'!$N$10="Yes",PVLoan!F261*'PV IN'!$E$8,0)</f>
        <v>0</v>
      </c>
    </row>
    <row r="262" spans="1:15" x14ac:dyDescent="0.25">
      <c r="B262">
        <f t="shared" si="27"/>
        <v>230</v>
      </c>
      <c r="C262" s="2">
        <f t="shared" si="28"/>
        <v>0</v>
      </c>
      <c r="E262" s="10">
        <f t="shared" si="29"/>
        <v>0</v>
      </c>
      <c r="F262" s="2">
        <f t="shared" si="30"/>
        <v>0</v>
      </c>
      <c r="G262" s="2">
        <f>IF(ISERROR(B262),"-",IF(J261=0,0,SUM($F$33:F262)))</f>
        <v>0</v>
      </c>
      <c r="H262" s="2">
        <f t="shared" si="31"/>
        <v>0</v>
      </c>
      <c r="I262" s="2">
        <f>IF(ISERROR($B262),"-",IF(J261=0,0,SUM($H$33:H262)))</f>
        <v>0</v>
      </c>
      <c r="J262" s="2">
        <f t="shared" si="32"/>
        <v>0</v>
      </c>
      <c r="K262" s="2">
        <f t="shared" si="33"/>
        <v>0</v>
      </c>
      <c r="L262" s="2">
        <f t="shared" si="34"/>
        <v>0</v>
      </c>
      <c r="M262" s="2">
        <f t="shared" si="35"/>
        <v>0</v>
      </c>
      <c r="O262" s="2">
        <f>IF('PV IN'!$N$10="Yes",PVLoan!F262*'PV IN'!$E$8,0)</f>
        <v>0</v>
      </c>
    </row>
    <row r="263" spans="1:15" x14ac:dyDescent="0.25">
      <c r="B263">
        <f t="shared" si="27"/>
        <v>231</v>
      </c>
      <c r="C263" s="2">
        <f t="shared" si="28"/>
        <v>0</v>
      </c>
      <c r="E263" s="10">
        <f t="shared" si="29"/>
        <v>0</v>
      </c>
      <c r="F263" s="2">
        <f t="shared" si="30"/>
        <v>0</v>
      </c>
      <c r="G263" s="2">
        <f>IF(ISERROR(B263),"-",IF(J262=0,0,SUM($F$33:F263)))</f>
        <v>0</v>
      </c>
      <c r="H263" s="2">
        <f t="shared" si="31"/>
        <v>0</v>
      </c>
      <c r="I263" s="2">
        <f>IF(ISERROR($B263),"-",IF(J262=0,0,SUM($H$33:H263)))</f>
        <v>0</v>
      </c>
      <c r="J263" s="2">
        <f t="shared" si="32"/>
        <v>0</v>
      </c>
      <c r="K263" s="2">
        <f t="shared" si="33"/>
        <v>0</v>
      </c>
      <c r="L263" s="2">
        <f t="shared" si="34"/>
        <v>0</v>
      </c>
      <c r="M263" s="2">
        <f t="shared" si="35"/>
        <v>0</v>
      </c>
      <c r="O263" s="2">
        <f>IF('PV IN'!$N$10="Yes",PVLoan!F263*'PV IN'!$E$8,0)</f>
        <v>0</v>
      </c>
    </row>
    <row r="264" spans="1:15" x14ac:dyDescent="0.25">
      <c r="B264">
        <f t="shared" si="27"/>
        <v>232</v>
      </c>
      <c r="C264" s="2">
        <f t="shared" si="28"/>
        <v>0</v>
      </c>
      <c r="E264" s="10">
        <f t="shared" si="29"/>
        <v>0</v>
      </c>
      <c r="F264" s="2">
        <f t="shared" si="30"/>
        <v>0</v>
      </c>
      <c r="G264" s="2">
        <f>IF(ISERROR(B264),"-",IF(J263=0,0,SUM($F$33:F264)))</f>
        <v>0</v>
      </c>
      <c r="H264" s="2">
        <f t="shared" si="31"/>
        <v>0</v>
      </c>
      <c r="I264" s="2">
        <f>IF(ISERROR($B264),"-",IF(J263=0,0,SUM($H$33:H264)))</f>
        <v>0</v>
      </c>
      <c r="J264" s="2">
        <f t="shared" si="32"/>
        <v>0</v>
      </c>
      <c r="K264" s="2">
        <f t="shared" si="33"/>
        <v>0</v>
      </c>
      <c r="L264" s="2">
        <f t="shared" si="34"/>
        <v>0</v>
      </c>
      <c r="M264" s="2">
        <f t="shared" si="35"/>
        <v>0</v>
      </c>
      <c r="O264" s="2">
        <f>IF('PV IN'!$N$10="Yes",PVLoan!F264*'PV IN'!$E$8,0)</f>
        <v>0</v>
      </c>
    </row>
    <row r="265" spans="1:15" x14ac:dyDescent="0.25">
      <c r="B265">
        <f t="shared" si="27"/>
        <v>233</v>
      </c>
      <c r="C265" s="2">
        <f t="shared" si="28"/>
        <v>0</v>
      </c>
      <c r="E265" s="10">
        <f t="shared" si="29"/>
        <v>0</v>
      </c>
      <c r="F265" s="2">
        <f t="shared" si="30"/>
        <v>0</v>
      </c>
      <c r="G265" s="2">
        <f>IF(ISERROR(B265),"-",IF(J264=0,0,SUM($F$33:F265)))</f>
        <v>0</v>
      </c>
      <c r="H265" s="2">
        <f t="shared" si="31"/>
        <v>0</v>
      </c>
      <c r="I265" s="2">
        <f>IF(ISERROR($B265),"-",IF(J264=0,0,SUM($H$33:H265)))</f>
        <v>0</v>
      </c>
      <c r="J265" s="2">
        <f t="shared" si="32"/>
        <v>0</v>
      </c>
      <c r="K265" s="2">
        <f t="shared" si="33"/>
        <v>0</v>
      </c>
      <c r="L265" s="2">
        <f t="shared" si="34"/>
        <v>0</v>
      </c>
      <c r="M265" s="2">
        <f t="shared" si="35"/>
        <v>0</v>
      </c>
      <c r="O265" s="2">
        <f>IF('PV IN'!$N$10="Yes",PVLoan!F265*'PV IN'!$E$8,0)</f>
        <v>0</v>
      </c>
    </row>
    <row r="266" spans="1:15" x14ac:dyDescent="0.25">
      <c r="B266">
        <f t="shared" si="27"/>
        <v>234</v>
      </c>
      <c r="C266" s="2">
        <f t="shared" si="28"/>
        <v>0</v>
      </c>
      <c r="E266" s="10">
        <f t="shared" si="29"/>
        <v>0</v>
      </c>
      <c r="F266" s="2">
        <f t="shared" si="30"/>
        <v>0</v>
      </c>
      <c r="G266" s="2">
        <f>IF(ISERROR(B266),"-",IF(J265=0,0,SUM($F$33:F266)))</f>
        <v>0</v>
      </c>
      <c r="H266" s="2">
        <f t="shared" si="31"/>
        <v>0</v>
      </c>
      <c r="I266" s="2">
        <f>IF(ISERROR($B266),"-",IF(J265=0,0,SUM($H$33:H266)))</f>
        <v>0</v>
      </c>
      <c r="J266" s="2">
        <f t="shared" si="32"/>
        <v>0</v>
      </c>
      <c r="K266" s="2">
        <f t="shared" si="33"/>
        <v>0</v>
      </c>
      <c r="L266" s="2">
        <f t="shared" si="34"/>
        <v>0</v>
      </c>
      <c r="M266" s="2">
        <f t="shared" si="35"/>
        <v>0</v>
      </c>
      <c r="O266" s="2">
        <f>IF('PV IN'!$N$10="Yes",PVLoan!F266*'PV IN'!$E$8,0)</f>
        <v>0</v>
      </c>
    </row>
    <row r="267" spans="1:15" x14ac:dyDescent="0.25">
      <c r="B267">
        <f t="shared" si="27"/>
        <v>235</v>
      </c>
      <c r="C267" s="2">
        <f t="shared" si="28"/>
        <v>0</v>
      </c>
      <c r="E267" s="10">
        <f t="shared" si="29"/>
        <v>0</v>
      </c>
      <c r="F267" s="2">
        <f t="shared" si="30"/>
        <v>0</v>
      </c>
      <c r="G267" s="2">
        <f>IF(ISERROR(B267),"-",IF(J266=0,0,SUM($F$33:F267)))</f>
        <v>0</v>
      </c>
      <c r="H267" s="2">
        <f t="shared" si="31"/>
        <v>0</v>
      </c>
      <c r="I267" s="2">
        <f>IF(ISERROR($B267),"-",IF(J266=0,0,SUM($H$33:H267)))</f>
        <v>0</v>
      </c>
      <c r="J267" s="2">
        <f t="shared" si="32"/>
        <v>0</v>
      </c>
      <c r="K267" s="2">
        <f t="shared" si="33"/>
        <v>0</v>
      </c>
      <c r="L267" s="2">
        <f t="shared" si="34"/>
        <v>0</v>
      </c>
      <c r="M267" s="2">
        <f t="shared" si="35"/>
        <v>0</v>
      </c>
      <c r="O267" s="2">
        <f>IF('PV IN'!$N$10="Yes",PVLoan!F267*'PV IN'!$E$8,0)</f>
        <v>0</v>
      </c>
    </row>
    <row r="268" spans="1:15" x14ac:dyDescent="0.25">
      <c r="B268">
        <f t="shared" si="27"/>
        <v>236</v>
      </c>
      <c r="C268" s="2">
        <f t="shared" si="28"/>
        <v>0</v>
      </c>
      <c r="E268" s="10">
        <f t="shared" si="29"/>
        <v>0</v>
      </c>
      <c r="F268" s="2">
        <f t="shared" si="30"/>
        <v>0</v>
      </c>
      <c r="G268" s="2">
        <f>IF(ISERROR(B268),"-",IF(J267=0,0,SUM($F$33:F268)))</f>
        <v>0</v>
      </c>
      <c r="H268" s="2">
        <f t="shared" si="31"/>
        <v>0</v>
      </c>
      <c r="I268" s="2">
        <f>IF(ISERROR($B268),"-",IF(J267=0,0,SUM($H$33:H268)))</f>
        <v>0</v>
      </c>
      <c r="J268" s="2">
        <f t="shared" si="32"/>
        <v>0</v>
      </c>
      <c r="K268" s="2">
        <f t="shared" si="33"/>
        <v>0</v>
      </c>
      <c r="L268" s="2">
        <f t="shared" si="34"/>
        <v>0</v>
      </c>
      <c r="M268" s="2">
        <f t="shared" si="35"/>
        <v>0</v>
      </c>
      <c r="O268" s="2">
        <f>IF('PV IN'!$N$10="Yes",PVLoan!F268*'PV IN'!$E$8,0)</f>
        <v>0</v>
      </c>
    </row>
    <row r="269" spans="1:15" x14ac:dyDescent="0.25">
      <c r="B269">
        <f t="shared" si="27"/>
        <v>237</v>
      </c>
      <c r="C269" s="2">
        <f t="shared" si="28"/>
        <v>0</v>
      </c>
      <c r="E269" s="10">
        <f t="shared" si="29"/>
        <v>0</v>
      </c>
      <c r="F269" s="2">
        <f t="shared" si="30"/>
        <v>0</v>
      </c>
      <c r="G269" s="2">
        <f>IF(ISERROR(B269),"-",IF(J268=0,0,SUM($F$33:F269)))</f>
        <v>0</v>
      </c>
      <c r="H269" s="2">
        <f t="shared" si="31"/>
        <v>0</v>
      </c>
      <c r="I269" s="2">
        <f>IF(ISERROR($B269),"-",IF(J268=0,0,SUM($H$33:H269)))</f>
        <v>0</v>
      </c>
      <c r="J269" s="2">
        <f t="shared" si="32"/>
        <v>0</v>
      </c>
      <c r="K269" s="2">
        <f t="shared" si="33"/>
        <v>0</v>
      </c>
      <c r="L269" s="2">
        <f t="shared" si="34"/>
        <v>0</v>
      </c>
      <c r="M269" s="2">
        <f t="shared" si="35"/>
        <v>0</v>
      </c>
      <c r="O269" s="2">
        <f>IF('PV IN'!$N$10="Yes",PVLoan!F269*'PV IN'!$E$8,0)</f>
        <v>0</v>
      </c>
    </row>
    <row r="270" spans="1:15" x14ac:dyDescent="0.25">
      <c r="B270">
        <f t="shared" si="27"/>
        <v>238</v>
      </c>
      <c r="C270" s="2">
        <f t="shared" si="28"/>
        <v>0</v>
      </c>
      <c r="E270" s="10">
        <f t="shared" si="29"/>
        <v>0</v>
      </c>
      <c r="F270" s="2">
        <f t="shared" si="30"/>
        <v>0</v>
      </c>
      <c r="G270" s="2">
        <f>IF(ISERROR(B270),"-",IF(J269=0,0,SUM($F$33:F270)))</f>
        <v>0</v>
      </c>
      <c r="H270" s="2">
        <f t="shared" si="31"/>
        <v>0</v>
      </c>
      <c r="I270" s="2">
        <f>IF(ISERROR($B270),"-",IF(J269=0,0,SUM($H$33:H270)))</f>
        <v>0</v>
      </c>
      <c r="J270" s="2">
        <f t="shared" si="32"/>
        <v>0</v>
      </c>
      <c r="K270" s="2">
        <f t="shared" si="33"/>
        <v>0</v>
      </c>
      <c r="L270" s="2">
        <f t="shared" si="34"/>
        <v>0</v>
      </c>
      <c r="M270" s="2">
        <f t="shared" si="35"/>
        <v>0</v>
      </c>
      <c r="O270" s="2">
        <f>IF('PV IN'!$N$10="Yes",PVLoan!F270*'PV IN'!$E$8,0)</f>
        <v>0</v>
      </c>
    </row>
    <row r="271" spans="1:15" x14ac:dyDescent="0.25">
      <c r="B271">
        <f t="shared" si="27"/>
        <v>239</v>
      </c>
      <c r="C271" s="2">
        <f t="shared" si="28"/>
        <v>0</v>
      </c>
      <c r="E271" s="10">
        <f t="shared" si="29"/>
        <v>0</v>
      </c>
      <c r="F271" s="2">
        <f t="shared" si="30"/>
        <v>0</v>
      </c>
      <c r="G271" s="2">
        <f>IF(ISERROR(B271),"-",IF(J270=0,0,SUM($F$33:F271)))</f>
        <v>0</v>
      </c>
      <c r="H271" s="2">
        <f t="shared" si="31"/>
        <v>0</v>
      </c>
      <c r="I271" s="2">
        <f>IF(ISERROR($B271),"-",IF(J270=0,0,SUM($H$33:H271)))</f>
        <v>0</v>
      </c>
      <c r="J271" s="2">
        <f t="shared" si="32"/>
        <v>0</v>
      </c>
      <c r="K271" s="2">
        <f t="shared" si="33"/>
        <v>0</v>
      </c>
      <c r="L271" s="2">
        <f t="shared" si="34"/>
        <v>0</v>
      </c>
      <c r="M271" s="2">
        <f t="shared" si="35"/>
        <v>0</v>
      </c>
      <c r="O271" s="2">
        <f>IF('PV IN'!$N$10="Yes",PVLoan!F271*'PV IN'!$E$8,0)</f>
        <v>0</v>
      </c>
    </row>
    <row r="272" spans="1:15" x14ac:dyDescent="0.25">
      <c r="A272">
        <v>20</v>
      </c>
      <c r="B272">
        <f t="shared" si="27"/>
        <v>240</v>
      </c>
      <c r="C272" s="2">
        <f t="shared" si="28"/>
        <v>0</v>
      </c>
      <c r="E272" s="10">
        <f t="shared" si="29"/>
        <v>0</v>
      </c>
      <c r="F272" s="2">
        <f t="shared" si="30"/>
        <v>0</v>
      </c>
      <c r="G272" s="2">
        <f>IF(ISERROR(B272),"-",IF(J271=0,0,SUM($F$33:F272)))</f>
        <v>0</v>
      </c>
      <c r="H272" s="2">
        <f t="shared" si="31"/>
        <v>0</v>
      </c>
      <c r="I272" s="2">
        <f>IF(ISERROR($B272),"-",IF(J271=0,0,SUM($H$33:H272)))</f>
        <v>0</v>
      </c>
      <c r="J272" s="2">
        <f t="shared" si="32"/>
        <v>0</v>
      </c>
      <c r="K272" s="2">
        <f t="shared" si="33"/>
        <v>0</v>
      </c>
      <c r="L272" s="2">
        <f t="shared" si="34"/>
        <v>0</v>
      </c>
      <c r="M272" s="2">
        <f t="shared" si="35"/>
        <v>0</v>
      </c>
      <c r="O272" s="2">
        <f>IF('PV IN'!$N$10="Yes",PVLoan!F272*'PV IN'!$E$8,0)</f>
        <v>0</v>
      </c>
    </row>
    <row r="273" spans="1:15" x14ac:dyDescent="0.25">
      <c r="B273" t="e">
        <f t="shared" si="27"/>
        <v>#N/A</v>
      </c>
      <c r="C273" s="2" t="str">
        <f t="shared" si="28"/>
        <v>0</v>
      </c>
      <c r="E273" s="10">
        <f t="shared" si="29"/>
        <v>0</v>
      </c>
      <c r="F273" s="2">
        <f t="shared" si="30"/>
        <v>0</v>
      </c>
      <c r="G273" s="2" t="str">
        <f>IF(ISERROR(B273),"-",IF(J272=0,0,SUM($F$33:F273)))</f>
        <v>-</v>
      </c>
      <c r="H273" s="2">
        <f t="shared" si="31"/>
        <v>0</v>
      </c>
      <c r="I273" s="2" t="str">
        <f>IF(ISERROR($B273),"-",IF(J272=0,0,SUM($H$33:H273)))</f>
        <v>-</v>
      </c>
      <c r="J273" s="2" t="str">
        <f t="shared" si="32"/>
        <v>-</v>
      </c>
      <c r="K273" s="2" t="str">
        <f t="shared" si="33"/>
        <v>-</v>
      </c>
      <c r="L273" s="2">
        <f t="shared" si="34"/>
        <v>0</v>
      </c>
      <c r="M273" s="2">
        <f t="shared" si="35"/>
        <v>0</v>
      </c>
      <c r="O273" s="2">
        <f>IF('PV IN'!$N$10="Yes",PVLoan!F273*'PV IN'!$E$8,0)</f>
        <v>0</v>
      </c>
    </row>
    <row r="274" spans="1:15" x14ac:dyDescent="0.25">
      <c r="B274" t="e">
        <f t="shared" si="27"/>
        <v>#N/A</v>
      </c>
      <c r="C274" s="2" t="str">
        <f t="shared" si="28"/>
        <v>0</v>
      </c>
      <c r="E274" s="10">
        <f t="shared" si="29"/>
        <v>0</v>
      </c>
      <c r="F274" s="2">
        <f t="shared" si="30"/>
        <v>0</v>
      </c>
      <c r="G274" s="2" t="str">
        <f>IF(ISERROR(B274),"-",IF(J273=0,0,SUM($F$33:F274)))</f>
        <v>-</v>
      </c>
      <c r="H274" s="2">
        <f t="shared" si="31"/>
        <v>0</v>
      </c>
      <c r="I274" s="2" t="str">
        <f>IF(ISERROR($B274),"-",IF(J273=0,0,SUM($H$33:H274)))</f>
        <v>-</v>
      </c>
      <c r="J274" s="2" t="str">
        <f t="shared" si="32"/>
        <v>-</v>
      </c>
      <c r="K274" s="2" t="str">
        <f t="shared" si="33"/>
        <v>-</v>
      </c>
      <c r="L274" s="2">
        <f t="shared" si="34"/>
        <v>0</v>
      </c>
      <c r="M274" s="2">
        <f t="shared" si="35"/>
        <v>0</v>
      </c>
      <c r="O274" s="2">
        <f>IF('PV IN'!$N$10="Yes",PVLoan!F274*'PV IN'!$E$8,0)</f>
        <v>0</v>
      </c>
    </row>
    <row r="275" spans="1:15" x14ac:dyDescent="0.25">
      <c r="B275" t="e">
        <f t="shared" si="27"/>
        <v>#N/A</v>
      </c>
      <c r="C275" s="2" t="str">
        <f t="shared" si="28"/>
        <v>0</v>
      </c>
      <c r="E275" s="10">
        <f t="shared" si="29"/>
        <v>0</v>
      </c>
      <c r="F275" s="2">
        <f t="shared" si="30"/>
        <v>0</v>
      </c>
      <c r="G275" s="2" t="str">
        <f>IF(ISERROR(B275),"-",IF(J274=0,0,SUM($F$33:F275)))</f>
        <v>-</v>
      </c>
      <c r="H275" s="2">
        <f t="shared" si="31"/>
        <v>0</v>
      </c>
      <c r="I275" s="2" t="str">
        <f>IF(ISERROR($B275),"-",IF(J274=0,0,SUM($H$33:H275)))</f>
        <v>-</v>
      </c>
      <c r="J275" s="2" t="str">
        <f t="shared" si="32"/>
        <v>-</v>
      </c>
      <c r="K275" s="2" t="str">
        <f t="shared" si="33"/>
        <v>-</v>
      </c>
      <c r="L275" s="2">
        <f t="shared" si="34"/>
        <v>0</v>
      </c>
      <c r="M275" s="2">
        <f t="shared" si="35"/>
        <v>0</v>
      </c>
      <c r="O275" s="2">
        <f>IF('PV IN'!$N$10="Yes",PVLoan!F275*'PV IN'!$E$8,0)</f>
        <v>0</v>
      </c>
    </row>
    <row r="276" spans="1:15" x14ac:dyDescent="0.25">
      <c r="B276" t="e">
        <f t="shared" si="27"/>
        <v>#N/A</v>
      </c>
      <c r="C276" s="2" t="str">
        <f t="shared" si="28"/>
        <v>0</v>
      </c>
      <c r="E276" s="10">
        <f t="shared" si="29"/>
        <v>0</v>
      </c>
      <c r="F276" s="2">
        <f t="shared" si="30"/>
        <v>0</v>
      </c>
      <c r="G276" s="2" t="str">
        <f>IF(ISERROR(B276),"-",IF(J275=0,0,SUM($F$33:F276)))</f>
        <v>-</v>
      </c>
      <c r="H276" s="2">
        <f t="shared" si="31"/>
        <v>0</v>
      </c>
      <c r="I276" s="2" t="str">
        <f>IF(ISERROR($B276),"-",IF(J275=0,0,SUM($H$33:H276)))</f>
        <v>-</v>
      </c>
      <c r="J276" s="2" t="str">
        <f t="shared" si="32"/>
        <v>-</v>
      </c>
      <c r="K276" s="2" t="str">
        <f t="shared" si="33"/>
        <v>-</v>
      </c>
      <c r="L276" s="2">
        <f t="shared" si="34"/>
        <v>0</v>
      </c>
      <c r="M276" s="2">
        <f t="shared" si="35"/>
        <v>0</v>
      </c>
      <c r="O276" s="2">
        <f>IF('PV IN'!$N$10="Yes",PVLoan!F276*'PV IN'!$E$8,0)</f>
        <v>0</v>
      </c>
    </row>
    <row r="277" spans="1:15" x14ac:dyDescent="0.25">
      <c r="B277" t="e">
        <f t="shared" si="27"/>
        <v>#N/A</v>
      </c>
      <c r="C277" s="2" t="str">
        <f t="shared" si="28"/>
        <v>0</v>
      </c>
      <c r="E277" s="10">
        <f t="shared" si="29"/>
        <v>0</v>
      </c>
      <c r="F277" s="2">
        <f t="shared" si="30"/>
        <v>0</v>
      </c>
      <c r="G277" s="2" t="str">
        <f>IF(ISERROR(B277),"-",IF(J276=0,0,SUM($F$33:F277)))</f>
        <v>-</v>
      </c>
      <c r="H277" s="2">
        <f t="shared" si="31"/>
        <v>0</v>
      </c>
      <c r="I277" s="2" t="str">
        <f>IF(ISERROR($B277),"-",IF(J276=0,0,SUM($H$33:H277)))</f>
        <v>-</v>
      </c>
      <c r="J277" s="2" t="str">
        <f t="shared" si="32"/>
        <v>-</v>
      </c>
      <c r="K277" s="2" t="str">
        <f t="shared" si="33"/>
        <v>-</v>
      </c>
      <c r="L277" s="2">
        <f t="shared" si="34"/>
        <v>0</v>
      </c>
      <c r="M277" s="2">
        <f t="shared" si="35"/>
        <v>0</v>
      </c>
      <c r="O277" s="2">
        <f>IF('PV IN'!$N$10="Yes",PVLoan!F277*'PV IN'!$E$8,0)</f>
        <v>0</v>
      </c>
    </row>
    <row r="278" spans="1:15" x14ac:dyDescent="0.25">
      <c r="B278" t="e">
        <f t="shared" si="27"/>
        <v>#N/A</v>
      </c>
      <c r="C278" s="2" t="str">
        <f t="shared" si="28"/>
        <v>0</v>
      </c>
      <c r="E278" s="10">
        <f t="shared" si="29"/>
        <v>0</v>
      </c>
      <c r="F278" s="2">
        <f t="shared" si="30"/>
        <v>0</v>
      </c>
      <c r="G278" s="2" t="str">
        <f>IF(ISERROR(B278),"-",IF(J277=0,0,SUM($F$33:F278)))</f>
        <v>-</v>
      </c>
      <c r="H278" s="2">
        <f t="shared" si="31"/>
        <v>0</v>
      </c>
      <c r="I278" s="2" t="str">
        <f>IF(ISERROR($B278),"-",IF(J277=0,0,SUM($H$33:H278)))</f>
        <v>-</v>
      </c>
      <c r="J278" s="2" t="str">
        <f t="shared" si="32"/>
        <v>-</v>
      </c>
      <c r="K278" s="2" t="str">
        <f t="shared" si="33"/>
        <v>-</v>
      </c>
      <c r="L278" s="2">
        <f t="shared" si="34"/>
        <v>0</v>
      </c>
      <c r="M278" s="2">
        <f t="shared" si="35"/>
        <v>0</v>
      </c>
      <c r="O278" s="2">
        <f>IF('PV IN'!$N$10="Yes",PVLoan!F278*'PV IN'!$E$8,0)</f>
        <v>0</v>
      </c>
    </row>
    <row r="279" spans="1:15" x14ac:dyDescent="0.25">
      <c r="B279" t="e">
        <f t="shared" si="27"/>
        <v>#N/A</v>
      </c>
      <c r="C279" s="2" t="str">
        <f t="shared" si="28"/>
        <v>0</v>
      </c>
      <c r="E279" s="10">
        <f t="shared" si="29"/>
        <v>0</v>
      </c>
      <c r="F279" s="2">
        <f t="shared" si="30"/>
        <v>0</v>
      </c>
      <c r="G279" s="2" t="str">
        <f>IF(ISERROR(B279),"-",IF(J278=0,0,SUM($F$33:F279)))</f>
        <v>-</v>
      </c>
      <c r="H279" s="2">
        <f t="shared" si="31"/>
        <v>0</v>
      </c>
      <c r="I279" s="2" t="str">
        <f>IF(ISERROR($B279),"-",IF(J278=0,0,SUM($H$33:H279)))</f>
        <v>-</v>
      </c>
      <c r="J279" s="2" t="str">
        <f t="shared" si="32"/>
        <v>-</v>
      </c>
      <c r="K279" s="2" t="str">
        <f t="shared" si="33"/>
        <v>-</v>
      </c>
      <c r="L279" s="2">
        <f t="shared" si="34"/>
        <v>0</v>
      </c>
      <c r="M279" s="2">
        <f t="shared" si="35"/>
        <v>0</v>
      </c>
      <c r="O279" s="2">
        <f>IF('PV IN'!$N$10="Yes",PVLoan!F279*'PV IN'!$E$8,0)</f>
        <v>0</v>
      </c>
    </row>
    <row r="280" spans="1:15" x14ac:dyDescent="0.25">
      <c r="B280" t="e">
        <f t="shared" si="27"/>
        <v>#N/A</v>
      </c>
      <c r="C280" s="2" t="str">
        <f t="shared" si="28"/>
        <v>0</v>
      </c>
      <c r="E280" s="10">
        <f t="shared" si="29"/>
        <v>0</v>
      </c>
      <c r="F280" s="2">
        <f t="shared" si="30"/>
        <v>0</v>
      </c>
      <c r="G280" s="2" t="str">
        <f>IF(ISERROR(B280),"-",IF(J279=0,0,SUM($F$33:F280)))</f>
        <v>-</v>
      </c>
      <c r="H280" s="2">
        <f t="shared" si="31"/>
        <v>0</v>
      </c>
      <c r="I280" s="2" t="str">
        <f>IF(ISERROR($B280),"-",IF(J279=0,0,SUM($H$33:H280)))</f>
        <v>-</v>
      </c>
      <c r="J280" s="2" t="str">
        <f t="shared" si="32"/>
        <v>-</v>
      </c>
      <c r="K280" s="2" t="str">
        <f t="shared" si="33"/>
        <v>-</v>
      </c>
      <c r="L280" s="2">
        <f t="shared" si="34"/>
        <v>0</v>
      </c>
      <c r="M280" s="2">
        <f t="shared" si="35"/>
        <v>0</v>
      </c>
      <c r="O280" s="2">
        <f>IF('PV IN'!$N$10="Yes",PVLoan!F280*'PV IN'!$E$8,0)</f>
        <v>0</v>
      </c>
    </row>
    <row r="281" spans="1:15" x14ac:dyDescent="0.25">
      <c r="B281" t="e">
        <f t="shared" si="27"/>
        <v>#N/A</v>
      </c>
      <c r="C281" s="2" t="str">
        <f t="shared" si="28"/>
        <v>0</v>
      </c>
      <c r="E281" s="10">
        <f t="shared" si="29"/>
        <v>0</v>
      </c>
      <c r="F281" s="2">
        <f t="shared" si="30"/>
        <v>0</v>
      </c>
      <c r="G281" s="2" t="str">
        <f>IF(ISERROR(B281),"-",IF(J280=0,0,SUM($F$33:F281)))</f>
        <v>-</v>
      </c>
      <c r="H281" s="2">
        <f t="shared" si="31"/>
        <v>0</v>
      </c>
      <c r="I281" s="2" t="str">
        <f>IF(ISERROR($B281),"-",IF(J280=0,0,SUM($H$33:H281)))</f>
        <v>-</v>
      </c>
      <c r="J281" s="2" t="str">
        <f t="shared" si="32"/>
        <v>-</v>
      </c>
      <c r="K281" s="2" t="str">
        <f t="shared" si="33"/>
        <v>-</v>
      </c>
      <c r="L281" s="2">
        <f t="shared" si="34"/>
        <v>0</v>
      </c>
      <c r="M281" s="2">
        <f t="shared" si="35"/>
        <v>0</v>
      </c>
      <c r="O281" s="2">
        <f>IF('PV IN'!$N$10="Yes",PVLoan!F281*'PV IN'!$E$8,0)</f>
        <v>0</v>
      </c>
    </row>
    <row r="282" spans="1:15" x14ac:dyDescent="0.25">
      <c r="B282" t="e">
        <f t="shared" si="27"/>
        <v>#N/A</v>
      </c>
      <c r="C282" s="2" t="str">
        <f t="shared" si="28"/>
        <v>0</v>
      </c>
      <c r="E282" s="10">
        <f t="shared" si="29"/>
        <v>0</v>
      </c>
      <c r="F282" s="2">
        <f t="shared" si="30"/>
        <v>0</v>
      </c>
      <c r="G282" s="2" t="str">
        <f>IF(ISERROR(B282),"-",IF(J281=0,0,SUM($F$33:F282)))</f>
        <v>-</v>
      </c>
      <c r="H282" s="2">
        <f t="shared" si="31"/>
        <v>0</v>
      </c>
      <c r="I282" s="2" t="str">
        <f>IF(ISERROR($B282),"-",IF(J281=0,0,SUM($H$33:H282)))</f>
        <v>-</v>
      </c>
      <c r="J282" s="2" t="str">
        <f t="shared" si="32"/>
        <v>-</v>
      </c>
      <c r="K282" s="2" t="str">
        <f t="shared" si="33"/>
        <v>-</v>
      </c>
      <c r="L282" s="2">
        <f t="shared" si="34"/>
        <v>0</v>
      </c>
      <c r="M282" s="2">
        <f t="shared" si="35"/>
        <v>0</v>
      </c>
      <c r="O282" s="2">
        <f>IF('PV IN'!$N$10="Yes",PVLoan!F282*'PV IN'!$E$8,0)</f>
        <v>0</v>
      </c>
    </row>
    <row r="283" spans="1:15" x14ac:dyDescent="0.25">
      <c r="B283" t="e">
        <f t="shared" si="27"/>
        <v>#N/A</v>
      </c>
      <c r="C283" s="2" t="str">
        <f t="shared" si="28"/>
        <v>0</v>
      </c>
      <c r="E283" s="10">
        <f t="shared" si="29"/>
        <v>0</v>
      </c>
      <c r="F283" s="2">
        <f t="shared" si="30"/>
        <v>0</v>
      </c>
      <c r="G283" s="2" t="str">
        <f>IF(ISERROR(B283),"-",IF(J282=0,0,SUM($F$33:F283)))</f>
        <v>-</v>
      </c>
      <c r="H283" s="2">
        <f t="shared" si="31"/>
        <v>0</v>
      </c>
      <c r="I283" s="2" t="str">
        <f>IF(ISERROR($B283),"-",IF(J282=0,0,SUM($H$33:H283)))</f>
        <v>-</v>
      </c>
      <c r="J283" s="2" t="str">
        <f t="shared" si="32"/>
        <v>-</v>
      </c>
      <c r="K283" s="2" t="str">
        <f t="shared" si="33"/>
        <v>-</v>
      </c>
      <c r="L283" s="2">
        <f t="shared" si="34"/>
        <v>0</v>
      </c>
      <c r="M283" s="2">
        <f t="shared" si="35"/>
        <v>0</v>
      </c>
      <c r="O283" s="2">
        <f>IF('PV IN'!$N$10="Yes",PVLoan!F283*'PV IN'!$E$8,0)</f>
        <v>0</v>
      </c>
    </row>
    <row r="284" spans="1:15" x14ac:dyDescent="0.25">
      <c r="A284">
        <v>21</v>
      </c>
      <c r="B284" t="e">
        <f t="shared" si="27"/>
        <v>#N/A</v>
      </c>
      <c r="C284" s="2" t="str">
        <f t="shared" si="28"/>
        <v>0</v>
      </c>
      <c r="E284" s="10">
        <f t="shared" si="29"/>
        <v>0</v>
      </c>
      <c r="F284" s="2">
        <f t="shared" si="30"/>
        <v>0</v>
      </c>
      <c r="G284" s="2" t="str">
        <f>IF(ISERROR(B284),"-",IF(J283=0,0,SUM($F$33:F284)))</f>
        <v>-</v>
      </c>
      <c r="H284" s="2">
        <f t="shared" si="31"/>
        <v>0</v>
      </c>
      <c r="I284" s="2" t="str">
        <f>IF(ISERROR($B284),"-",IF(J283=0,0,SUM($H$33:H284)))</f>
        <v>-</v>
      </c>
      <c r="J284" s="2" t="str">
        <f t="shared" si="32"/>
        <v>-</v>
      </c>
      <c r="K284" s="2" t="str">
        <f t="shared" si="33"/>
        <v>-</v>
      </c>
      <c r="L284" s="2">
        <f t="shared" si="34"/>
        <v>0</v>
      </c>
      <c r="M284" s="2">
        <f t="shared" si="35"/>
        <v>0</v>
      </c>
      <c r="O284" s="2">
        <f>IF('PV IN'!$N$10="Yes",PVLoan!F284*'PV IN'!$E$8,0)</f>
        <v>0</v>
      </c>
    </row>
    <row r="285" spans="1:15" x14ac:dyDescent="0.25">
      <c r="B285" t="e">
        <f t="shared" si="27"/>
        <v>#N/A</v>
      </c>
      <c r="C285" s="2" t="str">
        <f t="shared" si="28"/>
        <v>0</v>
      </c>
      <c r="E285" s="10">
        <f t="shared" si="29"/>
        <v>0</v>
      </c>
      <c r="F285" s="2">
        <f t="shared" si="30"/>
        <v>0</v>
      </c>
      <c r="G285" s="2" t="str">
        <f>IF(ISERROR(B285),"-",IF(J284=0,0,SUM($F$33:F285)))</f>
        <v>-</v>
      </c>
      <c r="H285" s="2">
        <f t="shared" si="31"/>
        <v>0</v>
      </c>
      <c r="I285" s="2" t="str">
        <f>IF(ISERROR($B285),"-",IF(J284=0,0,SUM($H$33:H285)))</f>
        <v>-</v>
      </c>
      <c r="J285" s="2" t="str">
        <f t="shared" si="32"/>
        <v>-</v>
      </c>
      <c r="K285" s="2" t="str">
        <f t="shared" si="33"/>
        <v>-</v>
      </c>
      <c r="L285" s="2">
        <f t="shared" si="34"/>
        <v>0</v>
      </c>
      <c r="M285" s="2">
        <f t="shared" si="35"/>
        <v>0</v>
      </c>
      <c r="O285" s="2">
        <f>IF('PV IN'!$N$10="Yes",PVLoan!F285*'PV IN'!$E$8,0)</f>
        <v>0</v>
      </c>
    </row>
    <row r="286" spans="1:15" x14ac:dyDescent="0.25">
      <c r="B286" t="e">
        <f t="shared" si="27"/>
        <v>#N/A</v>
      </c>
      <c r="C286" s="2" t="str">
        <f t="shared" si="28"/>
        <v>0</v>
      </c>
      <c r="E286" s="10">
        <f t="shared" si="29"/>
        <v>0</v>
      </c>
      <c r="F286" s="2">
        <f t="shared" si="30"/>
        <v>0</v>
      </c>
      <c r="G286" s="2" t="str">
        <f>IF(ISERROR(B286),"-",IF(J285=0,0,SUM($F$33:F286)))</f>
        <v>-</v>
      </c>
      <c r="H286" s="2">
        <f t="shared" si="31"/>
        <v>0</v>
      </c>
      <c r="I286" s="2" t="str">
        <f>IF(ISERROR($B286),"-",IF(J285=0,0,SUM($H$33:H286)))</f>
        <v>-</v>
      </c>
      <c r="J286" s="2" t="str">
        <f t="shared" si="32"/>
        <v>-</v>
      </c>
      <c r="K286" s="2" t="str">
        <f t="shared" si="33"/>
        <v>-</v>
      </c>
      <c r="L286" s="2">
        <f t="shared" si="34"/>
        <v>0</v>
      </c>
      <c r="M286" s="2">
        <f t="shared" si="35"/>
        <v>0</v>
      </c>
      <c r="O286" s="2">
        <f>IF('PV IN'!$N$10="Yes",PVLoan!F286*'PV IN'!$E$8,0)</f>
        <v>0</v>
      </c>
    </row>
    <row r="287" spans="1:15" x14ac:dyDescent="0.25">
      <c r="B287" t="e">
        <f t="shared" si="27"/>
        <v>#N/A</v>
      </c>
      <c r="C287" s="2" t="str">
        <f t="shared" si="28"/>
        <v>0</v>
      </c>
      <c r="E287" s="10">
        <f t="shared" si="29"/>
        <v>0</v>
      </c>
      <c r="F287" s="2">
        <f t="shared" si="30"/>
        <v>0</v>
      </c>
      <c r="G287" s="2" t="str">
        <f>IF(ISERROR(B287),"-",IF(J286=0,0,SUM($F$33:F287)))</f>
        <v>-</v>
      </c>
      <c r="H287" s="2">
        <f t="shared" si="31"/>
        <v>0</v>
      </c>
      <c r="I287" s="2" t="str">
        <f>IF(ISERROR($B287),"-",IF(J286=0,0,SUM($H$33:H287)))</f>
        <v>-</v>
      </c>
      <c r="J287" s="2" t="str">
        <f t="shared" si="32"/>
        <v>-</v>
      </c>
      <c r="K287" s="2" t="str">
        <f t="shared" si="33"/>
        <v>-</v>
      </c>
      <c r="L287" s="2">
        <f t="shared" si="34"/>
        <v>0</v>
      </c>
      <c r="M287" s="2">
        <f t="shared" si="35"/>
        <v>0</v>
      </c>
      <c r="O287" s="2">
        <f>IF('PV IN'!$N$10="Yes",PVLoan!F287*'PV IN'!$E$8,0)</f>
        <v>0</v>
      </c>
    </row>
    <row r="288" spans="1:15" x14ac:dyDescent="0.25">
      <c r="B288" t="e">
        <f t="shared" si="27"/>
        <v>#N/A</v>
      </c>
      <c r="C288" s="2" t="str">
        <f t="shared" si="28"/>
        <v>0</v>
      </c>
      <c r="E288" s="10">
        <f t="shared" si="29"/>
        <v>0</v>
      </c>
      <c r="F288" s="2">
        <f t="shared" si="30"/>
        <v>0</v>
      </c>
      <c r="G288" s="2" t="str">
        <f>IF(ISERROR(B288),"-",IF(J287=0,0,SUM($F$33:F288)))</f>
        <v>-</v>
      </c>
      <c r="H288" s="2">
        <f t="shared" si="31"/>
        <v>0</v>
      </c>
      <c r="I288" s="2" t="str">
        <f>IF(ISERROR($B288),"-",IF(J287=0,0,SUM($H$33:H288)))</f>
        <v>-</v>
      </c>
      <c r="J288" s="2" t="str">
        <f t="shared" si="32"/>
        <v>-</v>
      </c>
      <c r="K288" s="2" t="str">
        <f t="shared" si="33"/>
        <v>-</v>
      </c>
      <c r="L288" s="2">
        <f t="shared" si="34"/>
        <v>0</v>
      </c>
      <c r="M288" s="2">
        <f t="shared" si="35"/>
        <v>0</v>
      </c>
      <c r="O288" s="2">
        <f>IF('PV IN'!$N$10="Yes",PVLoan!F288*'PV IN'!$E$8,0)</f>
        <v>0</v>
      </c>
    </row>
    <row r="289" spans="1:15" x14ac:dyDescent="0.25">
      <c r="B289" t="e">
        <f t="shared" si="27"/>
        <v>#N/A</v>
      </c>
      <c r="C289" s="2" t="str">
        <f t="shared" si="28"/>
        <v>0</v>
      </c>
      <c r="E289" s="10">
        <f t="shared" si="29"/>
        <v>0</v>
      </c>
      <c r="F289" s="2">
        <f t="shared" si="30"/>
        <v>0</v>
      </c>
      <c r="G289" s="2" t="str">
        <f>IF(ISERROR(B289),"-",IF(J288=0,0,SUM($F$33:F289)))</f>
        <v>-</v>
      </c>
      <c r="H289" s="2">
        <f t="shared" si="31"/>
        <v>0</v>
      </c>
      <c r="I289" s="2" t="str">
        <f>IF(ISERROR($B289),"-",IF(J288=0,0,SUM($H$33:H289)))</f>
        <v>-</v>
      </c>
      <c r="J289" s="2" t="str">
        <f t="shared" si="32"/>
        <v>-</v>
      </c>
      <c r="K289" s="2" t="str">
        <f t="shared" si="33"/>
        <v>-</v>
      </c>
      <c r="L289" s="2">
        <f t="shared" si="34"/>
        <v>0</v>
      </c>
      <c r="M289" s="2">
        <f t="shared" si="35"/>
        <v>0</v>
      </c>
      <c r="O289" s="2">
        <f>IF('PV IN'!$N$10="Yes",PVLoan!F289*'PV IN'!$E$8,0)</f>
        <v>0</v>
      </c>
    </row>
    <row r="290" spans="1:15" x14ac:dyDescent="0.25">
      <c r="B290" t="e">
        <f t="shared" ref="B290:B353" si="36">IF(B289&gt;=$E$9,NA(),B289+1)</f>
        <v>#N/A</v>
      </c>
      <c r="C290" s="2" t="str">
        <f t="shared" ref="C290:C353" si="37">IF(ISERROR(B290),"0",IF(J289=0,0,$E$11))</f>
        <v>0</v>
      </c>
      <c r="E290" s="10">
        <f t="shared" ref="E290:E353" si="38">C290+D290</f>
        <v>0</v>
      </c>
      <c r="F290" s="2">
        <f t="shared" ref="F290:F353" si="39">IF(ISERROR(B290),0,$E$8*J289)</f>
        <v>0</v>
      </c>
      <c r="G290" s="2" t="str">
        <f>IF(ISERROR(B290),"-",IF(J289=0,0,SUM($F$33:F290)))</f>
        <v>-</v>
      </c>
      <c r="H290" s="2">
        <f t="shared" ref="H290:H353" si="40">IF(ISERROR($B290),0,IF(J289=0,0,E290-F290))</f>
        <v>0</v>
      </c>
      <c r="I290" s="2" t="str">
        <f>IF(ISERROR($B290),"-",IF(J289=0,0,SUM($H$33:H290)))</f>
        <v>-</v>
      </c>
      <c r="J290" s="2" t="str">
        <f t="shared" ref="J290:J353" si="41">IF(ISERROR($B290),"-",IF(J289-H290&lt;0,0,J289-H290))</f>
        <v>-</v>
      </c>
      <c r="K290" s="2" t="str">
        <f t="shared" ref="K290:K353" si="42">IF(ISERROR(B290),"-",J289-H290)</f>
        <v>-</v>
      </c>
      <c r="L290" s="2">
        <f t="shared" ref="L290:L353" si="43">IF(K290&gt;=0,E290,E290+K290)</f>
        <v>0</v>
      </c>
      <c r="M290" s="2">
        <f t="shared" ref="M290:M353" si="44">-IF(K290&lt;0,K290,0)</f>
        <v>0</v>
      </c>
      <c r="O290" s="2">
        <f>IF('PV IN'!$N$10="Yes",PVLoan!F290*'PV IN'!$E$8,0)</f>
        <v>0</v>
      </c>
    </row>
    <row r="291" spans="1:15" x14ac:dyDescent="0.25">
      <c r="B291" t="e">
        <f t="shared" si="36"/>
        <v>#N/A</v>
      </c>
      <c r="C291" s="2" t="str">
        <f t="shared" si="37"/>
        <v>0</v>
      </c>
      <c r="E291" s="10">
        <f t="shared" si="38"/>
        <v>0</v>
      </c>
      <c r="F291" s="2">
        <f t="shared" si="39"/>
        <v>0</v>
      </c>
      <c r="G291" s="2" t="str">
        <f>IF(ISERROR(B291),"-",IF(J290=0,0,SUM($F$33:F291)))</f>
        <v>-</v>
      </c>
      <c r="H291" s="2">
        <f t="shared" si="40"/>
        <v>0</v>
      </c>
      <c r="I291" s="2" t="str">
        <f>IF(ISERROR($B291),"-",IF(J290=0,0,SUM($H$33:H291)))</f>
        <v>-</v>
      </c>
      <c r="J291" s="2" t="str">
        <f t="shared" si="41"/>
        <v>-</v>
      </c>
      <c r="K291" s="2" t="str">
        <f t="shared" si="42"/>
        <v>-</v>
      </c>
      <c r="L291" s="2">
        <f t="shared" si="43"/>
        <v>0</v>
      </c>
      <c r="M291" s="2">
        <f t="shared" si="44"/>
        <v>0</v>
      </c>
      <c r="O291" s="2">
        <f>IF('PV IN'!$N$10="Yes",PVLoan!F291*'PV IN'!$E$8,0)</f>
        <v>0</v>
      </c>
    </row>
    <row r="292" spans="1:15" x14ac:dyDescent="0.25">
      <c r="B292" t="e">
        <f t="shared" si="36"/>
        <v>#N/A</v>
      </c>
      <c r="C292" s="2" t="str">
        <f t="shared" si="37"/>
        <v>0</v>
      </c>
      <c r="E292" s="10">
        <f t="shared" si="38"/>
        <v>0</v>
      </c>
      <c r="F292" s="2">
        <f t="shared" si="39"/>
        <v>0</v>
      </c>
      <c r="G292" s="2" t="str">
        <f>IF(ISERROR(B292),"-",IF(J291=0,0,SUM($F$33:F292)))</f>
        <v>-</v>
      </c>
      <c r="H292" s="2">
        <f t="shared" si="40"/>
        <v>0</v>
      </c>
      <c r="I292" s="2" t="str">
        <f>IF(ISERROR($B292),"-",IF(J291=0,0,SUM($H$33:H292)))</f>
        <v>-</v>
      </c>
      <c r="J292" s="2" t="str">
        <f t="shared" si="41"/>
        <v>-</v>
      </c>
      <c r="K292" s="2" t="str">
        <f t="shared" si="42"/>
        <v>-</v>
      </c>
      <c r="L292" s="2">
        <f t="shared" si="43"/>
        <v>0</v>
      </c>
      <c r="M292" s="2">
        <f t="shared" si="44"/>
        <v>0</v>
      </c>
      <c r="O292" s="2">
        <f>IF('PV IN'!$N$10="Yes",PVLoan!F292*'PV IN'!$E$8,0)</f>
        <v>0</v>
      </c>
    </row>
    <row r="293" spans="1:15" x14ac:dyDescent="0.25">
      <c r="B293" t="e">
        <f t="shared" si="36"/>
        <v>#N/A</v>
      </c>
      <c r="C293" s="2" t="str">
        <f t="shared" si="37"/>
        <v>0</v>
      </c>
      <c r="E293" s="10">
        <f t="shared" si="38"/>
        <v>0</v>
      </c>
      <c r="F293" s="2">
        <f t="shared" si="39"/>
        <v>0</v>
      </c>
      <c r="G293" s="2" t="str">
        <f>IF(ISERROR(B293),"-",IF(J292=0,0,SUM($F$33:F293)))</f>
        <v>-</v>
      </c>
      <c r="H293" s="2">
        <f t="shared" si="40"/>
        <v>0</v>
      </c>
      <c r="I293" s="2" t="str">
        <f>IF(ISERROR($B293),"-",IF(J292=0,0,SUM($H$33:H293)))</f>
        <v>-</v>
      </c>
      <c r="J293" s="2" t="str">
        <f t="shared" si="41"/>
        <v>-</v>
      </c>
      <c r="K293" s="2" t="str">
        <f t="shared" si="42"/>
        <v>-</v>
      </c>
      <c r="L293" s="2">
        <f t="shared" si="43"/>
        <v>0</v>
      </c>
      <c r="M293" s="2">
        <f t="shared" si="44"/>
        <v>0</v>
      </c>
      <c r="O293" s="2">
        <f>IF('PV IN'!$N$10="Yes",PVLoan!F293*'PV IN'!$E$8,0)</f>
        <v>0</v>
      </c>
    </row>
    <row r="294" spans="1:15" x14ac:dyDescent="0.25">
      <c r="B294" t="e">
        <f t="shared" si="36"/>
        <v>#N/A</v>
      </c>
      <c r="C294" s="2" t="str">
        <f t="shared" si="37"/>
        <v>0</v>
      </c>
      <c r="E294" s="10">
        <f t="shared" si="38"/>
        <v>0</v>
      </c>
      <c r="F294" s="2">
        <f t="shared" si="39"/>
        <v>0</v>
      </c>
      <c r="G294" s="2" t="str">
        <f>IF(ISERROR(B294),"-",IF(J293=0,0,SUM($F$33:F294)))</f>
        <v>-</v>
      </c>
      <c r="H294" s="2">
        <f t="shared" si="40"/>
        <v>0</v>
      </c>
      <c r="I294" s="2" t="str">
        <f>IF(ISERROR($B294),"-",IF(J293=0,0,SUM($H$33:H294)))</f>
        <v>-</v>
      </c>
      <c r="J294" s="2" t="str">
        <f t="shared" si="41"/>
        <v>-</v>
      </c>
      <c r="K294" s="2" t="str">
        <f t="shared" si="42"/>
        <v>-</v>
      </c>
      <c r="L294" s="2">
        <f t="shared" si="43"/>
        <v>0</v>
      </c>
      <c r="M294" s="2">
        <f t="shared" si="44"/>
        <v>0</v>
      </c>
      <c r="O294" s="2">
        <f>IF('PV IN'!$N$10="Yes",PVLoan!F294*'PV IN'!$E$8,0)</f>
        <v>0</v>
      </c>
    </row>
    <row r="295" spans="1:15" x14ac:dyDescent="0.25">
      <c r="B295" t="e">
        <f t="shared" si="36"/>
        <v>#N/A</v>
      </c>
      <c r="C295" s="2" t="str">
        <f t="shared" si="37"/>
        <v>0</v>
      </c>
      <c r="E295" s="10">
        <f t="shared" si="38"/>
        <v>0</v>
      </c>
      <c r="F295" s="2">
        <f t="shared" si="39"/>
        <v>0</v>
      </c>
      <c r="G295" s="2" t="str">
        <f>IF(ISERROR(B295),"-",IF(J294=0,0,SUM($F$33:F295)))</f>
        <v>-</v>
      </c>
      <c r="H295" s="2">
        <f t="shared" si="40"/>
        <v>0</v>
      </c>
      <c r="I295" s="2" t="str">
        <f>IF(ISERROR($B295),"-",IF(J294=0,0,SUM($H$33:H295)))</f>
        <v>-</v>
      </c>
      <c r="J295" s="2" t="str">
        <f t="shared" si="41"/>
        <v>-</v>
      </c>
      <c r="K295" s="2" t="str">
        <f t="shared" si="42"/>
        <v>-</v>
      </c>
      <c r="L295" s="2">
        <f t="shared" si="43"/>
        <v>0</v>
      </c>
      <c r="M295" s="2">
        <f t="shared" si="44"/>
        <v>0</v>
      </c>
      <c r="O295" s="2">
        <f>IF('PV IN'!$N$10="Yes",PVLoan!F295*'PV IN'!$E$8,0)</f>
        <v>0</v>
      </c>
    </row>
    <row r="296" spans="1:15" x14ac:dyDescent="0.25">
      <c r="A296">
        <v>22</v>
      </c>
      <c r="B296" t="e">
        <f t="shared" si="36"/>
        <v>#N/A</v>
      </c>
      <c r="C296" s="2" t="str">
        <f t="shared" si="37"/>
        <v>0</v>
      </c>
      <c r="E296" s="10">
        <f t="shared" si="38"/>
        <v>0</v>
      </c>
      <c r="F296" s="2">
        <f t="shared" si="39"/>
        <v>0</v>
      </c>
      <c r="G296" s="2" t="str">
        <f>IF(ISERROR(B296),"-",IF(J295=0,0,SUM($F$33:F296)))</f>
        <v>-</v>
      </c>
      <c r="H296" s="2">
        <f t="shared" si="40"/>
        <v>0</v>
      </c>
      <c r="I296" s="2" t="str">
        <f>IF(ISERROR($B296),"-",IF(J295=0,0,SUM($H$33:H296)))</f>
        <v>-</v>
      </c>
      <c r="J296" s="2" t="str">
        <f t="shared" si="41"/>
        <v>-</v>
      </c>
      <c r="K296" s="2" t="str">
        <f t="shared" si="42"/>
        <v>-</v>
      </c>
      <c r="L296" s="2">
        <f t="shared" si="43"/>
        <v>0</v>
      </c>
      <c r="M296" s="2">
        <f t="shared" si="44"/>
        <v>0</v>
      </c>
      <c r="O296" s="2">
        <f>IF('PV IN'!$N$10="Yes",PVLoan!F296*'PV IN'!$E$8,0)</f>
        <v>0</v>
      </c>
    </row>
    <row r="297" spans="1:15" x14ac:dyDescent="0.25">
      <c r="B297" t="e">
        <f t="shared" si="36"/>
        <v>#N/A</v>
      </c>
      <c r="C297" s="2" t="str">
        <f t="shared" si="37"/>
        <v>0</v>
      </c>
      <c r="E297" s="10">
        <f t="shared" si="38"/>
        <v>0</v>
      </c>
      <c r="F297" s="2">
        <f t="shared" si="39"/>
        <v>0</v>
      </c>
      <c r="G297" s="2" t="str">
        <f>IF(ISERROR(B297),"-",IF(J296=0,0,SUM($F$33:F297)))</f>
        <v>-</v>
      </c>
      <c r="H297" s="2">
        <f t="shared" si="40"/>
        <v>0</v>
      </c>
      <c r="I297" s="2" t="str">
        <f>IF(ISERROR($B297),"-",IF(J296=0,0,SUM($H$33:H297)))</f>
        <v>-</v>
      </c>
      <c r="J297" s="2" t="str">
        <f t="shared" si="41"/>
        <v>-</v>
      </c>
      <c r="K297" s="2" t="str">
        <f t="shared" si="42"/>
        <v>-</v>
      </c>
      <c r="L297" s="2">
        <f t="shared" si="43"/>
        <v>0</v>
      </c>
      <c r="M297" s="2">
        <f t="shared" si="44"/>
        <v>0</v>
      </c>
      <c r="O297" s="2">
        <f>IF('PV IN'!$N$10="Yes",PVLoan!F297*'PV IN'!$E$8,0)</f>
        <v>0</v>
      </c>
    </row>
    <row r="298" spans="1:15" x14ac:dyDescent="0.25">
      <c r="B298" t="e">
        <f t="shared" si="36"/>
        <v>#N/A</v>
      </c>
      <c r="C298" s="2" t="str">
        <f t="shared" si="37"/>
        <v>0</v>
      </c>
      <c r="E298" s="10">
        <f t="shared" si="38"/>
        <v>0</v>
      </c>
      <c r="F298" s="2">
        <f t="shared" si="39"/>
        <v>0</v>
      </c>
      <c r="G298" s="2" t="str">
        <f>IF(ISERROR(B298),"-",IF(J297=0,0,SUM($F$33:F298)))</f>
        <v>-</v>
      </c>
      <c r="H298" s="2">
        <f t="shared" si="40"/>
        <v>0</v>
      </c>
      <c r="I298" s="2" t="str">
        <f>IF(ISERROR($B298),"-",IF(J297=0,0,SUM($H$33:H298)))</f>
        <v>-</v>
      </c>
      <c r="J298" s="2" t="str">
        <f t="shared" si="41"/>
        <v>-</v>
      </c>
      <c r="K298" s="2" t="str">
        <f t="shared" si="42"/>
        <v>-</v>
      </c>
      <c r="L298" s="2">
        <f t="shared" si="43"/>
        <v>0</v>
      </c>
      <c r="M298" s="2">
        <f t="shared" si="44"/>
        <v>0</v>
      </c>
      <c r="O298" s="2">
        <f>IF('PV IN'!$N$10="Yes",PVLoan!F298*'PV IN'!$E$8,0)</f>
        <v>0</v>
      </c>
    </row>
    <row r="299" spans="1:15" x14ac:dyDescent="0.25">
      <c r="B299" t="e">
        <f t="shared" si="36"/>
        <v>#N/A</v>
      </c>
      <c r="C299" s="2" t="str">
        <f t="shared" si="37"/>
        <v>0</v>
      </c>
      <c r="E299" s="10">
        <f t="shared" si="38"/>
        <v>0</v>
      </c>
      <c r="F299" s="2">
        <f t="shared" si="39"/>
        <v>0</v>
      </c>
      <c r="G299" s="2" t="str">
        <f>IF(ISERROR(B299),"-",IF(J298=0,0,SUM($F$33:F299)))</f>
        <v>-</v>
      </c>
      <c r="H299" s="2">
        <f t="shared" si="40"/>
        <v>0</v>
      </c>
      <c r="I299" s="2" t="str">
        <f>IF(ISERROR($B299),"-",IF(J298=0,0,SUM($H$33:H299)))</f>
        <v>-</v>
      </c>
      <c r="J299" s="2" t="str">
        <f t="shared" si="41"/>
        <v>-</v>
      </c>
      <c r="K299" s="2" t="str">
        <f t="shared" si="42"/>
        <v>-</v>
      </c>
      <c r="L299" s="2">
        <f t="shared" si="43"/>
        <v>0</v>
      </c>
      <c r="M299" s="2">
        <f t="shared" si="44"/>
        <v>0</v>
      </c>
      <c r="O299" s="2">
        <f>IF('PV IN'!$N$10="Yes",PVLoan!F299*'PV IN'!$E$8,0)</f>
        <v>0</v>
      </c>
    </row>
    <row r="300" spans="1:15" x14ac:dyDescent="0.25">
      <c r="B300" t="e">
        <f t="shared" si="36"/>
        <v>#N/A</v>
      </c>
      <c r="C300" s="2" t="str">
        <f t="shared" si="37"/>
        <v>0</v>
      </c>
      <c r="E300" s="10">
        <f t="shared" si="38"/>
        <v>0</v>
      </c>
      <c r="F300" s="2">
        <f t="shared" si="39"/>
        <v>0</v>
      </c>
      <c r="G300" s="2" t="str">
        <f>IF(ISERROR(B300),"-",IF(J299=0,0,SUM($F$33:F300)))</f>
        <v>-</v>
      </c>
      <c r="H300" s="2">
        <f t="shared" si="40"/>
        <v>0</v>
      </c>
      <c r="I300" s="2" t="str">
        <f>IF(ISERROR($B300),"-",IF(J299=0,0,SUM($H$33:H300)))</f>
        <v>-</v>
      </c>
      <c r="J300" s="2" t="str">
        <f t="shared" si="41"/>
        <v>-</v>
      </c>
      <c r="K300" s="2" t="str">
        <f t="shared" si="42"/>
        <v>-</v>
      </c>
      <c r="L300" s="2">
        <f t="shared" si="43"/>
        <v>0</v>
      </c>
      <c r="M300" s="2">
        <f t="shared" si="44"/>
        <v>0</v>
      </c>
      <c r="O300" s="2">
        <f>IF('PV IN'!$N$10="Yes",PVLoan!F300*'PV IN'!$E$8,0)</f>
        <v>0</v>
      </c>
    </row>
    <row r="301" spans="1:15" x14ac:dyDescent="0.25">
      <c r="B301" t="e">
        <f t="shared" si="36"/>
        <v>#N/A</v>
      </c>
      <c r="C301" s="2" t="str">
        <f t="shared" si="37"/>
        <v>0</v>
      </c>
      <c r="E301" s="10">
        <f t="shared" si="38"/>
        <v>0</v>
      </c>
      <c r="F301" s="2">
        <f t="shared" si="39"/>
        <v>0</v>
      </c>
      <c r="G301" s="2" t="str">
        <f>IF(ISERROR(B301),"-",IF(J300=0,0,SUM($F$33:F301)))</f>
        <v>-</v>
      </c>
      <c r="H301" s="2">
        <f t="shared" si="40"/>
        <v>0</v>
      </c>
      <c r="I301" s="2" t="str">
        <f>IF(ISERROR($B301),"-",IF(J300=0,0,SUM($H$33:H301)))</f>
        <v>-</v>
      </c>
      <c r="J301" s="2" t="str">
        <f t="shared" si="41"/>
        <v>-</v>
      </c>
      <c r="K301" s="2" t="str">
        <f t="shared" si="42"/>
        <v>-</v>
      </c>
      <c r="L301" s="2">
        <f t="shared" si="43"/>
        <v>0</v>
      </c>
      <c r="M301" s="2">
        <f t="shared" si="44"/>
        <v>0</v>
      </c>
      <c r="O301" s="2">
        <f>IF('PV IN'!$N$10="Yes",PVLoan!F301*'PV IN'!$E$8,0)</f>
        <v>0</v>
      </c>
    </row>
    <row r="302" spans="1:15" x14ac:dyDescent="0.25">
      <c r="B302" t="e">
        <f t="shared" si="36"/>
        <v>#N/A</v>
      </c>
      <c r="C302" s="2" t="str">
        <f t="shared" si="37"/>
        <v>0</v>
      </c>
      <c r="E302" s="10">
        <f t="shared" si="38"/>
        <v>0</v>
      </c>
      <c r="F302" s="2">
        <f t="shared" si="39"/>
        <v>0</v>
      </c>
      <c r="G302" s="2" t="str">
        <f>IF(ISERROR(B302),"-",IF(J301=0,0,SUM($F$33:F302)))</f>
        <v>-</v>
      </c>
      <c r="H302" s="2">
        <f t="shared" si="40"/>
        <v>0</v>
      </c>
      <c r="I302" s="2" t="str">
        <f>IF(ISERROR($B302),"-",IF(J301=0,0,SUM($H$33:H302)))</f>
        <v>-</v>
      </c>
      <c r="J302" s="2" t="str">
        <f t="shared" si="41"/>
        <v>-</v>
      </c>
      <c r="K302" s="2" t="str">
        <f t="shared" si="42"/>
        <v>-</v>
      </c>
      <c r="L302" s="2">
        <f t="shared" si="43"/>
        <v>0</v>
      </c>
      <c r="M302" s="2">
        <f t="shared" si="44"/>
        <v>0</v>
      </c>
      <c r="O302" s="2">
        <f>IF('PV IN'!$N$10="Yes",PVLoan!F302*'PV IN'!$E$8,0)</f>
        <v>0</v>
      </c>
    </row>
    <row r="303" spans="1:15" x14ac:dyDescent="0.25">
      <c r="B303" t="e">
        <f t="shared" si="36"/>
        <v>#N/A</v>
      </c>
      <c r="C303" s="2" t="str">
        <f t="shared" si="37"/>
        <v>0</v>
      </c>
      <c r="E303" s="10">
        <f t="shared" si="38"/>
        <v>0</v>
      </c>
      <c r="F303" s="2">
        <f t="shared" si="39"/>
        <v>0</v>
      </c>
      <c r="G303" s="2" t="str">
        <f>IF(ISERROR(B303),"-",IF(J302=0,0,SUM($F$33:F303)))</f>
        <v>-</v>
      </c>
      <c r="H303" s="2">
        <f t="shared" si="40"/>
        <v>0</v>
      </c>
      <c r="I303" s="2" t="str">
        <f>IF(ISERROR($B303),"-",IF(J302=0,0,SUM($H$33:H303)))</f>
        <v>-</v>
      </c>
      <c r="J303" s="2" t="str">
        <f t="shared" si="41"/>
        <v>-</v>
      </c>
      <c r="K303" s="2" t="str">
        <f t="shared" si="42"/>
        <v>-</v>
      </c>
      <c r="L303" s="2">
        <f t="shared" si="43"/>
        <v>0</v>
      </c>
      <c r="M303" s="2">
        <f t="shared" si="44"/>
        <v>0</v>
      </c>
      <c r="O303" s="2">
        <f>IF('PV IN'!$N$10="Yes",PVLoan!F303*'PV IN'!$E$8,0)</f>
        <v>0</v>
      </c>
    </row>
    <row r="304" spans="1:15" x14ac:dyDescent="0.25">
      <c r="B304" t="e">
        <f t="shared" si="36"/>
        <v>#N/A</v>
      </c>
      <c r="C304" s="2" t="str">
        <f t="shared" si="37"/>
        <v>0</v>
      </c>
      <c r="E304" s="10">
        <f t="shared" si="38"/>
        <v>0</v>
      </c>
      <c r="F304" s="2">
        <f t="shared" si="39"/>
        <v>0</v>
      </c>
      <c r="G304" s="2" t="str">
        <f>IF(ISERROR(B304),"-",IF(J303=0,0,SUM($F$33:F304)))</f>
        <v>-</v>
      </c>
      <c r="H304" s="2">
        <f t="shared" si="40"/>
        <v>0</v>
      </c>
      <c r="I304" s="2" t="str">
        <f>IF(ISERROR($B304),"-",IF(J303=0,0,SUM($H$33:H304)))</f>
        <v>-</v>
      </c>
      <c r="J304" s="2" t="str">
        <f t="shared" si="41"/>
        <v>-</v>
      </c>
      <c r="K304" s="2" t="str">
        <f t="shared" si="42"/>
        <v>-</v>
      </c>
      <c r="L304" s="2">
        <f t="shared" si="43"/>
        <v>0</v>
      </c>
      <c r="M304" s="2">
        <f t="shared" si="44"/>
        <v>0</v>
      </c>
      <c r="O304" s="2">
        <f>IF('PV IN'!$N$10="Yes",PVLoan!F304*'PV IN'!$E$8,0)</f>
        <v>0</v>
      </c>
    </row>
    <row r="305" spans="1:15" x14ac:dyDescent="0.25">
      <c r="B305" t="e">
        <f t="shared" si="36"/>
        <v>#N/A</v>
      </c>
      <c r="C305" s="2" t="str">
        <f t="shared" si="37"/>
        <v>0</v>
      </c>
      <c r="E305" s="10">
        <f t="shared" si="38"/>
        <v>0</v>
      </c>
      <c r="F305" s="2">
        <f t="shared" si="39"/>
        <v>0</v>
      </c>
      <c r="G305" s="2" t="str">
        <f>IF(ISERROR(B305),"-",IF(J304=0,0,SUM($F$33:F305)))</f>
        <v>-</v>
      </c>
      <c r="H305" s="2">
        <f t="shared" si="40"/>
        <v>0</v>
      </c>
      <c r="I305" s="2" t="str">
        <f>IF(ISERROR($B305),"-",IF(J304=0,0,SUM($H$33:H305)))</f>
        <v>-</v>
      </c>
      <c r="J305" s="2" t="str">
        <f t="shared" si="41"/>
        <v>-</v>
      </c>
      <c r="K305" s="2" t="str">
        <f t="shared" si="42"/>
        <v>-</v>
      </c>
      <c r="L305" s="2">
        <f t="shared" si="43"/>
        <v>0</v>
      </c>
      <c r="M305" s="2">
        <f t="shared" si="44"/>
        <v>0</v>
      </c>
      <c r="O305" s="2">
        <f>IF('PV IN'!$N$10="Yes",PVLoan!F305*'PV IN'!$E$8,0)</f>
        <v>0</v>
      </c>
    </row>
    <row r="306" spans="1:15" x14ac:dyDescent="0.25">
      <c r="B306" t="e">
        <f t="shared" si="36"/>
        <v>#N/A</v>
      </c>
      <c r="C306" s="2" t="str">
        <f t="shared" si="37"/>
        <v>0</v>
      </c>
      <c r="E306" s="10">
        <f t="shared" si="38"/>
        <v>0</v>
      </c>
      <c r="F306" s="2">
        <f t="shared" si="39"/>
        <v>0</v>
      </c>
      <c r="G306" s="2" t="str">
        <f>IF(ISERROR(B306),"-",IF(J305=0,0,SUM($F$33:F306)))</f>
        <v>-</v>
      </c>
      <c r="H306" s="2">
        <f t="shared" si="40"/>
        <v>0</v>
      </c>
      <c r="I306" s="2" t="str">
        <f>IF(ISERROR($B306),"-",IF(J305=0,0,SUM($H$33:H306)))</f>
        <v>-</v>
      </c>
      <c r="J306" s="2" t="str">
        <f t="shared" si="41"/>
        <v>-</v>
      </c>
      <c r="K306" s="2" t="str">
        <f t="shared" si="42"/>
        <v>-</v>
      </c>
      <c r="L306" s="2">
        <f t="shared" si="43"/>
        <v>0</v>
      </c>
      <c r="M306" s="2">
        <f t="shared" si="44"/>
        <v>0</v>
      </c>
      <c r="O306" s="2">
        <f>IF('PV IN'!$N$10="Yes",PVLoan!F306*'PV IN'!$E$8,0)</f>
        <v>0</v>
      </c>
    </row>
    <row r="307" spans="1:15" x14ac:dyDescent="0.25">
      <c r="B307" t="e">
        <f t="shared" si="36"/>
        <v>#N/A</v>
      </c>
      <c r="C307" s="2" t="str">
        <f t="shared" si="37"/>
        <v>0</v>
      </c>
      <c r="E307" s="10">
        <f t="shared" si="38"/>
        <v>0</v>
      </c>
      <c r="F307" s="2">
        <f t="shared" si="39"/>
        <v>0</v>
      </c>
      <c r="G307" s="2" t="str">
        <f>IF(ISERROR(B307),"-",IF(J306=0,0,SUM($F$33:F307)))</f>
        <v>-</v>
      </c>
      <c r="H307" s="2">
        <f t="shared" si="40"/>
        <v>0</v>
      </c>
      <c r="I307" s="2" t="str">
        <f>IF(ISERROR($B307),"-",IF(J306=0,0,SUM($H$33:H307)))</f>
        <v>-</v>
      </c>
      <c r="J307" s="2" t="str">
        <f t="shared" si="41"/>
        <v>-</v>
      </c>
      <c r="K307" s="2" t="str">
        <f t="shared" si="42"/>
        <v>-</v>
      </c>
      <c r="L307" s="2">
        <f t="shared" si="43"/>
        <v>0</v>
      </c>
      <c r="M307" s="2">
        <f t="shared" si="44"/>
        <v>0</v>
      </c>
      <c r="O307" s="2">
        <f>IF('PV IN'!$N$10="Yes",PVLoan!F307*'PV IN'!$E$8,0)</f>
        <v>0</v>
      </c>
    </row>
    <row r="308" spans="1:15" x14ac:dyDescent="0.25">
      <c r="A308">
        <v>23</v>
      </c>
      <c r="B308" t="e">
        <f t="shared" si="36"/>
        <v>#N/A</v>
      </c>
      <c r="C308" s="2" t="str">
        <f t="shared" si="37"/>
        <v>0</v>
      </c>
      <c r="E308" s="10">
        <f t="shared" si="38"/>
        <v>0</v>
      </c>
      <c r="F308" s="2">
        <f t="shared" si="39"/>
        <v>0</v>
      </c>
      <c r="G308" s="2" t="str">
        <f>IF(ISERROR(B308),"-",IF(J307=0,0,SUM($F$33:F308)))</f>
        <v>-</v>
      </c>
      <c r="H308" s="2">
        <f t="shared" si="40"/>
        <v>0</v>
      </c>
      <c r="I308" s="2" t="str">
        <f>IF(ISERROR($B308),"-",IF(J307=0,0,SUM($H$33:H308)))</f>
        <v>-</v>
      </c>
      <c r="J308" s="2" t="str">
        <f t="shared" si="41"/>
        <v>-</v>
      </c>
      <c r="K308" s="2" t="str">
        <f t="shared" si="42"/>
        <v>-</v>
      </c>
      <c r="L308" s="2">
        <f t="shared" si="43"/>
        <v>0</v>
      </c>
      <c r="M308" s="2">
        <f t="shared" si="44"/>
        <v>0</v>
      </c>
      <c r="O308" s="2">
        <f>IF('PV IN'!$N$10="Yes",PVLoan!F308*'PV IN'!$E$8,0)</f>
        <v>0</v>
      </c>
    </row>
    <row r="309" spans="1:15" x14ac:dyDescent="0.25">
      <c r="B309" t="e">
        <f t="shared" si="36"/>
        <v>#N/A</v>
      </c>
      <c r="C309" s="2" t="str">
        <f t="shared" si="37"/>
        <v>0</v>
      </c>
      <c r="E309" s="10">
        <f t="shared" si="38"/>
        <v>0</v>
      </c>
      <c r="F309" s="2">
        <f t="shared" si="39"/>
        <v>0</v>
      </c>
      <c r="G309" s="2" t="str">
        <f>IF(ISERROR(B309),"-",IF(J308=0,0,SUM($F$33:F309)))</f>
        <v>-</v>
      </c>
      <c r="H309" s="2">
        <f t="shared" si="40"/>
        <v>0</v>
      </c>
      <c r="I309" s="2" t="str">
        <f>IF(ISERROR($B309),"-",IF(J308=0,0,SUM($H$33:H309)))</f>
        <v>-</v>
      </c>
      <c r="J309" s="2" t="str">
        <f t="shared" si="41"/>
        <v>-</v>
      </c>
      <c r="K309" s="2" t="str">
        <f t="shared" si="42"/>
        <v>-</v>
      </c>
      <c r="L309" s="2">
        <f t="shared" si="43"/>
        <v>0</v>
      </c>
      <c r="M309" s="2">
        <f t="shared" si="44"/>
        <v>0</v>
      </c>
      <c r="O309" s="2">
        <f>IF('PV IN'!$N$10="Yes",PVLoan!F309*'PV IN'!$E$8,0)</f>
        <v>0</v>
      </c>
    </row>
    <row r="310" spans="1:15" x14ac:dyDescent="0.25">
      <c r="B310" t="e">
        <f t="shared" si="36"/>
        <v>#N/A</v>
      </c>
      <c r="C310" s="2" t="str">
        <f t="shared" si="37"/>
        <v>0</v>
      </c>
      <c r="E310" s="10">
        <f t="shared" si="38"/>
        <v>0</v>
      </c>
      <c r="F310" s="2">
        <f t="shared" si="39"/>
        <v>0</v>
      </c>
      <c r="G310" s="2" t="str">
        <f>IF(ISERROR(B310),"-",IF(J309=0,0,SUM($F$33:F310)))</f>
        <v>-</v>
      </c>
      <c r="H310" s="2">
        <f t="shared" si="40"/>
        <v>0</v>
      </c>
      <c r="I310" s="2" t="str">
        <f>IF(ISERROR($B310),"-",IF(J309=0,0,SUM($H$33:H310)))</f>
        <v>-</v>
      </c>
      <c r="J310" s="2" t="str">
        <f t="shared" si="41"/>
        <v>-</v>
      </c>
      <c r="K310" s="2" t="str">
        <f t="shared" si="42"/>
        <v>-</v>
      </c>
      <c r="L310" s="2">
        <f t="shared" si="43"/>
        <v>0</v>
      </c>
      <c r="M310" s="2">
        <f t="shared" si="44"/>
        <v>0</v>
      </c>
      <c r="O310" s="2">
        <f>IF('PV IN'!$N$10="Yes",PVLoan!F310*'PV IN'!$E$8,0)</f>
        <v>0</v>
      </c>
    </row>
    <row r="311" spans="1:15" x14ac:dyDescent="0.25">
      <c r="B311" t="e">
        <f t="shared" si="36"/>
        <v>#N/A</v>
      </c>
      <c r="C311" s="2" t="str">
        <f t="shared" si="37"/>
        <v>0</v>
      </c>
      <c r="E311" s="10">
        <f t="shared" si="38"/>
        <v>0</v>
      </c>
      <c r="F311" s="2">
        <f t="shared" si="39"/>
        <v>0</v>
      </c>
      <c r="G311" s="2" t="str">
        <f>IF(ISERROR(B311),"-",IF(J310=0,0,SUM($F$33:F311)))</f>
        <v>-</v>
      </c>
      <c r="H311" s="2">
        <f t="shared" si="40"/>
        <v>0</v>
      </c>
      <c r="I311" s="2" t="str">
        <f>IF(ISERROR($B311),"-",IF(J310=0,0,SUM($H$33:H311)))</f>
        <v>-</v>
      </c>
      <c r="J311" s="2" t="str">
        <f t="shared" si="41"/>
        <v>-</v>
      </c>
      <c r="K311" s="2" t="str">
        <f t="shared" si="42"/>
        <v>-</v>
      </c>
      <c r="L311" s="2">
        <f t="shared" si="43"/>
        <v>0</v>
      </c>
      <c r="M311" s="2">
        <f t="shared" si="44"/>
        <v>0</v>
      </c>
      <c r="O311" s="2">
        <f>IF('PV IN'!$N$10="Yes",PVLoan!F311*'PV IN'!$E$8,0)</f>
        <v>0</v>
      </c>
    </row>
    <row r="312" spans="1:15" x14ac:dyDescent="0.25">
      <c r="B312" t="e">
        <f t="shared" si="36"/>
        <v>#N/A</v>
      </c>
      <c r="C312" s="2" t="str">
        <f t="shared" si="37"/>
        <v>0</v>
      </c>
      <c r="E312" s="10">
        <f t="shared" si="38"/>
        <v>0</v>
      </c>
      <c r="F312" s="2">
        <f t="shared" si="39"/>
        <v>0</v>
      </c>
      <c r="G312" s="2" t="str">
        <f>IF(ISERROR(B312),"-",IF(J311=0,0,SUM($F$33:F312)))</f>
        <v>-</v>
      </c>
      <c r="H312" s="2">
        <f t="shared" si="40"/>
        <v>0</v>
      </c>
      <c r="I312" s="2" t="str">
        <f>IF(ISERROR($B312),"-",IF(J311=0,0,SUM($H$33:H312)))</f>
        <v>-</v>
      </c>
      <c r="J312" s="2" t="str">
        <f t="shared" si="41"/>
        <v>-</v>
      </c>
      <c r="K312" s="2" t="str">
        <f t="shared" si="42"/>
        <v>-</v>
      </c>
      <c r="L312" s="2">
        <f t="shared" si="43"/>
        <v>0</v>
      </c>
      <c r="M312" s="2">
        <f t="shared" si="44"/>
        <v>0</v>
      </c>
      <c r="O312" s="2">
        <f>IF('PV IN'!$N$10="Yes",PVLoan!F312*'PV IN'!$E$8,0)</f>
        <v>0</v>
      </c>
    </row>
    <row r="313" spans="1:15" x14ac:dyDescent="0.25">
      <c r="B313" t="e">
        <f t="shared" si="36"/>
        <v>#N/A</v>
      </c>
      <c r="C313" s="2" t="str">
        <f t="shared" si="37"/>
        <v>0</v>
      </c>
      <c r="E313" s="10">
        <f t="shared" si="38"/>
        <v>0</v>
      </c>
      <c r="F313" s="2">
        <f t="shared" si="39"/>
        <v>0</v>
      </c>
      <c r="G313" s="2" t="str">
        <f>IF(ISERROR(B313),"-",IF(J312=0,0,SUM($F$33:F313)))</f>
        <v>-</v>
      </c>
      <c r="H313" s="2">
        <f t="shared" si="40"/>
        <v>0</v>
      </c>
      <c r="I313" s="2" t="str">
        <f>IF(ISERROR($B313),"-",IF(J312=0,0,SUM($H$33:H313)))</f>
        <v>-</v>
      </c>
      <c r="J313" s="2" t="str">
        <f t="shared" si="41"/>
        <v>-</v>
      </c>
      <c r="K313" s="2" t="str">
        <f t="shared" si="42"/>
        <v>-</v>
      </c>
      <c r="L313" s="2">
        <f t="shared" si="43"/>
        <v>0</v>
      </c>
      <c r="M313" s="2">
        <f t="shared" si="44"/>
        <v>0</v>
      </c>
      <c r="O313" s="2">
        <f>IF('PV IN'!$N$10="Yes",PVLoan!F313*'PV IN'!$E$8,0)</f>
        <v>0</v>
      </c>
    </row>
    <row r="314" spans="1:15" x14ac:dyDescent="0.25">
      <c r="B314" t="e">
        <f t="shared" si="36"/>
        <v>#N/A</v>
      </c>
      <c r="C314" s="2" t="str">
        <f t="shared" si="37"/>
        <v>0</v>
      </c>
      <c r="E314" s="10">
        <f t="shared" si="38"/>
        <v>0</v>
      </c>
      <c r="F314" s="2">
        <f t="shared" si="39"/>
        <v>0</v>
      </c>
      <c r="G314" s="2" t="str">
        <f>IF(ISERROR(B314),"-",IF(J313=0,0,SUM($F$33:F314)))</f>
        <v>-</v>
      </c>
      <c r="H314" s="2">
        <f t="shared" si="40"/>
        <v>0</v>
      </c>
      <c r="I314" s="2" t="str">
        <f>IF(ISERROR($B314),"-",IF(J313=0,0,SUM($H$33:H314)))</f>
        <v>-</v>
      </c>
      <c r="J314" s="2" t="str">
        <f t="shared" si="41"/>
        <v>-</v>
      </c>
      <c r="K314" s="2" t="str">
        <f t="shared" si="42"/>
        <v>-</v>
      </c>
      <c r="L314" s="2">
        <f t="shared" si="43"/>
        <v>0</v>
      </c>
      <c r="M314" s="2">
        <f t="shared" si="44"/>
        <v>0</v>
      </c>
      <c r="O314" s="2">
        <f>IF('PV IN'!$N$10="Yes",PVLoan!F314*'PV IN'!$E$8,0)</f>
        <v>0</v>
      </c>
    </row>
    <row r="315" spans="1:15" x14ac:dyDescent="0.25">
      <c r="B315" t="e">
        <f t="shared" si="36"/>
        <v>#N/A</v>
      </c>
      <c r="C315" s="2" t="str">
        <f t="shared" si="37"/>
        <v>0</v>
      </c>
      <c r="E315" s="10">
        <f t="shared" si="38"/>
        <v>0</v>
      </c>
      <c r="F315" s="2">
        <f t="shared" si="39"/>
        <v>0</v>
      </c>
      <c r="G315" s="2" t="str">
        <f>IF(ISERROR(B315),"-",IF(J314=0,0,SUM($F$33:F315)))</f>
        <v>-</v>
      </c>
      <c r="H315" s="2">
        <f t="shared" si="40"/>
        <v>0</v>
      </c>
      <c r="I315" s="2" t="str">
        <f>IF(ISERROR($B315),"-",IF(J314=0,0,SUM($H$33:H315)))</f>
        <v>-</v>
      </c>
      <c r="J315" s="2" t="str">
        <f t="shared" si="41"/>
        <v>-</v>
      </c>
      <c r="K315" s="2" t="str">
        <f t="shared" si="42"/>
        <v>-</v>
      </c>
      <c r="L315" s="2">
        <f t="shared" si="43"/>
        <v>0</v>
      </c>
      <c r="M315" s="2">
        <f t="shared" si="44"/>
        <v>0</v>
      </c>
      <c r="O315" s="2">
        <f>IF('PV IN'!$N$10="Yes",PVLoan!F315*'PV IN'!$E$8,0)</f>
        <v>0</v>
      </c>
    </row>
    <row r="316" spans="1:15" x14ac:dyDescent="0.25">
      <c r="B316" t="e">
        <f t="shared" si="36"/>
        <v>#N/A</v>
      </c>
      <c r="C316" s="2" t="str">
        <f t="shared" si="37"/>
        <v>0</v>
      </c>
      <c r="E316" s="10">
        <f t="shared" si="38"/>
        <v>0</v>
      </c>
      <c r="F316" s="2">
        <f t="shared" si="39"/>
        <v>0</v>
      </c>
      <c r="G316" s="2" t="str">
        <f>IF(ISERROR(B316),"-",IF(J315=0,0,SUM($F$33:F316)))</f>
        <v>-</v>
      </c>
      <c r="H316" s="2">
        <f t="shared" si="40"/>
        <v>0</v>
      </c>
      <c r="I316" s="2" t="str">
        <f>IF(ISERROR($B316),"-",IF(J315=0,0,SUM($H$33:H316)))</f>
        <v>-</v>
      </c>
      <c r="J316" s="2" t="str">
        <f t="shared" si="41"/>
        <v>-</v>
      </c>
      <c r="K316" s="2" t="str">
        <f t="shared" si="42"/>
        <v>-</v>
      </c>
      <c r="L316" s="2">
        <f t="shared" si="43"/>
        <v>0</v>
      </c>
      <c r="M316" s="2">
        <f t="shared" si="44"/>
        <v>0</v>
      </c>
      <c r="O316" s="2">
        <f>IF('PV IN'!$N$10="Yes",PVLoan!F316*'PV IN'!$E$8,0)</f>
        <v>0</v>
      </c>
    </row>
    <row r="317" spans="1:15" x14ac:dyDescent="0.25">
      <c r="B317" t="e">
        <f t="shared" si="36"/>
        <v>#N/A</v>
      </c>
      <c r="C317" s="2" t="str">
        <f t="shared" si="37"/>
        <v>0</v>
      </c>
      <c r="E317" s="10">
        <f t="shared" si="38"/>
        <v>0</v>
      </c>
      <c r="F317" s="2">
        <f t="shared" si="39"/>
        <v>0</v>
      </c>
      <c r="G317" s="2" t="str">
        <f>IF(ISERROR(B317),"-",IF(J316=0,0,SUM($F$33:F317)))</f>
        <v>-</v>
      </c>
      <c r="H317" s="2">
        <f t="shared" si="40"/>
        <v>0</v>
      </c>
      <c r="I317" s="2" t="str">
        <f>IF(ISERROR($B317),"-",IF(J316=0,0,SUM($H$33:H317)))</f>
        <v>-</v>
      </c>
      <c r="J317" s="2" t="str">
        <f t="shared" si="41"/>
        <v>-</v>
      </c>
      <c r="K317" s="2" t="str">
        <f t="shared" si="42"/>
        <v>-</v>
      </c>
      <c r="L317" s="2">
        <f t="shared" si="43"/>
        <v>0</v>
      </c>
      <c r="M317" s="2">
        <f t="shared" si="44"/>
        <v>0</v>
      </c>
      <c r="O317" s="2">
        <f>IF('PV IN'!$N$10="Yes",PVLoan!F317*'PV IN'!$E$8,0)</f>
        <v>0</v>
      </c>
    </row>
    <row r="318" spans="1:15" x14ac:dyDescent="0.25">
      <c r="B318" t="e">
        <f t="shared" si="36"/>
        <v>#N/A</v>
      </c>
      <c r="C318" s="2" t="str">
        <f t="shared" si="37"/>
        <v>0</v>
      </c>
      <c r="E318" s="10">
        <f t="shared" si="38"/>
        <v>0</v>
      </c>
      <c r="F318" s="2">
        <f t="shared" si="39"/>
        <v>0</v>
      </c>
      <c r="G318" s="2" t="str">
        <f>IF(ISERROR(B318),"-",IF(J317=0,0,SUM($F$33:F318)))</f>
        <v>-</v>
      </c>
      <c r="H318" s="2">
        <f t="shared" si="40"/>
        <v>0</v>
      </c>
      <c r="I318" s="2" t="str">
        <f>IF(ISERROR($B318),"-",IF(J317=0,0,SUM($H$33:H318)))</f>
        <v>-</v>
      </c>
      <c r="J318" s="2" t="str">
        <f t="shared" si="41"/>
        <v>-</v>
      </c>
      <c r="K318" s="2" t="str">
        <f t="shared" si="42"/>
        <v>-</v>
      </c>
      <c r="L318" s="2">
        <f t="shared" si="43"/>
        <v>0</v>
      </c>
      <c r="M318" s="2">
        <f t="shared" si="44"/>
        <v>0</v>
      </c>
      <c r="O318" s="2">
        <f>IF('PV IN'!$N$10="Yes",PVLoan!F318*'PV IN'!$E$8,0)</f>
        <v>0</v>
      </c>
    </row>
    <row r="319" spans="1:15" x14ac:dyDescent="0.25">
      <c r="B319" t="e">
        <f t="shared" si="36"/>
        <v>#N/A</v>
      </c>
      <c r="C319" s="2" t="str">
        <f t="shared" si="37"/>
        <v>0</v>
      </c>
      <c r="E319" s="10">
        <f t="shared" si="38"/>
        <v>0</v>
      </c>
      <c r="F319" s="2">
        <f t="shared" si="39"/>
        <v>0</v>
      </c>
      <c r="G319" s="2" t="str">
        <f>IF(ISERROR(B319),"-",IF(J318=0,0,SUM($F$33:F319)))</f>
        <v>-</v>
      </c>
      <c r="H319" s="2">
        <f t="shared" si="40"/>
        <v>0</v>
      </c>
      <c r="I319" s="2" t="str">
        <f>IF(ISERROR($B319),"-",IF(J318=0,0,SUM($H$33:H319)))</f>
        <v>-</v>
      </c>
      <c r="J319" s="2" t="str">
        <f t="shared" si="41"/>
        <v>-</v>
      </c>
      <c r="K319" s="2" t="str">
        <f t="shared" si="42"/>
        <v>-</v>
      </c>
      <c r="L319" s="2">
        <f t="shared" si="43"/>
        <v>0</v>
      </c>
      <c r="M319" s="2">
        <f t="shared" si="44"/>
        <v>0</v>
      </c>
      <c r="O319" s="2">
        <f>IF('PV IN'!$N$10="Yes",PVLoan!F319*'PV IN'!$E$8,0)</f>
        <v>0</v>
      </c>
    </row>
    <row r="320" spans="1:15" x14ac:dyDescent="0.25">
      <c r="A320">
        <v>24</v>
      </c>
      <c r="B320" t="e">
        <f t="shared" si="36"/>
        <v>#N/A</v>
      </c>
      <c r="C320" s="2" t="str">
        <f t="shared" si="37"/>
        <v>0</v>
      </c>
      <c r="E320" s="10">
        <f t="shared" si="38"/>
        <v>0</v>
      </c>
      <c r="F320" s="2">
        <f t="shared" si="39"/>
        <v>0</v>
      </c>
      <c r="G320" s="2" t="str">
        <f>IF(ISERROR(B320),"-",IF(J319=0,0,SUM($F$33:F320)))</f>
        <v>-</v>
      </c>
      <c r="H320" s="2">
        <f t="shared" si="40"/>
        <v>0</v>
      </c>
      <c r="I320" s="2" t="str">
        <f>IF(ISERROR($B320),"-",IF(J319=0,0,SUM($H$33:H320)))</f>
        <v>-</v>
      </c>
      <c r="J320" s="2" t="str">
        <f t="shared" si="41"/>
        <v>-</v>
      </c>
      <c r="K320" s="2" t="str">
        <f t="shared" si="42"/>
        <v>-</v>
      </c>
      <c r="L320" s="2">
        <f t="shared" si="43"/>
        <v>0</v>
      </c>
      <c r="M320" s="2">
        <f t="shared" si="44"/>
        <v>0</v>
      </c>
      <c r="O320" s="2">
        <f>IF('PV IN'!$N$10="Yes",PVLoan!F320*'PV IN'!$E$8,0)</f>
        <v>0</v>
      </c>
    </row>
    <row r="321" spans="1:15" x14ac:dyDescent="0.25">
      <c r="B321" t="e">
        <f t="shared" si="36"/>
        <v>#N/A</v>
      </c>
      <c r="C321" s="2" t="str">
        <f t="shared" si="37"/>
        <v>0</v>
      </c>
      <c r="E321" s="10">
        <f t="shared" si="38"/>
        <v>0</v>
      </c>
      <c r="F321" s="2">
        <f t="shared" si="39"/>
        <v>0</v>
      </c>
      <c r="G321" s="2" t="str">
        <f>IF(ISERROR(B321),"-",IF(J320=0,0,SUM($F$33:F321)))</f>
        <v>-</v>
      </c>
      <c r="H321" s="2">
        <f t="shared" si="40"/>
        <v>0</v>
      </c>
      <c r="I321" s="2" t="str">
        <f>IF(ISERROR($B321),"-",IF(J320=0,0,SUM($H$33:H321)))</f>
        <v>-</v>
      </c>
      <c r="J321" s="2" t="str">
        <f t="shared" si="41"/>
        <v>-</v>
      </c>
      <c r="K321" s="2" t="str">
        <f t="shared" si="42"/>
        <v>-</v>
      </c>
      <c r="L321" s="2">
        <f t="shared" si="43"/>
        <v>0</v>
      </c>
      <c r="M321" s="2">
        <f t="shared" si="44"/>
        <v>0</v>
      </c>
      <c r="O321" s="2">
        <f>IF('PV IN'!$N$10="Yes",PVLoan!F321*'PV IN'!$E$8,0)</f>
        <v>0</v>
      </c>
    </row>
    <row r="322" spans="1:15" x14ac:dyDescent="0.25">
      <c r="B322" t="e">
        <f t="shared" si="36"/>
        <v>#N/A</v>
      </c>
      <c r="C322" s="2" t="str">
        <f t="shared" si="37"/>
        <v>0</v>
      </c>
      <c r="E322" s="10">
        <f t="shared" si="38"/>
        <v>0</v>
      </c>
      <c r="F322" s="2">
        <f t="shared" si="39"/>
        <v>0</v>
      </c>
      <c r="G322" s="2" t="str">
        <f>IF(ISERROR(B322),"-",IF(J321=0,0,SUM($F$33:F322)))</f>
        <v>-</v>
      </c>
      <c r="H322" s="2">
        <f t="shared" si="40"/>
        <v>0</v>
      </c>
      <c r="I322" s="2" t="str">
        <f>IF(ISERROR($B322),"-",IF(J321=0,0,SUM($H$33:H322)))</f>
        <v>-</v>
      </c>
      <c r="J322" s="2" t="str">
        <f t="shared" si="41"/>
        <v>-</v>
      </c>
      <c r="K322" s="2" t="str">
        <f t="shared" si="42"/>
        <v>-</v>
      </c>
      <c r="L322" s="2">
        <f t="shared" si="43"/>
        <v>0</v>
      </c>
      <c r="M322" s="2">
        <f t="shared" si="44"/>
        <v>0</v>
      </c>
      <c r="O322" s="2">
        <f>IF('PV IN'!$N$10="Yes",PVLoan!F322*'PV IN'!$E$8,0)</f>
        <v>0</v>
      </c>
    </row>
    <row r="323" spans="1:15" x14ac:dyDescent="0.25">
      <c r="B323" t="e">
        <f t="shared" si="36"/>
        <v>#N/A</v>
      </c>
      <c r="C323" s="2" t="str">
        <f t="shared" si="37"/>
        <v>0</v>
      </c>
      <c r="E323" s="10">
        <f t="shared" si="38"/>
        <v>0</v>
      </c>
      <c r="F323" s="2">
        <f t="shared" si="39"/>
        <v>0</v>
      </c>
      <c r="G323" s="2" t="str">
        <f>IF(ISERROR(B323),"-",IF(J322=0,0,SUM($F$33:F323)))</f>
        <v>-</v>
      </c>
      <c r="H323" s="2">
        <f t="shared" si="40"/>
        <v>0</v>
      </c>
      <c r="I323" s="2" t="str">
        <f>IF(ISERROR($B323),"-",IF(J322=0,0,SUM($H$33:H323)))</f>
        <v>-</v>
      </c>
      <c r="J323" s="2" t="str">
        <f t="shared" si="41"/>
        <v>-</v>
      </c>
      <c r="K323" s="2" t="str">
        <f t="shared" si="42"/>
        <v>-</v>
      </c>
      <c r="L323" s="2">
        <f t="shared" si="43"/>
        <v>0</v>
      </c>
      <c r="M323" s="2">
        <f t="shared" si="44"/>
        <v>0</v>
      </c>
      <c r="O323" s="2">
        <f>IF('PV IN'!$N$10="Yes",PVLoan!F323*'PV IN'!$E$8,0)</f>
        <v>0</v>
      </c>
    </row>
    <row r="324" spans="1:15" x14ac:dyDescent="0.25">
      <c r="B324" t="e">
        <f t="shared" si="36"/>
        <v>#N/A</v>
      </c>
      <c r="C324" s="2" t="str">
        <f t="shared" si="37"/>
        <v>0</v>
      </c>
      <c r="E324" s="10">
        <f t="shared" si="38"/>
        <v>0</v>
      </c>
      <c r="F324" s="2">
        <f t="shared" si="39"/>
        <v>0</v>
      </c>
      <c r="G324" s="2" t="str">
        <f>IF(ISERROR(B324),"-",IF(J323=0,0,SUM($F$33:F324)))</f>
        <v>-</v>
      </c>
      <c r="H324" s="2">
        <f t="shared" si="40"/>
        <v>0</v>
      </c>
      <c r="I324" s="2" t="str">
        <f>IF(ISERROR($B324),"-",IF(J323=0,0,SUM($H$33:H324)))</f>
        <v>-</v>
      </c>
      <c r="J324" s="2" t="str">
        <f t="shared" si="41"/>
        <v>-</v>
      </c>
      <c r="K324" s="2" t="str">
        <f t="shared" si="42"/>
        <v>-</v>
      </c>
      <c r="L324" s="2">
        <f t="shared" si="43"/>
        <v>0</v>
      </c>
      <c r="M324" s="2">
        <f t="shared" si="44"/>
        <v>0</v>
      </c>
      <c r="O324" s="2">
        <f>IF('PV IN'!$N$10="Yes",PVLoan!F324*'PV IN'!$E$8,0)</f>
        <v>0</v>
      </c>
    </row>
    <row r="325" spans="1:15" x14ac:dyDescent="0.25">
      <c r="B325" t="e">
        <f t="shared" si="36"/>
        <v>#N/A</v>
      </c>
      <c r="C325" s="2" t="str">
        <f t="shared" si="37"/>
        <v>0</v>
      </c>
      <c r="E325" s="10">
        <f t="shared" si="38"/>
        <v>0</v>
      </c>
      <c r="F325" s="2">
        <f t="shared" si="39"/>
        <v>0</v>
      </c>
      <c r="G325" s="2" t="str">
        <f>IF(ISERROR(B325),"-",IF(J324=0,0,SUM($F$33:F325)))</f>
        <v>-</v>
      </c>
      <c r="H325" s="2">
        <f t="shared" si="40"/>
        <v>0</v>
      </c>
      <c r="I325" s="2" t="str">
        <f>IF(ISERROR($B325),"-",IF(J324=0,0,SUM($H$33:H325)))</f>
        <v>-</v>
      </c>
      <c r="J325" s="2" t="str">
        <f t="shared" si="41"/>
        <v>-</v>
      </c>
      <c r="K325" s="2" t="str">
        <f t="shared" si="42"/>
        <v>-</v>
      </c>
      <c r="L325" s="2">
        <f t="shared" si="43"/>
        <v>0</v>
      </c>
      <c r="M325" s="2">
        <f t="shared" si="44"/>
        <v>0</v>
      </c>
      <c r="O325" s="2">
        <f>IF('PV IN'!$N$10="Yes",PVLoan!F325*'PV IN'!$E$8,0)</f>
        <v>0</v>
      </c>
    </row>
    <row r="326" spans="1:15" x14ac:dyDescent="0.25">
      <c r="B326" t="e">
        <f t="shared" si="36"/>
        <v>#N/A</v>
      </c>
      <c r="C326" s="2" t="str">
        <f t="shared" si="37"/>
        <v>0</v>
      </c>
      <c r="E326" s="10">
        <f t="shared" si="38"/>
        <v>0</v>
      </c>
      <c r="F326" s="2">
        <f t="shared" si="39"/>
        <v>0</v>
      </c>
      <c r="G326" s="2" t="str">
        <f>IF(ISERROR(B326),"-",IF(J325=0,0,SUM($F$33:F326)))</f>
        <v>-</v>
      </c>
      <c r="H326" s="2">
        <f t="shared" si="40"/>
        <v>0</v>
      </c>
      <c r="I326" s="2" t="str">
        <f>IF(ISERROR($B326),"-",IF(J325=0,0,SUM($H$33:H326)))</f>
        <v>-</v>
      </c>
      <c r="J326" s="2" t="str">
        <f t="shared" si="41"/>
        <v>-</v>
      </c>
      <c r="K326" s="2" t="str">
        <f t="shared" si="42"/>
        <v>-</v>
      </c>
      <c r="L326" s="2">
        <f t="shared" si="43"/>
        <v>0</v>
      </c>
      <c r="M326" s="2">
        <f t="shared" si="44"/>
        <v>0</v>
      </c>
      <c r="O326" s="2">
        <f>IF('PV IN'!$N$10="Yes",PVLoan!F326*'PV IN'!$E$8,0)</f>
        <v>0</v>
      </c>
    </row>
    <row r="327" spans="1:15" x14ac:dyDescent="0.25">
      <c r="B327" t="e">
        <f t="shared" si="36"/>
        <v>#N/A</v>
      </c>
      <c r="C327" s="2" t="str">
        <f t="shared" si="37"/>
        <v>0</v>
      </c>
      <c r="E327" s="10">
        <f t="shared" si="38"/>
        <v>0</v>
      </c>
      <c r="F327" s="2">
        <f t="shared" si="39"/>
        <v>0</v>
      </c>
      <c r="G327" s="2" t="str">
        <f>IF(ISERROR(B327),"-",IF(J326=0,0,SUM($F$33:F327)))</f>
        <v>-</v>
      </c>
      <c r="H327" s="2">
        <f t="shared" si="40"/>
        <v>0</v>
      </c>
      <c r="I327" s="2" t="str">
        <f>IF(ISERROR($B327),"-",IF(J326=0,0,SUM($H$33:H327)))</f>
        <v>-</v>
      </c>
      <c r="J327" s="2" t="str">
        <f t="shared" si="41"/>
        <v>-</v>
      </c>
      <c r="K327" s="2" t="str">
        <f t="shared" si="42"/>
        <v>-</v>
      </c>
      <c r="L327" s="2">
        <f t="shared" si="43"/>
        <v>0</v>
      </c>
      <c r="M327" s="2">
        <f t="shared" si="44"/>
        <v>0</v>
      </c>
      <c r="O327" s="2">
        <f>IF('PV IN'!$N$10="Yes",PVLoan!F327*'PV IN'!$E$8,0)</f>
        <v>0</v>
      </c>
    </row>
    <row r="328" spans="1:15" x14ac:dyDescent="0.25">
      <c r="B328" t="e">
        <f t="shared" si="36"/>
        <v>#N/A</v>
      </c>
      <c r="C328" s="2" t="str">
        <f t="shared" si="37"/>
        <v>0</v>
      </c>
      <c r="E328" s="10">
        <f t="shared" si="38"/>
        <v>0</v>
      </c>
      <c r="F328" s="2">
        <f t="shared" si="39"/>
        <v>0</v>
      </c>
      <c r="G328" s="2" t="str">
        <f>IF(ISERROR(B328),"-",IF(J327=0,0,SUM($F$33:F328)))</f>
        <v>-</v>
      </c>
      <c r="H328" s="2">
        <f t="shared" si="40"/>
        <v>0</v>
      </c>
      <c r="I328" s="2" t="str">
        <f>IF(ISERROR($B328),"-",IF(J327=0,0,SUM($H$33:H328)))</f>
        <v>-</v>
      </c>
      <c r="J328" s="2" t="str">
        <f t="shared" si="41"/>
        <v>-</v>
      </c>
      <c r="K328" s="2" t="str">
        <f t="shared" si="42"/>
        <v>-</v>
      </c>
      <c r="L328" s="2">
        <f t="shared" si="43"/>
        <v>0</v>
      </c>
      <c r="M328" s="2">
        <f t="shared" si="44"/>
        <v>0</v>
      </c>
      <c r="O328" s="2">
        <f>IF('PV IN'!$N$10="Yes",PVLoan!F328*'PV IN'!$E$8,0)</f>
        <v>0</v>
      </c>
    </row>
    <row r="329" spans="1:15" x14ac:dyDescent="0.25">
      <c r="B329" t="e">
        <f t="shared" si="36"/>
        <v>#N/A</v>
      </c>
      <c r="C329" s="2" t="str">
        <f t="shared" si="37"/>
        <v>0</v>
      </c>
      <c r="E329" s="10">
        <f t="shared" si="38"/>
        <v>0</v>
      </c>
      <c r="F329" s="2">
        <f t="shared" si="39"/>
        <v>0</v>
      </c>
      <c r="G329" s="2" t="str">
        <f>IF(ISERROR(B329),"-",IF(J328=0,0,SUM($F$33:F329)))</f>
        <v>-</v>
      </c>
      <c r="H329" s="2">
        <f t="shared" si="40"/>
        <v>0</v>
      </c>
      <c r="I329" s="2" t="str">
        <f>IF(ISERROR($B329),"-",IF(J328=0,0,SUM($H$33:H329)))</f>
        <v>-</v>
      </c>
      <c r="J329" s="2" t="str">
        <f t="shared" si="41"/>
        <v>-</v>
      </c>
      <c r="K329" s="2" t="str">
        <f t="shared" si="42"/>
        <v>-</v>
      </c>
      <c r="L329" s="2">
        <f t="shared" si="43"/>
        <v>0</v>
      </c>
      <c r="M329" s="2">
        <f t="shared" si="44"/>
        <v>0</v>
      </c>
      <c r="O329" s="2">
        <f>IF('PV IN'!$N$10="Yes",PVLoan!F329*'PV IN'!$E$8,0)</f>
        <v>0</v>
      </c>
    </row>
    <row r="330" spans="1:15" x14ac:dyDescent="0.25">
      <c r="B330" t="e">
        <f t="shared" si="36"/>
        <v>#N/A</v>
      </c>
      <c r="C330" s="2" t="str">
        <f t="shared" si="37"/>
        <v>0</v>
      </c>
      <c r="E330" s="10">
        <f t="shared" si="38"/>
        <v>0</v>
      </c>
      <c r="F330" s="2">
        <f t="shared" si="39"/>
        <v>0</v>
      </c>
      <c r="G330" s="2" t="str">
        <f>IF(ISERROR(B330),"-",IF(J329=0,0,SUM($F$33:F330)))</f>
        <v>-</v>
      </c>
      <c r="H330" s="2">
        <f t="shared" si="40"/>
        <v>0</v>
      </c>
      <c r="I330" s="2" t="str">
        <f>IF(ISERROR($B330),"-",IF(J329=0,0,SUM($H$33:H330)))</f>
        <v>-</v>
      </c>
      <c r="J330" s="2" t="str">
        <f t="shared" si="41"/>
        <v>-</v>
      </c>
      <c r="K330" s="2" t="str">
        <f t="shared" si="42"/>
        <v>-</v>
      </c>
      <c r="L330" s="2">
        <f t="shared" si="43"/>
        <v>0</v>
      </c>
      <c r="M330" s="2">
        <f t="shared" si="44"/>
        <v>0</v>
      </c>
      <c r="O330" s="2">
        <f>IF('PV IN'!$N$10="Yes",PVLoan!F330*'PV IN'!$E$8,0)</f>
        <v>0</v>
      </c>
    </row>
    <row r="331" spans="1:15" x14ac:dyDescent="0.25">
      <c r="B331" t="e">
        <f t="shared" si="36"/>
        <v>#N/A</v>
      </c>
      <c r="C331" s="2" t="str">
        <f t="shared" si="37"/>
        <v>0</v>
      </c>
      <c r="E331" s="10">
        <f t="shared" si="38"/>
        <v>0</v>
      </c>
      <c r="F331" s="2">
        <f t="shared" si="39"/>
        <v>0</v>
      </c>
      <c r="G331" s="2" t="str">
        <f>IF(ISERROR(B331),"-",IF(J330=0,0,SUM($F$33:F331)))</f>
        <v>-</v>
      </c>
      <c r="H331" s="2">
        <f t="shared" si="40"/>
        <v>0</v>
      </c>
      <c r="I331" s="2" t="str">
        <f>IF(ISERROR($B331),"-",IF(J330=0,0,SUM($H$33:H331)))</f>
        <v>-</v>
      </c>
      <c r="J331" s="2" t="str">
        <f t="shared" si="41"/>
        <v>-</v>
      </c>
      <c r="K331" s="2" t="str">
        <f t="shared" si="42"/>
        <v>-</v>
      </c>
      <c r="L331" s="2">
        <f t="shared" si="43"/>
        <v>0</v>
      </c>
      <c r="M331" s="2">
        <f t="shared" si="44"/>
        <v>0</v>
      </c>
      <c r="O331" s="2">
        <f>IF('PV IN'!$N$10="Yes",PVLoan!F331*'PV IN'!$E$8,0)</f>
        <v>0</v>
      </c>
    </row>
    <row r="332" spans="1:15" x14ac:dyDescent="0.25">
      <c r="A332">
        <v>25</v>
      </c>
      <c r="B332" t="e">
        <f t="shared" si="36"/>
        <v>#N/A</v>
      </c>
      <c r="C332" s="2" t="str">
        <f t="shared" si="37"/>
        <v>0</v>
      </c>
      <c r="E332" s="10">
        <f t="shared" si="38"/>
        <v>0</v>
      </c>
      <c r="F332" s="2">
        <f t="shared" si="39"/>
        <v>0</v>
      </c>
      <c r="G332" s="2" t="str">
        <f>IF(ISERROR(B332),"-",IF(J331=0,0,SUM($F$33:F332)))</f>
        <v>-</v>
      </c>
      <c r="H332" s="2">
        <f t="shared" si="40"/>
        <v>0</v>
      </c>
      <c r="I332" s="2" t="str">
        <f>IF(ISERROR($B332),"-",IF(J331=0,0,SUM($H$33:H332)))</f>
        <v>-</v>
      </c>
      <c r="J332" s="2" t="str">
        <f t="shared" si="41"/>
        <v>-</v>
      </c>
      <c r="K332" s="2" t="str">
        <f t="shared" si="42"/>
        <v>-</v>
      </c>
      <c r="L332" s="2">
        <f t="shared" si="43"/>
        <v>0</v>
      </c>
      <c r="M332" s="2">
        <f t="shared" si="44"/>
        <v>0</v>
      </c>
      <c r="O332" s="2">
        <f>IF('PV IN'!$N$10="Yes",PVLoan!F332*'PV IN'!$E$8,0)</f>
        <v>0</v>
      </c>
    </row>
    <row r="333" spans="1:15" x14ac:dyDescent="0.25">
      <c r="B333" t="e">
        <f t="shared" si="36"/>
        <v>#N/A</v>
      </c>
      <c r="C333" s="2" t="str">
        <f t="shared" si="37"/>
        <v>0</v>
      </c>
      <c r="E333" s="10">
        <f t="shared" si="38"/>
        <v>0</v>
      </c>
      <c r="F333" s="2">
        <f t="shared" si="39"/>
        <v>0</v>
      </c>
      <c r="G333" s="2" t="str">
        <f>IF(ISERROR(B333),"-",IF(J332=0,0,SUM($F$33:F333)))</f>
        <v>-</v>
      </c>
      <c r="H333" s="2">
        <f t="shared" si="40"/>
        <v>0</v>
      </c>
      <c r="I333" s="2" t="str">
        <f>IF(ISERROR($B333),"-",IF(J332=0,0,SUM($H$33:H333)))</f>
        <v>-</v>
      </c>
      <c r="J333" s="2" t="str">
        <f t="shared" si="41"/>
        <v>-</v>
      </c>
      <c r="K333" s="2" t="str">
        <f t="shared" si="42"/>
        <v>-</v>
      </c>
      <c r="L333" s="2">
        <f t="shared" si="43"/>
        <v>0</v>
      </c>
      <c r="M333" s="2">
        <f t="shared" si="44"/>
        <v>0</v>
      </c>
      <c r="O333" s="2">
        <f>IF('PV IN'!$N$10="Yes",PVLoan!F333*'PV IN'!$E$8,0)</f>
        <v>0</v>
      </c>
    </row>
    <row r="334" spans="1:15" x14ac:dyDescent="0.25">
      <c r="B334" t="e">
        <f t="shared" si="36"/>
        <v>#N/A</v>
      </c>
      <c r="C334" s="2" t="str">
        <f t="shared" si="37"/>
        <v>0</v>
      </c>
      <c r="E334" s="10">
        <f t="shared" si="38"/>
        <v>0</v>
      </c>
      <c r="F334" s="2">
        <f t="shared" si="39"/>
        <v>0</v>
      </c>
      <c r="G334" s="2" t="str">
        <f>IF(ISERROR(B334),"-",IF(J333=0,0,SUM($F$33:F334)))</f>
        <v>-</v>
      </c>
      <c r="H334" s="2">
        <f t="shared" si="40"/>
        <v>0</v>
      </c>
      <c r="I334" s="2" t="str">
        <f>IF(ISERROR($B334),"-",IF(J333=0,0,SUM($H$33:H334)))</f>
        <v>-</v>
      </c>
      <c r="J334" s="2" t="str">
        <f t="shared" si="41"/>
        <v>-</v>
      </c>
      <c r="K334" s="2" t="str">
        <f t="shared" si="42"/>
        <v>-</v>
      </c>
      <c r="L334" s="2">
        <f t="shared" si="43"/>
        <v>0</v>
      </c>
      <c r="M334" s="2">
        <f t="shared" si="44"/>
        <v>0</v>
      </c>
      <c r="O334" s="2">
        <f>IF('PV IN'!$N$10="Yes",PVLoan!F334*'PV IN'!$E$8,0)</f>
        <v>0</v>
      </c>
    </row>
    <row r="335" spans="1:15" x14ac:dyDescent="0.25">
      <c r="B335" t="e">
        <f t="shared" si="36"/>
        <v>#N/A</v>
      </c>
      <c r="C335" s="2" t="str">
        <f t="shared" si="37"/>
        <v>0</v>
      </c>
      <c r="E335" s="10">
        <f t="shared" si="38"/>
        <v>0</v>
      </c>
      <c r="F335" s="2">
        <f t="shared" si="39"/>
        <v>0</v>
      </c>
      <c r="G335" s="2" t="str">
        <f>IF(ISERROR(B335),"-",IF(J334=0,0,SUM($F$33:F335)))</f>
        <v>-</v>
      </c>
      <c r="H335" s="2">
        <f t="shared" si="40"/>
        <v>0</v>
      </c>
      <c r="I335" s="2" t="str">
        <f>IF(ISERROR($B335),"-",IF(J334=0,0,SUM($H$33:H335)))</f>
        <v>-</v>
      </c>
      <c r="J335" s="2" t="str">
        <f t="shared" si="41"/>
        <v>-</v>
      </c>
      <c r="K335" s="2" t="str">
        <f t="shared" si="42"/>
        <v>-</v>
      </c>
      <c r="L335" s="2">
        <f t="shared" si="43"/>
        <v>0</v>
      </c>
      <c r="M335" s="2">
        <f t="shared" si="44"/>
        <v>0</v>
      </c>
      <c r="O335" s="2">
        <f>IF('PV IN'!$N$10="Yes",PVLoan!F335*'PV IN'!$E$8,0)</f>
        <v>0</v>
      </c>
    </row>
    <row r="336" spans="1:15" x14ac:dyDescent="0.25">
      <c r="B336" t="e">
        <f t="shared" si="36"/>
        <v>#N/A</v>
      </c>
      <c r="C336" s="2" t="str">
        <f t="shared" si="37"/>
        <v>0</v>
      </c>
      <c r="E336" s="10">
        <f t="shared" si="38"/>
        <v>0</v>
      </c>
      <c r="F336" s="2">
        <f t="shared" si="39"/>
        <v>0</v>
      </c>
      <c r="G336" s="2" t="str">
        <f>IF(ISERROR(B336),"-",IF(J335=0,0,SUM($F$33:F336)))</f>
        <v>-</v>
      </c>
      <c r="H336" s="2">
        <f t="shared" si="40"/>
        <v>0</v>
      </c>
      <c r="I336" s="2" t="str">
        <f>IF(ISERROR($B336),"-",IF(J335=0,0,SUM($H$33:H336)))</f>
        <v>-</v>
      </c>
      <c r="J336" s="2" t="str">
        <f t="shared" si="41"/>
        <v>-</v>
      </c>
      <c r="K336" s="2" t="str">
        <f t="shared" si="42"/>
        <v>-</v>
      </c>
      <c r="L336" s="2">
        <f t="shared" si="43"/>
        <v>0</v>
      </c>
      <c r="M336" s="2">
        <f t="shared" si="44"/>
        <v>0</v>
      </c>
      <c r="O336" s="2">
        <f>IF('PV IN'!$N$10="Yes",PVLoan!F336*'PV IN'!$E$8,0)</f>
        <v>0</v>
      </c>
    </row>
    <row r="337" spans="1:15" x14ac:dyDescent="0.25">
      <c r="B337" t="e">
        <f t="shared" si="36"/>
        <v>#N/A</v>
      </c>
      <c r="C337" s="2" t="str">
        <f t="shared" si="37"/>
        <v>0</v>
      </c>
      <c r="E337" s="10">
        <f t="shared" si="38"/>
        <v>0</v>
      </c>
      <c r="F337" s="2">
        <f t="shared" si="39"/>
        <v>0</v>
      </c>
      <c r="G337" s="2" t="str">
        <f>IF(ISERROR(B337),"-",IF(J336=0,0,SUM($F$33:F337)))</f>
        <v>-</v>
      </c>
      <c r="H337" s="2">
        <f t="shared" si="40"/>
        <v>0</v>
      </c>
      <c r="I337" s="2" t="str">
        <f>IF(ISERROR($B337),"-",IF(J336=0,0,SUM($H$33:H337)))</f>
        <v>-</v>
      </c>
      <c r="J337" s="2" t="str">
        <f t="shared" si="41"/>
        <v>-</v>
      </c>
      <c r="K337" s="2" t="str">
        <f t="shared" si="42"/>
        <v>-</v>
      </c>
      <c r="L337" s="2">
        <f t="shared" si="43"/>
        <v>0</v>
      </c>
      <c r="M337" s="2">
        <f t="shared" si="44"/>
        <v>0</v>
      </c>
      <c r="O337" s="2">
        <f>IF('PV IN'!$N$10="Yes",PVLoan!F337*'PV IN'!$E$8,0)</f>
        <v>0</v>
      </c>
    </row>
    <row r="338" spans="1:15" x14ac:dyDescent="0.25">
      <c r="B338" t="e">
        <f t="shared" si="36"/>
        <v>#N/A</v>
      </c>
      <c r="C338" s="2" t="str">
        <f t="shared" si="37"/>
        <v>0</v>
      </c>
      <c r="E338" s="10">
        <f t="shared" si="38"/>
        <v>0</v>
      </c>
      <c r="F338" s="2">
        <f t="shared" si="39"/>
        <v>0</v>
      </c>
      <c r="G338" s="2" t="str">
        <f>IF(ISERROR(B338),"-",IF(J337=0,0,SUM($F$33:F338)))</f>
        <v>-</v>
      </c>
      <c r="H338" s="2">
        <f t="shared" si="40"/>
        <v>0</v>
      </c>
      <c r="I338" s="2" t="str">
        <f>IF(ISERROR($B338),"-",IF(J337=0,0,SUM($H$33:H338)))</f>
        <v>-</v>
      </c>
      <c r="J338" s="2" t="str">
        <f t="shared" si="41"/>
        <v>-</v>
      </c>
      <c r="K338" s="2" t="str">
        <f t="shared" si="42"/>
        <v>-</v>
      </c>
      <c r="L338" s="2">
        <f t="shared" si="43"/>
        <v>0</v>
      </c>
      <c r="M338" s="2">
        <f t="shared" si="44"/>
        <v>0</v>
      </c>
      <c r="O338" s="2">
        <f>IF('PV IN'!$N$10="Yes",PVLoan!F338*'PV IN'!$E$8,0)</f>
        <v>0</v>
      </c>
    </row>
    <row r="339" spans="1:15" x14ac:dyDescent="0.25">
      <c r="B339" t="e">
        <f t="shared" si="36"/>
        <v>#N/A</v>
      </c>
      <c r="C339" s="2" t="str">
        <f t="shared" si="37"/>
        <v>0</v>
      </c>
      <c r="E339" s="10">
        <f t="shared" si="38"/>
        <v>0</v>
      </c>
      <c r="F339" s="2">
        <f t="shared" si="39"/>
        <v>0</v>
      </c>
      <c r="G339" s="2" t="str">
        <f>IF(ISERROR(B339),"-",IF(J338=0,0,SUM($F$33:F339)))</f>
        <v>-</v>
      </c>
      <c r="H339" s="2">
        <f t="shared" si="40"/>
        <v>0</v>
      </c>
      <c r="I339" s="2" t="str">
        <f>IF(ISERROR($B339),"-",IF(J338=0,0,SUM($H$33:H339)))</f>
        <v>-</v>
      </c>
      <c r="J339" s="2" t="str">
        <f t="shared" si="41"/>
        <v>-</v>
      </c>
      <c r="K339" s="2" t="str">
        <f t="shared" si="42"/>
        <v>-</v>
      </c>
      <c r="L339" s="2">
        <f t="shared" si="43"/>
        <v>0</v>
      </c>
      <c r="M339" s="2">
        <f t="shared" si="44"/>
        <v>0</v>
      </c>
      <c r="O339" s="2">
        <f>IF('PV IN'!$N$10="Yes",PVLoan!F339*'PV IN'!$E$8,0)</f>
        <v>0</v>
      </c>
    </row>
    <row r="340" spans="1:15" x14ac:dyDescent="0.25">
      <c r="B340" t="e">
        <f t="shared" si="36"/>
        <v>#N/A</v>
      </c>
      <c r="C340" s="2" t="str">
        <f t="shared" si="37"/>
        <v>0</v>
      </c>
      <c r="E340" s="10">
        <f t="shared" si="38"/>
        <v>0</v>
      </c>
      <c r="F340" s="2">
        <f t="shared" si="39"/>
        <v>0</v>
      </c>
      <c r="G340" s="2" t="str">
        <f>IF(ISERROR(B340),"-",IF(J339=0,0,SUM($F$33:F340)))</f>
        <v>-</v>
      </c>
      <c r="H340" s="2">
        <f t="shared" si="40"/>
        <v>0</v>
      </c>
      <c r="I340" s="2" t="str">
        <f>IF(ISERROR($B340),"-",IF(J339=0,0,SUM($H$33:H340)))</f>
        <v>-</v>
      </c>
      <c r="J340" s="2" t="str">
        <f t="shared" si="41"/>
        <v>-</v>
      </c>
      <c r="K340" s="2" t="str">
        <f t="shared" si="42"/>
        <v>-</v>
      </c>
      <c r="L340" s="2">
        <f t="shared" si="43"/>
        <v>0</v>
      </c>
      <c r="M340" s="2">
        <f t="shared" si="44"/>
        <v>0</v>
      </c>
      <c r="O340" s="2">
        <f>IF('PV IN'!$N$10="Yes",PVLoan!F340*'PV IN'!$E$8,0)</f>
        <v>0</v>
      </c>
    </row>
    <row r="341" spans="1:15" x14ac:dyDescent="0.25">
      <c r="B341" t="e">
        <f t="shared" si="36"/>
        <v>#N/A</v>
      </c>
      <c r="C341" s="2" t="str">
        <f t="shared" si="37"/>
        <v>0</v>
      </c>
      <c r="E341" s="10">
        <f t="shared" si="38"/>
        <v>0</v>
      </c>
      <c r="F341" s="2">
        <f t="shared" si="39"/>
        <v>0</v>
      </c>
      <c r="G341" s="2" t="str">
        <f>IF(ISERROR(B341),"-",IF(J340=0,0,SUM($F$33:F341)))</f>
        <v>-</v>
      </c>
      <c r="H341" s="2">
        <f t="shared" si="40"/>
        <v>0</v>
      </c>
      <c r="I341" s="2" t="str">
        <f>IF(ISERROR($B341),"-",IF(J340=0,0,SUM($H$33:H341)))</f>
        <v>-</v>
      </c>
      <c r="J341" s="2" t="str">
        <f t="shared" si="41"/>
        <v>-</v>
      </c>
      <c r="K341" s="2" t="str">
        <f t="shared" si="42"/>
        <v>-</v>
      </c>
      <c r="L341" s="2">
        <f t="shared" si="43"/>
        <v>0</v>
      </c>
      <c r="M341" s="2">
        <f t="shared" si="44"/>
        <v>0</v>
      </c>
      <c r="O341" s="2">
        <f>IF('PV IN'!$N$10="Yes",PVLoan!F341*'PV IN'!$E$8,0)</f>
        <v>0</v>
      </c>
    </row>
    <row r="342" spans="1:15" x14ac:dyDescent="0.25">
      <c r="B342" t="e">
        <f t="shared" si="36"/>
        <v>#N/A</v>
      </c>
      <c r="C342" s="2" t="str">
        <f t="shared" si="37"/>
        <v>0</v>
      </c>
      <c r="E342" s="10">
        <f t="shared" si="38"/>
        <v>0</v>
      </c>
      <c r="F342" s="2">
        <f t="shared" si="39"/>
        <v>0</v>
      </c>
      <c r="G342" s="2" t="str">
        <f>IF(ISERROR(B342),"-",IF(J341=0,0,SUM($F$33:F342)))</f>
        <v>-</v>
      </c>
      <c r="H342" s="2">
        <f t="shared" si="40"/>
        <v>0</v>
      </c>
      <c r="I342" s="2" t="str">
        <f>IF(ISERROR($B342),"-",IF(J341=0,0,SUM($H$33:H342)))</f>
        <v>-</v>
      </c>
      <c r="J342" s="2" t="str">
        <f t="shared" si="41"/>
        <v>-</v>
      </c>
      <c r="K342" s="2" t="str">
        <f t="shared" si="42"/>
        <v>-</v>
      </c>
      <c r="L342" s="2">
        <f t="shared" si="43"/>
        <v>0</v>
      </c>
      <c r="M342" s="2">
        <f t="shared" si="44"/>
        <v>0</v>
      </c>
      <c r="O342" s="2">
        <f>IF('PV IN'!$N$10="Yes",PVLoan!F342*'PV IN'!$E$8,0)</f>
        <v>0</v>
      </c>
    </row>
    <row r="343" spans="1:15" x14ac:dyDescent="0.25">
      <c r="B343" t="e">
        <f t="shared" si="36"/>
        <v>#N/A</v>
      </c>
      <c r="C343" s="2" t="str">
        <f t="shared" si="37"/>
        <v>0</v>
      </c>
      <c r="E343" s="10">
        <f t="shared" si="38"/>
        <v>0</v>
      </c>
      <c r="F343" s="2">
        <f t="shared" si="39"/>
        <v>0</v>
      </c>
      <c r="G343" s="2" t="str">
        <f>IF(ISERROR(B343),"-",IF(J342=0,0,SUM($F$33:F343)))</f>
        <v>-</v>
      </c>
      <c r="H343" s="2">
        <f t="shared" si="40"/>
        <v>0</v>
      </c>
      <c r="I343" s="2" t="str">
        <f>IF(ISERROR($B343),"-",IF(J342=0,0,SUM($H$33:H343)))</f>
        <v>-</v>
      </c>
      <c r="J343" s="2" t="str">
        <f t="shared" si="41"/>
        <v>-</v>
      </c>
      <c r="K343" s="2" t="str">
        <f t="shared" si="42"/>
        <v>-</v>
      </c>
      <c r="L343" s="2">
        <f t="shared" si="43"/>
        <v>0</v>
      </c>
      <c r="M343" s="2">
        <f t="shared" si="44"/>
        <v>0</v>
      </c>
      <c r="O343" s="2">
        <f>IF('PV IN'!$N$10="Yes",PVLoan!F343*'PV IN'!$E$8,0)</f>
        <v>0</v>
      </c>
    </row>
    <row r="344" spans="1:15" x14ac:dyDescent="0.25">
      <c r="A344">
        <v>26</v>
      </c>
      <c r="B344" t="e">
        <f t="shared" si="36"/>
        <v>#N/A</v>
      </c>
      <c r="C344" s="2" t="str">
        <f t="shared" si="37"/>
        <v>0</v>
      </c>
      <c r="E344" s="10">
        <f t="shared" si="38"/>
        <v>0</v>
      </c>
      <c r="F344" s="2">
        <f t="shared" si="39"/>
        <v>0</v>
      </c>
      <c r="G344" s="2" t="str">
        <f>IF(ISERROR(B344),"-",IF(J343=0,0,SUM($F$33:F344)))</f>
        <v>-</v>
      </c>
      <c r="H344" s="2">
        <f t="shared" si="40"/>
        <v>0</v>
      </c>
      <c r="I344" s="2" t="str">
        <f>IF(ISERROR($B344),"-",IF(J343=0,0,SUM($H$33:H344)))</f>
        <v>-</v>
      </c>
      <c r="J344" s="2" t="str">
        <f t="shared" si="41"/>
        <v>-</v>
      </c>
      <c r="K344" s="2" t="str">
        <f t="shared" si="42"/>
        <v>-</v>
      </c>
      <c r="L344" s="2">
        <f t="shared" si="43"/>
        <v>0</v>
      </c>
      <c r="M344" s="2">
        <f t="shared" si="44"/>
        <v>0</v>
      </c>
      <c r="O344" s="2">
        <f>IF('PV IN'!$N$10="Yes",PVLoan!F344*'PV IN'!$E$8,0)</f>
        <v>0</v>
      </c>
    </row>
    <row r="345" spans="1:15" x14ac:dyDescent="0.25">
      <c r="B345" t="e">
        <f t="shared" si="36"/>
        <v>#N/A</v>
      </c>
      <c r="C345" s="2" t="str">
        <f t="shared" si="37"/>
        <v>0</v>
      </c>
      <c r="E345" s="10">
        <f t="shared" si="38"/>
        <v>0</v>
      </c>
      <c r="F345" s="2">
        <f t="shared" si="39"/>
        <v>0</v>
      </c>
      <c r="G345" s="2" t="str">
        <f>IF(ISERROR(B345),"-",IF(J344=0,0,SUM($F$33:F345)))</f>
        <v>-</v>
      </c>
      <c r="H345" s="2">
        <f t="shared" si="40"/>
        <v>0</v>
      </c>
      <c r="I345" s="2" t="str">
        <f>IF(ISERROR($B345),"-",IF(J344=0,0,SUM($H$33:H345)))</f>
        <v>-</v>
      </c>
      <c r="J345" s="2" t="str">
        <f t="shared" si="41"/>
        <v>-</v>
      </c>
      <c r="K345" s="2" t="str">
        <f t="shared" si="42"/>
        <v>-</v>
      </c>
      <c r="L345" s="2">
        <f t="shared" si="43"/>
        <v>0</v>
      </c>
      <c r="M345" s="2">
        <f t="shared" si="44"/>
        <v>0</v>
      </c>
      <c r="O345" s="2">
        <f>IF('PV IN'!$N$10="Yes",PVLoan!F345*'PV IN'!$E$8,0)</f>
        <v>0</v>
      </c>
    </row>
    <row r="346" spans="1:15" x14ac:dyDescent="0.25">
      <c r="B346" t="e">
        <f t="shared" si="36"/>
        <v>#N/A</v>
      </c>
      <c r="C346" s="2" t="str">
        <f t="shared" si="37"/>
        <v>0</v>
      </c>
      <c r="E346" s="10">
        <f t="shared" si="38"/>
        <v>0</v>
      </c>
      <c r="F346" s="2">
        <f t="shared" si="39"/>
        <v>0</v>
      </c>
      <c r="G346" s="2" t="str">
        <f>IF(ISERROR(B346),"-",IF(J345=0,0,SUM($F$33:F346)))</f>
        <v>-</v>
      </c>
      <c r="H346" s="2">
        <f t="shared" si="40"/>
        <v>0</v>
      </c>
      <c r="I346" s="2" t="str">
        <f>IF(ISERROR($B346),"-",IF(J345=0,0,SUM($H$33:H346)))</f>
        <v>-</v>
      </c>
      <c r="J346" s="2" t="str">
        <f t="shared" si="41"/>
        <v>-</v>
      </c>
      <c r="K346" s="2" t="str">
        <f t="shared" si="42"/>
        <v>-</v>
      </c>
      <c r="L346" s="2">
        <f t="shared" si="43"/>
        <v>0</v>
      </c>
      <c r="M346" s="2">
        <f t="shared" si="44"/>
        <v>0</v>
      </c>
      <c r="O346" s="2">
        <f>IF('PV IN'!$N$10="Yes",PVLoan!F346*'PV IN'!$E$8,0)</f>
        <v>0</v>
      </c>
    </row>
    <row r="347" spans="1:15" x14ac:dyDescent="0.25">
      <c r="B347" t="e">
        <f t="shared" si="36"/>
        <v>#N/A</v>
      </c>
      <c r="C347" s="2" t="str">
        <f t="shared" si="37"/>
        <v>0</v>
      </c>
      <c r="E347" s="10">
        <f t="shared" si="38"/>
        <v>0</v>
      </c>
      <c r="F347" s="2">
        <f t="shared" si="39"/>
        <v>0</v>
      </c>
      <c r="G347" s="2" t="str">
        <f>IF(ISERROR(B347),"-",IF(J346=0,0,SUM($F$33:F347)))</f>
        <v>-</v>
      </c>
      <c r="H347" s="2">
        <f t="shared" si="40"/>
        <v>0</v>
      </c>
      <c r="I347" s="2" t="str">
        <f>IF(ISERROR($B347),"-",IF(J346=0,0,SUM($H$33:H347)))</f>
        <v>-</v>
      </c>
      <c r="J347" s="2" t="str">
        <f t="shared" si="41"/>
        <v>-</v>
      </c>
      <c r="K347" s="2" t="str">
        <f t="shared" si="42"/>
        <v>-</v>
      </c>
      <c r="L347" s="2">
        <f t="shared" si="43"/>
        <v>0</v>
      </c>
      <c r="M347" s="2">
        <f t="shared" si="44"/>
        <v>0</v>
      </c>
      <c r="O347" s="2">
        <f>IF('PV IN'!$N$10="Yes",PVLoan!F347*'PV IN'!$E$8,0)</f>
        <v>0</v>
      </c>
    </row>
    <row r="348" spans="1:15" x14ac:dyDescent="0.25">
      <c r="B348" t="e">
        <f t="shared" si="36"/>
        <v>#N/A</v>
      </c>
      <c r="C348" s="2" t="str">
        <f t="shared" si="37"/>
        <v>0</v>
      </c>
      <c r="E348" s="10">
        <f t="shared" si="38"/>
        <v>0</v>
      </c>
      <c r="F348" s="2">
        <f t="shared" si="39"/>
        <v>0</v>
      </c>
      <c r="G348" s="2" t="str">
        <f>IF(ISERROR(B348),"-",IF(J347=0,0,SUM($F$33:F348)))</f>
        <v>-</v>
      </c>
      <c r="H348" s="2">
        <f t="shared" si="40"/>
        <v>0</v>
      </c>
      <c r="I348" s="2" t="str">
        <f>IF(ISERROR($B348),"-",IF(J347=0,0,SUM($H$33:H348)))</f>
        <v>-</v>
      </c>
      <c r="J348" s="2" t="str">
        <f t="shared" si="41"/>
        <v>-</v>
      </c>
      <c r="K348" s="2" t="str">
        <f t="shared" si="42"/>
        <v>-</v>
      </c>
      <c r="L348" s="2">
        <f t="shared" si="43"/>
        <v>0</v>
      </c>
      <c r="M348" s="2">
        <f t="shared" si="44"/>
        <v>0</v>
      </c>
      <c r="O348" s="2">
        <f>IF('PV IN'!$N$10="Yes",PVLoan!F348*'PV IN'!$E$8,0)</f>
        <v>0</v>
      </c>
    </row>
    <row r="349" spans="1:15" x14ac:dyDescent="0.25">
      <c r="B349" t="e">
        <f t="shared" si="36"/>
        <v>#N/A</v>
      </c>
      <c r="C349" s="2" t="str">
        <f t="shared" si="37"/>
        <v>0</v>
      </c>
      <c r="E349" s="10">
        <f t="shared" si="38"/>
        <v>0</v>
      </c>
      <c r="F349" s="2">
        <f t="shared" si="39"/>
        <v>0</v>
      </c>
      <c r="G349" s="2" t="str">
        <f>IF(ISERROR(B349),"-",IF(J348=0,0,SUM($F$33:F349)))</f>
        <v>-</v>
      </c>
      <c r="H349" s="2">
        <f t="shared" si="40"/>
        <v>0</v>
      </c>
      <c r="I349" s="2" t="str">
        <f>IF(ISERROR($B349),"-",IF(J348=0,0,SUM($H$33:H349)))</f>
        <v>-</v>
      </c>
      <c r="J349" s="2" t="str">
        <f t="shared" si="41"/>
        <v>-</v>
      </c>
      <c r="K349" s="2" t="str">
        <f t="shared" si="42"/>
        <v>-</v>
      </c>
      <c r="L349" s="2">
        <f t="shared" si="43"/>
        <v>0</v>
      </c>
      <c r="M349" s="2">
        <f t="shared" si="44"/>
        <v>0</v>
      </c>
      <c r="O349" s="2">
        <f>IF('PV IN'!$N$10="Yes",PVLoan!F349*'PV IN'!$E$8,0)</f>
        <v>0</v>
      </c>
    </row>
    <row r="350" spans="1:15" x14ac:dyDescent="0.25">
      <c r="B350" t="e">
        <f t="shared" si="36"/>
        <v>#N/A</v>
      </c>
      <c r="C350" s="2" t="str">
        <f t="shared" si="37"/>
        <v>0</v>
      </c>
      <c r="E350" s="10">
        <f t="shared" si="38"/>
        <v>0</v>
      </c>
      <c r="F350" s="2">
        <f t="shared" si="39"/>
        <v>0</v>
      </c>
      <c r="G350" s="2" t="str">
        <f>IF(ISERROR(B350),"-",IF(J349=0,0,SUM($F$33:F350)))</f>
        <v>-</v>
      </c>
      <c r="H350" s="2">
        <f t="shared" si="40"/>
        <v>0</v>
      </c>
      <c r="I350" s="2" t="str">
        <f>IF(ISERROR($B350),"-",IF(J349=0,0,SUM($H$33:H350)))</f>
        <v>-</v>
      </c>
      <c r="J350" s="2" t="str">
        <f t="shared" si="41"/>
        <v>-</v>
      </c>
      <c r="K350" s="2" t="str">
        <f t="shared" si="42"/>
        <v>-</v>
      </c>
      <c r="L350" s="2">
        <f t="shared" si="43"/>
        <v>0</v>
      </c>
      <c r="M350" s="2">
        <f t="shared" si="44"/>
        <v>0</v>
      </c>
      <c r="O350" s="2">
        <f>IF('PV IN'!$N$10="Yes",PVLoan!F350*'PV IN'!$E$8,0)</f>
        <v>0</v>
      </c>
    </row>
    <row r="351" spans="1:15" x14ac:dyDescent="0.25">
      <c r="B351" t="e">
        <f t="shared" si="36"/>
        <v>#N/A</v>
      </c>
      <c r="C351" s="2" t="str">
        <f t="shared" si="37"/>
        <v>0</v>
      </c>
      <c r="E351" s="10">
        <f t="shared" si="38"/>
        <v>0</v>
      </c>
      <c r="F351" s="2">
        <f t="shared" si="39"/>
        <v>0</v>
      </c>
      <c r="G351" s="2" t="str">
        <f>IF(ISERROR(B351),"-",IF(J350=0,0,SUM($F$33:F351)))</f>
        <v>-</v>
      </c>
      <c r="H351" s="2">
        <f t="shared" si="40"/>
        <v>0</v>
      </c>
      <c r="I351" s="2" t="str">
        <f>IF(ISERROR($B351),"-",IF(J350=0,0,SUM($H$33:H351)))</f>
        <v>-</v>
      </c>
      <c r="J351" s="2" t="str">
        <f t="shared" si="41"/>
        <v>-</v>
      </c>
      <c r="K351" s="2" t="str">
        <f t="shared" si="42"/>
        <v>-</v>
      </c>
      <c r="L351" s="2">
        <f t="shared" si="43"/>
        <v>0</v>
      </c>
      <c r="M351" s="2">
        <f t="shared" si="44"/>
        <v>0</v>
      </c>
      <c r="O351" s="2">
        <f>IF('PV IN'!$N$10="Yes",PVLoan!F351*'PV IN'!$E$8,0)</f>
        <v>0</v>
      </c>
    </row>
    <row r="352" spans="1:15" x14ac:dyDescent="0.25">
      <c r="B352" t="e">
        <f t="shared" si="36"/>
        <v>#N/A</v>
      </c>
      <c r="C352" s="2" t="str">
        <f t="shared" si="37"/>
        <v>0</v>
      </c>
      <c r="E352" s="10">
        <f t="shared" si="38"/>
        <v>0</v>
      </c>
      <c r="F352" s="2">
        <f t="shared" si="39"/>
        <v>0</v>
      </c>
      <c r="G352" s="2" t="str">
        <f>IF(ISERROR(B352),"-",IF(J351=0,0,SUM($F$33:F352)))</f>
        <v>-</v>
      </c>
      <c r="H352" s="2">
        <f t="shared" si="40"/>
        <v>0</v>
      </c>
      <c r="I352" s="2" t="str">
        <f>IF(ISERROR($B352),"-",IF(J351=0,0,SUM($H$33:H352)))</f>
        <v>-</v>
      </c>
      <c r="J352" s="2" t="str">
        <f t="shared" si="41"/>
        <v>-</v>
      </c>
      <c r="K352" s="2" t="str">
        <f t="shared" si="42"/>
        <v>-</v>
      </c>
      <c r="L352" s="2">
        <f t="shared" si="43"/>
        <v>0</v>
      </c>
      <c r="M352" s="2">
        <f t="shared" si="44"/>
        <v>0</v>
      </c>
      <c r="O352" s="2">
        <f>IF('PV IN'!$N$10="Yes",PVLoan!F352*'PV IN'!$E$8,0)</f>
        <v>0</v>
      </c>
    </row>
    <row r="353" spans="1:15" x14ac:dyDescent="0.25">
      <c r="B353" t="e">
        <f t="shared" si="36"/>
        <v>#N/A</v>
      </c>
      <c r="C353" s="2" t="str">
        <f t="shared" si="37"/>
        <v>0</v>
      </c>
      <c r="E353" s="10">
        <f t="shared" si="38"/>
        <v>0</v>
      </c>
      <c r="F353" s="2">
        <f t="shared" si="39"/>
        <v>0</v>
      </c>
      <c r="G353" s="2" t="str">
        <f>IF(ISERROR(B353),"-",IF(J352=0,0,SUM($F$33:F353)))</f>
        <v>-</v>
      </c>
      <c r="H353" s="2">
        <f t="shared" si="40"/>
        <v>0</v>
      </c>
      <c r="I353" s="2" t="str">
        <f>IF(ISERROR($B353),"-",IF(J352=0,0,SUM($H$33:H353)))</f>
        <v>-</v>
      </c>
      <c r="J353" s="2" t="str">
        <f t="shared" si="41"/>
        <v>-</v>
      </c>
      <c r="K353" s="2" t="str">
        <f t="shared" si="42"/>
        <v>-</v>
      </c>
      <c r="L353" s="2">
        <f t="shared" si="43"/>
        <v>0</v>
      </c>
      <c r="M353" s="2">
        <f t="shared" si="44"/>
        <v>0</v>
      </c>
      <c r="O353" s="2">
        <f>IF('PV IN'!$N$10="Yes",PVLoan!F353*'PV IN'!$E$8,0)</f>
        <v>0</v>
      </c>
    </row>
    <row r="354" spans="1:15" x14ac:dyDescent="0.25">
      <c r="B354" t="e">
        <f t="shared" ref="B354:B417" si="45">IF(B353&gt;=$E$9,NA(),B353+1)</f>
        <v>#N/A</v>
      </c>
      <c r="C354" s="2" t="str">
        <f t="shared" ref="C354:C392" si="46">IF(ISERROR(B354),"0",IF(J353=0,0,$E$11))</f>
        <v>0</v>
      </c>
      <c r="E354" s="10">
        <f t="shared" ref="E354:E392" si="47">C354+D354</f>
        <v>0</v>
      </c>
      <c r="F354" s="2">
        <f t="shared" ref="F354:F392" si="48">IF(ISERROR(B354),0,$E$8*J353)</f>
        <v>0</v>
      </c>
      <c r="G354" s="2" t="str">
        <f>IF(ISERROR(B354),"-",IF(J353=0,0,SUM($F$33:F354)))</f>
        <v>-</v>
      </c>
      <c r="H354" s="2">
        <f t="shared" ref="H354:H392" si="49">IF(ISERROR($B354),0,IF(J353=0,0,E354-F354))</f>
        <v>0</v>
      </c>
      <c r="I354" s="2" t="str">
        <f>IF(ISERROR($B354),"-",IF(J353=0,0,SUM($H$33:H354)))</f>
        <v>-</v>
      </c>
      <c r="J354" s="2" t="str">
        <f t="shared" ref="J354:J392" si="50">IF(ISERROR($B354),"-",IF(J353-H354&lt;0,0,J353-H354))</f>
        <v>-</v>
      </c>
      <c r="K354" s="2" t="str">
        <f t="shared" ref="K354:K392" si="51">IF(ISERROR(B354),"-",J353-H354)</f>
        <v>-</v>
      </c>
      <c r="L354" s="2">
        <f t="shared" ref="L354:L392" si="52">IF(K354&gt;=0,E354,E354+K354)</f>
        <v>0</v>
      </c>
      <c r="M354" s="2">
        <f t="shared" ref="M354:M392" si="53">-IF(K354&lt;0,K354,0)</f>
        <v>0</v>
      </c>
      <c r="O354" s="2">
        <f>IF('PV IN'!$N$10="Yes",PVLoan!F354*'PV IN'!$E$8,0)</f>
        <v>0</v>
      </c>
    </row>
    <row r="355" spans="1:15" x14ac:dyDescent="0.25">
      <c r="B355" t="e">
        <f t="shared" si="45"/>
        <v>#N/A</v>
      </c>
      <c r="C355" s="2" t="str">
        <f t="shared" si="46"/>
        <v>0</v>
      </c>
      <c r="E355" s="10">
        <f t="shared" si="47"/>
        <v>0</v>
      </c>
      <c r="F355" s="2">
        <f t="shared" si="48"/>
        <v>0</v>
      </c>
      <c r="G355" s="2" t="str">
        <f>IF(ISERROR(B355),"-",IF(J354=0,0,SUM($F$33:F355)))</f>
        <v>-</v>
      </c>
      <c r="H355" s="2">
        <f t="shared" si="49"/>
        <v>0</v>
      </c>
      <c r="I355" s="2" t="str">
        <f>IF(ISERROR($B355),"-",IF(J354=0,0,SUM($H$33:H355)))</f>
        <v>-</v>
      </c>
      <c r="J355" s="2" t="str">
        <f t="shared" si="50"/>
        <v>-</v>
      </c>
      <c r="K355" s="2" t="str">
        <f t="shared" si="51"/>
        <v>-</v>
      </c>
      <c r="L355" s="2">
        <f t="shared" si="52"/>
        <v>0</v>
      </c>
      <c r="M355" s="2">
        <f t="shared" si="53"/>
        <v>0</v>
      </c>
      <c r="O355" s="2">
        <f>IF('PV IN'!$N$10="Yes",PVLoan!F355*'PV IN'!$E$8,0)</f>
        <v>0</v>
      </c>
    </row>
    <row r="356" spans="1:15" x14ac:dyDescent="0.25">
      <c r="A356">
        <v>27</v>
      </c>
      <c r="B356" t="e">
        <f t="shared" si="45"/>
        <v>#N/A</v>
      </c>
      <c r="C356" s="2" t="str">
        <f t="shared" si="46"/>
        <v>0</v>
      </c>
      <c r="E356" s="10">
        <f t="shared" si="47"/>
        <v>0</v>
      </c>
      <c r="F356" s="2">
        <f t="shared" si="48"/>
        <v>0</v>
      </c>
      <c r="G356" s="2" t="str">
        <f>IF(ISERROR(B356),"-",IF(J355=0,0,SUM($F$33:F356)))</f>
        <v>-</v>
      </c>
      <c r="H356" s="2">
        <f t="shared" si="49"/>
        <v>0</v>
      </c>
      <c r="I356" s="2" t="str">
        <f>IF(ISERROR($B356),"-",IF(J355=0,0,SUM($H$33:H356)))</f>
        <v>-</v>
      </c>
      <c r="J356" s="2" t="str">
        <f t="shared" si="50"/>
        <v>-</v>
      </c>
      <c r="K356" s="2" t="str">
        <f t="shared" si="51"/>
        <v>-</v>
      </c>
      <c r="L356" s="2">
        <f t="shared" si="52"/>
        <v>0</v>
      </c>
      <c r="M356" s="2">
        <f t="shared" si="53"/>
        <v>0</v>
      </c>
      <c r="O356" s="2">
        <f>IF('PV IN'!$N$10="Yes",PVLoan!F356*'PV IN'!$E$8,0)</f>
        <v>0</v>
      </c>
    </row>
    <row r="357" spans="1:15" x14ac:dyDescent="0.25">
      <c r="B357" t="e">
        <f t="shared" si="45"/>
        <v>#N/A</v>
      </c>
      <c r="C357" s="2" t="str">
        <f t="shared" si="46"/>
        <v>0</v>
      </c>
      <c r="E357" s="10">
        <f t="shared" si="47"/>
        <v>0</v>
      </c>
      <c r="F357" s="2">
        <f t="shared" si="48"/>
        <v>0</v>
      </c>
      <c r="G357" s="2" t="str">
        <f>IF(ISERROR(B357),"-",IF(J356=0,0,SUM($F$33:F357)))</f>
        <v>-</v>
      </c>
      <c r="H357" s="2">
        <f t="shared" si="49"/>
        <v>0</v>
      </c>
      <c r="I357" s="2" t="str">
        <f>IF(ISERROR($B357),"-",IF(J356=0,0,SUM($H$33:H357)))</f>
        <v>-</v>
      </c>
      <c r="J357" s="2" t="str">
        <f t="shared" si="50"/>
        <v>-</v>
      </c>
      <c r="K357" s="2" t="str">
        <f t="shared" si="51"/>
        <v>-</v>
      </c>
      <c r="L357" s="2">
        <f t="shared" si="52"/>
        <v>0</v>
      </c>
      <c r="M357" s="2">
        <f t="shared" si="53"/>
        <v>0</v>
      </c>
      <c r="O357" s="2">
        <f>IF('PV IN'!$N$10="Yes",PVLoan!F357*'PV IN'!$E$8,0)</f>
        <v>0</v>
      </c>
    </row>
    <row r="358" spans="1:15" x14ac:dyDescent="0.25">
      <c r="B358" t="e">
        <f t="shared" si="45"/>
        <v>#N/A</v>
      </c>
      <c r="C358" s="2" t="str">
        <f t="shared" si="46"/>
        <v>0</v>
      </c>
      <c r="E358" s="10">
        <f t="shared" si="47"/>
        <v>0</v>
      </c>
      <c r="F358" s="2">
        <f t="shared" si="48"/>
        <v>0</v>
      </c>
      <c r="G358" s="2" t="str">
        <f>IF(ISERROR(B358),"-",IF(J357=0,0,SUM($F$33:F358)))</f>
        <v>-</v>
      </c>
      <c r="H358" s="2">
        <f t="shared" si="49"/>
        <v>0</v>
      </c>
      <c r="I358" s="2" t="str">
        <f>IF(ISERROR($B358),"-",IF(J357=0,0,SUM($H$33:H358)))</f>
        <v>-</v>
      </c>
      <c r="J358" s="2" t="str">
        <f t="shared" si="50"/>
        <v>-</v>
      </c>
      <c r="K358" s="2" t="str">
        <f t="shared" si="51"/>
        <v>-</v>
      </c>
      <c r="L358" s="2">
        <f t="shared" si="52"/>
        <v>0</v>
      </c>
      <c r="M358" s="2">
        <f t="shared" si="53"/>
        <v>0</v>
      </c>
      <c r="O358" s="2">
        <f>IF('PV IN'!$N$10="Yes",PVLoan!F358*'PV IN'!$E$8,0)</f>
        <v>0</v>
      </c>
    </row>
    <row r="359" spans="1:15" x14ac:dyDescent="0.25">
      <c r="B359" t="e">
        <f t="shared" si="45"/>
        <v>#N/A</v>
      </c>
      <c r="C359" s="2" t="str">
        <f t="shared" si="46"/>
        <v>0</v>
      </c>
      <c r="E359" s="10">
        <f t="shared" si="47"/>
        <v>0</v>
      </c>
      <c r="F359" s="2">
        <f t="shared" si="48"/>
        <v>0</v>
      </c>
      <c r="G359" s="2" t="str">
        <f>IF(ISERROR(B359),"-",IF(J358=0,0,SUM($F$33:F359)))</f>
        <v>-</v>
      </c>
      <c r="H359" s="2">
        <f t="shared" si="49"/>
        <v>0</v>
      </c>
      <c r="I359" s="2" t="str">
        <f>IF(ISERROR($B359),"-",IF(J358=0,0,SUM($H$33:H359)))</f>
        <v>-</v>
      </c>
      <c r="J359" s="2" t="str">
        <f t="shared" si="50"/>
        <v>-</v>
      </c>
      <c r="K359" s="2" t="str">
        <f t="shared" si="51"/>
        <v>-</v>
      </c>
      <c r="L359" s="2">
        <f t="shared" si="52"/>
        <v>0</v>
      </c>
      <c r="M359" s="2">
        <f t="shared" si="53"/>
        <v>0</v>
      </c>
      <c r="O359" s="2">
        <f>IF('PV IN'!$N$10="Yes",PVLoan!F359*'PV IN'!$E$8,0)</f>
        <v>0</v>
      </c>
    </row>
    <row r="360" spans="1:15" x14ac:dyDescent="0.25">
      <c r="B360" t="e">
        <f t="shared" si="45"/>
        <v>#N/A</v>
      </c>
      <c r="C360" s="2" t="str">
        <f t="shared" si="46"/>
        <v>0</v>
      </c>
      <c r="E360" s="10">
        <f t="shared" si="47"/>
        <v>0</v>
      </c>
      <c r="F360" s="2">
        <f t="shared" si="48"/>
        <v>0</v>
      </c>
      <c r="G360" s="2" t="str">
        <f>IF(ISERROR(B360),"-",IF(J359=0,0,SUM($F$33:F360)))</f>
        <v>-</v>
      </c>
      <c r="H360" s="2">
        <f t="shared" si="49"/>
        <v>0</v>
      </c>
      <c r="I360" s="2" t="str">
        <f>IF(ISERROR($B360),"-",IF(J359=0,0,SUM($H$33:H360)))</f>
        <v>-</v>
      </c>
      <c r="J360" s="2" t="str">
        <f t="shared" si="50"/>
        <v>-</v>
      </c>
      <c r="K360" s="2" t="str">
        <f t="shared" si="51"/>
        <v>-</v>
      </c>
      <c r="L360" s="2">
        <f t="shared" si="52"/>
        <v>0</v>
      </c>
      <c r="M360" s="2">
        <f t="shared" si="53"/>
        <v>0</v>
      </c>
      <c r="O360" s="2">
        <f>IF('PV IN'!$N$10="Yes",PVLoan!F360*'PV IN'!$E$8,0)</f>
        <v>0</v>
      </c>
    </row>
    <row r="361" spans="1:15" x14ac:dyDescent="0.25">
      <c r="B361" t="e">
        <f t="shared" si="45"/>
        <v>#N/A</v>
      </c>
      <c r="C361" s="2" t="str">
        <f t="shared" si="46"/>
        <v>0</v>
      </c>
      <c r="E361" s="10">
        <f t="shared" si="47"/>
        <v>0</v>
      </c>
      <c r="F361" s="2">
        <f t="shared" si="48"/>
        <v>0</v>
      </c>
      <c r="G361" s="2" t="str">
        <f>IF(ISERROR(B361),"-",IF(J360=0,0,SUM($F$33:F361)))</f>
        <v>-</v>
      </c>
      <c r="H361" s="2">
        <f t="shared" si="49"/>
        <v>0</v>
      </c>
      <c r="I361" s="2" t="str">
        <f>IF(ISERROR($B361),"-",IF(J360=0,0,SUM($H$33:H361)))</f>
        <v>-</v>
      </c>
      <c r="J361" s="2" t="str">
        <f t="shared" si="50"/>
        <v>-</v>
      </c>
      <c r="K361" s="2" t="str">
        <f t="shared" si="51"/>
        <v>-</v>
      </c>
      <c r="L361" s="2">
        <f t="shared" si="52"/>
        <v>0</v>
      </c>
      <c r="M361" s="2">
        <f t="shared" si="53"/>
        <v>0</v>
      </c>
      <c r="O361" s="2">
        <f>IF('PV IN'!$N$10="Yes",PVLoan!F361*'PV IN'!$E$8,0)</f>
        <v>0</v>
      </c>
    </row>
    <row r="362" spans="1:15" x14ac:dyDescent="0.25">
      <c r="B362" t="e">
        <f t="shared" si="45"/>
        <v>#N/A</v>
      </c>
      <c r="C362" s="2" t="str">
        <f t="shared" si="46"/>
        <v>0</v>
      </c>
      <c r="E362" s="10">
        <f t="shared" si="47"/>
        <v>0</v>
      </c>
      <c r="F362" s="2">
        <f t="shared" si="48"/>
        <v>0</v>
      </c>
      <c r="G362" s="2" t="str">
        <f>IF(ISERROR(B362),"-",IF(J361=0,0,SUM($F$33:F362)))</f>
        <v>-</v>
      </c>
      <c r="H362" s="2">
        <f t="shared" si="49"/>
        <v>0</v>
      </c>
      <c r="I362" s="2" t="str">
        <f>IF(ISERROR($B362),"-",IF(J361=0,0,SUM($H$33:H362)))</f>
        <v>-</v>
      </c>
      <c r="J362" s="2" t="str">
        <f t="shared" si="50"/>
        <v>-</v>
      </c>
      <c r="K362" s="2" t="str">
        <f t="shared" si="51"/>
        <v>-</v>
      </c>
      <c r="L362" s="2">
        <f t="shared" si="52"/>
        <v>0</v>
      </c>
      <c r="M362" s="2">
        <f t="shared" si="53"/>
        <v>0</v>
      </c>
      <c r="O362" s="2">
        <f>IF('PV IN'!$N$10="Yes",PVLoan!F362*'PV IN'!$E$8,0)</f>
        <v>0</v>
      </c>
    </row>
    <row r="363" spans="1:15" x14ac:dyDescent="0.25">
      <c r="B363" t="e">
        <f t="shared" si="45"/>
        <v>#N/A</v>
      </c>
      <c r="C363" s="2" t="str">
        <f t="shared" si="46"/>
        <v>0</v>
      </c>
      <c r="E363" s="10">
        <f t="shared" si="47"/>
        <v>0</v>
      </c>
      <c r="F363" s="2">
        <f t="shared" si="48"/>
        <v>0</v>
      </c>
      <c r="G363" s="2" t="str">
        <f>IF(ISERROR(B363),"-",IF(J362=0,0,SUM($F$33:F363)))</f>
        <v>-</v>
      </c>
      <c r="H363" s="2">
        <f t="shared" si="49"/>
        <v>0</v>
      </c>
      <c r="I363" s="2" t="str">
        <f>IF(ISERROR($B363),"-",IF(J362=0,0,SUM($H$33:H363)))</f>
        <v>-</v>
      </c>
      <c r="J363" s="2" t="str">
        <f t="shared" si="50"/>
        <v>-</v>
      </c>
      <c r="K363" s="2" t="str">
        <f t="shared" si="51"/>
        <v>-</v>
      </c>
      <c r="L363" s="2">
        <f t="shared" si="52"/>
        <v>0</v>
      </c>
      <c r="M363" s="2">
        <f t="shared" si="53"/>
        <v>0</v>
      </c>
      <c r="O363" s="2">
        <f>IF('PV IN'!$N$10="Yes",PVLoan!F363*'PV IN'!$E$8,0)</f>
        <v>0</v>
      </c>
    </row>
    <row r="364" spans="1:15" x14ac:dyDescent="0.25">
      <c r="B364" t="e">
        <f t="shared" si="45"/>
        <v>#N/A</v>
      </c>
      <c r="C364" s="2" t="str">
        <f t="shared" si="46"/>
        <v>0</v>
      </c>
      <c r="E364" s="10">
        <f t="shared" si="47"/>
        <v>0</v>
      </c>
      <c r="F364" s="2">
        <f t="shared" si="48"/>
        <v>0</v>
      </c>
      <c r="G364" s="2" t="str">
        <f>IF(ISERROR(B364),"-",IF(J363=0,0,SUM($F$33:F364)))</f>
        <v>-</v>
      </c>
      <c r="H364" s="2">
        <f t="shared" si="49"/>
        <v>0</v>
      </c>
      <c r="I364" s="2" t="str">
        <f>IF(ISERROR($B364),"-",IF(J363=0,0,SUM($H$33:H364)))</f>
        <v>-</v>
      </c>
      <c r="J364" s="2" t="str">
        <f t="shared" si="50"/>
        <v>-</v>
      </c>
      <c r="K364" s="2" t="str">
        <f t="shared" si="51"/>
        <v>-</v>
      </c>
      <c r="L364" s="2">
        <f t="shared" si="52"/>
        <v>0</v>
      </c>
      <c r="M364" s="2">
        <f t="shared" si="53"/>
        <v>0</v>
      </c>
      <c r="O364" s="2">
        <f>IF('PV IN'!$N$10="Yes",PVLoan!F364*'PV IN'!$E$8,0)</f>
        <v>0</v>
      </c>
    </row>
    <row r="365" spans="1:15" x14ac:dyDescent="0.25">
      <c r="B365" t="e">
        <f t="shared" si="45"/>
        <v>#N/A</v>
      </c>
      <c r="C365" s="2" t="str">
        <f t="shared" si="46"/>
        <v>0</v>
      </c>
      <c r="E365" s="10">
        <f t="shared" si="47"/>
        <v>0</v>
      </c>
      <c r="F365" s="2">
        <f t="shared" si="48"/>
        <v>0</v>
      </c>
      <c r="G365" s="2" t="str">
        <f>IF(ISERROR(B365),"-",IF(J364=0,0,SUM($F$33:F365)))</f>
        <v>-</v>
      </c>
      <c r="H365" s="2">
        <f t="shared" si="49"/>
        <v>0</v>
      </c>
      <c r="I365" s="2" t="str">
        <f>IF(ISERROR($B365),"-",IF(J364=0,0,SUM($H$33:H365)))</f>
        <v>-</v>
      </c>
      <c r="J365" s="2" t="str">
        <f t="shared" si="50"/>
        <v>-</v>
      </c>
      <c r="K365" s="2" t="str">
        <f t="shared" si="51"/>
        <v>-</v>
      </c>
      <c r="L365" s="2">
        <f t="shared" si="52"/>
        <v>0</v>
      </c>
      <c r="M365" s="2">
        <f t="shared" si="53"/>
        <v>0</v>
      </c>
      <c r="O365" s="2">
        <f>IF('PV IN'!$N$10="Yes",PVLoan!F365*'PV IN'!$E$8,0)</f>
        <v>0</v>
      </c>
    </row>
    <row r="366" spans="1:15" x14ac:dyDescent="0.25">
      <c r="B366" t="e">
        <f t="shared" si="45"/>
        <v>#N/A</v>
      </c>
      <c r="C366" s="2" t="str">
        <f t="shared" si="46"/>
        <v>0</v>
      </c>
      <c r="E366" s="10">
        <f t="shared" si="47"/>
        <v>0</v>
      </c>
      <c r="F366" s="2">
        <f t="shared" si="48"/>
        <v>0</v>
      </c>
      <c r="G366" s="2" t="str">
        <f>IF(ISERROR(B366),"-",IF(J365=0,0,SUM($F$33:F366)))</f>
        <v>-</v>
      </c>
      <c r="H366" s="2">
        <f t="shared" si="49"/>
        <v>0</v>
      </c>
      <c r="I366" s="2" t="str">
        <f>IF(ISERROR($B366),"-",IF(J365=0,0,SUM($H$33:H366)))</f>
        <v>-</v>
      </c>
      <c r="J366" s="2" t="str">
        <f t="shared" si="50"/>
        <v>-</v>
      </c>
      <c r="K366" s="2" t="str">
        <f t="shared" si="51"/>
        <v>-</v>
      </c>
      <c r="L366" s="2">
        <f t="shared" si="52"/>
        <v>0</v>
      </c>
      <c r="M366" s="2">
        <f t="shared" si="53"/>
        <v>0</v>
      </c>
      <c r="O366" s="2">
        <f>IF('PV IN'!$N$10="Yes",PVLoan!F366*'PV IN'!$E$8,0)</f>
        <v>0</v>
      </c>
    </row>
    <row r="367" spans="1:15" x14ac:dyDescent="0.25">
      <c r="B367" t="e">
        <f t="shared" si="45"/>
        <v>#N/A</v>
      </c>
      <c r="C367" s="2" t="str">
        <f t="shared" si="46"/>
        <v>0</v>
      </c>
      <c r="E367" s="10">
        <f t="shared" si="47"/>
        <v>0</v>
      </c>
      <c r="F367" s="2">
        <f t="shared" si="48"/>
        <v>0</v>
      </c>
      <c r="G367" s="2" t="str">
        <f>IF(ISERROR(B367),"-",IF(J366=0,0,SUM($F$33:F367)))</f>
        <v>-</v>
      </c>
      <c r="H367" s="2">
        <f t="shared" si="49"/>
        <v>0</v>
      </c>
      <c r="I367" s="2" t="str">
        <f>IF(ISERROR($B367),"-",IF(J366=0,0,SUM($H$33:H367)))</f>
        <v>-</v>
      </c>
      <c r="J367" s="2" t="str">
        <f t="shared" si="50"/>
        <v>-</v>
      </c>
      <c r="K367" s="2" t="str">
        <f t="shared" si="51"/>
        <v>-</v>
      </c>
      <c r="L367" s="2">
        <f t="shared" si="52"/>
        <v>0</v>
      </c>
      <c r="M367" s="2">
        <f t="shared" si="53"/>
        <v>0</v>
      </c>
      <c r="O367" s="2">
        <f>IF('PV IN'!$N$10="Yes",PVLoan!F367*'PV IN'!$E$8,0)</f>
        <v>0</v>
      </c>
    </row>
    <row r="368" spans="1:15" x14ac:dyDescent="0.25">
      <c r="A368">
        <v>28</v>
      </c>
      <c r="B368" t="e">
        <f t="shared" si="45"/>
        <v>#N/A</v>
      </c>
      <c r="C368" s="2" t="str">
        <f t="shared" si="46"/>
        <v>0</v>
      </c>
      <c r="E368" s="10">
        <f t="shared" si="47"/>
        <v>0</v>
      </c>
      <c r="F368" s="2">
        <f t="shared" si="48"/>
        <v>0</v>
      </c>
      <c r="G368" s="2" t="str">
        <f>IF(ISERROR(B368),"-",IF(J367=0,0,SUM($F$33:F368)))</f>
        <v>-</v>
      </c>
      <c r="H368" s="2">
        <f t="shared" si="49"/>
        <v>0</v>
      </c>
      <c r="I368" s="2" t="str">
        <f>IF(ISERROR($B368),"-",IF(J367=0,0,SUM($H$33:H368)))</f>
        <v>-</v>
      </c>
      <c r="J368" s="2" t="str">
        <f t="shared" si="50"/>
        <v>-</v>
      </c>
      <c r="K368" s="2" t="str">
        <f t="shared" si="51"/>
        <v>-</v>
      </c>
      <c r="L368" s="2">
        <f t="shared" si="52"/>
        <v>0</v>
      </c>
      <c r="M368" s="2">
        <f t="shared" si="53"/>
        <v>0</v>
      </c>
      <c r="O368" s="2">
        <f>IF('PV IN'!$N$10="Yes",PVLoan!F368*'PV IN'!$E$8,0)</f>
        <v>0</v>
      </c>
    </row>
    <row r="369" spans="1:15" x14ac:dyDescent="0.25">
      <c r="B369" t="e">
        <f t="shared" si="45"/>
        <v>#N/A</v>
      </c>
      <c r="C369" s="2" t="str">
        <f t="shared" si="46"/>
        <v>0</v>
      </c>
      <c r="E369" s="10">
        <f t="shared" si="47"/>
        <v>0</v>
      </c>
      <c r="F369" s="2">
        <f t="shared" si="48"/>
        <v>0</v>
      </c>
      <c r="G369" s="2" t="str">
        <f>IF(ISERROR(B369),"-",IF(J368=0,0,SUM($F$33:F369)))</f>
        <v>-</v>
      </c>
      <c r="H369" s="2">
        <f t="shared" si="49"/>
        <v>0</v>
      </c>
      <c r="I369" s="2" t="str">
        <f>IF(ISERROR($B369),"-",IF(J368=0,0,SUM($H$33:H369)))</f>
        <v>-</v>
      </c>
      <c r="J369" s="2" t="str">
        <f t="shared" si="50"/>
        <v>-</v>
      </c>
      <c r="K369" s="2" t="str">
        <f t="shared" si="51"/>
        <v>-</v>
      </c>
      <c r="L369" s="2">
        <f t="shared" si="52"/>
        <v>0</v>
      </c>
      <c r="M369" s="2">
        <f t="shared" si="53"/>
        <v>0</v>
      </c>
      <c r="O369" s="2">
        <f>IF('PV IN'!$N$10="Yes",PVLoan!F369*'PV IN'!$E$8,0)</f>
        <v>0</v>
      </c>
    </row>
    <row r="370" spans="1:15" x14ac:dyDescent="0.25">
      <c r="B370" t="e">
        <f t="shared" si="45"/>
        <v>#N/A</v>
      </c>
      <c r="C370" s="2" t="str">
        <f t="shared" si="46"/>
        <v>0</v>
      </c>
      <c r="E370" s="10">
        <f t="shared" si="47"/>
        <v>0</v>
      </c>
      <c r="F370" s="2">
        <f t="shared" si="48"/>
        <v>0</v>
      </c>
      <c r="G370" s="2" t="str">
        <f>IF(ISERROR(B370),"-",IF(J369=0,0,SUM($F$33:F370)))</f>
        <v>-</v>
      </c>
      <c r="H370" s="2">
        <f t="shared" si="49"/>
        <v>0</v>
      </c>
      <c r="I370" s="2" t="str">
        <f>IF(ISERROR($B370),"-",IF(J369=0,0,SUM($H$33:H370)))</f>
        <v>-</v>
      </c>
      <c r="J370" s="2" t="str">
        <f t="shared" si="50"/>
        <v>-</v>
      </c>
      <c r="K370" s="2" t="str">
        <f t="shared" si="51"/>
        <v>-</v>
      </c>
      <c r="L370" s="2">
        <f t="shared" si="52"/>
        <v>0</v>
      </c>
      <c r="M370" s="2">
        <f t="shared" si="53"/>
        <v>0</v>
      </c>
      <c r="O370" s="2">
        <f>IF('PV IN'!$N$10="Yes",PVLoan!F370*'PV IN'!$E$8,0)</f>
        <v>0</v>
      </c>
    </row>
    <row r="371" spans="1:15" x14ac:dyDescent="0.25">
      <c r="B371" t="e">
        <f t="shared" si="45"/>
        <v>#N/A</v>
      </c>
      <c r="C371" s="2" t="str">
        <f t="shared" si="46"/>
        <v>0</v>
      </c>
      <c r="E371" s="10">
        <f t="shared" si="47"/>
        <v>0</v>
      </c>
      <c r="F371" s="2">
        <f t="shared" si="48"/>
        <v>0</v>
      </c>
      <c r="G371" s="2" t="str">
        <f>IF(ISERROR(B371),"-",IF(J370=0,0,SUM($F$33:F371)))</f>
        <v>-</v>
      </c>
      <c r="H371" s="2">
        <f t="shared" si="49"/>
        <v>0</v>
      </c>
      <c r="I371" s="2" t="str">
        <f>IF(ISERROR($B371),"-",IF(J370=0,0,SUM($H$33:H371)))</f>
        <v>-</v>
      </c>
      <c r="J371" s="2" t="str">
        <f t="shared" si="50"/>
        <v>-</v>
      </c>
      <c r="K371" s="2" t="str">
        <f t="shared" si="51"/>
        <v>-</v>
      </c>
      <c r="L371" s="2">
        <f t="shared" si="52"/>
        <v>0</v>
      </c>
      <c r="M371" s="2">
        <f t="shared" si="53"/>
        <v>0</v>
      </c>
      <c r="O371" s="2">
        <f>IF('PV IN'!$N$10="Yes",PVLoan!F371*'PV IN'!$E$8,0)</f>
        <v>0</v>
      </c>
    </row>
    <row r="372" spans="1:15" x14ac:dyDescent="0.25">
      <c r="B372" t="e">
        <f t="shared" si="45"/>
        <v>#N/A</v>
      </c>
      <c r="C372" s="2" t="str">
        <f t="shared" si="46"/>
        <v>0</v>
      </c>
      <c r="E372" s="10">
        <f t="shared" si="47"/>
        <v>0</v>
      </c>
      <c r="F372" s="2">
        <f t="shared" si="48"/>
        <v>0</v>
      </c>
      <c r="G372" s="2" t="str">
        <f>IF(ISERROR(B372),"-",IF(J371=0,0,SUM($F$33:F372)))</f>
        <v>-</v>
      </c>
      <c r="H372" s="2">
        <f t="shared" si="49"/>
        <v>0</v>
      </c>
      <c r="I372" s="2" t="str">
        <f>IF(ISERROR($B372),"-",IF(J371=0,0,SUM($H$33:H372)))</f>
        <v>-</v>
      </c>
      <c r="J372" s="2" t="str">
        <f t="shared" si="50"/>
        <v>-</v>
      </c>
      <c r="K372" s="2" t="str">
        <f t="shared" si="51"/>
        <v>-</v>
      </c>
      <c r="L372" s="2">
        <f t="shared" si="52"/>
        <v>0</v>
      </c>
      <c r="M372" s="2">
        <f t="shared" si="53"/>
        <v>0</v>
      </c>
      <c r="O372" s="2">
        <f>IF('PV IN'!$N$10="Yes",PVLoan!F372*'PV IN'!$E$8,0)</f>
        <v>0</v>
      </c>
    </row>
    <row r="373" spans="1:15" x14ac:dyDescent="0.25">
      <c r="B373" t="e">
        <f t="shared" si="45"/>
        <v>#N/A</v>
      </c>
      <c r="C373" s="2" t="str">
        <f t="shared" si="46"/>
        <v>0</v>
      </c>
      <c r="E373" s="10">
        <f t="shared" si="47"/>
        <v>0</v>
      </c>
      <c r="F373" s="2">
        <f t="shared" si="48"/>
        <v>0</v>
      </c>
      <c r="G373" s="2" t="str">
        <f>IF(ISERROR(B373),"-",IF(J372=0,0,SUM($F$33:F373)))</f>
        <v>-</v>
      </c>
      <c r="H373" s="2">
        <f t="shared" si="49"/>
        <v>0</v>
      </c>
      <c r="I373" s="2" t="str">
        <f>IF(ISERROR($B373),"-",IF(J372=0,0,SUM($H$33:H373)))</f>
        <v>-</v>
      </c>
      <c r="J373" s="2" t="str">
        <f t="shared" si="50"/>
        <v>-</v>
      </c>
      <c r="K373" s="2" t="str">
        <f t="shared" si="51"/>
        <v>-</v>
      </c>
      <c r="L373" s="2">
        <f t="shared" si="52"/>
        <v>0</v>
      </c>
      <c r="M373" s="2">
        <f t="shared" si="53"/>
        <v>0</v>
      </c>
      <c r="O373" s="2">
        <f>IF('PV IN'!$N$10="Yes",PVLoan!F373*'PV IN'!$E$8,0)</f>
        <v>0</v>
      </c>
    </row>
    <row r="374" spans="1:15" x14ac:dyDescent="0.25">
      <c r="B374" t="e">
        <f t="shared" si="45"/>
        <v>#N/A</v>
      </c>
      <c r="C374" s="2" t="str">
        <f t="shared" si="46"/>
        <v>0</v>
      </c>
      <c r="E374" s="10">
        <f t="shared" si="47"/>
        <v>0</v>
      </c>
      <c r="F374" s="2">
        <f t="shared" si="48"/>
        <v>0</v>
      </c>
      <c r="G374" s="2" t="str">
        <f>IF(ISERROR(B374),"-",IF(J373=0,0,SUM($F$33:F374)))</f>
        <v>-</v>
      </c>
      <c r="H374" s="2">
        <f t="shared" si="49"/>
        <v>0</v>
      </c>
      <c r="I374" s="2" t="str">
        <f>IF(ISERROR($B374),"-",IF(J373=0,0,SUM($H$33:H374)))</f>
        <v>-</v>
      </c>
      <c r="J374" s="2" t="str">
        <f t="shared" si="50"/>
        <v>-</v>
      </c>
      <c r="K374" s="2" t="str">
        <f t="shared" si="51"/>
        <v>-</v>
      </c>
      <c r="L374" s="2">
        <f t="shared" si="52"/>
        <v>0</v>
      </c>
      <c r="M374" s="2">
        <f t="shared" si="53"/>
        <v>0</v>
      </c>
      <c r="O374" s="2">
        <f>IF('PV IN'!$N$10="Yes",PVLoan!F374*'PV IN'!$E$8,0)</f>
        <v>0</v>
      </c>
    </row>
    <row r="375" spans="1:15" x14ac:dyDescent="0.25">
      <c r="B375" t="e">
        <f t="shared" si="45"/>
        <v>#N/A</v>
      </c>
      <c r="C375" s="2" t="str">
        <f t="shared" si="46"/>
        <v>0</v>
      </c>
      <c r="E375" s="10">
        <f t="shared" si="47"/>
        <v>0</v>
      </c>
      <c r="F375" s="2">
        <f t="shared" si="48"/>
        <v>0</v>
      </c>
      <c r="G375" s="2" t="str">
        <f>IF(ISERROR(B375),"-",IF(J374=0,0,SUM($F$33:F375)))</f>
        <v>-</v>
      </c>
      <c r="H375" s="2">
        <f t="shared" si="49"/>
        <v>0</v>
      </c>
      <c r="I375" s="2" t="str">
        <f>IF(ISERROR($B375),"-",IF(J374=0,0,SUM($H$33:H375)))</f>
        <v>-</v>
      </c>
      <c r="J375" s="2" t="str">
        <f t="shared" si="50"/>
        <v>-</v>
      </c>
      <c r="K375" s="2" t="str">
        <f t="shared" si="51"/>
        <v>-</v>
      </c>
      <c r="L375" s="2">
        <f t="shared" si="52"/>
        <v>0</v>
      </c>
      <c r="M375" s="2">
        <f t="shared" si="53"/>
        <v>0</v>
      </c>
      <c r="O375" s="2">
        <f>IF('PV IN'!$N$10="Yes",PVLoan!F375*'PV IN'!$E$8,0)</f>
        <v>0</v>
      </c>
    </row>
    <row r="376" spans="1:15" x14ac:dyDescent="0.25">
      <c r="B376" t="e">
        <f t="shared" si="45"/>
        <v>#N/A</v>
      </c>
      <c r="C376" s="2" t="str">
        <f t="shared" si="46"/>
        <v>0</v>
      </c>
      <c r="E376" s="10">
        <f t="shared" si="47"/>
        <v>0</v>
      </c>
      <c r="F376" s="2">
        <f t="shared" si="48"/>
        <v>0</v>
      </c>
      <c r="G376" s="2" t="str">
        <f>IF(ISERROR(B376),"-",IF(J375=0,0,SUM($F$33:F376)))</f>
        <v>-</v>
      </c>
      <c r="H376" s="2">
        <f t="shared" si="49"/>
        <v>0</v>
      </c>
      <c r="I376" s="2" t="str">
        <f>IF(ISERROR($B376),"-",IF(J375=0,0,SUM($H$33:H376)))</f>
        <v>-</v>
      </c>
      <c r="J376" s="2" t="str">
        <f t="shared" si="50"/>
        <v>-</v>
      </c>
      <c r="K376" s="2" t="str">
        <f t="shared" si="51"/>
        <v>-</v>
      </c>
      <c r="L376" s="2">
        <f t="shared" si="52"/>
        <v>0</v>
      </c>
      <c r="M376" s="2">
        <f t="shared" si="53"/>
        <v>0</v>
      </c>
      <c r="O376" s="2">
        <f>IF('PV IN'!$N$10="Yes",PVLoan!F376*'PV IN'!$E$8,0)</f>
        <v>0</v>
      </c>
    </row>
    <row r="377" spans="1:15" x14ac:dyDescent="0.25">
      <c r="B377" t="e">
        <f t="shared" si="45"/>
        <v>#N/A</v>
      </c>
      <c r="C377" s="2" t="str">
        <f t="shared" si="46"/>
        <v>0</v>
      </c>
      <c r="E377" s="10">
        <f t="shared" si="47"/>
        <v>0</v>
      </c>
      <c r="F377" s="2">
        <f t="shared" si="48"/>
        <v>0</v>
      </c>
      <c r="G377" s="2" t="str">
        <f>IF(ISERROR(B377),"-",IF(J376=0,0,SUM($F$33:F377)))</f>
        <v>-</v>
      </c>
      <c r="H377" s="2">
        <f t="shared" si="49"/>
        <v>0</v>
      </c>
      <c r="I377" s="2" t="str">
        <f>IF(ISERROR($B377),"-",IF(J376=0,0,SUM($H$33:H377)))</f>
        <v>-</v>
      </c>
      <c r="J377" s="2" t="str">
        <f t="shared" si="50"/>
        <v>-</v>
      </c>
      <c r="K377" s="2" t="str">
        <f t="shared" si="51"/>
        <v>-</v>
      </c>
      <c r="L377" s="2">
        <f t="shared" si="52"/>
        <v>0</v>
      </c>
      <c r="M377" s="2">
        <f t="shared" si="53"/>
        <v>0</v>
      </c>
      <c r="O377" s="2">
        <f>IF('PV IN'!$N$10="Yes",PVLoan!F377*'PV IN'!$E$8,0)</f>
        <v>0</v>
      </c>
    </row>
    <row r="378" spans="1:15" x14ac:dyDescent="0.25">
      <c r="B378" t="e">
        <f t="shared" si="45"/>
        <v>#N/A</v>
      </c>
      <c r="C378" s="2" t="str">
        <f t="shared" si="46"/>
        <v>0</v>
      </c>
      <c r="E378" s="10">
        <f t="shared" si="47"/>
        <v>0</v>
      </c>
      <c r="F378" s="2">
        <f t="shared" si="48"/>
        <v>0</v>
      </c>
      <c r="G378" s="2" t="str">
        <f>IF(ISERROR(B378),"-",IF(J377=0,0,SUM($F$33:F378)))</f>
        <v>-</v>
      </c>
      <c r="H378" s="2">
        <f t="shared" si="49"/>
        <v>0</v>
      </c>
      <c r="I378" s="2" t="str">
        <f>IF(ISERROR($B378),"-",IF(J377=0,0,SUM($H$33:H378)))</f>
        <v>-</v>
      </c>
      <c r="J378" s="2" t="str">
        <f t="shared" si="50"/>
        <v>-</v>
      </c>
      <c r="K378" s="2" t="str">
        <f t="shared" si="51"/>
        <v>-</v>
      </c>
      <c r="L378" s="2">
        <f t="shared" si="52"/>
        <v>0</v>
      </c>
      <c r="M378" s="2">
        <f t="shared" si="53"/>
        <v>0</v>
      </c>
      <c r="O378" s="2">
        <f>IF('PV IN'!$N$10="Yes",PVLoan!F378*'PV IN'!$E$8,0)</f>
        <v>0</v>
      </c>
    </row>
    <row r="379" spans="1:15" x14ac:dyDescent="0.25">
      <c r="B379" t="e">
        <f t="shared" si="45"/>
        <v>#N/A</v>
      </c>
      <c r="C379" s="2" t="str">
        <f t="shared" si="46"/>
        <v>0</v>
      </c>
      <c r="E379" s="10">
        <f t="shared" si="47"/>
        <v>0</v>
      </c>
      <c r="F379" s="2">
        <f t="shared" si="48"/>
        <v>0</v>
      </c>
      <c r="G379" s="2" t="str">
        <f>IF(ISERROR(B379),"-",IF(J378=0,0,SUM($F$33:F379)))</f>
        <v>-</v>
      </c>
      <c r="H379" s="2">
        <f t="shared" si="49"/>
        <v>0</v>
      </c>
      <c r="I379" s="2" t="str">
        <f>IF(ISERROR($B379),"-",IF(J378=0,0,SUM($H$33:H379)))</f>
        <v>-</v>
      </c>
      <c r="J379" s="2" t="str">
        <f t="shared" si="50"/>
        <v>-</v>
      </c>
      <c r="K379" s="2" t="str">
        <f t="shared" si="51"/>
        <v>-</v>
      </c>
      <c r="L379" s="2">
        <f t="shared" si="52"/>
        <v>0</v>
      </c>
      <c r="M379" s="2">
        <f t="shared" si="53"/>
        <v>0</v>
      </c>
      <c r="O379" s="2">
        <f>IF('PV IN'!$N$10="Yes",PVLoan!F379*'PV IN'!$E$8,0)</f>
        <v>0</v>
      </c>
    </row>
    <row r="380" spans="1:15" x14ac:dyDescent="0.25">
      <c r="A380">
        <v>29</v>
      </c>
      <c r="B380" t="e">
        <f t="shared" si="45"/>
        <v>#N/A</v>
      </c>
      <c r="C380" s="2" t="str">
        <f t="shared" si="46"/>
        <v>0</v>
      </c>
      <c r="E380" s="10">
        <f t="shared" si="47"/>
        <v>0</v>
      </c>
      <c r="F380" s="2">
        <f t="shared" si="48"/>
        <v>0</v>
      </c>
      <c r="G380" s="2" t="str">
        <f>IF(ISERROR(B380),"-",IF(J379=0,0,SUM($F$33:F380)))</f>
        <v>-</v>
      </c>
      <c r="H380" s="2">
        <f t="shared" si="49"/>
        <v>0</v>
      </c>
      <c r="I380" s="2" t="str">
        <f>IF(ISERROR($B380),"-",IF(J379=0,0,SUM($H$33:H380)))</f>
        <v>-</v>
      </c>
      <c r="J380" s="2" t="str">
        <f t="shared" si="50"/>
        <v>-</v>
      </c>
      <c r="K380" s="2" t="str">
        <f t="shared" si="51"/>
        <v>-</v>
      </c>
      <c r="L380" s="2">
        <f t="shared" si="52"/>
        <v>0</v>
      </c>
      <c r="M380" s="2">
        <f t="shared" si="53"/>
        <v>0</v>
      </c>
      <c r="O380" s="2">
        <f>IF('PV IN'!$N$10="Yes",PVLoan!F380*'PV IN'!$E$8,0)</f>
        <v>0</v>
      </c>
    </row>
    <row r="381" spans="1:15" x14ac:dyDescent="0.25">
      <c r="B381" t="e">
        <f t="shared" si="45"/>
        <v>#N/A</v>
      </c>
      <c r="C381" s="2" t="str">
        <f t="shared" si="46"/>
        <v>0</v>
      </c>
      <c r="E381" s="10">
        <f t="shared" si="47"/>
        <v>0</v>
      </c>
      <c r="F381" s="2">
        <f t="shared" si="48"/>
        <v>0</v>
      </c>
      <c r="G381" s="2" t="str">
        <f>IF(ISERROR(B381),"-",IF(J380=0,0,SUM($F$33:F381)))</f>
        <v>-</v>
      </c>
      <c r="H381" s="2">
        <f t="shared" si="49"/>
        <v>0</v>
      </c>
      <c r="I381" s="2" t="str">
        <f>IF(ISERROR($B381),"-",IF(J380=0,0,SUM($H$33:H381)))</f>
        <v>-</v>
      </c>
      <c r="J381" s="2" t="str">
        <f t="shared" si="50"/>
        <v>-</v>
      </c>
      <c r="K381" s="2" t="str">
        <f t="shared" si="51"/>
        <v>-</v>
      </c>
      <c r="L381" s="2">
        <f t="shared" si="52"/>
        <v>0</v>
      </c>
      <c r="M381" s="2">
        <f t="shared" si="53"/>
        <v>0</v>
      </c>
      <c r="O381" s="2">
        <f>IF('PV IN'!$N$10="Yes",PVLoan!F381*'PV IN'!$E$8,0)</f>
        <v>0</v>
      </c>
    </row>
    <row r="382" spans="1:15" x14ac:dyDescent="0.25">
      <c r="B382" t="e">
        <f t="shared" si="45"/>
        <v>#N/A</v>
      </c>
      <c r="C382" s="2" t="str">
        <f t="shared" si="46"/>
        <v>0</v>
      </c>
      <c r="E382" s="10">
        <f t="shared" si="47"/>
        <v>0</v>
      </c>
      <c r="F382" s="2">
        <f t="shared" si="48"/>
        <v>0</v>
      </c>
      <c r="G382" s="2" t="str">
        <f>IF(ISERROR(B382),"-",IF(J381=0,0,SUM($F$33:F382)))</f>
        <v>-</v>
      </c>
      <c r="H382" s="2">
        <f t="shared" si="49"/>
        <v>0</v>
      </c>
      <c r="I382" s="2" t="str">
        <f>IF(ISERROR($B382),"-",IF(J381=0,0,SUM($H$33:H382)))</f>
        <v>-</v>
      </c>
      <c r="J382" s="2" t="str">
        <f t="shared" si="50"/>
        <v>-</v>
      </c>
      <c r="K382" s="2" t="str">
        <f t="shared" si="51"/>
        <v>-</v>
      </c>
      <c r="L382" s="2">
        <f t="shared" si="52"/>
        <v>0</v>
      </c>
      <c r="M382" s="2">
        <f t="shared" si="53"/>
        <v>0</v>
      </c>
      <c r="O382" s="2">
        <f>IF('PV IN'!$N$10="Yes",PVLoan!F382*'PV IN'!$E$8,0)</f>
        <v>0</v>
      </c>
    </row>
    <row r="383" spans="1:15" x14ac:dyDescent="0.25">
      <c r="B383" t="e">
        <f t="shared" si="45"/>
        <v>#N/A</v>
      </c>
      <c r="C383" s="2" t="str">
        <f t="shared" si="46"/>
        <v>0</v>
      </c>
      <c r="E383" s="10">
        <f t="shared" si="47"/>
        <v>0</v>
      </c>
      <c r="F383" s="2">
        <f t="shared" si="48"/>
        <v>0</v>
      </c>
      <c r="G383" s="2" t="str">
        <f>IF(ISERROR(B383),"-",IF(J382=0,0,SUM($F$33:F383)))</f>
        <v>-</v>
      </c>
      <c r="H383" s="2">
        <f t="shared" si="49"/>
        <v>0</v>
      </c>
      <c r="I383" s="2" t="str">
        <f>IF(ISERROR($B383),"-",IF(J382=0,0,SUM($H$33:H383)))</f>
        <v>-</v>
      </c>
      <c r="J383" s="2" t="str">
        <f t="shared" si="50"/>
        <v>-</v>
      </c>
      <c r="K383" s="2" t="str">
        <f t="shared" si="51"/>
        <v>-</v>
      </c>
      <c r="L383" s="2">
        <f t="shared" si="52"/>
        <v>0</v>
      </c>
      <c r="M383" s="2">
        <f t="shared" si="53"/>
        <v>0</v>
      </c>
      <c r="O383" s="2">
        <f>IF('PV IN'!$N$10="Yes",PVLoan!F383*'PV IN'!$E$8,0)</f>
        <v>0</v>
      </c>
    </row>
    <row r="384" spans="1:15" x14ac:dyDescent="0.25">
      <c r="B384" t="e">
        <f t="shared" si="45"/>
        <v>#N/A</v>
      </c>
      <c r="C384" s="2" t="str">
        <f t="shared" si="46"/>
        <v>0</v>
      </c>
      <c r="E384" s="10">
        <f t="shared" si="47"/>
        <v>0</v>
      </c>
      <c r="F384" s="2">
        <f t="shared" si="48"/>
        <v>0</v>
      </c>
      <c r="G384" s="2" t="str">
        <f>IF(ISERROR(B384),"-",IF(J383=0,0,SUM($F$33:F384)))</f>
        <v>-</v>
      </c>
      <c r="H384" s="2">
        <f t="shared" si="49"/>
        <v>0</v>
      </c>
      <c r="I384" s="2" t="str">
        <f>IF(ISERROR($B384),"-",IF(J383=0,0,SUM($H$33:H384)))</f>
        <v>-</v>
      </c>
      <c r="J384" s="2" t="str">
        <f t="shared" si="50"/>
        <v>-</v>
      </c>
      <c r="K384" s="2" t="str">
        <f t="shared" si="51"/>
        <v>-</v>
      </c>
      <c r="L384" s="2">
        <f t="shared" si="52"/>
        <v>0</v>
      </c>
      <c r="M384" s="2">
        <f t="shared" si="53"/>
        <v>0</v>
      </c>
      <c r="O384" s="2">
        <f>IF('PV IN'!$N$10="Yes",PVLoan!F384*'PV IN'!$E$8,0)</f>
        <v>0</v>
      </c>
    </row>
    <row r="385" spans="1:15" x14ac:dyDescent="0.25">
      <c r="B385" t="e">
        <f t="shared" si="45"/>
        <v>#N/A</v>
      </c>
      <c r="C385" s="2" t="str">
        <f t="shared" si="46"/>
        <v>0</v>
      </c>
      <c r="E385" s="10">
        <f t="shared" si="47"/>
        <v>0</v>
      </c>
      <c r="F385" s="2">
        <f t="shared" si="48"/>
        <v>0</v>
      </c>
      <c r="G385" s="2" t="str">
        <f>IF(ISERROR(B385),"-",IF(J384=0,0,SUM($F$33:F385)))</f>
        <v>-</v>
      </c>
      <c r="H385" s="2">
        <f t="shared" si="49"/>
        <v>0</v>
      </c>
      <c r="I385" s="2" t="str">
        <f>IF(ISERROR($B385),"-",IF(J384=0,0,SUM($H$33:H385)))</f>
        <v>-</v>
      </c>
      <c r="J385" s="2" t="str">
        <f t="shared" si="50"/>
        <v>-</v>
      </c>
      <c r="K385" s="2" t="str">
        <f t="shared" si="51"/>
        <v>-</v>
      </c>
      <c r="L385" s="2">
        <f t="shared" si="52"/>
        <v>0</v>
      </c>
      <c r="M385" s="2">
        <f t="shared" si="53"/>
        <v>0</v>
      </c>
      <c r="O385" s="2">
        <f>IF('PV IN'!$N$10="Yes",PVLoan!F385*'PV IN'!$E$8,0)</f>
        <v>0</v>
      </c>
    </row>
    <row r="386" spans="1:15" x14ac:dyDescent="0.25">
      <c r="B386" t="e">
        <f t="shared" si="45"/>
        <v>#N/A</v>
      </c>
      <c r="C386" s="2" t="str">
        <f t="shared" si="46"/>
        <v>0</v>
      </c>
      <c r="E386" s="10">
        <f t="shared" si="47"/>
        <v>0</v>
      </c>
      <c r="F386" s="2">
        <f t="shared" si="48"/>
        <v>0</v>
      </c>
      <c r="G386" s="2" t="str">
        <f>IF(ISERROR(B386),"-",IF(J385=0,0,SUM($F$33:F386)))</f>
        <v>-</v>
      </c>
      <c r="H386" s="2">
        <f t="shared" si="49"/>
        <v>0</v>
      </c>
      <c r="I386" s="2" t="str">
        <f>IF(ISERROR($B386),"-",IF(J385=0,0,SUM($H$33:H386)))</f>
        <v>-</v>
      </c>
      <c r="J386" s="2" t="str">
        <f t="shared" si="50"/>
        <v>-</v>
      </c>
      <c r="K386" s="2" t="str">
        <f t="shared" si="51"/>
        <v>-</v>
      </c>
      <c r="L386" s="2">
        <f t="shared" si="52"/>
        <v>0</v>
      </c>
      <c r="M386" s="2">
        <f t="shared" si="53"/>
        <v>0</v>
      </c>
      <c r="O386" s="2">
        <f>IF('PV IN'!$N$10="Yes",PVLoan!F386*'PV IN'!$E$8,0)</f>
        <v>0</v>
      </c>
    </row>
    <row r="387" spans="1:15" x14ac:dyDescent="0.25">
      <c r="B387" t="e">
        <f t="shared" si="45"/>
        <v>#N/A</v>
      </c>
      <c r="C387" s="2" t="str">
        <f t="shared" si="46"/>
        <v>0</v>
      </c>
      <c r="E387" s="10">
        <f t="shared" si="47"/>
        <v>0</v>
      </c>
      <c r="F387" s="2">
        <f t="shared" si="48"/>
        <v>0</v>
      </c>
      <c r="G387" s="2" t="str">
        <f>IF(ISERROR(B387),"-",IF(J386=0,0,SUM($F$33:F387)))</f>
        <v>-</v>
      </c>
      <c r="H387" s="2">
        <f t="shared" si="49"/>
        <v>0</v>
      </c>
      <c r="I387" s="2" t="str">
        <f>IF(ISERROR($B387),"-",IF(J386=0,0,SUM($H$33:H387)))</f>
        <v>-</v>
      </c>
      <c r="J387" s="2" t="str">
        <f t="shared" si="50"/>
        <v>-</v>
      </c>
      <c r="K387" s="2" t="str">
        <f t="shared" si="51"/>
        <v>-</v>
      </c>
      <c r="L387" s="2">
        <f t="shared" si="52"/>
        <v>0</v>
      </c>
      <c r="M387" s="2">
        <f t="shared" si="53"/>
        <v>0</v>
      </c>
      <c r="O387" s="2">
        <f>IF('PV IN'!$N$10="Yes",PVLoan!F387*'PV IN'!$E$8,0)</f>
        <v>0</v>
      </c>
    </row>
    <row r="388" spans="1:15" x14ac:dyDescent="0.25">
      <c r="B388" t="e">
        <f t="shared" si="45"/>
        <v>#N/A</v>
      </c>
      <c r="C388" s="2" t="str">
        <f t="shared" si="46"/>
        <v>0</v>
      </c>
      <c r="E388" s="10">
        <f t="shared" si="47"/>
        <v>0</v>
      </c>
      <c r="F388" s="2">
        <f t="shared" si="48"/>
        <v>0</v>
      </c>
      <c r="G388" s="2" t="str">
        <f>IF(ISERROR(B388),"-",IF(J387=0,0,SUM($F$33:F388)))</f>
        <v>-</v>
      </c>
      <c r="H388" s="2">
        <f t="shared" si="49"/>
        <v>0</v>
      </c>
      <c r="I388" s="2" t="str">
        <f>IF(ISERROR($B388),"-",IF(J387=0,0,SUM($H$33:H388)))</f>
        <v>-</v>
      </c>
      <c r="J388" s="2" t="str">
        <f t="shared" si="50"/>
        <v>-</v>
      </c>
      <c r="K388" s="2" t="str">
        <f t="shared" si="51"/>
        <v>-</v>
      </c>
      <c r="L388" s="2">
        <f t="shared" si="52"/>
        <v>0</v>
      </c>
      <c r="M388" s="2">
        <f t="shared" si="53"/>
        <v>0</v>
      </c>
      <c r="O388" s="2">
        <f>IF('PV IN'!$N$10="Yes",PVLoan!F388*'PV IN'!$E$8,0)</f>
        <v>0</v>
      </c>
    </row>
    <row r="389" spans="1:15" x14ac:dyDescent="0.25">
      <c r="B389" t="e">
        <f t="shared" si="45"/>
        <v>#N/A</v>
      </c>
      <c r="C389" s="2" t="str">
        <f t="shared" si="46"/>
        <v>0</v>
      </c>
      <c r="E389" s="10">
        <f t="shared" si="47"/>
        <v>0</v>
      </c>
      <c r="F389" s="2">
        <f t="shared" si="48"/>
        <v>0</v>
      </c>
      <c r="G389" s="2" t="str">
        <f>IF(ISERROR(B389),"-",IF(J388=0,0,SUM($F$33:F389)))</f>
        <v>-</v>
      </c>
      <c r="H389" s="2">
        <f t="shared" si="49"/>
        <v>0</v>
      </c>
      <c r="I389" s="2" t="str">
        <f>IF(ISERROR($B389),"-",IF(J388=0,0,SUM($H$33:H389)))</f>
        <v>-</v>
      </c>
      <c r="J389" s="2" t="str">
        <f t="shared" si="50"/>
        <v>-</v>
      </c>
      <c r="K389" s="2" t="str">
        <f t="shared" si="51"/>
        <v>-</v>
      </c>
      <c r="L389" s="2">
        <f t="shared" si="52"/>
        <v>0</v>
      </c>
      <c r="M389" s="2">
        <f t="shared" si="53"/>
        <v>0</v>
      </c>
      <c r="O389" s="2">
        <f>IF('PV IN'!$N$10="Yes",PVLoan!F389*'PV IN'!$E$8,0)</f>
        <v>0</v>
      </c>
    </row>
    <row r="390" spans="1:15" x14ac:dyDescent="0.25">
      <c r="B390" t="e">
        <f t="shared" si="45"/>
        <v>#N/A</v>
      </c>
      <c r="C390" s="2" t="str">
        <f t="shared" si="46"/>
        <v>0</v>
      </c>
      <c r="E390" s="10">
        <f t="shared" si="47"/>
        <v>0</v>
      </c>
      <c r="F390" s="2">
        <f t="shared" si="48"/>
        <v>0</v>
      </c>
      <c r="G390" s="2" t="str">
        <f>IF(ISERROR(B390),"-",IF(J389=0,0,SUM($F$33:F390)))</f>
        <v>-</v>
      </c>
      <c r="H390" s="2">
        <f t="shared" si="49"/>
        <v>0</v>
      </c>
      <c r="I390" s="2" t="str">
        <f>IF(ISERROR($B390),"-",IF(J389=0,0,SUM($H$33:H390)))</f>
        <v>-</v>
      </c>
      <c r="J390" s="2" t="str">
        <f t="shared" si="50"/>
        <v>-</v>
      </c>
      <c r="K390" s="2" t="str">
        <f t="shared" si="51"/>
        <v>-</v>
      </c>
      <c r="L390" s="2">
        <f t="shared" si="52"/>
        <v>0</v>
      </c>
      <c r="M390" s="2">
        <f t="shared" si="53"/>
        <v>0</v>
      </c>
      <c r="O390" s="2">
        <f>IF('PV IN'!$N$10="Yes",PVLoan!F390*'PV IN'!$E$8,0)</f>
        <v>0</v>
      </c>
    </row>
    <row r="391" spans="1:15" x14ac:dyDescent="0.25">
      <c r="B391" t="e">
        <f t="shared" si="45"/>
        <v>#N/A</v>
      </c>
      <c r="C391" s="2" t="str">
        <f t="shared" si="46"/>
        <v>0</v>
      </c>
      <c r="E391" s="10">
        <f t="shared" si="47"/>
        <v>0</v>
      </c>
      <c r="F391" s="2">
        <f t="shared" si="48"/>
        <v>0</v>
      </c>
      <c r="G391" s="2" t="str">
        <f>IF(ISERROR(B391),"-",IF(J390=0,0,SUM($F$33:F391)))</f>
        <v>-</v>
      </c>
      <c r="H391" s="2">
        <f t="shared" si="49"/>
        <v>0</v>
      </c>
      <c r="I391" s="2" t="str">
        <f>IF(ISERROR($B391),"-",IF(J390=0,0,SUM($H$33:H391)))</f>
        <v>-</v>
      </c>
      <c r="J391" s="2" t="str">
        <f t="shared" si="50"/>
        <v>-</v>
      </c>
      <c r="K391" s="2" t="str">
        <f t="shared" si="51"/>
        <v>-</v>
      </c>
      <c r="L391" s="2">
        <f t="shared" si="52"/>
        <v>0</v>
      </c>
      <c r="M391" s="2">
        <f t="shared" si="53"/>
        <v>0</v>
      </c>
      <c r="O391" s="2">
        <f>IF('PV IN'!$N$10="Yes",PVLoan!F391*'PV IN'!$E$8,0)</f>
        <v>0</v>
      </c>
    </row>
    <row r="392" spans="1:15" x14ac:dyDescent="0.25">
      <c r="A392">
        <v>30</v>
      </c>
      <c r="B392" t="e">
        <f t="shared" si="45"/>
        <v>#N/A</v>
      </c>
      <c r="C392" s="2" t="str">
        <f t="shared" si="46"/>
        <v>0</v>
      </c>
      <c r="E392" s="10">
        <f t="shared" si="47"/>
        <v>0</v>
      </c>
      <c r="F392" s="2">
        <f t="shared" si="48"/>
        <v>0</v>
      </c>
      <c r="G392" s="2" t="str">
        <f>IF(ISERROR(B392),"-",IF(J391=0,0,SUM($F$33:F392)))</f>
        <v>-</v>
      </c>
      <c r="H392" s="2">
        <f t="shared" si="49"/>
        <v>0</v>
      </c>
      <c r="I392" s="2" t="str">
        <f>IF(ISERROR($B392),"-",IF(J391=0,0,SUM($H$33:H392)))</f>
        <v>-</v>
      </c>
      <c r="J392" s="2" t="str">
        <f t="shared" si="50"/>
        <v>-</v>
      </c>
      <c r="K392" s="2" t="str">
        <f t="shared" si="51"/>
        <v>-</v>
      </c>
      <c r="L392" s="2">
        <f t="shared" si="52"/>
        <v>0</v>
      </c>
      <c r="M392" s="2">
        <f t="shared" si="53"/>
        <v>0</v>
      </c>
      <c r="O392" s="2">
        <f>IF('PV IN'!$N$10="Yes",PVLoan!F392*'PV IN'!$E$8,0)</f>
        <v>0</v>
      </c>
    </row>
    <row r="393" spans="1:15" x14ac:dyDescent="0.25">
      <c r="B393" t="e">
        <f t="shared" si="45"/>
        <v>#N/A</v>
      </c>
      <c r="C393" s="2" t="str">
        <f t="shared" ref="C393:C456" si="54">IF(ISERROR(B393),"0",IF(J392=0,0,$E$11))</f>
        <v>0</v>
      </c>
      <c r="E393" s="10">
        <f t="shared" ref="E393:E456" si="55">C393+D393</f>
        <v>0</v>
      </c>
      <c r="F393" s="2">
        <f t="shared" ref="F393:F456" si="56">IF(ISERROR(B393),0,$E$8*J392)</f>
        <v>0</v>
      </c>
      <c r="G393" s="2" t="str">
        <f>IF(ISERROR(B393),"-",IF(J392=0,0,SUM($F$33:F393)))</f>
        <v>-</v>
      </c>
      <c r="H393" s="2">
        <f t="shared" ref="H393:H456" si="57">IF(ISERROR($B393),0,IF(J392=0,0,E393-F393))</f>
        <v>0</v>
      </c>
      <c r="I393" s="2" t="str">
        <f>IF(ISERROR($B393),"-",IF(J392=0,0,SUM($H$33:H393)))</f>
        <v>-</v>
      </c>
      <c r="J393" s="2" t="str">
        <f t="shared" ref="J393:J456" si="58">IF(ISERROR($B393),"-",IF(J392-H393&lt;0,0,J392-H393))</f>
        <v>-</v>
      </c>
      <c r="K393" s="2" t="str">
        <f t="shared" ref="K393:K456" si="59">IF(ISERROR(B393),"-",J392-H393)</f>
        <v>-</v>
      </c>
      <c r="L393" s="2">
        <f t="shared" ref="L393:L456" si="60">IF(K393&gt;=0,E393,E393+K393)</f>
        <v>0</v>
      </c>
      <c r="M393" s="2">
        <f t="shared" ref="M393:M456" si="61">-IF(K393&lt;0,K393,0)</f>
        <v>0</v>
      </c>
      <c r="O393" s="2">
        <f>IF('PV IN'!$N$10="Yes",PVLoan!F393*'PV IN'!$E$8,0)</f>
        <v>0</v>
      </c>
    </row>
    <row r="394" spans="1:15" x14ac:dyDescent="0.25">
      <c r="B394" t="e">
        <f t="shared" si="45"/>
        <v>#N/A</v>
      </c>
      <c r="C394" s="2" t="str">
        <f t="shared" si="54"/>
        <v>0</v>
      </c>
      <c r="E394" s="10">
        <f t="shared" si="55"/>
        <v>0</v>
      </c>
      <c r="F394" s="2">
        <f t="shared" si="56"/>
        <v>0</v>
      </c>
      <c r="G394" s="2" t="str">
        <f>IF(ISERROR(B394),"-",IF(J393=0,0,SUM($F$33:F394)))</f>
        <v>-</v>
      </c>
      <c r="H394" s="2">
        <f t="shared" si="57"/>
        <v>0</v>
      </c>
      <c r="I394" s="2" t="str">
        <f>IF(ISERROR($B394),"-",IF(J393=0,0,SUM($H$33:H394)))</f>
        <v>-</v>
      </c>
      <c r="J394" s="2" t="str">
        <f t="shared" si="58"/>
        <v>-</v>
      </c>
      <c r="K394" s="2" t="str">
        <f t="shared" si="59"/>
        <v>-</v>
      </c>
      <c r="L394" s="2">
        <f t="shared" si="60"/>
        <v>0</v>
      </c>
      <c r="M394" s="2">
        <f t="shared" si="61"/>
        <v>0</v>
      </c>
      <c r="O394" s="2">
        <f>IF('PV IN'!$N$10="Yes",PVLoan!F394*'PV IN'!$E$8,0)</f>
        <v>0</v>
      </c>
    </row>
    <row r="395" spans="1:15" x14ac:dyDescent="0.25">
      <c r="B395" t="e">
        <f t="shared" si="45"/>
        <v>#N/A</v>
      </c>
      <c r="C395" s="2" t="str">
        <f t="shared" si="54"/>
        <v>0</v>
      </c>
      <c r="E395" s="10">
        <f t="shared" si="55"/>
        <v>0</v>
      </c>
      <c r="F395" s="2">
        <f t="shared" si="56"/>
        <v>0</v>
      </c>
      <c r="G395" s="2" t="str">
        <f>IF(ISERROR(B395),"-",IF(J394=0,0,SUM($F$33:F395)))</f>
        <v>-</v>
      </c>
      <c r="H395" s="2">
        <f t="shared" si="57"/>
        <v>0</v>
      </c>
      <c r="I395" s="2" t="str">
        <f>IF(ISERROR($B395),"-",IF(J394=0,0,SUM($H$33:H395)))</f>
        <v>-</v>
      </c>
      <c r="J395" s="2" t="str">
        <f t="shared" si="58"/>
        <v>-</v>
      </c>
      <c r="K395" s="2" t="str">
        <f t="shared" si="59"/>
        <v>-</v>
      </c>
      <c r="L395" s="2">
        <f t="shared" si="60"/>
        <v>0</v>
      </c>
      <c r="M395" s="2">
        <f t="shared" si="61"/>
        <v>0</v>
      </c>
      <c r="O395" s="2">
        <f>IF('PV IN'!$N$10="Yes",PVLoan!F395*'PV IN'!$E$8,0)</f>
        <v>0</v>
      </c>
    </row>
    <row r="396" spans="1:15" x14ac:dyDescent="0.25">
      <c r="B396" t="e">
        <f t="shared" si="45"/>
        <v>#N/A</v>
      </c>
      <c r="C396" s="2" t="str">
        <f t="shared" si="54"/>
        <v>0</v>
      </c>
      <c r="E396" s="10">
        <f t="shared" si="55"/>
        <v>0</v>
      </c>
      <c r="F396" s="2">
        <f t="shared" si="56"/>
        <v>0</v>
      </c>
      <c r="G396" s="2" t="str">
        <f>IF(ISERROR(B396),"-",IF(J395=0,0,SUM($F$33:F396)))</f>
        <v>-</v>
      </c>
      <c r="H396" s="2">
        <f t="shared" si="57"/>
        <v>0</v>
      </c>
      <c r="I396" s="2" t="str">
        <f>IF(ISERROR($B396),"-",IF(J395=0,0,SUM($H$33:H396)))</f>
        <v>-</v>
      </c>
      <c r="J396" s="2" t="str">
        <f t="shared" si="58"/>
        <v>-</v>
      </c>
      <c r="K396" s="2" t="str">
        <f t="shared" si="59"/>
        <v>-</v>
      </c>
      <c r="L396" s="2">
        <f t="shared" si="60"/>
        <v>0</v>
      </c>
      <c r="M396" s="2">
        <f t="shared" si="61"/>
        <v>0</v>
      </c>
      <c r="O396" s="2">
        <f>IF('PV IN'!$N$10="Yes",PVLoan!F396*'PV IN'!$E$8,0)</f>
        <v>0</v>
      </c>
    </row>
    <row r="397" spans="1:15" x14ac:dyDescent="0.25">
      <c r="B397" t="e">
        <f t="shared" si="45"/>
        <v>#N/A</v>
      </c>
      <c r="C397" s="2" t="str">
        <f t="shared" si="54"/>
        <v>0</v>
      </c>
      <c r="E397" s="10">
        <f t="shared" si="55"/>
        <v>0</v>
      </c>
      <c r="F397" s="2">
        <f t="shared" si="56"/>
        <v>0</v>
      </c>
      <c r="G397" s="2" t="str">
        <f>IF(ISERROR(B397),"-",IF(J396=0,0,SUM($F$33:F397)))</f>
        <v>-</v>
      </c>
      <c r="H397" s="2">
        <f t="shared" si="57"/>
        <v>0</v>
      </c>
      <c r="I397" s="2" t="str">
        <f>IF(ISERROR($B397),"-",IF(J396=0,0,SUM($H$33:H397)))</f>
        <v>-</v>
      </c>
      <c r="J397" s="2" t="str">
        <f t="shared" si="58"/>
        <v>-</v>
      </c>
      <c r="K397" s="2" t="str">
        <f t="shared" si="59"/>
        <v>-</v>
      </c>
      <c r="L397" s="2">
        <f t="shared" si="60"/>
        <v>0</v>
      </c>
      <c r="M397" s="2">
        <f t="shared" si="61"/>
        <v>0</v>
      </c>
      <c r="O397" s="2">
        <f>IF('PV IN'!$N$10="Yes",PVLoan!F397*'PV IN'!$E$8,0)</f>
        <v>0</v>
      </c>
    </row>
    <row r="398" spans="1:15" x14ac:dyDescent="0.25">
      <c r="B398" t="e">
        <f t="shared" si="45"/>
        <v>#N/A</v>
      </c>
      <c r="C398" s="2" t="str">
        <f t="shared" si="54"/>
        <v>0</v>
      </c>
      <c r="E398" s="10">
        <f t="shared" si="55"/>
        <v>0</v>
      </c>
      <c r="F398" s="2">
        <f t="shared" si="56"/>
        <v>0</v>
      </c>
      <c r="G398" s="2" t="str">
        <f>IF(ISERROR(B398),"-",IF(J397=0,0,SUM($F$33:F398)))</f>
        <v>-</v>
      </c>
      <c r="H398" s="2">
        <f t="shared" si="57"/>
        <v>0</v>
      </c>
      <c r="I398" s="2" t="str">
        <f>IF(ISERROR($B398),"-",IF(J397=0,0,SUM($H$33:H398)))</f>
        <v>-</v>
      </c>
      <c r="J398" s="2" t="str">
        <f t="shared" si="58"/>
        <v>-</v>
      </c>
      <c r="K398" s="2" t="str">
        <f t="shared" si="59"/>
        <v>-</v>
      </c>
      <c r="L398" s="2">
        <f t="shared" si="60"/>
        <v>0</v>
      </c>
      <c r="M398" s="2">
        <f t="shared" si="61"/>
        <v>0</v>
      </c>
      <c r="O398" s="2">
        <f>IF('PV IN'!$N$10="Yes",PVLoan!F398*'PV IN'!$E$8,0)</f>
        <v>0</v>
      </c>
    </row>
    <row r="399" spans="1:15" x14ac:dyDescent="0.25">
      <c r="B399" t="e">
        <f t="shared" si="45"/>
        <v>#N/A</v>
      </c>
      <c r="C399" s="2" t="str">
        <f t="shared" si="54"/>
        <v>0</v>
      </c>
      <c r="E399" s="10">
        <f t="shared" si="55"/>
        <v>0</v>
      </c>
      <c r="F399" s="2">
        <f t="shared" si="56"/>
        <v>0</v>
      </c>
      <c r="G399" s="2" t="str">
        <f>IF(ISERROR(B399),"-",IF(J398=0,0,SUM($F$33:F399)))</f>
        <v>-</v>
      </c>
      <c r="H399" s="2">
        <f t="shared" si="57"/>
        <v>0</v>
      </c>
      <c r="I399" s="2" t="str">
        <f>IF(ISERROR($B399),"-",IF(J398=0,0,SUM($H$33:H399)))</f>
        <v>-</v>
      </c>
      <c r="J399" s="2" t="str">
        <f t="shared" si="58"/>
        <v>-</v>
      </c>
      <c r="K399" s="2" t="str">
        <f t="shared" si="59"/>
        <v>-</v>
      </c>
      <c r="L399" s="2">
        <f t="shared" si="60"/>
        <v>0</v>
      </c>
      <c r="M399" s="2">
        <f t="shared" si="61"/>
        <v>0</v>
      </c>
      <c r="O399" s="2">
        <f>IF('PV IN'!$N$10="Yes",PVLoan!F399*'PV IN'!$E$8,0)</f>
        <v>0</v>
      </c>
    </row>
    <row r="400" spans="1:15" x14ac:dyDescent="0.25">
      <c r="B400" t="e">
        <f t="shared" si="45"/>
        <v>#N/A</v>
      </c>
      <c r="C400" s="2" t="str">
        <f t="shared" si="54"/>
        <v>0</v>
      </c>
      <c r="E400" s="10">
        <f t="shared" si="55"/>
        <v>0</v>
      </c>
      <c r="F400" s="2">
        <f t="shared" si="56"/>
        <v>0</v>
      </c>
      <c r="G400" s="2" t="str">
        <f>IF(ISERROR(B400),"-",IF(J399=0,0,SUM($F$33:F400)))</f>
        <v>-</v>
      </c>
      <c r="H400" s="2">
        <f t="shared" si="57"/>
        <v>0</v>
      </c>
      <c r="I400" s="2" t="str">
        <f>IF(ISERROR($B400),"-",IF(J399=0,0,SUM($H$33:H400)))</f>
        <v>-</v>
      </c>
      <c r="J400" s="2" t="str">
        <f t="shared" si="58"/>
        <v>-</v>
      </c>
      <c r="K400" s="2" t="str">
        <f t="shared" si="59"/>
        <v>-</v>
      </c>
      <c r="L400" s="2">
        <f t="shared" si="60"/>
        <v>0</v>
      </c>
      <c r="M400" s="2">
        <f t="shared" si="61"/>
        <v>0</v>
      </c>
      <c r="O400" s="2">
        <f>IF('PV IN'!$N$10="Yes",PVLoan!F400*'PV IN'!$E$8,0)</f>
        <v>0</v>
      </c>
    </row>
    <row r="401" spans="1:15" x14ac:dyDescent="0.25">
      <c r="B401" t="e">
        <f t="shared" si="45"/>
        <v>#N/A</v>
      </c>
      <c r="C401" s="2" t="str">
        <f t="shared" si="54"/>
        <v>0</v>
      </c>
      <c r="E401" s="10">
        <f t="shared" si="55"/>
        <v>0</v>
      </c>
      <c r="F401" s="2">
        <f t="shared" si="56"/>
        <v>0</v>
      </c>
      <c r="G401" s="2" t="str">
        <f>IF(ISERROR(B401),"-",IF(J400=0,0,SUM($F$33:F401)))</f>
        <v>-</v>
      </c>
      <c r="H401" s="2">
        <f t="shared" si="57"/>
        <v>0</v>
      </c>
      <c r="I401" s="2" t="str">
        <f>IF(ISERROR($B401),"-",IF(J400=0,0,SUM($H$33:H401)))</f>
        <v>-</v>
      </c>
      <c r="J401" s="2" t="str">
        <f t="shared" si="58"/>
        <v>-</v>
      </c>
      <c r="K401" s="2" t="str">
        <f t="shared" si="59"/>
        <v>-</v>
      </c>
      <c r="L401" s="2">
        <f t="shared" si="60"/>
        <v>0</v>
      </c>
      <c r="M401" s="2">
        <f t="shared" si="61"/>
        <v>0</v>
      </c>
      <c r="O401" s="2">
        <f>IF('PV IN'!$N$10="Yes",PVLoan!F401*'PV IN'!$E$8,0)</f>
        <v>0</v>
      </c>
    </row>
    <row r="402" spans="1:15" x14ac:dyDescent="0.25">
      <c r="B402" t="e">
        <f t="shared" si="45"/>
        <v>#N/A</v>
      </c>
      <c r="C402" s="2" t="str">
        <f t="shared" si="54"/>
        <v>0</v>
      </c>
      <c r="E402" s="10">
        <f t="shared" si="55"/>
        <v>0</v>
      </c>
      <c r="F402" s="2">
        <f t="shared" si="56"/>
        <v>0</v>
      </c>
      <c r="G402" s="2" t="str">
        <f>IF(ISERROR(B402),"-",IF(J401=0,0,SUM($F$33:F402)))</f>
        <v>-</v>
      </c>
      <c r="H402" s="2">
        <f t="shared" si="57"/>
        <v>0</v>
      </c>
      <c r="I402" s="2" t="str">
        <f>IF(ISERROR($B402),"-",IF(J401=0,0,SUM($H$33:H402)))</f>
        <v>-</v>
      </c>
      <c r="J402" s="2" t="str">
        <f t="shared" si="58"/>
        <v>-</v>
      </c>
      <c r="K402" s="2" t="str">
        <f t="shared" si="59"/>
        <v>-</v>
      </c>
      <c r="L402" s="2">
        <f t="shared" si="60"/>
        <v>0</v>
      </c>
      <c r="M402" s="2">
        <f t="shared" si="61"/>
        <v>0</v>
      </c>
      <c r="O402" s="2">
        <f>IF('PV IN'!$N$10="Yes",PVLoan!F402*'PV IN'!$E$8,0)</f>
        <v>0</v>
      </c>
    </row>
    <row r="403" spans="1:15" x14ac:dyDescent="0.25">
      <c r="B403" t="e">
        <f t="shared" si="45"/>
        <v>#N/A</v>
      </c>
      <c r="C403" s="2" t="str">
        <f t="shared" si="54"/>
        <v>0</v>
      </c>
      <c r="E403" s="10">
        <f t="shared" si="55"/>
        <v>0</v>
      </c>
      <c r="F403" s="2">
        <f t="shared" si="56"/>
        <v>0</v>
      </c>
      <c r="G403" s="2" t="str">
        <f>IF(ISERROR(B403),"-",IF(J402=0,0,SUM($F$33:F403)))</f>
        <v>-</v>
      </c>
      <c r="H403" s="2">
        <f t="shared" si="57"/>
        <v>0</v>
      </c>
      <c r="I403" s="2" t="str">
        <f>IF(ISERROR($B403),"-",IF(J402=0,0,SUM($H$33:H403)))</f>
        <v>-</v>
      </c>
      <c r="J403" s="2" t="str">
        <f t="shared" si="58"/>
        <v>-</v>
      </c>
      <c r="K403" s="2" t="str">
        <f t="shared" si="59"/>
        <v>-</v>
      </c>
      <c r="L403" s="2">
        <f t="shared" si="60"/>
        <v>0</v>
      </c>
      <c r="M403" s="2">
        <f t="shared" si="61"/>
        <v>0</v>
      </c>
      <c r="O403" s="2">
        <f>IF('PV IN'!$N$10="Yes",PVLoan!F403*'PV IN'!$E$8,0)</f>
        <v>0</v>
      </c>
    </row>
    <row r="404" spans="1:15" x14ac:dyDescent="0.25">
      <c r="A404">
        <v>31</v>
      </c>
      <c r="B404" t="e">
        <f t="shared" si="45"/>
        <v>#N/A</v>
      </c>
      <c r="C404" s="2" t="str">
        <f t="shared" si="54"/>
        <v>0</v>
      </c>
      <c r="E404" s="10">
        <f t="shared" si="55"/>
        <v>0</v>
      </c>
      <c r="F404" s="2">
        <f t="shared" si="56"/>
        <v>0</v>
      </c>
      <c r="G404" s="2" t="str">
        <f>IF(ISERROR(B404),"-",IF(J403=0,0,SUM($F$33:F404)))</f>
        <v>-</v>
      </c>
      <c r="H404" s="2">
        <f t="shared" si="57"/>
        <v>0</v>
      </c>
      <c r="I404" s="2" t="str">
        <f>IF(ISERROR($B404),"-",IF(J403=0,0,SUM($H$33:H404)))</f>
        <v>-</v>
      </c>
      <c r="J404" s="2" t="str">
        <f t="shared" si="58"/>
        <v>-</v>
      </c>
      <c r="K404" s="2" t="str">
        <f t="shared" si="59"/>
        <v>-</v>
      </c>
      <c r="L404" s="2">
        <f t="shared" si="60"/>
        <v>0</v>
      </c>
      <c r="M404" s="2">
        <f t="shared" si="61"/>
        <v>0</v>
      </c>
      <c r="O404" s="2">
        <f>IF('PV IN'!$N$10="Yes",PVLoan!F404*'PV IN'!$E$8,0)</f>
        <v>0</v>
      </c>
    </row>
    <row r="405" spans="1:15" x14ac:dyDescent="0.25">
      <c r="B405" t="e">
        <f t="shared" si="45"/>
        <v>#N/A</v>
      </c>
      <c r="C405" s="2" t="str">
        <f t="shared" si="54"/>
        <v>0</v>
      </c>
      <c r="E405" s="10">
        <f t="shared" si="55"/>
        <v>0</v>
      </c>
      <c r="F405" s="2">
        <f t="shared" si="56"/>
        <v>0</v>
      </c>
      <c r="G405" s="2" t="str">
        <f>IF(ISERROR(B405),"-",IF(J404=0,0,SUM($F$33:F405)))</f>
        <v>-</v>
      </c>
      <c r="H405" s="2">
        <f t="shared" si="57"/>
        <v>0</v>
      </c>
      <c r="I405" s="2" t="str">
        <f>IF(ISERROR($B405),"-",IF(J404=0,0,SUM($H$33:H405)))</f>
        <v>-</v>
      </c>
      <c r="J405" s="2" t="str">
        <f t="shared" si="58"/>
        <v>-</v>
      </c>
      <c r="K405" s="2" t="str">
        <f t="shared" si="59"/>
        <v>-</v>
      </c>
      <c r="L405" s="2">
        <f t="shared" si="60"/>
        <v>0</v>
      </c>
      <c r="M405" s="2">
        <f t="shared" si="61"/>
        <v>0</v>
      </c>
      <c r="O405" s="2">
        <f>IF('PV IN'!$N$10="Yes",PVLoan!F405*'PV IN'!$E$8,0)</f>
        <v>0</v>
      </c>
    </row>
    <row r="406" spans="1:15" x14ac:dyDescent="0.25">
      <c r="B406" t="e">
        <f t="shared" si="45"/>
        <v>#N/A</v>
      </c>
      <c r="C406" s="2" t="str">
        <f t="shared" si="54"/>
        <v>0</v>
      </c>
      <c r="E406" s="10">
        <f t="shared" si="55"/>
        <v>0</v>
      </c>
      <c r="F406" s="2">
        <f t="shared" si="56"/>
        <v>0</v>
      </c>
      <c r="G406" s="2" t="str">
        <f>IF(ISERROR(B406),"-",IF(J405=0,0,SUM($F$33:F406)))</f>
        <v>-</v>
      </c>
      <c r="H406" s="2">
        <f t="shared" si="57"/>
        <v>0</v>
      </c>
      <c r="I406" s="2" t="str">
        <f>IF(ISERROR($B406),"-",IF(J405=0,0,SUM($H$33:H406)))</f>
        <v>-</v>
      </c>
      <c r="J406" s="2" t="str">
        <f t="shared" si="58"/>
        <v>-</v>
      </c>
      <c r="K406" s="2" t="str">
        <f t="shared" si="59"/>
        <v>-</v>
      </c>
      <c r="L406" s="2">
        <f t="shared" si="60"/>
        <v>0</v>
      </c>
      <c r="M406" s="2">
        <f t="shared" si="61"/>
        <v>0</v>
      </c>
      <c r="O406" s="2">
        <f>IF('PV IN'!$N$10="Yes",PVLoan!F406*'PV IN'!$E$8,0)</f>
        <v>0</v>
      </c>
    </row>
    <row r="407" spans="1:15" x14ac:dyDescent="0.25">
      <c r="B407" t="e">
        <f t="shared" si="45"/>
        <v>#N/A</v>
      </c>
      <c r="C407" s="2" t="str">
        <f t="shared" si="54"/>
        <v>0</v>
      </c>
      <c r="E407" s="10">
        <f t="shared" si="55"/>
        <v>0</v>
      </c>
      <c r="F407" s="2">
        <f t="shared" si="56"/>
        <v>0</v>
      </c>
      <c r="G407" s="2" t="str">
        <f>IF(ISERROR(B407),"-",IF(J406=0,0,SUM($F$33:F407)))</f>
        <v>-</v>
      </c>
      <c r="H407" s="2">
        <f t="shared" si="57"/>
        <v>0</v>
      </c>
      <c r="I407" s="2" t="str">
        <f>IF(ISERROR($B407),"-",IF(J406=0,0,SUM($H$33:H407)))</f>
        <v>-</v>
      </c>
      <c r="J407" s="2" t="str">
        <f t="shared" si="58"/>
        <v>-</v>
      </c>
      <c r="K407" s="2" t="str">
        <f t="shared" si="59"/>
        <v>-</v>
      </c>
      <c r="L407" s="2">
        <f t="shared" si="60"/>
        <v>0</v>
      </c>
      <c r="M407" s="2">
        <f t="shared" si="61"/>
        <v>0</v>
      </c>
      <c r="O407" s="2">
        <f>IF('PV IN'!$N$10="Yes",PVLoan!F407*'PV IN'!$E$8,0)</f>
        <v>0</v>
      </c>
    </row>
    <row r="408" spans="1:15" x14ac:dyDescent="0.25">
      <c r="B408" t="e">
        <f t="shared" si="45"/>
        <v>#N/A</v>
      </c>
      <c r="C408" s="2" t="str">
        <f t="shared" si="54"/>
        <v>0</v>
      </c>
      <c r="E408" s="10">
        <f t="shared" si="55"/>
        <v>0</v>
      </c>
      <c r="F408" s="2">
        <f t="shared" si="56"/>
        <v>0</v>
      </c>
      <c r="G408" s="2" t="str">
        <f>IF(ISERROR(B408),"-",IF(J407=0,0,SUM($F$33:F408)))</f>
        <v>-</v>
      </c>
      <c r="H408" s="2">
        <f t="shared" si="57"/>
        <v>0</v>
      </c>
      <c r="I408" s="2" t="str">
        <f>IF(ISERROR($B408),"-",IF(J407=0,0,SUM($H$33:H408)))</f>
        <v>-</v>
      </c>
      <c r="J408" s="2" t="str">
        <f t="shared" si="58"/>
        <v>-</v>
      </c>
      <c r="K408" s="2" t="str">
        <f t="shared" si="59"/>
        <v>-</v>
      </c>
      <c r="L408" s="2">
        <f t="shared" si="60"/>
        <v>0</v>
      </c>
      <c r="M408" s="2">
        <f t="shared" si="61"/>
        <v>0</v>
      </c>
      <c r="O408" s="2">
        <f>IF('PV IN'!$N$10="Yes",PVLoan!F408*'PV IN'!$E$8,0)</f>
        <v>0</v>
      </c>
    </row>
    <row r="409" spans="1:15" x14ac:dyDescent="0.25">
      <c r="B409" t="e">
        <f t="shared" si="45"/>
        <v>#N/A</v>
      </c>
      <c r="C409" s="2" t="str">
        <f t="shared" si="54"/>
        <v>0</v>
      </c>
      <c r="E409" s="10">
        <f t="shared" si="55"/>
        <v>0</v>
      </c>
      <c r="F409" s="2">
        <f t="shared" si="56"/>
        <v>0</v>
      </c>
      <c r="G409" s="2" t="str">
        <f>IF(ISERROR(B409),"-",IF(J408=0,0,SUM($F$33:F409)))</f>
        <v>-</v>
      </c>
      <c r="H409" s="2">
        <f t="shared" si="57"/>
        <v>0</v>
      </c>
      <c r="I409" s="2" t="str">
        <f>IF(ISERROR($B409),"-",IF(J408=0,0,SUM($H$33:H409)))</f>
        <v>-</v>
      </c>
      <c r="J409" s="2" t="str">
        <f t="shared" si="58"/>
        <v>-</v>
      </c>
      <c r="K409" s="2" t="str">
        <f t="shared" si="59"/>
        <v>-</v>
      </c>
      <c r="L409" s="2">
        <f t="shared" si="60"/>
        <v>0</v>
      </c>
      <c r="M409" s="2">
        <f t="shared" si="61"/>
        <v>0</v>
      </c>
      <c r="O409" s="2">
        <f>IF('PV IN'!$N$10="Yes",PVLoan!F409*'PV IN'!$E$8,0)</f>
        <v>0</v>
      </c>
    </row>
    <row r="410" spans="1:15" x14ac:dyDescent="0.25">
      <c r="B410" t="e">
        <f t="shared" si="45"/>
        <v>#N/A</v>
      </c>
      <c r="C410" s="2" t="str">
        <f t="shared" si="54"/>
        <v>0</v>
      </c>
      <c r="E410" s="10">
        <f t="shared" si="55"/>
        <v>0</v>
      </c>
      <c r="F410" s="2">
        <f t="shared" si="56"/>
        <v>0</v>
      </c>
      <c r="G410" s="2" t="str">
        <f>IF(ISERROR(B410),"-",IF(J409=0,0,SUM($F$33:F410)))</f>
        <v>-</v>
      </c>
      <c r="H410" s="2">
        <f t="shared" si="57"/>
        <v>0</v>
      </c>
      <c r="I410" s="2" t="str">
        <f>IF(ISERROR($B410),"-",IF(J409=0,0,SUM($H$33:H410)))</f>
        <v>-</v>
      </c>
      <c r="J410" s="2" t="str">
        <f t="shared" si="58"/>
        <v>-</v>
      </c>
      <c r="K410" s="2" t="str">
        <f t="shared" si="59"/>
        <v>-</v>
      </c>
      <c r="L410" s="2">
        <f t="shared" si="60"/>
        <v>0</v>
      </c>
      <c r="M410" s="2">
        <f t="shared" si="61"/>
        <v>0</v>
      </c>
      <c r="O410" s="2">
        <f>IF('PV IN'!$N$10="Yes",PVLoan!F410*'PV IN'!$E$8,0)</f>
        <v>0</v>
      </c>
    </row>
    <row r="411" spans="1:15" x14ac:dyDescent="0.25">
      <c r="B411" t="e">
        <f t="shared" si="45"/>
        <v>#N/A</v>
      </c>
      <c r="C411" s="2" t="str">
        <f t="shared" si="54"/>
        <v>0</v>
      </c>
      <c r="E411" s="10">
        <f t="shared" si="55"/>
        <v>0</v>
      </c>
      <c r="F411" s="2">
        <f t="shared" si="56"/>
        <v>0</v>
      </c>
      <c r="G411" s="2" t="str">
        <f>IF(ISERROR(B411),"-",IF(J410=0,0,SUM($F$33:F411)))</f>
        <v>-</v>
      </c>
      <c r="H411" s="2">
        <f t="shared" si="57"/>
        <v>0</v>
      </c>
      <c r="I411" s="2" t="str">
        <f>IF(ISERROR($B411),"-",IF(J410=0,0,SUM($H$33:H411)))</f>
        <v>-</v>
      </c>
      <c r="J411" s="2" t="str">
        <f t="shared" si="58"/>
        <v>-</v>
      </c>
      <c r="K411" s="2" t="str">
        <f t="shared" si="59"/>
        <v>-</v>
      </c>
      <c r="L411" s="2">
        <f t="shared" si="60"/>
        <v>0</v>
      </c>
      <c r="M411" s="2">
        <f t="shared" si="61"/>
        <v>0</v>
      </c>
      <c r="O411" s="2">
        <f>IF('PV IN'!$N$10="Yes",PVLoan!F411*'PV IN'!$E$8,0)</f>
        <v>0</v>
      </c>
    </row>
    <row r="412" spans="1:15" x14ac:dyDescent="0.25">
      <c r="B412" t="e">
        <f t="shared" si="45"/>
        <v>#N/A</v>
      </c>
      <c r="C412" s="2" t="str">
        <f t="shared" si="54"/>
        <v>0</v>
      </c>
      <c r="E412" s="10">
        <f t="shared" si="55"/>
        <v>0</v>
      </c>
      <c r="F412" s="2">
        <f t="shared" si="56"/>
        <v>0</v>
      </c>
      <c r="G412" s="2" t="str">
        <f>IF(ISERROR(B412),"-",IF(J411=0,0,SUM($F$33:F412)))</f>
        <v>-</v>
      </c>
      <c r="H412" s="2">
        <f t="shared" si="57"/>
        <v>0</v>
      </c>
      <c r="I412" s="2" t="str">
        <f>IF(ISERROR($B412),"-",IF(J411=0,0,SUM($H$33:H412)))</f>
        <v>-</v>
      </c>
      <c r="J412" s="2" t="str">
        <f t="shared" si="58"/>
        <v>-</v>
      </c>
      <c r="K412" s="2" t="str">
        <f t="shared" si="59"/>
        <v>-</v>
      </c>
      <c r="L412" s="2">
        <f t="shared" si="60"/>
        <v>0</v>
      </c>
      <c r="M412" s="2">
        <f t="shared" si="61"/>
        <v>0</v>
      </c>
      <c r="O412" s="2">
        <f>IF('PV IN'!$N$10="Yes",PVLoan!F412*'PV IN'!$E$8,0)</f>
        <v>0</v>
      </c>
    </row>
    <row r="413" spans="1:15" x14ac:dyDescent="0.25">
      <c r="B413" t="e">
        <f t="shared" si="45"/>
        <v>#N/A</v>
      </c>
      <c r="C413" s="2" t="str">
        <f t="shared" si="54"/>
        <v>0</v>
      </c>
      <c r="E413" s="10">
        <f t="shared" si="55"/>
        <v>0</v>
      </c>
      <c r="F413" s="2">
        <f t="shared" si="56"/>
        <v>0</v>
      </c>
      <c r="G413" s="2" t="str">
        <f>IF(ISERROR(B413),"-",IF(J412=0,0,SUM($F$33:F413)))</f>
        <v>-</v>
      </c>
      <c r="H413" s="2">
        <f t="shared" si="57"/>
        <v>0</v>
      </c>
      <c r="I413" s="2" t="str">
        <f>IF(ISERROR($B413),"-",IF(J412=0,0,SUM($H$33:H413)))</f>
        <v>-</v>
      </c>
      <c r="J413" s="2" t="str">
        <f t="shared" si="58"/>
        <v>-</v>
      </c>
      <c r="K413" s="2" t="str">
        <f t="shared" si="59"/>
        <v>-</v>
      </c>
      <c r="L413" s="2">
        <f t="shared" si="60"/>
        <v>0</v>
      </c>
      <c r="M413" s="2">
        <f t="shared" si="61"/>
        <v>0</v>
      </c>
      <c r="O413" s="2">
        <f>IF('PV IN'!$N$10="Yes",PVLoan!F413*'PV IN'!$E$8,0)</f>
        <v>0</v>
      </c>
    </row>
    <row r="414" spans="1:15" x14ac:dyDescent="0.25">
      <c r="B414" t="e">
        <f t="shared" si="45"/>
        <v>#N/A</v>
      </c>
      <c r="C414" s="2" t="str">
        <f t="shared" si="54"/>
        <v>0</v>
      </c>
      <c r="E414" s="10">
        <f t="shared" si="55"/>
        <v>0</v>
      </c>
      <c r="F414" s="2">
        <f t="shared" si="56"/>
        <v>0</v>
      </c>
      <c r="G414" s="2" t="str">
        <f>IF(ISERROR(B414),"-",IF(J413=0,0,SUM($F$33:F414)))</f>
        <v>-</v>
      </c>
      <c r="H414" s="2">
        <f t="shared" si="57"/>
        <v>0</v>
      </c>
      <c r="I414" s="2" t="str">
        <f>IF(ISERROR($B414),"-",IF(J413=0,0,SUM($H$33:H414)))</f>
        <v>-</v>
      </c>
      <c r="J414" s="2" t="str">
        <f t="shared" si="58"/>
        <v>-</v>
      </c>
      <c r="K414" s="2" t="str">
        <f t="shared" si="59"/>
        <v>-</v>
      </c>
      <c r="L414" s="2">
        <f t="shared" si="60"/>
        <v>0</v>
      </c>
      <c r="M414" s="2">
        <f t="shared" si="61"/>
        <v>0</v>
      </c>
      <c r="O414" s="2">
        <f>IF('PV IN'!$N$10="Yes",PVLoan!F414*'PV IN'!$E$8,0)</f>
        <v>0</v>
      </c>
    </row>
    <row r="415" spans="1:15" x14ac:dyDescent="0.25">
      <c r="B415" t="e">
        <f t="shared" si="45"/>
        <v>#N/A</v>
      </c>
      <c r="C415" s="2" t="str">
        <f t="shared" si="54"/>
        <v>0</v>
      </c>
      <c r="E415" s="10">
        <f t="shared" si="55"/>
        <v>0</v>
      </c>
      <c r="F415" s="2">
        <f t="shared" si="56"/>
        <v>0</v>
      </c>
      <c r="G415" s="2" t="str">
        <f>IF(ISERROR(B415),"-",IF(J414=0,0,SUM($F$33:F415)))</f>
        <v>-</v>
      </c>
      <c r="H415" s="2">
        <f t="shared" si="57"/>
        <v>0</v>
      </c>
      <c r="I415" s="2" t="str">
        <f>IF(ISERROR($B415),"-",IF(J414=0,0,SUM($H$33:H415)))</f>
        <v>-</v>
      </c>
      <c r="J415" s="2" t="str">
        <f t="shared" si="58"/>
        <v>-</v>
      </c>
      <c r="K415" s="2" t="str">
        <f t="shared" si="59"/>
        <v>-</v>
      </c>
      <c r="L415" s="2">
        <f t="shared" si="60"/>
        <v>0</v>
      </c>
      <c r="M415" s="2">
        <f t="shared" si="61"/>
        <v>0</v>
      </c>
      <c r="O415" s="2">
        <f>IF('PV IN'!$N$10="Yes",PVLoan!F415*'PV IN'!$E$8,0)</f>
        <v>0</v>
      </c>
    </row>
    <row r="416" spans="1:15" x14ac:dyDescent="0.25">
      <c r="A416">
        <v>32</v>
      </c>
      <c r="B416" t="e">
        <f t="shared" si="45"/>
        <v>#N/A</v>
      </c>
      <c r="C416" s="2" t="str">
        <f t="shared" si="54"/>
        <v>0</v>
      </c>
      <c r="E416" s="10">
        <f t="shared" si="55"/>
        <v>0</v>
      </c>
      <c r="F416" s="2">
        <f t="shared" si="56"/>
        <v>0</v>
      </c>
      <c r="G416" s="2" t="str">
        <f>IF(ISERROR(B416),"-",IF(J415=0,0,SUM($F$33:F416)))</f>
        <v>-</v>
      </c>
      <c r="H416" s="2">
        <f t="shared" si="57"/>
        <v>0</v>
      </c>
      <c r="I416" s="2" t="str">
        <f>IF(ISERROR($B416),"-",IF(J415=0,0,SUM($H$33:H416)))</f>
        <v>-</v>
      </c>
      <c r="J416" s="2" t="str">
        <f t="shared" si="58"/>
        <v>-</v>
      </c>
      <c r="K416" s="2" t="str">
        <f t="shared" si="59"/>
        <v>-</v>
      </c>
      <c r="L416" s="2">
        <f t="shared" si="60"/>
        <v>0</v>
      </c>
      <c r="M416" s="2">
        <f t="shared" si="61"/>
        <v>0</v>
      </c>
      <c r="O416" s="2">
        <f>IF('PV IN'!$N$10="Yes",PVLoan!F416*'PV IN'!$E$8,0)</f>
        <v>0</v>
      </c>
    </row>
    <row r="417" spans="1:15" x14ac:dyDescent="0.25">
      <c r="B417" t="e">
        <f t="shared" si="45"/>
        <v>#N/A</v>
      </c>
      <c r="C417" s="2" t="str">
        <f t="shared" si="54"/>
        <v>0</v>
      </c>
      <c r="E417" s="10">
        <f t="shared" si="55"/>
        <v>0</v>
      </c>
      <c r="F417" s="2">
        <f t="shared" si="56"/>
        <v>0</v>
      </c>
      <c r="G417" s="2" t="str">
        <f>IF(ISERROR(B417),"-",IF(J416=0,0,SUM($F$33:F417)))</f>
        <v>-</v>
      </c>
      <c r="H417" s="2">
        <f t="shared" si="57"/>
        <v>0</v>
      </c>
      <c r="I417" s="2" t="str">
        <f>IF(ISERROR($B417),"-",IF(J416=0,0,SUM($H$33:H417)))</f>
        <v>-</v>
      </c>
      <c r="J417" s="2" t="str">
        <f t="shared" si="58"/>
        <v>-</v>
      </c>
      <c r="K417" s="2" t="str">
        <f t="shared" si="59"/>
        <v>-</v>
      </c>
      <c r="L417" s="2">
        <f t="shared" si="60"/>
        <v>0</v>
      </c>
      <c r="M417" s="2">
        <f t="shared" si="61"/>
        <v>0</v>
      </c>
      <c r="O417" s="2">
        <f>IF('PV IN'!$N$10="Yes",PVLoan!F417*'PV IN'!$E$8,0)</f>
        <v>0</v>
      </c>
    </row>
    <row r="418" spans="1:15" x14ac:dyDescent="0.25">
      <c r="B418" t="e">
        <f t="shared" ref="B418:B481" si="62">IF(B417&gt;=$E$9,NA(),B417+1)</f>
        <v>#N/A</v>
      </c>
      <c r="C418" s="2" t="str">
        <f t="shared" si="54"/>
        <v>0</v>
      </c>
      <c r="E418" s="10">
        <f t="shared" si="55"/>
        <v>0</v>
      </c>
      <c r="F418" s="2">
        <f t="shared" si="56"/>
        <v>0</v>
      </c>
      <c r="G418" s="2" t="str">
        <f>IF(ISERROR(B418),"-",IF(J417=0,0,SUM($F$33:F418)))</f>
        <v>-</v>
      </c>
      <c r="H418" s="2">
        <f t="shared" si="57"/>
        <v>0</v>
      </c>
      <c r="I418" s="2" t="str">
        <f>IF(ISERROR($B418),"-",IF(J417=0,0,SUM($H$33:H418)))</f>
        <v>-</v>
      </c>
      <c r="J418" s="2" t="str">
        <f t="shared" si="58"/>
        <v>-</v>
      </c>
      <c r="K418" s="2" t="str">
        <f t="shared" si="59"/>
        <v>-</v>
      </c>
      <c r="L418" s="2">
        <f t="shared" si="60"/>
        <v>0</v>
      </c>
      <c r="M418" s="2">
        <f t="shared" si="61"/>
        <v>0</v>
      </c>
      <c r="O418" s="2">
        <f>IF('PV IN'!$N$10="Yes",PVLoan!F418*'PV IN'!$E$8,0)</f>
        <v>0</v>
      </c>
    </row>
    <row r="419" spans="1:15" x14ac:dyDescent="0.25">
      <c r="B419" t="e">
        <f t="shared" si="62"/>
        <v>#N/A</v>
      </c>
      <c r="C419" s="2" t="str">
        <f t="shared" si="54"/>
        <v>0</v>
      </c>
      <c r="E419" s="10">
        <f t="shared" si="55"/>
        <v>0</v>
      </c>
      <c r="F419" s="2">
        <f t="shared" si="56"/>
        <v>0</v>
      </c>
      <c r="G419" s="2" t="str">
        <f>IF(ISERROR(B419),"-",IF(J418=0,0,SUM($F$33:F419)))</f>
        <v>-</v>
      </c>
      <c r="H419" s="2">
        <f t="shared" si="57"/>
        <v>0</v>
      </c>
      <c r="I419" s="2" t="str">
        <f>IF(ISERROR($B419),"-",IF(J418=0,0,SUM($H$33:H419)))</f>
        <v>-</v>
      </c>
      <c r="J419" s="2" t="str">
        <f t="shared" si="58"/>
        <v>-</v>
      </c>
      <c r="K419" s="2" t="str">
        <f t="shared" si="59"/>
        <v>-</v>
      </c>
      <c r="L419" s="2">
        <f t="shared" si="60"/>
        <v>0</v>
      </c>
      <c r="M419" s="2">
        <f t="shared" si="61"/>
        <v>0</v>
      </c>
      <c r="O419" s="2">
        <f>IF('PV IN'!$N$10="Yes",PVLoan!F419*'PV IN'!$E$8,0)</f>
        <v>0</v>
      </c>
    </row>
    <row r="420" spans="1:15" x14ac:dyDescent="0.25">
      <c r="B420" t="e">
        <f t="shared" si="62"/>
        <v>#N/A</v>
      </c>
      <c r="C420" s="2" t="str">
        <f t="shared" si="54"/>
        <v>0</v>
      </c>
      <c r="E420" s="10">
        <f t="shared" si="55"/>
        <v>0</v>
      </c>
      <c r="F420" s="2">
        <f t="shared" si="56"/>
        <v>0</v>
      </c>
      <c r="G420" s="2" t="str">
        <f>IF(ISERROR(B420),"-",IF(J419=0,0,SUM($F$33:F420)))</f>
        <v>-</v>
      </c>
      <c r="H420" s="2">
        <f t="shared" si="57"/>
        <v>0</v>
      </c>
      <c r="I420" s="2" t="str">
        <f>IF(ISERROR($B420),"-",IF(J419=0,0,SUM($H$33:H420)))</f>
        <v>-</v>
      </c>
      <c r="J420" s="2" t="str">
        <f t="shared" si="58"/>
        <v>-</v>
      </c>
      <c r="K420" s="2" t="str">
        <f t="shared" si="59"/>
        <v>-</v>
      </c>
      <c r="L420" s="2">
        <f t="shared" si="60"/>
        <v>0</v>
      </c>
      <c r="M420" s="2">
        <f t="shared" si="61"/>
        <v>0</v>
      </c>
      <c r="O420" s="2">
        <f>IF('PV IN'!$N$10="Yes",PVLoan!F420*'PV IN'!$E$8,0)</f>
        <v>0</v>
      </c>
    </row>
    <row r="421" spans="1:15" x14ac:dyDescent="0.25">
      <c r="B421" t="e">
        <f t="shared" si="62"/>
        <v>#N/A</v>
      </c>
      <c r="C421" s="2" t="str">
        <f t="shared" si="54"/>
        <v>0</v>
      </c>
      <c r="E421" s="10">
        <f t="shared" si="55"/>
        <v>0</v>
      </c>
      <c r="F421" s="2">
        <f t="shared" si="56"/>
        <v>0</v>
      </c>
      <c r="G421" s="2" t="str">
        <f>IF(ISERROR(B421),"-",IF(J420=0,0,SUM($F$33:F421)))</f>
        <v>-</v>
      </c>
      <c r="H421" s="2">
        <f t="shared" si="57"/>
        <v>0</v>
      </c>
      <c r="I421" s="2" t="str">
        <f>IF(ISERROR($B421),"-",IF(J420=0,0,SUM($H$33:H421)))</f>
        <v>-</v>
      </c>
      <c r="J421" s="2" t="str">
        <f t="shared" si="58"/>
        <v>-</v>
      </c>
      <c r="K421" s="2" t="str">
        <f t="shared" si="59"/>
        <v>-</v>
      </c>
      <c r="L421" s="2">
        <f t="shared" si="60"/>
        <v>0</v>
      </c>
      <c r="M421" s="2">
        <f t="shared" si="61"/>
        <v>0</v>
      </c>
      <c r="O421" s="2">
        <f>IF('PV IN'!$N$10="Yes",PVLoan!F421*'PV IN'!$E$8,0)</f>
        <v>0</v>
      </c>
    </row>
    <row r="422" spans="1:15" x14ac:dyDescent="0.25">
      <c r="B422" t="e">
        <f t="shared" si="62"/>
        <v>#N/A</v>
      </c>
      <c r="C422" s="2" t="str">
        <f t="shared" si="54"/>
        <v>0</v>
      </c>
      <c r="E422" s="10">
        <f t="shared" si="55"/>
        <v>0</v>
      </c>
      <c r="F422" s="2">
        <f t="shared" si="56"/>
        <v>0</v>
      </c>
      <c r="G422" s="2" t="str">
        <f>IF(ISERROR(B422),"-",IF(J421=0,0,SUM($F$33:F422)))</f>
        <v>-</v>
      </c>
      <c r="H422" s="2">
        <f t="shared" si="57"/>
        <v>0</v>
      </c>
      <c r="I422" s="2" t="str">
        <f>IF(ISERROR($B422),"-",IF(J421=0,0,SUM($H$33:H422)))</f>
        <v>-</v>
      </c>
      <c r="J422" s="2" t="str">
        <f t="shared" si="58"/>
        <v>-</v>
      </c>
      <c r="K422" s="2" t="str">
        <f t="shared" si="59"/>
        <v>-</v>
      </c>
      <c r="L422" s="2">
        <f t="shared" si="60"/>
        <v>0</v>
      </c>
      <c r="M422" s="2">
        <f t="shared" si="61"/>
        <v>0</v>
      </c>
      <c r="O422" s="2">
        <f>IF('PV IN'!$N$10="Yes",PVLoan!F422*'PV IN'!$E$8,0)</f>
        <v>0</v>
      </c>
    </row>
    <row r="423" spans="1:15" x14ac:dyDescent="0.25">
      <c r="B423" t="e">
        <f t="shared" si="62"/>
        <v>#N/A</v>
      </c>
      <c r="C423" s="2" t="str">
        <f t="shared" si="54"/>
        <v>0</v>
      </c>
      <c r="E423" s="10">
        <f t="shared" si="55"/>
        <v>0</v>
      </c>
      <c r="F423" s="2">
        <f t="shared" si="56"/>
        <v>0</v>
      </c>
      <c r="G423" s="2" t="str">
        <f>IF(ISERROR(B423),"-",IF(J422=0,0,SUM($F$33:F423)))</f>
        <v>-</v>
      </c>
      <c r="H423" s="2">
        <f t="shared" si="57"/>
        <v>0</v>
      </c>
      <c r="I423" s="2" t="str">
        <f>IF(ISERROR($B423),"-",IF(J422=0,0,SUM($H$33:H423)))</f>
        <v>-</v>
      </c>
      <c r="J423" s="2" t="str">
        <f t="shared" si="58"/>
        <v>-</v>
      </c>
      <c r="K423" s="2" t="str">
        <f t="shared" si="59"/>
        <v>-</v>
      </c>
      <c r="L423" s="2">
        <f t="shared" si="60"/>
        <v>0</v>
      </c>
      <c r="M423" s="2">
        <f t="shared" si="61"/>
        <v>0</v>
      </c>
      <c r="O423" s="2">
        <f>IF('PV IN'!$N$10="Yes",PVLoan!F423*'PV IN'!$E$8,0)</f>
        <v>0</v>
      </c>
    </row>
    <row r="424" spans="1:15" x14ac:dyDescent="0.25">
      <c r="B424" t="e">
        <f t="shared" si="62"/>
        <v>#N/A</v>
      </c>
      <c r="C424" s="2" t="str">
        <f t="shared" si="54"/>
        <v>0</v>
      </c>
      <c r="E424" s="10">
        <f t="shared" si="55"/>
        <v>0</v>
      </c>
      <c r="F424" s="2">
        <f t="shared" si="56"/>
        <v>0</v>
      </c>
      <c r="G424" s="2" t="str">
        <f>IF(ISERROR(B424),"-",IF(J423=0,0,SUM($F$33:F424)))</f>
        <v>-</v>
      </c>
      <c r="H424" s="2">
        <f t="shared" si="57"/>
        <v>0</v>
      </c>
      <c r="I424" s="2" t="str">
        <f>IF(ISERROR($B424),"-",IF(J423=0,0,SUM($H$33:H424)))</f>
        <v>-</v>
      </c>
      <c r="J424" s="2" t="str">
        <f t="shared" si="58"/>
        <v>-</v>
      </c>
      <c r="K424" s="2" t="str">
        <f t="shared" si="59"/>
        <v>-</v>
      </c>
      <c r="L424" s="2">
        <f t="shared" si="60"/>
        <v>0</v>
      </c>
      <c r="M424" s="2">
        <f t="shared" si="61"/>
        <v>0</v>
      </c>
      <c r="O424" s="2">
        <f>IF('PV IN'!$N$10="Yes",PVLoan!F424*'PV IN'!$E$8,0)</f>
        <v>0</v>
      </c>
    </row>
    <row r="425" spans="1:15" x14ac:dyDescent="0.25">
      <c r="B425" t="e">
        <f t="shared" si="62"/>
        <v>#N/A</v>
      </c>
      <c r="C425" s="2" t="str">
        <f t="shared" si="54"/>
        <v>0</v>
      </c>
      <c r="E425" s="10">
        <f t="shared" si="55"/>
        <v>0</v>
      </c>
      <c r="F425" s="2">
        <f t="shared" si="56"/>
        <v>0</v>
      </c>
      <c r="G425" s="2" t="str">
        <f>IF(ISERROR(B425),"-",IF(J424=0,0,SUM($F$33:F425)))</f>
        <v>-</v>
      </c>
      <c r="H425" s="2">
        <f t="shared" si="57"/>
        <v>0</v>
      </c>
      <c r="I425" s="2" t="str">
        <f>IF(ISERROR($B425),"-",IF(J424=0,0,SUM($H$33:H425)))</f>
        <v>-</v>
      </c>
      <c r="J425" s="2" t="str">
        <f t="shared" si="58"/>
        <v>-</v>
      </c>
      <c r="K425" s="2" t="str">
        <f t="shared" si="59"/>
        <v>-</v>
      </c>
      <c r="L425" s="2">
        <f t="shared" si="60"/>
        <v>0</v>
      </c>
      <c r="M425" s="2">
        <f t="shared" si="61"/>
        <v>0</v>
      </c>
      <c r="O425" s="2">
        <f>IF('PV IN'!$N$10="Yes",PVLoan!F425*'PV IN'!$E$8,0)</f>
        <v>0</v>
      </c>
    </row>
    <row r="426" spans="1:15" x14ac:dyDescent="0.25">
      <c r="B426" t="e">
        <f t="shared" si="62"/>
        <v>#N/A</v>
      </c>
      <c r="C426" s="2" t="str">
        <f t="shared" si="54"/>
        <v>0</v>
      </c>
      <c r="E426" s="10">
        <f t="shared" si="55"/>
        <v>0</v>
      </c>
      <c r="F426" s="2">
        <f t="shared" si="56"/>
        <v>0</v>
      </c>
      <c r="G426" s="2" t="str">
        <f>IF(ISERROR(B426),"-",IF(J425=0,0,SUM($F$33:F426)))</f>
        <v>-</v>
      </c>
      <c r="H426" s="2">
        <f t="shared" si="57"/>
        <v>0</v>
      </c>
      <c r="I426" s="2" t="str">
        <f>IF(ISERROR($B426),"-",IF(J425=0,0,SUM($H$33:H426)))</f>
        <v>-</v>
      </c>
      <c r="J426" s="2" t="str">
        <f t="shared" si="58"/>
        <v>-</v>
      </c>
      <c r="K426" s="2" t="str">
        <f t="shared" si="59"/>
        <v>-</v>
      </c>
      <c r="L426" s="2">
        <f t="shared" si="60"/>
        <v>0</v>
      </c>
      <c r="M426" s="2">
        <f t="shared" si="61"/>
        <v>0</v>
      </c>
      <c r="O426" s="2">
        <f>IF('PV IN'!$N$10="Yes",PVLoan!F426*'PV IN'!$E$8,0)</f>
        <v>0</v>
      </c>
    </row>
    <row r="427" spans="1:15" x14ac:dyDescent="0.25">
      <c r="B427" t="e">
        <f t="shared" si="62"/>
        <v>#N/A</v>
      </c>
      <c r="C427" s="2" t="str">
        <f t="shared" si="54"/>
        <v>0</v>
      </c>
      <c r="E427" s="10">
        <f t="shared" si="55"/>
        <v>0</v>
      </c>
      <c r="F427" s="2">
        <f t="shared" si="56"/>
        <v>0</v>
      </c>
      <c r="G427" s="2" t="str">
        <f>IF(ISERROR(B427),"-",IF(J426=0,0,SUM($F$33:F427)))</f>
        <v>-</v>
      </c>
      <c r="H427" s="2">
        <f t="shared" si="57"/>
        <v>0</v>
      </c>
      <c r="I427" s="2" t="str">
        <f>IF(ISERROR($B427),"-",IF(J426=0,0,SUM($H$33:H427)))</f>
        <v>-</v>
      </c>
      <c r="J427" s="2" t="str">
        <f t="shared" si="58"/>
        <v>-</v>
      </c>
      <c r="K427" s="2" t="str">
        <f t="shared" si="59"/>
        <v>-</v>
      </c>
      <c r="L427" s="2">
        <f t="shared" si="60"/>
        <v>0</v>
      </c>
      <c r="M427" s="2">
        <f t="shared" si="61"/>
        <v>0</v>
      </c>
      <c r="O427" s="2">
        <f>IF('PV IN'!$N$10="Yes",PVLoan!F427*'PV IN'!$E$8,0)</f>
        <v>0</v>
      </c>
    </row>
    <row r="428" spans="1:15" x14ac:dyDescent="0.25">
      <c r="A428">
        <v>33</v>
      </c>
      <c r="B428" t="e">
        <f t="shared" si="62"/>
        <v>#N/A</v>
      </c>
      <c r="C428" s="2" t="str">
        <f t="shared" si="54"/>
        <v>0</v>
      </c>
      <c r="E428" s="10">
        <f t="shared" si="55"/>
        <v>0</v>
      </c>
      <c r="F428" s="2">
        <f t="shared" si="56"/>
        <v>0</v>
      </c>
      <c r="G428" s="2" t="str">
        <f>IF(ISERROR(B428),"-",IF(J427=0,0,SUM($F$33:F428)))</f>
        <v>-</v>
      </c>
      <c r="H428" s="2">
        <f t="shared" si="57"/>
        <v>0</v>
      </c>
      <c r="I428" s="2" t="str">
        <f>IF(ISERROR($B428),"-",IF(J427=0,0,SUM($H$33:H428)))</f>
        <v>-</v>
      </c>
      <c r="J428" s="2" t="str">
        <f t="shared" si="58"/>
        <v>-</v>
      </c>
      <c r="K428" s="2" t="str">
        <f t="shared" si="59"/>
        <v>-</v>
      </c>
      <c r="L428" s="2">
        <f t="shared" si="60"/>
        <v>0</v>
      </c>
      <c r="M428" s="2">
        <f t="shared" si="61"/>
        <v>0</v>
      </c>
      <c r="O428" s="2">
        <f>IF('PV IN'!$N$10="Yes",PVLoan!F428*'PV IN'!$E$8,0)</f>
        <v>0</v>
      </c>
    </row>
    <row r="429" spans="1:15" x14ac:dyDescent="0.25">
      <c r="B429" t="e">
        <f t="shared" si="62"/>
        <v>#N/A</v>
      </c>
      <c r="C429" s="2" t="str">
        <f t="shared" si="54"/>
        <v>0</v>
      </c>
      <c r="E429" s="10">
        <f t="shared" si="55"/>
        <v>0</v>
      </c>
      <c r="F429" s="2">
        <f t="shared" si="56"/>
        <v>0</v>
      </c>
      <c r="G429" s="2" t="str">
        <f>IF(ISERROR(B429),"-",IF(J428=0,0,SUM($F$33:F429)))</f>
        <v>-</v>
      </c>
      <c r="H429" s="2">
        <f t="shared" si="57"/>
        <v>0</v>
      </c>
      <c r="I429" s="2" t="str">
        <f>IF(ISERROR($B429),"-",IF(J428=0,0,SUM($H$33:H429)))</f>
        <v>-</v>
      </c>
      <c r="J429" s="2" t="str">
        <f t="shared" si="58"/>
        <v>-</v>
      </c>
      <c r="K429" s="2" t="str">
        <f t="shared" si="59"/>
        <v>-</v>
      </c>
      <c r="L429" s="2">
        <f t="shared" si="60"/>
        <v>0</v>
      </c>
      <c r="M429" s="2">
        <f t="shared" si="61"/>
        <v>0</v>
      </c>
      <c r="O429" s="2">
        <f>IF('PV IN'!$N$10="Yes",PVLoan!F429*'PV IN'!$E$8,0)</f>
        <v>0</v>
      </c>
    </row>
    <row r="430" spans="1:15" x14ac:dyDescent="0.25">
      <c r="B430" t="e">
        <f t="shared" si="62"/>
        <v>#N/A</v>
      </c>
      <c r="C430" s="2" t="str">
        <f t="shared" si="54"/>
        <v>0</v>
      </c>
      <c r="E430" s="10">
        <f t="shared" si="55"/>
        <v>0</v>
      </c>
      <c r="F430" s="2">
        <f t="shared" si="56"/>
        <v>0</v>
      </c>
      <c r="G430" s="2" t="str">
        <f>IF(ISERROR(B430),"-",IF(J429=0,0,SUM($F$33:F430)))</f>
        <v>-</v>
      </c>
      <c r="H430" s="2">
        <f t="shared" si="57"/>
        <v>0</v>
      </c>
      <c r="I430" s="2" t="str">
        <f>IF(ISERROR($B430),"-",IF(J429=0,0,SUM($H$33:H430)))</f>
        <v>-</v>
      </c>
      <c r="J430" s="2" t="str">
        <f t="shared" si="58"/>
        <v>-</v>
      </c>
      <c r="K430" s="2" t="str">
        <f t="shared" si="59"/>
        <v>-</v>
      </c>
      <c r="L430" s="2">
        <f t="shared" si="60"/>
        <v>0</v>
      </c>
      <c r="M430" s="2">
        <f t="shared" si="61"/>
        <v>0</v>
      </c>
      <c r="O430" s="2">
        <f>IF('PV IN'!$N$10="Yes",PVLoan!F430*'PV IN'!$E$8,0)</f>
        <v>0</v>
      </c>
    </row>
    <row r="431" spans="1:15" x14ac:dyDescent="0.25">
      <c r="B431" t="e">
        <f t="shared" si="62"/>
        <v>#N/A</v>
      </c>
      <c r="C431" s="2" t="str">
        <f t="shared" si="54"/>
        <v>0</v>
      </c>
      <c r="E431" s="10">
        <f t="shared" si="55"/>
        <v>0</v>
      </c>
      <c r="F431" s="2">
        <f t="shared" si="56"/>
        <v>0</v>
      </c>
      <c r="G431" s="2" t="str">
        <f>IF(ISERROR(B431),"-",IF(J430=0,0,SUM($F$33:F431)))</f>
        <v>-</v>
      </c>
      <c r="H431" s="2">
        <f t="shared" si="57"/>
        <v>0</v>
      </c>
      <c r="I431" s="2" t="str">
        <f>IF(ISERROR($B431),"-",IF(J430=0,0,SUM($H$33:H431)))</f>
        <v>-</v>
      </c>
      <c r="J431" s="2" t="str">
        <f t="shared" si="58"/>
        <v>-</v>
      </c>
      <c r="K431" s="2" t="str">
        <f t="shared" si="59"/>
        <v>-</v>
      </c>
      <c r="L431" s="2">
        <f t="shared" si="60"/>
        <v>0</v>
      </c>
      <c r="M431" s="2">
        <f t="shared" si="61"/>
        <v>0</v>
      </c>
      <c r="O431" s="2">
        <f>IF('PV IN'!$N$10="Yes",PVLoan!F431*'PV IN'!$E$8,0)</f>
        <v>0</v>
      </c>
    </row>
    <row r="432" spans="1:15" x14ac:dyDescent="0.25">
      <c r="B432" t="e">
        <f t="shared" si="62"/>
        <v>#N/A</v>
      </c>
      <c r="C432" s="2" t="str">
        <f t="shared" si="54"/>
        <v>0</v>
      </c>
      <c r="E432" s="10">
        <f t="shared" si="55"/>
        <v>0</v>
      </c>
      <c r="F432" s="2">
        <f t="shared" si="56"/>
        <v>0</v>
      </c>
      <c r="G432" s="2" t="str">
        <f>IF(ISERROR(B432),"-",IF(J431=0,0,SUM($F$33:F432)))</f>
        <v>-</v>
      </c>
      <c r="H432" s="2">
        <f t="shared" si="57"/>
        <v>0</v>
      </c>
      <c r="I432" s="2" t="str">
        <f>IF(ISERROR($B432),"-",IF(J431=0,0,SUM($H$33:H432)))</f>
        <v>-</v>
      </c>
      <c r="J432" s="2" t="str">
        <f t="shared" si="58"/>
        <v>-</v>
      </c>
      <c r="K432" s="2" t="str">
        <f t="shared" si="59"/>
        <v>-</v>
      </c>
      <c r="L432" s="2">
        <f t="shared" si="60"/>
        <v>0</v>
      </c>
      <c r="M432" s="2">
        <f t="shared" si="61"/>
        <v>0</v>
      </c>
      <c r="O432" s="2">
        <f>IF('PV IN'!$N$10="Yes",PVLoan!F432*'PV IN'!$E$8,0)</f>
        <v>0</v>
      </c>
    </row>
    <row r="433" spans="1:15" x14ac:dyDescent="0.25">
      <c r="B433" t="e">
        <f t="shared" si="62"/>
        <v>#N/A</v>
      </c>
      <c r="C433" s="2" t="str">
        <f t="shared" si="54"/>
        <v>0</v>
      </c>
      <c r="E433" s="10">
        <f t="shared" si="55"/>
        <v>0</v>
      </c>
      <c r="F433" s="2">
        <f t="shared" si="56"/>
        <v>0</v>
      </c>
      <c r="G433" s="2" t="str">
        <f>IF(ISERROR(B433),"-",IF(J432=0,0,SUM($F$33:F433)))</f>
        <v>-</v>
      </c>
      <c r="H433" s="2">
        <f t="shared" si="57"/>
        <v>0</v>
      </c>
      <c r="I433" s="2" t="str">
        <f>IF(ISERROR($B433),"-",IF(J432=0,0,SUM($H$33:H433)))</f>
        <v>-</v>
      </c>
      <c r="J433" s="2" t="str">
        <f t="shared" si="58"/>
        <v>-</v>
      </c>
      <c r="K433" s="2" t="str">
        <f t="shared" si="59"/>
        <v>-</v>
      </c>
      <c r="L433" s="2">
        <f t="shared" si="60"/>
        <v>0</v>
      </c>
      <c r="M433" s="2">
        <f t="shared" si="61"/>
        <v>0</v>
      </c>
      <c r="O433" s="2">
        <f>IF('PV IN'!$N$10="Yes",PVLoan!F433*'PV IN'!$E$8,0)</f>
        <v>0</v>
      </c>
    </row>
    <row r="434" spans="1:15" x14ac:dyDescent="0.25">
      <c r="B434" t="e">
        <f t="shared" si="62"/>
        <v>#N/A</v>
      </c>
      <c r="C434" s="2" t="str">
        <f t="shared" si="54"/>
        <v>0</v>
      </c>
      <c r="E434" s="10">
        <f t="shared" si="55"/>
        <v>0</v>
      </c>
      <c r="F434" s="2">
        <f t="shared" si="56"/>
        <v>0</v>
      </c>
      <c r="G434" s="2" t="str">
        <f>IF(ISERROR(B434),"-",IF(J433=0,0,SUM($F$33:F434)))</f>
        <v>-</v>
      </c>
      <c r="H434" s="2">
        <f t="shared" si="57"/>
        <v>0</v>
      </c>
      <c r="I434" s="2" t="str">
        <f>IF(ISERROR($B434),"-",IF(J433=0,0,SUM($H$33:H434)))</f>
        <v>-</v>
      </c>
      <c r="J434" s="2" t="str">
        <f t="shared" si="58"/>
        <v>-</v>
      </c>
      <c r="K434" s="2" t="str">
        <f t="shared" si="59"/>
        <v>-</v>
      </c>
      <c r="L434" s="2">
        <f t="shared" si="60"/>
        <v>0</v>
      </c>
      <c r="M434" s="2">
        <f t="shared" si="61"/>
        <v>0</v>
      </c>
      <c r="O434" s="2">
        <f>IF('PV IN'!$N$10="Yes",PVLoan!F434*'PV IN'!$E$8,0)</f>
        <v>0</v>
      </c>
    </row>
    <row r="435" spans="1:15" x14ac:dyDescent="0.25">
      <c r="B435" t="e">
        <f t="shared" si="62"/>
        <v>#N/A</v>
      </c>
      <c r="C435" s="2" t="str">
        <f t="shared" si="54"/>
        <v>0</v>
      </c>
      <c r="E435" s="10">
        <f t="shared" si="55"/>
        <v>0</v>
      </c>
      <c r="F435" s="2">
        <f t="shared" si="56"/>
        <v>0</v>
      </c>
      <c r="G435" s="2" t="str">
        <f>IF(ISERROR(B435),"-",IF(J434=0,0,SUM($F$33:F435)))</f>
        <v>-</v>
      </c>
      <c r="H435" s="2">
        <f t="shared" si="57"/>
        <v>0</v>
      </c>
      <c r="I435" s="2" t="str">
        <f>IF(ISERROR($B435),"-",IF(J434=0,0,SUM($H$33:H435)))</f>
        <v>-</v>
      </c>
      <c r="J435" s="2" t="str">
        <f t="shared" si="58"/>
        <v>-</v>
      </c>
      <c r="K435" s="2" t="str">
        <f t="shared" si="59"/>
        <v>-</v>
      </c>
      <c r="L435" s="2">
        <f t="shared" si="60"/>
        <v>0</v>
      </c>
      <c r="M435" s="2">
        <f t="shared" si="61"/>
        <v>0</v>
      </c>
      <c r="O435" s="2">
        <f>IF('PV IN'!$N$10="Yes",PVLoan!F435*'PV IN'!$E$8,0)</f>
        <v>0</v>
      </c>
    </row>
    <row r="436" spans="1:15" x14ac:dyDescent="0.25">
      <c r="B436" t="e">
        <f t="shared" si="62"/>
        <v>#N/A</v>
      </c>
      <c r="C436" s="2" t="str">
        <f t="shared" si="54"/>
        <v>0</v>
      </c>
      <c r="E436" s="10">
        <f t="shared" si="55"/>
        <v>0</v>
      </c>
      <c r="F436" s="2">
        <f t="shared" si="56"/>
        <v>0</v>
      </c>
      <c r="G436" s="2" t="str">
        <f>IF(ISERROR(B436),"-",IF(J435=0,0,SUM($F$33:F436)))</f>
        <v>-</v>
      </c>
      <c r="H436" s="2">
        <f t="shared" si="57"/>
        <v>0</v>
      </c>
      <c r="I436" s="2" t="str">
        <f>IF(ISERROR($B436),"-",IF(J435=0,0,SUM($H$33:H436)))</f>
        <v>-</v>
      </c>
      <c r="J436" s="2" t="str">
        <f t="shared" si="58"/>
        <v>-</v>
      </c>
      <c r="K436" s="2" t="str">
        <f t="shared" si="59"/>
        <v>-</v>
      </c>
      <c r="L436" s="2">
        <f t="shared" si="60"/>
        <v>0</v>
      </c>
      <c r="M436" s="2">
        <f t="shared" si="61"/>
        <v>0</v>
      </c>
      <c r="O436" s="2">
        <f>IF('PV IN'!$N$10="Yes",PVLoan!F436*'PV IN'!$E$8,0)</f>
        <v>0</v>
      </c>
    </row>
    <row r="437" spans="1:15" x14ac:dyDescent="0.25">
      <c r="B437" t="e">
        <f t="shared" si="62"/>
        <v>#N/A</v>
      </c>
      <c r="C437" s="2" t="str">
        <f t="shared" si="54"/>
        <v>0</v>
      </c>
      <c r="E437" s="10">
        <f t="shared" si="55"/>
        <v>0</v>
      </c>
      <c r="F437" s="2">
        <f t="shared" si="56"/>
        <v>0</v>
      </c>
      <c r="G437" s="2" t="str">
        <f>IF(ISERROR(B437),"-",IF(J436=0,0,SUM($F$33:F437)))</f>
        <v>-</v>
      </c>
      <c r="H437" s="2">
        <f t="shared" si="57"/>
        <v>0</v>
      </c>
      <c r="I437" s="2" t="str">
        <f>IF(ISERROR($B437),"-",IF(J436=0,0,SUM($H$33:H437)))</f>
        <v>-</v>
      </c>
      <c r="J437" s="2" t="str">
        <f t="shared" si="58"/>
        <v>-</v>
      </c>
      <c r="K437" s="2" t="str">
        <f t="shared" si="59"/>
        <v>-</v>
      </c>
      <c r="L437" s="2">
        <f t="shared" si="60"/>
        <v>0</v>
      </c>
      <c r="M437" s="2">
        <f t="shared" si="61"/>
        <v>0</v>
      </c>
      <c r="O437" s="2">
        <f>IF('PV IN'!$N$10="Yes",PVLoan!F437*'PV IN'!$E$8,0)</f>
        <v>0</v>
      </c>
    </row>
    <row r="438" spans="1:15" x14ac:dyDescent="0.25">
      <c r="B438" t="e">
        <f t="shared" si="62"/>
        <v>#N/A</v>
      </c>
      <c r="C438" s="2" t="str">
        <f t="shared" si="54"/>
        <v>0</v>
      </c>
      <c r="E438" s="10">
        <f t="shared" si="55"/>
        <v>0</v>
      </c>
      <c r="F438" s="2">
        <f t="shared" si="56"/>
        <v>0</v>
      </c>
      <c r="G438" s="2" t="str">
        <f>IF(ISERROR(B438),"-",IF(J437=0,0,SUM($F$33:F438)))</f>
        <v>-</v>
      </c>
      <c r="H438" s="2">
        <f t="shared" si="57"/>
        <v>0</v>
      </c>
      <c r="I438" s="2" t="str">
        <f>IF(ISERROR($B438),"-",IF(J437=0,0,SUM($H$33:H438)))</f>
        <v>-</v>
      </c>
      <c r="J438" s="2" t="str">
        <f t="shared" si="58"/>
        <v>-</v>
      </c>
      <c r="K438" s="2" t="str">
        <f t="shared" si="59"/>
        <v>-</v>
      </c>
      <c r="L438" s="2">
        <f t="shared" si="60"/>
        <v>0</v>
      </c>
      <c r="M438" s="2">
        <f t="shared" si="61"/>
        <v>0</v>
      </c>
      <c r="O438" s="2">
        <f>IF('PV IN'!$N$10="Yes",PVLoan!F438*'PV IN'!$E$8,0)</f>
        <v>0</v>
      </c>
    </row>
    <row r="439" spans="1:15" x14ac:dyDescent="0.25">
      <c r="B439" t="e">
        <f t="shared" si="62"/>
        <v>#N/A</v>
      </c>
      <c r="C439" s="2" t="str">
        <f t="shared" si="54"/>
        <v>0</v>
      </c>
      <c r="E439" s="10">
        <f t="shared" si="55"/>
        <v>0</v>
      </c>
      <c r="F439" s="2">
        <f t="shared" si="56"/>
        <v>0</v>
      </c>
      <c r="G439" s="2" t="str">
        <f>IF(ISERROR(B439),"-",IF(J438=0,0,SUM($F$33:F439)))</f>
        <v>-</v>
      </c>
      <c r="H439" s="2">
        <f t="shared" si="57"/>
        <v>0</v>
      </c>
      <c r="I439" s="2" t="str">
        <f>IF(ISERROR($B439),"-",IF(J438=0,0,SUM($H$33:H439)))</f>
        <v>-</v>
      </c>
      <c r="J439" s="2" t="str">
        <f t="shared" si="58"/>
        <v>-</v>
      </c>
      <c r="K439" s="2" t="str">
        <f t="shared" si="59"/>
        <v>-</v>
      </c>
      <c r="L439" s="2">
        <f t="shared" si="60"/>
        <v>0</v>
      </c>
      <c r="M439" s="2">
        <f t="shared" si="61"/>
        <v>0</v>
      </c>
      <c r="O439" s="2">
        <f>IF('PV IN'!$N$10="Yes",PVLoan!F439*'PV IN'!$E$8,0)</f>
        <v>0</v>
      </c>
    </row>
    <row r="440" spans="1:15" x14ac:dyDescent="0.25">
      <c r="A440">
        <v>34</v>
      </c>
      <c r="B440" t="e">
        <f t="shared" si="62"/>
        <v>#N/A</v>
      </c>
      <c r="C440" s="2" t="str">
        <f t="shared" si="54"/>
        <v>0</v>
      </c>
      <c r="E440" s="10">
        <f t="shared" si="55"/>
        <v>0</v>
      </c>
      <c r="F440" s="2">
        <f t="shared" si="56"/>
        <v>0</v>
      </c>
      <c r="G440" s="2" t="str">
        <f>IF(ISERROR(B440),"-",IF(J439=0,0,SUM($F$33:F440)))</f>
        <v>-</v>
      </c>
      <c r="H440" s="2">
        <f t="shared" si="57"/>
        <v>0</v>
      </c>
      <c r="I440" s="2" t="str">
        <f>IF(ISERROR($B440),"-",IF(J439=0,0,SUM($H$33:H440)))</f>
        <v>-</v>
      </c>
      <c r="J440" s="2" t="str">
        <f t="shared" si="58"/>
        <v>-</v>
      </c>
      <c r="K440" s="2" t="str">
        <f t="shared" si="59"/>
        <v>-</v>
      </c>
      <c r="L440" s="2">
        <f t="shared" si="60"/>
        <v>0</v>
      </c>
      <c r="M440" s="2">
        <f t="shared" si="61"/>
        <v>0</v>
      </c>
      <c r="O440" s="2">
        <f>IF('PV IN'!$N$10="Yes",PVLoan!F440*'PV IN'!$E$8,0)</f>
        <v>0</v>
      </c>
    </row>
    <row r="441" spans="1:15" x14ac:dyDescent="0.25">
      <c r="B441" t="e">
        <f t="shared" si="62"/>
        <v>#N/A</v>
      </c>
      <c r="C441" s="2" t="str">
        <f t="shared" si="54"/>
        <v>0</v>
      </c>
      <c r="E441" s="10">
        <f t="shared" si="55"/>
        <v>0</v>
      </c>
      <c r="F441" s="2">
        <f t="shared" si="56"/>
        <v>0</v>
      </c>
      <c r="G441" s="2" t="str">
        <f>IF(ISERROR(B441),"-",IF(J440=0,0,SUM($F$33:F441)))</f>
        <v>-</v>
      </c>
      <c r="H441" s="2">
        <f t="shared" si="57"/>
        <v>0</v>
      </c>
      <c r="I441" s="2" t="str">
        <f>IF(ISERROR($B441),"-",IF(J440=0,0,SUM($H$33:H441)))</f>
        <v>-</v>
      </c>
      <c r="J441" s="2" t="str">
        <f t="shared" si="58"/>
        <v>-</v>
      </c>
      <c r="K441" s="2" t="str">
        <f t="shared" si="59"/>
        <v>-</v>
      </c>
      <c r="L441" s="2">
        <f t="shared" si="60"/>
        <v>0</v>
      </c>
      <c r="M441" s="2">
        <f t="shared" si="61"/>
        <v>0</v>
      </c>
      <c r="O441" s="2">
        <f>IF('PV IN'!$N$10="Yes",PVLoan!F441*'PV IN'!$E$8,0)</f>
        <v>0</v>
      </c>
    </row>
    <row r="442" spans="1:15" x14ac:dyDescent="0.25">
      <c r="B442" t="e">
        <f t="shared" si="62"/>
        <v>#N/A</v>
      </c>
      <c r="C442" s="2" t="str">
        <f t="shared" si="54"/>
        <v>0</v>
      </c>
      <c r="E442" s="10">
        <f t="shared" si="55"/>
        <v>0</v>
      </c>
      <c r="F442" s="2">
        <f t="shared" si="56"/>
        <v>0</v>
      </c>
      <c r="G442" s="2" t="str">
        <f>IF(ISERROR(B442),"-",IF(J441=0,0,SUM($F$33:F442)))</f>
        <v>-</v>
      </c>
      <c r="H442" s="2">
        <f t="shared" si="57"/>
        <v>0</v>
      </c>
      <c r="I442" s="2" t="str">
        <f>IF(ISERROR($B442),"-",IF(J441=0,0,SUM($H$33:H442)))</f>
        <v>-</v>
      </c>
      <c r="J442" s="2" t="str">
        <f t="shared" si="58"/>
        <v>-</v>
      </c>
      <c r="K442" s="2" t="str">
        <f t="shared" si="59"/>
        <v>-</v>
      </c>
      <c r="L442" s="2">
        <f t="shared" si="60"/>
        <v>0</v>
      </c>
      <c r="M442" s="2">
        <f t="shared" si="61"/>
        <v>0</v>
      </c>
      <c r="O442" s="2">
        <f>IF('PV IN'!$N$10="Yes",PVLoan!F442*'PV IN'!$E$8,0)</f>
        <v>0</v>
      </c>
    </row>
    <row r="443" spans="1:15" x14ac:dyDescent="0.25">
      <c r="B443" t="e">
        <f t="shared" si="62"/>
        <v>#N/A</v>
      </c>
      <c r="C443" s="2" t="str">
        <f t="shared" si="54"/>
        <v>0</v>
      </c>
      <c r="E443" s="10">
        <f t="shared" si="55"/>
        <v>0</v>
      </c>
      <c r="F443" s="2">
        <f t="shared" si="56"/>
        <v>0</v>
      </c>
      <c r="G443" s="2" t="str">
        <f>IF(ISERROR(B443),"-",IF(J442=0,0,SUM($F$33:F443)))</f>
        <v>-</v>
      </c>
      <c r="H443" s="2">
        <f t="shared" si="57"/>
        <v>0</v>
      </c>
      <c r="I443" s="2" t="str">
        <f>IF(ISERROR($B443),"-",IF(J442=0,0,SUM($H$33:H443)))</f>
        <v>-</v>
      </c>
      <c r="J443" s="2" t="str">
        <f t="shared" si="58"/>
        <v>-</v>
      </c>
      <c r="K443" s="2" t="str">
        <f t="shared" si="59"/>
        <v>-</v>
      </c>
      <c r="L443" s="2">
        <f t="shared" si="60"/>
        <v>0</v>
      </c>
      <c r="M443" s="2">
        <f t="shared" si="61"/>
        <v>0</v>
      </c>
      <c r="O443" s="2">
        <f>IF('PV IN'!$N$10="Yes",PVLoan!F443*'PV IN'!$E$8,0)</f>
        <v>0</v>
      </c>
    </row>
    <row r="444" spans="1:15" x14ac:dyDescent="0.25">
      <c r="B444" t="e">
        <f t="shared" si="62"/>
        <v>#N/A</v>
      </c>
      <c r="C444" s="2" t="str">
        <f t="shared" si="54"/>
        <v>0</v>
      </c>
      <c r="E444" s="10">
        <f t="shared" si="55"/>
        <v>0</v>
      </c>
      <c r="F444" s="2">
        <f t="shared" si="56"/>
        <v>0</v>
      </c>
      <c r="G444" s="2" t="str">
        <f>IF(ISERROR(B444),"-",IF(J443=0,0,SUM($F$33:F444)))</f>
        <v>-</v>
      </c>
      <c r="H444" s="2">
        <f t="shared" si="57"/>
        <v>0</v>
      </c>
      <c r="I444" s="2" t="str">
        <f>IF(ISERROR($B444),"-",IF(J443=0,0,SUM($H$33:H444)))</f>
        <v>-</v>
      </c>
      <c r="J444" s="2" t="str">
        <f t="shared" si="58"/>
        <v>-</v>
      </c>
      <c r="K444" s="2" t="str">
        <f t="shared" si="59"/>
        <v>-</v>
      </c>
      <c r="L444" s="2">
        <f t="shared" si="60"/>
        <v>0</v>
      </c>
      <c r="M444" s="2">
        <f t="shared" si="61"/>
        <v>0</v>
      </c>
      <c r="O444" s="2">
        <f>IF('PV IN'!$N$10="Yes",PVLoan!F444*'PV IN'!$E$8,0)</f>
        <v>0</v>
      </c>
    </row>
    <row r="445" spans="1:15" x14ac:dyDescent="0.25">
      <c r="B445" t="e">
        <f t="shared" si="62"/>
        <v>#N/A</v>
      </c>
      <c r="C445" s="2" t="str">
        <f t="shared" si="54"/>
        <v>0</v>
      </c>
      <c r="E445" s="10">
        <f t="shared" si="55"/>
        <v>0</v>
      </c>
      <c r="F445" s="2">
        <f t="shared" si="56"/>
        <v>0</v>
      </c>
      <c r="G445" s="2" t="str">
        <f>IF(ISERROR(B445),"-",IF(J444=0,0,SUM($F$33:F445)))</f>
        <v>-</v>
      </c>
      <c r="H445" s="2">
        <f t="shared" si="57"/>
        <v>0</v>
      </c>
      <c r="I445" s="2" t="str">
        <f>IF(ISERROR($B445),"-",IF(J444=0,0,SUM($H$33:H445)))</f>
        <v>-</v>
      </c>
      <c r="J445" s="2" t="str">
        <f t="shared" si="58"/>
        <v>-</v>
      </c>
      <c r="K445" s="2" t="str">
        <f t="shared" si="59"/>
        <v>-</v>
      </c>
      <c r="L445" s="2">
        <f t="shared" si="60"/>
        <v>0</v>
      </c>
      <c r="M445" s="2">
        <f t="shared" si="61"/>
        <v>0</v>
      </c>
      <c r="O445" s="2">
        <f>IF('PV IN'!$N$10="Yes",PVLoan!F445*'PV IN'!$E$8,0)</f>
        <v>0</v>
      </c>
    </row>
    <row r="446" spans="1:15" x14ac:dyDescent="0.25">
      <c r="B446" t="e">
        <f t="shared" si="62"/>
        <v>#N/A</v>
      </c>
      <c r="C446" s="2" t="str">
        <f t="shared" si="54"/>
        <v>0</v>
      </c>
      <c r="E446" s="10">
        <f t="shared" si="55"/>
        <v>0</v>
      </c>
      <c r="F446" s="2">
        <f t="shared" si="56"/>
        <v>0</v>
      </c>
      <c r="G446" s="2" t="str">
        <f>IF(ISERROR(B446),"-",IF(J445=0,0,SUM($F$33:F446)))</f>
        <v>-</v>
      </c>
      <c r="H446" s="2">
        <f t="shared" si="57"/>
        <v>0</v>
      </c>
      <c r="I446" s="2" t="str">
        <f>IF(ISERROR($B446),"-",IF(J445=0,0,SUM($H$33:H446)))</f>
        <v>-</v>
      </c>
      <c r="J446" s="2" t="str">
        <f t="shared" si="58"/>
        <v>-</v>
      </c>
      <c r="K446" s="2" t="str">
        <f t="shared" si="59"/>
        <v>-</v>
      </c>
      <c r="L446" s="2">
        <f t="shared" si="60"/>
        <v>0</v>
      </c>
      <c r="M446" s="2">
        <f t="shared" si="61"/>
        <v>0</v>
      </c>
      <c r="O446" s="2">
        <f>IF('PV IN'!$N$10="Yes",PVLoan!F446*'PV IN'!$E$8,0)</f>
        <v>0</v>
      </c>
    </row>
    <row r="447" spans="1:15" x14ac:dyDescent="0.25">
      <c r="B447" t="e">
        <f t="shared" si="62"/>
        <v>#N/A</v>
      </c>
      <c r="C447" s="2" t="str">
        <f t="shared" si="54"/>
        <v>0</v>
      </c>
      <c r="E447" s="10">
        <f t="shared" si="55"/>
        <v>0</v>
      </c>
      <c r="F447" s="2">
        <f t="shared" si="56"/>
        <v>0</v>
      </c>
      <c r="G447" s="2" t="str">
        <f>IF(ISERROR(B447),"-",IF(J446=0,0,SUM($F$33:F447)))</f>
        <v>-</v>
      </c>
      <c r="H447" s="2">
        <f t="shared" si="57"/>
        <v>0</v>
      </c>
      <c r="I447" s="2" t="str">
        <f>IF(ISERROR($B447),"-",IF(J446=0,0,SUM($H$33:H447)))</f>
        <v>-</v>
      </c>
      <c r="J447" s="2" t="str">
        <f t="shared" si="58"/>
        <v>-</v>
      </c>
      <c r="K447" s="2" t="str">
        <f t="shared" si="59"/>
        <v>-</v>
      </c>
      <c r="L447" s="2">
        <f t="shared" si="60"/>
        <v>0</v>
      </c>
      <c r="M447" s="2">
        <f t="shared" si="61"/>
        <v>0</v>
      </c>
      <c r="O447" s="2">
        <f>IF('PV IN'!$N$10="Yes",PVLoan!F447*'PV IN'!$E$8,0)</f>
        <v>0</v>
      </c>
    </row>
    <row r="448" spans="1:15" x14ac:dyDescent="0.25">
      <c r="B448" t="e">
        <f t="shared" si="62"/>
        <v>#N/A</v>
      </c>
      <c r="C448" s="2" t="str">
        <f t="shared" si="54"/>
        <v>0</v>
      </c>
      <c r="E448" s="10">
        <f t="shared" si="55"/>
        <v>0</v>
      </c>
      <c r="F448" s="2">
        <f t="shared" si="56"/>
        <v>0</v>
      </c>
      <c r="G448" s="2" t="str">
        <f>IF(ISERROR(B448),"-",IF(J447=0,0,SUM($F$33:F448)))</f>
        <v>-</v>
      </c>
      <c r="H448" s="2">
        <f t="shared" si="57"/>
        <v>0</v>
      </c>
      <c r="I448" s="2" t="str">
        <f>IF(ISERROR($B448),"-",IF(J447=0,0,SUM($H$33:H448)))</f>
        <v>-</v>
      </c>
      <c r="J448" s="2" t="str">
        <f t="shared" si="58"/>
        <v>-</v>
      </c>
      <c r="K448" s="2" t="str">
        <f t="shared" si="59"/>
        <v>-</v>
      </c>
      <c r="L448" s="2">
        <f t="shared" si="60"/>
        <v>0</v>
      </c>
      <c r="M448" s="2">
        <f t="shared" si="61"/>
        <v>0</v>
      </c>
      <c r="O448" s="2">
        <f>IF('PV IN'!$N$10="Yes",PVLoan!F448*'PV IN'!$E$8,0)</f>
        <v>0</v>
      </c>
    </row>
    <row r="449" spans="1:15" x14ac:dyDescent="0.25">
      <c r="B449" t="e">
        <f t="shared" si="62"/>
        <v>#N/A</v>
      </c>
      <c r="C449" s="2" t="str">
        <f t="shared" si="54"/>
        <v>0</v>
      </c>
      <c r="E449" s="10">
        <f t="shared" si="55"/>
        <v>0</v>
      </c>
      <c r="F449" s="2">
        <f t="shared" si="56"/>
        <v>0</v>
      </c>
      <c r="G449" s="2" t="str">
        <f>IF(ISERROR(B449),"-",IF(J448=0,0,SUM($F$33:F449)))</f>
        <v>-</v>
      </c>
      <c r="H449" s="2">
        <f t="shared" si="57"/>
        <v>0</v>
      </c>
      <c r="I449" s="2" t="str">
        <f>IF(ISERROR($B449),"-",IF(J448=0,0,SUM($H$33:H449)))</f>
        <v>-</v>
      </c>
      <c r="J449" s="2" t="str">
        <f t="shared" si="58"/>
        <v>-</v>
      </c>
      <c r="K449" s="2" t="str">
        <f t="shared" si="59"/>
        <v>-</v>
      </c>
      <c r="L449" s="2">
        <f t="shared" si="60"/>
        <v>0</v>
      </c>
      <c r="M449" s="2">
        <f t="shared" si="61"/>
        <v>0</v>
      </c>
      <c r="O449" s="2">
        <f>IF('PV IN'!$N$10="Yes",PVLoan!F449*'PV IN'!$E$8,0)</f>
        <v>0</v>
      </c>
    </row>
    <row r="450" spans="1:15" x14ac:dyDescent="0.25">
      <c r="B450" t="e">
        <f t="shared" si="62"/>
        <v>#N/A</v>
      </c>
      <c r="C450" s="2" t="str">
        <f t="shared" si="54"/>
        <v>0</v>
      </c>
      <c r="E450" s="10">
        <f t="shared" si="55"/>
        <v>0</v>
      </c>
      <c r="F450" s="2">
        <f t="shared" si="56"/>
        <v>0</v>
      </c>
      <c r="G450" s="2" t="str">
        <f>IF(ISERROR(B450),"-",IF(J449=0,0,SUM($F$33:F450)))</f>
        <v>-</v>
      </c>
      <c r="H450" s="2">
        <f t="shared" si="57"/>
        <v>0</v>
      </c>
      <c r="I450" s="2" t="str">
        <f>IF(ISERROR($B450),"-",IF(J449=0,0,SUM($H$33:H450)))</f>
        <v>-</v>
      </c>
      <c r="J450" s="2" t="str">
        <f t="shared" si="58"/>
        <v>-</v>
      </c>
      <c r="K450" s="2" t="str">
        <f t="shared" si="59"/>
        <v>-</v>
      </c>
      <c r="L450" s="2">
        <f t="shared" si="60"/>
        <v>0</v>
      </c>
      <c r="M450" s="2">
        <f t="shared" si="61"/>
        <v>0</v>
      </c>
      <c r="O450" s="2">
        <f>IF('PV IN'!$N$10="Yes",PVLoan!F450*'PV IN'!$E$8,0)</f>
        <v>0</v>
      </c>
    </row>
    <row r="451" spans="1:15" x14ac:dyDescent="0.25">
      <c r="B451" t="e">
        <f t="shared" si="62"/>
        <v>#N/A</v>
      </c>
      <c r="C451" s="2" t="str">
        <f t="shared" si="54"/>
        <v>0</v>
      </c>
      <c r="E451" s="10">
        <f t="shared" si="55"/>
        <v>0</v>
      </c>
      <c r="F451" s="2">
        <f t="shared" si="56"/>
        <v>0</v>
      </c>
      <c r="G451" s="2" t="str">
        <f>IF(ISERROR(B451),"-",IF(J450=0,0,SUM($F$33:F451)))</f>
        <v>-</v>
      </c>
      <c r="H451" s="2">
        <f t="shared" si="57"/>
        <v>0</v>
      </c>
      <c r="I451" s="2" t="str">
        <f>IF(ISERROR($B451),"-",IF(J450=0,0,SUM($H$33:H451)))</f>
        <v>-</v>
      </c>
      <c r="J451" s="2" t="str">
        <f t="shared" si="58"/>
        <v>-</v>
      </c>
      <c r="K451" s="2" t="str">
        <f t="shared" si="59"/>
        <v>-</v>
      </c>
      <c r="L451" s="2">
        <f t="shared" si="60"/>
        <v>0</v>
      </c>
      <c r="M451" s="2">
        <f t="shared" si="61"/>
        <v>0</v>
      </c>
      <c r="O451" s="2">
        <f>IF('PV IN'!$N$10="Yes",PVLoan!F451*'PV IN'!$E$8,0)</f>
        <v>0</v>
      </c>
    </row>
    <row r="452" spans="1:15" x14ac:dyDescent="0.25">
      <c r="A452">
        <v>35</v>
      </c>
      <c r="B452" t="e">
        <f t="shared" si="62"/>
        <v>#N/A</v>
      </c>
      <c r="C452" s="2" t="str">
        <f t="shared" si="54"/>
        <v>0</v>
      </c>
      <c r="E452" s="10">
        <f t="shared" si="55"/>
        <v>0</v>
      </c>
      <c r="F452" s="2">
        <f t="shared" si="56"/>
        <v>0</v>
      </c>
      <c r="G452" s="2" t="str">
        <f>IF(ISERROR(B452),"-",IF(J451=0,0,SUM($F$33:F452)))</f>
        <v>-</v>
      </c>
      <c r="H452" s="2">
        <f t="shared" si="57"/>
        <v>0</v>
      </c>
      <c r="I452" s="2" t="str">
        <f>IF(ISERROR($B452),"-",IF(J451=0,0,SUM($H$33:H452)))</f>
        <v>-</v>
      </c>
      <c r="J452" s="2" t="str">
        <f t="shared" si="58"/>
        <v>-</v>
      </c>
      <c r="K452" s="2" t="str">
        <f t="shared" si="59"/>
        <v>-</v>
      </c>
      <c r="L452" s="2">
        <f t="shared" si="60"/>
        <v>0</v>
      </c>
      <c r="M452" s="2">
        <f t="shared" si="61"/>
        <v>0</v>
      </c>
      <c r="O452" s="2">
        <f>IF('PV IN'!$N$10="Yes",PVLoan!F452*'PV IN'!$E$8,0)</f>
        <v>0</v>
      </c>
    </row>
    <row r="453" spans="1:15" x14ac:dyDescent="0.25">
      <c r="B453" t="e">
        <f t="shared" si="62"/>
        <v>#N/A</v>
      </c>
      <c r="C453" s="2" t="str">
        <f t="shared" si="54"/>
        <v>0</v>
      </c>
      <c r="E453" s="10">
        <f t="shared" si="55"/>
        <v>0</v>
      </c>
      <c r="F453" s="2">
        <f t="shared" si="56"/>
        <v>0</v>
      </c>
      <c r="G453" s="2" t="str">
        <f>IF(ISERROR(B453),"-",IF(J452=0,0,SUM($F$33:F453)))</f>
        <v>-</v>
      </c>
      <c r="H453" s="2">
        <f t="shared" si="57"/>
        <v>0</v>
      </c>
      <c r="I453" s="2" t="str">
        <f>IF(ISERROR($B453),"-",IF(J452=0,0,SUM($H$33:H453)))</f>
        <v>-</v>
      </c>
      <c r="J453" s="2" t="str">
        <f t="shared" si="58"/>
        <v>-</v>
      </c>
      <c r="K453" s="2" t="str">
        <f t="shared" si="59"/>
        <v>-</v>
      </c>
      <c r="L453" s="2">
        <f t="shared" si="60"/>
        <v>0</v>
      </c>
      <c r="M453" s="2">
        <f t="shared" si="61"/>
        <v>0</v>
      </c>
      <c r="O453" s="2">
        <f>IF('PV IN'!$N$10="Yes",PVLoan!F453*'PV IN'!$E$8,0)</f>
        <v>0</v>
      </c>
    </row>
    <row r="454" spans="1:15" x14ac:dyDescent="0.25">
      <c r="B454" t="e">
        <f t="shared" si="62"/>
        <v>#N/A</v>
      </c>
      <c r="C454" s="2" t="str">
        <f t="shared" si="54"/>
        <v>0</v>
      </c>
      <c r="E454" s="10">
        <f t="shared" si="55"/>
        <v>0</v>
      </c>
      <c r="F454" s="2">
        <f t="shared" si="56"/>
        <v>0</v>
      </c>
      <c r="G454" s="2" t="str">
        <f>IF(ISERROR(B454),"-",IF(J453=0,0,SUM($F$33:F454)))</f>
        <v>-</v>
      </c>
      <c r="H454" s="2">
        <f t="shared" si="57"/>
        <v>0</v>
      </c>
      <c r="I454" s="2" t="str">
        <f>IF(ISERROR($B454),"-",IF(J453=0,0,SUM($H$33:H454)))</f>
        <v>-</v>
      </c>
      <c r="J454" s="2" t="str">
        <f t="shared" si="58"/>
        <v>-</v>
      </c>
      <c r="K454" s="2" t="str">
        <f t="shared" si="59"/>
        <v>-</v>
      </c>
      <c r="L454" s="2">
        <f t="shared" si="60"/>
        <v>0</v>
      </c>
      <c r="M454" s="2">
        <f t="shared" si="61"/>
        <v>0</v>
      </c>
      <c r="O454" s="2">
        <f>IF('PV IN'!$N$10="Yes",PVLoan!F454*'PV IN'!$E$8,0)</f>
        <v>0</v>
      </c>
    </row>
    <row r="455" spans="1:15" x14ac:dyDescent="0.25">
      <c r="B455" t="e">
        <f t="shared" si="62"/>
        <v>#N/A</v>
      </c>
      <c r="C455" s="2" t="str">
        <f t="shared" si="54"/>
        <v>0</v>
      </c>
      <c r="E455" s="10">
        <f t="shared" si="55"/>
        <v>0</v>
      </c>
      <c r="F455" s="2">
        <f t="shared" si="56"/>
        <v>0</v>
      </c>
      <c r="G455" s="2" t="str">
        <f>IF(ISERROR(B455),"-",IF(J454=0,0,SUM($F$33:F455)))</f>
        <v>-</v>
      </c>
      <c r="H455" s="2">
        <f t="shared" si="57"/>
        <v>0</v>
      </c>
      <c r="I455" s="2" t="str">
        <f>IF(ISERROR($B455),"-",IF(J454=0,0,SUM($H$33:H455)))</f>
        <v>-</v>
      </c>
      <c r="J455" s="2" t="str">
        <f t="shared" si="58"/>
        <v>-</v>
      </c>
      <c r="K455" s="2" t="str">
        <f t="shared" si="59"/>
        <v>-</v>
      </c>
      <c r="L455" s="2">
        <f t="shared" si="60"/>
        <v>0</v>
      </c>
      <c r="M455" s="2">
        <f t="shared" si="61"/>
        <v>0</v>
      </c>
      <c r="O455" s="2">
        <f>IF('PV IN'!$N$10="Yes",PVLoan!F455*'PV IN'!$E$8,0)</f>
        <v>0</v>
      </c>
    </row>
    <row r="456" spans="1:15" x14ac:dyDescent="0.25">
      <c r="B456" t="e">
        <f t="shared" si="62"/>
        <v>#N/A</v>
      </c>
      <c r="C456" s="2" t="str">
        <f t="shared" si="54"/>
        <v>0</v>
      </c>
      <c r="E456" s="10">
        <f t="shared" si="55"/>
        <v>0</v>
      </c>
      <c r="F456" s="2">
        <f t="shared" si="56"/>
        <v>0</v>
      </c>
      <c r="G456" s="2" t="str">
        <f>IF(ISERROR(B456),"-",IF(J455=0,0,SUM($F$33:F456)))</f>
        <v>-</v>
      </c>
      <c r="H456" s="2">
        <f t="shared" si="57"/>
        <v>0</v>
      </c>
      <c r="I456" s="2" t="str">
        <f>IF(ISERROR($B456),"-",IF(J455=0,0,SUM($H$33:H456)))</f>
        <v>-</v>
      </c>
      <c r="J456" s="2" t="str">
        <f t="shared" si="58"/>
        <v>-</v>
      </c>
      <c r="K456" s="2" t="str">
        <f t="shared" si="59"/>
        <v>-</v>
      </c>
      <c r="L456" s="2">
        <f t="shared" si="60"/>
        <v>0</v>
      </c>
      <c r="M456" s="2">
        <f t="shared" si="61"/>
        <v>0</v>
      </c>
      <c r="O456" s="2">
        <f>IF('PV IN'!$N$10="Yes",PVLoan!F456*'PV IN'!$E$8,0)</f>
        <v>0</v>
      </c>
    </row>
    <row r="457" spans="1:15" x14ac:dyDescent="0.25">
      <c r="B457" t="e">
        <f t="shared" si="62"/>
        <v>#N/A</v>
      </c>
      <c r="C457" s="2" t="str">
        <f t="shared" ref="C457:C512" si="63">IF(ISERROR(B457),"0",IF(J456=0,0,$E$11))</f>
        <v>0</v>
      </c>
      <c r="E457" s="10">
        <f t="shared" ref="E457:E512" si="64">C457+D457</f>
        <v>0</v>
      </c>
      <c r="F457" s="2">
        <f t="shared" ref="F457:F512" si="65">IF(ISERROR(B457),0,$E$8*J456)</f>
        <v>0</v>
      </c>
      <c r="G457" s="2" t="str">
        <f>IF(ISERROR(B457),"-",IF(J456=0,0,SUM($F$33:F457)))</f>
        <v>-</v>
      </c>
      <c r="H457" s="2">
        <f t="shared" ref="H457:H512" si="66">IF(ISERROR($B457),0,IF(J456=0,0,E457-F457))</f>
        <v>0</v>
      </c>
      <c r="I457" s="2" t="str">
        <f>IF(ISERROR($B457),"-",IF(J456=0,0,SUM($H$33:H457)))</f>
        <v>-</v>
      </c>
      <c r="J457" s="2" t="str">
        <f t="shared" ref="J457:J512" si="67">IF(ISERROR($B457),"-",IF(J456-H457&lt;0,0,J456-H457))</f>
        <v>-</v>
      </c>
      <c r="K457" s="2" t="str">
        <f t="shared" ref="K457:K512" si="68">IF(ISERROR(B457),"-",J456-H457)</f>
        <v>-</v>
      </c>
      <c r="L457" s="2">
        <f t="shared" ref="L457:L512" si="69">IF(K457&gt;=0,E457,E457+K457)</f>
        <v>0</v>
      </c>
      <c r="M457" s="2">
        <f t="shared" ref="M457:M512" si="70">-IF(K457&lt;0,K457,0)</f>
        <v>0</v>
      </c>
      <c r="O457" s="2">
        <f>IF('PV IN'!$N$10="Yes",PVLoan!F457*'PV IN'!$E$8,0)</f>
        <v>0</v>
      </c>
    </row>
    <row r="458" spans="1:15" x14ac:dyDescent="0.25">
      <c r="B458" t="e">
        <f t="shared" si="62"/>
        <v>#N/A</v>
      </c>
      <c r="C458" s="2" t="str">
        <f t="shared" si="63"/>
        <v>0</v>
      </c>
      <c r="E458" s="10">
        <f t="shared" si="64"/>
        <v>0</v>
      </c>
      <c r="F458" s="2">
        <f t="shared" si="65"/>
        <v>0</v>
      </c>
      <c r="G458" s="2" t="str">
        <f>IF(ISERROR(B458),"-",IF(J457=0,0,SUM($F$33:F458)))</f>
        <v>-</v>
      </c>
      <c r="H458" s="2">
        <f t="shared" si="66"/>
        <v>0</v>
      </c>
      <c r="I458" s="2" t="str">
        <f>IF(ISERROR($B458),"-",IF(J457=0,0,SUM($H$33:H458)))</f>
        <v>-</v>
      </c>
      <c r="J458" s="2" t="str">
        <f t="shared" si="67"/>
        <v>-</v>
      </c>
      <c r="K458" s="2" t="str">
        <f t="shared" si="68"/>
        <v>-</v>
      </c>
      <c r="L458" s="2">
        <f t="shared" si="69"/>
        <v>0</v>
      </c>
      <c r="M458" s="2">
        <f t="shared" si="70"/>
        <v>0</v>
      </c>
      <c r="O458" s="2">
        <f>IF('PV IN'!$N$10="Yes",PVLoan!F458*'PV IN'!$E$8,0)</f>
        <v>0</v>
      </c>
    </row>
    <row r="459" spans="1:15" x14ac:dyDescent="0.25">
      <c r="B459" t="e">
        <f t="shared" si="62"/>
        <v>#N/A</v>
      </c>
      <c r="C459" s="2" t="str">
        <f t="shared" si="63"/>
        <v>0</v>
      </c>
      <c r="E459" s="10">
        <f t="shared" si="64"/>
        <v>0</v>
      </c>
      <c r="F459" s="2">
        <f t="shared" si="65"/>
        <v>0</v>
      </c>
      <c r="G459" s="2" t="str">
        <f>IF(ISERROR(B459),"-",IF(J458=0,0,SUM($F$33:F459)))</f>
        <v>-</v>
      </c>
      <c r="H459" s="2">
        <f t="shared" si="66"/>
        <v>0</v>
      </c>
      <c r="I459" s="2" t="str">
        <f>IF(ISERROR($B459),"-",IF(J458=0,0,SUM($H$33:H459)))</f>
        <v>-</v>
      </c>
      <c r="J459" s="2" t="str">
        <f t="shared" si="67"/>
        <v>-</v>
      </c>
      <c r="K459" s="2" t="str">
        <f t="shared" si="68"/>
        <v>-</v>
      </c>
      <c r="L459" s="2">
        <f t="shared" si="69"/>
        <v>0</v>
      </c>
      <c r="M459" s="2">
        <f t="shared" si="70"/>
        <v>0</v>
      </c>
      <c r="O459" s="2">
        <f>IF('PV IN'!$N$10="Yes",PVLoan!F459*'PV IN'!$E$8,0)</f>
        <v>0</v>
      </c>
    </row>
    <row r="460" spans="1:15" x14ac:dyDescent="0.25">
      <c r="B460" t="e">
        <f t="shared" si="62"/>
        <v>#N/A</v>
      </c>
      <c r="C460" s="2" t="str">
        <f t="shared" si="63"/>
        <v>0</v>
      </c>
      <c r="E460" s="10">
        <f t="shared" si="64"/>
        <v>0</v>
      </c>
      <c r="F460" s="2">
        <f t="shared" si="65"/>
        <v>0</v>
      </c>
      <c r="G460" s="2" t="str">
        <f>IF(ISERROR(B460),"-",IF(J459=0,0,SUM($F$33:F460)))</f>
        <v>-</v>
      </c>
      <c r="H460" s="2">
        <f t="shared" si="66"/>
        <v>0</v>
      </c>
      <c r="I460" s="2" t="str">
        <f>IF(ISERROR($B460),"-",IF(J459=0,0,SUM($H$33:H460)))</f>
        <v>-</v>
      </c>
      <c r="J460" s="2" t="str">
        <f t="shared" si="67"/>
        <v>-</v>
      </c>
      <c r="K460" s="2" t="str">
        <f t="shared" si="68"/>
        <v>-</v>
      </c>
      <c r="L460" s="2">
        <f t="shared" si="69"/>
        <v>0</v>
      </c>
      <c r="M460" s="2">
        <f t="shared" si="70"/>
        <v>0</v>
      </c>
      <c r="O460" s="2">
        <f>IF('PV IN'!$N$10="Yes",PVLoan!F460*'PV IN'!$E$8,0)</f>
        <v>0</v>
      </c>
    </row>
    <row r="461" spans="1:15" x14ac:dyDescent="0.25">
      <c r="B461" t="e">
        <f t="shared" si="62"/>
        <v>#N/A</v>
      </c>
      <c r="C461" s="2" t="str">
        <f t="shared" si="63"/>
        <v>0</v>
      </c>
      <c r="E461" s="10">
        <f t="shared" si="64"/>
        <v>0</v>
      </c>
      <c r="F461" s="2">
        <f t="shared" si="65"/>
        <v>0</v>
      </c>
      <c r="G461" s="2" t="str">
        <f>IF(ISERROR(B461),"-",IF(J460=0,0,SUM($F$33:F461)))</f>
        <v>-</v>
      </c>
      <c r="H461" s="2">
        <f t="shared" si="66"/>
        <v>0</v>
      </c>
      <c r="I461" s="2" t="str">
        <f>IF(ISERROR($B461),"-",IF(J460=0,0,SUM($H$33:H461)))</f>
        <v>-</v>
      </c>
      <c r="J461" s="2" t="str">
        <f t="shared" si="67"/>
        <v>-</v>
      </c>
      <c r="K461" s="2" t="str">
        <f t="shared" si="68"/>
        <v>-</v>
      </c>
      <c r="L461" s="2">
        <f t="shared" si="69"/>
        <v>0</v>
      </c>
      <c r="M461" s="2">
        <f t="shared" si="70"/>
        <v>0</v>
      </c>
      <c r="O461" s="2">
        <f>IF('PV IN'!$N$10="Yes",PVLoan!F461*'PV IN'!$E$8,0)</f>
        <v>0</v>
      </c>
    </row>
    <row r="462" spans="1:15" x14ac:dyDescent="0.25">
      <c r="B462" t="e">
        <f t="shared" si="62"/>
        <v>#N/A</v>
      </c>
      <c r="C462" s="2" t="str">
        <f t="shared" si="63"/>
        <v>0</v>
      </c>
      <c r="E462" s="10">
        <f t="shared" si="64"/>
        <v>0</v>
      </c>
      <c r="F462" s="2">
        <f t="shared" si="65"/>
        <v>0</v>
      </c>
      <c r="G462" s="2" t="str">
        <f>IF(ISERROR(B462),"-",IF(J461=0,0,SUM($F$33:F462)))</f>
        <v>-</v>
      </c>
      <c r="H462" s="2">
        <f t="shared" si="66"/>
        <v>0</v>
      </c>
      <c r="I462" s="2" t="str">
        <f>IF(ISERROR($B462),"-",IF(J461=0,0,SUM($H$33:H462)))</f>
        <v>-</v>
      </c>
      <c r="J462" s="2" t="str">
        <f t="shared" si="67"/>
        <v>-</v>
      </c>
      <c r="K462" s="2" t="str">
        <f t="shared" si="68"/>
        <v>-</v>
      </c>
      <c r="L462" s="2">
        <f t="shared" si="69"/>
        <v>0</v>
      </c>
      <c r="M462" s="2">
        <f t="shared" si="70"/>
        <v>0</v>
      </c>
      <c r="O462" s="2">
        <f>IF('PV IN'!$N$10="Yes",PVLoan!F462*'PV IN'!$E$8,0)</f>
        <v>0</v>
      </c>
    </row>
    <row r="463" spans="1:15" x14ac:dyDescent="0.25">
      <c r="B463" t="e">
        <f t="shared" si="62"/>
        <v>#N/A</v>
      </c>
      <c r="C463" s="2" t="str">
        <f t="shared" si="63"/>
        <v>0</v>
      </c>
      <c r="E463" s="10">
        <f t="shared" si="64"/>
        <v>0</v>
      </c>
      <c r="F463" s="2">
        <f t="shared" si="65"/>
        <v>0</v>
      </c>
      <c r="G463" s="2" t="str">
        <f>IF(ISERROR(B463),"-",IF(J462=0,0,SUM($F$33:F463)))</f>
        <v>-</v>
      </c>
      <c r="H463" s="2">
        <f t="shared" si="66"/>
        <v>0</v>
      </c>
      <c r="I463" s="2" t="str">
        <f>IF(ISERROR($B463),"-",IF(J462=0,0,SUM($H$33:H463)))</f>
        <v>-</v>
      </c>
      <c r="J463" s="2" t="str">
        <f t="shared" si="67"/>
        <v>-</v>
      </c>
      <c r="K463" s="2" t="str">
        <f t="shared" si="68"/>
        <v>-</v>
      </c>
      <c r="L463" s="2">
        <f t="shared" si="69"/>
        <v>0</v>
      </c>
      <c r="M463" s="2">
        <f t="shared" si="70"/>
        <v>0</v>
      </c>
      <c r="O463" s="2">
        <f>IF('PV IN'!$N$10="Yes",PVLoan!F463*'PV IN'!$E$8,0)</f>
        <v>0</v>
      </c>
    </row>
    <row r="464" spans="1:15" x14ac:dyDescent="0.25">
      <c r="A464">
        <v>36</v>
      </c>
      <c r="B464" t="e">
        <f t="shared" si="62"/>
        <v>#N/A</v>
      </c>
      <c r="C464" s="2" t="str">
        <f t="shared" si="63"/>
        <v>0</v>
      </c>
      <c r="E464" s="10">
        <f t="shared" si="64"/>
        <v>0</v>
      </c>
      <c r="F464" s="2">
        <f t="shared" si="65"/>
        <v>0</v>
      </c>
      <c r="G464" s="2" t="str">
        <f>IF(ISERROR(B464),"-",IF(J463=0,0,SUM($F$33:F464)))</f>
        <v>-</v>
      </c>
      <c r="H464" s="2">
        <f t="shared" si="66"/>
        <v>0</v>
      </c>
      <c r="I464" s="2" t="str">
        <f>IF(ISERROR($B464),"-",IF(J463=0,0,SUM($H$33:H464)))</f>
        <v>-</v>
      </c>
      <c r="J464" s="2" t="str">
        <f t="shared" si="67"/>
        <v>-</v>
      </c>
      <c r="K464" s="2" t="str">
        <f t="shared" si="68"/>
        <v>-</v>
      </c>
      <c r="L464" s="2">
        <f t="shared" si="69"/>
        <v>0</v>
      </c>
      <c r="M464" s="2">
        <f t="shared" si="70"/>
        <v>0</v>
      </c>
      <c r="O464" s="2">
        <f>IF('PV IN'!$N$10="Yes",PVLoan!F464*'PV IN'!$E$8,0)</f>
        <v>0</v>
      </c>
    </row>
    <row r="465" spans="1:15" x14ac:dyDescent="0.25">
      <c r="B465" t="e">
        <f t="shared" si="62"/>
        <v>#N/A</v>
      </c>
      <c r="C465" s="2" t="str">
        <f t="shared" si="63"/>
        <v>0</v>
      </c>
      <c r="E465" s="10">
        <f t="shared" si="64"/>
        <v>0</v>
      </c>
      <c r="F465" s="2">
        <f t="shared" si="65"/>
        <v>0</v>
      </c>
      <c r="G465" s="2" t="str">
        <f>IF(ISERROR(B465),"-",IF(J464=0,0,SUM($F$33:F465)))</f>
        <v>-</v>
      </c>
      <c r="H465" s="2">
        <f t="shared" si="66"/>
        <v>0</v>
      </c>
      <c r="I465" s="2" t="str">
        <f>IF(ISERROR($B465),"-",IF(J464=0,0,SUM($H$33:H465)))</f>
        <v>-</v>
      </c>
      <c r="J465" s="2" t="str">
        <f t="shared" si="67"/>
        <v>-</v>
      </c>
      <c r="K465" s="2" t="str">
        <f t="shared" si="68"/>
        <v>-</v>
      </c>
      <c r="L465" s="2">
        <f t="shared" si="69"/>
        <v>0</v>
      </c>
      <c r="M465" s="2">
        <f t="shared" si="70"/>
        <v>0</v>
      </c>
      <c r="O465" s="2">
        <f>IF('PV IN'!$N$10="Yes",PVLoan!F465*'PV IN'!$E$8,0)</f>
        <v>0</v>
      </c>
    </row>
    <row r="466" spans="1:15" x14ac:dyDescent="0.25">
      <c r="B466" t="e">
        <f t="shared" si="62"/>
        <v>#N/A</v>
      </c>
      <c r="C466" s="2" t="str">
        <f t="shared" si="63"/>
        <v>0</v>
      </c>
      <c r="E466" s="10">
        <f t="shared" si="64"/>
        <v>0</v>
      </c>
      <c r="F466" s="2">
        <f t="shared" si="65"/>
        <v>0</v>
      </c>
      <c r="G466" s="2" t="str">
        <f>IF(ISERROR(B466),"-",IF(J465=0,0,SUM($F$33:F466)))</f>
        <v>-</v>
      </c>
      <c r="H466" s="2">
        <f t="shared" si="66"/>
        <v>0</v>
      </c>
      <c r="I466" s="2" t="str">
        <f>IF(ISERROR($B466),"-",IF(J465=0,0,SUM($H$33:H466)))</f>
        <v>-</v>
      </c>
      <c r="J466" s="2" t="str">
        <f t="shared" si="67"/>
        <v>-</v>
      </c>
      <c r="K466" s="2" t="str">
        <f t="shared" si="68"/>
        <v>-</v>
      </c>
      <c r="L466" s="2">
        <f t="shared" si="69"/>
        <v>0</v>
      </c>
      <c r="M466" s="2">
        <f t="shared" si="70"/>
        <v>0</v>
      </c>
      <c r="O466" s="2">
        <f>IF('PV IN'!$N$10="Yes",PVLoan!F466*'PV IN'!$E$8,0)</f>
        <v>0</v>
      </c>
    </row>
    <row r="467" spans="1:15" x14ac:dyDescent="0.25">
      <c r="B467" t="e">
        <f t="shared" si="62"/>
        <v>#N/A</v>
      </c>
      <c r="C467" s="2" t="str">
        <f t="shared" si="63"/>
        <v>0</v>
      </c>
      <c r="E467" s="10">
        <f t="shared" si="64"/>
        <v>0</v>
      </c>
      <c r="F467" s="2">
        <f t="shared" si="65"/>
        <v>0</v>
      </c>
      <c r="G467" s="2" t="str">
        <f>IF(ISERROR(B467),"-",IF(J466=0,0,SUM($F$33:F467)))</f>
        <v>-</v>
      </c>
      <c r="H467" s="2">
        <f t="shared" si="66"/>
        <v>0</v>
      </c>
      <c r="I467" s="2" t="str">
        <f>IF(ISERROR($B467),"-",IF(J466=0,0,SUM($H$33:H467)))</f>
        <v>-</v>
      </c>
      <c r="J467" s="2" t="str">
        <f t="shared" si="67"/>
        <v>-</v>
      </c>
      <c r="K467" s="2" t="str">
        <f t="shared" si="68"/>
        <v>-</v>
      </c>
      <c r="L467" s="2">
        <f t="shared" si="69"/>
        <v>0</v>
      </c>
      <c r="M467" s="2">
        <f t="shared" si="70"/>
        <v>0</v>
      </c>
      <c r="O467" s="2">
        <f>IF('PV IN'!$N$10="Yes",PVLoan!F467*'PV IN'!$E$8,0)</f>
        <v>0</v>
      </c>
    </row>
    <row r="468" spans="1:15" x14ac:dyDescent="0.25">
      <c r="B468" t="e">
        <f t="shared" si="62"/>
        <v>#N/A</v>
      </c>
      <c r="C468" s="2" t="str">
        <f t="shared" si="63"/>
        <v>0</v>
      </c>
      <c r="E468" s="10">
        <f t="shared" si="64"/>
        <v>0</v>
      </c>
      <c r="F468" s="2">
        <f t="shared" si="65"/>
        <v>0</v>
      </c>
      <c r="G468" s="2" t="str">
        <f>IF(ISERROR(B468),"-",IF(J467=0,0,SUM($F$33:F468)))</f>
        <v>-</v>
      </c>
      <c r="H468" s="2">
        <f t="shared" si="66"/>
        <v>0</v>
      </c>
      <c r="I468" s="2" t="str">
        <f>IF(ISERROR($B468),"-",IF(J467=0,0,SUM($H$33:H468)))</f>
        <v>-</v>
      </c>
      <c r="J468" s="2" t="str">
        <f t="shared" si="67"/>
        <v>-</v>
      </c>
      <c r="K468" s="2" t="str">
        <f t="shared" si="68"/>
        <v>-</v>
      </c>
      <c r="L468" s="2">
        <f t="shared" si="69"/>
        <v>0</v>
      </c>
      <c r="M468" s="2">
        <f t="shared" si="70"/>
        <v>0</v>
      </c>
      <c r="O468" s="2">
        <f>IF('PV IN'!$N$10="Yes",PVLoan!F468*'PV IN'!$E$8,0)</f>
        <v>0</v>
      </c>
    </row>
    <row r="469" spans="1:15" x14ac:dyDescent="0.25">
      <c r="B469" t="e">
        <f t="shared" si="62"/>
        <v>#N/A</v>
      </c>
      <c r="C469" s="2" t="str">
        <f t="shared" si="63"/>
        <v>0</v>
      </c>
      <c r="E469" s="10">
        <f t="shared" si="64"/>
        <v>0</v>
      </c>
      <c r="F469" s="2">
        <f t="shared" si="65"/>
        <v>0</v>
      </c>
      <c r="G469" s="2" t="str">
        <f>IF(ISERROR(B469),"-",IF(J468=0,0,SUM($F$33:F469)))</f>
        <v>-</v>
      </c>
      <c r="H469" s="2">
        <f t="shared" si="66"/>
        <v>0</v>
      </c>
      <c r="I469" s="2" t="str">
        <f>IF(ISERROR($B469),"-",IF(J468=0,0,SUM($H$33:H469)))</f>
        <v>-</v>
      </c>
      <c r="J469" s="2" t="str">
        <f t="shared" si="67"/>
        <v>-</v>
      </c>
      <c r="K469" s="2" t="str">
        <f t="shared" si="68"/>
        <v>-</v>
      </c>
      <c r="L469" s="2">
        <f t="shared" si="69"/>
        <v>0</v>
      </c>
      <c r="M469" s="2">
        <f t="shared" si="70"/>
        <v>0</v>
      </c>
      <c r="O469" s="2">
        <f>IF('PV IN'!$N$10="Yes",PVLoan!F469*'PV IN'!$E$8,0)</f>
        <v>0</v>
      </c>
    </row>
    <row r="470" spans="1:15" x14ac:dyDescent="0.25">
      <c r="B470" t="e">
        <f t="shared" si="62"/>
        <v>#N/A</v>
      </c>
      <c r="C470" s="2" t="str">
        <f t="shared" si="63"/>
        <v>0</v>
      </c>
      <c r="E470" s="10">
        <f t="shared" si="64"/>
        <v>0</v>
      </c>
      <c r="F470" s="2">
        <f t="shared" si="65"/>
        <v>0</v>
      </c>
      <c r="G470" s="2" t="str">
        <f>IF(ISERROR(B470),"-",IF(J469=0,0,SUM($F$33:F470)))</f>
        <v>-</v>
      </c>
      <c r="H470" s="2">
        <f t="shared" si="66"/>
        <v>0</v>
      </c>
      <c r="I470" s="2" t="str">
        <f>IF(ISERROR($B470),"-",IF(J469=0,0,SUM($H$33:H470)))</f>
        <v>-</v>
      </c>
      <c r="J470" s="2" t="str">
        <f t="shared" si="67"/>
        <v>-</v>
      </c>
      <c r="K470" s="2" t="str">
        <f t="shared" si="68"/>
        <v>-</v>
      </c>
      <c r="L470" s="2">
        <f t="shared" si="69"/>
        <v>0</v>
      </c>
      <c r="M470" s="2">
        <f t="shared" si="70"/>
        <v>0</v>
      </c>
      <c r="O470" s="2">
        <f>IF('PV IN'!$N$10="Yes",PVLoan!F470*'PV IN'!$E$8,0)</f>
        <v>0</v>
      </c>
    </row>
    <row r="471" spans="1:15" x14ac:dyDescent="0.25">
      <c r="B471" t="e">
        <f t="shared" si="62"/>
        <v>#N/A</v>
      </c>
      <c r="C471" s="2" t="str">
        <f t="shared" si="63"/>
        <v>0</v>
      </c>
      <c r="E471" s="10">
        <f t="shared" si="64"/>
        <v>0</v>
      </c>
      <c r="F471" s="2">
        <f t="shared" si="65"/>
        <v>0</v>
      </c>
      <c r="G471" s="2" t="str">
        <f>IF(ISERROR(B471),"-",IF(J470=0,0,SUM($F$33:F471)))</f>
        <v>-</v>
      </c>
      <c r="H471" s="2">
        <f t="shared" si="66"/>
        <v>0</v>
      </c>
      <c r="I471" s="2" t="str">
        <f>IF(ISERROR($B471),"-",IF(J470=0,0,SUM($H$33:H471)))</f>
        <v>-</v>
      </c>
      <c r="J471" s="2" t="str">
        <f t="shared" si="67"/>
        <v>-</v>
      </c>
      <c r="K471" s="2" t="str">
        <f t="shared" si="68"/>
        <v>-</v>
      </c>
      <c r="L471" s="2">
        <f t="shared" si="69"/>
        <v>0</v>
      </c>
      <c r="M471" s="2">
        <f t="shared" si="70"/>
        <v>0</v>
      </c>
      <c r="O471" s="2">
        <f>IF('PV IN'!$N$10="Yes",PVLoan!F471*'PV IN'!$E$8,0)</f>
        <v>0</v>
      </c>
    </row>
    <row r="472" spans="1:15" x14ac:dyDescent="0.25">
      <c r="B472" t="e">
        <f t="shared" si="62"/>
        <v>#N/A</v>
      </c>
      <c r="C472" s="2" t="str">
        <f t="shared" si="63"/>
        <v>0</v>
      </c>
      <c r="E472" s="10">
        <f t="shared" si="64"/>
        <v>0</v>
      </c>
      <c r="F472" s="2">
        <f t="shared" si="65"/>
        <v>0</v>
      </c>
      <c r="G472" s="2" t="str">
        <f>IF(ISERROR(B472),"-",IF(J471=0,0,SUM($F$33:F472)))</f>
        <v>-</v>
      </c>
      <c r="H472" s="2">
        <f t="shared" si="66"/>
        <v>0</v>
      </c>
      <c r="I472" s="2" t="str">
        <f>IF(ISERROR($B472),"-",IF(J471=0,0,SUM($H$33:H472)))</f>
        <v>-</v>
      </c>
      <c r="J472" s="2" t="str">
        <f t="shared" si="67"/>
        <v>-</v>
      </c>
      <c r="K472" s="2" t="str">
        <f t="shared" si="68"/>
        <v>-</v>
      </c>
      <c r="L472" s="2">
        <f t="shared" si="69"/>
        <v>0</v>
      </c>
      <c r="M472" s="2">
        <f t="shared" si="70"/>
        <v>0</v>
      </c>
      <c r="O472" s="2">
        <f>IF('PV IN'!$N$10="Yes",PVLoan!F472*'PV IN'!$E$8,0)</f>
        <v>0</v>
      </c>
    </row>
    <row r="473" spans="1:15" x14ac:dyDescent="0.25">
      <c r="B473" t="e">
        <f t="shared" si="62"/>
        <v>#N/A</v>
      </c>
      <c r="C473" s="2" t="str">
        <f t="shared" si="63"/>
        <v>0</v>
      </c>
      <c r="E473" s="10">
        <f t="shared" si="64"/>
        <v>0</v>
      </c>
      <c r="F473" s="2">
        <f t="shared" si="65"/>
        <v>0</v>
      </c>
      <c r="G473" s="2" t="str">
        <f>IF(ISERROR(B473),"-",IF(J472=0,0,SUM($F$33:F473)))</f>
        <v>-</v>
      </c>
      <c r="H473" s="2">
        <f t="shared" si="66"/>
        <v>0</v>
      </c>
      <c r="I473" s="2" t="str">
        <f>IF(ISERROR($B473),"-",IF(J472=0,0,SUM($H$33:H473)))</f>
        <v>-</v>
      </c>
      <c r="J473" s="2" t="str">
        <f t="shared" si="67"/>
        <v>-</v>
      </c>
      <c r="K473" s="2" t="str">
        <f t="shared" si="68"/>
        <v>-</v>
      </c>
      <c r="L473" s="2">
        <f t="shared" si="69"/>
        <v>0</v>
      </c>
      <c r="M473" s="2">
        <f t="shared" si="70"/>
        <v>0</v>
      </c>
      <c r="O473" s="2">
        <f>IF('PV IN'!$N$10="Yes",PVLoan!F473*'PV IN'!$E$8,0)</f>
        <v>0</v>
      </c>
    </row>
    <row r="474" spans="1:15" x14ac:dyDescent="0.25">
      <c r="B474" t="e">
        <f t="shared" si="62"/>
        <v>#N/A</v>
      </c>
      <c r="C474" s="2" t="str">
        <f t="shared" si="63"/>
        <v>0</v>
      </c>
      <c r="E474" s="10">
        <f t="shared" si="64"/>
        <v>0</v>
      </c>
      <c r="F474" s="2">
        <f t="shared" si="65"/>
        <v>0</v>
      </c>
      <c r="G474" s="2" t="str">
        <f>IF(ISERROR(B474),"-",IF(J473=0,0,SUM($F$33:F474)))</f>
        <v>-</v>
      </c>
      <c r="H474" s="2">
        <f t="shared" si="66"/>
        <v>0</v>
      </c>
      <c r="I474" s="2" t="str">
        <f>IF(ISERROR($B474),"-",IF(J473=0,0,SUM($H$33:H474)))</f>
        <v>-</v>
      </c>
      <c r="J474" s="2" t="str">
        <f t="shared" si="67"/>
        <v>-</v>
      </c>
      <c r="K474" s="2" t="str">
        <f t="shared" si="68"/>
        <v>-</v>
      </c>
      <c r="L474" s="2">
        <f t="shared" si="69"/>
        <v>0</v>
      </c>
      <c r="M474" s="2">
        <f t="shared" si="70"/>
        <v>0</v>
      </c>
      <c r="O474" s="2">
        <f>IF('PV IN'!$N$10="Yes",PVLoan!F474*'PV IN'!$E$8,0)</f>
        <v>0</v>
      </c>
    </row>
    <row r="475" spans="1:15" x14ac:dyDescent="0.25">
      <c r="B475" t="e">
        <f t="shared" si="62"/>
        <v>#N/A</v>
      </c>
      <c r="C475" s="2" t="str">
        <f t="shared" si="63"/>
        <v>0</v>
      </c>
      <c r="E475" s="10">
        <f t="shared" si="64"/>
        <v>0</v>
      </c>
      <c r="F475" s="2">
        <f t="shared" si="65"/>
        <v>0</v>
      </c>
      <c r="G475" s="2" t="str">
        <f>IF(ISERROR(B475),"-",IF(J474=0,0,SUM($F$33:F475)))</f>
        <v>-</v>
      </c>
      <c r="H475" s="2">
        <f t="shared" si="66"/>
        <v>0</v>
      </c>
      <c r="I475" s="2" t="str">
        <f>IF(ISERROR($B475),"-",IF(J474=0,0,SUM($H$33:H475)))</f>
        <v>-</v>
      </c>
      <c r="J475" s="2" t="str">
        <f t="shared" si="67"/>
        <v>-</v>
      </c>
      <c r="K475" s="2" t="str">
        <f t="shared" si="68"/>
        <v>-</v>
      </c>
      <c r="L475" s="2">
        <f t="shared" si="69"/>
        <v>0</v>
      </c>
      <c r="M475" s="2">
        <f t="shared" si="70"/>
        <v>0</v>
      </c>
      <c r="O475" s="2">
        <f>IF('PV IN'!$N$10="Yes",PVLoan!F475*'PV IN'!$E$8,0)</f>
        <v>0</v>
      </c>
    </row>
    <row r="476" spans="1:15" x14ac:dyDescent="0.25">
      <c r="A476">
        <v>37</v>
      </c>
      <c r="B476" t="e">
        <f t="shared" si="62"/>
        <v>#N/A</v>
      </c>
      <c r="C476" s="2" t="str">
        <f t="shared" si="63"/>
        <v>0</v>
      </c>
      <c r="E476" s="10">
        <f t="shared" si="64"/>
        <v>0</v>
      </c>
      <c r="F476" s="2">
        <f t="shared" si="65"/>
        <v>0</v>
      </c>
      <c r="G476" s="2" t="str">
        <f>IF(ISERROR(B476),"-",IF(J475=0,0,SUM($F$33:F476)))</f>
        <v>-</v>
      </c>
      <c r="H476" s="2">
        <f t="shared" si="66"/>
        <v>0</v>
      </c>
      <c r="I476" s="2" t="str">
        <f>IF(ISERROR($B476),"-",IF(J475=0,0,SUM($H$33:H476)))</f>
        <v>-</v>
      </c>
      <c r="J476" s="2" t="str">
        <f t="shared" si="67"/>
        <v>-</v>
      </c>
      <c r="K476" s="2" t="str">
        <f t="shared" si="68"/>
        <v>-</v>
      </c>
      <c r="L476" s="2">
        <f t="shared" si="69"/>
        <v>0</v>
      </c>
      <c r="M476" s="2">
        <f t="shared" si="70"/>
        <v>0</v>
      </c>
      <c r="O476" s="2">
        <f>IF('PV IN'!$N$10="Yes",PVLoan!F476*'PV IN'!$E$8,0)</f>
        <v>0</v>
      </c>
    </row>
    <row r="477" spans="1:15" x14ac:dyDescent="0.25">
      <c r="B477" t="e">
        <f t="shared" si="62"/>
        <v>#N/A</v>
      </c>
      <c r="C477" s="2" t="str">
        <f t="shared" si="63"/>
        <v>0</v>
      </c>
      <c r="E477" s="10">
        <f t="shared" si="64"/>
        <v>0</v>
      </c>
      <c r="F477" s="2">
        <f t="shared" si="65"/>
        <v>0</v>
      </c>
      <c r="G477" s="2" t="str">
        <f>IF(ISERROR(B477),"-",IF(J476=0,0,SUM($F$33:F477)))</f>
        <v>-</v>
      </c>
      <c r="H477" s="2">
        <f t="shared" si="66"/>
        <v>0</v>
      </c>
      <c r="I477" s="2" t="str">
        <f>IF(ISERROR($B477),"-",IF(J476=0,0,SUM($H$33:H477)))</f>
        <v>-</v>
      </c>
      <c r="J477" s="2" t="str">
        <f t="shared" si="67"/>
        <v>-</v>
      </c>
      <c r="K477" s="2" t="str">
        <f t="shared" si="68"/>
        <v>-</v>
      </c>
      <c r="L477" s="2">
        <f t="shared" si="69"/>
        <v>0</v>
      </c>
      <c r="M477" s="2">
        <f t="shared" si="70"/>
        <v>0</v>
      </c>
      <c r="O477" s="2">
        <f>IF('PV IN'!$N$10="Yes",PVLoan!F477*'PV IN'!$E$8,0)</f>
        <v>0</v>
      </c>
    </row>
    <row r="478" spans="1:15" x14ac:dyDescent="0.25">
      <c r="B478" t="e">
        <f t="shared" si="62"/>
        <v>#N/A</v>
      </c>
      <c r="C478" s="2" t="str">
        <f t="shared" si="63"/>
        <v>0</v>
      </c>
      <c r="E478" s="10">
        <f t="shared" si="64"/>
        <v>0</v>
      </c>
      <c r="F478" s="2">
        <f t="shared" si="65"/>
        <v>0</v>
      </c>
      <c r="G478" s="2" t="str">
        <f>IF(ISERROR(B478),"-",IF(J477=0,0,SUM($F$33:F478)))</f>
        <v>-</v>
      </c>
      <c r="H478" s="2">
        <f t="shared" si="66"/>
        <v>0</v>
      </c>
      <c r="I478" s="2" t="str">
        <f>IF(ISERROR($B478),"-",IF(J477=0,0,SUM($H$33:H478)))</f>
        <v>-</v>
      </c>
      <c r="J478" s="2" t="str">
        <f t="shared" si="67"/>
        <v>-</v>
      </c>
      <c r="K478" s="2" t="str">
        <f t="shared" si="68"/>
        <v>-</v>
      </c>
      <c r="L478" s="2">
        <f t="shared" si="69"/>
        <v>0</v>
      </c>
      <c r="M478" s="2">
        <f t="shared" si="70"/>
        <v>0</v>
      </c>
      <c r="O478" s="2">
        <f>IF('PV IN'!$N$10="Yes",PVLoan!F478*'PV IN'!$E$8,0)</f>
        <v>0</v>
      </c>
    </row>
    <row r="479" spans="1:15" x14ac:dyDescent="0.25">
      <c r="B479" t="e">
        <f t="shared" si="62"/>
        <v>#N/A</v>
      </c>
      <c r="C479" s="2" t="str">
        <f t="shared" si="63"/>
        <v>0</v>
      </c>
      <c r="E479" s="10">
        <f t="shared" si="64"/>
        <v>0</v>
      </c>
      <c r="F479" s="2">
        <f t="shared" si="65"/>
        <v>0</v>
      </c>
      <c r="G479" s="2" t="str">
        <f>IF(ISERROR(B479),"-",IF(J478=0,0,SUM($F$33:F479)))</f>
        <v>-</v>
      </c>
      <c r="H479" s="2">
        <f t="shared" si="66"/>
        <v>0</v>
      </c>
      <c r="I479" s="2" t="str">
        <f>IF(ISERROR($B479),"-",IF(J478=0,0,SUM($H$33:H479)))</f>
        <v>-</v>
      </c>
      <c r="J479" s="2" t="str">
        <f t="shared" si="67"/>
        <v>-</v>
      </c>
      <c r="K479" s="2" t="str">
        <f t="shared" si="68"/>
        <v>-</v>
      </c>
      <c r="L479" s="2">
        <f t="shared" si="69"/>
        <v>0</v>
      </c>
      <c r="M479" s="2">
        <f t="shared" si="70"/>
        <v>0</v>
      </c>
      <c r="O479" s="2">
        <f>IF('PV IN'!$N$10="Yes",PVLoan!F479*'PV IN'!$E$8,0)</f>
        <v>0</v>
      </c>
    </row>
    <row r="480" spans="1:15" x14ac:dyDescent="0.25">
      <c r="B480" t="e">
        <f t="shared" si="62"/>
        <v>#N/A</v>
      </c>
      <c r="C480" s="2" t="str">
        <f t="shared" si="63"/>
        <v>0</v>
      </c>
      <c r="E480" s="10">
        <f t="shared" si="64"/>
        <v>0</v>
      </c>
      <c r="F480" s="2">
        <f t="shared" si="65"/>
        <v>0</v>
      </c>
      <c r="G480" s="2" t="str">
        <f>IF(ISERROR(B480),"-",IF(J479=0,0,SUM($F$33:F480)))</f>
        <v>-</v>
      </c>
      <c r="H480" s="2">
        <f t="shared" si="66"/>
        <v>0</v>
      </c>
      <c r="I480" s="2" t="str">
        <f>IF(ISERROR($B480),"-",IF(J479=0,0,SUM($H$33:H480)))</f>
        <v>-</v>
      </c>
      <c r="J480" s="2" t="str">
        <f t="shared" si="67"/>
        <v>-</v>
      </c>
      <c r="K480" s="2" t="str">
        <f t="shared" si="68"/>
        <v>-</v>
      </c>
      <c r="L480" s="2">
        <f t="shared" si="69"/>
        <v>0</v>
      </c>
      <c r="M480" s="2">
        <f t="shared" si="70"/>
        <v>0</v>
      </c>
      <c r="O480" s="2">
        <f>IF('PV IN'!$N$10="Yes",PVLoan!F480*'PV IN'!$E$8,0)</f>
        <v>0</v>
      </c>
    </row>
    <row r="481" spans="1:15" x14ac:dyDescent="0.25">
      <c r="B481" t="e">
        <f t="shared" si="62"/>
        <v>#N/A</v>
      </c>
      <c r="C481" s="2" t="str">
        <f t="shared" si="63"/>
        <v>0</v>
      </c>
      <c r="E481" s="10">
        <f t="shared" si="64"/>
        <v>0</v>
      </c>
      <c r="F481" s="2">
        <f t="shared" si="65"/>
        <v>0</v>
      </c>
      <c r="G481" s="2" t="str">
        <f>IF(ISERROR(B481),"-",IF(J480=0,0,SUM($F$33:F481)))</f>
        <v>-</v>
      </c>
      <c r="H481" s="2">
        <f t="shared" si="66"/>
        <v>0</v>
      </c>
      <c r="I481" s="2" t="str">
        <f>IF(ISERROR($B481),"-",IF(J480=0,0,SUM($H$33:H481)))</f>
        <v>-</v>
      </c>
      <c r="J481" s="2" t="str">
        <f t="shared" si="67"/>
        <v>-</v>
      </c>
      <c r="K481" s="2" t="str">
        <f t="shared" si="68"/>
        <v>-</v>
      </c>
      <c r="L481" s="2">
        <f t="shared" si="69"/>
        <v>0</v>
      </c>
      <c r="M481" s="2">
        <f t="shared" si="70"/>
        <v>0</v>
      </c>
      <c r="O481" s="2">
        <f>IF('PV IN'!$N$10="Yes",PVLoan!F481*'PV IN'!$E$8,0)</f>
        <v>0</v>
      </c>
    </row>
    <row r="482" spans="1:15" x14ac:dyDescent="0.25">
      <c r="B482" t="e">
        <f t="shared" ref="B482:B512" si="71">IF(B481&gt;=$E$9,NA(),B481+1)</f>
        <v>#N/A</v>
      </c>
      <c r="C482" s="2" t="str">
        <f t="shared" si="63"/>
        <v>0</v>
      </c>
      <c r="E482" s="10">
        <f t="shared" si="64"/>
        <v>0</v>
      </c>
      <c r="F482" s="2">
        <f t="shared" si="65"/>
        <v>0</v>
      </c>
      <c r="G482" s="2" t="str">
        <f>IF(ISERROR(B482),"-",IF(J481=0,0,SUM($F$33:F482)))</f>
        <v>-</v>
      </c>
      <c r="H482" s="2">
        <f t="shared" si="66"/>
        <v>0</v>
      </c>
      <c r="I482" s="2" t="str">
        <f>IF(ISERROR($B482),"-",IF(J481=0,0,SUM($H$33:H482)))</f>
        <v>-</v>
      </c>
      <c r="J482" s="2" t="str">
        <f t="shared" si="67"/>
        <v>-</v>
      </c>
      <c r="K482" s="2" t="str">
        <f t="shared" si="68"/>
        <v>-</v>
      </c>
      <c r="L482" s="2">
        <f t="shared" si="69"/>
        <v>0</v>
      </c>
      <c r="M482" s="2">
        <f t="shared" si="70"/>
        <v>0</v>
      </c>
      <c r="O482" s="2">
        <f>IF('PV IN'!$N$10="Yes",PVLoan!F482*'PV IN'!$E$8,0)</f>
        <v>0</v>
      </c>
    </row>
    <row r="483" spans="1:15" x14ac:dyDescent="0.25">
      <c r="B483" t="e">
        <f t="shared" si="71"/>
        <v>#N/A</v>
      </c>
      <c r="C483" s="2" t="str">
        <f t="shared" si="63"/>
        <v>0</v>
      </c>
      <c r="E483" s="10">
        <f t="shared" si="64"/>
        <v>0</v>
      </c>
      <c r="F483" s="2">
        <f t="shared" si="65"/>
        <v>0</v>
      </c>
      <c r="G483" s="2" t="str">
        <f>IF(ISERROR(B483),"-",IF(J482=0,0,SUM($F$33:F483)))</f>
        <v>-</v>
      </c>
      <c r="H483" s="2">
        <f t="shared" si="66"/>
        <v>0</v>
      </c>
      <c r="I483" s="2" t="str">
        <f>IF(ISERROR($B483),"-",IF(J482=0,0,SUM($H$33:H483)))</f>
        <v>-</v>
      </c>
      <c r="J483" s="2" t="str">
        <f t="shared" si="67"/>
        <v>-</v>
      </c>
      <c r="K483" s="2" t="str">
        <f t="shared" si="68"/>
        <v>-</v>
      </c>
      <c r="L483" s="2">
        <f t="shared" si="69"/>
        <v>0</v>
      </c>
      <c r="M483" s="2">
        <f t="shared" si="70"/>
        <v>0</v>
      </c>
      <c r="O483" s="2">
        <f>IF('PV IN'!$N$10="Yes",PVLoan!F483*'PV IN'!$E$8,0)</f>
        <v>0</v>
      </c>
    </row>
    <row r="484" spans="1:15" x14ac:dyDescent="0.25">
      <c r="B484" t="e">
        <f t="shared" si="71"/>
        <v>#N/A</v>
      </c>
      <c r="C484" s="2" t="str">
        <f t="shared" si="63"/>
        <v>0</v>
      </c>
      <c r="E484" s="10">
        <f t="shared" si="64"/>
        <v>0</v>
      </c>
      <c r="F484" s="2">
        <f t="shared" si="65"/>
        <v>0</v>
      </c>
      <c r="G484" s="2" t="str">
        <f>IF(ISERROR(B484),"-",IF(J483=0,0,SUM($F$33:F484)))</f>
        <v>-</v>
      </c>
      <c r="H484" s="2">
        <f t="shared" si="66"/>
        <v>0</v>
      </c>
      <c r="I484" s="2" t="str">
        <f>IF(ISERROR($B484),"-",IF(J483=0,0,SUM($H$33:H484)))</f>
        <v>-</v>
      </c>
      <c r="J484" s="2" t="str">
        <f t="shared" si="67"/>
        <v>-</v>
      </c>
      <c r="K484" s="2" t="str">
        <f t="shared" si="68"/>
        <v>-</v>
      </c>
      <c r="L484" s="2">
        <f t="shared" si="69"/>
        <v>0</v>
      </c>
      <c r="M484" s="2">
        <f t="shared" si="70"/>
        <v>0</v>
      </c>
      <c r="O484" s="2">
        <f>IF('PV IN'!$N$10="Yes",PVLoan!F484*'PV IN'!$E$8,0)</f>
        <v>0</v>
      </c>
    </row>
    <row r="485" spans="1:15" x14ac:dyDescent="0.25">
      <c r="B485" t="e">
        <f t="shared" si="71"/>
        <v>#N/A</v>
      </c>
      <c r="C485" s="2" t="str">
        <f t="shared" si="63"/>
        <v>0</v>
      </c>
      <c r="E485" s="10">
        <f t="shared" si="64"/>
        <v>0</v>
      </c>
      <c r="F485" s="2">
        <f t="shared" si="65"/>
        <v>0</v>
      </c>
      <c r="G485" s="2" t="str">
        <f>IF(ISERROR(B485),"-",IF(J484=0,0,SUM($F$33:F485)))</f>
        <v>-</v>
      </c>
      <c r="H485" s="2">
        <f t="shared" si="66"/>
        <v>0</v>
      </c>
      <c r="I485" s="2" t="str">
        <f>IF(ISERROR($B485),"-",IF(J484=0,0,SUM($H$33:H485)))</f>
        <v>-</v>
      </c>
      <c r="J485" s="2" t="str">
        <f t="shared" si="67"/>
        <v>-</v>
      </c>
      <c r="K485" s="2" t="str">
        <f t="shared" si="68"/>
        <v>-</v>
      </c>
      <c r="L485" s="2">
        <f t="shared" si="69"/>
        <v>0</v>
      </c>
      <c r="M485" s="2">
        <f t="shared" si="70"/>
        <v>0</v>
      </c>
      <c r="O485" s="2">
        <f>IF('PV IN'!$N$10="Yes",PVLoan!F485*'PV IN'!$E$8,0)</f>
        <v>0</v>
      </c>
    </row>
    <row r="486" spans="1:15" x14ac:dyDescent="0.25">
      <c r="B486" t="e">
        <f t="shared" si="71"/>
        <v>#N/A</v>
      </c>
      <c r="C486" s="2" t="str">
        <f t="shared" si="63"/>
        <v>0</v>
      </c>
      <c r="E486" s="10">
        <f t="shared" si="64"/>
        <v>0</v>
      </c>
      <c r="F486" s="2">
        <f t="shared" si="65"/>
        <v>0</v>
      </c>
      <c r="G486" s="2" t="str">
        <f>IF(ISERROR(B486),"-",IF(J485=0,0,SUM($F$33:F486)))</f>
        <v>-</v>
      </c>
      <c r="H486" s="2">
        <f t="shared" si="66"/>
        <v>0</v>
      </c>
      <c r="I486" s="2" t="str">
        <f>IF(ISERROR($B486),"-",IF(J485=0,0,SUM($H$33:H486)))</f>
        <v>-</v>
      </c>
      <c r="J486" s="2" t="str">
        <f t="shared" si="67"/>
        <v>-</v>
      </c>
      <c r="K486" s="2" t="str">
        <f t="shared" si="68"/>
        <v>-</v>
      </c>
      <c r="L486" s="2">
        <f t="shared" si="69"/>
        <v>0</v>
      </c>
      <c r="M486" s="2">
        <f t="shared" si="70"/>
        <v>0</v>
      </c>
      <c r="O486" s="2">
        <f>IF('PV IN'!$N$10="Yes",PVLoan!F486*'PV IN'!$E$8,0)</f>
        <v>0</v>
      </c>
    </row>
    <row r="487" spans="1:15" x14ac:dyDescent="0.25">
      <c r="B487" t="e">
        <f t="shared" si="71"/>
        <v>#N/A</v>
      </c>
      <c r="C487" s="2" t="str">
        <f t="shared" si="63"/>
        <v>0</v>
      </c>
      <c r="E487" s="10">
        <f t="shared" si="64"/>
        <v>0</v>
      </c>
      <c r="F487" s="2">
        <f t="shared" si="65"/>
        <v>0</v>
      </c>
      <c r="G487" s="2" t="str">
        <f>IF(ISERROR(B487),"-",IF(J486=0,0,SUM($F$33:F487)))</f>
        <v>-</v>
      </c>
      <c r="H487" s="2">
        <f t="shared" si="66"/>
        <v>0</v>
      </c>
      <c r="I487" s="2" t="str">
        <f>IF(ISERROR($B487),"-",IF(J486=0,0,SUM($H$33:H487)))</f>
        <v>-</v>
      </c>
      <c r="J487" s="2" t="str">
        <f t="shared" si="67"/>
        <v>-</v>
      </c>
      <c r="K487" s="2" t="str">
        <f t="shared" si="68"/>
        <v>-</v>
      </c>
      <c r="L487" s="2">
        <f t="shared" si="69"/>
        <v>0</v>
      </c>
      <c r="M487" s="2">
        <f t="shared" si="70"/>
        <v>0</v>
      </c>
      <c r="O487" s="2">
        <f>IF('PV IN'!$N$10="Yes",PVLoan!F487*'PV IN'!$E$8,0)</f>
        <v>0</v>
      </c>
    </row>
    <row r="488" spans="1:15" x14ac:dyDescent="0.25">
      <c r="A488">
        <v>38</v>
      </c>
      <c r="B488" t="e">
        <f t="shared" si="71"/>
        <v>#N/A</v>
      </c>
      <c r="C488" s="2" t="str">
        <f t="shared" si="63"/>
        <v>0</v>
      </c>
      <c r="E488" s="10">
        <f t="shared" si="64"/>
        <v>0</v>
      </c>
      <c r="F488" s="2">
        <f t="shared" si="65"/>
        <v>0</v>
      </c>
      <c r="G488" s="2" t="str">
        <f>IF(ISERROR(B488),"-",IF(J487=0,0,SUM($F$33:F488)))</f>
        <v>-</v>
      </c>
      <c r="H488" s="2">
        <f t="shared" si="66"/>
        <v>0</v>
      </c>
      <c r="I488" s="2" t="str">
        <f>IF(ISERROR($B488),"-",IF(J487=0,0,SUM($H$33:H488)))</f>
        <v>-</v>
      </c>
      <c r="J488" s="2" t="str">
        <f t="shared" si="67"/>
        <v>-</v>
      </c>
      <c r="K488" s="2" t="str">
        <f t="shared" si="68"/>
        <v>-</v>
      </c>
      <c r="L488" s="2">
        <f t="shared" si="69"/>
        <v>0</v>
      </c>
      <c r="M488" s="2">
        <f t="shared" si="70"/>
        <v>0</v>
      </c>
      <c r="O488" s="2">
        <f>IF('PV IN'!$N$10="Yes",PVLoan!F488*'PV IN'!$E$8,0)</f>
        <v>0</v>
      </c>
    </row>
    <row r="489" spans="1:15" x14ac:dyDescent="0.25">
      <c r="B489" t="e">
        <f t="shared" si="71"/>
        <v>#N/A</v>
      </c>
      <c r="C489" s="2" t="str">
        <f t="shared" si="63"/>
        <v>0</v>
      </c>
      <c r="E489" s="10">
        <f t="shared" si="64"/>
        <v>0</v>
      </c>
      <c r="F489" s="2">
        <f t="shared" si="65"/>
        <v>0</v>
      </c>
      <c r="G489" s="2" t="str">
        <f>IF(ISERROR(B489),"-",IF(J488=0,0,SUM($F$33:F489)))</f>
        <v>-</v>
      </c>
      <c r="H489" s="2">
        <f t="shared" si="66"/>
        <v>0</v>
      </c>
      <c r="I489" s="2" t="str">
        <f>IF(ISERROR($B489),"-",IF(J488=0,0,SUM($H$33:H489)))</f>
        <v>-</v>
      </c>
      <c r="J489" s="2" t="str">
        <f t="shared" si="67"/>
        <v>-</v>
      </c>
      <c r="K489" s="2" t="str">
        <f t="shared" si="68"/>
        <v>-</v>
      </c>
      <c r="L489" s="2">
        <f t="shared" si="69"/>
        <v>0</v>
      </c>
      <c r="M489" s="2">
        <f t="shared" si="70"/>
        <v>0</v>
      </c>
      <c r="O489" s="2">
        <f>IF('PV IN'!$N$10="Yes",PVLoan!F489*'PV IN'!$E$8,0)</f>
        <v>0</v>
      </c>
    </row>
    <row r="490" spans="1:15" x14ac:dyDescent="0.25">
      <c r="B490" t="e">
        <f t="shared" si="71"/>
        <v>#N/A</v>
      </c>
      <c r="C490" s="2" t="str">
        <f t="shared" si="63"/>
        <v>0</v>
      </c>
      <c r="E490" s="10">
        <f t="shared" si="64"/>
        <v>0</v>
      </c>
      <c r="F490" s="2">
        <f t="shared" si="65"/>
        <v>0</v>
      </c>
      <c r="G490" s="2" t="str">
        <f>IF(ISERROR(B490),"-",IF(J489=0,0,SUM($F$33:F490)))</f>
        <v>-</v>
      </c>
      <c r="H490" s="2">
        <f t="shared" si="66"/>
        <v>0</v>
      </c>
      <c r="I490" s="2" t="str">
        <f>IF(ISERROR($B490),"-",IF(J489=0,0,SUM($H$33:H490)))</f>
        <v>-</v>
      </c>
      <c r="J490" s="2" t="str">
        <f t="shared" si="67"/>
        <v>-</v>
      </c>
      <c r="K490" s="2" t="str">
        <f t="shared" si="68"/>
        <v>-</v>
      </c>
      <c r="L490" s="2">
        <f t="shared" si="69"/>
        <v>0</v>
      </c>
      <c r="M490" s="2">
        <f t="shared" si="70"/>
        <v>0</v>
      </c>
      <c r="O490" s="2">
        <f>IF('PV IN'!$N$10="Yes",PVLoan!F490*'PV IN'!$E$8,0)</f>
        <v>0</v>
      </c>
    </row>
    <row r="491" spans="1:15" x14ac:dyDescent="0.25">
      <c r="B491" t="e">
        <f t="shared" si="71"/>
        <v>#N/A</v>
      </c>
      <c r="C491" s="2" t="str">
        <f t="shared" si="63"/>
        <v>0</v>
      </c>
      <c r="E491" s="10">
        <f t="shared" si="64"/>
        <v>0</v>
      </c>
      <c r="F491" s="2">
        <f t="shared" si="65"/>
        <v>0</v>
      </c>
      <c r="G491" s="2" t="str">
        <f>IF(ISERROR(B491),"-",IF(J490=0,0,SUM($F$33:F491)))</f>
        <v>-</v>
      </c>
      <c r="H491" s="2">
        <f t="shared" si="66"/>
        <v>0</v>
      </c>
      <c r="I491" s="2" t="str">
        <f>IF(ISERROR($B491),"-",IF(J490=0,0,SUM($H$33:H491)))</f>
        <v>-</v>
      </c>
      <c r="J491" s="2" t="str">
        <f t="shared" si="67"/>
        <v>-</v>
      </c>
      <c r="K491" s="2" t="str">
        <f t="shared" si="68"/>
        <v>-</v>
      </c>
      <c r="L491" s="2">
        <f t="shared" si="69"/>
        <v>0</v>
      </c>
      <c r="M491" s="2">
        <f t="shared" si="70"/>
        <v>0</v>
      </c>
      <c r="O491" s="2">
        <f>IF('PV IN'!$N$10="Yes",PVLoan!F491*'PV IN'!$E$8,0)</f>
        <v>0</v>
      </c>
    </row>
    <row r="492" spans="1:15" x14ac:dyDescent="0.25">
      <c r="B492" t="e">
        <f t="shared" si="71"/>
        <v>#N/A</v>
      </c>
      <c r="C492" s="2" t="str">
        <f t="shared" si="63"/>
        <v>0</v>
      </c>
      <c r="E492" s="10">
        <f t="shared" si="64"/>
        <v>0</v>
      </c>
      <c r="F492" s="2">
        <f t="shared" si="65"/>
        <v>0</v>
      </c>
      <c r="G492" s="2" t="str">
        <f>IF(ISERROR(B492),"-",IF(J491=0,0,SUM($F$33:F492)))</f>
        <v>-</v>
      </c>
      <c r="H492" s="2">
        <f t="shared" si="66"/>
        <v>0</v>
      </c>
      <c r="I492" s="2" t="str">
        <f>IF(ISERROR($B492),"-",IF(J491=0,0,SUM($H$33:H492)))</f>
        <v>-</v>
      </c>
      <c r="J492" s="2" t="str">
        <f t="shared" si="67"/>
        <v>-</v>
      </c>
      <c r="K492" s="2" t="str">
        <f t="shared" si="68"/>
        <v>-</v>
      </c>
      <c r="L492" s="2">
        <f t="shared" si="69"/>
        <v>0</v>
      </c>
      <c r="M492" s="2">
        <f t="shared" si="70"/>
        <v>0</v>
      </c>
      <c r="O492" s="2">
        <f>IF('PV IN'!$N$10="Yes",PVLoan!F492*'PV IN'!$E$8,0)</f>
        <v>0</v>
      </c>
    </row>
    <row r="493" spans="1:15" x14ac:dyDescent="0.25">
      <c r="B493" t="e">
        <f t="shared" si="71"/>
        <v>#N/A</v>
      </c>
      <c r="C493" s="2" t="str">
        <f t="shared" si="63"/>
        <v>0</v>
      </c>
      <c r="E493" s="10">
        <f t="shared" si="64"/>
        <v>0</v>
      </c>
      <c r="F493" s="2">
        <f t="shared" si="65"/>
        <v>0</v>
      </c>
      <c r="G493" s="2" t="str">
        <f>IF(ISERROR(B493),"-",IF(J492=0,0,SUM($F$33:F493)))</f>
        <v>-</v>
      </c>
      <c r="H493" s="2">
        <f t="shared" si="66"/>
        <v>0</v>
      </c>
      <c r="I493" s="2" t="str">
        <f>IF(ISERROR($B493),"-",IF(J492=0,0,SUM($H$33:H493)))</f>
        <v>-</v>
      </c>
      <c r="J493" s="2" t="str">
        <f t="shared" si="67"/>
        <v>-</v>
      </c>
      <c r="K493" s="2" t="str">
        <f t="shared" si="68"/>
        <v>-</v>
      </c>
      <c r="L493" s="2">
        <f t="shared" si="69"/>
        <v>0</v>
      </c>
      <c r="M493" s="2">
        <f t="shared" si="70"/>
        <v>0</v>
      </c>
      <c r="O493" s="2">
        <f>IF('PV IN'!$N$10="Yes",PVLoan!F493*'PV IN'!$E$8,0)</f>
        <v>0</v>
      </c>
    </row>
    <row r="494" spans="1:15" x14ac:dyDescent="0.25">
      <c r="B494" t="e">
        <f t="shared" si="71"/>
        <v>#N/A</v>
      </c>
      <c r="C494" s="2" t="str">
        <f t="shared" si="63"/>
        <v>0</v>
      </c>
      <c r="E494" s="10">
        <f t="shared" si="64"/>
        <v>0</v>
      </c>
      <c r="F494" s="2">
        <f t="shared" si="65"/>
        <v>0</v>
      </c>
      <c r="G494" s="2" t="str">
        <f>IF(ISERROR(B494),"-",IF(J493=0,0,SUM($F$33:F494)))</f>
        <v>-</v>
      </c>
      <c r="H494" s="2">
        <f t="shared" si="66"/>
        <v>0</v>
      </c>
      <c r="I494" s="2" t="str">
        <f>IF(ISERROR($B494),"-",IF(J493=0,0,SUM($H$33:H494)))</f>
        <v>-</v>
      </c>
      <c r="J494" s="2" t="str">
        <f t="shared" si="67"/>
        <v>-</v>
      </c>
      <c r="K494" s="2" t="str">
        <f t="shared" si="68"/>
        <v>-</v>
      </c>
      <c r="L494" s="2">
        <f t="shared" si="69"/>
        <v>0</v>
      </c>
      <c r="M494" s="2">
        <f t="shared" si="70"/>
        <v>0</v>
      </c>
      <c r="O494" s="2">
        <f>IF('PV IN'!$N$10="Yes",PVLoan!F494*'PV IN'!$E$8,0)</f>
        <v>0</v>
      </c>
    </row>
    <row r="495" spans="1:15" x14ac:dyDescent="0.25">
      <c r="B495" t="e">
        <f t="shared" si="71"/>
        <v>#N/A</v>
      </c>
      <c r="C495" s="2" t="str">
        <f t="shared" si="63"/>
        <v>0</v>
      </c>
      <c r="E495" s="10">
        <f t="shared" si="64"/>
        <v>0</v>
      </c>
      <c r="F495" s="2">
        <f t="shared" si="65"/>
        <v>0</v>
      </c>
      <c r="G495" s="2" t="str">
        <f>IF(ISERROR(B495),"-",IF(J494=0,0,SUM($F$33:F495)))</f>
        <v>-</v>
      </c>
      <c r="H495" s="2">
        <f t="shared" si="66"/>
        <v>0</v>
      </c>
      <c r="I495" s="2" t="str">
        <f>IF(ISERROR($B495),"-",IF(J494=0,0,SUM($H$33:H495)))</f>
        <v>-</v>
      </c>
      <c r="J495" s="2" t="str">
        <f t="shared" si="67"/>
        <v>-</v>
      </c>
      <c r="K495" s="2" t="str">
        <f t="shared" si="68"/>
        <v>-</v>
      </c>
      <c r="L495" s="2">
        <f t="shared" si="69"/>
        <v>0</v>
      </c>
      <c r="M495" s="2">
        <f t="shared" si="70"/>
        <v>0</v>
      </c>
      <c r="O495" s="2">
        <f>IF('PV IN'!$N$10="Yes",PVLoan!F495*'PV IN'!$E$8,0)</f>
        <v>0</v>
      </c>
    </row>
    <row r="496" spans="1:15" x14ac:dyDescent="0.25">
      <c r="B496" t="e">
        <f t="shared" si="71"/>
        <v>#N/A</v>
      </c>
      <c r="C496" s="2" t="str">
        <f t="shared" si="63"/>
        <v>0</v>
      </c>
      <c r="E496" s="10">
        <f t="shared" si="64"/>
        <v>0</v>
      </c>
      <c r="F496" s="2">
        <f t="shared" si="65"/>
        <v>0</v>
      </c>
      <c r="G496" s="2" t="str">
        <f>IF(ISERROR(B496),"-",IF(J495=0,0,SUM($F$33:F496)))</f>
        <v>-</v>
      </c>
      <c r="H496" s="2">
        <f t="shared" si="66"/>
        <v>0</v>
      </c>
      <c r="I496" s="2" t="str">
        <f>IF(ISERROR($B496),"-",IF(J495=0,0,SUM($H$33:H496)))</f>
        <v>-</v>
      </c>
      <c r="J496" s="2" t="str">
        <f t="shared" si="67"/>
        <v>-</v>
      </c>
      <c r="K496" s="2" t="str">
        <f t="shared" si="68"/>
        <v>-</v>
      </c>
      <c r="L496" s="2">
        <f t="shared" si="69"/>
        <v>0</v>
      </c>
      <c r="M496" s="2">
        <f t="shared" si="70"/>
        <v>0</v>
      </c>
      <c r="O496" s="2">
        <f>IF('PV IN'!$N$10="Yes",PVLoan!F496*'PV IN'!$E$8,0)</f>
        <v>0</v>
      </c>
    </row>
    <row r="497" spans="1:15" x14ac:dyDescent="0.25">
      <c r="B497" t="e">
        <f t="shared" si="71"/>
        <v>#N/A</v>
      </c>
      <c r="C497" s="2" t="str">
        <f t="shared" si="63"/>
        <v>0</v>
      </c>
      <c r="E497" s="10">
        <f t="shared" si="64"/>
        <v>0</v>
      </c>
      <c r="F497" s="2">
        <f t="shared" si="65"/>
        <v>0</v>
      </c>
      <c r="G497" s="2" t="str">
        <f>IF(ISERROR(B497),"-",IF(J496=0,0,SUM($F$33:F497)))</f>
        <v>-</v>
      </c>
      <c r="H497" s="2">
        <f t="shared" si="66"/>
        <v>0</v>
      </c>
      <c r="I497" s="2" t="str">
        <f>IF(ISERROR($B497),"-",IF(J496=0,0,SUM($H$33:H497)))</f>
        <v>-</v>
      </c>
      <c r="J497" s="2" t="str">
        <f t="shared" si="67"/>
        <v>-</v>
      </c>
      <c r="K497" s="2" t="str">
        <f t="shared" si="68"/>
        <v>-</v>
      </c>
      <c r="L497" s="2">
        <f t="shared" si="69"/>
        <v>0</v>
      </c>
      <c r="M497" s="2">
        <f t="shared" si="70"/>
        <v>0</v>
      </c>
      <c r="O497" s="2">
        <f>IF('PV IN'!$N$10="Yes",PVLoan!F497*'PV IN'!$E$8,0)</f>
        <v>0</v>
      </c>
    </row>
    <row r="498" spans="1:15" x14ac:dyDescent="0.25">
      <c r="B498" t="e">
        <f t="shared" si="71"/>
        <v>#N/A</v>
      </c>
      <c r="C498" s="2" t="str">
        <f t="shared" si="63"/>
        <v>0</v>
      </c>
      <c r="E498" s="10">
        <f t="shared" si="64"/>
        <v>0</v>
      </c>
      <c r="F498" s="2">
        <f t="shared" si="65"/>
        <v>0</v>
      </c>
      <c r="G498" s="2" t="str">
        <f>IF(ISERROR(B498),"-",IF(J497=0,0,SUM($F$33:F498)))</f>
        <v>-</v>
      </c>
      <c r="H498" s="2">
        <f t="shared" si="66"/>
        <v>0</v>
      </c>
      <c r="I498" s="2" t="str">
        <f>IF(ISERROR($B498),"-",IF(J497=0,0,SUM($H$33:H498)))</f>
        <v>-</v>
      </c>
      <c r="J498" s="2" t="str">
        <f t="shared" si="67"/>
        <v>-</v>
      </c>
      <c r="K498" s="2" t="str">
        <f t="shared" si="68"/>
        <v>-</v>
      </c>
      <c r="L498" s="2">
        <f t="shared" si="69"/>
        <v>0</v>
      </c>
      <c r="M498" s="2">
        <f t="shared" si="70"/>
        <v>0</v>
      </c>
      <c r="O498" s="2">
        <f>IF('PV IN'!$N$10="Yes",PVLoan!F498*'PV IN'!$E$8,0)</f>
        <v>0</v>
      </c>
    </row>
    <row r="499" spans="1:15" x14ac:dyDescent="0.25">
      <c r="B499" t="e">
        <f t="shared" si="71"/>
        <v>#N/A</v>
      </c>
      <c r="C499" s="2" t="str">
        <f t="shared" si="63"/>
        <v>0</v>
      </c>
      <c r="E499" s="10">
        <f t="shared" si="64"/>
        <v>0</v>
      </c>
      <c r="F499" s="2">
        <f t="shared" si="65"/>
        <v>0</v>
      </c>
      <c r="G499" s="2" t="str">
        <f>IF(ISERROR(B499),"-",IF(J498=0,0,SUM($F$33:F499)))</f>
        <v>-</v>
      </c>
      <c r="H499" s="2">
        <f t="shared" si="66"/>
        <v>0</v>
      </c>
      <c r="I499" s="2" t="str">
        <f>IF(ISERROR($B499),"-",IF(J498=0,0,SUM($H$33:H499)))</f>
        <v>-</v>
      </c>
      <c r="J499" s="2" t="str">
        <f t="shared" si="67"/>
        <v>-</v>
      </c>
      <c r="K499" s="2" t="str">
        <f t="shared" si="68"/>
        <v>-</v>
      </c>
      <c r="L499" s="2">
        <f t="shared" si="69"/>
        <v>0</v>
      </c>
      <c r="M499" s="2">
        <f t="shared" si="70"/>
        <v>0</v>
      </c>
      <c r="O499" s="2">
        <f>IF('PV IN'!$N$10="Yes",PVLoan!F499*'PV IN'!$E$8,0)</f>
        <v>0</v>
      </c>
    </row>
    <row r="500" spans="1:15" x14ac:dyDescent="0.25">
      <c r="A500">
        <v>39</v>
      </c>
      <c r="B500" t="e">
        <f t="shared" si="71"/>
        <v>#N/A</v>
      </c>
      <c r="C500" s="2" t="str">
        <f t="shared" si="63"/>
        <v>0</v>
      </c>
      <c r="E500" s="10">
        <f t="shared" si="64"/>
        <v>0</v>
      </c>
      <c r="F500" s="2">
        <f t="shared" si="65"/>
        <v>0</v>
      </c>
      <c r="G500" s="2" t="str">
        <f>IF(ISERROR(B500),"-",IF(J499=0,0,SUM($F$33:F500)))</f>
        <v>-</v>
      </c>
      <c r="H500" s="2">
        <f t="shared" si="66"/>
        <v>0</v>
      </c>
      <c r="I500" s="2" t="str">
        <f>IF(ISERROR($B500),"-",IF(J499=0,0,SUM($H$33:H500)))</f>
        <v>-</v>
      </c>
      <c r="J500" s="2" t="str">
        <f t="shared" si="67"/>
        <v>-</v>
      </c>
      <c r="K500" s="2" t="str">
        <f t="shared" si="68"/>
        <v>-</v>
      </c>
      <c r="L500" s="2">
        <f t="shared" si="69"/>
        <v>0</v>
      </c>
      <c r="M500" s="2">
        <f t="shared" si="70"/>
        <v>0</v>
      </c>
      <c r="O500" s="2">
        <f>IF('PV IN'!$N$10="Yes",PVLoan!F500*'PV IN'!$E$8,0)</f>
        <v>0</v>
      </c>
    </row>
    <row r="501" spans="1:15" x14ac:dyDescent="0.25">
      <c r="B501" t="e">
        <f t="shared" si="71"/>
        <v>#N/A</v>
      </c>
      <c r="C501" s="2" t="str">
        <f t="shared" si="63"/>
        <v>0</v>
      </c>
      <c r="E501" s="10">
        <f t="shared" si="64"/>
        <v>0</v>
      </c>
      <c r="F501" s="2">
        <f t="shared" si="65"/>
        <v>0</v>
      </c>
      <c r="G501" s="2" t="str">
        <f>IF(ISERROR(B501),"-",IF(J500=0,0,SUM($F$33:F501)))</f>
        <v>-</v>
      </c>
      <c r="H501" s="2">
        <f t="shared" si="66"/>
        <v>0</v>
      </c>
      <c r="I501" s="2" t="str">
        <f>IF(ISERROR($B501),"-",IF(J500=0,0,SUM($H$33:H501)))</f>
        <v>-</v>
      </c>
      <c r="J501" s="2" t="str">
        <f t="shared" si="67"/>
        <v>-</v>
      </c>
      <c r="K501" s="2" t="str">
        <f t="shared" si="68"/>
        <v>-</v>
      </c>
      <c r="L501" s="2">
        <f t="shared" si="69"/>
        <v>0</v>
      </c>
      <c r="M501" s="2">
        <f t="shared" si="70"/>
        <v>0</v>
      </c>
      <c r="O501" s="2">
        <f>IF('PV IN'!$N$10="Yes",PVLoan!F501*'PV IN'!$E$8,0)</f>
        <v>0</v>
      </c>
    </row>
    <row r="502" spans="1:15" x14ac:dyDescent="0.25">
      <c r="B502" t="e">
        <f t="shared" si="71"/>
        <v>#N/A</v>
      </c>
      <c r="C502" s="2" t="str">
        <f t="shared" si="63"/>
        <v>0</v>
      </c>
      <c r="E502" s="10">
        <f t="shared" si="64"/>
        <v>0</v>
      </c>
      <c r="F502" s="2">
        <f t="shared" si="65"/>
        <v>0</v>
      </c>
      <c r="G502" s="2" t="str">
        <f>IF(ISERROR(B502),"-",IF(J501=0,0,SUM($F$33:F502)))</f>
        <v>-</v>
      </c>
      <c r="H502" s="2">
        <f t="shared" si="66"/>
        <v>0</v>
      </c>
      <c r="I502" s="2" t="str">
        <f>IF(ISERROR($B502),"-",IF(J501=0,0,SUM($H$33:H502)))</f>
        <v>-</v>
      </c>
      <c r="J502" s="2" t="str">
        <f t="shared" si="67"/>
        <v>-</v>
      </c>
      <c r="K502" s="2" t="str">
        <f t="shared" si="68"/>
        <v>-</v>
      </c>
      <c r="L502" s="2">
        <f t="shared" si="69"/>
        <v>0</v>
      </c>
      <c r="M502" s="2">
        <f t="shared" si="70"/>
        <v>0</v>
      </c>
      <c r="O502" s="2">
        <f>IF('PV IN'!$N$10="Yes",PVLoan!F502*'PV IN'!$E$8,0)</f>
        <v>0</v>
      </c>
    </row>
    <row r="503" spans="1:15" x14ac:dyDescent="0.25">
      <c r="B503" t="e">
        <f t="shared" si="71"/>
        <v>#N/A</v>
      </c>
      <c r="C503" s="2" t="str">
        <f t="shared" si="63"/>
        <v>0</v>
      </c>
      <c r="E503" s="10">
        <f t="shared" si="64"/>
        <v>0</v>
      </c>
      <c r="F503" s="2">
        <f t="shared" si="65"/>
        <v>0</v>
      </c>
      <c r="G503" s="2" t="str">
        <f>IF(ISERROR(B503),"-",IF(J502=0,0,SUM($F$33:F503)))</f>
        <v>-</v>
      </c>
      <c r="H503" s="2">
        <f t="shared" si="66"/>
        <v>0</v>
      </c>
      <c r="I503" s="2" t="str">
        <f>IF(ISERROR($B503),"-",IF(J502=0,0,SUM($H$33:H503)))</f>
        <v>-</v>
      </c>
      <c r="J503" s="2" t="str">
        <f t="shared" si="67"/>
        <v>-</v>
      </c>
      <c r="K503" s="2" t="str">
        <f t="shared" si="68"/>
        <v>-</v>
      </c>
      <c r="L503" s="2">
        <f t="shared" si="69"/>
        <v>0</v>
      </c>
      <c r="M503" s="2">
        <f t="shared" si="70"/>
        <v>0</v>
      </c>
      <c r="O503" s="2">
        <f>IF('PV IN'!$N$10="Yes",PVLoan!F503*'PV IN'!$E$8,0)</f>
        <v>0</v>
      </c>
    </row>
    <row r="504" spans="1:15" x14ac:dyDescent="0.25">
      <c r="B504" t="e">
        <f t="shared" si="71"/>
        <v>#N/A</v>
      </c>
      <c r="C504" s="2" t="str">
        <f t="shared" si="63"/>
        <v>0</v>
      </c>
      <c r="E504" s="10">
        <f t="shared" si="64"/>
        <v>0</v>
      </c>
      <c r="F504" s="2">
        <f t="shared" si="65"/>
        <v>0</v>
      </c>
      <c r="G504" s="2" t="str">
        <f>IF(ISERROR(B504),"-",IF(J503=0,0,SUM($F$33:F504)))</f>
        <v>-</v>
      </c>
      <c r="H504" s="2">
        <f t="shared" si="66"/>
        <v>0</v>
      </c>
      <c r="I504" s="2" t="str">
        <f>IF(ISERROR($B504),"-",IF(J503=0,0,SUM($H$33:H504)))</f>
        <v>-</v>
      </c>
      <c r="J504" s="2" t="str">
        <f t="shared" si="67"/>
        <v>-</v>
      </c>
      <c r="K504" s="2" t="str">
        <f t="shared" si="68"/>
        <v>-</v>
      </c>
      <c r="L504" s="2">
        <f t="shared" si="69"/>
        <v>0</v>
      </c>
      <c r="M504" s="2">
        <f t="shared" si="70"/>
        <v>0</v>
      </c>
      <c r="O504" s="2">
        <f>IF('PV IN'!$N$10="Yes",PVLoan!F504*'PV IN'!$E$8,0)</f>
        <v>0</v>
      </c>
    </row>
    <row r="505" spans="1:15" x14ac:dyDescent="0.25">
      <c r="B505" t="e">
        <f t="shared" si="71"/>
        <v>#N/A</v>
      </c>
      <c r="C505" s="2" t="str">
        <f t="shared" si="63"/>
        <v>0</v>
      </c>
      <c r="E505" s="10">
        <f t="shared" si="64"/>
        <v>0</v>
      </c>
      <c r="F505" s="2">
        <f t="shared" si="65"/>
        <v>0</v>
      </c>
      <c r="G505" s="2" t="str">
        <f>IF(ISERROR(B505),"-",IF(J504=0,0,SUM($F$33:F505)))</f>
        <v>-</v>
      </c>
      <c r="H505" s="2">
        <f t="shared" si="66"/>
        <v>0</v>
      </c>
      <c r="I505" s="2" t="str">
        <f>IF(ISERROR($B505),"-",IF(J504=0,0,SUM($H$33:H505)))</f>
        <v>-</v>
      </c>
      <c r="J505" s="2" t="str">
        <f t="shared" si="67"/>
        <v>-</v>
      </c>
      <c r="K505" s="2" t="str">
        <f t="shared" si="68"/>
        <v>-</v>
      </c>
      <c r="L505" s="2">
        <f t="shared" si="69"/>
        <v>0</v>
      </c>
      <c r="M505" s="2">
        <f t="shared" si="70"/>
        <v>0</v>
      </c>
      <c r="O505" s="2">
        <f>IF('PV IN'!$N$10="Yes",PVLoan!F505*'PV IN'!$E$8,0)</f>
        <v>0</v>
      </c>
    </row>
    <row r="506" spans="1:15" x14ac:dyDescent="0.25">
      <c r="B506" t="e">
        <f t="shared" si="71"/>
        <v>#N/A</v>
      </c>
      <c r="C506" s="2" t="str">
        <f t="shared" si="63"/>
        <v>0</v>
      </c>
      <c r="E506" s="10">
        <f t="shared" si="64"/>
        <v>0</v>
      </c>
      <c r="F506" s="2">
        <f t="shared" si="65"/>
        <v>0</v>
      </c>
      <c r="G506" s="2" t="str">
        <f>IF(ISERROR(B506),"-",IF(J505=0,0,SUM($F$33:F506)))</f>
        <v>-</v>
      </c>
      <c r="H506" s="2">
        <f t="shared" si="66"/>
        <v>0</v>
      </c>
      <c r="I506" s="2" t="str">
        <f>IF(ISERROR($B506),"-",IF(J505=0,0,SUM($H$33:H506)))</f>
        <v>-</v>
      </c>
      <c r="J506" s="2" t="str">
        <f t="shared" si="67"/>
        <v>-</v>
      </c>
      <c r="K506" s="2" t="str">
        <f t="shared" si="68"/>
        <v>-</v>
      </c>
      <c r="L506" s="2">
        <f t="shared" si="69"/>
        <v>0</v>
      </c>
      <c r="M506" s="2">
        <f t="shared" si="70"/>
        <v>0</v>
      </c>
      <c r="O506" s="2">
        <f>IF('PV IN'!$N$10="Yes",PVLoan!F506*'PV IN'!$E$8,0)</f>
        <v>0</v>
      </c>
    </row>
    <row r="507" spans="1:15" x14ac:dyDescent="0.25">
      <c r="B507" t="e">
        <f t="shared" si="71"/>
        <v>#N/A</v>
      </c>
      <c r="C507" s="2" t="str">
        <f t="shared" si="63"/>
        <v>0</v>
      </c>
      <c r="E507" s="10">
        <f t="shared" si="64"/>
        <v>0</v>
      </c>
      <c r="F507" s="2">
        <f t="shared" si="65"/>
        <v>0</v>
      </c>
      <c r="G507" s="2" t="str">
        <f>IF(ISERROR(B507),"-",IF(J506=0,0,SUM($F$33:F507)))</f>
        <v>-</v>
      </c>
      <c r="H507" s="2">
        <f t="shared" si="66"/>
        <v>0</v>
      </c>
      <c r="I507" s="2" t="str">
        <f>IF(ISERROR($B507),"-",IF(J506=0,0,SUM($H$33:H507)))</f>
        <v>-</v>
      </c>
      <c r="J507" s="2" t="str">
        <f t="shared" si="67"/>
        <v>-</v>
      </c>
      <c r="K507" s="2" t="str">
        <f t="shared" si="68"/>
        <v>-</v>
      </c>
      <c r="L507" s="2">
        <f t="shared" si="69"/>
        <v>0</v>
      </c>
      <c r="M507" s="2">
        <f t="shared" si="70"/>
        <v>0</v>
      </c>
      <c r="O507" s="2">
        <f>IF('PV IN'!$N$10="Yes",PVLoan!F507*'PV IN'!$E$8,0)</f>
        <v>0</v>
      </c>
    </row>
    <row r="508" spans="1:15" x14ac:dyDescent="0.25">
      <c r="B508" t="e">
        <f t="shared" si="71"/>
        <v>#N/A</v>
      </c>
      <c r="C508" s="2" t="str">
        <f t="shared" si="63"/>
        <v>0</v>
      </c>
      <c r="E508" s="10">
        <f t="shared" si="64"/>
        <v>0</v>
      </c>
      <c r="F508" s="2">
        <f t="shared" si="65"/>
        <v>0</v>
      </c>
      <c r="G508" s="2" t="str">
        <f>IF(ISERROR(B508),"-",IF(J507=0,0,SUM($F$33:F508)))</f>
        <v>-</v>
      </c>
      <c r="H508" s="2">
        <f t="shared" si="66"/>
        <v>0</v>
      </c>
      <c r="I508" s="2" t="str">
        <f>IF(ISERROR($B508),"-",IF(J507=0,0,SUM($H$33:H508)))</f>
        <v>-</v>
      </c>
      <c r="J508" s="2" t="str">
        <f t="shared" si="67"/>
        <v>-</v>
      </c>
      <c r="K508" s="2" t="str">
        <f t="shared" si="68"/>
        <v>-</v>
      </c>
      <c r="L508" s="2">
        <f t="shared" si="69"/>
        <v>0</v>
      </c>
      <c r="M508" s="2">
        <f t="shared" si="70"/>
        <v>0</v>
      </c>
      <c r="O508" s="2">
        <f>IF('PV IN'!$N$10="Yes",PVLoan!F508*'PV IN'!$E$8,0)</f>
        <v>0</v>
      </c>
    </row>
    <row r="509" spans="1:15" x14ac:dyDescent="0.25">
      <c r="B509" t="e">
        <f t="shared" si="71"/>
        <v>#N/A</v>
      </c>
      <c r="C509" s="2" t="str">
        <f t="shared" si="63"/>
        <v>0</v>
      </c>
      <c r="E509" s="10">
        <f t="shared" si="64"/>
        <v>0</v>
      </c>
      <c r="F509" s="2">
        <f t="shared" si="65"/>
        <v>0</v>
      </c>
      <c r="G509" s="2" t="str">
        <f>IF(ISERROR(B509),"-",IF(J508=0,0,SUM($F$33:F509)))</f>
        <v>-</v>
      </c>
      <c r="H509" s="2">
        <f t="shared" si="66"/>
        <v>0</v>
      </c>
      <c r="I509" s="2" t="str">
        <f>IF(ISERROR($B509),"-",IF(J508=0,0,SUM($H$33:H509)))</f>
        <v>-</v>
      </c>
      <c r="J509" s="2" t="str">
        <f t="shared" si="67"/>
        <v>-</v>
      </c>
      <c r="K509" s="2" t="str">
        <f t="shared" si="68"/>
        <v>-</v>
      </c>
      <c r="L509" s="2">
        <f t="shared" si="69"/>
        <v>0</v>
      </c>
      <c r="M509" s="2">
        <f t="shared" si="70"/>
        <v>0</v>
      </c>
      <c r="O509" s="2">
        <f>IF('PV IN'!$N$10="Yes",PVLoan!F509*'PV IN'!$E$8,0)</f>
        <v>0</v>
      </c>
    </row>
    <row r="510" spans="1:15" x14ac:dyDescent="0.25">
      <c r="B510" t="e">
        <f t="shared" si="71"/>
        <v>#N/A</v>
      </c>
      <c r="C510" s="2" t="str">
        <f t="shared" si="63"/>
        <v>0</v>
      </c>
      <c r="E510" s="10">
        <f t="shared" si="64"/>
        <v>0</v>
      </c>
      <c r="F510" s="2">
        <f t="shared" si="65"/>
        <v>0</v>
      </c>
      <c r="G510" s="2" t="str">
        <f>IF(ISERROR(B510),"-",IF(J509=0,0,SUM($F$33:F510)))</f>
        <v>-</v>
      </c>
      <c r="H510" s="2">
        <f t="shared" si="66"/>
        <v>0</v>
      </c>
      <c r="I510" s="2" t="str">
        <f>IF(ISERROR($B510),"-",IF(J509=0,0,SUM($H$33:H510)))</f>
        <v>-</v>
      </c>
      <c r="J510" s="2" t="str">
        <f t="shared" si="67"/>
        <v>-</v>
      </c>
      <c r="K510" s="2" t="str">
        <f t="shared" si="68"/>
        <v>-</v>
      </c>
      <c r="L510" s="2">
        <f t="shared" si="69"/>
        <v>0</v>
      </c>
      <c r="M510" s="2">
        <f t="shared" si="70"/>
        <v>0</v>
      </c>
      <c r="O510" s="2">
        <f>IF('PV IN'!$N$10="Yes",PVLoan!F510*'PV IN'!$E$8,0)</f>
        <v>0</v>
      </c>
    </row>
    <row r="511" spans="1:15" x14ac:dyDescent="0.25">
      <c r="B511" t="e">
        <f t="shared" si="71"/>
        <v>#N/A</v>
      </c>
      <c r="C511" s="2" t="str">
        <f t="shared" si="63"/>
        <v>0</v>
      </c>
      <c r="E511" s="10">
        <f t="shared" si="64"/>
        <v>0</v>
      </c>
      <c r="F511" s="2">
        <f t="shared" si="65"/>
        <v>0</v>
      </c>
      <c r="G511" s="2" t="str">
        <f>IF(ISERROR(B511),"-",IF(J510=0,0,SUM($F$33:F511)))</f>
        <v>-</v>
      </c>
      <c r="H511" s="2">
        <f t="shared" si="66"/>
        <v>0</v>
      </c>
      <c r="I511" s="2" t="str">
        <f>IF(ISERROR($B511),"-",IF(J510=0,0,SUM($H$33:H511)))</f>
        <v>-</v>
      </c>
      <c r="J511" s="2" t="str">
        <f t="shared" si="67"/>
        <v>-</v>
      </c>
      <c r="K511" s="2" t="str">
        <f t="shared" si="68"/>
        <v>-</v>
      </c>
      <c r="L511" s="2">
        <f t="shared" si="69"/>
        <v>0</v>
      </c>
      <c r="M511" s="2">
        <f t="shared" si="70"/>
        <v>0</v>
      </c>
      <c r="O511" s="2">
        <f>IF('PV IN'!$N$10="Yes",PVLoan!F511*'PV IN'!$E$8,0)</f>
        <v>0</v>
      </c>
    </row>
    <row r="512" spans="1:15" x14ac:dyDescent="0.25">
      <c r="A512">
        <v>40</v>
      </c>
      <c r="B512" t="e">
        <f t="shared" si="71"/>
        <v>#N/A</v>
      </c>
      <c r="C512" s="2" t="str">
        <f t="shared" si="63"/>
        <v>0</v>
      </c>
      <c r="E512" s="10">
        <f t="shared" si="64"/>
        <v>0</v>
      </c>
      <c r="F512" s="2">
        <f t="shared" si="65"/>
        <v>0</v>
      </c>
      <c r="G512" s="2" t="str">
        <f>IF(ISERROR(B512),"-",IF(J511=0,0,SUM($F$33:F512)))</f>
        <v>-</v>
      </c>
      <c r="H512" s="2">
        <f t="shared" si="66"/>
        <v>0</v>
      </c>
      <c r="I512" s="2" t="str">
        <f>IF(ISERROR($B512),"-",IF(J511=0,0,SUM($H$33:H512)))</f>
        <v>-</v>
      </c>
      <c r="J512" s="2" t="str">
        <f t="shared" si="67"/>
        <v>-</v>
      </c>
      <c r="K512" s="2" t="str">
        <f t="shared" si="68"/>
        <v>-</v>
      </c>
      <c r="L512" s="2">
        <f t="shared" si="69"/>
        <v>0</v>
      </c>
      <c r="M512" s="2">
        <f t="shared" si="70"/>
        <v>0</v>
      </c>
      <c r="O512" s="2">
        <f>IF('PV IN'!$N$10="Yes",PVLoan!F512*'PV IN'!$E$8,0)</f>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3:O512"/>
  <sheetViews>
    <sheetView zoomScale="85" zoomScaleNormal="85" workbookViewId="0"/>
  </sheetViews>
  <sheetFormatPr defaultRowHeight="15" x14ac:dyDescent="0.25"/>
  <cols>
    <col min="3" max="3" width="11.5703125" bestFit="1" customWidth="1"/>
    <col min="4" max="5" width="14.28515625" bestFit="1" customWidth="1"/>
    <col min="6" max="6" width="16.140625" bestFit="1" customWidth="1"/>
    <col min="7" max="10" width="14.28515625" bestFit="1" customWidth="1"/>
    <col min="11" max="11" width="15" bestFit="1" customWidth="1"/>
    <col min="12" max="12" width="14.28515625" bestFit="1" customWidth="1"/>
    <col min="13" max="13" width="15" bestFit="1" customWidth="1"/>
    <col min="14" max="14" width="2.85546875" customWidth="1"/>
    <col min="15" max="15" width="10.5703125" bestFit="1" customWidth="1"/>
  </cols>
  <sheetData>
    <row r="3" spans="2:6" x14ac:dyDescent="0.25">
      <c r="B3" t="s">
        <v>26</v>
      </c>
      <c r="E3" s="10">
        <f>'Batt IN'!O14</f>
        <v>0</v>
      </c>
    </row>
    <row r="4" spans="2:6" x14ac:dyDescent="0.25">
      <c r="B4" t="s">
        <v>61</v>
      </c>
      <c r="E4">
        <v>12</v>
      </c>
    </row>
    <row r="5" spans="2:6" x14ac:dyDescent="0.25">
      <c r="B5" t="s">
        <v>17</v>
      </c>
      <c r="E5" s="12">
        <f>'Batt IN'!O15</f>
        <v>4.2500000000000003E-2</v>
      </c>
    </row>
    <row r="6" spans="2:6" x14ac:dyDescent="0.25">
      <c r="B6" t="s">
        <v>18</v>
      </c>
      <c r="E6">
        <f>'Batt IN'!O16</f>
        <v>10</v>
      </c>
    </row>
    <row r="8" spans="2:6" x14ac:dyDescent="0.25">
      <c r="B8" t="s">
        <v>62</v>
      </c>
      <c r="E8" s="13">
        <f>(1+(E5/E4))^(12/E4)-1</f>
        <v>3.5416666666667762E-3</v>
      </c>
      <c r="F8" s="14" t="s">
        <v>68</v>
      </c>
    </row>
    <row r="9" spans="2:6" x14ac:dyDescent="0.25">
      <c r="B9" t="s">
        <v>63</v>
      </c>
      <c r="E9">
        <f>E6*E4</f>
        <v>120</v>
      </c>
      <c r="F9" t="s">
        <v>69</v>
      </c>
    </row>
    <row r="10" spans="2:6" x14ac:dyDescent="0.25">
      <c r="B10" t="s">
        <v>64</v>
      </c>
      <c r="E10">
        <f>(1-(1/(1+E8))^E9)/E8</f>
        <v>97.62046851920276</v>
      </c>
    </row>
    <row r="11" spans="2:6" x14ac:dyDescent="0.25">
      <c r="B11" t="s">
        <v>65</v>
      </c>
      <c r="E11" s="10">
        <f>E3/E10</f>
        <v>0</v>
      </c>
    </row>
    <row r="12" spans="2:6" x14ac:dyDescent="0.25">
      <c r="B12" t="s">
        <v>66</v>
      </c>
    </row>
    <row r="13" spans="2:6" x14ac:dyDescent="0.25">
      <c r="B13" t="s">
        <v>67</v>
      </c>
    </row>
    <row r="29" spans="1:15" x14ac:dyDescent="0.25">
      <c r="M29" s="10"/>
    </row>
    <row r="30" spans="1:15" x14ac:dyDescent="0.25">
      <c r="M30" s="10"/>
    </row>
    <row r="31" spans="1:15" ht="45" x14ac:dyDescent="0.25">
      <c r="A31" s="9" t="s">
        <v>70</v>
      </c>
      <c r="B31" s="9" t="s">
        <v>114</v>
      </c>
      <c r="C31" s="15" t="s">
        <v>72</v>
      </c>
      <c r="D31" s="15" t="s">
        <v>73</v>
      </c>
      <c r="E31" s="15" t="s">
        <v>81</v>
      </c>
      <c r="F31" s="9" t="s">
        <v>74</v>
      </c>
      <c r="G31" s="9" t="s">
        <v>75</v>
      </c>
      <c r="H31" s="9" t="s">
        <v>76</v>
      </c>
      <c r="I31" s="9" t="s">
        <v>77</v>
      </c>
      <c r="J31" s="9" t="s">
        <v>78</v>
      </c>
      <c r="K31" s="9" t="s">
        <v>80</v>
      </c>
      <c r="L31" s="9" t="s">
        <v>79</v>
      </c>
      <c r="M31" s="9" t="s">
        <v>83</v>
      </c>
      <c r="O31" s="9" t="s">
        <v>87</v>
      </c>
    </row>
    <row r="32" spans="1:15" x14ac:dyDescent="0.25">
      <c r="B32">
        <v>0</v>
      </c>
      <c r="J32" s="10">
        <f>E3</f>
        <v>0</v>
      </c>
    </row>
    <row r="33" spans="1:15" x14ac:dyDescent="0.25">
      <c r="B33">
        <f t="shared" ref="B33:B96" si="0">IF(B32&gt;=$E$9,NA(),B32+1)</f>
        <v>1</v>
      </c>
      <c r="C33" s="2">
        <f t="shared" ref="C33:C96" si="1">IF(ISERROR(B33),"0",IF(J32=0,0,$E$11))</f>
        <v>0</v>
      </c>
      <c r="E33" s="10">
        <f t="shared" ref="E33:E96" si="2">C33+D33</f>
        <v>0</v>
      </c>
      <c r="F33" s="2">
        <f t="shared" ref="F33:F96" si="3">IF(ISERROR(B33),0,$E$8*J32)</f>
        <v>0</v>
      </c>
      <c r="G33" s="2">
        <f>IF(ISERROR(B33),"-",IF(J32=0,0,SUM($F$33:F33)))</f>
        <v>0</v>
      </c>
      <c r="H33" s="2">
        <f>IF(ISERROR($B33),0,IF(J32=0,0,E33-F33))</f>
        <v>0</v>
      </c>
      <c r="I33" s="2">
        <f>IF(ISERROR($B33),"-",IF(J32=0,0,SUM($H$33:H33)))</f>
        <v>0</v>
      </c>
      <c r="J33" s="2">
        <f t="shared" ref="J33:J96" si="4">IF(ISERROR($B33),"-",IF(J32-H33&lt;0,0,J32-H33))</f>
        <v>0</v>
      </c>
      <c r="K33" s="2">
        <f t="shared" ref="K33:K96" si="5">IF(ISERROR(B33),"-",J32-H33)</f>
        <v>0</v>
      </c>
      <c r="L33" s="2">
        <f t="shared" ref="L33:L96" si="6">IF(K33&gt;=0,E33,E33+K33)</f>
        <v>0</v>
      </c>
      <c r="M33" s="2">
        <f>-IF(K33&lt;0,K33,0)</f>
        <v>0</v>
      </c>
      <c r="O33" s="2">
        <f>IF('Batt IN'!$N$18="Yes",BattLoan!F33*'Batt IN'!$E$7,0)</f>
        <v>0</v>
      </c>
    </row>
    <row r="34" spans="1:15" x14ac:dyDescent="0.25">
      <c r="B34">
        <f t="shared" si="0"/>
        <v>2</v>
      </c>
      <c r="C34" s="2">
        <f t="shared" si="1"/>
        <v>0</v>
      </c>
      <c r="E34" s="10">
        <f t="shared" si="2"/>
        <v>0</v>
      </c>
      <c r="F34" s="2">
        <f t="shared" si="3"/>
        <v>0</v>
      </c>
      <c r="G34" s="2">
        <f>IF(ISERROR(B34),"-",IF(J33=0,0,SUM($F$33:F34)))</f>
        <v>0</v>
      </c>
      <c r="H34" s="2">
        <f t="shared" ref="H34:H97" si="7">IF(ISERROR($B34),0,IF(J33=0,0,E34-F34))</f>
        <v>0</v>
      </c>
      <c r="I34" s="2">
        <f>IF(ISERROR($B34),"-",IF(J33=0,0,SUM($H$33:H34)))</f>
        <v>0</v>
      </c>
      <c r="J34" s="2">
        <f t="shared" si="4"/>
        <v>0</v>
      </c>
      <c r="K34" s="2">
        <f t="shared" si="5"/>
        <v>0</v>
      </c>
      <c r="L34" s="2">
        <f t="shared" si="6"/>
        <v>0</v>
      </c>
      <c r="M34" s="2">
        <f t="shared" ref="M34:M96" si="8">-IF(K34&lt;0,K34,0)</f>
        <v>0</v>
      </c>
      <c r="O34" s="2">
        <f>IF('Batt IN'!$N$18="Yes",BattLoan!F34*'Batt IN'!$E$7,0)</f>
        <v>0</v>
      </c>
    </row>
    <row r="35" spans="1:15" x14ac:dyDescent="0.25">
      <c r="B35">
        <f t="shared" si="0"/>
        <v>3</v>
      </c>
      <c r="C35" s="2">
        <f t="shared" si="1"/>
        <v>0</v>
      </c>
      <c r="E35" s="10">
        <f t="shared" si="2"/>
        <v>0</v>
      </c>
      <c r="F35" s="2">
        <f t="shared" si="3"/>
        <v>0</v>
      </c>
      <c r="G35" s="2">
        <f>IF(ISERROR(B35),"-",IF(J34=0,0,SUM($F$33:F35)))</f>
        <v>0</v>
      </c>
      <c r="H35" s="2">
        <f t="shared" si="7"/>
        <v>0</v>
      </c>
      <c r="I35" s="2">
        <f>IF(ISERROR($B35),"-",IF(J34=0,0,SUM($H$33:H35)))</f>
        <v>0</v>
      </c>
      <c r="J35" s="2">
        <f t="shared" si="4"/>
        <v>0</v>
      </c>
      <c r="K35" s="2">
        <f t="shared" si="5"/>
        <v>0</v>
      </c>
      <c r="L35" s="2">
        <f t="shared" si="6"/>
        <v>0</v>
      </c>
      <c r="M35" s="2">
        <f t="shared" si="8"/>
        <v>0</v>
      </c>
      <c r="O35" s="2">
        <f>IF('Batt IN'!$N$18="Yes",BattLoan!F35*'Batt IN'!$E$7,0)</f>
        <v>0</v>
      </c>
    </row>
    <row r="36" spans="1:15" x14ac:dyDescent="0.25">
      <c r="B36">
        <f t="shared" si="0"/>
        <v>4</v>
      </c>
      <c r="C36" s="2">
        <f t="shared" si="1"/>
        <v>0</v>
      </c>
      <c r="E36" s="10">
        <f t="shared" si="2"/>
        <v>0</v>
      </c>
      <c r="F36" s="2">
        <f t="shared" si="3"/>
        <v>0</v>
      </c>
      <c r="G36" s="2">
        <f>IF(ISERROR(B36),"-",IF(J35=0,0,SUM($F$33:F36)))</f>
        <v>0</v>
      </c>
      <c r="H36" s="2">
        <f t="shared" si="7"/>
        <v>0</v>
      </c>
      <c r="I36" s="2">
        <f>IF(ISERROR($B36),"-",IF(J35=0,0,SUM($H$33:H36)))</f>
        <v>0</v>
      </c>
      <c r="J36" s="2">
        <f t="shared" si="4"/>
        <v>0</v>
      </c>
      <c r="K36" s="2">
        <f t="shared" si="5"/>
        <v>0</v>
      </c>
      <c r="L36" s="2">
        <f t="shared" si="6"/>
        <v>0</v>
      </c>
      <c r="M36" s="2">
        <f t="shared" si="8"/>
        <v>0</v>
      </c>
      <c r="O36" s="2">
        <f>IF('Batt IN'!$N$18="Yes",BattLoan!F36*'Batt IN'!$E$7,0)</f>
        <v>0</v>
      </c>
    </row>
    <row r="37" spans="1:15" x14ac:dyDescent="0.25">
      <c r="B37">
        <f t="shared" si="0"/>
        <v>5</v>
      </c>
      <c r="C37" s="2">
        <f t="shared" si="1"/>
        <v>0</v>
      </c>
      <c r="E37" s="10">
        <f t="shared" si="2"/>
        <v>0</v>
      </c>
      <c r="F37" s="2">
        <f t="shared" si="3"/>
        <v>0</v>
      </c>
      <c r="G37" s="2">
        <f>IF(ISERROR(B37),"-",IF(J36=0,0,SUM($F$33:F37)))</f>
        <v>0</v>
      </c>
      <c r="H37" s="2">
        <f t="shared" si="7"/>
        <v>0</v>
      </c>
      <c r="I37" s="2">
        <f>IF(ISERROR($B37),"-",IF(J36=0,0,SUM($H$33:H37)))</f>
        <v>0</v>
      </c>
      <c r="J37" s="2">
        <f t="shared" si="4"/>
        <v>0</v>
      </c>
      <c r="K37" s="2">
        <f t="shared" si="5"/>
        <v>0</v>
      </c>
      <c r="L37" s="2">
        <f t="shared" si="6"/>
        <v>0</v>
      </c>
      <c r="M37" s="2">
        <f t="shared" si="8"/>
        <v>0</v>
      </c>
      <c r="O37" s="2">
        <f>IF('Batt IN'!$N$18="Yes",BattLoan!F37*'Batt IN'!$E$7,0)</f>
        <v>0</v>
      </c>
    </row>
    <row r="38" spans="1:15" x14ac:dyDescent="0.25">
      <c r="B38">
        <f t="shared" si="0"/>
        <v>6</v>
      </c>
      <c r="C38" s="2">
        <f t="shared" si="1"/>
        <v>0</v>
      </c>
      <c r="E38" s="10">
        <f t="shared" si="2"/>
        <v>0</v>
      </c>
      <c r="F38" s="2">
        <f t="shared" si="3"/>
        <v>0</v>
      </c>
      <c r="G38" s="2">
        <f>IF(ISERROR(B38),"-",IF(J37=0,0,SUM($F$33:F38)))</f>
        <v>0</v>
      </c>
      <c r="H38" s="2">
        <f t="shared" si="7"/>
        <v>0</v>
      </c>
      <c r="I38" s="2">
        <f>IF(ISERROR($B38),"-",IF(J37=0,0,SUM($H$33:H38)))</f>
        <v>0</v>
      </c>
      <c r="J38" s="2">
        <f t="shared" si="4"/>
        <v>0</v>
      </c>
      <c r="K38" s="2">
        <f t="shared" si="5"/>
        <v>0</v>
      </c>
      <c r="L38" s="2">
        <f t="shared" si="6"/>
        <v>0</v>
      </c>
      <c r="M38" s="2">
        <f t="shared" si="8"/>
        <v>0</v>
      </c>
      <c r="O38" s="2">
        <f>IF('Batt IN'!$N$18="Yes",BattLoan!F38*'Batt IN'!$E$7,0)</f>
        <v>0</v>
      </c>
    </row>
    <row r="39" spans="1:15" x14ac:dyDescent="0.25">
      <c r="B39">
        <f t="shared" si="0"/>
        <v>7</v>
      </c>
      <c r="C39" s="2">
        <f t="shared" si="1"/>
        <v>0</v>
      </c>
      <c r="E39" s="10">
        <f t="shared" si="2"/>
        <v>0</v>
      </c>
      <c r="F39" s="2">
        <f t="shared" si="3"/>
        <v>0</v>
      </c>
      <c r="G39" s="2">
        <f>IF(ISERROR(B39),"-",IF(J38=0,0,SUM($F$33:F39)))</f>
        <v>0</v>
      </c>
      <c r="H39" s="2">
        <f t="shared" si="7"/>
        <v>0</v>
      </c>
      <c r="I39" s="2">
        <f>IF(ISERROR($B39),"-",IF(J38=0,0,SUM($H$33:H39)))</f>
        <v>0</v>
      </c>
      <c r="J39" s="2">
        <f t="shared" si="4"/>
        <v>0</v>
      </c>
      <c r="K39" s="2">
        <f t="shared" si="5"/>
        <v>0</v>
      </c>
      <c r="L39" s="2">
        <f t="shared" si="6"/>
        <v>0</v>
      </c>
      <c r="M39" s="2">
        <f t="shared" si="8"/>
        <v>0</v>
      </c>
      <c r="O39" s="2">
        <f>IF('Batt IN'!$N$18="Yes",BattLoan!F39*'Batt IN'!$E$7,0)</f>
        <v>0</v>
      </c>
    </row>
    <row r="40" spans="1:15" x14ac:dyDescent="0.25">
      <c r="B40">
        <f t="shared" si="0"/>
        <v>8</v>
      </c>
      <c r="C40" s="2">
        <f t="shared" si="1"/>
        <v>0</v>
      </c>
      <c r="E40" s="10">
        <f t="shared" si="2"/>
        <v>0</v>
      </c>
      <c r="F40" s="2">
        <f t="shared" si="3"/>
        <v>0</v>
      </c>
      <c r="G40" s="2">
        <f>IF(ISERROR(B40),"-",IF(J39=0,0,SUM($F$33:F40)))</f>
        <v>0</v>
      </c>
      <c r="H40" s="2">
        <f t="shared" si="7"/>
        <v>0</v>
      </c>
      <c r="I40" s="2">
        <f>IF(ISERROR($B40),"-",IF(J39=0,0,SUM($H$33:H40)))</f>
        <v>0</v>
      </c>
      <c r="J40" s="2">
        <f t="shared" si="4"/>
        <v>0</v>
      </c>
      <c r="K40" s="2">
        <f t="shared" si="5"/>
        <v>0</v>
      </c>
      <c r="L40" s="2">
        <f t="shared" si="6"/>
        <v>0</v>
      </c>
      <c r="M40" s="2">
        <f t="shared" si="8"/>
        <v>0</v>
      </c>
      <c r="O40" s="2">
        <f>IF('Batt IN'!$N$18="Yes",BattLoan!F40*'Batt IN'!$E$7,0)</f>
        <v>0</v>
      </c>
    </row>
    <row r="41" spans="1:15" x14ac:dyDescent="0.25">
      <c r="B41">
        <f t="shared" si="0"/>
        <v>9</v>
      </c>
      <c r="C41" s="2">
        <f t="shared" si="1"/>
        <v>0</v>
      </c>
      <c r="E41" s="10">
        <f t="shared" si="2"/>
        <v>0</v>
      </c>
      <c r="F41" s="2">
        <f t="shared" si="3"/>
        <v>0</v>
      </c>
      <c r="G41" s="2">
        <f>IF(ISERROR(B41),"-",IF(J40=0,0,SUM($F$33:F41)))</f>
        <v>0</v>
      </c>
      <c r="H41" s="2">
        <f t="shared" si="7"/>
        <v>0</v>
      </c>
      <c r="I41" s="2">
        <f>IF(ISERROR($B41),"-",IF(J40=0,0,SUM($H$33:H41)))</f>
        <v>0</v>
      </c>
      <c r="J41" s="2">
        <f t="shared" si="4"/>
        <v>0</v>
      </c>
      <c r="K41" s="2">
        <f t="shared" si="5"/>
        <v>0</v>
      </c>
      <c r="L41" s="2">
        <f t="shared" si="6"/>
        <v>0</v>
      </c>
      <c r="M41" s="2">
        <f t="shared" si="8"/>
        <v>0</v>
      </c>
      <c r="O41" s="2">
        <f>IF('Batt IN'!$N$18="Yes",BattLoan!F41*'Batt IN'!$E$7,0)</f>
        <v>0</v>
      </c>
    </row>
    <row r="42" spans="1:15" x14ac:dyDescent="0.25">
      <c r="B42">
        <f t="shared" si="0"/>
        <v>10</v>
      </c>
      <c r="C42" s="2">
        <f t="shared" si="1"/>
        <v>0</v>
      </c>
      <c r="E42" s="10">
        <f t="shared" si="2"/>
        <v>0</v>
      </c>
      <c r="F42" s="2">
        <f t="shared" si="3"/>
        <v>0</v>
      </c>
      <c r="G42" s="2">
        <f>IF(ISERROR(B42),"-",IF(J41=0,0,SUM($F$33:F42)))</f>
        <v>0</v>
      </c>
      <c r="H42" s="2">
        <f t="shared" si="7"/>
        <v>0</v>
      </c>
      <c r="I42" s="2">
        <f>IF(ISERROR($B42),"-",IF(J41=0,0,SUM($H$33:H42)))</f>
        <v>0</v>
      </c>
      <c r="J42" s="2">
        <f t="shared" si="4"/>
        <v>0</v>
      </c>
      <c r="K42" s="2">
        <f t="shared" si="5"/>
        <v>0</v>
      </c>
      <c r="L42" s="2">
        <f t="shared" si="6"/>
        <v>0</v>
      </c>
      <c r="M42" s="2">
        <f t="shared" si="8"/>
        <v>0</v>
      </c>
      <c r="O42" s="2">
        <f>IF('Batt IN'!$N$18="Yes",BattLoan!F42*'Batt IN'!$E$7,0)</f>
        <v>0</v>
      </c>
    </row>
    <row r="43" spans="1:15" x14ac:dyDescent="0.25">
      <c r="B43">
        <f t="shared" si="0"/>
        <v>11</v>
      </c>
      <c r="C43" s="2">
        <f t="shared" si="1"/>
        <v>0</v>
      </c>
      <c r="E43" s="10">
        <f t="shared" si="2"/>
        <v>0</v>
      </c>
      <c r="F43" s="2">
        <f t="shared" si="3"/>
        <v>0</v>
      </c>
      <c r="G43" s="2">
        <f>IF(ISERROR(B43),"-",IF(J42=0,0,SUM($F$33:F43)))</f>
        <v>0</v>
      </c>
      <c r="H43" s="2">
        <f t="shared" si="7"/>
        <v>0</v>
      </c>
      <c r="I43" s="2">
        <f>IF(ISERROR($B43),"-",IF(J42=0,0,SUM($H$33:H43)))</f>
        <v>0</v>
      </c>
      <c r="J43" s="2">
        <f t="shared" si="4"/>
        <v>0</v>
      </c>
      <c r="K43" s="2">
        <f t="shared" si="5"/>
        <v>0</v>
      </c>
      <c r="L43" s="2">
        <f t="shared" si="6"/>
        <v>0</v>
      </c>
      <c r="M43" s="2">
        <f t="shared" si="8"/>
        <v>0</v>
      </c>
      <c r="O43" s="2">
        <f>IF('Batt IN'!$N$18="Yes",BattLoan!F43*'Batt IN'!$E$7,0)</f>
        <v>0</v>
      </c>
    </row>
    <row r="44" spans="1:15" x14ac:dyDescent="0.25">
      <c r="A44">
        <v>1</v>
      </c>
      <c r="B44">
        <f t="shared" si="0"/>
        <v>12</v>
      </c>
      <c r="C44" s="2">
        <f t="shared" si="1"/>
        <v>0</v>
      </c>
      <c r="D44" s="2">
        <f>IF('Batt IN'!$O$12=0,0,IF('Batt IN'!$N$19="YES",'Batt IN'!$P$4+'Batt IN'!$P$5,0))</f>
        <v>0</v>
      </c>
      <c r="E44" s="10">
        <f t="shared" si="2"/>
        <v>0</v>
      </c>
      <c r="F44" s="2">
        <f t="shared" si="3"/>
        <v>0</v>
      </c>
      <c r="G44" s="2">
        <f>IF(ISERROR(B44),"-",IF(J43=0,0,SUM($F$33:F44)))</f>
        <v>0</v>
      </c>
      <c r="H44" s="2">
        <f t="shared" si="7"/>
        <v>0</v>
      </c>
      <c r="I44" s="2">
        <f>IF(ISERROR($B44),"-",IF(J43=0,0,SUM($H$33:H44)))</f>
        <v>0</v>
      </c>
      <c r="J44" s="2">
        <f t="shared" si="4"/>
        <v>0</v>
      </c>
      <c r="K44" s="2">
        <f t="shared" si="5"/>
        <v>0</v>
      </c>
      <c r="L44" s="2">
        <f t="shared" si="6"/>
        <v>0</v>
      </c>
      <c r="M44" s="2">
        <f t="shared" si="8"/>
        <v>0</v>
      </c>
      <c r="O44" s="2">
        <f>IF('Batt IN'!$N$18="Yes",BattLoan!F44*'Batt IN'!$E$7,0)</f>
        <v>0</v>
      </c>
    </row>
    <row r="45" spans="1:15" x14ac:dyDescent="0.25">
      <c r="B45">
        <f t="shared" si="0"/>
        <v>13</v>
      </c>
      <c r="C45" s="2">
        <f t="shared" si="1"/>
        <v>0</v>
      </c>
      <c r="D45" s="2"/>
      <c r="E45" s="10">
        <f t="shared" si="2"/>
        <v>0</v>
      </c>
      <c r="F45" s="2">
        <f t="shared" si="3"/>
        <v>0</v>
      </c>
      <c r="G45" s="2">
        <f>IF(ISERROR(B45),"-",IF(J44=0,0,SUM($F$33:F45)))</f>
        <v>0</v>
      </c>
      <c r="H45" s="2">
        <f t="shared" si="7"/>
        <v>0</v>
      </c>
      <c r="I45" s="2">
        <f>IF(ISERROR($B45),"-",IF(J44=0,0,SUM($H$33:H45)))</f>
        <v>0</v>
      </c>
      <c r="J45" s="2">
        <f t="shared" si="4"/>
        <v>0</v>
      </c>
      <c r="K45" s="2">
        <f t="shared" si="5"/>
        <v>0</v>
      </c>
      <c r="L45" s="2">
        <f t="shared" si="6"/>
        <v>0</v>
      </c>
      <c r="M45" s="2">
        <f t="shared" si="8"/>
        <v>0</v>
      </c>
      <c r="O45" s="2">
        <f>IF('Batt IN'!$N$18="Yes",BattLoan!F45*'Batt IN'!$E$7,0)</f>
        <v>0</v>
      </c>
    </row>
    <row r="46" spans="1:15" x14ac:dyDescent="0.25">
      <c r="B46">
        <f t="shared" si="0"/>
        <v>14</v>
      </c>
      <c r="C46" s="2">
        <f t="shared" si="1"/>
        <v>0</v>
      </c>
      <c r="E46" s="10">
        <f t="shared" si="2"/>
        <v>0</v>
      </c>
      <c r="F46" s="2">
        <f t="shared" si="3"/>
        <v>0</v>
      </c>
      <c r="G46" s="2">
        <f>IF(ISERROR(B46),"-",IF(J45=0,0,SUM($F$33:F46)))</f>
        <v>0</v>
      </c>
      <c r="H46" s="2">
        <f t="shared" si="7"/>
        <v>0</v>
      </c>
      <c r="I46" s="2">
        <f>IF(ISERROR($B46),"-",IF(J45=0,0,SUM($H$33:H46)))</f>
        <v>0</v>
      </c>
      <c r="J46" s="2">
        <f t="shared" si="4"/>
        <v>0</v>
      </c>
      <c r="K46" s="2">
        <f t="shared" si="5"/>
        <v>0</v>
      </c>
      <c r="L46" s="2">
        <f t="shared" si="6"/>
        <v>0</v>
      </c>
      <c r="M46" s="2">
        <f t="shared" si="8"/>
        <v>0</v>
      </c>
      <c r="O46" s="2">
        <f>IF('Batt IN'!$N$18="Yes",BattLoan!F46*'Batt IN'!$E$7,0)</f>
        <v>0</v>
      </c>
    </row>
    <row r="47" spans="1:15" x14ac:dyDescent="0.25">
      <c r="B47">
        <f t="shared" si="0"/>
        <v>15</v>
      </c>
      <c r="C47" s="2">
        <f t="shared" si="1"/>
        <v>0</v>
      </c>
      <c r="E47" s="10">
        <f t="shared" si="2"/>
        <v>0</v>
      </c>
      <c r="F47" s="2">
        <f t="shared" si="3"/>
        <v>0</v>
      </c>
      <c r="G47" s="2">
        <f>IF(ISERROR(B47),"-",IF(J46=0,0,SUM($F$33:F47)))</f>
        <v>0</v>
      </c>
      <c r="H47" s="2">
        <f t="shared" si="7"/>
        <v>0</v>
      </c>
      <c r="I47" s="2">
        <f>IF(ISERROR($B47),"-",IF(J46=0,0,SUM($H$33:H47)))</f>
        <v>0</v>
      </c>
      <c r="J47" s="2">
        <f t="shared" si="4"/>
        <v>0</v>
      </c>
      <c r="K47" s="2">
        <f t="shared" si="5"/>
        <v>0</v>
      </c>
      <c r="L47" s="2">
        <f t="shared" si="6"/>
        <v>0</v>
      </c>
      <c r="M47" s="2">
        <f t="shared" si="8"/>
        <v>0</v>
      </c>
      <c r="O47" s="2">
        <f>IF('Batt IN'!$N$18="Yes",BattLoan!F47*'Batt IN'!$E$7,0)</f>
        <v>0</v>
      </c>
    </row>
    <row r="48" spans="1:15" x14ac:dyDescent="0.25">
      <c r="B48">
        <f t="shared" si="0"/>
        <v>16</v>
      </c>
      <c r="C48" s="2">
        <f t="shared" si="1"/>
        <v>0</v>
      </c>
      <c r="E48" s="10">
        <f t="shared" si="2"/>
        <v>0</v>
      </c>
      <c r="F48" s="2">
        <f t="shared" si="3"/>
        <v>0</v>
      </c>
      <c r="G48" s="2">
        <f>IF(ISERROR(B48),"-",IF(J47=0,0,SUM($F$33:F48)))</f>
        <v>0</v>
      </c>
      <c r="H48" s="2">
        <f t="shared" si="7"/>
        <v>0</v>
      </c>
      <c r="I48" s="2">
        <f>IF(ISERROR($B48),"-",IF(J47=0,0,SUM($H$33:H48)))</f>
        <v>0</v>
      </c>
      <c r="J48" s="2">
        <f t="shared" si="4"/>
        <v>0</v>
      </c>
      <c r="K48" s="2">
        <f t="shared" si="5"/>
        <v>0</v>
      </c>
      <c r="L48" s="2">
        <f t="shared" si="6"/>
        <v>0</v>
      </c>
      <c r="M48" s="2">
        <f t="shared" si="8"/>
        <v>0</v>
      </c>
      <c r="O48" s="2">
        <f>IF('Batt IN'!$N$18="Yes",BattLoan!F48*'Batt IN'!$E$7,0)</f>
        <v>0</v>
      </c>
    </row>
    <row r="49" spans="1:15" x14ac:dyDescent="0.25">
      <c r="B49">
        <f t="shared" si="0"/>
        <v>17</v>
      </c>
      <c r="C49" s="2">
        <f t="shared" si="1"/>
        <v>0</v>
      </c>
      <c r="E49" s="10">
        <f t="shared" si="2"/>
        <v>0</v>
      </c>
      <c r="F49" s="2">
        <f t="shared" si="3"/>
        <v>0</v>
      </c>
      <c r="G49" s="2">
        <f>IF(ISERROR(B49),"-",IF(J48=0,0,SUM($F$33:F49)))</f>
        <v>0</v>
      </c>
      <c r="H49" s="2">
        <f t="shared" si="7"/>
        <v>0</v>
      </c>
      <c r="I49" s="2">
        <f>IF(ISERROR($B49),"-",IF(J48=0,0,SUM($H$33:H49)))</f>
        <v>0</v>
      </c>
      <c r="J49" s="2">
        <f t="shared" si="4"/>
        <v>0</v>
      </c>
      <c r="K49" s="2">
        <f t="shared" si="5"/>
        <v>0</v>
      </c>
      <c r="L49" s="2">
        <f t="shared" si="6"/>
        <v>0</v>
      </c>
      <c r="M49" s="2">
        <f t="shared" si="8"/>
        <v>0</v>
      </c>
      <c r="O49" s="2">
        <f>IF('Batt IN'!$N$18="Yes",BattLoan!F49*'Batt IN'!$E$7,0)</f>
        <v>0</v>
      </c>
    </row>
    <row r="50" spans="1:15" x14ac:dyDescent="0.25">
      <c r="B50">
        <f t="shared" si="0"/>
        <v>18</v>
      </c>
      <c r="C50" s="2">
        <f t="shared" si="1"/>
        <v>0</v>
      </c>
      <c r="E50" s="10">
        <f t="shared" si="2"/>
        <v>0</v>
      </c>
      <c r="F50" s="2">
        <f t="shared" si="3"/>
        <v>0</v>
      </c>
      <c r="G50" s="2">
        <f>IF(ISERROR(B50),"-",IF(J49=0,0,SUM($F$33:F50)))</f>
        <v>0</v>
      </c>
      <c r="H50" s="2">
        <f t="shared" si="7"/>
        <v>0</v>
      </c>
      <c r="I50" s="2">
        <f>IF(ISERROR($B50),"-",IF(J49=0,0,SUM($H$33:H50)))</f>
        <v>0</v>
      </c>
      <c r="J50" s="2">
        <f t="shared" si="4"/>
        <v>0</v>
      </c>
      <c r="K50" s="2">
        <f t="shared" si="5"/>
        <v>0</v>
      </c>
      <c r="L50" s="2">
        <f t="shared" si="6"/>
        <v>0</v>
      </c>
      <c r="M50" s="2">
        <f t="shared" si="8"/>
        <v>0</v>
      </c>
      <c r="O50" s="2">
        <f>IF('Batt IN'!$N$18="Yes",BattLoan!F50*'Batt IN'!$E$7,0)</f>
        <v>0</v>
      </c>
    </row>
    <row r="51" spans="1:15" x14ac:dyDescent="0.25">
      <c r="B51">
        <f t="shared" si="0"/>
        <v>19</v>
      </c>
      <c r="C51" s="2">
        <f t="shared" si="1"/>
        <v>0</v>
      </c>
      <c r="E51" s="10">
        <f t="shared" si="2"/>
        <v>0</v>
      </c>
      <c r="F51" s="2">
        <f t="shared" si="3"/>
        <v>0</v>
      </c>
      <c r="G51" s="2">
        <f>IF(ISERROR(B51),"-",IF(J50=0,0,SUM($F$33:F51)))</f>
        <v>0</v>
      </c>
      <c r="H51" s="2">
        <f t="shared" si="7"/>
        <v>0</v>
      </c>
      <c r="I51" s="2">
        <f>IF(ISERROR($B51),"-",IF(J50=0,0,SUM($H$33:H51)))</f>
        <v>0</v>
      </c>
      <c r="J51" s="2">
        <f t="shared" si="4"/>
        <v>0</v>
      </c>
      <c r="K51" s="2">
        <f t="shared" si="5"/>
        <v>0</v>
      </c>
      <c r="L51" s="2">
        <f t="shared" si="6"/>
        <v>0</v>
      </c>
      <c r="M51" s="2">
        <f t="shared" si="8"/>
        <v>0</v>
      </c>
      <c r="O51" s="2">
        <f>IF('Batt IN'!$N$18="Yes",BattLoan!F51*'Batt IN'!$E$7,0)</f>
        <v>0</v>
      </c>
    </row>
    <row r="52" spans="1:15" x14ac:dyDescent="0.25">
      <c r="B52">
        <f t="shared" si="0"/>
        <v>20</v>
      </c>
      <c r="C52" s="2">
        <f t="shared" si="1"/>
        <v>0</v>
      </c>
      <c r="E52" s="10">
        <f t="shared" si="2"/>
        <v>0</v>
      </c>
      <c r="F52" s="2">
        <f t="shared" si="3"/>
        <v>0</v>
      </c>
      <c r="G52" s="2">
        <f>IF(ISERROR(B52),"-",IF(J51=0,0,SUM($F$33:F52)))</f>
        <v>0</v>
      </c>
      <c r="H52" s="2">
        <f t="shared" si="7"/>
        <v>0</v>
      </c>
      <c r="I52" s="2">
        <f>IF(ISERROR($B52),"-",IF(J51=0,0,SUM($H$33:H52)))</f>
        <v>0</v>
      </c>
      <c r="J52" s="2">
        <f t="shared" si="4"/>
        <v>0</v>
      </c>
      <c r="K52" s="2">
        <f t="shared" si="5"/>
        <v>0</v>
      </c>
      <c r="L52" s="2">
        <f t="shared" si="6"/>
        <v>0</v>
      </c>
      <c r="M52" s="2">
        <f t="shared" si="8"/>
        <v>0</v>
      </c>
      <c r="O52" s="2">
        <f>IF('Batt IN'!$N$18="Yes",BattLoan!F52*'Batt IN'!$E$7,0)</f>
        <v>0</v>
      </c>
    </row>
    <row r="53" spans="1:15" x14ac:dyDescent="0.25">
      <c r="B53">
        <f t="shared" si="0"/>
        <v>21</v>
      </c>
      <c r="C53" s="2">
        <f t="shared" si="1"/>
        <v>0</v>
      </c>
      <c r="E53" s="10">
        <f t="shared" si="2"/>
        <v>0</v>
      </c>
      <c r="F53" s="2">
        <f t="shared" si="3"/>
        <v>0</v>
      </c>
      <c r="G53" s="2">
        <f>IF(ISERROR(B53),"-",IF(J52=0,0,SUM($F$33:F53)))</f>
        <v>0</v>
      </c>
      <c r="H53" s="2">
        <f t="shared" si="7"/>
        <v>0</v>
      </c>
      <c r="I53" s="2">
        <f>IF(ISERROR($B53),"-",IF(J52=0,0,SUM($H$33:H53)))</f>
        <v>0</v>
      </c>
      <c r="J53" s="2">
        <f t="shared" si="4"/>
        <v>0</v>
      </c>
      <c r="K53" s="2">
        <f t="shared" si="5"/>
        <v>0</v>
      </c>
      <c r="L53" s="2">
        <f t="shared" si="6"/>
        <v>0</v>
      </c>
      <c r="M53" s="2">
        <f t="shared" si="8"/>
        <v>0</v>
      </c>
      <c r="O53" s="2">
        <f>IF('Batt IN'!$N$18="Yes",BattLoan!F53*'Batt IN'!$E$7,0)</f>
        <v>0</v>
      </c>
    </row>
    <row r="54" spans="1:15" x14ac:dyDescent="0.25">
      <c r="B54">
        <f t="shared" si="0"/>
        <v>22</v>
      </c>
      <c r="C54" s="2">
        <f t="shared" si="1"/>
        <v>0</v>
      </c>
      <c r="E54" s="10">
        <f t="shared" si="2"/>
        <v>0</v>
      </c>
      <c r="F54" s="2">
        <f t="shared" si="3"/>
        <v>0</v>
      </c>
      <c r="G54" s="2">
        <f>IF(ISERROR(B54),"-",IF(J53=0,0,SUM($F$33:F54)))</f>
        <v>0</v>
      </c>
      <c r="H54" s="2">
        <f t="shared" si="7"/>
        <v>0</v>
      </c>
      <c r="I54" s="2">
        <f>IF(ISERROR($B54),"-",IF(J53=0,0,SUM($H$33:H54)))</f>
        <v>0</v>
      </c>
      <c r="J54" s="2">
        <f t="shared" si="4"/>
        <v>0</v>
      </c>
      <c r="K54" s="2">
        <f t="shared" si="5"/>
        <v>0</v>
      </c>
      <c r="L54" s="2">
        <f t="shared" si="6"/>
        <v>0</v>
      </c>
      <c r="M54" s="2">
        <f t="shared" si="8"/>
        <v>0</v>
      </c>
      <c r="O54" s="2">
        <f>IF('Batt IN'!$N$18="Yes",BattLoan!F54*'Batt IN'!$E$7,0)</f>
        <v>0</v>
      </c>
    </row>
    <row r="55" spans="1:15" x14ac:dyDescent="0.25">
      <c r="B55">
        <f t="shared" si="0"/>
        <v>23</v>
      </c>
      <c r="C55" s="2">
        <f t="shared" si="1"/>
        <v>0</v>
      </c>
      <c r="E55" s="10">
        <f t="shared" si="2"/>
        <v>0</v>
      </c>
      <c r="F55" s="2">
        <f t="shared" si="3"/>
        <v>0</v>
      </c>
      <c r="G55" s="2">
        <f>IF(ISERROR(B55),"-",IF(J54=0,0,SUM($F$33:F55)))</f>
        <v>0</v>
      </c>
      <c r="H55" s="2">
        <f t="shared" si="7"/>
        <v>0</v>
      </c>
      <c r="I55" s="2">
        <f>IF(ISERROR($B55),"-",IF(J54=0,0,SUM($H$33:H55)))</f>
        <v>0</v>
      </c>
      <c r="J55" s="2">
        <f t="shared" si="4"/>
        <v>0</v>
      </c>
      <c r="K55" s="2">
        <f t="shared" si="5"/>
        <v>0</v>
      </c>
      <c r="L55" s="2">
        <f t="shared" si="6"/>
        <v>0</v>
      </c>
      <c r="M55" s="2">
        <f t="shared" si="8"/>
        <v>0</v>
      </c>
      <c r="O55" s="2">
        <f>IF('Batt IN'!$N$18="Yes",BattLoan!F55*'Batt IN'!$E$7,0)</f>
        <v>0</v>
      </c>
    </row>
    <row r="56" spans="1:15" x14ac:dyDescent="0.25">
      <c r="A56">
        <v>2</v>
      </c>
      <c r="B56">
        <f t="shared" si="0"/>
        <v>24</v>
      </c>
      <c r="C56" s="2">
        <f t="shared" si="1"/>
        <v>0</v>
      </c>
      <c r="E56" s="10">
        <f t="shared" si="2"/>
        <v>0</v>
      </c>
      <c r="F56" s="2">
        <f t="shared" si="3"/>
        <v>0</v>
      </c>
      <c r="G56" s="2">
        <f>IF(ISERROR(B56),"-",IF(J55=0,0,SUM($F$33:F56)))</f>
        <v>0</v>
      </c>
      <c r="H56" s="2">
        <f t="shared" si="7"/>
        <v>0</v>
      </c>
      <c r="I56" s="2">
        <f>IF(ISERROR($B56),"-",IF(J55=0,0,SUM($H$33:H56)))</f>
        <v>0</v>
      </c>
      <c r="J56" s="2">
        <f t="shared" si="4"/>
        <v>0</v>
      </c>
      <c r="K56" s="2">
        <f t="shared" si="5"/>
        <v>0</v>
      </c>
      <c r="L56" s="2">
        <f t="shared" si="6"/>
        <v>0</v>
      </c>
      <c r="M56" s="2">
        <f t="shared" si="8"/>
        <v>0</v>
      </c>
      <c r="O56" s="2">
        <f>IF('Batt IN'!$N$18="Yes",BattLoan!F56*'Batt IN'!$E$7,0)</f>
        <v>0</v>
      </c>
    </row>
    <row r="57" spans="1:15" x14ac:dyDescent="0.25">
      <c r="B57">
        <f t="shared" si="0"/>
        <v>25</v>
      </c>
      <c r="C57" s="2">
        <f t="shared" si="1"/>
        <v>0</v>
      </c>
      <c r="E57" s="10">
        <f t="shared" si="2"/>
        <v>0</v>
      </c>
      <c r="F57" s="2">
        <f t="shared" si="3"/>
        <v>0</v>
      </c>
      <c r="G57" s="2">
        <f>IF(ISERROR(B57),"-",IF(J56=0,0,SUM($F$33:F57)))</f>
        <v>0</v>
      </c>
      <c r="H57" s="2">
        <f t="shared" si="7"/>
        <v>0</v>
      </c>
      <c r="I57" s="2">
        <f>IF(ISERROR($B57),"-",IF(J56=0,0,SUM($H$33:H57)))</f>
        <v>0</v>
      </c>
      <c r="J57" s="2">
        <f t="shared" si="4"/>
        <v>0</v>
      </c>
      <c r="K57" s="2">
        <f t="shared" si="5"/>
        <v>0</v>
      </c>
      <c r="L57" s="2">
        <f t="shared" si="6"/>
        <v>0</v>
      </c>
      <c r="M57" s="2">
        <f t="shared" si="8"/>
        <v>0</v>
      </c>
      <c r="O57" s="2">
        <f>IF('Batt IN'!$N$18="Yes",BattLoan!F57*'Batt IN'!$E$7,0)</f>
        <v>0</v>
      </c>
    </row>
    <row r="58" spans="1:15" x14ac:dyDescent="0.25">
      <c r="B58">
        <f t="shared" si="0"/>
        <v>26</v>
      </c>
      <c r="C58" s="2">
        <f t="shared" si="1"/>
        <v>0</v>
      </c>
      <c r="E58" s="10">
        <f t="shared" si="2"/>
        <v>0</v>
      </c>
      <c r="F58" s="2">
        <f t="shared" si="3"/>
        <v>0</v>
      </c>
      <c r="G58" s="2">
        <f>IF(ISERROR(B58),"-",IF(J57=0,0,SUM($F$33:F58)))</f>
        <v>0</v>
      </c>
      <c r="H58" s="2">
        <f t="shared" si="7"/>
        <v>0</v>
      </c>
      <c r="I58" s="2">
        <f>IF(ISERROR($B58),"-",IF(J57=0,0,SUM($H$33:H58)))</f>
        <v>0</v>
      </c>
      <c r="J58" s="2">
        <f t="shared" si="4"/>
        <v>0</v>
      </c>
      <c r="K58" s="2">
        <f t="shared" si="5"/>
        <v>0</v>
      </c>
      <c r="L58" s="2">
        <f t="shared" si="6"/>
        <v>0</v>
      </c>
      <c r="M58" s="2">
        <f t="shared" si="8"/>
        <v>0</v>
      </c>
      <c r="O58" s="2">
        <f>IF('Batt IN'!$N$18="Yes",BattLoan!F58*'Batt IN'!$E$7,0)</f>
        <v>0</v>
      </c>
    </row>
    <row r="59" spans="1:15" x14ac:dyDescent="0.25">
      <c r="B59">
        <f t="shared" si="0"/>
        <v>27</v>
      </c>
      <c r="C59" s="2">
        <f t="shared" si="1"/>
        <v>0</v>
      </c>
      <c r="E59" s="10">
        <f t="shared" si="2"/>
        <v>0</v>
      </c>
      <c r="F59" s="2">
        <f t="shared" si="3"/>
        <v>0</v>
      </c>
      <c r="G59" s="2">
        <f>IF(ISERROR(B59),"-",IF(J58=0,0,SUM($F$33:F59)))</f>
        <v>0</v>
      </c>
      <c r="H59" s="2">
        <f t="shared" si="7"/>
        <v>0</v>
      </c>
      <c r="I59" s="2">
        <f>IF(ISERROR($B59),"-",IF(J58=0,0,SUM($H$33:H59)))</f>
        <v>0</v>
      </c>
      <c r="J59" s="2">
        <f t="shared" si="4"/>
        <v>0</v>
      </c>
      <c r="K59" s="2">
        <f t="shared" si="5"/>
        <v>0</v>
      </c>
      <c r="L59" s="2">
        <f t="shared" si="6"/>
        <v>0</v>
      </c>
      <c r="M59" s="2">
        <f t="shared" si="8"/>
        <v>0</v>
      </c>
      <c r="O59" s="2">
        <f>IF('Batt IN'!$N$18="Yes",BattLoan!F59*'Batt IN'!$E$7,0)</f>
        <v>0</v>
      </c>
    </row>
    <row r="60" spans="1:15" x14ac:dyDescent="0.25">
      <c r="B60">
        <f t="shared" si="0"/>
        <v>28</v>
      </c>
      <c r="C60" s="2">
        <f t="shared" si="1"/>
        <v>0</v>
      </c>
      <c r="E60" s="10">
        <f t="shared" si="2"/>
        <v>0</v>
      </c>
      <c r="F60" s="2">
        <f t="shared" si="3"/>
        <v>0</v>
      </c>
      <c r="G60" s="2">
        <f>IF(ISERROR(B60),"-",IF(J59=0,0,SUM($F$33:F60)))</f>
        <v>0</v>
      </c>
      <c r="H60" s="2">
        <f t="shared" si="7"/>
        <v>0</v>
      </c>
      <c r="I60" s="2">
        <f>IF(ISERROR($B60),"-",IF(J59=0,0,SUM($H$33:H60)))</f>
        <v>0</v>
      </c>
      <c r="J60" s="2">
        <f t="shared" si="4"/>
        <v>0</v>
      </c>
      <c r="K60" s="2">
        <f t="shared" si="5"/>
        <v>0</v>
      </c>
      <c r="L60" s="2">
        <f t="shared" si="6"/>
        <v>0</v>
      </c>
      <c r="M60" s="2">
        <f t="shared" si="8"/>
        <v>0</v>
      </c>
      <c r="O60" s="2">
        <f>IF('Batt IN'!$N$18="Yes",BattLoan!F60*'Batt IN'!$E$7,0)</f>
        <v>0</v>
      </c>
    </row>
    <row r="61" spans="1:15" x14ac:dyDescent="0.25">
      <c r="B61">
        <f t="shared" si="0"/>
        <v>29</v>
      </c>
      <c r="C61" s="2">
        <f t="shared" si="1"/>
        <v>0</v>
      </c>
      <c r="E61" s="10">
        <f t="shared" si="2"/>
        <v>0</v>
      </c>
      <c r="F61" s="2">
        <f t="shared" si="3"/>
        <v>0</v>
      </c>
      <c r="G61" s="2">
        <f>IF(ISERROR(B61),"-",IF(J60=0,0,SUM($F$33:F61)))</f>
        <v>0</v>
      </c>
      <c r="H61" s="2">
        <f t="shared" si="7"/>
        <v>0</v>
      </c>
      <c r="I61" s="2">
        <f>IF(ISERROR($B61),"-",IF(J60=0,0,SUM($H$33:H61)))</f>
        <v>0</v>
      </c>
      <c r="J61" s="2">
        <f t="shared" si="4"/>
        <v>0</v>
      </c>
      <c r="K61" s="2">
        <f t="shared" si="5"/>
        <v>0</v>
      </c>
      <c r="L61" s="2">
        <f t="shared" si="6"/>
        <v>0</v>
      </c>
      <c r="M61" s="2">
        <f t="shared" si="8"/>
        <v>0</v>
      </c>
      <c r="O61" s="2">
        <f>IF('Batt IN'!$N$18="Yes",BattLoan!F61*'Batt IN'!$E$7,0)</f>
        <v>0</v>
      </c>
    </row>
    <row r="62" spans="1:15" x14ac:dyDescent="0.25">
      <c r="B62">
        <f t="shared" si="0"/>
        <v>30</v>
      </c>
      <c r="C62" s="2">
        <f t="shared" si="1"/>
        <v>0</v>
      </c>
      <c r="E62" s="10">
        <f t="shared" si="2"/>
        <v>0</v>
      </c>
      <c r="F62" s="2">
        <f t="shared" si="3"/>
        <v>0</v>
      </c>
      <c r="G62" s="2">
        <f>IF(ISERROR(B62),"-",IF(J61=0,0,SUM($F$33:F62)))</f>
        <v>0</v>
      </c>
      <c r="H62" s="2">
        <f t="shared" si="7"/>
        <v>0</v>
      </c>
      <c r="I62" s="2">
        <f>IF(ISERROR($B62),"-",IF(J61=0,0,SUM($H$33:H62)))</f>
        <v>0</v>
      </c>
      <c r="J62" s="2">
        <f t="shared" si="4"/>
        <v>0</v>
      </c>
      <c r="K62" s="2">
        <f t="shared" si="5"/>
        <v>0</v>
      </c>
      <c r="L62" s="2">
        <f t="shared" si="6"/>
        <v>0</v>
      </c>
      <c r="M62" s="2">
        <f t="shared" si="8"/>
        <v>0</v>
      </c>
      <c r="O62" s="2">
        <f>IF('Batt IN'!$N$18="Yes",BattLoan!F62*'Batt IN'!$E$7,0)</f>
        <v>0</v>
      </c>
    </row>
    <row r="63" spans="1:15" x14ac:dyDescent="0.25">
      <c r="B63">
        <f t="shared" si="0"/>
        <v>31</v>
      </c>
      <c r="C63" s="2">
        <f t="shared" si="1"/>
        <v>0</v>
      </c>
      <c r="E63" s="10">
        <f t="shared" si="2"/>
        <v>0</v>
      </c>
      <c r="F63" s="2">
        <f t="shared" si="3"/>
        <v>0</v>
      </c>
      <c r="G63" s="2">
        <f>IF(ISERROR(B63),"-",IF(J62=0,0,SUM($F$33:F63)))</f>
        <v>0</v>
      </c>
      <c r="H63" s="2">
        <f t="shared" si="7"/>
        <v>0</v>
      </c>
      <c r="I63" s="2">
        <f>IF(ISERROR($B63),"-",IF(J62=0,0,SUM($H$33:H63)))</f>
        <v>0</v>
      </c>
      <c r="J63" s="2">
        <f t="shared" si="4"/>
        <v>0</v>
      </c>
      <c r="K63" s="2">
        <f t="shared" si="5"/>
        <v>0</v>
      </c>
      <c r="L63" s="2">
        <f t="shared" si="6"/>
        <v>0</v>
      </c>
      <c r="M63" s="2">
        <f t="shared" si="8"/>
        <v>0</v>
      </c>
      <c r="O63" s="2">
        <f>IF('Batt IN'!$N$18="Yes",BattLoan!F63*'Batt IN'!$E$7,0)</f>
        <v>0</v>
      </c>
    </row>
    <row r="64" spans="1:15" x14ac:dyDescent="0.25">
      <c r="B64">
        <f t="shared" si="0"/>
        <v>32</v>
      </c>
      <c r="C64" s="2">
        <f t="shared" si="1"/>
        <v>0</v>
      </c>
      <c r="E64" s="10">
        <f t="shared" si="2"/>
        <v>0</v>
      </c>
      <c r="F64" s="2">
        <f t="shared" si="3"/>
        <v>0</v>
      </c>
      <c r="G64" s="2">
        <f>IF(ISERROR(B64),"-",IF(J63=0,0,SUM($F$33:F64)))</f>
        <v>0</v>
      </c>
      <c r="H64" s="2">
        <f t="shared" si="7"/>
        <v>0</v>
      </c>
      <c r="I64" s="2">
        <f>IF(ISERROR($B64),"-",IF(J63=0,0,SUM($H$33:H64)))</f>
        <v>0</v>
      </c>
      <c r="J64" s="2">
        <f t="shared" si="4"/>
        <v>0</v>
      </c>
      <c r="K64" s="2">
        <f t="shared" si="5"/>
        <v>0</v>
      </c>
      <c r="L64" s="2">
        <f t="shared" si="6"/>
        <v>0</v>
      </c>
      <c r="M64" s="2">
        <f t="shared" si="8"/>
        <v>0</v>
      </c>
      <c r="O64" s="2">
        <f>IF('Batt IN'!$N$18="Yes",BattLoan!F64*'Batt IN'!$E$7,0)</f>
        <v>0</v>
      </c>
    </row>
    <row r="65" spans="1:15" x14ac:dyDescent="0.25">
      <c r="B65">
        <f t="shared" si="0"/>
        <v>33</v>
      </c>
      <c r="C65" s="2">
        <f t="shared" si="1"/>
        <v>0</v>
      </c>
      <c r="E65" s="10">
        <f t="shared" si="2"/>
        <v>0</v>
      </c>
      <c r="F65" s="2">
        <f t="shared" si="3"/>
        <v>0</v>
      </c>
      <c r="G65" s="2">
        <f>IF(ISERROR(B65),"-",IF(J64=0,0,SUM($F$33:F65)))</f>
        <v>0</v>
      </c>
      <c r="H65" s="2">
        <f t="shared" si="7"/>
        <v>0</v>
      </c>
      <c r="I65" s="2">
        <f>IF(ISERROR($B65),"-",IF(J64=0,0,SUM($H$33:H65)))</f>
        <v>0</v>
      </c>
      <c r="J65" s="2">
        <f t="shared" si="4"/>
        <v>0</v>
      </c>
      <c r="K65" s="2">
        <f t="shared" si="5"/>
        <v>0</v>
      </c>
      <c r="L65" s="2">
        <f t="shared" si="6"/>
        <v>0</v>
      </c>
      <c r="M65" s="2">
        <f t="shared" si="8"/>
        <v>0</v>
      </c>
      <c r="O65" s="2">
        <f>IF('Batt IN'!$N$18="Yes",BattLoan!F65*'Batt IN'!$E$7,0)</f>
        <v>0</v>
      </c>
    </row>
    <row r="66" spans="1:15" x14ac:dyDescent="0.25">
      <c r="B66">
        <f t="shared" si="0"/>
        <v>34</v>
      </c>
      <c r="C66" s="2">
        <f t="shared" si="1"/>
        <v>0</v>
      </c>
      <c r="E66" s="10">
        <f t="shared" si="2"/>
        <v>0</v>
      </c>
      <c r="F66" s="2">
        <f t="shared" si="3"/>
        <v>0</v>
      </c>
      <c r="G66" s="2">
        <f>IF(ISERROR(B66),"-",IF(J65=0,0,SUM($F$33:F66)))</f>
        <v>0</v>
      </c>
      <c r="H66" s="2">
        <f t="shared" si="7"/>
        <v>0</v>
      </c>
      <c r="I66" s="2">
        <f>IF(ISERROR($B66),"-",IF(J65=0,0,SUM($H$33:H66)))</f>
        <v>0</v>
      </c>
      <c r="J66" s="2">
        <f t="shared" si="4"/>
        <v>0</v>
      </c>
      <c r="K66" s="2">
        <f t="shared" si="5"/>
        <v>0</v>
      </c>
      <c r="L66" s="2">
        <f t="shared" si="6"/>
        <v>0</v>
      </c>
      <c r="M66" s="2">
        <f t="shared" si="8"/>
        <v>0</v>
      </c>
      <c r="O66" s="2">
        <f>IF('Batt IN'!$N$18="Yes",BattLoan!F66*'Batt IN'!$E$7,0)</f>
        <v>0</v>
      </c>
    </row>
    <row r="67" spans="1:15" x14ac:dyDescent="0.25">
      <c r="B67">
        <f t="shared" si="0"/>
        <v>35</v>
      </c>
      <c r="C67" s="2">
        <f t="shared" si="1"/>
        <v>0</v>
      </c>
      <c r="E67" s="10">
        <f t="shared" si="2"/>
        <v>0</v>
      </c>
      <c r="F67" s="2">
        <f t="shared" si="3"/>
        <v>0</v>
      </c>
      <c r="G67" s="2">
        <f>IF(ISERROR(B67),"-",IF(J66=0,0,SUM($F$33:F67)))</f>
        <v>0</v>
      </c>
      <c r="H67" s="2">
        <f t="shared" si="7"/>
        <v>0</v>
      </c>
      <c r="I67" s="2">
        <f>IF(ISERROR($B67),"-",IF(J66=0,0,SUM($H$33:H67)))</f>
        <v>0</v>
      </c>
      <c r="J67" s="2">
        <f t="shared" si="4"/>
        <v>0</v>
      </c>
      <c r="K67" s="2">
        <f t="shared" si="5"/>
        <v>0</v>
      </c>
      <c r="L67" s="2">
        <f t="shared" si="6"/>
        <v>0</v>
      </c>
      <c r="M67" s="2">
        <f t="shared" si="8"/>
        <v>0</v>
      </c>
      <c r="O67" s="2">
        <f>IF('Batt IN'!$N$18="Yes",BattLoan!F67*'Batt IN'!$E$7,0)</f>
        <v>0</v>
      </c>
    </row>
    <row r="68" spans="1:15" x14ac:dyDescent="0.25">
      <c r="A68">
        <v>3</v>
      </c>
      <c r="B68">
        <f t="shared" si="0"/>
        <v>36</v>
      </c>
      <c r="C68" s="2">
        <f t="shared" si="1"/>
        <v>0</v>
      </c>
      <c r="E68" s="10">
        <f t="shared" si="2"/>
        <v>0</v>
      </c>
      <c r="F68" s="2">
        <f t="shared" si="3"/>
        <v>0</v>
      </c>
      <c r="G68" s="2">
        <f>IF(ISERROR(B68),"-",IF(J67=0,0,SUM($F$33:F68)))</f>
        <v>0</v>
      </c>
      <c r="H68" s="2">
        <f t="shared" si="7"/>
        <v>0</v>
      </c>
      <c r="I68" s="2">
        <f>IF(ISERROR($B68),"-",IF(J67=0,0,SUM($H$33:H68)))</f>
        <v>0</v>
      </c>
      <c r="J68" s="2">
        <f t="shared" si="4"/>
        <v>0</v>
      </c>
      <c r="K68" s="2">
        <f t="shared" si="5"/>
        <v>0</v>
      </c>
      <c r="L68" s="2">
        <f t="shared" si="6"/>
        <v>0</v>
      </c>
      <c r="M68" s="2">
        <f t="shared" si="8"/>
        <v>0</v>
      </c>
      <c r="O68" s="2">
        <f>IF('Batt IN'!$N$18="Yes",BattLoan!F68*'Batt IN'!$E$7,0)</f>
        <v>0</v>
      </c>
    </row>
    <row r="69" spans="1:15" x14ac:dyDescent="0.25">
      <c r="B69">
        <f t="shared" si="0"/>
        <v>37</v>
      </c>
      <c r="C69" s="2">
        <f t="shared" si="1"/>
        <v>0</v>
      </c>
      <c r="E69" s="10">
        <f t="shared" si="2"/>
        <v>0</v>
      </c>
      <c r="F69" s="2">
        <f t="shared" si="3"/>
        <v>0</v>
      </c>
      <c r="G69" s="2">
        <f>IF(ISERROR(B69),"-",IF(J68=0,0,SUM($F$33:F69)))</f>
        <v>0</v>
      </c>
      <c r="H69" s="2">
        <f t="shared" si="7"/>
        <v>0</v>
      </c>
      <c r="I69" s="2">
        <f>IF(ISERROR($B69),"-",IF(J68=0,0,SUM($H$33:H69)))</f>
        <v>0</v>
      </c>
      <c r="J69" s="2">
        <f t="shared" si="4"/>
        <v>0</v>
      </c>
      <c r="K69" s="2">
        <f t="shared" si="5"/>
        <v>0</v>
      </c>
      <c r="L69" s="2">
        <f t="shared" si="6"/>
        <v>0</v>
      </c>
      <c r="M69" s="2">
        <f t="shared" si="8"/>
        <v>0</v>
      </c>
      <c r="O69" s="2">
        <f>IF('Batt IN'!$N$18="Yes",BattLoan!F69*'Batt IN'!$E$7,0)</f>
        <v>0</v>
      </c>
    </row>
    <row r="70" spans="1:15" x14ac:dyDescent="0.25">
      <c r="B70">
        <f t="shared" si="0"/>
        <v>38</v>
      </c>
      <c r="C70" s="2">
        <f t="shared" si="1"/>
        <v>0</v>
      </c>
      <c r="E70" s="10">
        <f t="shared" si="2"/>
        <v>0</v>
      </c>
      <c r="F70" s="2">
        <f t="shared" si="3"/>
        <v>0</v>
      </c>
      <c r="G70" s="2">
        <f>IF(ISERROR(B70),"-",IF(J69=0,0,SUM($F$33:F70)))</f>
        <v>0</v>
      </c>
      <c r="H70" s="2">
        <f t="shared" si="7"/>
        <v>0</v>
      </c>
      <c r="I70" s="2">
        <f>IF(ISERROR($B70),"-",IF(J69=0,0,SUM($H$33:H70)))</f>
        <v>0</v>
      </c>
      <c r="J70" s="2">
        <f t="shared" si="4"/>
        <v>0</v>
      </c>
      <c r="K70" s="2">
        <f t="shared" si="5"/>
        <v>0</v>
      </c>
      <c r="L70" s="2">
        <f t="shared" si="6"/>
        <v>0</v>
      </c>
      <c r="M70" s="2">
        <f t="shared" si="8"/>
        <v>0</v>
      </c>
      <c r="O70" s="2">
        <f>IF('Batt IN'!$N$18="Yes",BattLoan!F70*'Batt IN'!$E$7,0)</f>
        <v>0</v>
      </c>
    </row>
    <row r="71" spans="1:15" x14ac:dyDescent="0.25">
      <c r="B71">
        <f t="shared" si="0"/>
        <v>39</v>
      </c>
      <c r="C71" s="2">
        <f t="shared" si="1"/>
        <v>0</v>
      </c>
      <c r="E71" s="10">
        <f t="shared" si="2"/>
        <v>0</v>
      </c>
      <c r="F71" s="2">
        <f t="shared" si="3"/>
        <v>0</v>
      </c>
      <c r="G71" s="2">
        <f>IF(ISERROR(B71),"-",IF(J70=0,0,SUM($F$33:F71)))</f>
        <v>0</v>
      </c>
      <c r="H71" s="2">
        <f t="shared" si="7"/>
        <v>0</v>
      </c>
      <c r="I71" s="2">
        <f>IF(ISERROR($B71),"-",IF(J70=0,0,SUM($H$33:H71)))</f>
        <v>0</v>
      </c>
      <c r="J71" s="2">
        <f t="shared" si="4"/>
        <v>0</v>
      </c>
      <c r="K71" s="2">
        <f t="shared" si="5"/>
        <v>0</v>
      </c>
      <c r="L71" s="2">
        <f t="shared" si="6"/>
        <v>0</v>
      </c>
      <c r="M71" s="2">
        <f t="shared" si="8"/>
        <v>0</v>
      </c>
      <c r="O71" s="2">
        <f>IF('Batt IN'!$N$18="Yes",BattLoan!F71*'Batt IN'!$E$7,0)</f>
        <v>0</v>
      </c>
    </row>
    <row r="72" spans="1:15" x14ac:dyDescent="0.25">
      <c r="B72">
        <f t="shared" si="0"/>
        <v>40</v>
      </c>
      <c r="C72" s="2">
        <f t="shared" si="1"/>
        <v>0</v>
      </c>
      <c r="E72" s="10">
        <f t="shared" si="2"/>
        <v>0</v>
      </c>
      <c r="F72" s="2">
        <f t="shared" si="3"/>
        <v>0</v>
      </c>
      <c r="G72" s="2">
        <f>IF(ISERROR(B72),"-",IF(J71=0,0,SUM($F$33:F72)))</f>
        <v>0</v>
      </c>
      <c r="H72" s="2">
        <f t="shared" si="7"/>
        <v>0</v>
      </c>
      <c r="I72" s="2">
        <f>IF(ISERROR($B72),"-",IF(J71=0,0,SUM($H$33:H72)))</f>
        <v>0</v>
      </c>
      <c r="J72" s="2">
        <f t="shared" si="4"/>
        <v>0</v>
      </c>
      <c r="K72" s="2">
        <f t="shared" si="5"/>
        <v>0</v>
      </c>
      <c r="L72" s="2">
        <f t="shared" si="6"/>
        <v>0</v>
      </c>
      <c r="M72" s="2">
        <f t="shared" si="8"/>
        <v>0</v>
      </c>
      <c r="O72" s="2">
        <f>IF('Batt IN'!$N$18="Yes",BattLoan!F72*'Batt IN'!$E$7,0)</f>
        <v>0</v>
      </c>
    </row>
    <row r="73" spans="1:15" x14ac:dyDescent="0.25">
      <c r="B73">
        <f t="shared" si="0"/>
        <v>41</v>
      </c>
      <c r="C73" s="2">
        <f t="shared" si="1"/>
        <v>0</v>
      </c>
      <c r="E73" s="10">
        <f t="shared" si="2"/>
        <v>0</v>
      </c>
      <c r="F73" s="2">
        <f t="shared" si="3"/>
        <v>0</v>
      </c>
      <c r="G73" s="2">
        <f>IF(ISERROR(B73),"-",IF(J72=0,0,SUM($F$33:F73)))</f>
        <v>0</v>
      </c>
      <c r="H73" s="2">
        <f t="shared" si="7"/>
        <v>0</v>
      </c>
      <c r="I73" s="2">
        <f>IF(ISERROR($B73),"-",IF(J72=0,0,SUM($H$33:H73)))</f>
        <v>0</v>
      </c>
      <c r="J73" s="2">
        <f t="shared" si="4"/>
        <v>0</v>
      </c>
      <c r="K73" s="2">
        <f t="shared" si="5"/>
        <v>0</v>
      </c>
      <c r="L73" s="2">
        <f t="shared" si="6"/>
        <v>0</v>
      </c>
      <c r="M73" s="2">
        <f t="shared" si="8"/>
        <v>0</v>
      </c>
      <c r="O73" s="2">
        <f>IF('Batt IN'!$N$18="Yes",BattLoan!F73*'Batt IN'!$E$7,0)</f>
        <v>0</v>
      </c>
    </row>
    <row r="74" spans="1:15" x14ac:dyDescent="0.25">
      <c r="B74">
        <f t="shared" si="0"/>
        <v>42</v>
      </c>
      <c r="C74" s="2">
        <f t="shared" si="1"/>
        <v>0</v>
      </c>
      <c r="E74" s="10">
        <f t="shared" si="2"/>
        <v>0</v>
      </c>
      <c r="F74" s="2">
        <f t="shared" si="3"/>
        <v>0</v>
      </c>
      <c r="G74" s="2">
        <f>IF(ISERROR(B74),"-",IF(J73=0,0,SUM($F$33:F74)))</f>
        <v>0</v>
      </c>
      <c r="H74" s="2">
        <f t="shared" si="7"/>
        <v>0</v>
      </c>
      <c r="I74" s="2">
        <f>IF(ISERROR($B74),"-",IF(J73=0,0,SUM($H$33:H74)))</f>
        <v>0</v>
      </c>
      <c r="J74" s="2">
        <f t="shared" si="4"/>
        <v>0</v>
      </c>
      <c r="K74" s="2">
        <f t="shared" si="5"/>
        <v>0</v>
      </c>
      <c r="L74" s="2">
        <f t="shared" si="6"/>
        <v>0</v>
      </c>
      <c r="M74" s="2">
        <f t="shared" si="8"/>
        <v>0</v>
      </c>
      <c r="O74" s="2">
        <f>IF('Batt IN'!$N$18="Yes",BattLoan!F74*'Batt IN'!$E$7,0)</f>
        <v>0</v>
      </c>
    </row>
    <row r="75" spans="1:15" x14ac:dyDescent="0.25">
      <c r="B75">
        <f t="shared" si="0"/>
        <v>43</v>
      </c>
      <c r="C75" s="2">
        <f t="shared" si="1"/>
        <v>0</v>
      </c>
      <c r="E75" s="10">
        <f t="shared" si="2"/>
        <v>0</v>
      </c>
      <c r="F75" s="2">
        <f t="shared" si="3"/>
        <v>0</v>
      </c>
      <c r="G75" s="2">
        <f>IF(ISERROR(B75),"-",IF(J74=0,0,SUM($F$33:F75)))</f>
        <v>0</v>
      </c>
      <c r="H75" s="2">
        <f t="shared" si="7"/>
        <v>0</v>
      </c>
      <c r="I75" s="2">
        <f>IF(ISERROR($B75),"-",IF(J74=0,0,SUM($H$33:H75)))</f>
        <v>0</v>
      </c>
      <c r="J75" s="2">
        <f t="shared" si="4"/>
        <v>0</v>
      </c>
      <c r="K75" s="2">
        <f t="shared" si="5"/>
        <v>0</v>
      </c>
      <c r="L75" s="2">
        <f t="shared" si="6"/>
        <v>0</v>
      </c>
      <c r="M75" s="2">
        <f t="shared" si="8"/>
        <v>0</v>
      </c>
      <c r="O75" s="2">
        <f>IF('Batt IN'!$N$18="Yes",BattLoan!F75*'Batt IN'!$E$7,0)</f>
        <v>0</v>
      </c>
    </row>
    <row r="76" spans="1:15" x14ac:dyDescent="0.25">
      <c r="B76">
        <f t="shared" si="0"/>
        <v>44</v>
      </c>
      <c r="C76" s="2">
        <f t="shared" si="1"/>
        <v>0</v>
      </c>
      <c r="E76" s="10">
        <f t="shared" si="2"/>
        <v>0</v>
      </c>
      <c r="F76" s="2">
        <f t="shared" si="3"/>
        <v>0</v>
      </c>
      <c r="G76" s="2">
        <f>IF(ISERROR(B76),"-",IF(J75=0,0,SUM($F$33:F76)))</f>
        <v>0</v>
      </c>
      <c r="H76" s="2">
        <f t="shared" si="7"/>
        <v>0</v>
      </c>
      <c r="I76" s="2">
        <f>IF(ISERROR($B76),"-",IF(J75=0,0,SUM($H$33:H76)))</f>
        <v>0</v>
      </c>
      <c r="J76" s="2">
        <f t="shared" si="4"/>
        <v>0</v>
      </c>
      <c r="K76" s="2">
        <f t="shared" si="5"/>
        <v>0</v>
      </c>
      <c r="L76" s="2">
        <f t="shared" si="6"/>
        <v>0</v>
      </c>
      <c r="M76" s="2">
        <f t="shared" si="8"/>
        <v>0</v>
      </c>
      <c r="O76" s="2">
        <f>IF('Batt IN'!$N$18="Yes",BattLoan!F76*'Batt IN'!$E$7,0)</f>
        <v>0</v>
      </c>
    </row>
    <row r="77" spans="1:15" x14ac:dyDescent="0.25">
      <c r="B77">
        <f t="shared" si="0"/>
        <v>45</v>
      </c>
      <c r="C77" s="2">
        <f t="shared" si="1"/>
        <v>0</v>
      </c>
      <c r="E77" s="10">
        <f t="shared" si="2"/>
        <v>0</v>
      </c>
      <c r="F77" s="2">
        <f t="shared" si="3"/>
        <v>0</v>
      </c>
      <c r="G77" s="2">
        <f>IF(ISERROR(B77),"-",IF(J76=0,0,SUM($F$33:F77)))</f>
        <v>0</v>
      </c>
      <c r="H77" s="2">
        <f t="shared" si="7"/>
        <v>0</v>
      </c>
      <c r="I77" s="2">
        <f>IF(ISERROR($B77),"-",IF(J76=0,0,SUM($H$33:H77)))</f>
        <v>0</v>
      </c>
      <c r="J77" s="2">
        <f t="shared" si="4"/>
        <v>0</v>
      </c>
      <c r="K77" s="2">
        <f t="shared" si="5"/>
        <v>0</v>
      </c>
      <c r="L77" s="2">
        <f t="shared" si="6"/>
        <v>0</v>
      </c>
      <c r="M77" s="2">
        <f t="shared" si="8"/>
        <v>0</v>
      </c>
      <c r="O77" s="2">
        <f>IF('Batt IN'!$N$18="Yes",BattLoan!F77*'Batt IN'!$E$7,0)</f>
        <v>0</v>
      </c>
    </row>
    <row r="78" spans="1:15" x14ac:dyDescent="0.25">
      <c r="B78">
        <f t="shared" si="0"/>
        <v>46</v>
      </c>
      <c r="C78" s="2">
        <f t="shared" si="1"/>
        <v>0</v>
      </c>
      <c r="E78" s="10">
        <f t="shared" si="2"/>
        <v>0</v>
      </c>
      <c r="F78" s="2">
        <f t="shared" si="3"/>
        <v>0</v>
      </c>
      <c r="G78" s="2">
        <f>IF(ISERROR(B78),"-",IF(J77=0,0,SUM($F$33:F78)))</f>
        <v>0</v>
      </c>
      <c r="H78" s="2">
        <f t="shared" si="7"/>
        <v>0</v>
      </c>
      <c r="I78" s="2">
        <f>IF(ISERROR($B78),"-",IF(J77=0,0,SUM($H$33:H78)))</f>
        <v>0</v>
      </c>
      <c r="J78" s="2">
        <f t="shared" si="4"/>
        <v>0</v>
      </c>
      <c r="K78" s="2">
        <f t="shared" si="5"/>
        <v>0</v>
      </c>
      <c r="L78" s="2">
        <f t="shared" si="6"/>
        <v>0</v>
      </c>
      <c r="M78" s="2">
        <f t="shared" si="8"/>
        <v>0</v>
      </c>
      <c r="O78" s="2">
        <f>IF('Batt IN'!$N$18="Yes",BattLoan!F78*'Batt IN'!$E$7,0)</f>
        <v>0</v>
      </c>
    </row>
    <row r="79" spans="1:15" x14ac:dyDescent="0.25">
      <c r="B79">
        <f t="shared" si="0"/>
        <v>47</v>
      </c>
      <c r="C79" s="2">
        <f t="shared" si="1"/>
        <v>0</v>
      </c>
      <c r="E79" s="10">
        <f t="shared" si="2"/>
        <v>0</v>
      </c>
      <c r="F79" s="2">
        <f t="shared" si="3"/>
        <v>0</v>
      </c>
      <c r="G79" s="2">
        <f>IF(ISERROR(B79),"-",IF(J78=0,0,SUM($F$33:F79)))</f>
        <v>0</v>
      </c>
      <c r="H79" s="2">
        <f t="shared" si="7"/>
        <v>0</v>
      </c>
      <c r="I79" s="2">
        <f>IF(ISERROR($B79),"-",IF(J78=0,0,SUM($H$33:H79)))</f>
        <v>0</v>
      </c>
      <c r="J79" s="2">
        <f t="shared" si="4"/>
        <v>0</v>
      </c>
      <c r="K79" s="2">
        <f t="shared" si="5"/>
        <v>0</v>
      </c>
      <c r="L79" s="2">
        <f t="shared" si="6"/>
        <v>0</v>
      </c>
      <c r="M79" s="2">
        <f t="shared" si="8"/>
        <v>0</v>
      </c>
      <c r="O79" s="2">
        <f>IF('Batt IN'!$N$18="Yes",BattLoan!F79*'Batt IN'!$E$7,0)</f>
        <v>0</v>
      </c>
    </row>
    <row r="80" spans="1:15" x14ac:dyDescent="0.25">
      <c r="A80">
        <v>4</v>
      </c>
      <c r="B80">
        <f t="shared" si="0"/>
        <v>48</v>
      </c>
      <c r="C80" s="2">
        <f t="shared" si="1"/>
        <v>0</v>
      </c>
      <c r="E80" s="10">
        <f t="shared" si="2"/>
        <v>0</v>
      </c>
      <c r="F80" s="2">
        <f t="shared" si="3"/>
        <v>0</v>
      </c>
      <c r="G80" s="2">
        <f>IF(ISERROR(B80),"-",IF(J79=0,0,SUM($F$33:F80)))</f>
        <v>0</v>
      </c>
      <c r="H80" s="2">
        <f t="shared" si="7"/>
        <v>0</v>
      </c>
      <c r="I80" s="2">
        <f>IF(ISERROR($B80),"-",IF(J79=0,0,SUM($H$33:H80)))</f>
        <v>0</v>
      </c>
      <c r="J80" s="2">
        <f t="shared" si="4"/>
        <v>0</v>
      </c>
      <c r="K80" s="2">
        <f t="shared" si="5"/>
        <v>0</v>
      </c>
      <c r="L80" s="2">
        <f t="shared" si="6"/>
        <v>0</v>
      </c>
      <c r="M80" s="2">
        <f t="shared" si="8"/>
        <v>0</v>
      </c>
      <c r="O80" s="2">
        <f>IF('Batt IN'!$N$18="Yes",BattLoan!F80*'Batt IN'!$E$7,0)</f>
        <v>0</v>
      </c>
    </row>
    <row r="81" spans="1:15" x14ac:dyDescent="0.25">
      <c r="B81">
        <f t="shared" si="0"/>
        <v>49</v>
      </c>
      <c r="C81" s="2">
        <f t="shared" si="1"/>
        <v>0</v>
      </c>
      <c r="E81" s="10">
        <f t="shared" si="2"/>
        <v>0</v>
      </c>
      <c r="F81" s="2">
        <f t="shared" si="3"/>
        <v>0</v>
      </c>
      <c r="G81" s="2">
        <f>IF(ISERROR(B81),"-",IF(J80=0,0,SUM($F$33:F81)))</f>
        <v>0</v>
      </c>
      <c r="H81" s="2">
        <f t="shared" si="7"/>
        <v>0</v>
      </c>
      <c r="I81" s="2">
        <f>IF(ISERROR($B81),"-",IF(J80=0,0,SUM($H$33:H81)))</f>
        <v>0</v>
      </c>
      <c r="J81" s="2">
        <f t="shared" si="4"/>
        <v>0</v>
      </c>
      <c r="K81" s="2">
        <f t="shared" si="5"/>
        <v>0</v>
      </c>
      <c r="L81" s="2">
        <f t="shared" si="6"/>
        <v>0</v>
      </c>
      <c r="M81" s="2">
        <f t="shared" si="8"/>
        <v>0</v>
      </c>
      <c r="O81" s="2">
        <f>IF('Batt IN'!$N$18="Yes",BattLoan!F81*'Batt IN'!$E$7,0)</f>
        <v>0</v>
      </c>
    </row>
    <row r="82" spans="1:15" x14ac:dyDescent="0.25">
      <c r="B82">
        <f t="shared" si="0"/>
        <v>50</v>
      </c>
      <c r="C82" s="2">
        <f t="shared" si="1"/>
        <v>0</v>
      </c>
      <c r="E82" s="10">
        <f t="shared" si="2"/>
        <v>0</v>
      </c>
      <c r="F82" s="2">
        <f t="shared" si="3"/>
        <v>0</v>
      </c>
      <c r="G82" s="2">
        <f>IF(ISERROR(B82),"-",IF(J81=0,0,SUM($F$33:F82)))</f>
        <v>0</v>
      </c>
      <c r="H82" s="2">
        <f t="shared" si="7"/>
        <v>0</v>
      </c>
      <c r="I82" s="2">
        <f>IF(ISERROR($B82),"-",IF(J81=0,0,SUM($H$33:H82)))</f>
        <v>0</v>
      </c>
      <c r="J82" s="2">
        <f t="shared" si="4"/>
        <v>0</v>
      </c>
      <c r="K82" s="2">
        <f t="shared" si="5"/>
        <v>0</v>
      </c>
      <c r="L82" s="2">
        <f t="shared" si="6"/>
        <v>0</v>
      </c>
      <c r="M82" s="2">
        <f t="shared" si="8"/>
        <v>0</v>
      </c>
      <c r="O82" s="2">
        <f>IF('Batt IN'!$N$18="Yes",BattLoan!F82*'Batt IN'!$E$7,0)</f>
        <v>0</v>
      </c>
    </row>
    <row r="83" spans="1:15" x14ac:dyDescent="0.25">
      <c r="B83">
        <f t="shared" si="0"/>
        <v>51</v>
      </c>
      <c r="C83" s="2">
        <f t="shared" si="1"/>
        <v>0</v>
      </c>
      <c r="E83" s="10">
        <f t="shared" si="2"/>
        <v>0</v>
      </c>
      <c r="F83" s="2">
        <f t="shared" si="3"/>
        <v>0</v>
      </c>
      <c r="G83" s="2">
        <f>IF(ISERROR(B83),"-",IF(J82=0,0,SUM($F$33:F83)))</f>
        <v>0</v>
      </c>
      <c r="H83" s="2">
        <f t="shared" si="7"/>
        <v>0</v>
      </c>
      <c r="I83" s="2">
        <f>IF(ISERROR($B83),"-",IF(J82=0,0,SUM($H$33:H83)))</f>
        <v>0</v>
      </c>
      <c r="J83" s="2">
        <f t="shared" si="4"/>
        <v>0</v>
      </c>
      <c r="K83" s="2">
        <f t="shared" si="5"/>
        <v>0</v>
      </c>
      <c r="L83" s="2">
        <f t="shared" si="6"/>
        <v>0</v>
      </c>
      <c r="M83" s="2">
        <f t="shared" si="8"/>
        <v>0</v>
      </c>
      <c r="O83" s="2">
        <f>IF('Batt IN'!$N$18="Yes",BattLoan!F83*'Batt IN'!$E$7,0)</f>
        <v>0</v>
      </c>
    </row>
    <row r="84" spans="1:15" x14ac:dyDescent="0.25">
      <c r="B84">
        <f t="shared" si="0"/>
        <v>52</v>
      </c>
      <c r="C84" s="2">
        <f t="shared" si="1"/>
        <v>0</v>
      </c>
      <c r="E84" s="10">
        <f t="shared" si="2"/>
        <v>0</v>
      </c>
      <c r="F84" s="2">
        <f t="shared" si="3"/>
        <v>0</v>
      </c>
      <c r="G84" s="2">
        <f>IF(ISERROR(B84),"-",IF(J83=0,0,SUM($F$33:F84)))</f>
        <v>0</v>
      </c>
      <c r="H84" s="2">
        <f t="shared" si="7"/>
        <v>0</v>
      </c>
      <c r="I84" s="2">
        <f>IF(ISERROR($B84),"-",IF(J83=0,0,SUM($H$33:H84)))</f>
        <v>0</v>
      </c>
      <c r="J84" s="2">
        <f t="shared" si="4"/>
        <v>0</v>
      </c>
      <c r="K84" s="2">
        <f t="shared" si="5"/>
        <v>0</v>
      </c>
      <c r="L84" s="2">
        <f t="shared" si="6"/>
        <v>0</v>
      </c>
      <c r="M84" s="2">
        <f t="shared" si="8"/>
        <v>0</v>
      </c>
      <c r="O84" s="2">
        <f>IF('Batt IN'!$N$18="Yes",BattLoan!F84*'Batt IN'!$E$7,0)</f>
        <v>0</v>
      </c>
    </row>
    <row r="85" spans="1:15" x14ac:dyDescent="0.25">
      <c r="B85">
        <f t="shared" si="0"/>
        <v>53</v>
      </c>
      <c r="C85" s="2">
        <f t="shared" si="1"/>
        <v>0</v>
      </c>
      <c r="E85" s="10">
        <f t="shared" si="2"/>
        <v>0</v>
      </c>
      <c r="F85" s="2">
        <f t="shared" si="3"/>
        <v>0</v>
      </c>
      <c r="G85" s="2">
        <f>IF(ISERROR(B85),"-",IF(J84=0,0,SUM($F$33:F85)))</f>
        <v>0</v>
      </c>
      <c r="H85" s="2">
        <f t="shared" si="7"/>
        <v>0</v>
      </c>
      <c r="I85" s="2">
        <f>IF(ISERROR($B85),"-",IF(J84=0,0,SUM($H$33:H85)))</f>
        <v>0</v>
      </c>
      <c r="J85" s="2">
        <f t="shared" si="4"/>
        <v>0</v>
      </c>
      <c r="K85" s="2">
        <f t="shared" si="5"/>
        <v>0</v>
      </c>
      <c r="L85" s="2">
        <f t="shared" si="6"/>
        <v>0</v>
      </c>
      <c r="M85" s="2">
        <f t="shared" si="8"/>
        <v>0</v>
      </c>
      <c r="O85" s="2">
        <f>IF('Batt IN'!$N$18="Yes",BattLoan!F85*'Batt IN'!$E$7,0)</f>
        <v>0</v>
      </c>
    </row>
    <row r="86" spans="1:15" x14ac:dyDescent="0.25">
      <c r="B86">
        <f t="shared" si="0"/>
        <v>54</v>
      </c>
      <c r="C86" s="2">
        <f t="shared" si="1"/>
        <v>0</v>
      </c>
      <c r="E86" s="10">
        <f t="shared" si="2"/>
        <v>0</v>
      </c>
      <c r="F86" s="2">
        <f t="shared" si="3"/>
        <v>0</v>
      </c>
      <c r="G86" s="2">
        <f>IF(ISERROR(B86),"-",IF(J85=0,0,SUM($F$33:F86)))</f>
        <v>0</v>
      </c>
      <c r="H86" s="2">
        <f t="shared" si="7"/>
        <v>0</v>
      </c>
      <c r="I86" s="2">
        <f>IF(ISERROR($B86),"-",IF(J85=0,0,SUM($H$33:H86)))</f>
        <v>0</v>
      </c>
      <c r="J86" s="2">
        <f t="shared" si="4"/>
        <v>0</v>
      </c>
      <c r="K86" s="2">
        <f t="shared" si="5"/>
        <v>0</v>
      </c>
      <c r="L86" s="2">
        <f t="shared" si="6"/>
        <v>0</v>
      </c>
      <c r="M86" s="2">
        <f t="shared" si="8"/>
        <v>0</v>
      </c>
      <c r="O86" s="2">
        <f>IF('Batt IN'!$N$18="Yes",BattLoan!F86*'Batt IN'!$E$7,0)</f>
        <v>0</v>
      </c>
    </row>
    <row r="87" spans="1:15" x14ac:dyDescent="0.25">
      <c r="B87">
        <f t="shared" si="0"/>
        <v>55</v>
      </c>
      <c r="C87" s="2">
        <f t="shared" si="1"/>
        <v>0</v>
      </c>
      <c r="E87" s="10">
        <f t="shared" si="2"/>
        <v>0</v>
      </c>
      <c r="F87" s="2">
        <f t="shared" si="3"/>
        <v>0</v>
      </c>
      <c r="G87" s="2">
        <f>IF(ISERROR(B87),"-",IF(J86=0,0,SUM($F$33:F87)))</f>
        <v>0</v>
      </c>
      <c r="H87" s="2">
        <f t="shared" si="7"/>
        <v>0</v>
      </c>
      <c r="I87" s="2">
        <f>IF(ISERROR($B87),"-",IF(J86=0,0,SUM($H$33:H87)))</f>
        <v>0</v>
      </c>
      <c r="J87" s="2">
        <f t="shared" si="4"/>
        <v>0</v>
      </c>
      <c r="K87" s="2">
        <f t="shared" si="5"/>
        <v>0</v>
      </c>
      <c r="L87" s="2">
        <f t="shared" si="6"/>
        <v>0</v>
      </c>
      <c r="M87" s="2">
        <f t="shared" si="8"/>
        <v>0</v>
      </c>
      <c r="O87" s="2">
        <f>IF('Batt IN'!$N$18="Yes",BattLoan!F87*'Batt IN'!$E$7,0)</f>
        <v>0</v>
      </c>
    </row>
    <row r="88" spans="1:15" x14ac:dyDescent="0.25">
      <c r="B88">
        <f t="shared" si="0"/>
        <v>56</v>
      </c>
      <c r="C88" s="2">
        <f t="shared" si="1"/>
        <v>0</v>
      </c>
      <c r="E88" s="10">
        <f t="shared" si="2"/>
        <v>0</v>
      </c>
      <c r="F88" s="2">
        <f t="shared" si="3"/>
        <v>0</v>
      </c>
      <c r="G88" s="2">
        <f>IF(ISERROR(B88),"-",IF(J87=0,0,SUM($F$33:F88)))</f>
        <v>0</v>
      </c>
      <c r="H88" s="2">
        <f t="shared" si="7"/>
        <v>0</v>
      </c>
      <c r="I88" s="2">
        <f>IF(ISERROR($B88),"-",IF(J87=0,0,SUM($H$33:H88)))</f>
        <v>0</v>
      </c>
      <c r="J88" s="2">
        <f t="shared" si="4"/>
        <v>0</v>
      </c>
      <c r="K88" s="2">
        <f t="shared" si="5"/>
        <v>0</v>
      </c>
      <c r="L88" s="2">
        <f t="shared" si="6"/>
        <v>0</v>
      </c>
      <c r="M88" s="2">
        <f t="shared" si="8"/>
        <v>0</v>
      </c>
      <c r="O88" s="2">
        <f>IF('Batt IN'!$N$18="Yes",BattLoan!F88*'Batt IN'!$E$7,0)</f>
        <v>0</v>
      </c>
    </row>
    <row r="89" spans="1:15" x14ac:dyDescent="0.25">
      <c r="B89">
        <f t="shared" si="0"/>
        <v>57</v>
      </c>
      <c r="C89" s="2">
        <f t="shared" si="1"/>
        <v>0</v>
      </c>
      <c r="E89" s="10">
        <f t="shared" si="2"/>
        <v>0</v>
      </c>
      <c r="F89" s="2">
        <f t="shared" si="3"/>
        <v>0</v>
      </c>
      <c r="G89" s="2">
        <f>IF(ISERROR(B89),"-",IF(J88=0,0,SUM($F$33:F89)))</f>
        <v>0</v>
      </c>
      <c r="H89" s="2">
        <f t="shared" si="7"/>
        <v>0</v>
      </c>
      <c r="I89" s="2">
        <f>IF(ISERROR($B89),"-",IF(J88=0,0,SUM($H$33:H89)))</f>
        <v>0</v>
      </c>
      <c r="J89" s="2">
        <f t="shared" si="4"/>
        <v>0</v>
      </c>
      <c r="K89" s="2">
        <f t="shared" si="5"/>
        <v>0</v>
      </c>
      <c r="L89" s="2">
        <f t="shared" si="6"/>
        <v>0</v>
      </c>
      <c r="M89" s="2">
        <f t="shared" si="8"/>
        <v>0</v>
      </c>
      <c r="O89" s="2">
        <f>IF('Batt IN'!$N$18="Yes",BattLoan!F89*'Batt IN'!$E$7,0)</f>
        <v>0</v>
      </c>
    </row>
    <row r="90" spans="1:15" x14ac:dyDescent="0.25">
      <c r="B90">
        <f t="shared" si="0"/>
        <v>58</v>
      </c>
      <c r="C90" s="2">
        <f t="shared" si="1"/>
        <v>0</v>
      </c>
      <c r="E90" s="10">
        <f t="shared" si="2"/>
        <v>0</v>
      </c>
      <c r="F90" s="2">
        <f t="shared" si="3"/>
        <v>0</v>
      </c>
      <c r="G90" s="2">
        <f>IF(ISERROR(B90),"-",IF(J89=0,0,SUM($F$33:F90)))</f>
        <v>0</v>
      </c>
      <c r="H90" s="2">
        <f t="shared" si="7"/>
        <v>0</v>
      </c>
      <c r="I90" s="2">
        <f>IF(ISERROR($B90),"-",IF(J89=0,0,SUM($H$33:H90)))</f>
        <v>0</v>
      </c>
      <c r="J90" s="2">
        <f t="shared" si="4"/>
        <v>0</v>
      </c>
      <c r="K90" s="2">
        <f t="shared" si="5"/>
        <v>0</v>
      </c>
      <c r="L90" s="2">
        <f t="shared" si="6"/>
        <v>0</v>
      </c>
      <c r="M90" s="2">
        <f t="shared" si="8"/>
        <v>0</v>
      </c>
      <c r="O90" s="2">
        <f>IF('Batt IN'!$N$18="Yes",BattLoan!F90*'Batt IN'!$E$7,0)</f>
        <v>0</v>
      </c>
    </row>
    <row r="91" spans="1:15" x14ac:dyDescent="0.25">
      <c r="B91">
        <f t="shared" si="0"/>
        <v>59</v>
      </c>
      <c r="C91" s="2">
        <f t="shared" si="1"/>
        <v>0</v>
      </c>
      <c r="E91" s="10">
        <f t="shared" si="2"/>
        <v>0</v>
      </c>
      <c r="F91" s="2">
        <f t="shared" si="3"/>
        <v>0</v>
      </c>
      <c r="G91" s="2">
        <f>IF(ISERROR(B91),"-",IF(J90=0,0,SUM($F$33:F91)))</f>
        <v>0</v>
      </c>
      <c r="H91" s="2">
        <f t="shared" si="7"/>
        <v>0</v>
      </c>
      <c r="I91" s="2">
        <f>IF(ISERROR($B91),"-",IF(J90=0,0,SUM($H$33:H91)))</f>
        <v>0</v>
      </c>
      <c r="J91" s="2">
        <f t="shared" si="4"/>
        <v>0</v>
      </c>
      <c r="K91" s="2">
        <f t="shared" si="5"/>
        <v>0</v>
      </c>
      <c r="L91" s="2">
        <f t="shared" si="6"/>
        <v>0</v>
      </c>
      <c r="M91" s="2">
        <f t="shared" si="8"/>
        <v>0</v>
      </c>
      <c r="O91" s="2">
        <f>IF('Batt IN'!$N$18="Yes",BattLoan!F91*'Batt IN'!$E$7,0)</f>
        <v>0</v>
      </c>
    </row>
    <row r="92" spans="1:15" x14ac:dyDescent="0.25">
      <c r="A92">
        <v>5</v>
      </c>
      <c r="B92">
        <f t="shared" si="0"/>
        <v>60</v>
      </c>
      <c r="C92" s="2">
        <f t="shared" si="1"/>
        <v>0</v>
      </c>
      <c r="E92" s="10">
        <f t="shared" si="2"/>
        <v>0</v>
      </c>
      <c r="F92" s="2">
        <f t="shared" si="3"/>
        <v>0</v>
      </c>
      <c r="G92" s="2">
        <f>IF(ISERROR(B92),"-",IF(J91=0,0,SUM($F$33:F92)))</f>
        <v>0</v>
      </c>
      <c r="H92" s="2">
        <f t="shared" si="7"/>
        <v>0</v>
      </c>
      <c r="I92" s="2">
        <f>IF(ISERROR($B92),"-",IF(J91=0,0,SUM($H$33:H92)))</f>
        <v>0</v>
      </c>
      <c r="J92" s="2">
        <f t="shared" si="4"/>
        <v>0</v>
      </c>
      <c r="K92" s="2">
        <f t="shared" si="5"/>
        <v>0</v>
      </c>
      <c r="L92" s="2">
        <f t="shared" si="6"/>
        <v>0</v>
      </c>
      <c r="M92" s="2">
        <f t="shared" si="8"/>
        <v>0</v>
      </c>
      <c r="O92" s="2">
        <f>IF('Batt IN'!$N$18="Yes",BattLoan!F92*'Batt IN'!$E$7,0)</f>
        <v>0</v>
      </c>
    </row>
    <row r="93" spans="1:15" x14ac:dyDescent="0.25">
      <c r="B93">
        <f t="shared" si="0"/>
        <v>61</v>
      </c>
      <c r="C93" s="2">
        <f t="shared" si="1"/>
        <v>0</v>
      </c>
      <c r="E93" s="10">
        <f t="shared" si="2"/>
        <v>0</v>
      </c>
      <c r="F93" s="2">
        <f t="shared" si="3"/>
        <v>0</v>
      </c>
      <c r="G93" s="2">
        <f>IF(ISERROR(B93),"-",IF(J92=0,0,SUM($F$33:F93)))</f>
        <v>0</v>
      </c>
      <c r="H93" s="2">
        <f t="shared" si="7"/>
        <v>0</v>
      </c>
      <c r="I93" s="2">
        <f>IF(ISERROR($B93),"-",IF(J92=0,0,SUM($H$33:H93)))</f>
        <v>0</v>
      </c>
      <c r="J93" s="2">
        <f t="shared" si="4"/>
        <v>0</v>
      </c>
      <c r="K93" s="2">
        <f t="shared" si="5"/>
        <v>0</v>
      </c>
      <c r="L93" s="2">
        <f t="shared" si="6"/>
        <v>0</v>
      </c>
      <c r="M93" s="2">
        <f t="shared" si="8"/>
        <v>0</v>
      </c>
      <c r="O93" s="2">
        <f>IF('Batt IN'!$N$18="Yes",BattLoan!F93*'Batt IN'!$E$7,0)</f>
        <v>0</v>
      </c>
    </row>
    <row r="94" spans="1:15" x14ac:dyDescent="0.25">
      <c r="B94">
        <f t="shared" si="0"/>
        <v>62</v>
      </c>
      <c r="C94" s="2">
        <f t="shared" si="1"/>
        <v>0</v>
      </c>
      <c r="E94" s="10">
        <f t="shared" si="2"/>
        <v>0</v>
      </c>
      <c r="F94" s="2">
        <f t="shared" si="3"/>
        <v>0</v>
      </c>
      <c r="G94" s="2">
        <f>IF(ISERROR(B94),"-",IF(J93=0,0,SUM($F$33:F94)))</f>
        <v>0</v>
      </c>
      <c r="H94" s="2">
        <f t="shared" si="7"/>
        <v>0</v>
      </c>
      <c r="I94" s="2">
        <f>IF(ISERROR($B94),"-",IF(J93=0,0,SUM($H$33:H94)))</f>
        <v>0</v>
      </c>
      <c r="J94" s="2">
        <f t="shared" si="4"/>
        <v>0</v>
      </c>
      <c r="K94" s="2">
        <f t="shared" si="5"/>
        <v>0</v>
      </c>
      <c r="L94" s="2">
        <f t="shared" si="6"/>
        <v>0</v>
      </c>
      <c r="M94" s="2">
        <f t="shared" si="8"/>
        <v>0</v>
      </c>
      <c r="O94" s="2">
        <f>IF('Batt IN'!$N$18="Yes",BattLoan!F94*'Batt IN'!$E$7,0)</f>
        <v>0</v>
      </c>
    </row>
    <row r="95" spans="1:15" x14ac:dyDescent="0.25">
      <c r="B95">
        <f t="shared" si="0"/>
        <v>63</v>
      </c>
      <c r="C95" s="2">
        <f t="shared" si="1"/>
        <v>0</v>
      </c>
      <c r="E95" s="10">
        <f t="shared" si="2"/>
        <v>0</v>
      </c>
      <c r="F95" s="2">
        <f t="shared" si="3"/>
        <v>0</v>
      </c>
      <c r="G95" s="2">
        <f>IF(ISERROR(B95),"-",IF(J94=0,0,SUM($F$33:F95)))</f>
        <v>0</v>
      </c>
      <c r="H95" s="2">
        <f t="shared" si="7"/>
        <v>0</v>
      </c>
      <c r="I95" s="2">
        <f>IF(ISERROR($B95),"-",IF(J94=0,0,SUM($H$33:H95)))</f>
        <v>0</v>
      </c>
      <c r="J95" s="2">
        <f t="shared" si="4"/>
        <v>0</v>
      </c>
      <c r="K95" s="2">
        <f t="shared" si="5"/>
        <v>0</v>
      </c>
      <c r="L95" s="2">
        <f t="shared" si="6"/>
        <v>0</v>
      </c>
      <c r="M95" s="2">
        <f t="shared" si="8"/>
        <v>0</v>
      </c>
      <c r="O95" s="2">
        <f>IF('Batt IN'!$N$18="Yes",BattLoan!F95*'Batt IN'!$E$7,0)</f>
        <v>0</v>
      </c>
    </row>
    <row r="96" spans="1:15" x14ac:dyDescent="0.25">
      <c r="B96">
        <f t="shared" si="0"/>
        <v>64</v>
      </c>
      <c r="C96" s="2">
        <f t="shared" si="1"/>
        <v>0</v>
      </c>
      <c r="E96" s="10">
        <f t="shared" si="2"/>
        <v>0</v>
      </c>
      <c r="F96" s="2">
        <f t="shared" si="3"/>
        <v>0</v>
      </c>
      <c r="G96" s="2">
        <f>IF(ISERROR(B96),"-",IF(J95=0,0,SUM($F$33:F96)))</f>
        <v>0</v>
      </c>
      <c r="H96" s="2">
        <f t="shared" si="7"/>
        <v>0</v>
      </c>
      <c r="I96" s="2">
        <f>IF(ISERROR($B96),"-",IF(J95=0,0,SUM($H$33:H96)))</f>
        <v>0</v>
      </c>
      <c r="J96" s="2">
        <f t="shared" si="4"/>
        <v>0</v>
      </c>
      <c r="K96" s="2">
        <f t="shared" si="5"/>
        <v>0</v>
      </c>
      <c r="L96" s="2">
        <f t="shared" si="6"/>
        <v>0</v>
      </c>
      <c r="M96" s="2">
        <f t="shared" si="8"/>
        <v>0</v>
      </c>
      <c r="O96" s="2">
        <f>IF('Batt IN'!$N$18="Yes",BattLoan!F96*'Batt IN'!$E$7,0)</f>
        <v>0</v>
      </c>
    </row>
    <row r="97" spans="1:15" x14ac:dyDescent="0.25">
      <c r="B97">
        <f t="shared" ref="B97:B160" si="9">IF(B96&gt;=$E$9,NA(),B96+1)</f>
        <v>65</v>
      </c>
      <c r="C97" s="2">
        <f t="shared" ref="C97:C160" si="10">IF(ISERROR(B97),"0",IF(J96=0,0,$E$11))</f>
        <v>0</v>
      </c>
      <c r="E97" s="10">
        <f t="shared" ref="E97:E160" si="11">C97+D97</f>
        <v>0</v>
      </c>
      <c r="F97" s="2">
        <f t="shared" ref="F97:F160" si="12">IF(ISERROR(B97),0,$E$8*J96)</f>
        <v>0</v>
      </c>
      <c r="G97" s="2">
        <f>IF(ISERROR(B97),"-",IF(J96=0,0,SUM($F$33:F97)))</f>
        <v>0</v>
      </c>
      <c r="H97" s="2">
        <f t="shared" si="7"/>
        <v>0</v>
      </c>
      <c r="I97" s="2">
        <f>IF(ISERROR($B97),"-",IF(J96=0,0,SUM($H$33:H97)))</f>
        <v>0</v>
      </c>
      <c r="J97" s="2">
        <f t="shared" ref="J97:J160" si="13">IF(ISERROR($B97),"-",IF(J96-H97&lt;0,0,J96-H97))</f>
        <v>0</v>
      </c>
      <c r="K97" s="2">
        <f t="shared" ref="K97:K160" si="14">IF(ISERROR(B97),"-",J96-H97)</f>
        <v>0</v>
      </c>
      <c r="L97" s="2">
        <f t="shared" ref="L97:L160" si="15">IF(K97&gt;=0,E97,E97+K97)</f>
        <v>0</v>
      </c>
      <c r="M97" s="2">
        <f t="shared" ref="M97:M160" si="16">-IF(K97&lt;0,K97,0)</f>
        <v>0</v>
      </c>
      <c r="O97" s="2">
        <f>IF('Batt IN'!$N$18="Yes",BattLoan!F97*'Batt IN'!$E$7,0)</f>
        <v>0</v>
      </c>
    </row>
    <row r="98" spans="1:15" x14ac:dyDescent="0.25">
      <c r="B98">
        <f t="shared" si="9"/>
        <v>66</v>
      </c>
      <c r="C98" s="2">
        <f t="shared" si="10"/>
        <v>0</v>
      </c>
      <c r="E98" s="10">
        <f t="shared" si="11"/>
        <v>0</v>
      </c>
      <c r="F98" s="2">
        <f t="shared" si="12"/>
        <v>0</v>
      </c>
      <c r="G98" s="2">
        <f>IF(ISERROR(B98),"-",IF(J97=0,0,SUM($F$33:F98)))</f>
        <v>0</v>
      </c>
      <c r="H98" s="2">
        <f t="shared" ref="H98:H161" si="17">IF(ISERROR($B98),0,IF(J97=0,0,E98-F98))</f>
        <v>0</v>
      </c>
      <c r="I98" s="2">
        <f>IF(ISERROR($B98),"-",IF(J97=0,0,SUM($H$33:H98)))</f>
        <v>0</v>
      </c>
      <c r="J98" s="2">
        <f t="shared" si="13"/>
        <v>0</v>
      </c>
      <c r="K98" s="2">
        <f t="shared" si="14"/>
        <v>0</v>
      </c>
      <c r="L98" s="2">
        <f t="shared" si="15"/>
        <v>0</v>
      </c>
      <c r="M98" s="2">
        <f t="shared" si="16"/>
        <v>0</v>
      </c>
      <c r="O98" s="2">
        <f>IF('Batt IN'!$N$18="Yes",BattLoan!F98*'Batt IN'!$E$7,0)</f>
        <v>0</v>
      </c>
    </row>
    <row r="99" spans="1:15" x14ac:dyDescent="0.25">
      <c r="B99">
        <f t="shared" si="9"/>
        <v>67</v>
      </c>
      <c r="C99" s="2">
        <f t="shared" si="10"/>
        <v>0</v>
      </c>
      <c r="E99" s="10">
        <f t="shared" si="11"/>
        <v>0</v>
      </c>
      <c r="F99" s="2">
        <f t="shared" si="12"/>
        <v>0</v>
      </c>
      <c r="G99" s="2">
        <f>IF(ISERROR(B99),"-",IF(J98=0,0,SUM($F$33:F99)))</f>
        <v>0</v>
      </c>
      <c r="H99" s="2">
        <f t="shared" si="17"/>
        <v>0</v>
      </c>
      <c r="I99" s="2">
        <f>IF(ISERROR($B99),"-",IF(J98=0,0,SUM($H$33:H99)))</f>
        <v>0</v>
      </c>
      <c r="J99" s="2">
        <f t="shared" si="13"/>
        <v>0</v>
      </c>
      <c r="K99" s="2">
        <f t="shared" si="14"/>
        <v>0</v>
      </c>
      <c r="L99" s="2">
        <f t="shared" si="15"/>
        <v>0</v>
      </c>
      <c r="M99" s="2">
        <f t="shared" si="16"/>
        <v>0</v>
      </c>
      <c r="O99" s="2">
        <f>IF('Batt IN'!$N$18="Yes",BattLoan!F99*'Batt IN'!$E$7,0)</f>
        <v>0</v>
      </c>
    </row>
    <row r="100" spans="1:15" x14ac:dyDescent="0.25">
      <c r="B100">
        <f t="shared" si="9"/>
        <v>68</v>
      </c>
      <c r="C100" s="2">
        <f t="shared" si="10"/>
        <v>0</v>
      </c>
      <c r="E100" s="10">
        <f t="shared" si="11"/>
        <v>0</v>
      </c>
      <c r="F100" s="2">
        <f t="shared" si="12"/>
        <v>0</v>
      </c>
      <c r="G100" s="2">
        <f>IF(ISERROR(B100),"-",IF(J99=0,0,SUM($F$33:F100)))</f>
        <v>0</v>
      </c>
      <c r="H100" s="2">
        <f t="shared" si="17"/>
        <v>0</v>
      </c>
      <c r="I100" s="2">
        <f>IF(ISERROR($B100),"-",IF(J99=0,0,SUM($H$33:H100)))</f>
        <v>0</v>
      </c>
      <c r="J100" s="2">
        <f t="shared" si="13"/>
        <v>0</v>
      </c>
      <c r="K100" s="2">
        <f t="shared" si="14"/>
        <v>0</v>
      </c>
      <c r="L100" s="2">
        <f t="shared" si="15"/>
        <v>0</v>
      </c>
      <c r="M100" s="2">
        <f t="shared" si="16"/>
        <v>0</v>
      </c>
      <c r="O100" s="2">
        <f>IF('Batt IN'!$N$18="Yes",BattLoan!F100*'Batt IN'!$E$7,0)</f>
        <v>0</v>
      </c>
    </row>
    <row r="101" spans="1:15" x14ac:dyDescent="0.25">
      <c r="B101">
        <f t="shared" si="9"/>
        <v>69</v>
      </c>
      <c r="C101" s="2">
        <f t="shared" si="10"/>
        <v>0</v>
      </c>
      <c r="E101" s="10">
        <f t="shared" si="11"/>
        <v>0</v>
      </c>
      <c r="F101" s="2">
        <f t="shared" si="12"/>
        <v>0</v>
      </c>
      <c r="G101" s="2">
        <f>IF(ISERROR(B101),"-",IF(J100=0,0,SUM($F$33:F101)))</f>
        <v>0</v>
      </c>
      <c r="H101" s="2">
        <f t="shared" si="17"/>
        <v>0</v>
      </c>
      <c r="I101" s="2">
        <f>IF(ISERROR($B101),"-",IF(J100=0,0,SUM($H$33:H101)))</f>
        <v>0</v>
      </c>
      <c r="J101" s="2">
        <f t="shared" si="13"/>
        <v>0</v>
      </c>
      <c r="K101" s="2">
        <f t="shared" si="14"/>
        <v>0</v>
      </c>
      <c r="L101" s="2">
        <f t="shared" si="15"/>
        <v>0</v>
      </c>
      <c r="M101" s="2">
        <f t="shared" si="16"/>
        <v>0</v>
      </c>
      <c r="O101" s="2">
        <f>IF('Batt IN'!$N$18="Yes",BattLoan!F101*'Batt IN'!$E$7,0)</f>
        <v>0</v>
      </c>
    </row>
    <row r="102" spans="1:15" x14ac:dyDescent="0.25">
      <c r="B102">
        <f t="shared" si="9"/>
        <v>70</v>
      </c>
      <c r="C102" s="2">
        <f t="shared" si="10"/>
        <v>0</v>
      </c>
      <c r="E102" s="10">
        <f t="shared" si="11"/>
        <v>0</v>
      </c>
      <c r="F102" s="2">
        <f t="shared" si="12"/>
        <v>0</v>
      </c>
      <c r="G102" s="2">
        <f>IF(ISERROR(B102),"-",IF(J101=0,0,SUM($F$33:F102)))</f>
        <v>0</v>
      </c>
      <c r="H102" s="2">
        <f t="shared" si="17"/>
        <v>0</v>
      </c>
      <c r="I102" s="2">
        <f>IF(ISERROR($B102),"-",IF(J101=0,0,SUM($H$33:H102)))</f>
        <v>0</v>
      </c>
      <c r="J102" s="2">
        <f t="shared" si="13"/>
        <v>0</v>
      </c>
      <c r="K102" s="2">
        <f t="shared" si="14"/>
        <v>0</v>
      </c>
      <c r="L102" s="2">
        <f t="shared" si="15"/>
        <v>0</v>
      </c>
      <c r="M102" s="2">
        <f t="shared" si="16"/>
        <v>0</v>
      </c>
      <c r="O102" s="2">
        <f>IF('Batt IN'!$N$18="Yes",BattLoan!F102*'Batt IN'!$E$7,0)</f>
        <v>0</v>
      </c>
    </row>
    <row r="103" spans="1:15" x14ac:dyDescent="0.25">
      <c r="B103">
        <f t="shared" si="9"/>
        <v>71</v>
      </c>
      <c r="C103" s="2">
        <f t="shared" si="10"/>
        <v>0</v>
      </c>
      <c r="E103" s="10">
        <f t="shared" si="11"/>
        <v>0</v>
      </c>
      <c r="F103" s="2">
        <f t="shared" si="12"/>
        <v>0</v>
      </c>
      <c r="G103" s="2">
        <f>IF(ISERROR(B103),"-",IF(J102=0,0,SUM($F$33:F103)))</f>
        <v>0</v>
      </c>
      <c r="H103" s="2">
        <f t="shared" si="17"/>
        <v>0</v>
      </c>
      <c r="I103" s="2">
        <f>IF(ISERROR($B103),"-",IF(J102=0,0,SUM($H$33:H103)))</f>
        <v>0</v>
      </c>
      <c r="J103" s="2">
        <f t="shared" si="13"/>
        <v>0</v>
      </c>
      <c r="K103" s="2">
        <f t="shared" si="14"/>
        <v>0</v>
      </c>
      <c r="L103" s="2">
        <f t="shared" si="15"/>
        <v>0</v>
      </c>
      <c r="M103" s="2">
        <f t="shared" si="16"/>
        <v>0</v>
      </c>
      <c r="O103" s="2">
        <f>IF('Batt IN'!$N$18="Yes",BattLoan!F103*'Batt IN'!$E$7,0)</f>
        <v>0</v>
      </c>
    </row>
    <row r="104" spans="1:15" x14ac:dyDescent="0.25">
      <c r="A104">
        <v>6</v>
      </c>
      <c r="B104">
        <f t="shared" si="9"/>
        <v>72</v>
      </c>
      <c r="C104" s="2">
        <f t="shared" si="10"/>
        <v>0</v>
      </c>
      <c r="E104" s="10">
        <f t="shared" si="11"/>
        <v>0</v>
      </c>
      <c r="F104" s="2">
        <f t="shared" si="12"/>
        <v>0</v>
      </c>
      <c r="G104" s="2">
        <f>IF(ISERROR(B104),"-",IF(J103=0,0,SUM($F$33:F104)))</f>
        <v>0</v>
      </c>
      <c r="H104" s="2">
        <f t="shared" si="17"/>
        <v>0</v>
      </c>
      <c r="I104" s="2">
        <f>IF(ISERROR($B104),"-",IF(J103=0,0,SUM($H$33:H104)))</f>
        <v>0</v>
      </c>
      <c r="J104" s="2">
        <f t="shared" si="13"/>
        <v>0</v>
      </c>
      <c r="K104" s="2">
        <f t="shared" si="14"/>
        <v>0</v>
      </c>
      <c r="L104" s="2">
        <f t="shared" si="15"/>
        <v>0</v>
      </c>
      <c r="M104" s="2">
        <f t="shared" si="16"/>
        <v>0</v>
      </c>
      <c r="O104" s="2">
        <f>IF('Batt IN'!$N$18="Yes",BattLoan!F104*'Batt IN'!$E$7,0)</f>
        <v>0</v>
      </c>
    </row>
    <row r="105" spans="1:15" x14ac:dyDescent="0.25">
      <c r="B105">
        <f t="shared" si="9"/>
        <v>73</v>
      </c>
      <c r="C105" s="2">
        <f t="shared" si="10"/>
        <v>0</v>
      </c>
      <c r="E105" s="10">
        <f t="shared" si="11"/>
        <v>0</v>
      </c>
      <c r="F105" s="2">
        <f t="shared" si="12"/>
        <v>0</v>
      </c>
      <c r="G105" s="2">
        <f>IF(ISERROR(B105),"-",IF(J104=0,0,SUM($F$33:F105)))</f>
        <v>0</v>
      </c>
      <c r="H105" s="2">
        <f t="shared" si="17"/>
        <v>0</v>
      </c>
      <c r="I105" s="2">
        <f>IF(ISERROR($B105),"-",IF(J104=0,0,SUM($H$33:H105)))</f>
        <v>0</v>
      </c>
      <c r="J105" s="2">
        <f t="shared" si="13"/>
        <v>0</v>
      </c>
      <c r="K105" s="2">
        <f t="shared" si="14"/>
        <v>0</v>
      </c>
      <c r="L105" s="2">
        <f t="shared" si="15"/>
        <v>0</v>
      </c>
      <c r="M105" s="2">
        <f t="shared" si="16"/>
        <v>0</v>
      </c>
      <c r="O105" s="2">
        <f>IF('Batt IN'!$N$18="Yes",BattLoan!F105*'Batt IN'!$E$7,0)</f>
        <v>0</v>
      </c>
    </row>
    <row r="106" spans="1:15" x14ac:dyDescent="0.25">
      <c r="B106">
        <f t="shared" si="9"/>
        <v>74</v>
      </c>
      <c r="C106" s="2">
        <f t="shared" si="10"/>
        <v>0</v>
      </c>
      <c r="E106" s="10">
        <f t="shared" si="11"/>
        <v>0</v>
      </c>
      <c r="F106" s="2">
        <f t="shared" si="12"/>
        <v>0</v>
      </c>
      <c r="G106" s="2">
        <f>IF(ISERROR(B106),"-",IF(J105=0,0,SUM($F$33:F106)))</f>
        <v>0</v>
      </c>
      <c r="H106" s="2">
        <f t="shared" si="17"/>
        <v>0</v>
      </c>
      <c r="I106" s="2">
        <f>IF(ISERROR($B106),"-",IF(J105=0,0,SUM($H$33:H106)))</f>
        <v>0</v>
      </c>
      <c r="J106" s="2">
        <f t="shared" si="13"/>
        <v>0</v>
      </c>
      <c r="K106" s="2">
        <f t="shared" si="14"/>
        <v>0</v>
      </c>
      <c r="L106" s="2">
        <f t="shared" si="15"/>
        <v>0</v>
      </c>
      <c r="M106" s="2">
        <f t="shared" si="16"/>
        <v>0</v>
      </c>
      <c r="O106" s="2">
        <f>IF('Batt IN'!$N$18="Yes",BattLoan!F106*'Batt IN'!$E$7,0)</f>
        <v>0</v>
      </c>
    </row>
    <row r="107" spans="1:15" x14ac:dyDescent="0.25">
      <c r="B107">
        <f t="shared" si="9"/>
        <v>75</v>
      </c>
      <c r="C107" s="2">
        <f t="shared" si="10"/>
        <v>0</v>
      </c>
      <c r="E107" s="10">
        <f t="shared" si="11"/>
        <v>0</v>
      </c>
      <c r="F107" s="2">
        <f t="shared" si="12"/>
        <v>0</v>
      </c>
      <c r="G107" s="2">
        <f>IF(ISERROR(B107),"-",IF(J106=0,0,SUM($F$33:F107)))</f>
        <v>0</v>
      </c>
      <c r="H107" s="2">
        <f t="shared" si="17"/>
        <v>0</v>
      </c>
      <c r="I107" s="2">
        <f>IF(ISERROR($B107),"-",IF(J106=0,0,SUM($H$33:H107)))</f>
        <v>0</v>
      </c>
      <c r="J107" s="2">
        <f t="shared" si="13"/>
        <v>0</v>
      </c>
      <c r="K107" s="2">
        <f t="shared" si="14"/>
        <v>0</v>
      </c>
      <c r="L107" s="2">
        <f t="shared" si="15"/>
        <v>0</v>
      </c>
      <c r="M107" s="2">
        <f t="shared" si="16"/>
        <v>0</v>
      </c>
      <c r="O107" s="2">
        <f>IF('Batt IN'!$N$18="Yes",BattLoan!F107*'Batt IN'!$E$7,0)</f>
        <v>0</v>
      </c>
    </row>
    <row r="108" spans="1:15" x14ac:dyDescent="0.25">
      <c r="B108">
        <f t="shared" si="9"/>
        <v>76</v>
      </c>
      <c r="C108" s="2">
        <f t="shared" si="10"/>
        <v>0</v>
      </c>
      <c r="E108" s="10">
        <f t="shared" si="11"/>
        <v>0</v>
      </c>
      <c r="F108" s="2">
        <f t="shared" si="12"/>
        <v>0</v>
      </c>
      <c r="G108" s="2">
        <f>IF(ISERROR(B108),"-",IF(J107=0,0,SUM($F$33:F108)))</f>
        <v>0</v>
      </c>
      <c r="H108" s="2">
        <f t="shared" si="17"/>
        <v>0</v>
      </c>
      <c r="I108" s="2">
        <f>IF(ISERROR($B108),"-",IF(J107=0,0,SUM($H$33:H108)))</f>
        <v>0</v>
      </c>
      <c r="J108" s="2">
        <f t="shared" si="13"/>
        <v>0</v>
      </c>
      <c r="K108" s="2">
        <f t="shared" si="14"/>
        <v>0</v>
      </c>
      <c r="L108" s="2">
        <f t="shared" si="15"/>
        <v>0</v>
      </c>
      <c r="M108" s="2">
        <f t="shared" si="16"/>
        <v>0</v>
      </c>
      <c r="O108" s="2">
        <f>IF('Batt IN'!$N$18="Yes",BattLoan!F108*'Batt IN'!$E$7,0)</f>
        <v>0</v>
      </c>
    </row>
    <row r="109" spans="1:15" x14ac:dyDescent="0.25">
      <c r="B109">
        <f t="shared" si="9"/>
        <v>77</v>
      </c>
      <c r="C109" s="2">
        <f t="shared" si="10"/>
        <v>0</v>
      </c>
      <c r="E109" s="10">
        <f t="shared" si="11"/>
        <v>0</v>
      </c>
      <c r="F109" s="2">
        <f t="shared" si="12"/>
        <v>0</v>
      </c>
      <c r="G109" s="2">
        <f>IF(ISERROR(B109),"-",IF(J108=0,0,SUM($F$33:F109)))</f>
        <v>0</v>
      </c>
      <c r="H109" s="2">
        <f t="shared" si="17"/>
        <v>0</v>
      </c>
      <c r="I109" s="2">
        <f>IF(ISERROR($B109),"-",IF(J108=0,0,SUM($H$33:H109)))</f>
        <v>0</v>
      </c>
      <c r="J109" s="2">
        <f t="shared" si="13"/>
        <v>0</v>
      </c>
      <c r="K109" s="2">
        <f t="shared" si="14"/>
        <v>0</v>
      </c>
      <c r="L109" s="2">
        <f t="shared" si="15"/>
        <v>0</v>
      </c>
      <c r="M109" s="2">
        <f t="shared" si="16"/>
        <v>0</v>
      </c>
      <c r="O109" s="2">
        <f>IF('Batt IN'!$N$18="Yes",BattLoan!F109*'Batt IN'!$E$7,0)</f>
        <v>0</v>
      </c>
    </row>
    <row r="110" spans="1:15" x14ac:dyDescent="0.25">
      <c r="B110">
        <f t="shared" si="9"/>
        <v>78</v>
      </c>
      <c r="C110" s="2">
        <f t="shared" si="10"/>
        <v>0</v>
      </c>
      <c r="E110" s="10">
        <f t="shared" si="11"/>
        <v>0</v>
      </c>
      <c r="F110" s="2">
        <f t="shared" si="12"/>
        <v>0</v>
      </c>
      <c r="G110" s="2">
        <f>IF(ISERROR(B110),"-",IF(J109=0,0,SUM($F$33:F110)))</f>
        <v>0</v>
      </c>
      <c r="H110" s="2">
        <f t="shared" si="17"/>
        <v>0</v>
      </c>
      <c r="I110" s="2">
        <f>IF(ISERROR($B110),"-",IF(J109=0,0,SUM($H$33:H110)))</f>
        <v>0</v>
      </c>
      <c r="J110" s="2">
        <f t="shared" si="13"/>
        <v>0</v>
      </c>
      <c r="K110" s="2">
        <f t="shared" si="14"/>
        <v>0</v>
      </c>
      <c r="L110" s="2">
        <f t="shared" si="15"/>
        <v>0</v>
      </c>
      <c r="M110" s="2">
        <f t="shared" si="16"/>
        <v>0</v>
      </c>
      <c r="O110" s="2">
        <f>IF('Batt IN'!$N$18="Yes",BattLoan!F110*'Batt IN'!$E$7,0)</f>
        <v>0</v>
      </c>
    </row>
    <row r="111" spans="1:15" x14ac:dyDescent="0.25">
      <c r="B111">
        <f t="shared" si="9"/>
        <v>79</v>
      </c>
      <c r="C111" s="2">
        <f t="shared" si="10"/>
        <v>0</v>
      </c>
      <c r="E111" s="10">
        <f t="shared" si="11"/>
        <v>0</v>
      </c>
      <c r="F111" s="2">
        <f t="shared" si="12"/>
        <v>0</v>
      </c>
      <c r="G111" s="2">
        <f>IF(ISERROR(B111),"-",IF(J110=0,0,SUM($F$33:F111)))</f>
        <v>0</v>
      </c>
      <c r="H111" s="2">
        <f t="shared" si="17"/>
        <v>0</v>
      </c>
      <c r="I111" s="2">
        <f>IF(ISERROR($B111),"-",IF(J110=0,0,SUM($H$33:H111)))</f>
        <v>0</v>
      </c>
      <c r="J111" s="2">
        <f t="shared" si="13"/>
        <v>0</v>
      </c>
      <c r="K111" s="2">
        <f t="shared" si="14"/>
        <v>0</v>
      </c>
      <c r="L111" s="2">
        <f t="shared" si="15"/>
        <v>0</v>
      </c>
      <c r="M111" s="2">
        <f t="shared" si="16"/>
        <v>0</v>
      </c>
      <c r="O111" s="2">
        <f>IF('Batt IN'!$N$18="Yes",BattLoan!F111*'Batt IN'!$E$7,0)</f>
        <v>0</v>
      </c>
    </row>
    <row r="112" spans="1:15" x14ac:dyDescent="0.25">
      <c r="B112">
        <f t="shared" si="9"/>
        <v>80</v>
      </c>
      <c r="C112" s="2">
        <f t="shared" si="10"/>
        <v>0</v>
      </c>
      <c r="E112" s="10">
        <f t="shared" si="11"/>
        <v>0</v>
      </c>
      <c r="F112" s="2">
        <f t="shared" si="12"/>
        <v>0</v>
      </c>
      <c r="G112" s="2">
        <f>IF(ISERROR(B112),"-",IF(J111=0,0,SUM($F$33:F112)))</f>
        <v>0</v>
      </c>
      <c r="H112" s="2">
        <f t="shared" si="17"/>
        <v>0</v>
      </c>
      <c r="I112" s="2">
        <f>IF(ISERROR($B112),"-",IF(J111=0,0,SUM($H$33:H112)))</f>
        <v>0</v>
      </c>
      <c r="J112" s="2">
        <f t="shared" si="13"/>
        <v>0</v>
      </c>
      <c r="K112" s="2">
        <f t="shared" si="14"/>
        <v>0</v>
      </c>
      <c r="L112" s="2">
        <f t="shared" si="15"/>
        <v>0</v>
      </c>
      <c r="M112" s="2">
        <f t="shared" si="16"/>
        <v>0</v>
      </c>
      <c r="O112" s="2">
        <f>IF('Batt IN'!$N$18="Yes",BattLoan!F112*'Batt IN'!$E$7,0)</f>
        <v>0</v>
      </c>
    </row>
    <row r="113" spans="1:15" x14ac:dyDescent="0.25">
      <c r="B113">
        <f t="shared" si="9"/>
        <v>81</v>
      </c>
      <c r="C113" s="2">
        <f t="shared" si="10"/>
        <v>0</v>
      </c>
      <c r="E113" s="10">
        <f t="shared" si="11"/>
        <v>0</v>
      </c>
      <c r="F113" s="2">
        <f t="shared" si="12"/>
        <v>0</v>
      </c>
      <c r="G113" s="2">
        <f>IF(ISERROR(B113),"-",IF(J112=0,0,SUM($F$33:F113)))</f>
        <v>0</v>
      </c>
      <c r="H113" s="2">
        <f t="shared" si="17"/>
        <v>0</v>
      </c>
      <c r="I113" s="2">
        <f>IF(ISERROR($B113),"-",IF(J112=0,0,SUM($H$33:H113)))</f>
        <v>0</v>
      </c>
      <c r="J113" s="2">
        <f t="shared" si="13"/>
        <v>0</v>
      </c>
      <c r="K113" s="2">
        <f t="shared" si="14"/>
        <v>0</v>
      </c>
      <c r="L113" s="2">
        <f t="shared" si="15"/>
        <v>0</v>
      </c>
      <c r="M113" s="2">
        <f t="shared" si="16"/>
        <v>0</v>
      </c>
      <c r="O113" s="2">
        <f>IF('Batt IN'!$N$18="Yes",BattLoan!F113*'Batt IN'!$E$7,0)</f>
        <v>0</v>
      </c>
    </row>
    <row r="114" spans="1:15" x14ac:dyDescent="0.25">
      <c r="B114">
        <f t="shared" si="9"/>
        <v>82</v>
      </c>
      <c r="C114" s="2">
        <f t="shared" si="10"/>
        <v>0</v>
      </c>
      <c r="E114" s="10">
        <f t="shared" si="11"/>
        <v>0</v>
      </c>
      <c r="F114" s="2">
        <f t="shared" si="12"/>
        <v>0</v>
      </c>
      <c r="G114" s="2">
        <f>IF(ISERROR(B114),"-",IF(J113=0,0,SUM($F$33:F114)))</f>
        <v>0</v>
      </c>
      <c r="H114" s="2">
        <f t="shared" si="17"/>
        <v>0</v>
      </c>
      <c r="I114" s="2">
        <f>IF(ISERROR($B114),"-",IF(J113=0,0,SUM($H$33:H114)))</f>
        <v>0</v>
      </c>
      <c r="J114" s="2">
        <f t="shared" si="13"/>
        <v>0</v>
      </c>
      <c r="K114" s="2">
        <f t="shared" si="14"/>
        <v>0</v>
      </c>
      <c r="L114" s="2">
        <f t="shared" si="15"/>
        <v>0</v>
      </c>
      <c r="M114" s="2">
        <f t="shared" si="16"/>
        <v>0</v>
      </c>
      <c r="O114" s="2">
        <f>IF('Batt IN'!$N$18="Yes",BattLoan!F114*'Batt IN'!$E$7,0)</f>
        <v>0</v>
      </c>
    </row>
    <row r="115" spans="1:15" x14ac:dyDescent="0.25">
      <c r="B115">
        <f t="shared" si="9"/>
        <v>83</v>
      </c>
      <c r="C115" s="2">
        <f t="shared" si="10"/>
        <v>0</v>
      </c>
      <c r="E115" s="10">
        <f t="shared" si="11"/>
        <v>0</v>
      </c>
      <c r="F115" s="2">
        <f t="shared" si="12"/>
        <v>0</v>
      </c>
      <c r="G115" s="2">
        <f>IF(ISERROR(B115),"-",IF(J114=0,0,SUM($F$33:F115)))</f>
        <v>0</v>
      </c>
      <c r="H115" s="2">
        <f t="shared" si="17"/>
        <v>0</v>
      </c>
      <c r="I115" s="2">
        <f>IF(ISERROR($B115),"-",IF(J114=0,0,SUM($H$33:H115)))</f>
        <v>0</v>
      </c>
      <c r="J115" s="2">
        <f t="shared" si="13"/>
        <v>0</v>
      </c>
      <c r="K115" s="2">
        <f t="shared" si="14"/>
        <v>0</v>
      </c>
      <c r="L115" s="2">
        <f t="shared" si="15"/>
        <v>0</v>
      </c>
      <c r="M115" s="2">
        <f t="shared" si="16"/>
        <v>0</v>
      </c>
      <c r="O115" s="2">
        <f>IF('Batt IN'!$N$18="Yes",BattLoan!F115*'Batt IN'!$E$7,0)</f>
        <v>0</v>
      </c>
    </row>
    <row r="116" spans="1:15" x14ac:dyDescent="0.25">
      <c r="A116">
        <v>7</v>
      </c>
      <c r="B116">
        <f t="shared" si="9"/>
        <v>84</v>
      </c>
      <c r="C116" s="2">
        <f t="shared" si="10"/>
        <v>0</v>
      </c>
      <c r="E116" s="10">
        <f t="shared" si="11"/>
        <v>0</v>
      </c>
      <c r="F116" s="2">
        <f t="shared" si="12"/>
        <v>0</v>
      </c>
      <c r="G116" s="2">
        <f>IF(ISERROR(B116),"-",IF(J115=0,0,SUM($F$33:F116)))</f>
        <v>0</v>
      </c>
      <c r="H116" s="2">
        <f t="shared" si="17"/>
        <v>0</v>
      </c>
      <c r="I116" s="2">
        <f>IF(ISERROR($B116),"-",IF(J115=0,0,SUM($H$33:H116)))</f>
        <v>0</v>
      </c>
      <c r="J116" s="2">
        <f t="shared" si="13"/>
        <v>0</v>
      </c>
      <c r="K116" s="2">
        <f t="shared" si="14"/>
        <v>0</v>
      </c>
      <c r="L116" s="2">
        <f t="shared" si="15"/>
        <v>0</v>
      </c>
      <c r="M116" s="2">
        <f t="shared" si="16"/>
        <v>0</v>
      </c>
      <c r="O116" s="2">
        <f>IF('Batt IN'!$N$18="Yes",BattLoan!F116*'Batt IN'!$E$7,0)</f>
        <v>0</v>
      </c>
    </row>
    <row r="117" spans="1:15" x14ac:dyDescent="0.25">
      <c r="B117">
        <f t="shared" si="9"/>
        <v>85</v>
      </c>
      <c r="C117" s="2">
        <f t="shared" si="10"/>
        <v>0</v>
      </c>
      <c r="E117" s="10">
        <f t="shared" si="11"/>
        <v>0</v>
      </c>
      <c r="F117" s="2">
        <f t="shared" si="12"/>
        <v>0</v>
      </c>
      <c r="G117" s="2">
        <f>IF(ISERROR(B117),"-",IF(J116=0,0,SUM($F$33:F117)))</f>
        <v>0</v>
      </c>
      <c r="H117" s="2">
        <f t="shared" si="17"/>
        <v>0</v>
      </c>
      <c r="I117" s="2">
        <f>IF(ISERROR($B117),"-",IF(J116=0,0,SUM($H$33:H117)))</f>
        <v>0</v>
      </c>
      <c r="J117" s="2">
        <f t="shared" si="13"/>
        <v>0</v>
      </c>
      <c r="K117" s="2">
        <f t="shared" si="14"/>
        <v>0</v>
      </c>
      <c r="L117" s="2">
        <f t="shared" si="15"/>
        <v>0</v>
      </c>
      <c r="M117" s="2">
        <f t="shared" si="16"/>
        <v>0</v>
      </c>
      <c r="O117" s="2">
        <f>IF('Batt IN'!$N$18="Yes",BattLoan!F117*'Batt IN'!$E$7,0)</f>
        <v>0</v>
      </c>
    </row>
    <row r="118" spans="1:15" x14ac:dyDescent="0.25">
      <c r="B118">
        <f t="shared" si="9"/>
        <v>86</v>
      </c>
      <c r="C118" s="2">
        <f t="shared" si="10"/>
        <v>0</v>
      </c>
      <c r="E118" s="10">
        <f t="shared" si="11"/>
        <v>0</v>
      </c>
      <c r="F118" s="2">
        <f t="shared" si="12"/>
        <v>0</v>
      </c>
      <c r="G118" s="2">
        <f>IF(ISERROR(B118),"-",IF(J117=0,0,SUM($F$33:F118)))</f>
        <v>0</v>
      </c>
      <c r="H118" s="2">
        <f t="shared" si="17"/>
        <v>0</v>
      </c>
      <c r="I118" s="2">
        <f>IF(ISERROR($B118),"-",IF(J117=0,0,SUM($H$33:H118)))</f>
        <v>0</v>
      </c>
      <c r="J118" s="2">
        <f t="shared" si="13"/>
        <v>0</v>
      </c>
      <c r="K118" s="2">
        <f t="shared" si="14"/>
        <v>0</v>
      </c>
      <c r="L118" s="2">
        <f t="shared" si="15"/>
        <v>0</v>
      </c>
      <c r="M118" s="2">
        <f t="shared" si="16"/>
        <v>0</v>
      </c>
      <c r="O118" s="2">
        <f>IF('Batt IN'!$N$18="Yes",BattLoan!F118*'Batt IN'!$E$7,0)</f>
        <v>0</v>
      </c>
    </row>
    <row r="119" spans="1:15" x14ac:dyDescent="0.25">
      <c r="B119">
        <f t="shared" si="9"/>
        <v>87</v>
      </c>
      <c r="C119" s="2">
        <f t="shared" si="10"/>
        <v>0</v>
      </c>
      <c r="E119" s="10">
        <f t="shared" si="11"/>
        <v>0</v>
      </c>
      <c r="F119" s="2">
        <f t="shared" si="12"/>
        <v>0</v>
      </c>
      <c r="G119" s="2">
        <f>IF(ISERROR(B119),"-",IF(J118=0,0,SUM($F$33:F119)))</f>
        <v>0</v>
      </c>
      <c r="H119" s="2">
        <f t="shared" si="17"/>
        <v>0</v>
      </c>
      <c r="I119" s="2">
        <f>IF(ISERROR($B119),"-",IF(J118=0,0,SUM($H$33:H119)))</f>
        <v>0</v>
      </c>
      <c r="J119" s="2">
        <f t="shared" si="13"/>
        <v>0</v>
      </c>
      <c r="K119" s="2">
        <f t="shared" si="14"/>
        <v>0</v>
      </c>
      <c r="L119" s="2">
        <f t="shared" si="15"/>
        <v>0</v>
      </c>
      <c r="M119" s="2">
        <f t="shared" si="16"/>
        <v>0</v>
      </c>
      <c r="O119" s="2">
        <f>IF('Batt IN'!$N$18="Yes",BattLoan!F119*'Batt IN'!$E$7,0)</f>
        <v>0</v>
      </c>
    </row>
    <row r="120" spans="1:15" x14ac:dyDescent="0.25">
      <c r="B120">
        <f t="shared" si="9"/>
        <v>88</v>
      </c>
      <c r="C120" s="2">
        <f t="shared" si="10"/>
        <v>0</v>
      </c>
      <c r="E120" s="10">
        <f t="shared" si="11"/>
        <v>0</v>
      </c>
      <c r="F120" s="2">
        <f t="shared" si="12"/>
        <v>0</v>
      </c>
      <c r="G120" s="2">
        <f>IF(ISERROR(B120),"-",IF(J119=0,0,SUM($F$33:F120)))</f>
        <v>0</v>
      </c>
      <c r="H120" s="2">
        <f t="shared" si="17"/>
        <v>0</v>
      </c>
      <c r="I120" s="2">
        <f>IF(ISERROR($B120),"-",IF(J119=0,0,SUM($H$33:H120)))</f>
        <v>0</v>
      </c>
      <c r="J120" s="2">
        <f t="shared" si="13"/>
        <v>0</v>
      </c>
      <c r="K120" s="2">
        <f t="shared" si="14"/>
        <v>0</v>
      </c>
      <c r="L120" s="2">
        <f t="shared" si="15"/>
        <v>0</v>
      </c>
      <c r="M120" s="2">
        <f t="shared" si="16"/>
        <v>0</v>
      </c>
      <c r="O120" s="2">
        <f>IF('Batt IN'!$N$18="Yes",BattLoan!F120*'Batt IN'!$E$7,0)</f>
        <v>0</v>
      </c>
    </row>
    <row r="121" spans="1:15" x14ac:dyDescent="0.25">
      <c r="B121">
        <f t="shared" si="9"/>
        <v>89</v>
      </c>
      <c r="C121" s="2">
        <f t="shared" si="10"/>
        <v>0</v>
      </c>
      <c r="E121" s="10">
        <f t="shared" si="11"/>
        <v>0</v>
      </c>
      <c r="F121" s="2">
        <f t="shared" si="12"/>
        <v>0</v>
      </c>
      <c r="G121" s="2">
        <f>IF(ISERROR(B121),"-",IF(J120=0,0,SUM($F$33:F121)))</f>
        <v>0</v>
      </c>
      <c r="H121" s="2">
        <f t="shared" si="17"/>
        <v>0</v>
      </c>
      <c r="I121" s="2">
        <f>IF(ISERROR($B121),"-",IF(J120=0,0,SUM($H$33:H121)))</f>
        <v>0</v>
      </c>
      <c r="J121" s="2">
        <f t="shared" si="13"/>
        <v>0</v>
      </c>
      <c r="K121" s="2">
        <f t="shared" si="14"/>
        <v>0</v>
      </c>
      <c r="L121" s="2">
        <f t="shared" si="15"/>
        <v>0</v>
      </c>
      <c r="M121" s="2">
        <f t="shared" si="16"/>
        <v>0</v>
      </c>
      <c r="O121" s="2">
        <f>IF('Batt IN'!$N$18="Yes",BattLoan!F121*'Batt IN'!$E$7,0)</f>
        <v>0</v>
      </c>
    </row>
    <row r="122" spans="1:15" x14ac:dyDescent="0.25">
      <c r="B122">
        <f t="shared" si="9"/>
        <v>90</v>
      </c>
      <c r="C122" s="2">
        <f t="shared" si="10"/>
        <v>0</v>
      </c>
      <c r="E122" s="10">
        <f t="shared" si="11"/>
        <v>0</v>
      </c>
      <c r="F122" s="2">
        <f t="shared" si="12"/>
        <v>0</v>
      </c>
      <c r="G122" s="2">
        <f>IF(ISERROR(B122),"-",IF(J121=0,0,SUM($F$33:F122)))</f>
        <v>0</v>
      </c>
      <c r="H122" s="2">
        <f t="shared" si="17"/>
        <v>0</v>
      </c>
      <c r="I122" s="2">
        <f>IF(ISERROR($B122),"-",IF(J121=0,0,SUM($H$33:H122)))</f>
        <v>0</v>
      </c>
      <c r="J122" s="2">
        <f t="shared" si="13"/>
        <v>0</v>
      </c>
      <c r="K122" s="2">
        <f t="shared" si="14"/>
        <v>0</v>
      </c>
      <c r="L122" s="2">
        <f t="shared" si="15"/>
        <v>0</v>
      </c>
      <c r="M122" s="2">
        <f t="shared" si="16"/>
        <v>0</v>
      </c>
      <c r="O122" s="2">
        <f>IF('Batt IN'!$N$18="Yes",BattLoan!F122*'Batt IN'!$E$7,0)</f>
        <v>0</v>
      </c>
    </row>
    <row r="123" spans="1:15" x14ac:dyDescent="0.25">
      <c r="B123">
        <f t="shared" si="9"/>
        <v>91</v>
      </c>
      <c r="C123" s="2">
        <f t="shared" si="10"/>
        <v>0</v>
      </c>
      <c r="E123" s="10">
        <f t="shared" si="11"/>
        <v>0</v>
      </c>
      <c r="F123" s="2">
        <f t="shared" si="12"/>
        <v>0</v>
      </c>
      <c r="G123" s="2">
        <f>IF(ISERROR(B123),"-",IF(J122=0,0,SUM($F$33:F123)))</f>
        <v>0</v>
      </c>
      <c r="H123" s="2">
        <f t="shared" si="17"/>
        <v>0</v>
      </c>
      <c r="I123" s="2">
        <f>IF(ISERROR($B123),"-",IF(J122=0,0,SUM($H$33:H123)))</f>
        <v>0</v>
      </c>
      <c r="J123" s="2">
        <f t="shared" si="13"/>
        <v>0</v>
      </c>
      <c r="K123" s="2">
        <f t="shared" si="14"/>
        <v>0</v>
      </c>
      <c r="L123" s="2">
        <f t="shared" si="15"/>
        <v>0</v>
      </c>
      <c r="M123" s="2">
        <f t="shared" si="16"/>
        <v>0</v>
      </c>
      <c r="O123" s="2">
        <f>IF('Batt IN'!$N$18="Yes",BattLoan!F123*'Batt IN'!$E$7,0)</f>
        <v>0</v>
      </c>
    </row>
    <row r="124" spans="1:15" x14ac:dyDescent="0.25">
      <c r="B124">
        <f t="shared" si="9"/>
        <v>92</v>
      </c>
      <c r="C124" s="2">
        <f t="shared" si="10"/>
        <v>0</v>
      </c>
      <c r="E124" s="10">
        <f t="shared" si="11"/>
        <v>0</v>
      </c>
      <c r="F124" s="2">
        <f t="shared" si="12"/>
        <v>0</v>
      </c>
      <c r="G124" s="2">
        <f>IF(ISERROR(B124),"-",IF(J123=0,0,SUM($F$33:F124)))</f>
        <v>0</v>
      </c>
      <c r="H124" s="2">
        <f t="shared" si="17"/>
        <v>0</v>
      </c>
      <c r="I124" s="2">
        <f>IF(ISERROR($B124),"-",IF(J123=0,0,SUM($H$33:H124)))</f>
        <v>0</v>
      </c>
      <c r="J124" s="2">
        <f t="shared" si="13"/>
        <v>0</v>
      </c>
      <c r="K124" s="2">
        <f t="shared" si="14"/>
        <v>0</v>
      </c>
      <c r="L124" s="2">
        <f t="shared" si="15"/>
        <v>0</v>
      </c>
      <c r="M124" s="2">
        <f t="shared" si="16"/>
        <v>0</v>
      </c>
      <c r="O124" s="2">
        <f>IF('Batt IN'!$N$18="Yes",BattLoan!F124*'Batt IN'!$E$7,0)</f>
        <v>0</v>
      </c>
    </row>
    <row r="125" spans="1:15" x14ac:dyDescent="0.25">
      <c r="B125">
        <f t="shared" si="9"/>
        <v>93</v>
      </c>
      <c r="C125" s="2">
        <f t="shared" si="10"/>
        <v>0</v>
      </c>
      <c r="E125" s="10">
        <f t="shared" si="11"/>
        <v>0</v>
      </c>
      <c r="F125" s="2">
        <f t="shared" si="12"/>
        <v>0</v>
      </c>
      <c r="G125" s="2">
        <f>IF(ISERROR(B125),"-",IF(J124=0,0,SUM($F$33:F125)))</f>
        <v>0</v>
      </c>
      <c r="H125" s="2">
        <f t="shared" si="17"/>
        <v>0</v>
      </c>
      <c r="I125" s="2">
        <f>IF(ISERROR($B125),"-",IF(J124=0,0,SUM($H$33:H125)))</f>
        <v>0</v>
      </c>
      <c r="J125" s="2">
        <f t="shared" si="13"/>
        <v>0</v>
      </c>
      <c r="K125" s="2">
        <f t="shared" si="14"/>
        <v>0</v>
      </c>
      <c r="L125" s="2">
        <f t="shared" si="15"/>
        <v>0</v>
      </c>
      <c r="M125" s="2">
        <f t="shared" si="16"/>
        <v>0</v>
      </c>
      <c r="O125" s="2">
        <f>IF('Batt IN'!$N$18="Yes",BattLoan!F125*'Batt IN'!$E$7,0)</f>
        <v>0</v>
      </c>
    </row>
    <row r="126" spans="1:15" x14ac:dyDescent="0.25">
      <c r="B126">
        <f t="shared" si="9"/>
        <v>94</v>
      </c>
      <c r="C126" s="2">
        <f t="shared" si="10"/>
        <v>0</v>
      </c>
      <c r="E126" s="10">
        <f t="shared" si="11"/>
        <v>0</v>
      </c>
      <c r="F126" s="2">
        <f t="shared" si="12"/>
        <v>0</v>
      </c>
      <c r="G126" s="2">
        <f>IF(ISERROR(B126),"-",IF(J125=0,0,SUM($F$33:F126)))</f>
        <v>0</v>
      </c>
      <c r="H126" s="2">
        <f t="shared" si="17"/>
        <v>0</v>
      </c>
      <c r="I126" s="2">
        <f>IF(ISERROR($B126),"-",IF(J125=0,0,SUM($H$33:H126)))</f>
        <v>0</v>
      </c>
      <c r="J126" s="2">
        <f t="shared" si="13"/>
        <v>0</v>
      </c>
      <c r="K126" s="2">
        <f t="shared" si="14"/>
        <v>0</v>
      </c>
      <c r="L126" s="2">
        <f t="shared" si="15"/>
        <v>0</v>
      </c>
      <c r="M126" s="2">
        <f t="shared" si="16"/>
        <v>0</v>
      </c>
      <c r="O126" s="2">
        <f>IF('Batt IN'!$N$18="Yes",BattLoan!F126*'Batt IN'!$E$7,0)</f>
        <v>0</v>
      </c>
    </row>
    <row r="127" spans="1:15" x14ac:dyDescent="0.25">
      <c r="B127">
        <f t="shared" si="9"/>
        <v>95</v>
      </c>
      <c r="C127" s="2">
        <f t="shared" si="10"/>
        <v>0</v>
      </c>
      <c r="E127" s="10">
        <f t="shared" si="11"/>
        <v>0</v>
      </c>
      <c r="F127" s="2">
        <f t="shared" si="12"/>
        <v>0</v>
      </c>
      <c r="G127" s="2">
        <f>IF(ISERROR(B127),"-",IF(J126=0,0,SUM($F$33:F127)))</f>
        <v>0</v>
      </c>
      <c r="H127" s="2">
        <f t="shared" si="17"/>
        <v>0</v>
      </c>
      <c r="I127" s="2">
        <f>IF(ISERROR($B127),"-",IF(J126=0,0,SUM($H$33:H127)))</f>
        <v>0</v>
      </c>
      <c r="J127" s="2">
        <f t="shared" si="13"/>
        <v>0</v>
      </c>
      <c r="K127" s="2">
        <f t="shared" si="14"/>
        <v>0</v>
      </c>
      <c r="L127" s="2">
        <f t="shared" si="15"/>
        <v>0</v>
      </c>
      <c r="M127" s="2">
        <f t="shared" si="16"/>
        <v>0</v>
      </c>
      <c r="O127" s="2">
        <f>IF('Batt IN'!$N$18="Yes",BattLoan!F127*'Batt IN'!$E$7,0)</f>
        <v>0</v>
      </c>
    </row>
    <row r="128" spans="1:15" x14ac:dyDescent="0.25">
      <c r="A128">
        <v>8</v>
      </c>
      <c r="B128">
        <f t="shared" si="9"/>
        <v>96</v>
      </c>
      <c r="C128" s="2">
        <f t="shared" si="10"/>
        <v>0</v>
      </c>
      <c r="E128" s="10">
        <f t="shared" si="11"/>
        <v>0</v>
      </c>
      <c r="F128" s="2">
        <f t="shared" si="12"/>
        <v>0</v>
      </c>
      <c r="G128" s="2">
        <f>IF(ISERROR(B128),"-",IF(J127=0,0,SUM($F$33:F128)))</f>
        <v>0</v>
      </c>
      <c r="H128" s="2">
        <f t="shared" si="17"/>
        <v>0</v>
      </c>
      <c r="I128" s="2">
        <f>IF(ISERROR($B128),"-",IF(J127=0,0,SUM($H$33:H128)))</f>
        <v>0</v>
      </c>
      <c r="J128" s="2">
        <f t="shared" si="13"/>
        <v>0</v>
      </c>
      <c r="K128" s="2">
        <f t="shared" si="14"/>
        <v>0</v>
      </c>
      <c r="L128" s="2">
        <f t="shared" si="15"/>
        <v>0</v>
      </c>
      <c r="M128" s="2">
        <f t="shared" si="16"/>
        <v>0</v>
      </c>
      <c r="O128" s="2">
        <f>IF('Batt IN'!$N$18="Yes",BattLoan!F128*'Batt IN'!$E$7,0)</f>
        <v>0</v>
      </c>
    </row>
    <row r="129" spans="1:15" x14ac:dyDescent="0.25">
      <c r="B129">
        <f t="shared" si="9"/>
        <v>97</v>
      </c>
      <c r="C129" s="2">
        <f t="shared" si="10"/>
        <v>0</v>
      </c>
      <c r="E129" s="10">
        <f t="shared" si="11"/>
        <v>0</v>
      </c>
      <c r="F129" s="2">
        <f t="shared" si="12"/>
        <v>0</v>
      </c>
      <c r="G129" s="2">
        <f>IF(ISERROR(B129),"-",IF(J128=0,0,SUM($F$33:F129)))</f>
        <v>0</v>
      </c>
      <c r="H129" s="2">
        <f t="shared" si="17"/>
        <v>0</v>
      </c>
      <c r="I129" s="2">
        <f>IF(ISERROR($B129),"-",IF(J128=0,0,SUM($H$33:H129)))</f>
        <v>0</v>
      </c>
      <c r="J129" s="2">
        <f t="shared" si="13"/>
        <v>0</v>
      </c>
      <c r="K129" s="2">
        <f t="shared" si="14"/>
        <v>0</v>
      </c>
      <c r="L129" s="2">
        <f t="shared" si="15"/>
        <v>0</v>
      </c>
      <c r="M129" s="2">
        <f t="shared" si="16"/>
        <v>0</v>
      </c>
      <c r="O129" s="2">
        <f>IF('Batt IN'!$N$18="Yes",BattLoan!F129*'Batt IN'!$E$7,0)</f>
        <v>0</v>
      </c>
    </row>
    <row r="130" spans="1:15" x14ac:dyDescent="0.25">
      <c r="B130">
        <f t="shared" si="9"/>
        <v>98</v>
      </c>
      <c r="C130" s="2">
        <f t="shared" si="10"/>
        <v>0</v>
      </c>
      <c r="E130" s="10">
        <f t="shared" si="11"/>
        <v>0</v>
      </c>
      <c r="F130" s="2">
        <f t="shared" si="12"/>
        <v>0</v>
      </c>
      <c r="G130" s="2">
        <f>IF(ISERROR(B130),"-",IF(J129=0,0,SUM($F$33:F130)))</f>
        <v>0</v>
      </c>
      <c r="H130" s="2">
        <f t="shared" si="17"/>
        <v>0</v>
      </c>
      <c r="I130" s="2">
        <f>IF(ISERROR($B130),"-",IF(J129=0,0,SUM($H$33:H130)))</f>
        <v>0</v>
      </c>
      <c r="J130" s="2">
        <f t="shared" si="13"/>
        <v>0</v>
      </c>
      <c r="K130" s="2">
        <f t="shared" si="14"/>
        <v>0</v>
      </c>
      <c r="L130" s="2">
        <f t="shared" si="15"/>
        <v>0</v>
      </c>
      <c r="M130" s="2">
        <f t="shared" si="16"/>
        <v>0</v>
      </c>
      <c r="O130" s="2">
        <f>IF('Batt IN'!$N$18="Yes",BattLoan!F130*'Batt IN'!$E$7,0)</f>
        <v>0</v>
      </c>
    </row>
    <row r="131" spans="1:15" x14ac:dyDescent="0.25">
      <c r="B131">
        <f t="shared" si="9"/>
        <v>99</v>
      </c>
      <c r="C131" s="2">
        <f t="shared" si="10"/>
        <v>0</v>
      </c>
      <c r="E131" s="10">
        <f t="shared" si="11"/>
        <v>0</v>
      </c>
      <c r="F131" s="2">
        <f t="shared" si="12"/>
        <v>0</v>
      </c>
      <c r="G131" s="2">
        <f>IF(ISERROR(B131),"-",IF(J130=0,0,SUM($F$33:F131)))</f>
        <v>0</v>
      </c>
      <c r="H131" s="2">
        <f t="shared" si="17"/>
        <v>0</v>
      </c>
      <c r="I131" s="2">
        <f>IF(ISERROR($B131),"-",IF(J130=0,0,SUM($H$33:H131)))</f>
        <v>0</v>
      </c>
      <c r="J131" s="2">
        <f t="shared" si="13"/>
        <v>0</v>
      </c>
      <c r="K131" s="2">
        <f t="shared" si="14"/>
        <v>0</v>
      </c>
      <c r="L131" s="2">
        <f t="shared" si="15"/>
        <v>0</v>
      </c>
      <c r="M131" s="2">
        <f t="shared" si="16"/>
        <v>0</v>
      </c>
      <c r="O131" s="2">
        <f>IF('Batt IN'!$N$18="Yes",BattLoan!F131*'Batt IN'!$E$7,0)</f>
        <v>0</v>
      </c>
    </row>
    <row r="132" spans="1:15" x14ac:dyDescent="0.25">
      <c r="B132">
        <f t="shared" si="9"/>
        <v>100</v>
      </c>
      <c r="C132" s="2">
        <f t="shared" si="10"/>
        <v>0</v>
      </c>
      <c r="E132" s="10">
        <f t="shared" si="11"/>
        <v>0</v>
      </c>
      <c r="F132" s="2">
        <f t="shared" si="12"/>
        <v>0</v>
      </c>
      <c r="G132" s="2">
        <f>IF(ISERROR(B132),"-",IF(J131=0,0,SUM($F$33:F132)))</f>
        <v>0</v>
      </c>
      <c r="H132" s="2">
        <f t="shared" si="17"/>
        <v>0</v>
      </c>
      <c r="I132" s="2">
        <f>IF(ISERROR($B132),"-",IF(J131=0,0,SUM($H$33:H132)))</f>
        <v>0</v>
      </c>
      <c r="J132" s="2">
        <f t="shared" si="13"/>
        <v>0</v>
      </c>
      <c r="K132" s="2">
        <f t="shared" si="14"/>
        <v>0</v>
      </c>
      <c r="L132" s="2">
        <f t="shared" si="15"/>
        <v>0</v>
      </c>
      <c r="M132" s="2">
        <f t="shared" si="16"/>
        <v>0</v>
      </c>
      <c r="O132" s="2">
        <f>IF('Batt IN'!$N$18="Yes",BattLoan!F132*'Batt IN'!$E$7,0)</f>
        <v>0</v>
      </c>
    </row>
    <row r="133" spans="1:15" x14ac:dyDescent="0.25">
      <c r="B133">
        <f t="shared" si="9"/>
        <v>101</v>
      </c>
      <c r="C133" s="2">
        <f t="shared" si="10"/>
        <v>0</v>
      </c>
      <c r="E133" s="10">
        <f t="shared" si="11"/>
        <v>0</v>
      </c>
      <c r="F133" s="2">
        <f t="shared" si="12"/>
        <v>0</v>
      </c>
      <c r="G133" s="2">
        <f>IF(ISERROR(B133),"-",IF(J132=0,0,SUM($F$33:F133)))</f>
        <v>0</v>
      </c>
      <c r="H133" s="2">
        <f t="shared" si="17"/>
        <v>0</v>
      </c>
      <c r="I133" s="2">
        <f>IF(ISERROR($B133),"-",IF(J132=0,0,SUM($H$33:H133)))</f>
        <v>0</v>
      </c>
      <c r="J133" s="2">
        <f t="shared" si="13"/>
        <v>0</v>
      </c>
      <c r="K133" s="2">
        <f t="shared" si="14"/>
        <v>0</v>
      </c>
      <c r="L133" s="2">
        <f t="shared" si="15"/>
        <v>0</v>
      </c>
      <c r="M133" s="2">
        <f t="shared" si="16"/>
        <v>0</v>
      </c>
      <c r="O133" s="2">
        <f>IF('Batt IN'!$N$18="Yes",BattLoan!F133*'Batt IN'!$E$7,0)</f>
        <v>0</v>
      </c>
    </row>
    <row r="134" spans="1:15" x14ac:dyDescent="0.25">
      <c r="B134">
        <f t="shared" si="9"/>
        <v>102</v>
      </c>
      <c r="C134" s="2">
        <f t="shared" si="10"/>
        <v>0</v>
      </c>
      <c r="E134" s="10">
        <f t="shared" si="11"/>
        <v>0</v>
      </c>
      <c r="F134" s="2">
        <f t="shared" si="12"/>
        <v>0</v>
      </c>
      <c r="G134" s="2">
        <f>IF(ISERROR(B134),"-",IF(J133=0,0,SUM($F$33:F134)))</f>
        <v>0</v>
      </c>
      <c r="H134" s="2">
        <f t="shared" si="17"/>
        <v>0</v>
      </c>
      <c r="I134" s="2">
        <f>IF(ISERROR($B134),"-",IF(J133=0,0,SUM($H$33:H134)))</f>
        <v>0</v>
      </c>
      <c r="J134" s="2">
        <f t="shared" si="13"/>
        <v>0</v>
      </c>
      <c r="K134" s="2">
        <f t="shared" si="14"/>
        <v>0</v>
      </c>
      <c r="L134" s="2">
        <f t="shared" si="15"/>
        <v>0</v>
      </c>
      <c r="M134" s="2">
        <f t="shared" si="16"/>
        <v>0</v>
      </c>
      <c r="O134" s="2">
        <f>IF('Batt IN'!$N$18="Yes",BattLoan!F134*'Batt IN'!$E$7,0)</f>
        <v>0</v>
      </c>
    </row>
    <row r="135" spans="1:15" x14ac:dyDescent="0.25">
      <c r="B135">
        <f t="shared" si="9"/>
        <v>103</v>
      </c>
      <c r="C135" s="2">
        <f t="shared" si="10"/>
        <v>0</v>
      </c>
      <c r="E135" s="10">
        <f t="shared" si="11"/>
        <v>0</v>
      </c>
      <c r="F135" s="2">
        <f t="shared" si="12"/>
        <v>0</v>
      </c>
      <c r="G135" s="2">
        <f>IF(ISERROR(B135),"-",IF(J134=0,0,SUM($F$33:F135)))</f>
        <v>0</v>
      </c>
      <c r="H135" s="2">
        <f t="shared" si="17"/>
        <v>0</v>
      </c>
      <c r="I135" s="2">
        <f>IF(ISERROR($B135),"-",IF(J134=0,0,SUM($H$33:H135)))</f>
        <v>0</v>
      </c>
      <c r="J135" s="2">
        <f t="shared" si="13"/>
        <v>0</v>
      </c>
      <c r="K135" s="2">
        <f t="shared" si="14"/>
        <v>0</v>
      </c>
      <c r="L135" s="2">
        <f t="shared" si="15"/>
        <v>0</v>
      </c>
      <c r="M135" s="2">
        <f t="shared" si="16"/>
        <v>0</v>
      </c>
      <c r="O135" s="2">
        <f>IF('Batt IN'!$N$18="Yes",BattLoan!F135*'Batt IN'!$E$7,0)</f>
        <v>0</v>
      </c>
    </row>
    <row r="136" spans="1:15" x14ac:dyDescent="0.25">
      <c r="B136">
        <f t="shared" si="9"/>
        <v>104</v>
      </c>
      <c r="C136" s="2">
        <f t="shared" si="10"/>
        <v>0</v>
      </c>
      <c r="E136" s="10">
        <f t="shared" si="11"/>
        <v>0</v>
      </c>
      <c r="F136" s="2">
        <f t="shared" si="12"/>
        <v>0</v>
      </c>
      <c r="G136" s="2">
        <f>IF(ISERROR(B136),"-",IF(J135=0,0,SUM($F$33:F136)))</f>
        <v>0</v>
      </c>
      <c r="H136" s="2">
        <f t="shared" si="17"/>
        <v>0</v>
      </c>
      <c r="I136" s="2">
        <f>IF(ISERROR($B136),"-",IF(J135=0,0,SUM($H$33:H136)))</f>
        <v>0</v>
      </c>
      <c r="J136" s="2">
        <f t="shared" si="13"/>
        <v>0</v>
      </c>
      <c r="K136" s="2">
        <f t="shared" si="14"/>
        <v>0</v>
      </c>
      <c r="L136" s="2">
        <f t="shared" si="15"/>
        <v>0</v>
      </c>
      <c r="M136" s="2">
        <f t="shared" si="16"/>
        <v>0</v>
      </c>
      <c r="O136" s="2">
        <f>IF('Batt IN'!$N$18="Yes",BattLoan!F136*'Batt IN'!$E$7,0)</f>
        <v>0</v>
      </c>
    </row>
    <row r="137" spans="1:15" x14ac:dyDescent="0.25">
      <c r="B137">
        <f t="shared" si="9"/>
        <v>105</v>
      </c>
      <c r="C137" s="2">
        <f t="shared" si="10"/>
        <v>0</v>
      </c>
      <c r="E137" s="10">
        <f t="shared" si="11"/>
        <v>0</v>
      </c>
      <c r="F137" s="2">
        <f t="shared" si="12"/>
        <v>0</v>
      </c>
      <c r="G137" s="2">
        <f>IF(ISERROR(B137),"-",IF(J136=0,0,SUM($F$33:F137)))</f>
        <v>0</v>
      </c>
      <c r="H137" s="2">
        <f t="shared" si="17"/>
        <v>0</v>
      </c>
      <c r="I137" s="2">
        <f>IF(ISERROR($B137),"-",IF(J136=0,0,SUM($H$33:H137)))</f>
        <v>0</v>
      </c>
      <c r="J137" s="2">
        <f t="shared" si="13"/>
        <v>0</v>
      </c>
      <c r="K137" s="2">
        <f t="shared" si="14"/>
        <v>0</v>
      </c>
      <c r="L137" s="2">
        <f t="shared" si="15"/>
        <v>0</v>
      </c>
      <c r="M137" s="2">
        <f t="shared" si="16"/>
        <v>0</v>
      </c>
      <c r="O137" s="2">
        <f>IF('Batt IN'!$N$18="Yes",BattLoan!F137*'Batt IN'!$E$7,0)</f>
        <v>0</v>
      </c>
    </row>
    <row r="138" spans="1:15" x14ac:dyDescent="0.25">
      <c r="B138">
        <f t="shared" si="9"/>
        <v>106</v>
      </c>
      <c r="C138" s="2">
        <f t="shared" si="10"/>
        <v>0</v>
      </c>
      <c r="E138" s="10">
        <f t="shared" si="11"/>
        <v>0</v>
      </c>
      <c r="F138" s="2">
        <f t="shared" si="12"/>
        <v>0</v>
      </c>
      <c r="G138" s="2">
        <f>IF(ISERROR(B138),"-",IF(J137=0,0,SUM($F$33:F138)))</f>
        <v>0</v>
      </c>
      <c r="H138" s="2">
        <f t="shared" si="17"/>
        <v>0</v>
      </c>
      <c r="I138" s="2">
        <f>IF(ISERROR($B138),"-",IF(J137=0,0,SUM($H$33:H138)))</f>
        <v>0</v>
      </c>
      <c r="J138" s="2">
        <f t="shared" si="13"/>
        <v>0</v>
      </c>
      <c r="K138" s="2">
        <f t="shared" si="14"/>
        <v>0</v>
      </c>
      <c r="L138" s="2">
        <f t="shared" si="15"/>
        <v>0</v>
      </c>
      <c r="M138" s="2">
        <f t="shared" si="16"/>
        <v>0</v>
      </c>
      <c r="O138" s="2">
        <f>IF('Batt IN'!$N$18="Yes",BattLoan!F138*'Batt IN'!$E$7,0)</f>
        <v>0</v>
      </c>
    </row>
    <row r="139" spans="1:15" x14ac:dyDescent="0.25">
      <c r="B139">
        <f t="shared" si="9"/>
        <v>107</v>
      </c>
      <c r="C139" s="2">
        <f t="shared" si="10"/>
        <v>0</v>
      </c>
      <c r="E139" s="10">
        <f t="shared" si="11"/>
        <v>0</v>
      </c>
      <c r="F139" s="2">
        <f t="shared" si="12"/>
        <v>0</v>
      </c>
      <c r="G139" s="2">
        <f>IF(ISERROR(B139),"-",IF(J138=0,0,SUM($F$33:F139)))</f>
        <v>0</v>
      </c>
      <c r="H139" s="2">
        <f t="shared" si="17"/>
        <v>0</v>
      </c>
      <c r="I139" s="2">
        <f>IF(ISERROR($B139),"-",IF(J138=0,0,SUM($H$33:H139)))</f>
        <v>0</v>
      </c>
      <c r="J139" s="2">
        <f t="shared" si="13"/>
        <v>0</v>
      </c>
      <c r="K139" s="2">
        <f t="shared" si="14"/>
        <v>0</v>
      </c>
      <c r="L139" s="2">
        <f t="shared" si="15"/>
        <v>0</v>
      </c>
      <c r="M139" s="2">
        <f t="shared" si="16"/>
        <v>0</v>
      </c>
      <c r="O139" s="2">
        <f>IF('Batt IN'!$N$18="Yes",BattLoan!F139*'Batt IN'!$E$7,0)</f>
        <v>0</v>
      </c>
    </row>
    <row r="140" spans="1:15" x14ac:dyDescent="0.25">
      <c r="A140">
        <v>9</v>
      </c>
      <c r="B140">
        <f t="shared" si="9"/>
        <v>108</v>
      </c>
      <c r="C140" s="2">
        <f t="shared" si="10"/>
        <v>0</v>
      </c>
      <c r="E140" s="10">
        <f t="shared" si="11"/>
        <v>0</v>
      </c>
      <c r="F140" s="2">
        <f t="shared" si="12"/>
        <v>0</v>
      </c>
      <c r="G140" s="2">
        <f>IF(ISERROR(B140),"-",IF(J139=0,0,SUM($F$33:F140)))</f>
        <v>0</v>
      </c>
      <c r="H140" s="2">
        <f t="shared" si="17"/>
        <v>0</v>
      </c>
      <c r="I140" s="2">
        <f>IF(ISERROR($B140),"-",IF(J139=0,0,SUM($H$33:H140)))</f>
        <v>0</v>
      </c>
      <c r="J140" s="2">
        <f t="shared" si="13"/>
        <v>0</v>
      </c>
      <c r="K140" s="2">
        <f t="shared" si="14"/>
        <v>0</v>
      </c>
      <c r="L140" s="2">
        <f t="shared" si="15"/>
        <v>0</v>
      </c>
      <c r="M140" s="2">
        <f t="shared" si="16"/>
        <v>0</v>
      </c>
      <c r="O140" s="2">
        <f>IF('Batt IN'!$N$18="Yes",BattLoan!F140*'Batt IN'!$E$7,0)</f>
        <v>0</v>
      </c>
    </row>
    <row r="141" spans="1:15" x14ac:dyDescent="0.25">
      <c r="B141">
        <f t="shared" si="9"/>
        <v>109</v>
      </c>
      <c r="C141" s="2">
        <f t="shared" si="10"/>
        <v>0</v>
      </c>
      <c r="E141" s="10">
        <f t="shared" si="11"/>
        <v>0</v>
      </c>
      <c r="F141" s="2">
        <f t="shared" si="12"/>
        <v>0</v>
      </c>
      <c r="G141" s="2">
        <f>IF(ISERROR(B141),"-",IF(J140=0,0,SUM($F$33:F141)))</f>
        <v>0</v>
      </c>
      <c r="H141" s="2">
        <f t="shared" si="17"/>
        <v>0</v>
      </c>
      <c r="I141" s="2">
        <f>IF(ISERROR($B141),"-",IF(J140=0,0,SUM($H$33:H141)))</f>
        <v>0</v>
      </c>
      <c r="J141" s="2">
        <f t="shared" si="13"/>
        <v>0</v>
      </c>
      <c r="K141" s="2">
        <f t="shared" si="14"/>
        <v>0</v>
      </c>
      <c r="L141" s="2">
        <f t="shared" si="15"/>
        <v>0</v>
      </c>
      <c r="M141" s="2">
        <f t="shared" si="16"/>
        <v>0</v>
      </c>
      <c r="O141" s="2">
        <f>IF('Batt IN'!$N$18="Yes",BattLoan!F141*'Batt IN'!$E$7,0)</f>
        <v>0</v>
      </c>
    </row>
    <row r="142" spans="1:15" x14ac:dyDescent="0.25">
      <c r="B142">
        <f t="shared" si="9"/>
        <v>110</v>
      </c>
      <c r="C142" s="2">
        <f t="shared" si="10"/>
        <v>0</v>
      </c>
      <c r="E142" s="10">
        <f t="shared" si="11"/>
        <v>0</v>
      </c>
      <c r="F142" s="2">
        <f t="shared" si="12"/>
        <v>0</v>
      </c>
      <c r="G142" s="2">
        <f>IF(ISERROR(B142),"-",IF(J141=0,0,SUM($F$33:F142)))</f>
        <v>0</v>
      </c>
      <c r="H142" s="2">
        <f t="shared" si="17"/>
        <v>0</v>
      </c>
      <c r="I142" s="2">
        <f>IF(ISERROR($B142),"-",IF(J141=0,0,SUM($H$33:H142)))</f>
        <v>0</v>
      </c>
      <c r="J142" s="2">
        <f t="shared" si="13"/>
        <v>0</v>
      </c>
      <c r="K142" s="2">
        <f t="shared" si="14"/>
        <v>0</v>
      </c>
      <c r="L142" s="2">
        <f t="shared" si="15"/>
        <v>0</v>
      </c>
      <c r="M142" s="2">
        <f t="shared" si="16"/>
        <v>0</v>
      </c>
      <c r="O142" s="2">
        <f>IF('Batt IN'!$N$18="Yes",BattLoan!F142*'Batt IN'!$E$7,0)</f>
        <v>0</v>
      </c>
    </row>
    <row r="143" spans="1:15" x14ac:dyDescent="0.25">
      <c r="B143">
        <f t="shared" si="9"/>
        <v>111</v>
      </c>
      <c r="C143" s="2">
        <f t="shared" si="10"/>
        <v>0</v>
      </c>
      <c r="E143" s="10">
        <f t="shared" si="11"/>
        <v>0</v>
      </c>
      <c r="F143" s="2">
        <f t="shared" si="12"/>
        <v>0</v>
      </c>
      <c r="G143" s="2">
        <f>IF(ISERROR(B143),"-",IF(J142=0,0,SUM($F$33:F143)))</f>
        <v>0</v>
      </c>
      <c r="H143" s="2">
        <f t="shared" si="17"/>
        <v>0</v>
      </c>
      <c r="I143" s="2">
        <f>IF(ISERROR($B143),"-",IF(J142=0,0,SUM($H$33:H143)))</f>
        <v>0</v>
      </c>
      <c r="J143" s="2">
        <f t="shared" si="13"/>
        <v>0</v>
      </c>
      <c r="K143" s="2">
        <f t="shared" si="14"/>
        <v>0</v>
      </c>
      <c r="L143" s="2">
        <f t="shared" si="15"/>
        <v>0</v>
      </c>
      <c r="M143" s="2">
        <f t="shared" si="16"/>
        <v>0</v>
      </c>
      <c r="O143" s="2">
        <f>IF('Batt IN'!$N$18="Yes",BattLoan!F143*'Batt IN'!$E$7,0)</f>
        <v>0</v>
      </c>
    </row>
    <row r="144" spans="1:15" x14ac:dyDescent="0.25">
      <c r="B144">
        <f t="shared" si="9"/>
        <v>112</v>
      </c>
      <c r="C144" s="2">
        <f t="shared" si="10"/>
        <v>0</v>
      </c>
      <c r="E144" s="10">
        <f t="shared" si="11"/>
        <v>0</v>
      </c>
      <c r="F144" s="2">
        <f t="shared" si="12"/>
        <v>0</v>
      </c>
      <c r="G144" s="2">
        <f>IF(ISERROR(B144),"-",IF(J143=0,0,SUM($F$33:F144)))</f>
        <v>0</v>
      </c>
      <c r="H144" s="2">
        <f t="shared" si="17"/>
        <v>0</v>
      </c>
      <c r="I144" s="2">
        <f>IF(ISERROR($B144),"-",IF(J143=0,0,SUM($H$33:H144)))</f>
        <v>0</v>
      </c>
      <c r="J144" s="2">
        <f t="shared" si="13"/>
        <v>0</v>
      </c>
      <c r="K144" s="2">
        <f t="shared" si="14"/>
        <v>0</v>
      </c>
      <c r="L144" s="2">
        <f t="shared" si="15"/>
        <v>0</v>
      </c>
      <c r="M144" s="2">
        <f t="shared" si="16"/>
        <v>0</v>
      </c>
      <c r="O144" s="2">
        <f>IF('Batt IN'!$N$18="Yes",BattLoan!F144*'Batt IN'!$E$7,0)</f>
        <v>0</v>
      </c>
    </row>
    <row r="145" spans="1:15" x14ac:dyDescent="0.25">
      <c r="B145">
        <f t="shared" si="9"/>
        <v>113</v>
      </c>
      <c r="C145" s="2">
        <f t="shared" si="10"/>
        <v>0</v>
      </c>
      <c r="E145" s="10">
        <f t="shared" si="11"/>
        <v>0</v>
      </c>
      <c r="F145" s="2">
        <f t="shared" si="12"/>
        <v>0</v>
      </c>
      <c r="G145" s="2">
        <f>IF(ISERROR(B145),"-",IF(J144=0,0,SUM($F$33:F145)))</f>
        <v>0</v>
      </c>
      <c r="H145" s="2">
        <f t="shared" si="17"/>
        <v>0</v>
      </c>
      <c r="I145" s="2">
        <f>IF(ISERROR($B145),"-",IF(J144=0,0,SUM($H$33:H145)))</f>
        <v>0</v>
      </c>
      <c r="J145" s="2">
        <f t="shared" si="13"/>
        <v>0</v>
      </c>
      <c r="K145" s="2">
        <f t="shared" si="14"/>
        <v>0</v>
      </c>
      <c r="L145" s="2">
        <f t="shared" si="15"/>
        <v>0</v>
      </c>
      <c r="M145" s="2">
        <f t="shared" si="16"/>
        <v>0</v>
      </c>
      <c r="O145" s="2">
        <f>IF('Batt IN'!$N$18="Yes",BattLoan!F145*'Batt IN'!$E$7,0)</f>
        <v>0</v>
      </c>
    </row>
    <row r="146" spans="1:15" x14ac:dyDescent="0.25">
      <c r="B146">
        <f t="shared" si="9"/>
        <v>114</v>
      </c>
      <c r="C146" s="2">
        <f t="shared" si="10"/>
        <v>0</v>
      </c>
      <c r="E146" s="10">
        <f t="shared" si="11"/>
        <v>0</v>
      </c>
      <c r="F146" s="2">
        <f t="shared" si="12"/>
        <v>0</v>
      </c>
      <c r="G146" s="2">
        <f>IF(ISERROR(B146),"-",IF(J145=0,0,SUM($F$33:F146)))</f>
        <v>0</v>
      </c>
      <c r="H146" s="2">
        <f t="shared" si="17"/>
        <v>0</v>
      </c>
      <c r="I146" s="2">
        <f>IF(ISERROR($B146),"-",IF(J145=0,0,SUM($H$33:H146)))</f>
        <v>0</v>
      </c>
      <c r="J146" s="2">
        <f t="shared" si="13"/>
        <v>0</v>
      </c>
      <c r="K146" s="2">
        <f t="shared" si="14"/>
        <v>0</v>
      </c>
      <c r="L146" s="2">
        <f t="shared" si="15"/>
        <v>0</v>
      </c>
      <c r="M146" s="2">
        <f t="shared" si="16"/>
        <v>0</v>
      </c>
      <c r="O146" s="2">
        <f>IF('Batt IN'!$N$18="Yes",BattLoan!F146*'Batt IN'!$E$7,0)</f>
        <v>0</v>
      </c>
    </row>
    <row r="147" spans="1:15" x14ac:dyDescent="0.25">
      <c r="B147">
        <f t="shared" si="9"/>
        <v>115</v>
      </c>
      <c r="C147" s="2">
        <f t="shared" si="10"/>
        <v>0</v>
      </c>
      <c r="E147" s="10">
        <f t="shared" si="11"/>
        <v>0</v>
      </c>
      <c r="F147" s="2">
        <f t="shared" si="12"/>
        <v>0</v>
      </c>
      <c r="G147" s="2">
        <f>IF(ISERROR(B147),"-",IF(J146=0,0,SUM($F$33:F147)))</f>
        <v>0</v>
      </c>
      <c r="H147" s="2">
        <f t="shared" si="17"/>
        <v>0</v>
      </c>
      <c r="I147" s="2">
        <f>IF(ISERROR($B147),"-",IF(J146=0,0,SUM($H$33:H147)))</f>
        <v>0</v>
      </c>
      <c r="J147" s="2">
        <f t="shared" si="13"/>
        <v>0</v>
      </c>
      <c r="K147" s="2">
        <f t="shared" si="14"/>
        <v>0</v>
      </c>
      <c r="L147" s="2">
        <f t="shared" si="15"/>
        <v>0</v>
      </c>
      <c r="M147" s="2">
        <f t="shared" si="16"/>
        <v>0</v>
      </c>
      <c r="O147" s="2">
        <f>IF('Batt IN'!$N$18="Yes",BattLoan!F147*'Batt IN'!$E$7,0)</f>
        <v>0</v>
      </c>
    </row>
    <row r="148" spans="1:15" x14ac:dyDescent="0.25">
      <c r="B148">
        <f t="shared" si="9"/>
        <v>116</v>
      </c>
      <c r="C148" s="2">
        <f t="shared" si="10"/>
        <v>0</v>
      </c>
      <c r="E148" s="10">
        <f t="shared" si="11"/>
        <v>0</v>
      </c>
      <c r="F148" s="2">
        <f t="shared" si="12"/>
        <v>0</v>
      </c>
      <c r="G148" s="2">
        <f>IF(ISERROR(B148),"-",IF(J147=0,0,SUM($F$33:F148)))</f>
        <v>0</v>
      </c>
      <c r="H148" s="2">
        <f t="shared" si="17"/>
        <v>0</v>
      </c>
      <c r="I148" s="2">
        <f>IF(ISERROR($B148),"-",IF(J147=0,0,SUM($H$33:H148)))</f>
        <v>0</v>
      </c>
      <c r="J148" s="2">
        <f t="shared" si="13"/>
        <v>0</v>
      </c>
      <c r="K148" s="2">
        <f t="shared" si="14"/>
        <v>0</v>
      </c>
      <c r="L148" s="2">
        <f t="shared" si="15"/>
        <v>0</v>
      </c>
      <c r="M148" s="2">
        <f t="shared" si="16"/>
        <v>0</v>
      </c>
      <c r="O148" s="2">
        <f>IF('Batt IN'!$N$18="Yes",BattLoan!F148*'Batt IN'!$E$7,0)</f>
        <v>0</v>
      </c>
    </row>
    <row r="149" spans="1:15" x14ac:dyDescent="0.25">
      <c r="B149">
        <f t="shared" si="9"/>
        <v>117</v>
      </c>
      <c r="C149" s="2">
        <f t="shared" si="10"/>
        <v>0</v>
      </c>
      <c r="E149" s="10">
        <f t="shared" si="11"/>
        <v>0</v>
      </c>
      <c r="F149" s="2">
        <f t="shared" si="12"/>
        <v>0</v>
      </c>
      <c r="G149" s="2">
        <f>IF(ISERROR(B149),"-",IF(J148=0,0,SUM($F$33:F149)))</f>
        <v>0</v>
      </c>
      <c r="H149" s="2">
        <f t="shared" si="17"/>
        <v>0</v>
      </c>
      <c r="I149" s="2">
        <f>IF(ISERROR($B149),"-",IF(J148=0,0,SUM($H$33:H149)))</f>
        <v>0</v>
      </c>
      <c r="J149" s="2">
        <f t="shared" si="13"/>
        <v>0</v>
      </c>
      <c r="K149" s="2">
        <f t="shared" si="14"/>
        <v>0</v>
      </c>
      <c r="L149" s="2">
        <f t="shared" si="15"/>
        <v>0</v>
      </c>
      <c r="M149" s="2">
        <f t="shared" si="16"/>
        <v>0</v>
      </c>
      <c r="O149" s="2">
        <f>IF('Batt IN'!$N$18="Yes",BattLoan!F149*'Batt IN'!$E$7,0)</f>
        <v>0</v>
      </c>
    </row>
    <row r="150" spans="1:15" x14ac:dyDescent="0.25">
      <c r="B150">
        <f t="shared" si="9"/>
        <v>118</v>
      </c>
      <c r="C150" s="2">
        <f t="shared" si="10"/>
        <v>0</v>
      </c>
      <c r="E150" s="10">
        <f t="shared" si="11"/>
        <v>0</v>
      </c>
      <c r="F150" s="2">
        <f t="shared" si="12"/>
        <v>0</v>
      </c>
      <c r="G150" s="2">
        <f>IF(ISERROR(B150),"-",IF(J149=0,0,SUM($F$33:F150)))</f>
        <v>0</v>
      </c>
      <c r="H150" s="2">
        <f t="shared" si="17"/>
        <v>0</v>
      </c>
      <c r="I150" s="2">
        <f>IF(ISERROR($B150),"-",IF(J149=0,0,SUM($H$33:H150)))</f>
        <v>0</v>
      </c>
      <c r="J150" s="2">
        <f t="shared" si="13"/>
        <v>0</v>
      </c>
      <c r="K150" s="2">
        <f t="shared" si="14"/>
        <v>0</v>
      </c>
      <c r="L150" s="2">
        <f t="shared" si="15"/>
        <v>0</v>
      </c>
      <c r="M150" s="2">
        <f t="shared" si="16"/>
        <v>0</v>
      </c>
      <c r="O150" s="2">
        <f>IF('Batt IN'!$N$18="Yes",BattLoan!F150*'Batt IN'!$E$7,0)</f>
        <v>0</v>
      </c>
    </row>
    <row r="151" spans="1:15" x14ac:dyDescent="0.25">
      <c r="B151">
        <f t="shared" si="9"/>
        <v>119</v>
      </c>
      <c r="C151" s="2">
        <f t="shared" si="10"/>
        <v>0</v>
      </c>
      <c r="E151" s="10">
        <f t="shared" si="11"/>
        <v>0</v>
      </c>
      <c r="F151" s="2">
        <f t="shared" si="12"/>
        <v>0</v>
      </c>
      <c r="G151" s="2">
        <f>IF(ISERROR(B151),"-",IF(J150=0,0,SUM($F$33:F151)))</f>
        <v>0</v>
      </c>
      <c r="H151" s="2">
        <f t="shared" si="17"/>
        <v>0</v>
      </c>
      <c r="I151" s="2">
        <f>IF(ISERROR($B151),"-",IF(J150=0,0,SUM($H$33:H151)))</f>
        <v>0</v>
      </c>
      <c r="J151" s="2">
        <f t="shared" si="13"/>
        <v>0</v>
      </c>
      <c r="K151" s="2">
        <f t="shared" si="14"/>
        <v>0</v>
      </c>
      <c r="L151" s="2">
        <f t="shared" si="15"/>
        <v>0</v>
      </c>
      <c r="M151" s="2">
        <f t="shared" si="16"/>
        <v>0</v>
      </c>
      <c r="O151" s="2">
        <f>IF('Batt IN'!$N$18="Yes",BattLoan!F151*'Batt IN'!$E$7,0)</f>
        <v>0</v>
      </c>
    </row>
    <row r="152" spans="1:15" x14ac:dyDescent="0.25">
      <c r="A152">
        <v>10</v>
      </c>
      <c r="B152">
        <f t="shared" si="9"/>
        <v>120</v>
      </c>
      <c r="C152" s="2">
        <f t="shared" si="10"/>
        <v>0</v>
      </c>
      <c r="E152" s="10">
        <f t="shared" si="11"/>
        <v>0</v>
      </c>
      <c r="F152" s="2">
        <f t="shared" si="12"/>
        <v>0</v>
      </c>
      <c r="G152" s="2">
        <f>IF(ISERROR(B152),"-",IF(J151=0,0,SUM($F$33:F152)))</f>
        <v>0</v>
      </c>
      <c r="H152" s="2">
        <f t="shared" si="17"/>
        <v>0</v>
      </c>
      <c r="I152" s="2">
        <f>IF(ISERROR($B152),"-",IF(J151=0,0,SUM($H$33:H152)))</f>
        <v>0</v>
      </c>
      <c r="J152" s="2">
        <f t="shared" si="13"/>
        <v>0</v>
      </c>
      <c r="K152" s="2">
        <f t="shared" si="14"/>
        <v>0</v>
      </c>
      <c r="L152" s="2">
        <f t="shared" si="15"/>
        <v>0</v>
      </c>
      <c r="M152" s="2">
        <f t="shared" si="16"/>
        <v>0</v>
      </c>
      <c r="O152" s="2">
        <f>IF('Batt IN'!$N$18="Yes",BattLoan!F152*'Batt IN'!$E$7,0)</f>
        <v>0</v>
      </c>
    </row>
    <row r="153" spans="1:15" x14ac:dyDescent="0.25">
      <c r="B153" t="e">
        <f t="shared" si="9"/>
        <v>#N/A</v>
      </c>
      <c r="C153" s="2" t="str">
        <f t="shared" si="10"/>
        <v>0</v>
      </c>
      <c r="E153" s="10">
        <f t="shared" si="11"/>
        <v>0</v>
      </c>
      <c r="F153" s="2">
        <f t="shared" si="12"/>
        <v>0</v>
      </c>
      <c r="G153" s="2" t="str">
        <f>IF(ISERROR(B153),"-",IF(J152=0,0,SUM($F$33:F153)))</f>
        <v>-</v>
      </c>
      <c r="H153" s="2">
        <f t="shared" si="17"/>
        <v>0</v>
      </c>
      <c r="I153" s="2" t="str">
        <f>IF(ISERROR($B153),"-",IF(J152=0,0,SUM($H$33:H153)))</f>
        <v>-</v>
      </c>
      <c r="J153" s="2" t="str">
        <f t="shared" si="13"/>
        <v>-</v>
      </c>
      <c r="K153" s="2" t="str">
        <f t="shared" si="14"/>
        <v>-</v>
      </c>
      <c r="L153" s="2">
        <f t="shared" si="15"/>
        <v>0</v>
      </c>
      <c r="M153" s="2">
        <f t="shared" si="16"/>
        <v>0</v>
      </c>
      <c r="O153" s="2">
        <f>IF('Batt IN'!$N$18="Yes",BattLoan!F153*'Batt IN'!$E$7,0)</f>
        <v>0</v>
      </c>
    </row>
    <row r="154" spans="1:15" x14ac:dyDescent="0.25">
      <c r="B154" t="e">
        <f t="shared" si="9"/>
        <v>#N/A</v>
      </c>
      <c r="C154" s="2" t="str">
        <f t="shared" si="10"/>
        <v>0</v>
      </c>
      <c r="E154" s="10">
        <f t="shared" si="11"/>
        <v>0</v>
      </c>
      <c r="F154" s="2">
        <f t="shared" si="12"/>
        <v>0</v>
      </c>
      <c r="G154" s="2" t="str">
        <f>IF(ISERROR(B154),"-",IF(J153=0,0,SUM($F$33:F154)))</f>
        <v>-</v>
      </c>
      <c r="H154" s="2">
        <f t="shared" si="17"/>
        <v>0</v>
      </c>
      <c r="I154" s="2" t="str">
        <f>IF(ISERROR($B154),"-",IF(J153=0,0,SUM($H$33:H154)))</f>
        <v>-</v>
      </c>
      <c r="J154" s="2" t="str">
        <f t="shared" si="13"/>
        <v>-</v>
      </c>
      <c r="K154" s="2" t="str">
        <f t="shared" si="14"/>
        <v>-</v>
      </c>
      <c r="L154" s="2">
        <f t="shared" si="15"/>
        <v>0</v>
      </c>
      <c r="M154" s="2">
        <f t="shared" si="16"/>
        <v>0</v>
      </c>
      <c r="O154" s="2">
        <f>IF('Batt IN'!$N$18="Yes",BattLoan!F154*'Batt IN'!$E$7,0)</f>
        <v>0</v>
      </c>
    </row>
    <row r="155" spans="1:15" x14ac:dyDescent="0.25">
      <c r="B155" t="e">
        <f t="shared" si="9"/>
        <v>#N/A</v>
      </c>
      <c r="C155" s="2" t="str">
        <f t="shared" si="10"/>
        <v>0</v>
      </c>
      <c r="E155" s="10">
        <f t="shared" si="11"/>
        <v>0</v>
      </c>
      <c r="F155" s="2">
        <f t="shared" si="12"/>
        <v>0</v>
      </c>
      <c r="G155" s="2" t="str">
        <f>IF(ISERROR(B155),"-",IF(J154=0,0,SUM($F$33:F155)))</f>
        <v>-</v>
      </c>
      <c r="H155" s="2">
        <f t="shared" si="17"/>
        <v>0</v>
      </c>
      <c r="I155" s="2" t="str">
        <f>IF(ISERROR($B155),"-",IF(J154=0,0,SUM($H$33:H155)))</f>
        <v>-</v>
      </c>
      <c r="J155" s="2" t="str">
        <f t="shared" si="13"/>
        <v>-</v>
      </c>
      <c r="K155" s="2" t="str">
        <f t="shared" si="14"/>
        <v>-</v>
      </c>
      <c r="L155" s="2">
        <f t="shared" si="15"/>
        <v>0</v>
      </c>
      <c r="M155" s="2">
        <f t="shared" si="16"/>
        <v>0</v>
      </c>
      <c r="O155" s="2">
        <f>IF('Batt IN'!$N$18="Yes",BattLoan!F155*'Batt IN'!$E$7,0)</f>
        <v>0</v>
      </c>
    </row>
    <row r="156" spans="1:15" x14ac:dyDescent="0.25">
      <c r="B156" t="e">
        <f t="shared" si="9"/>
        <v>#N/A</v>
      </c>
      <c r="C156" s="2" t="str">
        <f t="shared" si="10"/>
        <v>0</v>
      </c>
      <c r="E156" s="10">
        <f t="shared" si="11"/>
        <v>0</v>
      </c>
      <c r="F156" s="2">
        <f t="shared" si="12"/>
        <v>0</v>
      </c>
      <c r="G156" s="2" t="str">
        <f>IF(ISERROR(B156),"-",IF(J155=0,0,SUM($F$33:F156)))</f>
        <v>-</v>
      </c>
      <c r="H156" s="2">
        <f t="shared" si="17"/>
        <v>0</v>
      </c>
      <c r="I156" s="2" t="str">
        <f>IF(ISERROR($B156),"-",IF(J155=0,0,SUM($H$33:H156)))</f>
        <v>-</v>
      </c>
      <c r="J156" s="2" t="str">
        <f t="shared" si="13"/>
        <v>-</v>
      </c>
      <c r="K156" s="2" t="str">
        <f t="shared" si="14"/>
        <v>-</v>
      </c>
      <c r="L156" s="2">
        <f t="shared" si="15"/>
        <v>0</v>
      </c>
      <c r="M156" s="2">
        <f t="shared" si="16"/>
        <v>0</v>
      </c>
      <c r="O156" s="2">
        <f>IF('Batt IN'!$N$18="Yes",BattLoan!F156*'Batt IN'!$E$7,0)</f>
        <v>0</v>
      </c>
    </row>
    <row r="157" spans="1:15" x14ac:dyDescent="0.25">
      <c r="B157" t="e">
        <f t="shared" si="9"/>
        <v>#N/A</v>
      </c>
      <c r="C157" s="2" t="str">
        <f t="shared" si="10"/>
        <v>0</v>
      </c>
      <c r="E157" s="10">
        <f t="shared" si="11"/>
        <v>0</v>
      </c>
      <c r="F157" s="2">
        <f t="shared" si="12"/>
        <v>0</v>
      </c>
      <c r="G157" s="2" t="str">
        <f>IF(ISERROR(B157),"-",IF(J156=0,0,SUM($F$33:F157)))</f>
        <v>-</v>
      </c>
      <c r="H157" s="2">
        <f t="shared" si="17"/>
        <v>0</v>
      </c>
      <c r="I157" s="2" t="str">
        <f>IF(ISERROR($B157),"-",IF(J156=0,0,SUM($H$33:H157)))</f>
        <v>-</v>
      </c>
      <c r="J157" s="2" t="str">
        <f t="shared" si="13"/>
        <v>-</v>
      </c>
      <c r="K157" s="2" t="str">
        <f t="shared" si="14"/>
        <v>-</v>
      </c>
      <c r="L157" s="2">
        <f t="shared" si="15"/>
        <v>0</v>
      </c>
      <c r="M157" s="2">
        <f t="shared" si="16"/>
        <v>0</v>
      </c>
      <c r="O157" s="2">
        <f>IF('Batt IN'!$N$18="Yes",BattLoan!F157*'Batt IN'!$E$7,0)</f>
        <v>0</v>
      </c>
    </row>
    <row r="158" spans="1:15" x14ac:dyDescent="0.25">
      <c r="B158" t="e">
        <f t="shared" si="9"/>
        <v>#N/A</v>
      </c>
      <c r="C158" s="2" t="str">
        <f t="shared" si="10"/>
        <v>0</v>
      </c>
      <c r="E158" s="10">
        <f t="shared" si="11"/>
        <v>0</v>
      </c>
      <c r="F158" s="2">
        <f t="shared" si="12"/>
        <v>0</v>
      </c>
      <c r="G158" s="2" t="str">
        <f>IF(ISERROR(B158),"-",IF(J157=0,0,SUM($F$33:F158)))</f>
        <v>-</v>
      </c>
      <c r="H158" s="2">
        <f t="shared" si="17"/>
        <v>0</v>
      </c>
      <c r="I158" s="2" t="str">
        <f>IF(ISERROR($B158),"-",IF(J157=0,0,SUM($H$33:H158)))</f>
        <v>-</v>
      </c>
      <c r="J158" s="2" t="str">
        <f t="shared" si="13"/>
        <v>-</v>
      </c>
      <c r="K158" s="2" t="str">
        <f t="shared" si="14"/>
        <v>-</v>
      </c>
      <c r="L158" s="2">
        <f t="shared" si="15"/>
        <v>0</v>
      </c>
      <c r="M158" s="2">
        <f t="shared" si="16"/>
        <v>0</v>
      </c>
      <c r="O158" s="2">
        <f>IF('Batt IN'!$N$18="Yes",BattLoan!F158*'Batt IN'!$E$7,0)</f>
        <v>0</v>
      </c>
    </row>
    <row r="159" spans="1:15" x14ac:dyDescent="0.25">
      <c r="B159" t="e">
        <f t="shared" si="9"/>
        <v>#N/A</v>
      </c>
      <c r="C159" s="2" t="str">
        <f t="shared" si="10"/>
        <v>0</v>
      </c>
      <c r="E159" s="10">
        <f t="shared" si="11"/>
        <v>0</v>
      </c>
      <c r="F159" s="2">
        <f t="shared" si="12"/>
        <v>0</v>
      </c>
      <c r="G159" s="2" t="str">
        <f>IF(ISERROR(B159),"-",IF(J158=0,0,SUM($F$33:F159)))</f>
        <v>-</v>
      </c>
      <c r="H159" s="2">
        <f t="shared" si="17"/>
        <v>0</v>
      </c>
      <c r="I159" s="2" t="str">
        <f>IF(ISERROR($B159),"-",IF(J158=0,0,SUM($H$33:H159)))</f>
        <v>-</v>
      </c>
      <c r="J159" s="2" t="str">
        <f t="shared" si="13"/>
        <v>-</v>
      </c>
      <c r="K159" s="2" t="str">
        <f t="shared" si="14"/>
        <v>-</v>
      </c>
      <c r="L159" s="2">
        <f t="shared" si="15"/>
        <v>0</v>
      </c>
      <c r="M159" s="2">
        <f t="shared" si="16"/>
        <v>0</v>
      </c>
      <c r="O159" s="2">
        <f>IF('Batt IN'!$N$18="Yes",BattLoan!F159*'Batt IN'!$E$7,0)</f>
        <v>0</v>
      </c>
    </row>
    <row r="160" spans="1:15" x14ac:dyDescent="0.25">
      <c r="B160" t="e">
        <f t="shared" si="9"/>
        <v>#N/A</v>
      </c>
      <c r="C160" s="2" t="str">
        <f t="shared" si="10"/>
        <v>0</v>
      </c>
      <c r="E160" s="10">
        <f t="shared" si="11"/>
        <v>0</v>
      </c>
      <c r="F160" s="2">
        <f t="shared" si="12"/>
        <v>0</v>
      </c>
      <c r="G160" s="2" t="str">
        <f>IF(ISERROR(B160),"-",IF(J159=0,0,SUM($F$33:F160)))</f>
        <v>-</v>
      </c>
      <c r="H160" s="2">
        <f t="shared" si="17"/>
        <v>0</v>
      </c>
      <c r="I160" s="2" t="str">
        <f>IF(ISERROR($B160),"-",IF(J159=0,0,SUM($H$33:H160)))</f>
        <v>-</v>
      </c>
      <c r="J160" s="2" t="str">
        <f t="shared" si="13"/>
        <v>-</v>
      </c>
      <c r="K160" s="2" t="str">
        <f t="shared" si="14"/>
        <v>-</v>
      </c>
      <c r="L160" s="2">
        <f t="shared" si="15"/>
        <v>0</v>
      </c>
      <c r="M160" s="2">
        <f t="shared" si="16"/>
        <v>0</v>
      </c>
      <c r="O160" s="2">
        <f>IF('Batt IN'!$N$18="Yes",BattLoan!F160*'Batt IN'!$E$7,0)</f>
        <v>0</v>
      </c>
    </row>
    <row r="161" spans="1:15" x14ac:dyDescent="0.25">
      <c r="B161" t="e">
        <f t="shared" ref="B161:B224" si="18">IF(B160&gt;=$E$9,NA(),B160+1)</f>
        <v>#N/A</v>
      </c>
      <c r="C161" s="2" t="str">
        <f t="shared" ref="C161:C224" si="19">IF(ISERROR(B161),"0",IF(J160=0,0,$E$11))</f>
        <v>0</v>
      </c>
      <c r="E161" s="10">
        <f t="shared" ref="E161:E224" si="20">C161+D161</f>
        <v>0</v>
      </c>
      <c r="F161" s="2">
        <f t="shared" ref="F161:F224" si="21">IF(ISERROR(B161),0,$E$8*J160)</f>
        <v>0</v>
      </c>
      <c r="G161" s="2" t="str">
        <f>IF(ISERROR(B161),"-",IF(J160=0,0,SUM($F$33:F161)))</f>
        <v>-</v>
      </c>
      <c r="H161" s="2">
        <f t="shared" si="17"/>
        <v>0</v>
      </c>
      <c r="I161" s="2" t="str">
        <f>IF(ISERROR($B161),"-",IF(J160=0,0,SUM($H$33:H161)))</f>
        <v>-</v>
      </c>
      <c r="J161" s="2" t="str">
        <f t="shared" ref="J161:J224" si="22">IF(ISERROR($B161),"-",IF(J160-H161&lt;0,0,J160-H161))</f>
        <v>-</v>
      </c>
      <c r="K161" s="2" t="str">
        <f t="shared" ref="K161:K224" si="23">IF(ISERROR(B161),"-",J160-H161)</f>
        <v>-</v>
      </c>
      <c r="L161" s="2">
        <f t="shared" ref="L161:L224" si="24">IF(K161&gt;=0,E161,E161+K161)</f>
        <v>0</v>
      </c>
      <c r="M161" s="2">
        <f t="shared" ref="M161:M224" si="25">-IF(K161&lt;0,K161,0)</f>
        <v>0</v>
      </c>
      <c r="O161" s="2">
        <f>IF('Batt IN'!$N$18="Yes",BattLoan!F161*'Batt IN'!$E$7,0)</f>
        <v>0</v>
      </c>
    </row>
    <row r="162" spans="1:15" x14ac:dyDescent="0.25">
      <c r="B162" t="e">
        <f t="shared" si="18"/>
        <v>#N/A</v>
      </c>
      <c r="C162" s="2" t="str">
        <f t="shared" si="19"/>
        <v>0</v>
      </c>
      <c r="E162" s="10">
        <f t="shared" si="20"/>
        <v>0</v>
      </c>
      <c r="F162" s="2">
        <f t="shared" si="21"/>
        <v>0</v>
      </c>
      <c r="G162" s="2" t="str">
        <f>IF(ISERROR(B162),"-",IF(J161=0,0,SUM($F$33:F162)))</f>
        <v>-</v>
      </c>
      <c r="H162" s="2">
        <f t="shared" ref="H162:H225" si="26">IF(ISERROR($B162),0,IF(J161=0,0,E162-F162))</f>
        <v>0</v>
      </c>
      <c r="I162" s="2" t="str">
        <f>IF(ISERROR($B162),"-",IF(J161=0,0,SUM($H$33:H162)))</f>
        <v>-</v>
      </c>
      <c r="J162" s="2" t="str">
        <f t="shared" si="22"/>
        <v>-</v>
      </c>
      <c r="K162" s="2" t="str">
        <f t="shared" si="23"/>
        <v>-</v>
      </c>
      <c r="L162" s="2">
        <f t="shared" si="24"/>
        <v>0</v>
      </c>
      <c r="M162" s="2">
        <f t="shared" si="25"/>
        <v>0</v>
      </c>
      <c r="O162" s="2">
        <f>IF('Batt IN'!$N$18="Yes",BattLoan!F162*'Batt IN'!$E$7,0)</f>
        <v>0</v>
      </c>
    </row>
    <row r="163" spans="1:15" x14ac:dyDescent="0.25">
      <c r="B163" t="e">
        <f t="shared" si="18"/>
        <v>#N/A</v>
      </c>
      <c r="C163" s="2" t="str">
        <f t="shared" si="19"/>
        <v>0</v>
      </c>
      <c r="E163" s="10">
        <f t="shared" si="20"/>
        <v>0</v>
      </c>
      <c r="F163" s="2">
        <f t="shared" si="21"/>
        <v>0</v>
      </c>
      <c r="G163" s="2" t="str">
        <f>IF(ISERROR(B163),"-",IF(J162=0,0,SUM($F$33:F163)))</f>
        <v>-</v>
      </c>
      <c r="H163" s="2">
        <f t="shared" si="26"/>
        <v>0</v>
      </c>
      <c r="I163" s="2" t="str">
        <f>IF(ISERROR($B163),"-",IF(J162=0,0,SUM($H$33:H163)))</f>
        <v>-</v>
      </c>
      <c r="J163" s="2" t="str">
        <f t="shared" si="22"/>
        <v>-</v>
      </c>
      <c r="K163" s="2" t="str">
        <f t="shared" si="23"/>
        <v>-</v>
      </c>
      <c r="L163" s="2">
        <f t="shared" si="24"/>
        <v>0</v>
      </c>
      <c r="M163" s="2">
        <f t="shared" si="25"/>
        <v>0</v>
      </c>
      <c r="O163" s="2">
        <f>IF('Batt IN'!$N$18="Yes",BattLoan!F163*'Batt IN'!$E$7,0)</f>
        <v>0</v>
      </c>
    </row>
    <row r="164" spans="1:15" x14ac:dyDescent="0.25">
      <c r="A164">
        <v>11</v>
      </c>
      <c r="B164" t="e">
        <f t="shared" si="18"/>
        <v>#N/A</v>
      </c>
      <c r="C164" s="2" t="str">
        <f t="shared" si="19"/>
        <v>0</v>
      </c>
      <c r="E164" s="10">
        <f t="shared" si="20"/>
        <v>0</v>
      </c>
      <c r="F164" s="2">
        <f t="shared" si="21"/>
        <v>0</v>
      </c>
      <c r="G164" s="2" t="str">
        <f>IF(ISERROR(B164),"-",IF(J163=0,0,SUM($F$33:F164)))</f>
        <v>-</v>
      </c>
      <c r="H164" s="2">
        <f t="shared" si="26"/>
        <v>0</v>
      </c>
      <c r="I164" s="2" t="str">
        <f>IF(ISERROR($B164),"-",IF(J163=0,0,SUM($H$33:H164)))</f>
        <v>-</v>
      </c>
      <c r="J164" s="2" t="str">
        <f t="shared" si="22"/>
        <v>-</v>
      </c>
      <c r="K164" s="2" t="str">
        <f t="shared" si="23"/>
        <v>-</v>
      </c>
      <c r="L164" s="2">
        <f t="shared" si="24"/>
        <v>0</v>
      </c>
      <c r="M164" s="2">
        <f t="shared" si="25"/>
        <v>0</v>
      </c>
      <c r="O164" s="2">
        <f>IF('Batt IN'!$N$18="Yes",BattLoan!F164*'Batt IN'!$E$7,0)</f>
        <v>0</v>
      </c>
    </row>
    <row r="165" spans="1:15" x14ac:dyDescent="0.25">
      <c r="B165" t="e">
        <f t="shared" si="18"/>
        <v>#N/A</v>
      </c>
      <c r="C165" s="2" t="str">
        <f t="shared" si="19"/>
        <v>0</v>
      </c>
      <c r="E165" s="10">
        <f t="shared" si="20"/>
        <v>0</v>
      </c>
      <c r="F165" s="2">
        <f t="shared" si="21"/>
        <v>0</v>
      </c>
      <c r="G165" s="2" t="str">
        <f>IF(ISERROR(B165),"-",IF(J164=0,0,SUM($F$33:F165)))</f>
        <v>-</v>
      </c>
      <c r="H165" s="2">
        <f t="shared" si="26"/>
        <v>0</v>
      </c>
      <c r="I165" s="2" t="str">
        <f>IF(ISERROR($B165),"-",IF(J164=0,0,SUM($H$33:H165)))</f>
        <v>-</v>
      </c>
      <c r="J165" s="2" t="str">
        <f t="shared" si="22"/>
        <v>-</v>
      </c>
      <c r="K165" s="2" t="str">
        <f t="shared" si="23"/>
        <v>-</v>
      </c>
      <c r="L165" s="2">
        <f t="shared" si="24"/>
        <v>0</v>
      </c>
      <c r="M165" s="2">
        <f t="shared" si="25"/>
        <v>0</v>
      </c>
      <c r="O165" s="2">
        <f>IF('Batt IN'!$N$18="Yes",BattLoan!F165*'Batt IN'!$E$7,0)</f>
        <v>0</v>
      </c>
    </row>
    <row r="166" spans="1:15" x14ac:dyDescent="0.25">
      <c r="B166" t="e">
        <f t="shared" si="18"/>
        <v>#N/A</v>
      </c>
      <c r="C166" s="2" t="str">
        <f t="shared" si="19"/>
        <v>0</v>
      </c>
      <c r="E166" s="10">
        <f t="shared" si="20"/>
        <v>0</v>
      </c>
      <c r="F166" s="2">
        <f t="shared" si="21"/>
        <v>0</v>
      </c>
      <c r="G166" s="2" t="str">
        <f>IF(ISERROR(B166),"-",IF(J165=0,0,SUM($F$33:F166)))</f>
        <v>-</v>
      </c>
      <c r="H166" s="2">
        <f t="shared" si="26"/>
        <v>0</v>
      </c>
      <c r="I166" s="2" t="str">
        <f>IF(ISERROR($B166),"-",IF(J165=0,0,SUM($H$33:H166)))</f>
        <v>-</v>
      </c>
      <c r="J166" s="2" t="str">
        <f t="shared" si="22"/>
        <v>-</v>
      </c>
      <c r="K166" s="2" t="str">
        <f t="shared" si="23"/>
        <v>-</v>
      </c>
      <c r="L166" s="2">
        <f t="shared" si="24"/>
        <v>0</v>
      </c>
      <c r="M166" s="2">
        <f t="shared" si="25"/>
        <v>0</v>
      </c>
      <c r="O166" s="2">
        <f>IF('Batt IN'!$N$18="Yes",BattLoan!F166*'Batt IN'!$E$7,0)</f>
        <v>0</v>
      </c>
    </row>
    <row r="167" spans="1:15" x14ac:dyDescent="0.25">
      <c r="B167" t="e">
        <f t="shared" si="18"/>
        <v>#N/A</v>
      </c>
      <c r="C167" s="2" t="str">
        <f t="shared" si="19"/>
        <v>0</v>
      </c>
      <c r="E167" s="10">
        <f t="shared" si="20"/>
        <v>0</v>
      </c>
      <c r="F167" s="2">
        <f t="shared" si="21"/>
        <v>0</v>
      </c>
      <c r="G167" s="2" t="str">
        <f>IF(ISERROR(B167),"-",IF(J166=0,0,SUM($F$33:F167)))</f>
        <v>-</v>
      </c>
      <c r="H167" s="2">
        <f t="shared" si="26"/>
        <v>0</v>
      </c>
      <c r="I167" s="2" t="str">
        <f>IF(ISERROR($B167),"-",IF(J166=0,0,SUM($H$33:H167)))</f>
        <v>-</v>
      </c>
      <c r="J167" s="2" t="str">
        <f t="shared" si="22"/>
        <v>-</v>
      </c>
      <c r="K167" s="2" t="str">
        <f t="shared" si="23"/>
        <v>-</v>
      </c>
      <c r="L167" s="2">
        <f t="shared" si="24"/>
        <v>0</v>
      </c>
      <c r="M167" s="2">
        <f t="shared" si="25"/>
        <v>0</v>
      </c>
      <c r="O167" s="2">
        <f>IF('Batt IN'!$N$18="Yes",BattLoan!F167*'Batt IN'!$E$7,0)</f>
        <v>0</v>
      </c>
    </row>
    <row r="168" spans="1:15" x14ac:dyDescent="0.25">
      <c r="B168" t="e">
        <f t="shared" si="18"/>
        <v>#N/A</v>
      </c>
      <c r="C168" s="2" t="str">
        <f t="shared" si="19"/>
        <v>0</v>
      </c>
      <c r="E168" s="10">
        <f t="shared" si="20"/>
        <v>0</v>
      </c>
      <c r="F168" s="2">
        <f t="shared" si="21"/>
        <v>0</v>
      </c>
      <c r="G168" s="2" t="str">
        <f>IF(ISERROR(B168),"-",IF(J167=0,0,SUM($F$33:F168)))</f>
        <v>-</v>
      </c>
      <c r="H168" s="2">
        <f t="shared" si="26"/>
        <v>0</v>
      </c>
      <c r="I168" s="2" t="str">
        <f>IF(ISERROR($B168),"-",IF(J167=0,0,SUM($H$33:H168)))</f>
        <v>-</v>
      </c>
      <c r="J168" s="2" t="str">
        <f t="shared" si="22"/>
        <v>-</v>
      </c>
      <c r="K168" s="2" t="str">
        <f t="shared" si="23"/>
        <v>-</v>
      </c>
      <c r="L168" s="2">
        <f t="shared" si="24"/>
        <v>0</v>
      </c>
      <c r="M168" s="2">
        <f t="shared" si="25"/>
        <v>0</v>
      </c>
      <c r="O168" s="2">
        <f>IF('Batt IN'!$N$18="Yes",BattLoan!F168*'Batt IN'!$E$7,0)</f>
        <v>0</v>
      </c>
    </row>
    <row r="169" spans="1:15" x14ac:dyDescent="0.25">
      <c r="B169" t="e">
        <f t="shared" si="18"/>
        <v>#N/A</v>
      </c>
      <c r="C169" s="2" t="str">
        <f t="shared" si="19"/>
        <v>0</v>
      </c>
      <c r="E169" s="10">
        <f t="shared" si="20"/>
        <v>0</v>
      </c>
      <c r="F169" s="2">
        <f t="shared" si="21"/>
        <v>0</v>
      </c>
      <c r="G169" s="2" t="str">
        <f>IF(ISERROR(B169),"-",IF(J168=0,0,SUM($F$33:F169)))</f>
        <v>-</v>
      </c>
      <c r="H169" s="2">
        <f t="shared" si="26"/>
        <v>0</v>
      </c>
      <c r="I169" s="2" t="str">
        <f>IF(ISERROR($B169),"-",IF(J168=0,0,SUM($H$33:H169)))</f>
        <v>-</v>
      </c>
      <c r="J169" s="2" t="str">
        <f t="shared" si="22"/>
        <v>-</v>
      </c>
      <c r="K169" s="2" t="str">
        <f t="shared" si="23"/>
        <v>-</v>
      </c>
      <c r="L169" s="2">
        <f t="shared" si="24"/>
        <v>0</v>
      </c>
      <c r="M169" s="2">
        <f t="shared" si="25"/>
        <v>0</v>
      </c>
      <c r="O169" s="2">
        <f>IF('Batt IN'!$N$18="Yes",BattLoan!F169*'Batt IN'!$E$7,0)</f>
        <v>0</v>
      </c>
    </row>
    <row r="170" spans="1:15" x14ac:dyDescent="0.25">
      <c r="B170" t="e">
        <f t="shared" si="18"/>
        <v>#N/A</v>
      </c>
      <c r="C170" s="2" t="str">
        <f t="shared" si="19"/>
        <v>0</v>
      </c>
      <c r="E170" s="10">
        <f t="shared" si="20"/>
        <v>0</v>
      </c>
      <c r="F170" s="2">
        <f t="shared" si="21"/>
        <v>0</v>
      </c>
      <c r="G170" s="2" t="str">
        <f>IF(ISERROR(B170),"-",IF(J169=0,0,SUM($F$33:F170)))</f>
        <v>-</v>
      </c>
      <c r="H170" s="2">
        <f t="shared" si="26"/>
        <v>0</v>
      </c>
      <c r="I170" s="2" t="str">
        <f>IF(ISERROR($B170),"-",IF(J169=0,0,SUM($H$33:H170)))</f>
        <v>-</v>
      </c>
      <c r="J170" s="2" t="str">
        <f t="shared" si="22"/>
        <v>-</v>
      </c>
      <c r="K170" s="2" t="str">
        <f t="shared" si="23"/>
        <v>-</v>
      </c>
      <c r="L170" s="2">
        <f t="shared" si="24"/>
        <v>0</v>
      </c>
      <c r="M170" s="2">
        <f t="shared" si="25"/>
        <v>0</v>
      </c>
      <c r="O170" s="2">
        <f>IF('Batt IN'!$N$18="Yes",BattLoan!F170*'Batt IN'!$E$7,0)</f>
        <v>0</v>
      </c>
    </row>
    <row r="171" spans="1:15" x14ac:dyDescent="0.25">
      <c r="B171" t="e">
        <f t="shared" si="18"/>
        <v>#N/A</v>
      </c>
      <c r="C171" s="2" t="str">
        <f t="shared" si="19"/>
        <v>0</v>
      </c>
      <c r="E171" s="10">
        <f t="shared" si="20"/>
        <v>0</v>
      </c>
      <c r="F171" s="2">
        <f t="shared" si="21"/>
        <v>0</v>
      </c>
      <c r="G171" s="2" t="str">
        <f>IF(ISERROR(B171),"-",IF(J170=0,0,SUM($F$33:F171)))</f>
        <v>-</v>
      </c>
      <c r="H171" s="2">
        <f t="shared" si="26"/>
        <v>0</v>
      </c>
      <c r="I171" s="2" t="str">
        <f>IF(ISERROR($B171),"-",IF(J170=0,0,SUM($H$33:H171)))</f>
        <v>-</v>
      </c>
      <c r="J171" s="2" t="str">
        <f t="shared" si="22"/>
        <v>-</v>
      </c>
      <c r="K171" s="2" t="str">
        <f t="shared" si="23"/>
        <v>-</v>
      </c>
      <c r="L171" s="2">
        <f t="shared" si="24"/>
        <v>0</v>
      </c>
      <c r="M171" s="2">
        <f t="shared" si="25"/>
        <v>0</v>
      </c>
      <c r="O171" s="2">
        <f>IF('Batt IN'!$N$18="Yes",BattLoan!F171*'Batt IN'!$E$7,0)</f>
        <v>0</v>
      </c>
    </row>
    <row r="172" spans="1:15" x14ac:dyDescent="0.25">
      <c r="B172" t="e">
        <f t="shared" si="18"/>
        <v>#N/A</v>
      </c>
      <c r="C172" s="2" t="str">
        <f t="shared" si="19"/>
        <v>0</v>
      </c>
      <c r="E172" s="10">
        <f t="shared" si="20"/>
        <v>0</v>
      </c>
      <c r="F172" s="2">
        <f t="shared" si="21"/>
        <v>0</v>
      </c>
      <c r="G172" s="2" t="str">
        <f>IF(ISERROR(B172),"-",IF(J171=0,0,SUM($F$33:F172)))</f>
        <v>-</v>
      </c>
      <c r="H172" s="2">
        <f t="shared" si="26"/>
        <v>0</v>
      </c>
      <c r="I172" s="2" t="str">
        <f>IF(ISERROR($B172),"-",IF(J171=0,0,SUM($H$33:H172)))</f>
        <v>-</v>
      </c>
      <c r="J172" s="2" t="str">
        <f t="shared" si="22"/>
        <v>-</v>
      </c>
      <c r="K172" s="2" t="str">
        <f t="shared" si="23"/>
        <v>-</v>
      </c>
      <c r="L172" s="2">
        <f t="shared" si="24"/>
        <v>0</v>
      </c>
      <c r="M172" s="2">
        <f t="shared" si="25"/>
        <v>0</v>
      </c>
      <c r="O172" s="2">
        <f>IF('Batt IN'!$N$18="Yes",BattLoan!F172*'Batt IN'!$E$7,0)</f>
        <v>0</v>
      </c>
    </row>
    <row r="173" spans="1:15" x14ac:dyDescent="0.25">
      <c r="B173" t="e">
        <f t="shared" si="18"/>
        <v>#N/A</v>
      </c>
      <c r="C173" s="2" t="str">
        <f t="shared" si="19"/>
        <v>0</v>
      </c>
      <c r="E173" s="10">
        <f t="shared" si="20"/>
        <v>0</v>
      </c>
      <c r="F173" s="2">
        <f t="shared" si="21"/>
        <v>0</v>
      </c>
      <c r="G173" s="2" t="str">
        <f>IF(ISERROR(B173),"-",IF(J172=0,0,SUM($F$33:F173)))</f>
        <v>-</v>
      </c>
      <c r="H173" s="2">
        <f t="shared" si="26"/>
        <v>0</v>
      </c>
      <c r="I173" s="2" t="str">
        <f>IF(ISERROR($B173),"-",IF(J172=0,0,SUM($H$33:H173)))</f>
        <v>-</v>
      </c>
      <c r="J173" s="2" t="str">
        <f t="shared" si="22"/>
        <v>-</v>
      </c>
      <c r="K173" s="2" t="str">
        <f t="shared" si="23"/>
        <v>-</v>
      </c>
      <c r="L173" s="2">
        <f t="shared" si="24"/>
        <v>0</v>
      </c>
      <c r="M173" s="2">
        <f t="shared" si="25"/>
        <v>0</v>
      </c>
      <c r="O173" s="2">
        <f>IF('Batt IN'!$N$18="Yes",BattLoan!F173*'Batt IN'!$E$7,0)</f>
        <v>0</v>
      </c>
    </row>
    <row r="174" spans="1:15" x14ac:dyDescent="0.25">
      <c r="B174" t="e">
        <f t="shared" si="18"/>
        <v>#N/A</v>
      </c>
      <c r="C174" s="2" t="str">
        <f t="shared" si="19"/>
        <v>0</v>
      </c>
      <c r="E174" s="10">
        <f t="shared" si="20"/>
        <v>0</v>
      </c>
      <c r="F174" s="2">
        <f t="shared" si="21"/>
        <v>0</v>
      </c>
      <c r="G174" s="2" t="str">
        <f>IF(ISERROR(B174),"-",IF(J173=0,0,SUM($F$33:F174)))</f>
        <v>-</v>
      </c>
      <c r="H174" s="2">
        <f t="shared" si="26"/>
        <v>0</v>
      </c>
      <c r="I174" s="2" t="str">
        <f>IF(ISERROR($B174),"-",IF(J173=0,0,SUM($H$33:H174)))</f>
        <v>-</v>
      </c>
      <c r="J174" s="2" t="str">
        <f t="shared" si="22"/>
        <v>-</v>
      </c>
      <c r="K174" s="2" t="str">
        <f t="shared" si="23"/>
        <v>-</v>
      </c>
      <c r="L174" s="2">
        <f t="shared" si="24"/>
        <v>0</v>
      </c>
      <c r="M174" s="2">
        <f t="shared" si="25"/>
        <v>0</v>
      </c>
      <c r="O174" s="2">
        <f>IF('Batt IN'!$N$18="Yes",BattLoan!F174*'Batt IN'!$E$7,0)</f>
        <v>0</v>
      </c>
    </row>
    <row r="175" spans="1:15" x14ac:dyDescent="0.25">
      <c r="B175" t="e">
        <f t="shared" si="18"/>
        <v>#N/A</v>
      </c>
      <c r="C175" s="2" t="str">
        <f t="shared" si="19"/>
        <v>0</v>
      </c>
      <c r="E175" s="10">
        <f t="shared" si="20"/>
        <v>0</v>
      </c>
      <c r="F175" s="2">
        <f t="shared" si="21"/>
        <v>0</v>
      </c>
      <c r="G175" s="2" t="str">
        <f>IF(ISERROR(B175),"-",IF(J174=0,0,SUM($F$33:F175)))</f>
        <v>-</v>
      </c>
      <c r="H175" s="2">
        <f t="shared" si="26"/>
        <v>0</v>
      </c>
      <c r="I175" s="2" t="str">
        <f>IF(ISERROR($B175),"-",IF(J174=0,0,SUM($H$33:H175)))</f>
        <v>-</v>
      </c>
      <c r="J175" s="2" t="str">
        <f t="shared" si="22"/>
        <v>-</v>
      </c>
      <c r="K175" s="2" t="str">
        <f t="shared" si="23"/>
        <v>-</v>
      </c>
      <c r="L175" s="2">
        <f t="shared" si="24"/>
        <v>0</v>
      </c>
      <c r="M175" s="2">
        <f t="shared" si="25"/>
        <v>0</v>
      </c>
      <c r="O175" s="2">
        <f>IF('Batt IN'!$N$18="Yes",BattLoan!F175*'Batt IN'!$E$7,0)</f>
        <v>0</v>
      </c>
    </row>
    <row r="176" spans="1:15" x14ac:dyDescent="0.25">
      <c r="A176">
        <v>12</v>
      </c>
      <c r="B176" t="e">
        <f t="shared" si="18"/>
        <v>#N/A</v>
      </c>
      <c r="C176" s="2" t="str">
        <f t="shared" si="19"/>
        <v>0</v>
      </c>
      <c r="E176" s="10">
        <f t="shared" si="20"/>
        <v>0</v>
      </c>
      <c r="F176" s="2">
        <f t="shared" si="21"/>
        <v>0</v>
      </c>
      <c r="G176" s="2" t="str">
        <f>IF(ISERROR(B176),"-",IF(J175=0,0,SUM($F$33:F176)))</f>
        <v>-</v>
      </c>
      <c r="H176" s="2">
        <f t="shared" si="26"/>
        <v>0</v>
      </c>
      <c r="I176" s="2" t="str">
        <f>IF(ISERROR($B176),"-",IF(J175=0,0,SUM($H$33:H176)))</f>
        <v>-</v>
      </c>
      <c r="J176" s="2" t="str">
        <f t="shared" si="22"/>
        <v>-</v>
      </c>
      <c r="K176" s="2" t="str">
        <f t="shared" si="23"/>
        <v>-</v>
      </c>
      <c r="L176" s="2">
        <f t="shared" si="24"/>
        <v>0</v>
      </c>
      <c r="M176" s="2">
        <f t="shared" si="25"/>
        <v>0</v>
      </c>
      <c r="O176" s="2">
        <f>IF('Batt IN'!$N$18="Yes",BattLoan!F176*'Batt IN'!$E$7,0)</f>
        <v>0</v>
      </c>
    </row>
    <row r="177" spans="1:15" x14ac:dyDescent="0.25">
      <c r="B177" t="e">
        <f t="shared" si="18"/>
        <v>#N/A</v>
      </c>
      <c r="C177" s="2" t="str">
        <f t="shared" si="19"/>
        <v>0</v>
      </c>
      <c r="E177" s="10">
        <f t="shared" si="20"/>
        <v>0</v>
      </c>
      <c r="F177" s="2">
        <f t="shared" si="21"/>
        <v>0</v>
      </c>
      <c r="G177" s="2" t="str">
        <f>IF(ISERROR(B177),"-",IF(J176=0,0,SUM($F$33:F177)))</f>
        <v>-</v>
      </c>
      <c r="H177" s="2">
        <f t="shared" si="26"/>
        <v>0</v>
      </c>
      <c r="I177" s="2" t="str">
        <f>IF(ISERROR($B177),"-",IF(J176=0,0,SUM($H$33:H177)))</f>
        <v>-</v>
      </c>
      <c r="J177" s="2" t="str">
        <f t="shared" si="22"/>
        <v>-</v>
      </c>
      <c r="K177" s="2" t="str">
        <f t="shared" si="23"/>
        <v>-</v>
      </c>
      <c r="L177" s="2">
        <f t="shared" si="24"/>
        <v>0</v>
      </c>
      <c r="M177" s="2">
        <f t="shared" si="25"/>
        <v>0</v>
      </c>
      <c r="O177" s="2">
        <f>IF('Batt IN'!$N$18="Yes",BattLoan!F177*'Batt IN'!$E$7,0)</f>
        <v>0</v>
      </c>
    </row>
    <row r="178" spans="1:15" x14ac:dyDescent="0.25">
      <c r="B178" t="e">
        <f t="shared" si="18"/>
        <v>#N/A</v>
      </c>
      <c r="C178" s="2" t="str">
        <f t="shared" si="19"/>
        <v>0</v>
      </c>
      <c r="E178" s="10">
        <f t="shared" si="20"/>
        <v>0</v>
      </c>
      <c r="F178" s="2">
        <f t="shared" si="21"/>
        <v>0</v>
      </c>
      <c r="G178" s="2" t="str">
        <f>IF(ISERROR(B178),"-",IF(J177=0,0,SUM($F$33:F178)))</f>
        <v>-</v>
      </c>
      <c r="H178" s="2">
        <f t="shared" si="26"/>
        <v>0</v>
      </c>
      <c r="I178" s="2" t="str">
        <f>IF(ISERROR($B178),"-",IF(J177=0,0,SUM($H$33:H178)))</f>
        <v>-</v>
      </c>
      <c r="J178" s="2" t="str">
        <f t="shared" si="22"/>
        <v>-</v>
      </c>
      <c r="K178" s="2" t="str">
        <f t="shared" si="23"/>
        <v>-</v>
      </c>
      <c r="L178" s="2">
        <f t="shared" si="24"/>
        <v>0</v>
      </c>
      <c r="M178" s="2">
        <f t="shared" si="25"/>
        <v>0</v>
      </c>
      <c r="O178" s="2">
        <f>IF('Batt IN'!$N$18="Yes",BattLoan!F178*'Batt IN'!$E$7,0)</f>
        <v>0</v>
      </c>
    </row>
    <row r="179" spans="1:15" x14ac:dyDescent="0.25">
      <c r="B179" t="e">
        <f t="shared" si="18"/>
        <v>#N/A</v>
      </c>
      <c r="C179" s="2" t="str">
        <f t="shared" si="19"/>
        <v>0</v>
      </c>
      <c r="E179" s="10">
        <f t="shared" si="20"/>
        <v>0</v>
      </c>
      <c r="F179" s="2">
        <f t="shared" si="21"/>
        <v>0</v>
      </c>
      <c r="G179" s="2" t="str">
        <f>IF(ISERROR(B179),"-",IF(J178=0,0,SUM($F$33:F179)))</f>
        <v>-</v>
      </c>
      <c r="H179" s="2">
        <f t="shared" si="26"/>
        <v>0</v>
      </c>
      <c r="I179" s="2" t="str">
        <f>IF(ISERROR($B179),"-",IF(J178=0,0,SUM($H$33:H179)))</f>
        <v>-</v>
      </c>
      <c r="J179" s="2" t="str">
        <f t="shared" si="22"/>
        <v>-</v>
      </c>
      <c r="K179" s="2" t="str">
        <f t="shared" si="23"/>
        <v>-</v>
      </c>
      <c r="L179" s="2">
        <f t="shared" si="24"/>
        <v>0</v>
      </c>
      <c r="M179" s="2">
        <f t="shared" si="25"/>
        <v>0</v>
      </c>
      <c r="O179" s="2">
        <f>IF('Batt IN'!$N$18="Yes",BattLoan!F179*'Batt IN'!$E$7,0)</f>
        <v>0</v>
      </c>
    </row>
    <row r="180" spans="1:15" x14ac:dyDescent="0.25">
      <c r="B180" t="e">
        <f t="shared" si="18"/>
        <v>#N/A</v>
      </c>
      <c r="C180" s="2" t="str">
        <f t="shared" si="19"/>
        <v>0</v>
      </c>
      <c r="E180" s="10">
        <f t="shared" si="20"/>
        <v>0</v>
      </c>
      <c r="F180" s="2">
        <f t="shared" si="21"/>
        <v>0</v>
      </c>
      <c r="G180" s="2" t="str">
        <f>IF(ISERROR(B180),"-",IF(J179=0,0,SUM($F$33:F180)))</f>
        <v>-</v>
      </c>
      <c r="H180" s="2">
        <f t="shared" si="26"/>
        <v>0</v>
      </c>
      <c r="I180" s="2" t="str">
        <f>IF(ISERROR($B180),"-",IF(J179=0,0,SUM($H$33:H180)))</f>
        <v>-</v>
      </c>
      <c r="J180" s="2" t="str">
        <f t="shared" si="22"/>
        <v>-</v>
      </c>
      <c r="K180" s="2" t="str">
        <f t="shared" si="23"/>
        <v>-</v>
      </c>
      <c r="L180" s="2">
        <f t="shared" si="24"/>
        <v>0</v>
      </c>
      <c r="M180" s="2">
        <f t="shared" si="25"/>
        <v>0</v>
      </c>
      <c r="O180" s="2">
        <f>IF('Batt IN'!$N$18="Yes",BattLoan!F180*'Batt IN'!$E$7,0)</f>
        <v>0</v>
      </c>
    </row>
    <row r="181" spans="1:15" x14ac:dyDescent="0.25">
      <c r="B181" t="e">
        <f t="shared" si="18"/>
        <v>#N/A</v>
      </c>
      <c r="C181" s="2" t="str">
        <f t="shared" si="19"/>
        <v>0</v>
      </c>
      <c r="E181" s="10">
        <f t="shared" si="20"/>
        <v>0</v>
      </c>
      <c r="F181" s="2">
        <f t="shared" si="21"/>
        <v>0</v>
      </c>
      <c r="G181" s="2" t="str">
        <f>IF(ISERROR(B181),"-",IF(J180=0,0,SUM($F$33:F181)))</f>
        <v>-</v>
      </c>
      <c r="H181" s="2">
        <f t="shared" si="26"/>
        <v>0</v>
      </c>
      <c r="I181" s="2" t="str">
        <f>IF(ISERROR($B181),"-",IF(J180=0,0,SUM($H$33:H181)))</f>
        <v>-</v>
      </c>
      <c r="J181" s="2" t="str">
        <f t="shared" si="22"/>
        <v>-</v>
      </c>
      <c r="K181" s="2" t="str">
        <f t="shared" si="23"/>
        <v>-</v>
      </c>
      <c r="L181" s="2">
        <f t="shared" si="24"/>
        <v>0</v>
      </c>
      <c r="M181" s="2">
        <f t="shared" si="25"/>
        <v>0</v>
      </c>
      <c r="O181" s="2">
        <f>IF('Batt IN'!$N$18="Yes",BattLoan!F181*'Batt IN'!$E$7,0)</f>
        <v>0</v>
      </c>
    </row>
    <row r="182" spans="1:15" x14ac:dyDescent="0.25">
      <c r="B182" t="e">
        <f t="shared" si="18"/>
        <v>#N/A</v>
      </c>
      <c r="C182" s="2" t="str">
        <f t="shared" si="19"/>
        <v>0</v>
      </c>
      <c r="E182" s="10">
        <f t="shared" si="20"/>
        <v>0</v>
      </c>
      <c r="F182" s="2">
        <f t="shared" si="21"/>
        <v>0</v>
      </c>
      <c r="G182" s="2" t="str">
        <f>IF(ISERROR(B182),"-",IF(J181=0,0,SUM($F$33:F182)))</f>
        <v>-</v>
      </c>
      <c r="H182" s="2">
        <f t="shared" si="26"/>
        <v>0</v>
      </c>
      <c r="I182" s="2" t="str">
        <f>IF(ISERROR($B182),"-",IF(J181=0,0,SUM($H$33:H182)))</f>
        <v>-</v>
      </c>
      <c r="J182" s="2" t="str">
        <f t="shared" si="22"/>
        <v>-</v>
      </c>
      <c r="K182" s="2" t="str">
        <f t="shared" si="23"/>
        <v>-</v>
      </c>
      <c r="L182" s="2">
        <f t="shared" si="24"/>
        <v>0</v>
      </c>
      <c r="M182" s="2">
        <f t="shared" si="25"/>
        <v>0</v>
      </c>
      <c r="O182" s="2">
        <f>IF('Batt IN'!$N$18="Yes",BattLoan!F182*'Batt IN'!$E$7,0)</f>
        <v>0</v>
      </c>
    </row>
    <row r="183" spans="1:15" x14ac:dyDescent="0.25">
      <c r="B183" t="e">
        <f t="shared" si="18"/>
        <v>#N/A</v>
      </c>
      <c r="C183" s="2" t="str">
        <f t="shared" si="19"/>
        <v>0</v>
      </c>
      <c r="E183" s="10">
        <f t="shared" si="20"/>
        <v>0</v>
      </c>
      <c r="F183" s="2">
        <f t="shared" si="21"/>
        <v>0</v>
      </c>
      <c r="G183" s="2" t="str">
        <f>IF(ISERROR(B183),"-",IF(J182=0,0,SUM($F$33:F183)))</f>
        <v>-</v>
      </c>
      <c r="H183" s="2">
        <f t="shared" si="26"/>
        <v>0</v>
      </c>
      <c r="I183" s="2" t="str">
        <f>IF(ISERROR($B183),"-",IF(J182=0,0,SUM($H$33:H183)))</f>
        <v>-</v>
      </c>
      <c r="J183" s="2" t="str">
        <f t="shared" si="22"/>
        <v>-</v>
      </c>
      <c r="K183" s="2" t="str">
        <f t="shared" si="23"/>
        <v>-</v>
      </c>
      <c r="L183" s="2">
        <f t="shared" si="24"/>
        <v>0</v>
      </c>
      <c r="M183" s="2">
        <f t="shared" si="25"/>
        <v>0</v>
      </c>
      <c r="O183" s="2">
        <f>IF('Batt IN'!$N$18="Yes",BattLoan!F183*'Batt IN'!$E$7,0)</f>
        <v>0</v>
      </c>
    </row>
    <row r="184" spans="1:15" x14ac:dyDescent="0.25">
      <c r="B184" t="e">
        <f t="shared" si="18"/>
        <v>#N/A</v>
      </c>
      <c r="C184" s="2" t="str">
        <f t="shared" si="19"/>
        <v>0</v>
      </c>
      <c r="E184" s="10">
        <f t="shared" si="20"/>
        <v>0</v>
      </c>
      <c r="F184" s="2">
        <f t="shared" si="21"/>
        <v>0</v>
      </c>
      <c r="G184" s="2" t="str">
        <f>IF(ISERROR(B184),"-",IF(J183=0,0,SUM($F$33:F184)))</f>
        <v>-</v>
      </c>
      <c r="H184" s="2">
        <f t="shared" si="26"/>
        <v>0</v>
      </c>
      <c r="I184" s="2" t="str">
        <f>IF(ISERROR($B184),"-",IF(J183=0,0,SUM($H$33:H184)))</f>
        <v>-</v>
      </c>
      <c r="J184" s="2" t="str">
        <f t="shared" si="22"/>
        <v>-</v>
      </c>
      <c r="K184" s="2" t="str">
        <f t="shared" si="23"/>
        <v>-</v>
      </c>
      <c r="L184" s="2">
        <f t="shared" si="24"/>
        <v>0</v>
      </c>
      <c r="M184" s="2">
        <f t="shared" si="25"/>
        <v>0</v>
      </c>
      <c r="O184" s="2">
        <f>IF('Batt IN'!$N$18="Yes",BattLoan!F184*'Batt IN'!$E$7,0)</f>
        <v>0</v>
      </c>
    </row>
    <row r="185" spans="1:15" x14ac:dyDescent="0.25">
      <c r="B185" t="e">
        <f t="shared" si="18"/>
        <v>#N/A</v>
      </c>
      <c r="C185" s="2" t="str">
        <f t="shared" si="19"/>
        <v>0</v>
      </c>
      <c r="E185" s="10">
        <f t="shared" si="20"/>
        <v>0</v>
      </c>
      <c r="F185" s="2">
        <f t="shared" si="21"/>
        <v>0</v>
      </c>
      <c r="G185" s="2" t="str">
        <f>IF(ISERROR(B185),"-",IF(J184=0,0,SUM($F$33:F185)))</f>
        <v>-</v>
      </c>
      <c r="H185" s="2">
        <f t="shared" si="26"/>
        <v>0</v>
      </c>
      <c r="I185" s="2" t="str">
        <f>IF(ISERROR($B185),"-",IF(J184=0,0,SUM($H$33:H185)))</f>
        <v>-</v>
      </c>
      <c r="J185" s="2" t="str">
        <f t="shared" si="22"/>
        <v>-</v>
      </c>
      <c r="K185" s="2" t="str">
        <f t="shared" si="23"/>
        <v>-</v>
      </c>
      <c r="L185" s="2">
        <f t="shared" si="24"/>
        <v>0</v>
      </c>
      <c r="M185" s="2">
        <f t="shared" si="25"/>
        <v>0</v>
      </c>
      <c r="O185" s="2">
        <f>IF('Batt IN'!$N$18="Yes",BattLoan!F185*'Batt IN'!$E$7,0)</f>
        <v>0</v>
      </c>
    </row>
    <row r="186" spans="1:15" x14ac:dyDescent="0.25">
      <c r="B186" t="e">
        <f t="shared" si="18"/>
        <v>#N/A</v>
      </c>
      <c r="C186" s="2" t="str">
        <f t="shared" si="19"/>
        <v>0</v>
      </c>
      <c r="E186" s="10">
        <f t="shared" si="20"/>
        <v>0</v>
      </c>
      <c r="F186" s="2">
        <f t="shared" si="21"/>
        <v>0</v>
      </c>
      <c r="G186" s="2" t="str">
        <f>IF(ISERROR(B186),"-",IF(J185=0,0,SUM($F$33:F186)))</f>
        <v>-</v>
      </c>
      <c r="H186" s="2">
        <f t="shared" si="26"/>
        <v>0</v>
      </c>
      <c r="I186" s="2" t="str">
        <f>IF(ISERROR($B186),"-",IF(J185=0,0,SUM($H$33:H186)))</f>
        <v>-</v>
      </c>
      <c r="J186" s="2" t="str">
        <f t="shared" si="22"/>
        <v>-</v>
      </c>
      <c r="K186" s="2" t="str">
        <f t="shared" si="23"/>
        <v>-</v>
      </c>
      <c r="L186" s="2">
        <f t="shared" si="24"/>
        <v>0</v>
      </c>
      <c r="M186" s="2">
        <f t="shared" si="25"/>
        <v>0</v>
      </c>
      <c r="O186" s="2">
        <f>IF('Batt IN'!$N$18="Yes",BattLoan!F186*'Batt IN'!$E$7,0)</f>
        <v>0</v>
      </c>
    </row>
    <row r="187" spans="1:15" x14ac:dyDescent="0.25">
      <c r="B187" t="e">
        <f t="shared" si="18"/>
        <v>#N/A</v>
      </c>
      <c r="C187" s="2" t="str">
        <f t="shared" si="19"/>
        <v>0</v>
      </c>
      <c r="E187" s="10">
        <f t="shared" si="20"/>
        <v>0</v>
      </c>
      <c r="F187" s="2">
        <f t="shared" si="21"/>
        <v>0</v>
      </c>
      <c r="G187" s="2" t="str">
        <f>IF(ISERROR(B187),"-",IF(J186=0,0,SUM($F$33:F187)))</f>
        <v>-</v>
      </c>
      <c r="H187" s="2">
        <f t="shared" si="26"/>
        <v>0</v>
      </c>
      <c r="I187" s="2" t="str">
        <f>IF(ISERROR($B187),"-",IF(J186=0,0,SUM($H$33:H187)))</f>
        <v>-</v>
      </c>
      <c r="J187" s="2" t="str">
        <f t="shared" si="22"/>
        <v>-</v>
      </c>
      <c r="K187" s="2" t="str">
        <f t="shared" si="23"/>
        <v>-</v>
      </c>
      <c r="L187" s="2">
        <f t="shared" si="24"/>
        <v>0</v>
      </c>
      <c r="M187" s="2">
        <f t="shared" si="25"/>
        <v>0</v>
      </c>
      <c r="O187" s="2">
        <f>IF('Batt IN'!$N$18="Yes",BattLoan!F187*'Batt IN'!$E$7,0)</f>
        <v>0</v>
      </c>
    </row>
    <row r="188" spans="1:15" x14ac:dyDescent="0.25">
      <c r="A188">
        <v>13</v>
      </c>
      <c r="B188" t="e">
        <f t="shared" si="18"/>
        <v>#N/A</v>
      </c>
      <c r="C188" s="2" t="str">
        <f t="shared" si="19"/>
        <v>0</v>
      </c>
      <c r="E188" s="10">
        <f t="shared" si="20"/>
        <v>0</v>
      </c>
      <c r="F188" s="2">
        <f t="shared" si="21"/>
        <v>0</v>
      </c>
      <c r="G188" s="2" t="str">
        <f>IF(ISERROR(B188),"-",IF(J187=0,0,SUM($F$33:F188)))</f>
        <v>-</v>
      </c>
      <c r="H188" s="2">
        <f t="shared" si="26"/>
        <v>0</v>
      </c>
      <c r="I188" s="2" t="str">
        <f>IF(ISERROR($B188),"-",IF(J187=0,0,SUM($H$33:H188)))</f>
        <v>-</v>
      </c>
      <c r="J188" s="2" t="str">
        <f t="shared" si="22"/>
        <v>-</v>
      </c>
      <c r="K188" s="2" t="str">
        <f t="shared" si="23"/>
        <v>-</v>
      </c>
      <c r="L188" s="2">
        <f t="shared" si="24"/>
        <v>0</v>
      </c>
      <c r="M188" s="2">
        <f t="shared" si="25"/>
        <v>0</v>
      </c>
      <c r="O188" s="2">
        <f>IF('Batt IN'!$N$18="Yes",BattLoan!F188*'Batt IN'!$E$7,0)</f>
        <v>0</v>
      </c>
    </row>
    <row r="189" spans="1:15" x14ac:dyDescent="0.25">
      <c r="B189" t="e">
        <f t="shared" si="18"/>
        <v>#N/A</v>
      </c>
      <c r="C189" s="2" t="str">
        <f t="shared" si="19"/>
        <v>0</v>
      </c>
      <c r="E189" s="10">
        <f t="shared" si="20"/>
        <v>0</v>
      </c>
      <c r="F189" s="2">
        <f t="shared" si="21"/>
        <v>0</v>
      </c>
      <c r="G189" s="2" t="str">
        <f>IF(ISERROR(B189),"-",IF(J188=0,0,SUM($F$33:F189)))</f>
        <v>-</v>
      </c>
      <c r="H189" s="2">
        <f t="shared" si="26"/>
        <v>0</v>
      </c>
      <c r="I189" s="2" t="str">
        <f>IF(ISERROR($B189),"-",IF(J188=0,0,SUM($H$33:H189)))</f>
        <v>-</v>
      </c>
      <c r="J189" s="2" t="str">
        <f t="shared" si="22"/>
        <v>-</v>
      </c>
      <c r="K189" s="2" t="str">
        <f t="shared" si="23"/>
        <v>-</v>
      </c>
      <c r="L189" s="2">
        <f t="shared" si="24"/>
        <v>0</v>
      </c>
      <c r="M189" s="2">
        <f t="shared" si="25"/>
        <v>0</v>
      </c>
      <c r="O189" s="2">
        <f>IF('Batt IN'!$N$18="Yes",BattLoan!F189*'Batt IN'!$E$7,0)</f>
        <v>0</v>
      </c>
    </row>
    <row r="190" spans="1:15" x14ac:dyDescent="0.25">
      <c r="B190" t="e">
        <f t="shared" si="18"/>
        <v>#N/A</v>
      </c>
      <c r="C190" s="2" t="str">
        <f t="shared" si="19"/>
        <v>0</v>
      </c>
      <c r="E190" s="10">
        <f t="shared" si="20"/>
        <v>0</v>
      </c>
      <c r="F190" s="2">
        <f t="shared" si="21"/>
        <v>0</v>
      </c>
      <c r="G190" s="2" t="str">
        <f>IF(ISERROR(B190),"-",IF(J189=0,0,SUM($F$33:F190)))</f>
        <v>-</v>
      </c>
      <c r="H190" s="2">
        <f t="shared" si="26"/>
        <v>0</v>
      </c>
      <c r="I190" s="2" t="str">
        <f>IF(ISERROR($B190),"-",IF(J189=0,0,SUM($H$33:H190)))</f>
        <v>-</v>
      </c>
      <c r="J190" s="2" t="str">
        <f t="shared" si="22"/>
        <v>-</v>
      </c>
      <c r="K190" s="2" t="str">
        <f t="shared" si="23"/>
        <v>-</v>
      </c>
      <c r="L190" s="2">
        <f t="shared" si="24"/>
        <v>0</v>
      </c>
      <c r="M190" s="2">
        <f t="shared" si="25"/>
        <v>0</v>
      </c>
      <c r="O190" s="2">
        <f>IF('Batt IN'!$N$18="Yes",BattLoan!F190*'Batt IN'!$E$7,0)</f>
        <v>0</v>
      </c>
    </row>
    <row r="191" spans="1:15" x14ac:dyDescent="0.25">
      <c r="B191" t="e">
        <f t="shared" si="18"/>
        <v>#N/A</v>
      </c>
      <c r="C191" s="2" t="str">
        <f t="shared" si="19"/>
        <v>0</v>
      </c>
      <c r="E191" s="10">
        <f t="shared" si="20"/>
        <v>0</v>
      </c>
      <c r="F191" s="2">
        <f t="shared" si="21"/>
        <v>0</v>
      </c>
      <c r="G191" s="2" t="str">
        <f>IF(ISERROR(B191),"-",IF(J190=0,0,SUM($F$33:F191)))</f>
        <v>-</v>
      </c>
      <c r="H191" s="2">
        <f t="shared" si="26"/>
        <v>0</v>
      </c>
      <c r="I191" s="2" t="str">
        <f>IF(ISERROR($B191),"-",IF(J190=0,0,SUM($H$33:H191)))</f>
        <v>-</v>
      </c>
      <c r="J191" s="2" t="str">
        <f t="shared" si="22"/>
        <v>-</v>
      </c>
      <c r="K191" s="2" t="str">
        <f t="shared" si="23"/>
        <v>-</v>
      </c>
      <c r="L191" s="2">
        <f t="shared" si="24"/>
        <v>0</v>
      </c>
      <c r="M191" s="2">
        <f t="shared" si="25"/>
        <v>0</v>
      </c>
      <c r="O191" s="2">
        <f>IF('Batt IN'!$N$18="Yes",BattLoan!F191*'Batt IN'!$E$7,0)</f>
        <v>0</v>
      </c>
    </row>
    <row r="192" spans="1:15" x14ac:dyDescent="0.25">
      <c r="B192" t="e">
        <f t="shared" si="18"/>
        <v>#N/A</v>
      </c>
      <c r="C192" s="2" t="str">
        <f t="shared" si="19"/>
        <v>0</v>
      </c>
      <c r="E192" s="10">
        <f t="shared" si="20"/>
        <v>0</v>
      </c>
      <c r="F192" s="2">
        <f t="shared" si="21"/>
        <v>0</v>
      </c>
      <c r="G192" s="2" t="str">
        <f>IF(ISERROR(B192),"-",IF(J191=0,0,SUM($F$33:F192)))</f>
        <v>-</v>
      </c>
      <c r="H192" s="2">
        <f t="shared" si="26"/>
        <v>0</v>
      </c>
      <c r="I192" s="2" t="str">
        <f>IF(ISERROR($B192),"-",IF(J191=0,0,SUM($H$33:H192)))</f>
        <v>-</v>
      </c>
      <c r="J192" s="2" t="str">
        <f t="shared" si="22"/>
        <v>-</v>
      </c>
      <c r="K192" s="2" t="str">
        <f t="shared" si="23"/>
        <v>-</v>
      </c>
      <c r="L192" s="2">
        <f t="shared" si="24"/>
        <v>0</v>
      </c>
      <c r="M192" s="2">
        <f t="shared" si="25"/>
        <v>0</v>
      </c>
      <c r="O192" s="2">
        <f>IF('Batt IN'!$N$18="Yes",BattLoan!F192*'Batt IN'!$E$7,0)</f>
        <v>0</v>
      </c>
    </row>
    <row r="193" spans="1:15" x14ac:dyDescent="0.25">
      <c r="B193" t="e">
        <f t="shared" si="18"/>
        <v>#N/A</v>
      </c>
      <c r="C193" s="2" t="str">
        <f t="shared" si="19"/>
        <v>0</v>
      </c>
      <c r="E193" s="10">
        <f t="shared" si="20"/>
        <v>0</v>
      </c>
      <c r="F193" s="2">
        <f t="shared" si="21"/>
        <v>0</v>
      </c>
      <c r="G193" s="2" t="str">
        <f>IF(ISERROR(B193),"-",IF(J192=0,0,SUM($F$33:F193)))</f>
        <v>-</v>
      </c>
      <c r="H193" s="2">
        <f t="shared" si="26"/>
        <v>0</v>
      </c>
      <c r="I193" s="2" t="str">
        <f>IF(ISERROR($B193),"-",IF(J192=0,0,SUM($H$33:H193)))</f>
        <v>-</v>
      </c>
      <c r="J193" s="2" t="str">
        <f t="shared" si="22"/>
        <v>-</v>
      </c>
      <c r="K193" s="2" t="str">
        <f t="shared" si="23"/>
        <v>-</v>
      </c>
      <c r="L193" s="2">
        <f t="shared" si="24"/>
        <v>0</v>
      </c>
      <c r="M193" s="2">
        <f t="shared" si="25"/>
        <v>0</v>
      </c>
      <c r="O193" s="2">
        <f>IF('Batt IN'!$N$18="Yes",BattLoan!F193*'Batt IN'!$E$7,0)</f>
        <v>0</v>
      </c>
    </row>
    <row r="194" spans="1:15" x14ac:dyDescent="0.25">
      <c r="B194" t="e">
        <f t="shared" si="18"/>
        <v>#N/A</v>
      </c>
      <c r="C194" s="2" t="str">
        <f t="shared" si="19"/>
        <v>0</v>
      </c>
      <c r="E194" s="10">
        <f t="shared" si="20"/>
        <v>0</v>
      </c>
      <c r="F194" s="2">
        <f t="shared" si="21"/>
        <v>0</v>
      </c>
      <c r="G194" s="2" t="str">
        <f>IF(ISERROR(B194),"-",IF(J193=0,0,SUM($F$33:F194)))</f>
        <v>-</v>
      </c>
      <c r="H194" s="2">
        <f t="shared" si="26"/>
        <v>0</v>
      </c>
      <c r="I194" s="2" t="str">
        <f>IF(ISERROR($B194),"-",IF(J193=0,0,SUM($H$33:H194)))</f>
        <v>-</v>
      </c>
      <c r="J194" s="2" t="str">
        <f t="shared" si="22"/>
        <v>-</v>
      </c>
      <c r="K194" s="2" t="str">
        <f t="shared" si="23"/>
        <v>-</v>
      </c>
      <c r="L194" s="2">
        <f t="shared" si="24"/>
        <v>0</v>
      </c>
      <c r="M194" s="2">
        <f t="shared" si="25"/>
        <v>0</v>
      </c>
      <c r="O194" s="2">
        <f>IF('Batt IN'!$N$18="Yes",BattLoan!F194*'Batt IN'!$E$7,0)</f>
        <v>0</v>
      </c>
    </row>
    <row r="195" spans="1:15" x14ac:dyDescent="0.25">
      <c r="B195" t="e">
        <f t="shared" si="18"/>
        <v>#N/A</v>
      </c>
      <c r="C195" s="2" t="str">
        <f t="shared" si="19"/>
        <v>0</v>
      </c>
      <c r="E195" s="10">
        <f t="shared" si="20"/>
        <v>0</v>
      </c>
      <c r="F195" s="2">
        <f t="shared" si="21"/>
        <v>0</v>
      </c>
      <c r="G195" s="2" t="str">
        <f>IF(ISERROR(B195),"-",IF(J194=0,0,SUM($F$33:F195)))</f>
        <v>-</v>
      </c>
      <c r="H195" s="2">
        <f t="shared" si="26"/>
        <v>0</v>
      </c>
      <c r="I195" s="2" t="str">
        <f>IF(ISERROR($B195),"-",IF(J194=0,0,SUM($H$33:H195)))</f>
        <v>-</v>
      </c>
      <c r="J195" s="2" t="str">
        <f t="shared" si="22"/>
        <v>-</v>
      </c>
      <c r="K195" s="2" t="str">
        <f t="shared" si="23"/>
        <v>-</v>
      </c>
      <c r="L195" s="2">
        <f t="shared" si="24"/>
        <v>0</v>
      </c>
      <c r="M195" s="2">
        <f t="shared" si="25"/>
        <v>0</v>
      </c>
      <c r="O195" s="2">
        <f>IF('Batt IN'!$N$18="Yes",BattLoan!F195*'Batt IN'!$E$7,0)</f>
        <v>0</v>
      </c>
    </row>
    <row r="196" spans="1:15" x14ac:dyDescent="0.25">
      <c r="B196" t="e">
        <f t="shared" si="18"/>
        <v>#N/A</v>
      </c>
      <c r="C196" s="2" t="str">
        <f t="shared" si="19"/>
        <v>0</v>
      </c>
      <c r="E196" s="10">
        <f t="shared" si="20"/>
        <v>0</v>
      </c>
      <c r="F196" s="2">
        <f t="shared" si="21"/>
        <v>0</v>
      </c>
      <c r="G196" s="2" t="str">
        <f>IF(ISERROR(B196),"-",IF(J195=0,0,SUM($F$33:F196)))</f>
        <v>-</v>
      </c>
      <c r="H196" s="2">
        <f t="shared" si="26"/>
        <v>0</v>
      </c>
      <c r="I196" s="2" t="str">
        <f>IF(ISERROR($B196),"-",IF(J195=0,0,SUM($H$33:H196)))</f>
        <v>-</v>
      </c>
      <c r="J196" s="2" t="str">
        <f t="shared" si="22"/>
        <v>-</v>
      </c>
      <c r="K196" s="2" t="str">
        <f t="shared" si="23"/>
        <v>-</v>
      </c>
      <c r="L196" s="2">
        <f t="shared" si="24"/>
        <v>0</v>
      </c>
      <c r="M196" s="2">
        <f t="shared" si="25"/>
        <v>0</v>
      </c>
      <c r="O196" s="2">
        <f>IF('Batt IN'!$N$18="Yes",BattLoan!F196*'Batt IN'!$E$7,0)</f>
        <v>0</v>
      </c>
    </row>
    <row r="197" spans="1:15" x14ac:dyDescent="0.25">
      <c r="B197" t="e">
        <f t="shared" si="18"/>
        <v>#N/A</v>
      </c>
      <c r="C197" s="2" t="str">
        <f t="shared" si="19"/>
        <v>0</v>
      </c>
      <c r="E197" s="10">
        <f t="shared" si="20"/>
        <v>0</v>
      </c>
      <c r="F197" s="2">
        <f t="shared" si="21"/>
        <v>0</v>
      </c>
      <c r="G197" s="2" t="str">
        <f>IF(ISERROR(B197),"-",IF(J196=0,0,SUM($F$33:F197)))</f>
        <v>-</v>
      </c>
      <c r="H197" s="2">
        <f t="shared" si="26"/>
        <v>0</v>
      </c>
      <c r="I197" s="2" t="str">
        <f>IF(ISERROR($B197),"-",IF(J196=0,0,SUM($H$33:H197)))</f>
        <v>-</v>
      </c>
      <c r="J197" s="2" t="str">
        <f t="shared" si="22"/>
        <v>-</v>
      </c>
      <c r="K197" s="2" t="str">
        <f t="shared" si="23"/>
        <v>-</v>
      </c>
      <c r="L197" s="2">
        <f t="shared" si="24"/>
        <v>0</v>
      </c>
      <c r="M197" s="2">
        <f t="shared" si="25"/>
        <v>0</v>
      </c>
      <c r="O197" s="2">
        <f>IF('Batt IN'!$N$18="Yes",BattLoan!F197*'Batt IN'!$E$7,0)</f>
        <v>0</v>
      </c>
    </row>
    <row r="198" spans="1:15" x14ac:dyDescent="0.25">
      <c r="B198" t="e">
        <f t="shared" si="18"/>
        <v>#N/A</v>
      </c>
      <c r="C198" s="2" t="str">
        <f t="shared" si="19"/>
        <v>0</v>
      </c>
      <c r="E198" s="10">
        <f t="shared" si="20"/>
        <v>0</v>
      </c>
      <c r="F198" s="2">
        <f t="shared" si="21"/>
        <v>0</v>
      </c>
      <c r="G198" s="2" t="str">
        <f>IF(ISERROR(B198),"-",IF(J197=0,0,SUM($F$33:F198)))</f>
        <v>-</v>
      </c>
      <c r="H198" s="2">
        <f t="shared" si="26"/>
        <v>0</v>
      </c>
      <c r="I198" s="2" t="str">
        <f>IF(ISERROR($B198),"-",IF(J197=0,0,SUM($H$33:H198)))</f>
        <v>-</v>
      </c>
      <c r="J198" s="2" t="str">
        <f t="shared" si="22"/>
        <v>-</v>
      </c>
      <c r="K198" s="2" t="str">
        <f t="shared" si="23"/>
        <v>-</v>
      </c>
      <c r="L198" s="2">
        <f t="shared" si="24"/>
        <v>0</v>
      </c>
      <c r="M198" s="2">
        <f t="shared" si="25"/>
        <v>0</v>
      </c>
      <c r="O198" s="2">
        <f>IF('Batt IN'!$N$18="Yes",BattLoan!F198*'Batt IN'!$E$7,0)</f>
        <v>0</v>
      </c>
    </row>
    <row r="199" spans="1:15" x14ac:dyDescent="0.25">
      <c r="B199" t="e">
        <f t="shared" si="18"/>
        <v>#N/A</v>
      </c>
      <c r="C199" s="2" t="str">
        <f t="shared" si="19"/>
        <v>0</v>
      </c>
      <c r="E199" s="10">
        <f t="shared" si="20"/>
        <v>0</v>
      </c>
      <c r="F199" s="2">
        <f t="shared" si="21"/>
        <v>0</v>
      </c>
      <c r="G199" s="2" t="str">
        <f>IF(ISERROR(B199),"-",IF(J198=0,0,SUM($F$33:F199)))</f>
        <v>-</v>
      </c>
      <c r="H199" s="2">
        <f t="shared" si="26"/>
        <v>0</v>
      </c>
      <c r="I199" s="2" t="str">
        <f>IF(ISERROR($B199),"-",IF(J198=0,0,SUM($H$33:H199)))</f>
        <v>-</v>
      </c>
      <c r="J199" s="2" t="str">
        <f t="shared" si="22"/>
        <v>-</v>
      </c>
      <c r="K199" s="2" t="str">
        <f t="shared" si="23"/>
        <v>-</v>
      </c>
      <c r="L199" s="2">
        <f t="shared" si="24"/>
        <v>0</v>
      </c>
      <c r="M199" s="2">
        <f t="shared" si="25"/>
        <v>0</v>
      </c>
      <c r="O199" s="2">
        <f>IF('Batt IN'!$N$18="Yes",BattLoan!F199*'Batt IN'!$E$7,0)</f>
        <v>0</v>
      </c>
    </row>
    <row r="200" spans="1:15" x14ac:dyDescent="0.25">
      <c r="A200">
        <v>14</v>
      </c>
      <c r="B200" t="e">
        <f t="shared" si="18"/>
        <v>#N/A</v>
      </c>
      <c r="C200" s="2" t="str">
        <f t="shared" si="19"/>
        <v>0</v>
      </c>
      <c r="E200" s="10">
        <f t="shared" si="20"/>
        <v>0</v>
      </c>
      <c r="F200" s="2">
        <f t="shared" si="21"/>
        <v>0</v>
      </c>
      <c r="G200" s="2" t="str">
        <f>IF(ISERROR(B200),"-",IF(J199=0,0,SUM($F$33:F200)))</f>
        <v>-</v>
      </c>
      <c r="H200" s="2">
        <f t="shared" si="26"/>
        <v>0</v>
      </c>
      <c r="I200" s="2" t="str">
        <f>IF(ISERROR($B200),"-",IF(J199=0,0,SUM($H$33:H200)))</f>
        <v>-</v>
      </c>
      <c r="J200" s="2" t="str">
        <f t="shared" si="22"/>
        <v>-</v>
      </c>
      <c r="K200" s="2" t="str">
        <f t="shared" si="23"/>
        <v>-</v>
      </c>
      <c r="L200" s="2">
        <f t="shared" si="24"/>
        <v>0</v>
      </c>
      <c r="M200" s="2">
        <f t="shared" si="25"/>
        <v>0</v>
      </c>
      <c r="O200" s="2">
        <f>IF('Batt IN'!$N$18="Yes",BattLoan!F200*'Batt IN'!$E$7,0)</f>
        <v>0</v>
      </c>
    </row>
    <row r="201" spans="1:15" x14ac:dyDescent="0.25">
      <c r="B201" t="e">
        <f t="shared" si="18"/>
        <v>#N/A</v>
      </c>
      <c r="C201" s="2" t="str">
        <f t="shared" si="19"/>
        <v>0</v>
      </c>
      <c r="E201" s="10">
        <f t="shared" si="20"/>
        <v>0</v>
      </c>
      <c r="F201" s="2">
        <f t="shared" si="21"/>
        <v>0</v>
      </c>
      <c r="G201" s="2" t="str">
        <f>IF(ISERROR(B201),"-",IF(J200=0,0,SUM($F$33:F201)))</f>
        <v>-</v>
      </c>
      <c r="H201" s="2">
        <f t="shared" si="26"/>
        <v>0</v>
      </c>
      <c r="I201" s="2" t="str">
        <f>IF(ISERROR($B201),"-",IF(J200=0,0,SUM($H$33:H201)))</f>
        <v>-</v>
      </c>
      <c r="J201" s="2" t="str">
        <f t="shared" si="22"/>
        <v>-</v>
      </c>
      <c r="K201" s="2" t="str">
        <f t="shared" si="23"/>
        <v>-</v>
      </c>
      <c r="L201" s="2">
        <f t="shared" si="24"/>
        <v>0</v>
      </c>
      <c r="M201" s="2">
        <f t="shared" si="25"/>
        <v>0</v>
      </c>
      <c r="O201" s="2">
        <f>IF('Batt IN'!$N$18="Yes",BattLoan!F201*'Batt IN'!$E$7,0)</f>
        <v>0</v>
      </c>
    </row>
    <row r="202" spans="1:15" x14ac:dyDescent="0.25">
      <c r="B202" t="e">
        <f t="shared" si="18"/>
        <v>#N/A</v>
      </c>
      <c r="C202" s="2" t="str">
        <f t="shared" si="19"/>
        <v>0</v>
      </c>
      <c r="E202" s="10">
        <f t="shared" si="20"/>
        <v>0</v>
      </c>
      <c r="F202" s="2">
        <f t="shared" si="21"/>
        <v>0</v>
      </c>
      <c r="G202" s="2" t="str">
        <f>IF(ISERROR(B202),"-",IF(J201=0,0,SUM($F$33:F202)))</f>
        <v>-</v>
      </c>
      <c r="H202" s="2">
        <f t="shared" si="26"/>
        <v>0</v>
      </c>
      <c r="I202" s="2" t="str">
        <f>IF(ISERROR($B202),"-",IF(J201=0,0,SUM($H$33:H202)))</f>
        <v>-</v>
      </c>
      <c r="J202" s="2" t="str">
        <f t="shared" si="22"/>
        <v>-</v>
      </c>
      <c r="K202" s="2" t="str">
        <f t="shared" si="23"/>
        <v>-</v>
      </c>
      <c r="L202" s="2">
        <f t="shared" si="24"/>
        <v>0</v>
      </c>
      <c r="M202" s="2">
        <f t="shared" si="25"/>
        <v>0</v>
      </c>
      <c r="O202" s="2">
        <f>IF('Batt IN'!$N$18="Yes",BattLoan!F202*'Batt IN'!$E$7,0)</f>
        <v>0</v>
      </c>
    </row>
    <row r="203" spans="1:15" x14ac:dyDescent="0.25">
      <c r="B203" t="e">
        <f t="shared" si="18"/>
        <v>#N/A</v>
      </c>
      <c r="C203" s="2" t="str">
        <f t="shared" si="19"/>
        <v>0</v>
      </c>
      <c r="E203" s="10">
        <f t="shared" si="20"/>
        <v>0</v>
      </c>
      <c r="F203" s="2">
        <f t="shared" si="21"/>
        <v>0</v>
      </c>
      <c r="G203" s="2" t="str">
        <f>IF(ISERROR(B203),"-",IF(J202=0,0,SUM($F$33:F203)))</f>
        <v>-</v>
      </c>
      <c r="H203" s="2">
        <f t="shared" si="26"/>
        <v>0</v>
      </c>
      <c r="I203" s="2" t="str">
        <f>IF(ISERROR($B203),"-",IF(J202=0,0,SUM($H$33:H203)))</f>
        <v>-</v>
      </c>
      <c r="J203" s="2" t="str">
        <f t="shared" si="22"/>
        <v>-</v>
      </c>
      <c r="K203" s="2" t="str">
        <f t="shared" si="23"/>
        <v>-</v>
      </c>
      <c r="L203" s="2">
        <f t="shared" si="24"/>
        <v>0</v>
      </c>
      <c r="M203" s="2">
        <f t="shared" si="25"/>
        <v>0</v>
      </c>
      <c r="O203" s="2">
        <f>IF('Batt IN'!$N$18="Yes",BattLoan!F203*'Batt IN'!$E$7,0)</f>
        <v>0</v>
      </c>
    </row>
    <row r="204" spans="1:15" x14ac:dyDescent="0.25">
      <c r="B204" t="e">
        <f t="shared" si="18"/>
        <v>#N/A</v>
      </c>
      <c r="C204" s="2" t="str">
        <f t="shared" si="19"/>
        <v>0</v>
      </c>
      <c r="E204" s="10">
        <f t="shared" si="20"/>
        <v>0</v>
      </c>
      <c r="F204" s="2">
        <f t="shared" si="21"/>
        <v>0</v>
      </c>
      <c r="G204" s="2" t="str">
        <f>IF(ISERROR(B204),"-",IF(J203=0,0,SUM($F$33:F204)))</f>
        <v>-</v>
      </c>
      <c r="H204" s="2">
        <f t="shared" si="26"/>
        <v>0</v>
      </c>
      <c r="I204" s="2" t="str">
        <f>IF(ISERROR($B204),"-",IF(J203=0,0,SUM($H$33:H204)))</f>
        <v>-</v>
      </c>
      <c r="J204" s="2" t="str">
        <f t="shared" si="22"/>
        <v>-</v>
      </c>
      <c r="K204" s="2" t="str">
        <f t="shared" si="23"/>
        <v>-</v>
      </c>
      <c r="L204" s="2">
        <f t="shared" si="24"/>
        <v>0</v>
      </c>
      <c r="M204" s="2">
        <f t="shared" si="25"/>
        <v>0</v>
      </c>
      <c r="O204" s="2">
        <f>IF('Batt IN'!$N$18="Yes",BattLoan!F204*'Batt IN'!$E$7,0)</f>
        <v>0</v>
      </c>
    </row>
    <row r="205" spans="1:15" x14ac:dyDescent="0.25">
      <c r="B205" t="e">
        <f t="shared" si="18"/>
        <v>#N/A</v>
      </c>
      <c r="C205" s="2" t="str">
        <f t="shared" si="19"/>
        <v>0</v>
      </c>
      <c r="E205" s="10">
        <f t="shared" si="20"/>
        <v>0</v>
      </c>
      <c r="F205" s="2">
        <f t="shared" si="21"/>
        <v>0</v>
      </c>
      <c r="G205" s="2" t="str">
        <f>IF(ISERROR(B205),"-",IF(J204=0,0,SUM($F$33:F205)))</f>
        <v>-</v>
      </c>
      <c r="H205" s="2">
        <f t="shared" si="26"/>
        <v>0</v>
      </c>
      <c r="I205" s="2" t="str">
        <f>IF(ISERROR($B205),"-",IF(J204=0,0,SUM($H$33:H205)))</f>
        <v>-</v>
      </c>
      <c r="J205" s="2" t="str">
        <f t="shared" si="22"/>
        <v>-</v>
      </c>
      <c r="K205" s="2" t="str">
        <f t="shared" si="23"/>
        <v>-</v>
      </c>
      <c r="L205" s="2">
        <f t="shared" si="24"/>
        <v>0</v>
      </c>
      <c r="M205" s="2">
        <f t="shared" si="25"/>
        <v>0</v>
      </c>
      <c r="O205" s="2">
        <f>IF('Batt IN'!$N$18="Yes",BattLoan!F205*'Batt IN'!$E$7,0)</f>
        <v>0</v>
      </c>
    </row>
    <row r="206" spans="1:15" x14ac:dyDescent="0.25">
      <c r="B206" t="e">
        <f t="shared" si="18"/>
        <v>#N/A</v>
      </c>
      <c r="C206" s="2" t="str">
        <f t="shared" si="19"/>
        <v>0</v>
      </c>
      <c r="E206" s="10">
        <f t="shared" si="20"/>
        <v>0</v>
      </c>
      <c r="F206" s="2">
        <f t="shared" si="21"/>
        <v>0</v>
      </c>
      <c r="G206" s="2" t="str">
        <f>IF(ISERROR(B206),"-",IF(J205=0,0,SUM($F$33:F206)))</f>
        <v>-</v>
      </c>
      <c r="H206" s="2">
        <f t="shared" si="26"/>
        <v>0</v>
      </c>
      <c r="I206" s="2" t="str">
        <f>IF(ISERROR($B206),"-",IF(J205=0,0,SUM($H$33:H206)))</f>
        <v>-</v>
      </c>
      <c r="J206" s="2" t="str">
        <f t="shared" si="22"/>
        <v>-</v>
      </c>
      <c r="K206" s="2" t="str">
        <f t="shared" si="23"/>
        <v>-</v>
      </c>
      <c r="L206" s="2">
        <f t="shared" si="24"/>
        <v>0</v>
      </c>
      <c r="M206" s="2">
        <f t="shared" si="25"/>
        <v>0</v>
      </c>
      <c r="O206" s="2">
        <f>IF('Batt IN'!$N$18="Yes",BattLoan!F206*'Batt IN'!$E$7,0)</f>
        <v>0</v>
      </c>
    </row>
    <row r="207" spans="1:15" x14ac:dyDescent="0.25">
      <c r="B207" t="e">
        <f t="shared" si="18"/>
        <v>#N/A</v>
      </c>
      <c r="C207" s="2" t="str">
        <f t="shared" si="19"/>
        <v>0</v>
      </c>
      <c r="E207" s="10">
        <f t="shared" si="20"/>
        <v>0</v>
      </c>
      <c r="F207" s="2">
        <f t="shared" si="21"/>
        <v>0</v>
      </c>
      <c r="G207" s="2" t="str">
        <f>IF(ISERROR(B207),"-",IF(J206=0,0,SUM($F$33:F207)))</f>
        <v>-</v>
      </c>
      <c r="H207" s="2">
        <f t="shared" si="26"/>
        <v>0</v>
      </c>
      <c r="I207" s="2" t="str">
        <f>IF(ISERROR($B207),"-",IF(J206=0,0,SUM($H$33:H207)))</f>
        <v>-</v>
      </c>
      <c r="J207" s="2" t="str">
        <f t="shared" si="22"/>
        <v>-</v>
      </c>
      <c r="K207" s="2" t="str">
        <f t="shared" si="23"/>
        <v>-</v>
      </c>
      <c r="L207" s="2">
        <f t="shared" si="24"/>
        <v>0</v>
      </c>
      <c r="M207" s="2">
        <f t="shared" si="25"/>
        <v>0</v>
      </c>
      <c r="O207" s="2">
        <f>IF('Batt IN'!$N$18="Yes",BattLoan!F207*'Batt IN'!$E$7,0)</f>
        <v>0</v>
      </c>
    </row>
    <row r="208" spans="1:15" x14ac:dyDescent="0.25">
      <c r="B208" t="e">
        <f t="shared" si="18"/>
        <v>#N/A</v>
      </c>
      <c r="C208" s="2" t="str">
        <f t="shared" si="19"/>
        <v>0</v>
      </c>
      <c r="E208" s="10">
        <f t="shared" si="20"/>
        <v>0</v>
      </c>
      <c r="F208" s="2">
        <f t="shared" si="21"/>
        <v>0</v>
      </c>
      <c r="G208" s="2" t="str">
        <f>IF(ISERROR(B208),"-",IF(J207=0,0,SUM($F$33:F208)))</f>
        <v>-</v>
      </c>
      <c r="H208" s="2">
        <f t="shared" si="26"/>
        <v>0</v>
      </c>
      <c r="I208" s="2" t="str">
        <f>IF(ISERROR($B208),"-",IF(J207=0,0,SUM($H$33:H208)))</f>
        <v>-</v>
      </c>
      <c r="J208" s="2" t="str">
        <f t="shared" si="22"/>
        <v>-</v>
      </c>
      <c r="K208" s="2" t="str">
        <f t="shared" si="23"/>
        <v>-</v>
      </c>
      <c r="L208" s="2">
        <f t="shared" si="24"/>
        <v>0</v>
      </c>
      <c r="M208" s="2">
        <f t="shared" si="25"/>
        <v>0</v>
      </c>
      <c r="O208" s="2">
        <f>IF('Batt IN'!$N$18="Yes",BattLoan!F208*'Batt IN'!$E$7,0)</f>
        <v>0</v>
      </c>
    </row>
    <row r="209" spans="1:15" x14ac:dyDescent="0.25">
      <c r="B209" t="e">
        <f t="shared" si="18"/>
        <v>#N/A</v>
      </c>
      <c r="C209" s="2" t="str">
        <f t="shared" si="19"/>
        <v>0</v>
      </c>
      <c r="E209" s="10">
        <f t="shared" si="20"/>
        <v>0</v>
      </c>
      <c r="F209" s="2">
        <f t="shared" si="21"/>
        <v>0</v>
      </c>
      <c r="G209" s="2" t="str">
        <f>IF(ISERROR(B209),"-",IF(J208=0,0,SUM($F$33:F209)))</f>
        <v>-</v>
      </c>
      <c r="H209" s="2">
        <f t="shared" si="26"/>
        <v>0</v>
      </c>
      <c r="I209" s="2" t="str">
        <f>IF(ISERROR($B209),"-",IF(J208=0,0,SUM($H$33:H209)))</f>
        <v>-</v>
      </c>
      <c r="J209" s="2" t="str">
        <f t="shared" si="22"/>
        <v>-</v>
      </c>
      <c r="K209" s="2" t="str">
        <f t="shared" si="23"/>
        <v>-</v>
      </c>
      <c r="L209" s="2">
        <f t="shared" si="24"/>
        <v>0</v>
      </c>
      <c r="M209" s="2">
        <f t="shared" si="25"/>
        <v>0</v>
      </c>
      <c r="O209" s="2">
        <f>IF('Batt IN'!$N$18="Yes",BattLoan!F209*'Batt IN'!$E$7,0)</f>
        <v>0</v>
      </c>
    </row>
    <row r="210" spans="1:15" x14ac:dyDescent="0.25">
      <c r="B210" t="e">
        <f t="shared" si="18"/>
        <v>#N/A</v>
      </c>
      <c r="C210" s="2" t="str">
        <f t="shared" si="19"/>
        <v>0</v>
      </c>
      <c r="E210" s="10">
        <f t="shared" si="20"/>
        <v>0</v>
      </c>
      <c r="F210" s="2">
        <f t="shared" si="21"/>
        <v>0</v>
      </c>
      <c r="G210" s="2" t="str">
        <f>IF(ISERROR(B210),"-",IF(J209=0,0,SUM($F$33:F210)))</f>
        <v>-</v>
      </c>
      <c r="H210" s="2">
        <f t="shared" si="26"/>
        <v>0</v>
      </c>
      <c r="I210" s="2" t="str">
        <f>IF(ISERROR($B210),"-",IF(J209=0,0,SUM($H$33:H210)))</f>
        <v>-</v>
      </c>
      <c r="J210" s="2" t="str">
        <f t="shared" si="22"/>
        <v>-</v>
      </c>
      <c r="K210" s="2" t="str">
        <f t="shared" si="23"/>
        <v>-</v>
      </c>
      <c r="L210" s="2">
        <f t="shared" si="24"/>
        <v>0</v>
      </c>
      <c r="M210" s="2">
        <f t="shared" si="25"/>
        <v>0</v>
      </c>
      <c r="O210" s="2">
        <f>IF('Batt IN'!$N$18="Yes",BattLoan!F210*'Batt IN'!$E$7,0)</f>
        <v>0</v>
      </c>
    </row>
    <row r="211" spans="1:15" x14ac:dyDescent="0.25">
      <c r="B211" t="e">
        <f t="shared" si="18"/>
        <v>#N/A</v>
      </c>
      <c r="C211" s="2" t="str">
        <f t="shared" si="19"/>
        <v>0</v>
      </c>
      <c r="E211" s="10">
        <f t="shared" si="20"/>
        <v>0</v>
      </c>
      <c r="F211" s="2">
        <f t="shared" si="21"/>
        <v>0</v>
      </c>
      <c r="G211" s="2" t="str">
        <f>IF(ISERROR(B211),"-",IF(J210=0,0,SUM($F$33:F211)))</f>
        <v>-</v>
      </c>
      <c r="H211" s="2">
        <f t="shared" si="26"/>
        <v>0</v>
      </c>
      <c r="I211" s="2" t="str">
        <f>IF(ISERROR($B211),"-",IF(J210=0,0,SUM($H$33:H211)))</f>
        <v>-</v>
      </c>
      <c r="J211" s="2" t="str">
        <f t="shared" si="22"/>
        <v>-</v>
      </c>
      <c r="K211" s="2" t="str">
        <f t="shared" si="23"/>
        <v>-</v>
      </c>
      <c r="L211" s="2">
        <f t="shared" si="24"/>
        <v>0</v>
      </c>
      <c r="M211" s="2">
        <f t="shared" si="25"/>
        <v>0</v>
      </c>
      <c r="O211" s="2">
        <f>IF('Batt IN'!$N$18="Yes",BattLoan!F211*'Batt IN'!$E$7,0)</f>
        <v>0</v>
      </c>
    </row>
    <row r="212" spans="1:15" x14ac:dyDescent="0.25">
      <c r="A212">
        <v>15</v>
      </c>
      <c r="B212" t="e">
        <f t="shared" si="18"/>
        <v>#N/A</v>
      </c>
      <c r="C212" s="2" t="str">
        <f t="shared" si="19"/>
        <v>0</v>
      </c>
      <c r="E212" s="10">
        <f t="shared" si="20"/>
        <v>0</v>
      </c>
      <c r="F212" s="2">
        <f t="shared" si="21"/>
        <v>0</v>
      </c>
      <c r="G212" s="2" t="str">
        <f>IF(ISERROR(B212),"-",IF(J211=0,0,SUM($F$33:F212)))</f>
        <v>-</v>
      </c>
      <c r="H212" s="2">
        <f t="shared" si="26"/>
        <v>0</v>
      </c>
      <c r="I212" s="2" t="str">
        <f>IF(ISERROR($B212),"-",IF(J211=0,0,SUM($H$33:H212)))</f>
        <v>-</v>
      </c>
      <c r="J212" s="2" t="str">
        <f t="shared" si="22"/>
        <v>-</v>
      </c>
      <c r="K212" s="2" t="str">
        <f t="shared" si="23"/>
        <v>-</v>
      </c>
      <c r="L212" s="2">
        <f t="shared" si="24"/>
        <v>0</v>
      </c>
      <c r="M212" s="2">
        <f t="shared" si="25"/>
        <v>0</v>
      </c>
      <c r="O212" s="2">
        <f>IF('Batt IN'!$N$18="Yes",BattLoan!F212*'Batt IN'!$E$7,0)</f>
        <v>0</v>
      </c>
    </row>
    <row r="213" spans="1:15" x14ac:dyDescent="0.25">
      <c r="B213" t="e">
        <f t="shared" si="18"/>
        <v>#N/A</v>
      </c>
      <c r="C213" s="2" t="str">
        <f t="shared" si="19"/>
        <v>0</v>
      </c>
      <c r="E213" s="10">
        <f t="shared" si="20"/>
        <v>0</v>
      </c>
      <c r="F213" s="2">
        <f t="shared" si="21"/>
        <v>0</v>
      </c>
      <c r="G213" s="2" t="str">
        <f>IF(ISERROR(B213),"-",IF(J212=0,0,SUM($F$33:F213)))</f>
        <v>-</v>
      </c>
      <c r="H213" s="2">
        <f t="shared" si="26"/>
        <v>0</v>
      </c>
      <c r="I213" s="2" t="str">
        <f>IF(ISERROR($B213),"-",IF(J212=0,0,SUM($H$33:H213)))</f>
        <v>-</v>
      </c>
      <c r="J213" s="2" t="str">
        <f t="shared" si="22"/>
        <v>-</v>
      </c>
      <c r="K213" s="2" t="str">
        <f t="shared" si="23"/>
        <v>-</v>
      </c>
      <c r="L213" s="2">
        <f t="shared" si="24"/>
        <v>0</v>
      </c>
      <c r="M213" s="2">
        <f t="shared" si="25"/>
        <v>0</v>
      </c>
      <c r="O213" s="2">
        <f>IF('Batt IN'!$N$18="Yes",BattLoan!F213*'Batt IN'!$E$7,0)</f>
        <v>0</v>
      </c>
    </row>
    <row r="214" spans="1:15" x14ac:dyDescent="0.25">
      <c r="B214" t="e">
        <f t="shared" si="18"/>
        <v>#N/A</v>
      </c>
      <c r="C214" s="2" t="str">
        <f t="shared" si="19"/>
        <v>0</v>
      </c>
      <c r="E214" s="10">
        <f t="shared" si="20"/>
        <v>0</v>
      </c>
      <c r="F214" s="2">
        <f t="shared" si="21"/>
        <v>0</v>
      </c>
      <c r="G214" s="2" t="str">
        <f>IF(ISERROR(B214),"-",IF(J213=0,0,SUM($F$33:F214)))</f>
        <v>-</v>
      </c>
      <c r="H214" s="2">
        <f t="shared" si="26"/>
        <v>0</v>
      </c>
      <c r="I214" s="2" t="str">
        <f>IF(ISERROR($B214),"-",IF(J213=0,0,SUM($H$33:H214)))</f>
        <v>-</v>
      </c>
      <c r="J214" s="2" t="str">
        <f t="shared" si="22"/>
        <v>-</v>
      </c>
      <c r="K214" s="2" t="str">
        <f t="shared" si="23"/>
        <v>-</v>
      </c>
      <c r="L214" s="2">
        <f t="shared" si="24"/>
        <v>0</v>
      </c>
      <c r="M214" s="2">
        <f t="shared" si="25"/>
        <v>0</v>
      </c>
      <c r="O214" s="2">
        <f>IF('Batt IN'!$N$18="Yes",BattLoan!F214*'Batt IN'!$E$7,0)</f>
        <v>0</v>
      </c>
    </row>
    <row r="215" spans="1:15" x14ac:dyDescent="0.25">
      <c r="B215" t="e">
        <f t="shared" si="18"/>
        <v>#N/A</v>
      </c>
      <c r="C215" s="2" t="str">
        <f t="shared" si="19"/>
        <v>0</v>
      </c>
      <c r="E215" s="10">
        <f t="shared" si="20"/>
        <v>0</v>
      </c>
      <c r="F215" s="2">
        <f t="shared" si="21"/>
        <v>0</v>
      </c>
      <c r="G215" s="2" t="str">
        <f>IF(ISERROR(B215),"-",IF(J214=0,0,SUM($F$33:F215)))</f>
        <v>-</v>
      </c>
      <c r="H215" s="2">
        <f t="shared" si="26"/>
        <v>0</v>
      </c>
      <c r="I215" s="2" t="str">
        <f>IF(ISERROR($B215),"-",IF(J214=0,0,SUM($H$33:H215)))</f>
        <v>-</v>
      </c>
      <c r="J215" s="2" t="str">
        <f t="shared" si="22"/>
        <v>-</v>
      </c>
      <c r="K215" s="2" t="str">
        <f t="shared" si="23"/>
        <v>-</v>
      </c>
      <c r="L215" s="2">
        <f t="shared" si="24"/>
        <v>0</v>
      </c>
      <c r="M215" s="2">
        <f t="shared" si="25"/>
        <v>0</v>
      </c>
      <c r="O215" s="2">
        <f>IF('Batt IN'!$N$18="Yes",BattLoan!F215*'Batt IN'!$E$7,0)</f>
        <v>0</v>
      </c>
    </row>
    <row r="216" spans="1:15" x14ac:dyDescent="0.25">
      <c r="B216" t="e">
        <f t="shared" si="18"/>
        <v>#N/A</v>
      </c>
      <c r="C216" s="2" t="str">
        <f t="shared" si="19"/>
        <v>0</v>
      </c>
      <c r="E216" s="10">
        <f t="shared" si="20"/>
        <v>0</v>
      </c>
      <c r="F216" s="2">
        <f t="shared" si="21"/>
        <v>0</v>
      </c>
      <c r="G216" s="2" t="str">
        <f>IF(ISERROR(B216),"-",IF(J215=0,0,SUM($F$33:F216)))</f>
        <v>-</v>
      </c>
      <c r="H216" s="2">
        <f t="shared" si="26"/>
        <v>0</v>
      </c>
      <c r="I216" s="2" t="str">
        <f>IF(ISERROR($B216),"-",IF(J215=0,0,SUM($H$33:H216)))</f>
        <v>-</v>
      </c>
      <c r="J216" s="2" t="str">
        <f t="shared" si="22"/>
        <v>-</v>
      </c>
      <c r="K216" s="2" t="str">
        <f t="shared" si="23"/>
        <v>-</v>
      </c>
      <c r="L216" s="2">
        <f t="shared" si="24"/>
        <v>0</v>
      </c>
      <c r="M216" s="2">
        <f t="shared" si="25"/>
        <v>0</v>
      </c>
      <c r="O216" s="2">
        <f>IF('Batt IN'!$N$18="Yes",BattLoan!F216*'Batt IN'!$E$7,0)</f>
        <v>0</v>
      </c>
    </row>
    <row r="217" spans="1:15" x14ac:dyDescent="0.25">
      <c r="B217" t="e">
        <f t="shared" si="18"/>
        <v>#N/A</v>
      </c>
      <c r="C217" s="2" t="str">
        <f t="shared" si="19"/>
        <v>0</v>
      </c>
      <c r="E217" s="10">
        <f t="shared" si="20"/>
        <v>0</v>
      </c>
      <c r="F217" s="2">
        <f t="shared" si="21"/>
        <v>0</v>
      </c>
      <c r="G217" s="2" t="str">
        <f>IF(ISERROR(B217),"-",IF(J216=0,0,SUM($F$33:F217)))</f>
        <v>-</v>
      </c>
      <c r="H217" s="2">
        <f t="shared" si="26"/>
        <v>0</v>
      </c>
      <c r="I217" s="2" t="str">
        <f>IF(ISERROR($B217),"-",IF(J216=0,0,SUM($H$33:H217)))</f>
        <v>-</v>
      </c>
      <c r="J217" s="2" t="str">
        <f t="shared" si="22"/>
        <v>-</v>
      </c>
      <c r="K217" s="2" t="str">
        <f t="shared" si="23"/>
        <v>-</v>
      </c>
      <c r="L217" s="2">
        <f t="shared" si="24"/>
        <v>0</v>
      </c>
      <c r="M217" s="2">
        <f t="shared" si="25"/>
        <v>0</v>
      </c>
      <c r="O217" s="2">
        <f>IF('Batt IN'!$N$18="Yes",BattLoan!F217*'Batt IN'!$E$7,0)</f>
        <v>0</v>
      </c>
    </row>
    <row r="218" spans="1:15" x14ac:dyDescent="0.25">
      <c r="B218" t="e">
        <f t="shared" si="18"/>
        <v>#N/A</v>
      </c>
      <c r="C218" s="2" t="str">
        <f t="shared" si="19"/>
        <v>0</v>
      </c>
      <c r="E218" s="10">
        <f t="shared" si="20"/>
        <v>0</v>
      </c>
      <c r="F218" s="2">
        <f t="shared" si="21"/>
        <v>0</v>
      </c>
      <c r="G218" s="2" t="str">
        <f>IF(ISERROR(B218),"-",IF(J217=0,0,SUM($F$33:F218)))</f>
        <v>-</v>
      </c>
      <c r="H218" s="2">
        <f t="shared" si="26"/>
        <v>0</v>
      </c>
      <c r="I218" s="2" t="str">
        <f>IF(ISERROR($B218),"-",IF(J217=0,0,SUM($H$33:H218)))</f>
        <v>-</v>
      </c>
      <c r="J218" s="2" t="str">
        <f t="shared" si="22"/>
        <v>-</v>
      </c>
      <c r="K218" s="2" t="str">
        <f t="shared" si="23"/>
        <v>-</v>
      </c>
      <c r="L218" s="2">
        <f t="shared" si="24"/>
        <v>0</v>
      </c>
      <c r="M218" s="2">
        <f t="shared" si="25"/>
        <v>0</v>
      </c>
      <c r="O218" s="2">
        <f>IF('Batt IN'!$N$18="Yes",BattLoan!F218*'Batt IN'!$E$7,0)</f>
        <v>0</v>
      </c>
    </row>
    <row r="219" spans="1:15" x14ac:dyDescent="0.25">
      <c r="B219" t="e">
        <f t="shared" si="18"/>
        <v>#N/A</v>
      </c>
      <c r="C219" s="2" t="str">
        <f t="shared" si="19"/>
        <v>0</v>
      </c>
      <c r="E219" s="10">
        <f t="shared" si="20"/>
        <v>0</v>
      </c>
      <c r="F219" s="2">
        <f t="shared" si="21"/>
        <v>0</v>
      </c>
      <c r="G219" s="2" t="str">
        <f>IF(ISERROR(B219),"-",IF(J218=0,0,SUM($F$33:F219)))</f>
        <v>-</v>
      </c>
      <c r="H219" s="2">
        <f t="shared" si="26"/>
        <v>0</v>
      </c>
      <c r="I219" s="2" t="str">
        <f>IF(ISERROR($B219),"-",IF(J218=0,0,SUM($H$33:H219)))</f>
        <v>-</v>
      </c>
      <c r="J219" s="2" t="str">
        <f t="shared" si="22"/>
        <v>-</v>
      </c>
      <c r="K219" s="2" t="str">
        <f t="shared" si="23"/>
        <v>-</v>
      </c>
      <c r="L219" s="2">
        <f t="shared" si="24"/>
        <v>0</v>
      </c>
      <c r="M219" s="2">
        <f t="shared" si="25"/>
        <v>0</v>
      </c>
      <c r="O219" s="2">
        <f>IF('Batt IN'!$N$18="Yes",BattLoan!F219*'Batt IN'!$E$7,0)</f>
        <v>0</v>
      </c>
    </row>
    <row r="220" spans="1:15" x14ac:dyDescent="0.25">
      <c r="B220" t="e">
        <f t="shared" si="18"/>
        <v>#N/A</v>
      </c>
      <c r="C220" s="2" t="str">
        <f t="shared" si="19"/>
        <v>0</v>
      </c>
      <c r="E220" s="10">
        <f t="shared" si="20"/>
        <v>0</v>
      </c>
      <c r="F220" s="2">
        <f t="shared" si="21"/>
        <v>0</v>
      </c>
      <c r="G220" s="2" t="str">
        <f>IF(ISERROR(B220),"-",IF(J219=0,0,SUM($F$33:F220)))</f>
        <v>-</v>
      </c>
      <c r="H220" s="2">
        <f t="shared" si="26"/>
        <v>0</v>
      </c>
      <c r="I220" s="2" t="str">
        <f>IF(ISERROR($B220),"-",IF(J219=0,0,SUM($H$33:H220)))</f>
        <v>-</v>
      </c>
      <c r="J220" s="2" t="str">
        <f t="shared" si="22"/>
        <v>-</v>
      </c>
      <c r="K220" s="2" t="str">
        <f t="shared" si="23"/>
        <v>-</v>
      </c>
      <c r="L220" s="2">
        <f t="shared" si="24"/>
        <v>0</v>
      </c>
      <c r="M220" s="2">
        <f t="shared" si="25"/>
        <v>0</v>
      </c>
      <c r="O220" s="2">
        <f>IF('Batt IN'!$N$18="Yes",BattLoan!F220*'Batt IN'!$E$7,0)</f>
        <v>0</v>
      </c>
    </row>
    <row r="221" spans="1:15" x14ac:dyDescent="0.25">
      <c r="B221" t="e">
        <f t="shared" si="18"/>
        <v>#N/A</v>
      </c>
      <c r="C221" s="2" t="str">
        <f t="shared" si="19"/>
        <v>0</v>
      </c>
      <c r="E221" s="10">
        <f t="shared" si="20"/>
        <v>0</v>
      </c>
      <c r="F221" s="2">
        <f t="shared" si="21"/>
        <v>0</v>
      </c>
      <c r="G221" s="2" t="str">
        <f>IF(ISERROR(B221),"-",IF(J220=0,0,SUM($F$33:F221)))</f>
        <v>-</v>
      </c>
      <c r="H221" s="2">
        <f t="shared" si="26"/>
        <v>0</v>
      </c>
      <c r="I221" s="2" t="str">
        <f>IF(ISERROR($B221),"-",IF(J220=0,0,SUM($H$33:H221)))</f>
        <v>-</v>
      </c>
      <c r="J221" s="2" t="str">
        <f t="shared" si="22"/>
        <v>-</v>
      </c>
      <c r="K221" s="2" t="str">
        <f t="shared" si="23"/>
        <v>-</v>
      </c>
      <c r="L221" s="2">
        <f t="shared" si="24"/>
        <v>0</v>
      </c>
      <c r="M221" s="2">
        <f t="shared" si="25"/>
        <v>0</v>
      </c>
      <c r="O221" s="2">
        <f>IF('Batt IN'!$N$18="Yes",BattLoan!F221*'Batt IN'!$E$7,0)</f>
        <v>0</v>
      </c>
    </row>
    <row r="222" spans="1:15" x14ac:dyDescent="0.25">
      <c r="B222" t="e">
        <f t="shared" si="18"/>
        <v>#N/A</v>
      </c>
      <c r="C222" s="2" t="str">
        <f t="shared" si="19"/>
        <v>0</v>
      </c>
      <c r="E222" s="10">
        <f t="shared" si="20"/>
        <v>0</v>
      </c>
      <c r="F222" s="2">
        <f t="shared" si="21"/>
        <v>0</v>
      </c>
      <c r="G222" s="2" t="str">
        <f>IF(ISERROR(B222),"-",IF(J221=0,0,SUM($F$33:F222)))</f>
        <v>-</v>
      </c>
      <c r="H222" s="2">
        <f t="shared" si="26"/>
        <v>0</v>
      </c>
      <c r="I222" s="2" t="str">
        <f>IF(ISERROR($B222),"-",IF(J221=0,0,SUM($H$33:H222)))</f>
        <v>-</v>
      </c>
      <c r="J222" s="2" t="str">
        <f t="shared" si="22"/>
        <v>-</v>
      </c>
      <c r="K222" s="2" t="str">
        <f t="shared" si="23"/>
        <v>-</v>
      </c>
      <c r="L222" s="2">
        <f t="shared" si="24"/>
        <v>0</v>
      </c>
      <c r="M222" s="2">
        <f t="shared" si="25"/>
        <v>0</v>
      </c>
      <c r="O222" s="2">
        <f>IF('Batt IN'!$N$18="Yes",BattLoan!F222*'Batt IN'!$E$7,0)</f>
        <v>0</v>
      </c>
    </row>
    <row r="223" spans="1:15" x14ac:dyDescent="0.25">
      <c r="B223" t="e">
        <f t="shared" si="18"/>
        <v>#N/A</v>
      </c>
      <c r="C223" s="2" t="str">
        <f t="shared" si="19"/>
        <v>0</v>
      </c>
      <c r="E223" s="10">
        <f t="shared" si="20"/>
        <v>0</v>
      </c>
      <c r="F223" s="2">
        <f t="shared" si="21"/>
        <v>0</v>
      </c>
      <c r="G223" s="2" t="str">
        <f>IF(ISERROR(B223),"-",IF(J222=0,0,SUM($F$33:F223)))</f>
        <v>-</v>
      </c>
      <c r="H223" s="2">
        <f t="shared" si="26"/>
        <v>0</v>
      </c>
      <c r="I223" s="2" t="str">
        <f>IF(ISERROR($B223),"-",IF(J222=0,0,SUM($H$33:H223)))</f>
        <v>-</v>
      </c>
      <c r="J223" s="2" t="str">
        <f t="shared" si="22"/>
        <v>-</v>
      </c>
      <c r="K223" s="2" t="str">
        <f t="shared" si="23"/>
        <v>-</v>
      </c>
      <c r="L223" s="2">
        <f t="shared" si="24"/>
        <v>0</v>
      </c>
      <c r="M223" s="2">
        <f t="shared" si="25"/>
        <v>0</v>
      </c>
      <c r="O223" s="2">
        <f>IF('Batt IN'!$N$18="Yes",BattLoan!F223*'Batt IN'!$E$7,0)</f>
        <v>0</v>
      </c>
    </row>
    <row r="224" spans="1:15" x14ac:dyDescent="0.25">
      <c r="A224">
        <v>16</v>
      </c>
      <c r="B224" t="e">
        <f t="shared" si="18"/>
        <v>#N/A</v>
      </c>
      <c r="C224" s="2" t="str">
        <f t="shared" si="19"/>
        <v>0</v>
      </c>
      <c r="E224" s="10">
        <f t="shared" si="20"/>
        <v>0</v>
      </c>
      <c r="F224" s="2">
        <f t="shared" si="21"/>
        <v>0</v>
      </c>
      <c r="G224" s="2" t="str">
        <f>IF(ISERROR(B224),"-",IF(J223=0,0,SUM($F$33:F224)))</f>
        <v>-</v>
      </c>
      <c r="H224" s="2">
        <f t="shared" si="26"/>
        <v>0</v>
      </c>
      <c r="I224" s="2" t="str">
        <f>IF(ISERROR($B224),"-",IF(J223=0,0,SUM($H$33:H224)))</f>
        <v>-</v>
      </c>
      <c r="J224" s="2" t="str">
        <f t="shared" si="22"/>
        <v>-</v>
      </c>
      <c r="K224" s="2" t="str">
        <f t="shared" si="23"/>
        <v>-</v>
      </c>
      <c r="L224" s="2">
        <f t="shared" si="24"/>
        <v>0</v>
      </c>
      <c r="M224" s="2">
        <f t="shared" si="25"/>
        <v>0</v>
      </c>
      <c r="O224" s="2">
        <f>IF('Batt IN'!$N$18="Yes",BattLoan!F224*'Batt IN'!$E$7,0)</f>
        <v>0</v>
      </c>
    </row>
    <row r="225" spans="1:15" x14ac:dyDescent="0.25">
      <c r="B225" t="e">
        <f t="shared" ref="B225:B288" si="27">IF(B224&gt;=$E$9,NA(),B224+1)</f>
        <v>#N/A</v>
      </c>
      <c r="C225" s="2" t="str">
        <f t="shared" ref="C225:C288" si="28">IF(ISERROR(B225),"0",IF(J224=0,0,$E$11))</f>
        <v>0</v>
      </c>
      <c r="E225" s="10">
        <f t="shared" ref="E225:E288" si="29">C225+D225</f>
        <v>0</v>
      </c>
      <c r="F225" s="2">
        <f t="shared" ref="F225:F288" si="30">IF(ISERROR(B225),0,$E$8*J224)</f>
        <v>0</v>
      </c>
      <c r="G225" s="2" t="str">
        <f>IF(ISERROR(B225),"-",IF(J224=0,0,SUM($F$33:F225)))</f>
        <v>-</v>
      </c>
      <c r="H225" s="2">
        <f t="shared" si="26"/>
        <v>0</v>
      </c>
      <c r="I225" s="2" t="str">
        <f>IF(ISERROR($B225),"-",IF(J224=0,0,SUM($H$33:H225)))</f>
        <v>-</v>
      </c>
      <c r="J225" s="2" t="str">
        <f t="shared" ref="J225:J288" si="31">IF(ISERROR($B225),"-",IF(J224-H225&lt;0,0,J224-H225))</f>
        <v>-</v>
      </c>
      <c r="K225" s="2" t="str">
        <f t="shared" ref="K225:K288" si="32">IF(ISERROR(B225),"-",J224-H225)</f>
        <v>-</v>
      </c>
      <c r="L225" s="2">
        <f t="shared" ref="L225:L288" si="33">IF(K225&gt;=0,E225,E225+K225)</f>
        <v>0</v>
      </c>
      <c r="M225" s="2">
        <f t="shared" ref="M225:M288" si="34">-IF(K225&lt;0,K225,0)</f>
        <v>0</v>
      </c>
      <c r="O225" s="2">
        <f>IF('Batt IN'!$N$18="Yes",BattLoan!F225*'Batt IN'!$E$7,0)</f>
        <v>0</v>
      </c>
    </row>
    <row r="226" spans="1:15" x14ac:dyDescent="0.25">
      <c r="B226" t="e">
        <f t="shared" si="27"/>
        <v>#N/A</v>
      </c>
      <c r="C226" s="2" t="str">
        <f t="shared" si="28"/>
        <v>0</v>
      </c>
      <c r="E226" s="10">
        <f t="shared" si="29"/>
        <v>0</v>
      </c>
      <c r="F226" s="2">
        <f t="shared" si="30"/>
        <v>0</v>
      </c>
      <c r="G226" s="2" t="str">
        <f>IF(ISERROR(B226),"-",IF(J225=0,0,SUM($F$33:F226)))</f>
        <v>-</v>
      </c>
      <c r="H226" s="2">
        <f t="shared" ref="H226:H289" si="35">IF(ISERROR($B226),0,IF(J225=0,0,E226-F226))</f>
        <v>0</v>
      </c>
      <c r="I226" s="2" t="str">
        <f>IF(ISERROR($B226),"-",IF(J225=0,0,SUM($H$33:H226)))</f>
        <v>-</v>
      </c>
      <c r="J226" s="2" t="str">
        <f t="shared" si="31"/>
        <v>-</v>
      </c>
      <c r="K226" s="2" t="str">
        <f t="shared" si="32"/>
        <v>-</v>
      </c>
      <c r="L226" s="2">
        <f t="shared" si="33"/>
        <v>0</v>
      </c>
      <c r="M226" s="2">
        <f t="shared" si="34"/>
        <v>0</v>
      </c>
      <c r="O226" s="2">
        <f>IF('Batt IN'!$N$18="Yes",BattLoan!F226*'Batt IN'!$E$7,0)</f>
        <v>0</v>
      </c>
    </row>
    <row r="227" spans="1:15" x14ac:dyDescent="0.25">
      <c r="B227" t="e">
        <f t="shared" si="27"/>
        <v>#N/A</v>
      </c>
      <c r="C227" s="2" t="str">
        <f t="shared" si="28"/>
        <v>0</v>
      </c>
      <c r="E227" s="10">
        <f t="shared" si="29"/>
        <v>0</v>
      </c>
      <c r="F227" s="2">
        <f t="shared" si="30"/>
        <v>0</v>
      </c>
      <c r="G227" s="2" t="str">
        <f>IF(ISERROR(B227),"-",IF(J226=0,0,SUM($F$33:F227)))</f>
        <v>-</v>
      </c>
      <c r="H227" s="2">
        <f t="shared" si="35"/>
        <v>0</v>
      </c>
      <c r="I227" s="2" t="str">
        <f>IF(ISERROR($B227),"-",IF(J226=0,0,SUM($H$33:H227)))</f>
        <v>-</v>
      </c>
      <c r="J227" s="2" t="str">
        <f t="shared" si="31"/>
        <v>-</v>
      </c>
      <c r="K227" s="2" t="str">
        <f t="shared" si="32"/>
        <v>-</v>
      </c>
      <c r="L227" s="2">
        <f t="shared" si="33"/>
        <v>0</v>
      </c>
      <c r="M227" s="2">
        <f t="shared" si="34"/>
        <v>0</v>
      </c>
      <c r="O227" s="2">
        <f>IF('Batt IN'!$N$18="Yes",BattLoan!F227*'Batt IN'!$E$7,0)</f>
        <v>0</v>
      </c>
    </row>
    <row r="228" spans="1:15" x14ac:dyDescent="0.25">
      <c r="B228" t="e">
        <f t="shared" si="27"/>
        <v>#N/A</v>
      </c>
      <c r="C228" s="2" t="str">
        <f t="shared" si="28"/>
        <v>0</v>
      </c>
      <c r="E228" s="10">
        <f t="shared" si="29"/>
        <v>0</v>
      </c>
      <c r="F228" s="2">
        <f t="shared" si="30"/>
        <v>0</v>
      </c>
      <c r="G228" s="2" t="str">
        <f>IF(ISERROR(B228),"-",IF(J227=0,0,SUM($F$33:F228)))</f>
        <v>-</v>
      </c>
      <c r="H228" s="2">
        <f t="shared" si="35"/>
        <v>0</v>
      </c>
      <c r="I228" s="2" t="str">
        <f>IF(ISERROR($B228),"-",IF(J227=0,0,SUM($H$33:H228)))</f>
        <v>-</v>
      </c>
      <c r="J228" s="2" t="str">
        <f t="shared" si="31"/>
        <v>-</v>
      </c>
      <c r="K228" s="2" t="str">
        <f t="shared" si="32"/>
        <v>-</v>
      </c>
      <c r="L228" s="2">
        <f t="shared" si="33"/>
        <v>0</v>
      </c>
      <c r="M228" s="2">
        <f t="shared" si="34"/>
        <v>0</v>
      </c>
      <c r="O228" s="2">
        <f>IF('Batt IN'!$N$18="Yes",BattLoan!F228*'Batt IN'!$E$7,0)</f>
        <v>0</v>
      </c>
    </row>
    <row r="229" spans="1:15" x14ac:dyDescent="0.25">
      <c r="B229" t="e">
        <f t="shared" si="27"/>
        <v>#N/A</v>
      </c>
      <c r="C229" s="2" t="str">
        <f t="shared" si="28"/>
        <v>0</v>
      </c>
      <c r="E229" s="10">
        <f t="shared" si="29"/>
        <v>0</v>
      </c>
      <c r="F229" s="2">
        <f t="shared" si="30"/>
        <v>0</v>
      </c>
      <c r="G229" s="2" t="str">
        <f>IF(ISERROR(B229),"-",IF(J228=0,0,SUM($F$33:F229)))</f>
        <v>-</v>
      </c>
      <c r="H229" s="2">
        <f t="shared" si="35"/>
        <v>0</v>
      </c>
      <c r="I229" s="2" t="str">
        <f>IF(ISERROR($B229),"-",IF(J228=0,0,SUM($H$33:H229)))</f>
        <v>-</v>
      </c>
      <c r="J229" s="2" t="str">
        <f t="shared" si="31"/>
        <v>-</v>
      </c>
      <c r="K229" s="2" t="str">
        <f t="shared" si="32"/>
        <v>-</v>
      </c>
      <c r="L229" s="2">
        <f t="shared" si="33"/>
        <v>0</v>
      </c>
      <c r="M229" s="2">
        <f t="shared" si="34"/>
        <v>0</v>
      </c>
      <c r="O229" s="2">
        <f>IF('Batt IN'!$N$18="Yes",BattLoan!F229*'Batt IN'!$E$7,0)</f>
        <v>0</v>
      </c>
    </row>
    <row r="230" spans="1:15" x14ac:dyDescent="0.25">
      <c r="B230" t="e">
        <f t="shared" si="27"/>
        <v>#N/A</v>
      </c>
      <c r="C230" s="2" t="str">
        <f t="shared" si="28"/>
        <v>0</v>
      </c>
      <c r="E230" s="10">
        <f t="shared" si="29"/>
        <v>0</v>
      </c>
      <c r="F230" s="2">
        <f t="shared" si="30"/>
        <v>0</v>
      </c>
      <c r="G230" s="2" t="str">
        <f>IF(ISERROR(B230),"-",IF(J229=0,0,SUM($F$33:F230)))</f>
        <v>-</v>
      </c>
      <c r="H230" s="2">
        <f t="shared" si="35"/>
        <v>0</v>
      </c>
      <c r="I230" s="2" t="str">
        <f>IF(ISERROR($B230),"-",IF(J229=0,0,SUM($H$33:H230)))</f>
        <v>-</v>
      </c>
      <c r="J230" s="2" t="str">
        <f t="shared" si="31"/>
        <v>-</v>
      </c>
      <c r="K230" s="2" t="str">
        <f t="shared" si="32"/>
        <v>-</v>
      </c>
      <c r="L230" s="2">
        <f t="shared" si="33"/>
        <v>0</v>
      </c>
      <c r="M230" s="2">
        <f t="shared" si="34"/>
        <v>0</v>
      </c>
      <c r="O230" s="2">
        <f>IF('Batt IN'!$N$18="Yes",BattLoan!F230*'Batt IN'!$E$7,0)</f>
        <v>0</v>
      </c>
    </row>
    <row r="231" spans="1:15" x14ac:dyDescent="0.25">
      <c r="B231" t="e">
        <f t="shared" si="27"/>
        <v>#N/A</v>
      </c>
      <c r="C231" s="2" t="str">
        <f t="shared" si="28"/>
        <v>0</v>
      </c>
      <c r="E231" s="10">
        <f t="shared" si="29"/>
        <v>0</v>
      </c>
      <c r="F231" s="2">
        <f t="shared" si="30"/>
        <v>0</v>
      </c>
      <c r="G231" s="2" t="str">
        <f>IF(ISERROR(B231),"-",IF(J230=0,0,SUM($F$33:F231)))</f>
        <v>-</v>
      </c>
      <c r="H231" s="2">
        <f t="shared" si="35"/>
        <v>0</v>
      </c>
      <c r="I231" s="2" t="str">
        <f>IF(ISERROR($B231),"-",IF(J230=0,0,SUM($H$33:H231)))</f>
        <v>-</v>
      </c>
      <c r="J231" s="2" t="str">
        <f t="shared" si="31"/>
        <v>-</v>
      </c>
      <c r="K231" s="2" t="str">
        <f t="shared" si="32"/>
        <v>-</v>
      </c>
      <c r="L231" s="2">
        <f t="shared" si="33"/>
        <v>0</v>
      </c>
      <c r="M231" s="2">
        <f t="shared" si="34"/>
        <v>0</v>
      </c>
      <c r="O231" s="2">
        <f>IF('Batt IN'!$N$18="Yes",BattLoan!F231*'Batt IN'!$E$7,0)</f>
        <v>0</v>
      </c>
    </row>
    <row r="232" spans="1:15" x14ac:dyDescent="0.25">
      <c r="B232" t="e">
        <f t="shared" si="27"/>
        <v>#N/A</v>
      </c>
      <c r="C232" s="2" t="str">
        <f t="shared" si="28"/>
        <v>0</v>
      </c>
      <c r="E232" s="10">
        <f t="shared" si="29"/>
        <v>0</v>
      </c>
      <c r="F232" s="2">
        <f t="shared" si="30"/>
        <v>0</v>
      </c>
      <c r="G232" s="2" t="str">
        <f>IF(ISERROR(B232),"-",IF(J231=0,0,SUM($F$33:F232)))</f>
        <v>-</v>
      </c>
      <c r="H232" s="2">
        <f t="shared" si="35"/>
        <v>0</v>
      </c>
      <c r="I232" s="2" t="str">
        <f>IF(ISERROR($B232),"-",IF(J231=0,0,SUM($H$33:H232)))</f>
        <v>-</v>
      </c>
      <c r="J232" s="2" t="str">
        <f t="shared" si="31"/>
        <v>-</v>
      </c>
      <c r="K232" s="2" t="str">
        <f t="shared" si="32"/>
        <v>-</v>
      </c>
      <c r="L232" s="2">
        <f t="shared" si="33"/>
        <v>0</v>
      </c>
      <c r="M232" s="2">
        <f t="shared" si="34"/>
        <v>0</v>
      </c>
      <c r="O232" s="2">
        <f>IF('Batt IN'!$N$18="Yes",BattLoan!F232*'Batt IN'!$E$7,0)</f>
        <v>0</v>
      </c>
    </row>
    <row r="233" spans="1:15" x14ac:dyDescent="0.25">
      <c r="B233" t="e">
        <f t="shared" si="27"/>
        <v>#N/A</v>
      </c>
      <c r="C233" s="2" t="str">
        <f t="shared" si="28"/>
        <v>0</v>
      </c>
      <c r="E233" s="10">
        <f t="shared" si="29"/>
        <v>0</v>
      </c>
      <c r="F233" s="2">
        <f t="shared" si="30"/>
        <v>0</v>
      </c>
      <c r="G233" s="2" t="str">
        <f>IF(ISERROR(B233),"-",IF(J232=0,0,SUM($F$33:F233)))</f>
        <v>-</v>
      </c>
      <c r="H233" s="2">
        <f t="shared" si="35"/>
        <v>0</v>
      </c>
      <c r="I233" s="2" t="str">
        <f>IF(ISERROR($B233),"-",IF(J232=0,0,SUM($H$33:H233)))</f>
        <v>-</v>
      </c>
      <c r="J233" s="2" t="str">
        <f t="shared" si="31"/>
        <v>-</v>
      </c>
      <c r="K233" s="2" t="str">
        <f t="shared" si="32"/>
        <v>-</v>
      </c>
      <c r="L233" s="2">
        <f t="shared" si="33"/>
        <v>0</v>
      </c>
      <c r="M233" s="2">
        <f t="shared" si="34"/>
        <v>0</v>
      </c>
      <c r="O233" s="2">
        <f>IF('Batt IN'!$N$18="Yes",BattLoan!F233*'Batt IN'!$E$7,0)</f>
        <v>0</v>
      </c>
    </row>
    <row r="234" spans="1:15" x14ac:dyDescent="0.25">
      <c r="B234" t="e">
        <f t="shared" si="27"/>
        <v>#N/A</v>
      </c>
      <c r="C234" s="2" t="str">
        <f t="shared" si="28"/>
        <v>0</v>
      </c>
      <c r="E234" s="10">
        <f t="shared" si="29"/>
        <v>0</v>
      </c>
      <c r="F234" s="2">
        <f t="shared" si="30"/>
        <v>0</v>
      </c>
      <c r="G234" s="2" t="str">
        <f>IF(ISERROR(B234),"-",IF(J233=0,0,SUM($F$33:F234)))</f>
        <v>-</v>
      </c>
      <c r="H234" s="2">
        <f t="shared" si="35"/>
        <v>0</v>
      </c>
      <c r="I234" s="2" t="str">
        <f>IF(ISERROR($B234),"-",IF(J233=0,0,SUM($H$33:H234)))</f>
        <v>-</v>
      </c>
      <c r="J234" s="2" t="str">
        <f t="shared" si="31"/>
        <v>-</v>
      </c>
      <c r="K234" s="2" t="str">
        <f t="shared" si="32"/>
        <v>-</v>
      </c>
      <c r="L234" s="2">
        <f t="shared" si="33"/>
        <v>0</v>
      </c>
      <c r="M234" s="2">
        <f t="shared" si="34"/>
        <v>0</v>
      </c>
      <c r="O234" s="2">
        <f>IF('Batt IN'!$N$18="Yes",BattLoan!F234*'Batt IN'!$E$7,0)</f>
        <v>0</v>
      </c>
    </row>
    <row r="235" spans="1:15" x14ac:dyDescent="0.25">
      <c r="B235" t="e">
        <f t="shared" si="27"/>
        <v>#N/A</v>
      </c>
      <c r="C235" s="2" t="str">
        <f t="shared" si="28"/>
        <v>0</v>
      </c>
      <c r="E235" s="10">
        <f t="shared" si="29"/>
        <v>0</v>
      </c>
      <c r="F235" s="2">
        <f t="shared" si="30"/>
        <v>0</v>
      </c>
      <c r="G235" s="2" t="str">
        <f>IF(ISERROR(B235),"-",IF(J234=0,0,SUM($F$33:F235)))</f>
        <v>-</v>
      </c>
      <c r="H235" s="2">
        <f t="shared" si="35"/>
        <v>0</v>
      </c>
      <c r="I235" s="2" t="str">
        <f>IF(ISERROR($B235),"-",IF(J234=0,0,SUM($H$33:H235)))</f>
        <v>-</v>
      </c>
      <c r="J235" s="2" t="str">
        <f t="shared" si="31"/>
        <v>-</v>
      </c>
      <c r="K235" s="2" t="str">
        <f t="shared" si="32"/>
        <v>-</v>
      </c>
      <c r="L235" s="2">
        <f t="shared" si="33"/>
        <v>0</v>
      </c>
      <c r="M235" s="2">
        <f t="shared" si="34"/>
        <v>0</v>
      </c>
      <c r="O235" s="2">
        <f>IF('Batt IN'!$N$18="Yes",BattLoan!F235*'Batt IN'!$E$7,0)</f>
        <v>0</v>
      </c>
    </row>
    <row r="236" spans="1:15" x14ac:dyDescent="0.25">
      <c r="A236">
        <v>17</v>
      </c>
      <c r="B236" t="e">
        <f t="shared" si="27"/>
        <v>#N/A</v>
      </c>
      <c r="C236" s="2" t="str">
        <f t="shared" si="28"/>
        <v>0</v>
      </c>
      <c r="E236" s="10">
        <f t="shared" si="29"/>
        <v>0</v>
      </c>
      <c r="F236" s="2">
        <f t="shared" si="30"/>
        <v>0</v>
      </c>
      <c r="G236" s="2" t="str">
        <f>IF(ISERROR(B236),"-",IF(J235=0,0,SUM($F$33:F236)))</f>
        <v>-</v>
      </c>
      <c r="H236" s="2">
        <f t="shared" si="35"/>
        <v>0</v>
      </c>
      <c r="I236" s="2" t="str">
        <f>IF(ISERROR($B236),"-",IF(J235=0,0,SUM($H$33:H236)))</f>
        <v>-</v>
      </c>
      <c r="J236" s="2" t="str">
        <f t="shared" si="31"/>
        <v>-</v>
      </c>
      <c r="K236" s="2" t="str">
        <f t="shared" si="32"/>
        <v>-</v>
      </c>
      <c r="L236" s="2">
        <f t="shared" si="33"/>
        <v>0</v>
      </c>
      <c r="M236" s="2">
        <f t="shared" si="34"/>
        <v>0</v>
      </c>
      <c r="O236" s="2">
        <f>IF('Batt IN'!$N$18="Yes",BattLoan!F236*'Batt IN'!$E$7,0)</f>
        <v>0</v>
      </c>
    </row>
    <row r="237" spans="1:15" x14ac:dyDescent="0.25">
      <c r="B237" t="e">
        <f t="shared" si="27"/>
        <v>#N/A</v>
      </c>
      <c r="C237" s="2" t="str">
        <f t="shared" si="28"/>
        <v>0</v>
      </c>
      <c r="E237" s="10">
        <f t="shared" si="29"/>
        <v>0</v>
      </c>
      <c r="F237" s="2">
        <f t="shared" si="30"/>
        <v>0</v>
      </c>
      <c r="G237" s="2" t="str">
        <f>IF(ISERROR(B237),"-",IF(J236=0,0,SUM($F$33:F237)))</f>
        <v>-</v>
      </c>
      <c r="H237" s="2">
        <f t="shared" si="35"/>
        <v>0</v>
      </c>
      <c r="I237" s="2" t="str">
        <f>IF(ISERROR($B237),"-",IF(J236=0,0,SUM($H$33:H237)))</f>
        <v>-</v>
      </c>
      <c r="J237" s="2" t="str">
        <f t="shared" si="31"/>
        <v>-</v>
      </c>
      <c r="K237" s="2" t="str">
        <f t="shared" si="32"/>
        <v>-</v>
      </c>
      <c r="L237" s="2">
        <f t="shared" si="33"/>
        <v>0</v>
      </c>
      <c r="M237" s="2">
        <f t="shared" si="34"/>
        <v>0</v>
      </c>
      <c r="O237" s="2">
        <f>IF('Batt IN'!$N$18="Yes",BattLoan!F237*'Batt IN'!$E$7,0)</f>
        <v>0</v>
      </c>
    </row>
    <row r="238" spans="1:15" x14ac:dyDescent="0.25">
      <c r="B238" t="e">
        <f t="shared" si="27"/>
        <v>#N/A</v>
      </c>
      <c r="C238" s="2" t="str">
        <f t="shared" si="28"/>
        <v>0</v>
      </c>
      <c r="E238" s="10">
        <f t="shared" si="29"/>
        <v>0</v>
      </c>
      <c r="F238" s="2">
        <f t="shared" si="30"/>
        <v>0</v>
      </c>
      <c r="G238" s="2" t="str">
        <f>IF(ISERROR(B238),"-",IF(J237=0,0,SUM($F$33:F238)))</f>
        <v>-</v>
      </c>
      <c r="H238" s="2">
        <f t="shared" si="35"/>
        <v>0</v>
      </c>
      <c r="I238" s="2" t="str">
        <f>IF(ISERROR($B238),"-",IF(J237=0,0,SUM($H$33:H238)))</f>
        <v>-</v>
      </c>
      <c r="J238" s="2" t="str">
        <f t="shared" si="31"/>
        <v>-</v>
      </c>
      <c r="K238" s="2" t="str">
        <f t="shared" si="32"/>
        <v>-</v>
      </c>
      <c r="L238" s="2">
        <f t="shared" si="33"/>
        <v>0</v>
      </c>
      <c r="M238" s="2">
        <f t="shared" si="34"/>
        <v>0</v>
      </c>
      <c r="O238" s="2">
        <f>IF('Batt IN'!$N$18="Yes",BattLoan!F238*'Batt IN'!$E$7,0)</f>
        <v>0</v>
      </c>
    </row>
    <row r="239" spans="1:15" x14ac:dyDescent="0.25">
      <c r="B239" t="e">
        <f t="shared" si="27"/>
        <v>#N/A</v>
      </c>
      <c r="C239" s="2" t="str">
        <f t="shared" si="28"/>
        <v>0</v>
      </c>
      <c r="E239" s="10">
        <f t="shared" si="29"/>
        <v>0</v>
      </c>
      <c r="F239" s="2">
        <f t="shared" si="30"/>
        <v>0</v>
      </c>
      <c r="G239" s="2" t="str">
        <f>IF(ISERROR(B239),"-",IF(J238=0,0,SUM($F$33:F239)))</f>
        <v>-</v>
      </c>
      <c r="H239" s="2">
        <f t="shared" si="35"/>
        <v>0</v>
      </c>
      <c r="I239" s="2" t="str">
        <f>IF(ISERROR($B239),"-",IF(J238=0,0,SUM($H$33:H239)))</f>
        <v>-</v>
      </c>
      <c r="J239" s="2" t="str">
        <f t="shared" si="31"/>
        <v>-</v>
      </c>
      <c r="K239" s="2" t="str">
        <f t="shared" si="32"/>
        <v>-</v>
      </c>
      <c r="L239" s="2">
        <f t="shared" si="33"/>
        <v>0</v>
      </c>
      <c r="M239" s="2">
        <f t="shared" si="34"/>
        <v>0</v>
      </c>
      <c r="O239" s="2">
        <f>IF('Batt IN'!$N$18="Yes",BattLoan!F239*'Batt IN'!$E$7,0)</f>
        <v>0</v>
      </c>
    </row>
    <row r="240" spans="1:15" x14ac:dyDescent="0.25">
      <c r="B240" t="e">
        <f t="shared" si="27"/>
        <v>#N/A</v>
      </c>
      <c r="C240" s="2" t="str">
        <f t="shared" si="28"/>
        <v>0</v>
      </c>
      <c r="E240" s="10">
        <f t="shared" si="29"/>
        <v>0</v>
      </c>
      <c r="F240" s="2">
        <f t="shared" si="30"/>
        <v>0</v>
      </c>
      <c r="G240" s="2" t="str">
        <f>IF(ISERROR(B240),"-",IF(J239=0,0,SUM($F$33:F240)))</f>
        <v>-</v>
      </c>
      <c r="H240" s="2">
        <f t="shared" si="35"/>
        <v>0</v>
      </c>
      <c r="I240" s="2" t="str">
        <f>IF(ISERROR($B240),"-",IF(J239=0,0,SUM($H$33:H240)))</f>
        <v>-</v>
      </c>
      <c r="J240" s="2" t="str">
        <f t="shared" si="31"/>
        <v>-</v>
      </c>
      <c r="K240" s="2" t="str">
        <f t="shared" si="32"/>
        <v>-</v>
      </c>
      <c r="L240" s="2">
        <f t="shared" si="33"/>
        <v>0</v>
      </c>
      <c r="M240" s="2">
        <f t="shared" si="34"/>
        <v>0</v>
      </c>
      <c r="O240" s="2">
        <f>IF('Batt IN'!$N$18="Yes",BattLoan!F240*'Batt IN'!$E$7,0)</f>
        <v>0</v>
      </c>
    </row>
    <row r="241" spans="1:15" x14ac:dyDescent="0.25">
      <c r="B241" t="e">
        <f t="shared" si="27"/>
        <v>#N/A</v>
      </c>
      <c r="C241" s="2" t="str">
        <f t="shared" si="28"/>
        <v>0</v>
      </c>
      <c r="E241" s="10">
        <f t="shared" si="29"/>
        <v>0</v>
      </c>
      <c r="F241" s="2">
        <f t="shared" si="30"/>
        <v>0</v>
      </c>
      <c r="G241" s="2" t="str">
        <f>IF(ISERROR(B241),"-",IF(J240=0,0,SUM($F$33:F241)))</f>
        <v>-</v>
      </c>
      <c r="H241" s="2">
        <f t="shared" si="35"/>
        <v>0</v>
      </c>
      <c r="I241" s="2" t="str">
        <f>IF(ISERROR($B241),"-",IF(J240=0,0,SUM($H$33:H241)))</f>
        <v>-</v>
      </c>
      <c r="J241" s="2" t="str">
        <f t="shared" si="31"/>
        <v>-</v>
      </c>
      <c r="K241" s="2" t="str">
        <f t="shared" si="32"/>
        <v>-</v>
      </c>
      <c r="L241" s="2">
        <f t="shared" si="33"/>
        <v>0</v>
      </c>
      <c r="M241" s="2">
        <f t="shared" si="34"/>
        <v>0</v>
      </c>
      <c r="O241" s="2">
        <f>IF('Batt IN'!$N$18="Yes",BattLoan!F241*'Batt IN'!$E$7,0)</f>
        <v>0</v>
      </c>
    </row>
    <row r="242" spans="1:15" x14ac:dyDescent="0.25">
      <c r="B242" t="e">
        <f t="shared" si="27"/>
        <v>#N/A</v>
      </c>
      <c r="C242" s="2" t="str">
        <f t="shared" si="28"/>
        <v>0</v>
      </c>
      <c r="E242" s="10">
        <f t="shared" si="29"/>
        <v>0</v>
      </c>
      <c r="F242" s="2">
        <f t="shared" si="30"/>
        <v>0</v>
      </c>
      <c r="G242" s="2" t="str">
        <f>IF(ISERROR(B242),"-",IF(J241=0,0,SUM($F$33:F242)))</f>
        <v>-</v>
      </c>
      <c r="H242" s="2">
        <f t="shared" si="35"/>
        <v>0</v>
      </c>
      <c r="I242" s="2" t="str">
        <f>IF(ISERROR($B242),"-",IF(J241=0,0,SUM($H$33:H242)))</f>
        <v>-</v>
      </c>
      <c r="J242" s="2" t="str">
        <f t="shared" si="31"/>
        <v>-</v>
      </c>
      <c r="K242" s="2" t="str">
        <f t="shared" si="32"/>
        <v>-</v>
      </c>
      <c r="L242" s="2">
        <f t="shared" si="33"/>
        <v>0</v>
      </c>
      <c r="M242" s="2">
        <f t="shared" si="34"/>
        <v>0</v>
      </c>
      <c r="O242" s="2">
        <f>IF('Batt IN'!$N$18="Yes",BattLoan!F242*'Batt IN'!$E$7,0)</f>
        <v>0</v>
      </c>
    </row>
    <row r="243" spans="1:15" x14ac:dyDescent="0.25">
      <c r="B243" t="e">
        <f t="shared" si="27"/>
        <v>#N/A</v>
      </c>
      <c r="C243" s="2" t="str">
        <f t="shared" si="28"/>
        <v>0</v>
      </c>
      <c r="E243" s="10">
        <f t="shared" si="29"/>
        <v>0</v>
      </c>
      <c r="F243" s="2">
        <f t="shared" si="30"/>
        <v>0</v>
      </c>
      <c r="G243" s="2" t="str">
        <f>IF(ISERROR(B243),"-",IF(J242=0,0,SUM($F$33:F243)))</f>
        <v>-</v>
      </c>
      <c r="H243" s="2">
        <f t="shared" si="35"/>
        <v>0</v>
      </c>
      <c r="I243" s="2" t="str">
        <f>IF(ISERROR($B243),"-",IF(J242=0,0,SUM($H$33:H243)))</f>
        <v>-</v>
      </c>
      <c r="J243" s="2" t="str">
        <f t="shared" si="31"/>
        <v>-</v>
      </c>
      <c r="K243" s="2" t="str">
        <f t="shared" si="32"/>
        <v>-</v>
      </c>
      <c r="L243" s="2">
        <f t="shared" si="33"/>
        <v>0</v>
      </c>
      <c r="M243" s="2">
        <f t="shared" si="34"/>
        <v>0</v>
      </c>
      <c r="O243" s="2">
        <f>IF('Batt IN'!$N$18="Yes",BattLoan!F243*'Batt IN'!$E$7,0)</f>
        <v>0</v>
      </c>
    </row>
    <row r="244" spans="1:15" x14ac:dyDescent="0.25">
      <c r="B244" t="e">
        <f t="shared" si="27"/>
        <v>#N/A</v>
      </c>
      <c r="C244" s="2" t="str">
        <f t="shared" si="28"/>
        <v>0</v>
      </c>
      <c r="E244" s="10">
        <f t="shared" si="29"/>
        <v>0</v>
      </c>
      <c r="F244" s="2">
        <f t="shared" si="30"/>
        <v>0</v>
      </c>
      <c r="G244" s="2" t="str">
        <f>IF(ISERROR(B244),"-",IF(J243=0,0,SUM($F$33:F244)))</f>
        <v>-</v>
      </c>
      <c r="H244" s="2">
        <f t="shared" si="35"/>
        <v>0</v>
      </c>
      <c r="I244" s="2" t="str">
        <f>IF(ISERROR($B244),"-",IF(J243=0,0,SUM($H$33:H244)))</f>
        <v>-</v>
      </c>
      <c r="J244" s="2" t="str">
        <f t="shared" si="31"/>
        <v>-</v>
      </c>
      <c r="K244" s="2" t="str">
        <f t="shared" si="32"/>
        <v>-</v>
      </c>
      <c r="L244" s="2">
        <f t="shared" si="33"/>
        <v>0</v>
      </c>
      <c r="M244" s="2">
        <f t="shared" si="34"/>
        <v>0</v>
      </c>
      <c r="O244" s="2">
        <f>IF('Batt IN'!$N$18="Yes",BattLoan!F244*'Batt IN'!$E$7,0)</f>
        <v>0</v>
      </c>
    </row>
    <row r="245" spans="1:15" x14ac:dyDescent="0.25">
      <c r="B245" t="e">
        <f t="shared" si="27"/>
        <v>#N/A</v>
      </c>
      <c r="C245" s="2" t="str">
        <f t="shared" si="28"/>
        <v>0</v>
      </c>
      <c r="E245" s="10">
        <f t="shared" si="29"/>
        <v>0</v>
      </c>
      <c r="F245" s="2">
        <f t="shared" si="30"/>
        <v>0</v>
      </c>
      <c r="G245" s="2" t="str">
        <f>IF(ISERROR(B245),"-",IF(J244=0,0,SUM($F$33:F245)))</f>
        <v>-</v>
      </c>
      <c r="H245" s="2">
        <f t="shared" si="35"/>
        <v>0</v>
      </c>
      <c r="I245" s="2" t="str">
        <f>IF(ISERROR($B245),"-",IF(J244=0,0,SUM($H$33:H245)))</f>
        <v>-</v>
      </c>
      <c r="J245" s="2" t="str">
        <f t="shared" si="31"/>
        <v>-</v>
      </c>
      <c r="K245" s="2" t="str">
        <f t="shared" si="32"/>
        <v>-</v>
      </c>
      <c r="L245" s="2">
        <f t="shared" si="33"/>
        <v>0</v>
      </c>
      <c r="M245" s="2">
        <f t="shared" si="34"/>
        <v>0</v>
      </c>
      <c r="O245" s="2">
        <f>IF('Batt IN'!$N$18="Yes",BattLoan!F245*'Batt IN'!$E$7,0)</f>
        <v>0</v>
      </c>
    </row>
    <row r="246" spans="1:15" x14ac:dyDescent="0.25">
      <c r="B246" t="e">
        <f t="shared" si="27"/>
        <v>#N/A</v>
      </c>
      <c r="C246" s="2" t="str">
        <f t="shared" si="28"/>
        <v>0</v>
      </c>
      <c r="E246" s="10">
        <f t="shared" si="29"/>
        <v>0</v>
      </c>
      <c r="F246" s="2">
        <f t="shared" si="30"/>
        <v>0</v>
      </c>
      <c r="G246" s="2" t="str">
        <f>IF(ISERROR(B246),"-",IF(J245=0,0,SUM($F$33:F246)))</f>
        <v>-</v>
      </c>
      <c r="H246" s="2">
        <f t="shared" si="35"/>
        <v>0</v>
      </c>
      <c r="I246" s="2" t="str">
        <f>IF(ISERROR($B246),"-",IF(J245=0,0,SUM($H$33:H246)))</f>
        <v>-</v>
      </c>
      <c r="J246" s="2" t="str">
        <f t="shared" si="31"/>
        <v>-</v>
      </c>
      <c r="K246" s="2" t="str">
        <f t="shared" si="32"/>
        <v>-</v>
      </c>
      <c r="L246" s="2">
        <f t="shared" si="33"/>
        <v>0</v>
      </c>
      <c r="M246" s="2">
        <f t="shared" si="34"/>
        <v>0</v>
      </c>
      <c r="O246" s="2">
        <f>IF('Batt IN'!$N$18="Yes",BattLoan!F246*'Batt IN'!$E$7,0)</f>
        <v>0</v>
      </c>
    </row>
    <row r="247" spans="1:15" x14ac:dyDescent="0.25">
      <c r="B247" t="e">
        <f t="shared" si="27"/>
        <v>#N/A</v>
      </c>
      <c r="C247" s="2" t="str">
        <f t="shared" si="28"/>
        <v>0</v>
      </c>
      <c r="E247" s="10">
        <f t="shared" si="29"/>
        <v>0</v>
      </c>
      <c r="F247" s="2">
        <f t="shared" si="30"/>
        <v>0</v>
      </c>
      <c r="G247" s="2" t="str">
        <f>IF(ISERROR(B247),"-",IF(J246=0,0,SUM($F$33:F247)))</f>
        <v>-</v>
      </c>
      <c r="H247" s="2">
        <f t="shared" si="35"/>
        <v>0</v>
      </c>
      <c r="I247" s="2" t="str">
        <f>IF(ISERROR($B247),"-",IF(J246=0,0,SUM($H$33:H247)))</f>
        <v>-</v>
      </c>
      <c r="J247" s="2" t="str">
        <f t="shared" si="31"/>
        <v>-</v>
      </c>
      <c r="K247" s="2" t="str">
        <f t="shared" si="32"/>
        <v>-</v>
      </c>
      <c r="L247" s="2">
        <f t="shared" si="33"/>
        <v>0</v>
      </c>
      <c r="M247" s="2">
        <f t="shared" si="34"/>
        <v>0</v>
      </c>
      <c r="O247" s="2">
        <f>IF('Batt IN'!$N$18="Yes",BattLoan!F247*'Batt IN'!$E$7,0)</f>
        <v>0</v>
      </c>
    </row>
    <row r="248" spans="1:15" x14ac:dyDescent="0.25">
      <c r="A248">
        <v>18</v>
      </c>
      <c r="B248" t="e">
        <f t="shared" si="27"/>
        <v>#N/A</v>
      </c>
      <c r="C248" s="2" t="str">
        <f t="shared" si="28"/>
        <v>0</v>
      </c>
      <c r="E248" s="10">
        <f t="shared" si="29"/>
        <v>0</v>
      </c>
      <c r="F248" s="2">
        <f t="shared" si="30"/>
        <v>0</v>
      </c>
      <c r="G248" s="2" t="str">
        <f>IF(ISERROR(B248),"-",IF(J247=0,0,SUM($F$33:F248)))</f>
        <v>-</v>
      </c>
      <c r="H248" s="2">
        <f t="shared" si="35"/>
        <v>0</v>
      </c>
      <c r="I248" s="2" t="str">
        <f>IF(ISERROR($B248),"-",IF(J247=0,0,SUM($H$33:H248)))</f>
        <v>-</v>
      </c>
      <c r="J248" s="2" t="str">
        <f t="shared" si="31"/>
        <v>-</v>
      </c>
      <c r="K248" s="2" t="str">
        <f t="shared" si="32"/>
        <v>-</v>
      </c>
      <c r="L248" s="2">
        <f t="shared" si="33"/>
        <v>0</v>
      </c>
      <c r="M248" s="2">
        <f t="shared" si="34"/>
        <v>0</v>
      </c>
      <c r="O248" s="2">
        <f>IF('Batt IN'!$N$18="Yes",BattLoan!F248*'Batt IN'!$E$7,0)</f>
        <v>0</v>
      </c>
    </row>
    <row r="249" spans="1:15" x14ac:dyDescent="0.25">
      <c r="B249" t="e">
        <f t="shared" si="27"/>
        <v>#N/A</v>
      </c>
      <c r="C249" s="2" t="str">
        <f t="shared" si="28"/>
        <v>0</v>
      </c>
      <c r="E249" s="10">
        <f t="shared" si="29"/>
        <v>0</v>
      </c>
      <c r="F249" s="2">
        <f t="shared" si="30"/>
        <v>0</v>
      </c>
      <c r="G249" s="2" t="str">
        <f>IF(ISERROR(B249),"-",IF(J248=0,0,SUM($F$33:F249)))</f>
        <v>-</v>
      </c>
      <c r="H249" s="2">
        <f t="shared" si="35"/>
        <v>0</v>
      </c>
      <c r="I249" s="2" t="str">
        <f>IF(ISERROR($B249),"-",IF(J248=0,0,SUM($H$33:H249)))</f>
        <v>-</v>
      </c>
      <c r="J249" s="2" t="str">
        <f t="shared" si="31"/>
        <v>-</v>
      </c>
      <c r="K249" s="2" t="str">
        <f t="shared" si="32"/>
        <v>-</v>
      </c>
      <c r="L249" s="2">
        <f t="shared" si="33"/>
        <v>0</v>
      </c>
      <c r="M249" s="2">
        <f t="shared" si="34"/>
        <v>0</v>
      </c>
      <c r="O249" s="2">
        <f>IF('Batt IN'!$N$18="Yes",BattLoan!F249*'Batt IN'!$E$7,0)</f>
        <v>0</v>
      </c>
    </row>
    <row r="250" spans="1:15" x14ac:dyDescent="0.25">
      <c r="B250" t="e">
        <f t="shared" si="27"/>
        <v>#N/A</v>
      </c>
      <c r="C250" s="2" t="str">
        <f t="shared" si="28"/>
        <v>0</v>
      </c>
      <c r="E250" s="10">
        <f t="shared" si="29"/>
        <v>0</v>
      </c>
      <c r="F250" s="2">
        <f t="shared" si="30"/>
        <v>0</v>
      </c>
      <c r="G250" s="2" t="str">
        <f>IF(ISERROR(B250),"-",IF(J249=0,0,SUM($F$33:F250)))</f>
        <v>-</v>
      </c>
      <c r="H250" s="2">
        <f t="shared" si="35"/>
        <v>0</v>
      </c>
      <c r="I250" s="2" t="str">
        <f>IF(ISERROR($B250),"-",IF(J249=0,0,SUM($H$33:H250)))</f>
        <v>-</v>
      </c>
      <c r="J250" s="2" t="str">
        <f t="shared" si="31"/>
        <v>-</v>
      </c>
      <c r="K250" s="2" t="str">
        <f t="shared" si="32"/>
        <v>-</v>
      </c>
      <c r="L250" s="2">
        <f t="shared" si="33"/>
        <v>0</v>
      </c>
      <c r="M250" s="2">
        <f t="shared" si="34"/>
        <v>0</v>
      </c>
      <c r="O250" s="2">
        <f>IF('Batt IN'!$N$18="Yes",BattLoan!F250*'Batt IN'!$E$7,0)</f>
        <v>0</v>
      </c>
    </row>
    <row r="251" spans="1:15" x14ac:dyDescent="0.25">
      <c r="B251" t="e">
        <f t="shared" si="27"/>
        <v>#N/A</v>
      </c>
      <c r="C251" s="2" t="str">
        <f t="shared" si="28"/>
        <v>0</v>
      </c>
      <c r="E251" s="10">
        <f t="shared" si="29"/>
        <v>0</v>
      </c>
      <c r="F251" s="2">
        <f t="shared" si="30"/>
        <v>0</v>
      </c>
      <c r="G251" s="2" t="str">
        <f>IF(ISERROR(B251),"-",IF(J250=0,0,SUM($F$33:F251)))</f>
        <v>-</v>
      </c>
      <c r="H251" s="2">
        <f t="shared" si="35"/>
        <v>0</v>
      </c>
      <c r="I251" s="2" t="str">
        <f>IF(ISERROR($B251),"-",IF(J250=0,0,SUM($H$33:H251)))</f>
        <v>-</v>
      </c>
      <c r="J251" s="2" t="str">
        <f t="shared" si="31"/>
        <v>-</v>
      </c>
      <c r="K251" s="2" t="str">
        <f t="shared" si="32"/>
        <v>-</v>
      </c>
      <c r="L251" s="2">
        <f t="shared" si="33"/>
        <v>0</v>
      </c>
      <c r="M251" s="2">
        <f t="shared" si="34"/>
        <v>0</v>
      </c>
      <c r="O251" s="2">
        <f>IF('Batt IN'!$N$18="Yes",BattLoan!F251*'Batt IN'!$E$7,0)</f>
        <v>0</v>
      </c>
    </row>
    <row r="252" spans="1:15" x14ac:dyDescent="0.25">
      <c r="B252" t="e">
        <f t="shared" si="27"/>
        <v>#N/A</v>
      </c>
      <c r="C252" s="2" t="str">
        <f t="shared" si="28"/>
        <v>0</v>
      </c>
      <c r="E252" s="10">
        <f t="shared" si="29"/>
        <v>0</v>
      </c>
      <c r="F252" s="2">
        <f t="shared" si="30"/>
        <v>0</v>
      </c>
      <c r="G252" s="2" t="str">
        <f>IF(ISERROR(B252),"-",IF(J251=0,0,SUM($F$33:F252)))</f>
        <v>-</v>
      </c>
      <c r="H252" s="2">
        <f t="shared" si="35"/>
        <v>0</v>
      </c>
      <c r="I252" s="2" t="str">
        <f>IF(ISERROR($B252),"-",IF(J251=0,0,SUM($H$33:H252)))</f>
        <v>-</v>
      </c>
      <c r="J252" s="2" t="str">
        <f t="shared" si="31"/>
        <v>-</v>
      </c>
      <c r="K252" s="2" t="str">
        <f t="shared" si="32"/>
        <v>-</v>
      </c>
      <c r="L252" s="2">
        <f t="shared" si="33"/>
        <v>0</v>
      </c>
      <c r="M252" s="2">
        <f t="shared" si="34"/>
        <v>0</v>
      </c>
      <c r="O252" s="2">
        <f>IF('Batt IN'!$N$18="Yes",BattLoan!F252*'Batt IN'!$E$7,0)</f>
        <v>0</v>
      </c>
    </row>
    <row r="253" spans="1:15" x14ac:dyDescent="0.25">
      <c r="B253" t="e">
        <f t="shared" si="27"/>
        <v>#N/A</v>
      </c>
      <c r="C253" s="2" t="str">
        <f t="shared" si="28"/>
        <v>0</v>
      </c>
      <c r="E253" s="10">
        <f t="shared" si="29"/>
        <v>0</v>
      </c>
      <c r="F253" s="2">
        <f t="shared" si="30"/>
        <v>0</v>
      </c>
      <c r="G253" s="2" t="str">
        <f>IF(ISERROR(B253),"-",IF(J252=0,0,SUM($F$33:F253)))</f>
        <v>-</v>
      </c>
      <c r="H253" s="2">
        <f t="shared" si="35"/>
        <v>0</v>
      </c>
      <c r="I253" s="2" t="str">
        <f>IF(ISERROR($B253),"-",IF(J252=0,0,SUM($H$33:H253)))</f>
        <v>-</v>
      </c>
      <c r="J253" s="2" t="str">
        <f t="shared" si="31"/>
        <v>-</v>
      </c>
      <c r="K253" s="2" t="str">
        <f t="shared" si="32"/>
        <v>-</v>
      </c>
      <c r="L253" s="2">
        <f t="shared" si="33"/>
        <v>0</v>
      </c>
      <c r="M253" s="2">
        <f t="shared" si="34"/>
        <v>0</v>
      </c>
      <c r="O253" s="2">
        <f>IF('Batt IN'!$N$18="Yes",BattLoan!F253*'Batt IN'!$E$7,0)</f>
        <v>0</v>
      </c>
    </row>
    <row r="254" spans="1:15" x14ac:dyDescent="0.25">
      <c r="B254" t="e">
        <f t="shared" si="27"/>
        <v>#N/A</v>
      </c>
      <c r="C254" s="2" t="str">
        <f t="shared" si="28"/>
        <v>0</v>
      </c>
      <c r="E254" s="10">
        <f t="shared" si="29"/>
        <v>0</v>
      </c>
      <c r="F254" s="2">
        <f t="shared" si="30"/>
        <v>0</v>
      </c>
      <c r="G254" s="2" t="str">
        <f>IF(ISERROR(B254),"-",IF(J253=0,0,SUM($F$33:F254)))</f>
        <v>-</v>
      </c>
      <c r="H254" s="2">
        <f t="shared" si="35"/>
        <v>0</v>
      </c>
      <c r="I254" s="2" t="str">
        <f>IF(ISERROR($B254),"-",IF(J253=0,0,SUM($H$33:H254)))</f>
        <v>-</v>
      </c>
      <c r="J254" s="2" t="str">
        <f t="shared" si="31"/>
        <v>-</v>
      </c>
      <c r="K254" s="2" t="str">
        <f t="shared" si="32"/>
        <v>-</v>
      </c>
      <c r="L254" s="2">
        <f t="shared" si="33"/>
        <v>0</v>
      </c>
      <c r="M254" s="2">
        <f t="shared" si="34"/>
        <v>0</v>
      </c>
      <c r="O254" s="2">
        <f>IF('Batt IN'!$N$18="Yes",BattLoan!F254*'Batt IN'!$E$7,0)</f>
        <v>0</v>
      </c>
    </row>
    <row r="255" spans="1:15" x14ac:dyDescent="0.25">
      <c r="B255" t="e">
        <f t="shared" si="27"/>
        <v>#N/A</v>
      </c>
      <c r="C255" s="2" t="str">
        <f t="shared" si="28"/>
        <v>0</v>
      </c>
      <c r="E255" s="10">
        <f t="shared" si="29"/>
        <v>0</v>
      </c>
      <c r="F255" s="2">
        <f t="shared" si="30"/>
        <v>0</v>
      </c>
      <c r="G255" s="2" t="str">
        <f>IF(ISERROR(B255),"-",IF(J254=0,0,SUM($F$33:F255)))</f>
        <v>-</v>
      </c>
      <c r="H255" s="2">
        <f t="shared" si="35"/>
        <v>0</v>
      </c>
      <c r="I255" s="2" t="str">
        <f>IF(ISERROR($B255),"-",IF(J254=0,0,SUM($H$33:H255)))</f>
        <v>-</v>
      </c>
      <c r="J255" s="2" t="str">
        <f t="shared" si="31"/>
        <v>-</v>
      </c>
      <c r="K255" s="2" t="str">
        <f t="shared" si="32"/>
        <v>-</v>
      </c>
      <c r="L255" s="2">
        <f t="shared" si="33"/>
        <v>0</v>
      </c>
      <c r="M255" s="2">
        <f t="shared" si="34"/>
        <v>0</v>
      </c>
      <c r="O255" s="2">
        <f>IF('Batt IN'!$N$18="Yes",BattLoan!F255*'Batt IN'!$E$7,0)</f>
        <v>0</v>
      </c>
    </row>
    <row r="256" spans="1:15" x14ac:dyDescent="0.25">
      <c r="B256" t="e">
        <f t="shared" si="27"/>
        <v>#N/A</v>
      </c>
      <c r="C256" s="2" t="str">
        <f t="shared" si="28"/>
        <v>0</v>
      </c>
      <c r="E256" s="10">
        <f t="shared" si="29"/>
        <v>0</v>
      </c>
      <c r="F256" s="2">
        <f t="shared" si="30"/>
        <v>0</v>
      </c>
      <c r="G256" s="2" t="str">
        <f>IF(ISERROR(B256),"-",IF(J255=0,0,SUM($F$33:F256)))</f>
        <v>-</v>
      </c>
      <c r="H256" s="2">
        <f t="shared" si="35"/>
        <v>0</v>
      </c>
      <c r="I256" s="2" t="str">
        <f>IF(ISERROR($B256),"-",IF(J255=0,0,SUM($H$33:H256)))</f>
        <v>-</v>
      </c>
      <c r="J256" s="2" t="str">
        <f t="shared" si="31"/>
        <v>-</v>
      </c>
      <c r="K256" s="2" t="str">
        <f t="shared" si="32"/>
        <v>-</v>
      </c>
      <c r="L256" s="2">
        <f t="shared" si="33"/>
        <v>0</v>
      </c>
      <c r="M256" s="2">
        <f t="shared" si="34"/>
        <v>0</v>
      </c>
      <c r="O256" s="2">
        <f>IF('Batt IN'!$N$18="Yes",BattLoan!F256*'Batt IN'!$E$7,0)</f>
        <v>0</v>
      </c>
    </row>
    <row r="257" spans="1:15" x14ac:dyDescent="0.25">
      <c r="B257" t="e">
        <f t="shared" si="27"/>
        <v>#N/A</v>
      </c>
      <c r="C257" s="2" t="str">
        <f t="shared" si="28"/>
        <v>0</v>
      </c>
      <c r="E257" s="10">
        <f t="shared" si="29"/>
        <v>0</v>
      </c>
      <c r="F257" s="2">
        <f t="shared" si="30"/>
        <v>0</v>
      </c>
      <c r="G257" s="2" t="str">
        <f>IF(ISERROR(B257),"-",IF(J256=0,0,SUM($F$33:F257)))</f>
        <v>-</v>
      </c>
      <c r="H257" s="2">
        <f t="shared" si="35"/>
        <v>0</v>
      </c>
      <c r="I257" s="2" t="str">
        <f>IF(ISERROR($B257),"-",IF(J256=0,0,SUM($H$33:H257)))</f>
        <v>-</v>
      </c>
      <c r="J257" s="2" t="str">
        <f t="shared" si="31"/>
        <v>-</v>
      </c>
      <c r="K257" s="2" t="str">
        <f t="shared" si="32"/>
        <v>-</v>
      </c>
      <c r="L257" s="2">
        <f t="shared" si="33"/>
        <v>0</v>
      </c>
      <c r="M257" s="2">
        <f t="shared" si="34"/>
        <v>0</v>
      </c>
      <c r="O257" s="2">
        <f>IF('Batt IN'!$N$18="Yes",BattLoan!F257*'Batt IN'!$E$7,0)</f>
        <v>0</v>
      </c>
    </row>
    <row r="258" spans="1:15" x14ac:dyDescent="0.25">
      <c r="B258" t="e">
        <f t="shared" si="27"/>
        <v>#N/A</v>
      </c>
      <c r="C258" s="2" t="str">
        <f t="shared" si="28"/>
        <v>0</v>
      </c>
      <c r="E258" s="10">
        <f t="shared" si="29"/>
        <v>0</v>
      </c>
      <c r="F258" s="2">
        <f t="shared" si="30"/>
        <v>0</v>
      </c>
      <c r="G258" s="2" t="str">
        <f>IF(ISERROR(B258),"-",IF(J257=0,0,SUM($F$33:F258)))</f>
        <v>-</v>
      </c>
      <c r="H258" s="2">
        <f t="shared" si="35"/>
        <v>0</v>
      </c>
      <c r="I258" s="2" t="str">
        <f>IF(ISERROR($B258),"-",IF(J257=0,0,SUM($H$33:H258)))</f>
        <v>-</v>
      </c>
      <c r="J258" s="2" t="str">
        <f t="shared" si="31"/>
        <v>-</v>
      </c>
      <c r="K258" s="2" t="str">
        <f t="shared" si="32"/>
        <v>-</v>
      </c>
      <c r="L258" s="2">
        <f t="shared" si="33"/>
        <v>0</v>
      </c>
      <c r="M258" s="2">
        <f t="shared" si="34"/>
        <v>0</v>
      </c>
      <c r="O258" s="2">
        <f>IF('Batt IN'!$N$18="Yes",BattLoan!F258*'Batt IN'!$E$7,0)</f>
        <v>0</v>
      </c>
    </row>
    <row r="259" spans="1:15" x14ac:dyDescent="0.25">
      <c r="B259" t="e">
        <f t="shared" si="27"/>
        <v>#N/A</v>
      </c>
      <c r="C259" s="2" t="str">
        <f t="shared" si="28"/>
        <v>0</v>
      </c>
      <c r="E259" s="10">
        <f t="shared" si="29"/>
        <v>0</v>
      </c>
      <c r="F259" s="2">
        <f t="shared" si="30"/>
        <v>0</v>
      </c>
      <c r="G259" s="2" t="str">
        <f>IF(ISERROR(B259),"-",IF(J258=0,0,SUM($F$33:F259)))</f>
        <v>-</v>
      </c>
      <c r="H259" s="2">
        <f t="shared" si="35"/>
        <v>0</v>
      </c>
      <c r="I259" s="2" t="str">
        <f>IF(ISERROR($B259),"-",IF(J258=0,0,SUM($H$33:H259)))</f>
        <v>-</v>
      </c>
      <c r="J259" s="2" t="str">
        <f t="shared" si="31"/>
        <v>-</v>
      </c>
      <c r="K259" s="2" t="str">
        <f t="shared" si="32"/>
        <v>-</v>
      </c>
      <c r="L259" s="2">
        <f t="shared" si="33"/>
        <v>0</v>
      </c>
      <c r="M259" s="2">
        <f t="shared" si="34"/>
        <v>0</v>
      </c>
      <c r="O259" s="2">
        <f>IF('Batt IN'!$N$18="Yes",BattLoan!F259*'Batt IN'!$E$7,0)</f>
        <v>0</v>
      </c>
    </row>
    <row r="260" spans="1:15" x14ac:dyDescent="0.25">
      <c r="A260">
        <v>19</v>
      </c>
      <c r="B260" t="e">
        <f t="shared" si="27"/>
        <v>#N/A</v>
      </c>
      <c r="C260" s="2" t="str">
        <f t="shared" si="28"/>
        <v>0</v>
      </c>
      <c r="E260" s="10">
        <f t="shared" si="29"/>
        <v>0</v>
      </c>
      <c r="F260" s="2">
        <f t="shared" si="30"/>
        <v>0</v>
      </c>
      <c r="G260" s="2" t="str">
        <f>IF(ISERROR(B260),"-",IF(J259=0,0,SUM($F$33:F260)))</f>
        <v>-</v>
      </c>
      <c r="H260" s="2">
        <f t="shared" si="35"/>
        <v>0</v>
      </c>
      <c r="I260" s="2" t="str">
        <f>IF(ISERROR($B260),"-",IF(J259=0,0,SUM($H$33:H260)))</f>
        <v>-</v>
      </c>
      <c r="J260" s="2" t="str">
        <f t="shared" si="31"/>
        <v>-</v>
      </c>
      <c r="K260" s="2" t="str">
        <f t="shared" si="32"/>
        <v>-</v>
      </c>
      <c r="L260" s="2">
        <f t="shared" si="33"/>
        <v>0</v>
      </c>
      <c r="M260" s="2">
        <f t="shared" si="34"/>
        <v>0</v>
      </c>
      <c r="O260" s="2">
        <f>IF('Batt IN'!$N$18="Yes",BattLoan!F260*'Batt IN'!$E$7,0)</f>
        <v>0</v>
      </c>
    </row>
    <row r="261" spans="1:15" x14ac:dyDescent="0.25">
      <c r="B261" t="e">
        <f t="shared" si="27"/>
        <v>#N/A</v>
      </c>
      <c r="C261" s="2" t="str">
        <f t="shared" si="28"/>
        <v>0</v>
      </c>
      <c r="E261" s="10">
        <f t="shared" si="29"/>
        <v>0</v>
      </c>
      <c r="F261" s="2">
        <f t="shared" si="30"/>
        <v>0</v>
      </c>
      <c r="G261" s="2" t="str">
        <f>IF(ISERROR(B261),"-",IF(J260=0,0,SUM($F$33:F261)))</f>
        <v>-</v>
      </c>
      <c r="H261" s="2">
        <f t="shared" si="35"/>
        <v>0</v>
      </c>
      <c r="I261" s="2" t="str">
        <f>IF(ISERROR($B261),"-",IF(J260=0,0,SUM($H$33:H261)))</f>
        <v>-</v>
      </c>
      <c r="J261" s="2" t="str">
        <f t="shared" si="31"/>
        <v>-</v>
      </c>
      <c r="K261" s="2" t="str">
        <f t="shared" si="32"/>
        <v>-</v>
      </c>
      <c r="L261" s="2">
        <f t="shared" si="33"/>
        <v>0</v>
      </c>
      <c r="M261" s="2">
        <f t="shared" si="34"/>
        <v>0</v>
      </c>
      <c r="O261" s="2">
        <f>IF('Batt IN'!$N$18="Yes",BattLoan!F261*'Batt IN'!$E$7,0)</f>
        <v>0</v>
      </c>
    </row>
    <row r="262" spans="1:15" x14ac:dyDescent="0.25">
      <c r="B262" t="e">
        <f t="shared" si="27"/>
        <v>#N/A</v>
      </c>
      <c r="C262" s="2" t="str">
        <f t="shared" si="28"/>
        <v>0</v>
      </c>
      <c r="E262" s="10">
        <f t="shared" si="29"/>
        <v>0</v>
      </c>
      <c r="F262" s="2">
        <f t="shared" si="30"/>
        <v>0</v>
      </c>
      <c r="G262" s="2" t="str">
        <f>IF(ISERROR(B262),"-",IF(J261=0,0,SUM($F$33:F262)))</f>
        <v>-</v>
      </c>
      <c r="H262" s="2">
        <f t="shared" si="35"/>
        <v>0</v>
      </c>
      <c r="I262" s="2" t="str">
        <f>IF(ISERROR($B262),"-",IF(J261=0,0,SUM($H$33:H262)))</f>
        <v>-</v>
      </c>
      <c r="J262" s="2" t="str">
        <f t="shared" si="31"/>
        <v>-</v>
      </c>
      <c r="K262" s="2" t="str">
        <f t="shared" si="32"/>
        <v>-</v>
      </c>
      <c r="L262" s="2">
        <f t="shared" si="33"/>
        <v>0</v>
      </c>
      <c r="M262" s="2">
        <f t="shared" si="34"/>
        <v>0</v>
      </c>
      <c r="O262" s="2">
        <f>IF('Batt IN'!$N$18="Yes",BattLoan!F262*'Batt IN'!$E$7,0)</f>
        <v>0</v>
      </c>
    </row>
    <row r="263" spans="1:15" x14ac:dyDescent="0.25">
      <c r="B263" t="e">
        <f t="shared" si="27"/>
        <v>#N/A</v>
      </c>
      <c r="C263" s="2" t="str">
        <f t="shared" si="28"/>
        <v>0</v>
      </c>
      <c r="E263" s="10">
        <f t="shared" si="29"/>
        <v>0</v>
      </c>
      <c r="F263" s="2">
        <f t="shared" si="30"/>
        <v>0</v>
      </c>
      <c r="G263" s="2" t="str">
        <f>IF(ISERROR(B263),"-",IF(J262=0,0,SUM($F$33:F263)))</f>
        <v>-</v>
      </c>
      <c r="H263" s="2">
        <f t="shared" si="35"/>
        <v>0</v>
      </c>
      <c r="I263" s="2" t="str">
        <f>IF(ISERROR($B263),"-",IF(J262=0,0,SUM($H$33:H263)))</f>
        <v>-</v>
      </c>
      <c r="J263" s="2" t="str">
        <f t="shared" si="31"/>
        <v>-</v>
      </c>
      <c r="K263" s="2" t="str">
        <f t="shared" si="32"/>
        <v>-</v>
      </c>
      <c r="L263" s="2">
        <f t="shared" si="33"/>
        <v>0</v>
      </c>
      <c r="M263" s="2">
        <f t="shared" si="34"/>
        <v>0</v>
      </c>
      <c r="O263" s="2">
        <f>IF('Batt IN'!$N$18="Yes",BattLoan!F263*'Batt IN'!$E$7,0)</f>
        <v>0</v>
      </c>
    </row>
    <row r="264" spans="1:15" x14ac:dyDescent="0.25">
      <c r="B264" t="e">
        <f t="shared" si="27"/>
        <v>#N/A</v>
      </c>
      <c r="C264" s="2" t="str">
        <f t="shared" si="28"/>
        <v>0</v>
      </c>
      <c r="E264" s="10">
        <f t="shared" si="29"/>
        <v>0</v>
      </c>
      <c r="F264" s="2">
        <f t="shared" si="30"/>
        <v>0</v>
      </c>
      <c r="G264" s="2" t="str">
        <f>IF(ISERROR(B264),"-",IF(J263=0,0,SUM($F$33:F264)))</f>
        <v>-</v>
      </c>
      <c r="H264" s="2">
        <f t="shared" si="35"/>
        <v>0</v>
      </c>
      <c r="I264" s="2" t="str">
        <f>IF(ISERROR($B264),"-",IF(J263=0,0,SUM($H$33:H264)))</f>
        <v>-</v>
      </c>
      <c r="J264" s="2" t="str">
        <f t="shared" si="31"/>
        <v>-</v>
      </c>
      <c r="K264" s="2" t="str">
        <f t="shared" si="32"/>
        <v>-</v>
      </c>
      <c r="L264" s="2">
        <f t="shared" si="33"/>
        <v>0</v>
      </c>
      <c r="M264" s="2">
        <f t="shared" si="34"/>
        <v>0</v>
      </c>
      <c r="O264" s="2">
        <f>IF('Batt IN'!$N$18="Yes",BattLoan!F264*'Batt IN'!$E$7,0)</f>
        <v>0</v>
      </c>
    </row>
    <row r="265" spans="1:15" x14ac:dyDescent="0.25">
      <c r="B265" t="e">
        <f t="shared" si="27"/>
        <v>#N/A</v>
      </c>
      <c r="C265" s="2" t="str">
        <f t="shared" si="28"/>
        <v>0</v>
      </c>
      <c r="E265" s="10">
        <f t="shared" si="29"/>
        <v>0</v>
      </c>
      <c r="F265" s="2">
        <f t="shared" si="30"/>
        <v>0</v>
      </c>
      <c r="G265" s="2" t="str">
        <f>IF(ISERROR(B265),"-",IF(J264=0,0,SUM($F$33:F265)))</f>
        <v>-</v>
      </c>
      <c r="H265" s="2">
        <f t="shared" si="35"/>
        <v>0</v>
      </c>
      <c r="I265" s="2" t="str">
        <f>IF(ISERROR($B265),"-",IF(J264=0,0,SUM($H$33:H265)))</f>
        <v>-</v>
      </c>
      <c r="J265" s="2" t="str">
        <f t="shared" si="31"/>
        <v>-</v>
      </c>
      <c r="K265" s="2" t="str">
        <f t="shared" si="32"/>
        <v>-</v>
      </c>
      <c r="L265" s="2">
        <f t="shared" si="33"/>
        <v>0</v>
      </c>
      <c r="M265" s="2">
        <f t="shared" si="34"/>
        <v>0</v>
      </c>
      <c r="O265" s="2">
        <f>IF('Batt IN'!$N$18="Yes",BattLoan!F265*'Batt IN'!$E$7,0)</f>
        <v>0</v>
      </c>
    </row>
    <row r="266" spans="1:15" x14ac:dyDescent="0.25">
      <c r="B266" t="e">
        <f t="shared" si="27"/>
        <v>#N/A</v>
      </c>
      <c r="C266" s="2" t="str">
        <f t="shared" si="28"/>
        <v>0</v>
      </c>
      <c r="E266" s="10">
        <f t="shared" si="29"/>
        <v>0</v>
      </c>
      <c r="F266" s="2">
        <f t="shared" si="30"/>
        <v>0</v>
      </c>
      <c r="G266" s="2" t="str">
        <f>IF(ISERROR(B266),"-",IF(J265=0,0,SUM($F$33:F266)))</f>
        <v>-</v>
      </c>
      <c r="H266" s="2">
        <f t="shared" si="35"/>
        <v>0</v>
      </c>
      <c r="I266" s="2" t="str">
        <f>IF(ISERROR($B266),"-",IF(J265=0,0,SUM($H$33:H266)))</f>
        <v>-</v>
      </c>
      <c r="J266" s="2" t="str">
        <f t="shared" si="31"/>
        <v>-</v>
      </c>
      <c r="K266" s="2" t="str">
        <f t="shared" si="32"/>
        <v>-</v>
      </c>
      <c r="L266" s="2">
        <f t="shared" si="33"/>
        <v>0</v>
      </c>
      <c r="M266" s="2">
        <f t="shared" si="34"/>
        <v>0</v>
      </c>
      <c r="O266" s="2">
        <f>IF('Batt IN'!$N$18="Yes",BattLoan!F266*'Batt IN'!$E$7,0)</f>
        <v>0</v>
      </c>
    </row>
    <row r="267" spans="1:15" x14ac:dyDescent="0.25">
      <c r="B267" t="e">
        <f t="shared" si="27"/>
        <v>#N/A</v>
      </c>
      <c r="C267" s="2" t="str">
        <f t="shared" si="28"/>
        <v>0</v>
      </c>
      <c r="E267" s="10">
        <f t="shared" si="29"/>
        <v>0</v>
      </c>
      <c r="F267" s="2">
        <f t="shared" si="30"/>
        <v>0</v>
      </c>
      <c r="G267" s="2" t="str">
        <f>IF(ISERROR(B267),"-",IF(J266=0,0,SUM($F$33:F267)))</f>
        <v>-</v>
      </c>
      <c r="H267" s="2">
        <f t="shared" si="35"/>
        <v>0</v>
      </c>
      <c r="I267" s="2" t="str">
        <f>IF(ISERROR($B267),"-",IF(J266=0,0,SUM($H$33:H267)))</f>
        <v>-</v>
      </c>
      <c r="J267" s="2" t="str">
        <f t="shared" si="31"/>
        <v>-</v>
      </c>
      <c r="K267" s="2" t="str">
        <f t="shared" si="32"/>
        <v>-</v>
      </c>
      <c r="L267" s="2">
        <f t="shared" si="33"/>
        <v>0</v>
      </c>
      <c r="M267" s="2">
        <f t="shared" si="34"/>
        <v>0</v>
      </c>
      <c r="O267" s="2">
        <f>IF('Batt IN'!$N$18="Yes",BattLoan!F267*'Batt IN'!$E$7,0)</f>
        <v>0</v>
      </c>
    </row>
    <row r="268" spans="1:15" x14ac:dyDescent="0.25">
      <c r="B268" t="e">
        <f t="shared" si="27"/>
        <v>#N/A</v>
      </c>
      <c r="C268" s="2" t="str">
        <f t="shared" si="28"/>
        <v>0</v>
      </c>
      <c r="E268" s="10">
        <f t="shared" si="29"/>
        <v>0</v>
      </c>
      <c r="F268" s="2">
        <f t="shared" si="30"/>
        <v>0</v>
      </c>
      <c r="G268" s="2" t="str">
        <f>IF(ISERROR(B268),"-",IF(J267=0,0,SUM($F$33:F268)))</f>
        <v>-</v>
      </c>
      <c r="H268" s="2">
        <f t="shared" si="35"/>
        <v>0</v>
      </c>
      <c r="I268" s="2" t="str">
        <f>IF(ISERROR($B268),"-",IF(J267=0,0,SUM($H$33:H268)))</f>
        <v>-</v>
      </c>
      <c r="J268" s="2" t="str">
        <f t="shared" si="31"/>
        <v>-</v>
      </c>
      <c r="K268" s="2" t="str">
        <f t="shared" si="32"/>
        <v>-</v>
      </c>
      <c r="L268" s="2">
        <f t="shared" si="33"/>
        <v>0</v>
      </c>
      <c r="M268" s="2">
        <f t="shared" si="34"/>
        <v>0</v>
      </c>
      <c r="O268" s="2">
        <f>IF('Batt IN'!$N$18="Yes",BattLoan!F268*'Batt IN'!$E$7,0)</f>
        <v>0</v>
      </c>
    </row>
    <row r="269" spans="1:15" x14ac:dyDescent="0.25">
      <c r="B269" t="e">
        <f t="shared" si="27"/>
        <v>#N/A</v>
      </c>
      <c r="C269" s="2" t="str">
        <f t="shared" si="28"/>
        <v>0</v>
      </c>
      <c r="E269" s="10">
        <f t="shared" si="29"/>
        <v>0</v>
      </c>
      <c r="F269" s="2">
        <f t="shared" si="30"/>
        <v>0</v>
      </c>
      <c r="G269" s="2" t="str">
        <f>IF(ISERROR(B269),"-",IF(J268=0,0,SUM($F$33:F269)))</f>
        <v>-</v>
      </c>
      <c r="H269" s="2">
        <f t="shared" si="35"/>
        <v>0</v>
      </c>
      <c r="I269" s="2" t="str">
        <f>IF(ISERROR($B269),"-",IF(J268=0,0,SUM($H$33:H269)))</f>
        <v>-</v>
      </c>
      <c r="J269" s="2" t="str">
        <f t="shared" si="31"/>
        <v>-</v>
      </c>
      <c r="K269" s="2" t="str">
        <f t="shared" si="32"/>
        <v>-</v>
      </c>
      <c r="L269" s="2">
        <f t="shared" si="33"/>
        <v>0</v>
      </c>
      <c r="M269" s="2">
        <f t="shared" si="34"/>
        <v>0</v>
      </c>
      <c r="O269" s="2">
        <f>IF('Batt IN'!$N$18="Yes",BattLoan!F269*'Batt IN'!$E$7,0)</f>
        <v>0</v>
      </c>
    </row>
    <row r="270" spans="1:15" x14ac:dyDescent="0.25">
      <c r="B270" t="e">
        <f t="shared" si="27"/>
        <v>#N/A</v>
      </c>
      <c r="C270" s="2" t="str">
        <f t="shared" si="28"/>
        <v>0</v>
      </c>
      <c r="E270" s="10">
        <f t="shared" si="29"/>
        <v>0</v>
      </c>
      <c r="F270" s="2">
        <f t="shared" si="30"/>
        <v>0</v>
      </c>
      <c r="G270" s="2" t="str">
        <f>IF(ISERROR(B270),"-",IF(J269=0,0,SUM($F$33:F270)))</f>
        <v>-</v>
      </c>
      <c r="H270" s="2">
        <f t="shared" si="35"/>
        <v>0</v>
      </c>
      <c r="I270" s="2" t="str">
        <f>IF(ISERROR($B270),"-",IF(J269=0,0,SUM($H$33:H270)))</f>
        <v>-</v>
      </c>
      <c r="J270" s="2" t="str">
        <f t="shared" si="31"/>
        <v>-</v>
      </c>
      <c r="K270" s="2" t="str">
        <f t="shared" si="32"/>
        <v>-</v>
      </c>
      <c r="L270" s="2">
        <f t="shared" si="33"/>
        <v>0</v>
      </c>
      <c r="M270" s="2">
        <f t="shared" si="34"/>
        <v>0</v>
      </c>
      <c r="O270" s="2">
        <f>IF('Batt IN'!$N$18="Yes",BattLoan!F270*'Batt IN'!$E$7,0)</f>
        <v>0</v>
      </c>
    </row>
    <row r="271" spans="1:15" x14ac:dyDescent="0.25">
      <c r="B271" t="e">
        <f t="shared" si="27"/>
        <v>#N/A</v>
      </c>
      <c r="C271" s="2" t="str">
        <f t="shared" si="28"/>
        <v>0</v>
      </c>
      <c r="E271" s="10">
        <f t="shared" si="29"/>
        <v>0</v>
      </c>
      <c r="F271" s="2">
        <f t="shared" si="30"/>
        <v>0</v>
      </c>
      <c r="G271" s="2" t="str">
        <f>IF(ISERROR(B271),"-",IF(J270=0,0,SUM($F$33:F271)))</f>
        <v>-</v>
      </c>
      <c r="H271" s="2">
        <f t="shared" si="35"/>
        <v>0</v>
      </c>
      <c r="I271" s="2" t="str">
        <f>IF(ISERROR($B271),"-",IF(J270=0,0,SUM($H$33:H271)))</f>
        <v>-</v>
      </c>
      <c r="J271" s="2" t="str">
        <f t="shared" si="31"/>
        <v>-</v>
      </c>
      <c r="K271" s="2" t="str">
        <f t="shared" si="32"/>
        <v>-</v>
      </c>
      <c r="L271" s="2">
        <f t="shared" si="33"/>
        <v>0</v>
      </c>
      <c r="M271" s="2">
        <f t="shared" si="34"/>
        <v>0</v>
      </c>
      <c r="O271" s="2">
        <f>IF('Batt IN'!$N$18="Yes",BattLoan!F271*'Batt IN'!$E$7,0)</f>
        <v>0</v>
      </c>
    </row>
    <row r="272" spans="1:15" x14ac:dyDescent="0.25">
      <c r="A272">
        <v>20</v>
      </c>
      <c r="B272" t="e">
        <f t="shared" si="27"/>
        <v>#N/A</v>
      </c>
      <c r="C272" s="2" t="str">
        <f t="shared" si="28"/>
        <v>0</v>
      </c>
      <c r="E272" s="10">
        <f t="shared" si="29"/>
        <v>0</v>
      </c>
      <c r="F272" s="2">
        <f t="shared" si="30"/>
        <v>0</v>
      </c>
      <c r="G272" s="2" t="str">
        <f>IF(ISERROR(B272),"-",IF(J271=0,0,SUM($F$33:F272)))</f>
        <v>-</v>
      </c>
      <c r="H272" s="2">
        <f t="shared" si="35"/>
        <v>0</v>
      </c>
      <c r="I272" s="2" t="str">
        <f>IF(ISERROR($B272),"-",IF(J271=0,0,SUM($H$33:H272)))</f>
        <v>-</v>
      </c>
      <c r="J272" s="2" t="str">
        <f t="shared" si="31"/>
        <v>-</v>
      </c>
      <c r="K272" s="2" t="str">
        <f t="shared" si="32"/>
        <v>-</v>
      </c>
      <c r="L272" s="2">
        <f t="shared" si="33"/>
        <v>0</v>
      </c>
      <c r="M272" s="2">
        <f t="shared" si="34"/>
        <v>0</v>
      </c>
      <c r="O272" s="2">
        <f>IF('Batt IN'!$N$18="Yes",BattLoan!F272*'Batt IN'!$E$7,0)</f>
        <v>0</v>
      </c>
    </row>
    <row r="273" spans="1:15" x14ac:dyDescent="0.25">
      <c r="B273" t="e">
        <f t="shared" si="27"/>
        <v>#N/A</v>
      </c>
      <c r="C273" s="2" t="str">
        <f t="shared" si="28"/>
        <v>0</v>
      </c>
      <c r="E273" s="10">
        <f t="shared" si="29"/>
        <v>0</v>
      </c>
      <c r="F273" s="2">
        <f t="shared" si="30"/>
        <v>0</v>
      </c>
      <c r="G273" s="2" t="str">
        <f>IF(ISERROR(B273),"-",IF(J272=0,0,SUM($F$33:F273)))</f>
        <v>-</v>
      </c>
      <c r="H273" s="2">
        <f t="shared" si="35"/>
        <v>0</v>
      </c>
      <c r="I273" s="2" t="str">
        <f>IF(ISERROR($B273),"-",IF(J272=0,0,SUM($H$33:H273)))</f>
        <v>-</v>
      </c>
      <c r="J273" s="2" t="str">
        <f t="shared" si="31"/>
        <v>-</v>
      </c>
      <c r="K273" s="2" t="str">
        <f t="shared" si="32"/>
        <v>-</v>
      </c>
      <c r="L273" s="2">
        <f t="shared" si="33"/>
        <v>0</v>
      </c>
      <c r="M273" s="2">
        <f t="shared" si="34"/>
        <v>0</v>
      </c>
      <c r="O273" s="2">
        <f>IF('Batt IN'!$N$18="Yes",BattLoan!F273*'Batt IN'!$E$7,0)</f>
        <v>0</v>
      </c>
    </row>
    <row r="274" spans="1:15" x14ac:dyDescent="0.25">
      <c r="B274" t="e">
        <f t="shared" si="27"/>
        <v>#N/A</v>
      </c>
      <c r="C274" s="2" t="str">
        <f t="shared" si="28"/>
        <v>0</v>
      </c>
      <c r="E274" s="10">
        <f t="shared" si="29"/>
        <v>0</v>
      </c>
      <c r="F274" s="2">
        <f t="shared" si="30"/>
        <v>0</v>
      </c>
      <c r="G274" s="2" t="str">
        <f>IF(ISERROR(B274),"-",IF(J273=0,0,SUM($F$33:F274)))</f>
        <v>-</v>
      </c>
      <c r="H274" s="2">
        <f t="shared" si="35"/>
        <v>0</v>
      </c>
      <c r="I274" s="2" t="str">
        <f>IF(ISERROR($B274),"-",IF(J273=0,0,SUM($H$33:H274)))</f>
        <v>-</v>
      </c>
      <c r="J274" s="2" t="str">
        <f t="shared" si="31"/>
        <v>-</v>
      </c>
      <c r="K274" s="2" t="str">
        <f t="shared" si="32"/>
        <v>-</v>
      </c>
      <c r="L274" s="2">
        <f t="shared" si="33"/>
        <v>0</v>
      </c>
      <c r="M274" s="2">
        <f t="shared" si="34"/>
        <v>0</v>
      </c>
      <c r="O274" s="2">
        <f>IF('Batt IN'!$N$18="Yes",BattLoan!F274*'Batt IN'!$E$7,0)</f>
        <v>0</v>
      </c>
    </row>
    <row r="275" spans="1:15" x14ac:dyDescent="0.25">
      <c r="B275" t="e">
        <f t="shared" si="27"/>
        <v>#N/A</v>
      </c>
      <c r="C275" s="2" t="str">
        <f t="shared" si="28"/>
        <v>0</v>
      </c>
      <c r="E275" s="10">
        <f t="shared" si="29"/>
        <v>0</v>
      </c>
      <c r="F275" s="2">
        <f t="shared" si="30"/>
        <v>0</v>
      </c>
      <c r="G275" s="2" t="str">
        <f>IF(ISERROR(B275),"-",IF(J274=0,0,SUM($F$33:F275)))</f>
        <v>-</v>
      </c>
      <c r="H275" s="2">
        <f t="shared" si="35"/>
        <v>0</v>
      </c>
      <c r="I275" s="2" t="str">
        <f>IF(ISERROR($B275),"-",IF(J274=0,0,SUM($H$33:H275)))</f>
        <v>-</v>
      </c>
      <c r="J275" s="2" t="str">
        <f t="shared" si="31"/>
        <v>-</v>
      </c>
      <c r="K275" s="2" t="str">
        <f t="shared" si="32"/>
        <v>-</v>
      </c>
      <c r="L275" s="2">
        <f t="shared" si="33"/>
        <v>0</v>
      </c>
      <c r="M275" s="2">
        <f t="shared" si="34"/>
        <v>0</v>
      </c>
      <c r="O275" s="2">
        <f>IF('Batt IN'!$N$18="Yes",BattLoan!F275*'Batt IN'!$E$7,0)</f>
        <v>0</v>
      </c>
    </row>
    <row r="276" spans="1:15" x14ac:dyDescent="0.25">
      <c r="B276" t="e">
        <f t="shared" si="27"/>
        <v>#N/A</v>
      </c>
      <c r="C276" s="2" t="str">
        <f t="shared" si="28"/>
        <v>0</v>
      </c>
      <c r="E276" s="10">
        <f t="shared" si="29"/>
        <v>0</v>
      </c>
      <c r="F276" s="2">
        <f t="shared" si="30"/>
        <v>0</v>
      </c>
      <c r="G276" s="2" t="str">
        <f>IF(ISERROR(B276),"-",IF(J275=0,0,SUM($F$33:F276)))</f>
        <v>-</v>
      </c>
      <c r="H276" s="2">
        <f t="shared" si="35"/>
        <v>0</v>
      </c>
      <c r="I276" s="2" t="str">
        <f>IF(ISERROR($B276),"-",IF(J275=0,0,SUM($H$33:H276)))</f>
        <v>-</v>
      </c>
      <c r="J276" s="2" t="str">
        <f t="shared" si="31"/>
        <v>-</v>
      </c>
      <c r="K276" s="2" t="str">
        <f t="shared" si="32"/>
        <v>-</v>
      </c>
      <c r="L276" s="2">
        <f t="shared" si="33"/>
        <v>0</v>
      </c>
      <c r="M276" s="2">
        <f t="shared" si="34"/>
        <v>0</v>
      </c>
      <c r="O276" s="2">
        <f>IF('Batt IN'!$N$18="Yes",BattLoan!F276*'Batt IN'!$E$7,0)</f>
        <v>0</v>
      </c>
    </row>
    <row r="277" spans="1:15" x14ac:dyDescent="0.25">
      <c r="B277" t="e">
        <f t="shared" si="27"/>
        <v>#N/A</v>
      </c>
      <c r="C277" s="2" t="str">
        <f t="shared" si="28"/>
        <v>0</v>
      </c>
      <c r="E277" s="10">
        <f t="shared" si="29"/>
        <v>0</v>
      </c>
      <c r="F277" s="2">
        <f t="shared" si="30"/>
        <v>0</v>
      </c>
      <c r="G277" s="2" t="str">
        <f>IF(ISERROR(B277),"-",IF(J276=0,0,SUM($F$33:F277)))</f>
        <v>-</v>
      </c>
      <c r="H277" s="2">
        <f t="shared" si="35"/>
        <v>0</v>
      </c>
      <c r="I277" s="2" t="str">
        <f>IF(ISERROR($B277),"-",IF(J276=0,0,SUM($H$33:H277)))</f>
        <v>-</v>
      </c>
      <c r="J277" s="2" t="str">
        <f t="shared" si="31"/>
        <v>-</v>
      </c>
      <c r="K277" s="2" t="str">
        <f t="shared" si="32"/>
        <v>-</v>
      </c>
      <c r="L277" s="2">
        <f t="shared" si="33"/>
        <v>0</v>
      </c>
      <c r="M277" s="2">
        <f t="shared" si="34"/>
        <v>0</v>
      </c>
      <c r="O277" s="2">
        <f>IF('Batt IN'!$N$18="Yes",BattLoan!F277*'Batt IN'!$E$7,0)</f>
        <v>0</v>
      </c>
    </row>
    <row r="278" spans="1:15" x14ac:dyDescent="0.25">
      <c r="B278" t="e">
        <f t="shared" si="27"/>
        <v>#N/A</v>
      </c>
      <c r="C278" s="2" t="str">
        <f t="shared" si="28"/>
        <v>0</v>
      </c>
      <c r="E278" s="10">
        <f t="shared" si="29"/>
        <v>0</v>
      </c>
      <c r="F278" s="2">
        <f t="shared" si="30"/>
        <v>0</v>
      </c>
      <c r="G278" s="2" t="str">
        <f>IF(ISERROR(B278),"-",IF(J277=0,0,SUM($F$33:F278)))</f>
        <v>-</v>
      </c>
      <c r="H278" s="2">
        <f t="shared" si="35"/>
        <v>0</v>
      </c>
      <c r="I278" s="2" t="str">
        <f>IF(ISERROR($B278),"-",IF(J277=0,0,SUM($H$33:H278)))</f>
        <v>-</v>
      </c>
      <c r="J278" s="2" t="str">
        <f t="shared" si="31"/>
        <v>-</v>
      </c>
      <c r="K278" s="2" t="str">
        <f t="shared" si="32"/>
        <v>-</v>
      </c>
      <c r="L278" s="2">
        <f t="shared" si="33"/>
        <v>0</v>
      </c>
      <c r="M278" s="2">
        <f t="shared" si="34"/>
        <v>0</v>
      </c>
      <c r="O278" s="2">
        <f>IF('Batt IN'!$N$18="Yes",BattLoan!F278*'Batt IN'!$E$7,0)</f>
        <v>0</v>
      </c>
    </row>
    <row r="279" spans="1:15" x14ac:dyDescent="0.25">
      <c r="B279" t="e">
        <f t="shared" si="27"/>
        <v>#N/A</v>
      </c>
      <c r="C279" s="2" t="str">
        <f t="shared" si="28"/>
        <v>0</v>
      </c>
      <c r="E279" s="10">
        <f t="shared" si="29"/>
        <v>0</v>
      </c>
      <c r="F279" s="2">
        <f t="shared" si="30"/>
        <v>0</v>
      </c>
      <c r="G279" s="2" t="str">
        <f>IF(ISERROR(B279),"-",IF(J278=0,0,SUM($F$33:F279)))</f>
        <v>-</v>
      </c>
      <c r="H279" s="2">
        <f t="shared" si="35"/>
        <v>0</v>
      </c>
      <c r="I279" s="2" t="str">
        <f>IF(ISERROR($B279),"-",IF(J278=0,0,SUM($H$33:H279)))</f>
        <v>-</v>
      </c>
      <c r="J279" s="2" t="str">
        <f t="shared" si="31"/>
        <v>-</v>
      </c>
      <c r="K279" s="2" t="str">
        <f t="shared" si="32"/>
        <v>-</v>
      </c>
      <c r="L279" s="2">
        <f t="shared" si="33"/>
        <v>0</v>
      </c>
      <c r="M279" s="2">
        <f t="shared" si="34"/>
        <v>0</v>
      </c>
      <c r="O279" s="2">
        <f>IF('Batt IN'!$N$18="Yes",BattLoan!F279*'Batt IN'!$E$7,0)</f>
        <v>0</v>
      </c>
    </row>
    <row r="280" spans="1:15" x14ac:dyDescent="0.25">
      <c r="B280" t="e">
        <f t="shared" si="27"/>
        <v>#N/A</v>
      </c>
      <c r="C280" s="2" t="str">
        <f t="shared" si="28"/>
        <v>0</v>
      </c>
      <c r="E280" s="10">
        <f t="shared" si="29"/>
        <v>0</v>
      </c>
      <c r="F280" s="2">
        <f t="shared" si="30"/>
        <v>0</v>
      </c>
      <c r="G280" s="2" t="str">
        <f>IF(ISERROR(B280),"-",IF(J279=0,0,SUM($F$33:F280)))</f>
        <v>-</v>
      </c>
      <c r="H280" s="2">
        <f t="shared" si="35"/>
        <v>0</v>
      </c>
      <c r="I280" s="2" t="str">
        <f>IF(ISERROR($B280),"-",IF(J279=0,0,SUM($H$33:H280)))</f>
        <v>-</v>
      </c>
      <c r="J280" s="2" t="str">
        <f t="shared" si="31"/>
        <v>-</v>
      </c>
      <c r="K280" s="2" t="str">
        <f t="shared" si="32"/>
        <v>-</v>
      </c>
      <c r="L280" s="2">
        <f t="shared" si="33"/>
        <v>0</v>
      </c>
      <c r="M280" s="2">
        <f t="shared" si="34"/>
        <v>0</v>
      </c>
      <c r="O280" s="2">
        <f>IF('Batt IN'!$N$18="Yes",BattLoan!F280*'Batt IN'!$E$7,0)</f>
        <v>0</v>
      </c>
    </row>
    <row r="281" spans="1:15" x14ac:dyDescent="0.25">
      <c r="B281" t="e">
        <f t="shared" si="27"/>
        <v>#N/A</v>
      </c>
      <c r="C281" s="2" t="str">
        <f t="shared" si="28"/>
        <v>0</v>
      </c>
      <c r="E281" s="10">
        <f t="shared" si="29"/>
        <v>0</v>
      </c>
      <c r="F281" s="2">
        <f t="shared" si="30"/>
        <v>0</v>
      </c>
      <c r="G281" s="2" t="str">
        <f>IF(ISERROR(B281),"-",IF(J280=0,0,SUM($F$33:F281)))</f>
        <v>-</v>
      </c>
      <c r="H281" s="2">
        <f t="shared" si="35"/>
        <v>0</v>
      </c>
      <c r="I281" s="2" t="str">
        <f>IF(ISERROR($B281),"-",IF(J280=0,0,SUM($H$33:H281)))</f>
        <v>-</v>
      </c>
      <c r="J281" s="2" t="str">
        <f t="shared" si="31"/>
        <v>-</v>
      </c>
      <c r="K281" s="2" t="str">
        <f t="shared" si="32"/>
        <v>-</v>
      </c>
      <c r="L281" s="2">
        <f t="shared" si="33"/>
        <v>0</v>
      </c>
      <c r="M281" s="2">
        <f t="shared" si="34"/>
        <v>0</v>
      </c>
      <c r="O281" s="2">
        <f>IF('Batt IN'!$N$18="Yes",BattLoan!F281*'Batt IN'!$E$7,0)</f>
        <v>0</v>
      </c>
    </row>
    <row r="282" spans="1:15" x14ac:dyDescent="0.25">
      <c r="B282" t="e">
        <f t="shared" si="27"/>
        <v>#N/A</v>
      </c>
      <c r="C282" s="2" t="str">
        <f t="shared" si="28"/>
        <v>0</v>
      </c>
      <c r="E282" s="10">
        <f t="shared" si="29"/>
        <v>0</v>
      </c>
      <c r="F282" s="2">
        <f t="shared" si="30"/>
        <v>0</v>
      </c>
      <c r="G282" s="2" t="str">
        <f>IF(ISERROR(B282),"-",IF(J281=0,0,SUM($F$33:F282)))</f>
        <v>-</v>
      </c>
      <c r="H282" s="2">
        <f t="shared" si="35"/>
        <v>0</v>
      </c>
      <c r="I282" s="2" t="str">
        <f>IF(ISERROR($B282),"-",IF(J281=0,0,SUM($H$33:H282)))</f>
        <v>-</v>
      </c>
      <c r="J282" s="2" t="str">
        <f t="shared" si="31"/>
        <v>-</v>
      </c>
      <c r="K282" s="2" t="str">
        <f t="shared" si="32"/>
        <v>-</v>
      </c>
      <c r="L282" s="2">
        <f t="shared" si="33"/>
        <v>0</v>
      </c>
      <c r="M282" s="2">
        <f t="shared" si="34"/>
        <v>0</v>
      </c>
      <c r="O282" s="2">
        <f>IF('Batt IN'!$N$18="Yes",BattLoan!F282*'Batt IN'!$E$7,0)</f>
        <v>0</v>
      </c>
    </row>
    <row r="283" spans="1:15" x14ac:dyDescent="0.25">
      <c r="B283" t="e">
        <f t="shared" si="27"/>
        <v>#N/A</v>
      </c>
      <c r="C283" s="2" t="str">
        <f t="shared" si="28"/>
        <v>0</v>
      </c>
      <c r="E283" s="10">
        <f t="shared" si="29"/>
        <v>0</v>
      </c>
      <c r="F283" s="2">
        <f t="shared" si="30"/>
        <v>0</v>
      </c>
      <c r="G283" s="2" t="str">
        <f>IF(ISERROR(B283),"-",IF(J282=0,0,SUM($F$33:F283)))</f>
        <v>-</v>
      </c>
      <c r="H283" s="2">
        <f t="shared" si="35"/>
        <v>0</v>
      </c>
      <c r="I283" s="2" t="str">
        <f>IF(ISERROR($B283),"-",IF(J282=0,0,SUM($H$33:H283)))</f>
        <v>-</v>
      </c>
      <c r="J283" s="2" t="str">
        <f t="shared" si="31"/>
        <v>-</v>
      </c>
      <c r="K283" s="2" t="str">
        <f t="shared" si="32"/>
        <v>-</v>
      </c>
      <c r="L283" s="2">
        <f t="shared" si="33"/>
        <v>0</v>
      </c>
      <c r="M283" s="2">
        <f t="shared" si="34"/>
        <v>0</v>
      </c>
      <c r="O283" s="2">
        <f>IF('Batt IN'!$N$18="Yes",BattLoan!F283*'Batt IN'!$E$7,0)</f>
        <v>0</v>
      </c>
    </row>
    <row r="284" spans="1:15" x14ac:dyDescent="0.25">
      <c r="A284">
        <v>21</v>
      </c>
      <c r="B284" t="e">
        <f t="shared" si="27"/>
        <v>#N/A</v>
      </c>
      <c r="C284" s="2" t="str">
        <f t="shared" si="28"/>
        <v>0</v>
      </c>
      <c r="E284" s="10">
        <f t="shared" si="29"/>
        <v>0</v>
      </c>
      <c r="F284" s="2">
        <f t="shared" si="30"/>
        <v>0</v>
      </c>
      <c r="G284" s="2" t="str">
        <f>IF(ISERROR(B284),"-",IF(J283=0,0,SUM($F$33:F284)))</f>
        <v>-</v>
      </c>
      <c r="H284" s="2">
        <f t="shared" si="35"/>
        <v>0</v>
      </c>
      <c r="I284" s="2" t="str">
        <f>IF(ISERROR($B284),"-",IF(J283=0,0,SUM($H$33:H284)))</f>
        <v>-</v>
      </c>
      <c r="J284" s="2" t="str">
        <f t="shared" si="31"/>
        <v>-</v>
      </c>
      <c r="K284" s="2" t="str">
        <f t="shared" si="32"/>
        <v>-</v>
      </c>
      <c r="L284" s="2">
        <f t="shared" si="33"/>
        <v>0</v>
      </c>
      <c r="M284" s="2">
        <f t="shared" si="34"/>
        <v>0</v>
      </c>
      <c r="O284" s="2">
        <f>IF('Batt IN'!$N$18="Yes",BattLoan!F284*'Batt IN'!$E$7,0)</f>
        <v>0</v>
      </c>
    </row>
    <row r="285" spans="1:15" x14ac:dyDescent="0.25">
      <c r="B285" t="e">
        <f t="shared" si="27"/>
        <v>#N/A</v>
      </c>
      <c r="C285" s="2" t="str">
        <f t="shared" si="28"/>
        <v>0</v>
      </c>
      <c r="E285" s="10">
        <f t="shared" si="29"/>
        <v>0</v>
      </c>
      <c r="F285" s="2">
        <f t="shared" si="30"/>
        <v>0</v>
      </c>
      <c r="G285" s="2" t="str">
        <f>IF(ISERROR(B285),"-",IF(J284=0,0,SUM($F$33:F285)))</f>
        <v>-</v>
      </c>
      <c r="H285" s="2">
        <f t="shared" si="35"/>
        <v>0</v>
      </c>
      <c r="I285" s="2" t="str">
        <f>IF(ISERROR($B285),"-",IF(J284=0,0,SUM($H$33:H285)))</f>
        <v>-</v>
      </c>
      <c r="J285" s="2" t="str">
        <f t="shared" si="31"/>
        <v>-</v>
      </c>
      <c r="K285" s="2" t="str">
        <f t="shared" si="32"/>
        <v>-</v>
      </c>
      <c r="L285" s="2">
        <f t="shared" si="33"/>
        <v>0</v>
      </c>
      <c r="M285" s="2">
        <f t="shared" si="34"/>
        <v>0</v>
      </c>
      <c r="O285" s="2">
        <f>IF('Batt IN'!$N$18="Yes",BattLoan!F285*'Batt IN'!$E$7,0)</f>
        <v>0</v>
      </c>
    </row>
    <row r="286" spans="1:15" x14ac:dyDescent="0.25">
      <c r="B286" t="e">
        <f t="shared" si="27"/>
        <v>#N/A</v>
      </c>
      <c r="C286" s="2" t="str">
        <f t="shared" si="28"/>
        <v>0</v>
      </c>
      <c r="E286" s="10">
        <f t="shared" si="29"/>
        <v>0</v>
      </c>
      <c r="F286" s="2">
        <f t="shared" si="30"/>
        <v>0</v>
      </c>
      <c r="G286" s="2" t="str">
        <f>IF(ISERROR(B286),"-",IF(J285=0,0,SUM($F$33:F286)))</f>
        <v>-</v>
      </c>
      <c r="H286" s="2">
        <f t="shared" si="35"/>
        <v>0</v>
      </c>
      <c r="I286" s="2" t="str">
        <f>IF(ISERROR($B286),"-",IF(J285=0,0,SUM($H$33:H286)))</f>
        <v>-</v>
      </c>
      <c r="J286" s="2" t="str">
        <f t="shared" si="31"/>
        <v>-</v>
      </c>
      <c r="K286" s="2" t="str">
        <f t="shared" si="32"/>
        <v>-</v>
      </c>
      <c r="L286" s="2">
        <f t="shared" si="33"/>
        <v>0</v>
      </c>
      <c r="M286" s="2">
        <f t="shared" si="34"/>
        <v>0</v>
      </c>
      <c r="O286" s="2">
        <f>IF('Batt IN'!$N$18="Yes",BattLoan!F286*'Batt IN'!$E$7,0)</f>
        <v>0</v>
      </c>
    </row>
    <row r="287" spans="1:15" x14ac:dyDescent="0.25">
      <c r="B287" t="e">
        <f t="shared" si="27"/>
        <v>#N/A</v>
      </c>
      <c r="C287" s="2" t="str">
        <f t="shared" si="28"/>
        <v>0</v>
      </c>
      <c r="E287" s="10">
        <f t="shared" si="29"/>
        <v>0</v>
      </c>
      <c r="F287" s="2">
        <f t="shared" si="30"/>
        <v>0</v>
      </c>
      <c r="G287" s="2" t="str">
        <f>IF(ISERROR(B287),"-",IF(J286=0,0,SUM($F$33:F287)))</f>
        <v>-</v>
      </c>
      <c r="H287" s="2">
        <f t="shared" si="35"/>
        <v>0</v>
      </c>
      <c r="I287" s="2" t="str">
        <f>IF(ISERROR($B287),"-",IF(J286=0,0,SUM($H$33:H287)))</f>
        <v>-</v>
      </c>
      <c r="J287" s="2" t="str">
        <f t="shared" si="31"/>
        <v>-</v>
      </c>
      <c r="K287" s="2" t="str">
        <f t="shared" si="32"/>
        <v>-</v>
      </c>
      <c r="L287" s="2">
        <f t="shared" si="33"/>
        <v>0</v>
      </c>
      <c r="M287" s="2">
        <f t="shared" si="34"/>
        <v>0</v>
      </c>
      <c r="O287" s="2">
        <f>IF('Batt IN'!$N$18="Yes",BattLoan!F287*'Batt IN'!$E$7,0)</f>
        <v>0</v>
      </c>
    </row>
    <row r="288" spans="1:15" x14ac:dyDescent="0.25">
      <c r="B288" t="e">
        <f t="shared" si="27"/>
        <v>#N/A</v>
      </c>
      <c r="C288" s="2" t="str">
        <f t="shared" si="28"/>
        <v>0</v>
      </c>
      <c r="E288" s="10">
        <f t="shared" si="29"/>
        <v>0</v>
      </c>
      <c r="F288" s="2">
        <f t="shared" si="30"/>
        <v>0</v>
      </c>
      <c r="G288" s="2" t="str">
        <f>IF(ISERROR(B288),"-",IF(J287=0,0,SUM($F$33:F288)))</f>
        <v>-</v>
      </c>
      <c r="H288" s="2">
        <f t="shared" si="35"/>
        <v>0</v>
      </c>
      <c r="I288" s="2" t="str">
        <f>IF(ISERROR($B288),"-",IF(J287=0,0,SUM($H$33:H288)))</f>
        <v>-</v>
      </c>
      <c r="J288" s="2" t="str">
        <f t="shared" si="31"/>
        <v>-</v>
      </c>
      <c r="K288" s="2" t="str">
        <f t="shared" si="32"/>
        <v>-</v>
      </c>
      <c r="L288" s="2">
        <f t="shared" si="33"/>
        <v>0</v>
      </c>
      <c r="M288" s="2">
        <f t="shared" si="34"/>
        <v>0</v>
      </c>
      <c r="O288" s="2">
        <f>IF('Batt IN'!$N$18="Yes",BattLoan!F288*'Batt IN'!$E$7,0)</f>
        <v>0</v>
      </c>
    </row>
    <row r="289" spans="1:15" x14ac:dyDescent="0.25">
      <c r="B289" t="e">
        <f t="shared" ref="B289:B352" si="36">IF(B288&gt;=$E$9,NA(),B288+1)</f>
        <v>#N/A</v>
      </c>
      <c r="C289" s="2" t="str">
        <f t="shared" ref="C289:C352" si="37">IF(ISERROR(B289),"0",IF(J288=0,0,$E$11))</f>
        <v>0</v>
      </c>
      <c r="E289" s="10">
        <f t="shared" ref="E289:E352" si="38">C289+D289</f>
        <v>0</v>
      </c>
      <c r="F289" s="2">
        <f t="shared" ref="F289:F352" si="39">IF(ISERROR(B289),0,$E$8*J288)</f>
        <v>0</v>
      </c>
      <c r="G289" s="2" t="str">
        <f>IF(ISERROR(B289),"-",IF(J288=0,0,SUM($F$33:F289)))</f>
        <v>-</v>
      </c>
      <c r="H289" s="2">
        <f t="shared" si="35"/>
        <v>0</v>
      </c>
      <c r="I289" s="2" t="str">
        <f>IF(ISERROR($B289),"-",IF(J288=0,0,SUM($H$33:H289)))</f>
        <v>-</v>
      </c>
      <c r="J289" s="2" t="str">
        <f t="shared" ref="J289:J352" si="40">IF(ISERROR($B289),"-",IF(J288-H289&lt;0,0,J288-H289))</f>
        <v>-</v>
      </c>
      <c r="K289" s="2" t="str">
        <f t="shared" ref="K289:K352" si="41">IF(ISERROR(B289),"-",J288-H289)</f>
        <v>-</v>
      </c>
      <c r="L289" s="2">
        <f t="shared" ref="L289:L352" si="42">IF(K289&gt;=0,E289,E289+K289)</f>
        <v>0</v>
      </c>
      <c r="M289" s="2">
        <f t="shared" ref="M289:M352" si="43">-IF(K289&lt;0,K289,0)</f>
        <v>0</v>
      </c>
      <c r="O289" s="2">
        <f>IF('Batt IN'!$N$18="Yes",BattLoan!F289*'Batt IN'!$E$7,0)</f>
        <v>0</v>
      </c>
    </row>
    <row r="290" spans="1:15" x14ac:dyDescent="0.25">
      <c r="B290" t="e">
        <f t="shared" si="36"/>
        <v>#N/A</v>
      </c>
      <c r="C290" s="2" t="str">
        <f t="shared" si="37"/>
        <v>0</v>
      </c>
      <c r="E290" s="10">
        <f t="shared" si="38"/>
        <v>0</v>
      </c>
      <c r="F290" s="2">
        <f t="shared" si="39"/>
        <v>0</v>
      </c>
      <c r="G290" s="2" t="str">
        <f>IF(ISERROR(B290),"-",IF(J289=0,0,SUM($F$33:F290)))</f>
        <v>-</v>
      </c>
      <c r="H290" s="2">
        <f t="shared" ref="H290:H353" si="44">IF(ISERROR($B290),0,IF(J289=0,0,E290-F290))</f>
        <v>0</v>
      </c>
      <c r="I290" s="2" t="str">
        <f>IF(ISERROR($B290),"-",IF(J289=0,0,SUM($H$33:H290)))</f>
        <v>-</v>
      </c>
      <c r="J290" s="2" t="str">
        <f t="shared" si="40"/>
        <v>-</v>
      </c>
      <c r="K290" s="2" t="str">
        <f t="shared" si="41"/>
        <v>-</v>
      </c>
      <c r="L290" s="2">
        <f t="shared" si="42"/>
        <v>0</v>
      </c>
      <c r="M290" s="2">
        <f t="shared" si="43"/>
        <v>0</v>
      </c>
      <c r="O290" s="2">
        <f>IF('Batt IN'!$N$18="Yes",BattLoan!F290*'Batt IN'!$E$7,0)</f>
        <v>0</v>
      </c>
    </row>
    <row r="291" spans="1:15" x14ac:dyDescent="0.25">
      <c r="B291" t="e">
        <f t="shared" si="36"/>
        <v>#N/A</v>
      </c>
      <c r="C291" s="2" t="str">
        <f t="shared" si="37"/>
        <v>0</v>
      </c>
      <c r="E291" s="10">
        <f t="shared" si="38"/>
        <v>0</v>
      </c>
      <c r="F291" s="2">
        <f t="shared" si="39"/>
        <v>0</v>
      </c>
      <c r="G291" s="2" t="str">
        <f>IF(ISERROR(B291),"-",IF(J290=0,0,SUM($F$33:F291)))</f>
        <v>-</v>
      </c>
      <c r="H291" s="2">
        <f t="shared" si="44"/>
        <v>0</v>
      </c>
      <c r="I291" s="2" t="str">
        <f>IF(ISERROR($B291),"-",IF(J290=0,0,SUM($H$33:H291)))</f>
        <v>-</v>
      </c>
      <c r="J291" s="2" t="str">
        <f t="shared" si="40"/>
        <v>-</v>
      </c>
      <c r="K291" s="2" t="str">
        <f t="shared" si="41"/>
        <v>-</v>
      </c>
      <c r="L291" s="2">
        <f t="shared" si="42"/>
        <v>0</v>
      </c>
      <c r="M291" s="2">
        <f t="shared" si="43"/>
        <v>0</v>
      </c>
      <c r="O291" s="2">
        <f>IF('Batt IN'!$N$18="Yes",BattLoan!F291*'Batt IN'!$E$7,0)</f>
        <v>0</v>
      </c>
    </row>
    <row r="292" spans="1:15" x14ac:dyDescent="0.25">
      <c r="B292" t="e">
        <f t="shared" si="36"/>
        <v>#N/A</v>
      </c>
      <c r="C292" s="2" t="str">
        <f t="shared" si="37"/>
        <v>0</v>
      </c>
      <c r="E292" s="10">
        <f t="shared" si="38"/>
        <v>0</v>
      </c>
      <c r="F292" s="2">
        <f t="shared" si="39"/>
        <v>0</v>
      </c>
      <c r="G292" s="2" t="str">
        <f>IF(ISERROR(B292),"-",IF(J291=0,0,SUM($F$33:F292)))</f>
        <v>-</v>
      </c>
      <c r="H292" s="2">
        <f t="shared" si="44"/>
        <v>0</v>
      </c>
      <c r="I292" s="2" t="str">
        <f>IF(ISERROR($B292),"-",IF(J291=0,0,SUM($H$33:H292)))</f>
        <v>-</v>
      </c>
      <c r="J292" s="2" t="str">
        <f t="shared" si="40"/>
        <v>-</v>
      </c>
      <c r="K292" s="2" t="str">
        <f t="shared" si="41"/>
        <v>-</v>
      </c>
      <c r="L292" s="2">
        <f t="shared" si="42"/>
        <v>0</v>
      </c>
      <c r="M292" s="2">
        <f t="shared" si="43"/>
        <v>0</v>
      </c>
      <c r="O292" s="2">
        <f>IF('Batt IN'!$N$18="Yes",BattLoan!F292*'Batt IN'!$E$7,0)</f>
        <v>0</v>
      </c>
    </row>
    <row r="293" spans="1:15" x14ac:dyDescent="0.25">
      <c r="B293" t="e">
        <f t="shared" si="36"/>
        <v>#N/A</v>
      </c>
      <c r="C293" s="2" t="str">
        <f t="shared" si="37"/>
        <v>0</v>
      </c>
      <c r="E293" s="10">
        <f t="shared" si="38"/>
        <v>0</v>
      </c>
      <c r="F293" s="2">
        <f t="shared" si="39"/>
        <v>0</v>
      </c>
      <c r="G293" s="2" t="str">
        <f>IF(ISERROR(B293),"-",IF(J292=0,0,SUM($F$33:F293)))</f>
        <v>-</v>
      </c>
      <c r="H293" s="2">
        <f t="shared" si="44"/>
        <v>0</v>
      </c>
      <c r="I293" s="2" t="str">
        <f>IF(ISERROR($B293),"-",IF(J292=0,0,SUM($H$33:H293)))</f>
        <v>-</v>
      </c>
      <c r="J293" s="2" t="str">
        <f t="shared" si="40"/>
        <v>-</v>
      </c>
      <c r="K293" s="2" t="str">
        <f t="shared" si="41"/>
        <v>-</v>
      </c>
      <c r="L293" s="2">
        <f t="shared" si="42"/>
        <v>0</v>
      </c>
      <c r="M293" s="2">
        <f t="shared" si="43"/>
        <v>0</v>
      </c>
      <c r="O293" s="2">
        <f>IF('Batt IN'!$N$18="Yes",BattLoan!F293*'Batt IN'!$E$7,0)</f>
        <v>0</v>
      </c>
    </row>
    <row r="294" spans="1:15" x14ac:dyDescent="0.25">
      <c r="B294" t="e">
        <f t="shared" si="36"/>
        <v>#N/A</v>
      </c>
      <c r="C294" s="2" t="str">
        <f t="shared" si="37"/>
        <v>0</v>
      </c>
      <c r="E294" s="10">
        <f t="shared" si="38"/>
        <v>0</v>
      </c>
      <c r="F294" s="2">
        <f t="shared" si="39"/>
        <v>0</v>
      </c>
      <c r="G294" s="2" t="str">
        <f>IF(ISERROR(B294),"-",IF(J293=0,0,SUM($F$33:F294)))</f>
        <v>-</v>
      </c>
      <c r="H294" s="2">
        <f t="shared" si="44"/>
        <v>0</v>
      </c>
      <c r="I294" s="2" t="str">
        <f>IF(ISERROR($B294),"-",IF(J293=0,0,SUM($H$33:H294)))</f>
        <v>-</v>
      </c>
      <c r="J294" s="2" t="str">
        <f t="shared" si="40"/>
        <v>-</v>
      </c>
      <c r="K294" s="2" t="str">
        <f t="shared" si="41"/>
        <v>-</v>
      </c>
      <c r="L294" s="2">
        <f t="shared" si="42"/>
        <v>0</v>
      </c>
      <c r="M294" s="2">
        <f t="shared" si="43"/>
        <v>0</v>
      </c>
      <c r="O294" s="2">
        <f>IF('Batt IN'!$N$18="Yes",BattLoan!F294*'Batt IN'!$E$7,0)</f>
        <v>0</v>
      </c>
    </row>
    <row r="295" spans="1:15" x14ac:dyDescent="0.25">
      <c r="B295" t="e">
        <f t="shared" si="36"/>
        <v>#N/A</v>
      </c>
      <c r="C295" s="2" t="str">
        <f t="shared" si="37"/>
        <v>0</v>
      </c>
      <c r="E295" s="10">
        <f t="shared" si="38"/>
        <v>0</v>
      </c>
      <c r="F295" s="2">
        <f t="shared" si="39"/>
        <v>0</v>
      </c>
      <c r="G295" s="2" t="str">
        <f>IF(ISERROR(B295),"-",IF(J294=0,0,SUM($F$33:F295)))</f>
        <v>-</v>
      </c>
      <c r="H295" s="2">
        <f t="shared" si="44"/>
        <v>0</v>
      </c>
      <c r="I295" s="2" t="str">
        <f>IF(ISERROR($B295),"-",IF(J294=0,0,SUM($H$33:H295)))</f>
        <v>-</v>
      </c>
      <c r="J295" s="2" t="str">
        <f t="shared" si="40"/>
        <v>-</v>
      </c>
      <c r="K295" s="2" t="str">
        <f t="shared" si="41"/>
        <v>-</v>
      </c>
      <c r="L295" s="2">
        <f t="shared" si="42"/>
        <v>0</v>
      </c>
      <c r="M295" s="2">
        <f t="shared" si="43"/>
        <v>0</v>
      </c>
      <c r="O295" s="2">
        <f>IF('Batt IN'!$N$18="Yes",BattLoan!F295*'Batt IN'!$E$7,0)</f>
        <v>0</v>
      </c>
    </row>
    <row r="296" spans="1:15" x14ac:dyDescent="0.25">
      <c r="A296">
        <v>22</v>
      </c>
      <c r="B296" t="e">
        <f t="shared" si="36"/>
        <v>#N/A</v>
      </c>
      <c r="C296" s="2" t="str">
        <f t="shared" si="37"/>
        <v>0</v>
      </c>
      <c r="E296" s="10">
        <f t="shared" si="38"/>
        <v>0</v>
      </c>
      <c r="F296" s="2">
        <f t="shared" si="39"/>
        <v>0</v>
      </c>
      <c r="G296" s="2" t="str">
        <f>IF(ISERROR(B296),"-",IF(J295=0,0,SUM($F$33:F296)))</f>
        <v>-</v>
      </c>
      <c r="H296" s="2">
        <f t="shared" si="44"/>
        <v>0</v>
      </c>
      <c r="I296" s="2" t="str">
        <f>IF(ISERROR($B296),"-",IF(J295=0,0,SUM($H$33:H296)))</f>
        <v>-</v>
      </c>
      <c r="J296" s="2" t="str">
        <f t="shared" si="40"/>
        <v>-</v>
      </c>
      <c r="K296" s="2" t="str">
        <f t="shared" si="41"/>
        <v>-</v>
      </c>
      <c r="L296" s="2">
        <f t="shared" si="42"/>
        <v>0</v>
      </c>
      <c r="M296" s="2">
        <f t="shared" si="43"/>
        <v>0</v>
      </c>
      <c r="O296" s="2">
        <f>IF('Batt IN'!$N$18="Yes",BattLoan!F296*'Batt IN'!$E$7,0)</f>
        <v>0</v>
      </c>
    </row>
    <row r="297" spans="1:15" x14ac:dyDescent="0.25">
      <c r="B297" t="e">
        <f t="shared" si="36"/>
        <v>#N/A</v>
      </c>
      <c r="C297" s="2" t="str">
        <f t="shared" si="37"/>
        <v>0</v>
      </c>
      <c r="E297" s="10">
        <f t="shared" si="38"/>
        <v>0</v>
      </c>
      <c r="F297" s="2">
        <f t="shared" si="39"/>
        <v>0</v>
      </c>
      <c r="G297" s="2" t="str">
        <f>IF(ISERROR(B297),"-",IF(J296=0,0,SUM($F$33:F297)))</f>
        <v>-</v>
      </c>
      <c r="H297" s="2">
        <f t="shared" si="44"/>
        <v>0</v>
      </c>
      <c r="I297" s="2" t="str">
        <f>IF(ISERROR($B297),"-",IF(J296=0,0,SUM($H$33:H297)))</f>
        <v>-</v>
      </c>
      <c r="J297" s="2" t="str">
        <f t="shared" si="40"/>
        <v>-</v>
      </c>
      <c r="K297" s="2" t="str">
        <f t="shared" si="41"/>
        <v>-</v>
      </c>
      <c r="L297" s="2">
        <f t="shared" si="42"/>
        <v>0</v>
      </c>
      <c r="M297" s="2">
        <f t="shared" si="43"/>
        <v>0</v>
      </c>
      <c r="O297" s="2">
        <f>IF('Batt IN'!$N$18="Yes",BattLoan!F297*'Batt IN'!$E$7,0)</f>
        <v>0</v>
      </c>
    </row>
    <row r="298" spans="1:15" x14ac:dyDescent="0.25">
      <c r="B298" t="e">
        <f t="shared" si="36"/>
        <v>#N/A</v>
      </c>
      <c r="C298" s="2" t="str">
        <f t="shared" si="37"/>
        <v>0</v>
      </c>
      <c r="E298" s="10">
        <f t="shared" si="38"/>
        <v>0</v>
      </c>
      <c r="F298" s="2">
        <f t="shared" si="39"/>
        <v>0</v>
      </c>
      <c r="G298" s="2" t="str">
        <f>IF(ISERROR(B298),"-",IF(J297=0,0,SUM($F$33:F298)))</f>
        <v>-</v>
      </c>
      <c r="H298" s="2">
        <f t="shared" si="44"/>
        <v>0</v>
      </c>
      <c r="I298" s="2" t="str">
        <f>IF(ISERROR($B298),"-",IF(J297=0,0,SUM($H$33:H298)))</f>
        <v>-</v>
      </c>
      <c r="J298" s="2" t="str">
        <f t="shared" si="40"/>
        <v>-</v>
      </c>
      <c r="K298" s="2" t="str">
        <f t="shared" si="41"/>
        <v>-</v>
      </c>
      <c r="L298" s="2">
        <f t="shared" si="42"/>
        <v>0</v>
      </c>
      <c r="M298" s="2">
        <f t="shared" si="43"/>
        <v>0</v>
      </c>
      <c r="O298" s="2">
        <f>IF('Batt IN'!$N$18="Yes",BattLoan!F298*'Batt IN'!$E$7,0)</f>
        <v>0</v>
      </c>
    </row>
    <row r="299" spans="1:15" x14ac:dyDescent="0.25">
      <c r="B299" t="e">
        <f t="shared" si="36"/>
        <v>#N/A</v>
      </c>
      <c r="C299" s="2" t="str">
        <f t="shared" si="37"/>
        <v>0</v>
      </c>
      <c r="E299" s="10">
        <f t="shared" si="38"/>
        <v>0</v>
      </c>
      <c r="F299" s="2">
        <f t="shared" si="39"/>
        <v>0</v>
      </c>
      <c r="G299" s="2" t="str">
        <f>IF(ISERROR(B299),"-",IF(J298=0,0,SUM($F$33:F299)))</f>
        <v>-</v>
      </c>
      <c r="H299" s="2">
        <f t="shared" si="44"/>
        <v>0</v>
      </c>
      <c r="I299" s="2" t="str">
        <f>IF(ISERROR($B299),"-",IF(J298=0,0,SUM($H$33:H299)))</f>
        <v>-</v>
      </c>
      <c r="J299" s="2" t="str">
        <f t="shared" si="40"/>
        <v>-</v>
      </c>
      <c r="K299" s="2" t="str">
        <f t="shared" si="41"/>
        <v>-</v>
      </c>
      <c r="L299" s="2">
        <f t="shared" si="42"/>
        <v>0</v>
      </c>
      <c r="M299" s="2">
        <f t="shared" si="43"/>
        <v>0</v>
      </c>
      <c r="O299" s="2">
        <f>IF('Batt IN'!$N$18="Yes",BattLoan!F299*'Batt IN'!$E$7,0)</f>
        <v>0</v>
      </c>
    </row>
    <row r="300" spans="1:15" x14ac:dyDescent="0.25">
      <c r="B300" t="e">
        <f t="shared" si="36"/>
        <v>#N/A</v>
      </c>
      <c r="C300" s="2" t="str">
        <f t="shared" si="37"/>
        <v>0</v>
      </c>
      <c r="E300" s="10">
        <f t="shared" si="38"/>
        <v>0</v>
      </c>
      <c r="F300" s="2">
        <f t="shared" si="39"/>
        <v>0</v>
      </c>
      <c r="G300" s="2" t="str">
        <f>IF(ISERROR(B300),"-",IF(J299=0,0,SUM($F$33:F300)))</f>
        <v>-</v>
      </c>
      <c r="H300" s="2">
        <f t="shared" si="44"/>
        <v>0</v>
      </c>
      <c r="I300" s="2" t="str">
        <f>IF(ISERROR($B300),"-",IF(J299=0,0,SUM($H$33:H300)))</f>
        <v>-</v>
      </c>
      <c r="J300" s="2" t="str">
        <f t="shared" si="40"/>
        <v>-</v>
      </c>
      <c r="K300" s="2" t="str">
        <f t="shared" si="41"/>
        <v>-</v>
      </c>
      <c r="L300" s="2">
        <f t="shared" si="42"/>
        <v>0</v>
      </c>
      <c r="M300" s="2">
        <f t="shared" si="43"/>
        <v>0</v>
      </c>
      <c r="O300" s="2">
        <f>IF('Batt IN'!$N$18="Yes",BattLoan!F300*'Batt IN'!$E$7,0)</f>
        <v>0</v>
      </c>
    </row>
    <row r="301" spans="1:15" x14ac:dyDescent="0.25">
      <c r="B301" t="e">
        <f t="shared" si="36"/>
        <v>#N/A</v>
      </c>
      <c r="C301" s="2" t="str">
        <f t="shared" si="37"/>
        <v>0</v>
      </c>
      <c r="E301" s="10">
        <f t="shared" si="38"/>
        <v>0</v>
      </c>
      <c r="F301" s="2">
        <f t="shared" si="39"/>
        <v>0</v>
      </c>
      <c r="G301" s="2" t="str">
        <f>IF(ISERROR(B301),"-",IF(J300=0,0,SUM($F$33:F301)))</f>
        <v>-</v>
      </c>
      <c r="H301" s="2">
        <f t="shared" si="44"/>
        <v>0</v>
      </c>
      <c r="I301" s="2" t="str">
        <f>IF(ISERROR($B301),"-",IF(J300=0,0,SUM($H$33:H301)))</f>
        <v>-</v>
      </c>
      <c r="J301" s="2" t="str">
        <f t="shared" si="40"/>
        <v>-</v>
      </c>
      <c r="K301" s="2" t="str">
        <f t="shared" si="41"/>
        <v>-</v>
      </c>
      <c r="L301" s="2">
        <f t="shared" si="42"/>
        <v>0</v>
      </c>
      <c r="M301" s="2">
        <f t="shared" si="43"/>
        <v>0</v>
      </c>
      <c r="O301" s="2">
        <f>IF('Batt IN'!$N$18="Yes",BattLoan!F301*'Batt IN'!$E$7,0)</f>
        <v>0</v>
      </c>
    </row>
    <row r="302" spans="1:15" x14ac:dyDescent="0.25">
      <c r="B302" t="e">
        <f t="shared" si="36"/>
        <v>#N/A</v>
      </c>
      <c r="C302" s="2" t="str">
        <f t="shared" si="37"/>
        <v>0</v>
      </c>
      <c r="E302" s="10">
        <f t="shared" si="38"/>
        <v>0</v>
      </c>
      <c r="F302" s="2">
        <f t="shared" si="39"/>
        <v>0</v>
      </c>
      <c r="G302" s="2" t="str">
        <f>IF(ISERROR(B302),"-",IF(J301=0,0,SUM($F$33:F302)))</f>
        <v>-</v>
      </c>
      <c r="H302" s="2">
        <f t="shared" si="44"/>
        <v>0</v>
      </c>
      <c r="I302" s="2" t="str">
        <f>IF(ISERROR($B302),"-",IF(J301=0,0,SUM($H$33:H302)))</f>
        <v>-</v>
      </c>
      <c r="J302" s="2" t="str">
        <f t="shared" si="40"/>
        <v>-</v>
      </c>
      <c r="K302" s="2" t="str">
        <f t="shared" si="41"/>
        <v>-</v>
      </c>
      <c r="L302" s="2">
        <f t="shared" si="42"/>
        <v>0</v>
      </c>
      <c r="M302" s="2">
        <f t="shared" si="43"/>
        <v>0</v>
      </c>
      <c r="O302" s="2">
        <f>IF('Batt IN'!$N$18="Yes",BattLoan!F302*'Batt IN'!$E$7,0)</f>
        <v>0</v>
      </c>
    </row>
    <row r="303" spans="1:15" x14ac:dyDescent="0.25">
      <c r="B303" t="e">
        <f t="shared" si="36"/>
        <v>#N/A</v>
      </c>
      <c r="C303" s="2" t="str">
        <f t="shared" si="37"/>
        <v>0</v>
      </c>
      <c r="E303" s="10">
        <f t="shared" si="38"/>
        <v>0</v>
      </c>
      <c r="F303" s="2">
        <f t="shared" si="39"/>
        <v>0</v>
      </c>
      <c r="G303" s="2" t="str">
        <f>IF(ISERROR(B303),"-",IF(J302=0,0,SUM($F$33:F303)))</f>
        <v>-</v>
      </c>
      <c r="H303" s="2">
        <f t="shared" si="44"/>
        <v>0</v>
      </c>
      <c r="I303" s="2" t="str">
        <f>IF(ISERROR($B303),"-",IF(J302=0,0,SUM($H$33:H303)))</f>
        <v>-</v>
      </c>
      <c r="J303" s="2" t="str">
        <f t="shared" si="40"/>
        <v>-</v>
      </c>
      <c r="K303" s="2" t="str">
        <f t="shared" si="41"/>
        <v>-</v>
      </c>
      <c r="L303" s="2">
        <f t="shared" si="42"/>
        <v>0</v>
      </c>
      <c r="M303" s="2">
        <f t="shared" si="43"/>
        <v>0</v>
      </c>
      <c r="O303" s="2">
        <f>IF('Batt IN'!$N$18="Yes",BattLoan!F303*'Batt IN'!$E$7,0)</f>
        <v>0</v>
      </c>
    </row>
    <row r="304" spans="1:15" x14ac:dyDescent="0.25">
      <c r="B304" t="e">
        <f t="shared" si="36"/>
        <v>#N/A</v>
      </c>
      <c r="C304" s="2" t="str">
        <f t="shared" si="37"/>
        <v>0</v>
      </c>
      <c r="E304" s="10">
        <f t="shared" si="38"/>
        <v>0</v>
      </c>
      <c r="F304" s="2">
        <f t="shared" si="39"/>
        <v>0</v>
      </c>
      <c r="G304" s="2" t="str">
        <f>IF(ISERROR(B304),"-",IF(J303=0,0,SUM($F$33:F304)))</f>
        <v>-</v>
      </c>
      <c r="H304" s="2">
        <f t="shared" si="44"/>
        <v>0</v>
      </c>
      <c r="I304" s="2" t="str">
        <f>IF(ISERROR($B304),"-",IF(J303=0,0,SUM($H$33:H304)))</f>
        <v>-</v>
      </c>
      <c r="J304" s="2" t="str">
        <f t="shared" si="40"/>
        <v>-</v>
      </c>
      <c r="K304" s="2" t="str">
        <f t="shared" si="41"/>
        <v>-</v>
      </c>
      <c r="L304" s="2">
        <f t="shared" si="42"/>
        <v>0</v>
      </c>
      <c r="M304" s="2">
        <f t="shared" si="43"/>
        <v>0</v>
      </c>
      <c r="O304" s="2">
        <f>IF('Batt IN'!$N$18="Yes",BattLoan!F304*'Batt IN'!$E$7,0)</f>
        <v>0</v>
      </c>
    </row>
    <row r="305" spans="1:15" x14ac:dyDescent="0.25">
      <c r="B305" t="e">
        <f t="shared" si="36"/>
        <v>#N/A</v>
      </c>
      <c r="C305" s="2" t="str">
        <f t="shared" si="37"/>
        <v>0</v>
      </c>
      <c r="E305" s="10">
        <f t="shared" si="38"/>
        <v>0</v>
      </c>
      <c r="F305" s="2">
        <f t="shared" si="39"/>
        <v>0</v>
      </c>
      <c r="G305" s="2" t="str">
        <f>IF(ISERROR(B305),"-",IF(J304=0,0,SUM($F$33:F305)))</f>
        <v>-</v>
      </c>
      <c r="H305" s="2">
        <f t="shared" si="44"/>
        <v>0</v>
      </c>
      <c r="I305" s="2" t="str">
        <f>IF(ISERROR($B305),"-",IF(J304=0,0,SUM($H$33:H305)))</f>
        <v>-</v>
      </c>
      <c r="J305" s="2" t="str">
        <f t="shared" si="40"/>
        <v>-</v>
      </c>
      <c r="K305" s="2" t="str">
        <f t="shared" si="41"/>
        <v>-</v>
      </c>
      <c r="L305" s="2">
        <f t="shared" si="42"/>
        <v>0</v>
      </c>
      <c r="M305" s="2">
        <f t="shared" si="43"/>
        <v>0</v>
      </c>
      <c r="O305" s="2">
        <f>IF('Batt IN'!$N$18="Yes",BattLoan!F305*'Batt IN'!$E$7,0)</f>
        <v>0</v>
      </c>
    </row>
    <row r="306" spans="1:15" x14ac:dyDescent="0.25">
      <c r="B306" t="e">
        <f t="shared" si="36"/>
        <v>#N/A</v>
      </c>
      <c r="C306" s="2" t="str">
        <f t="shared" si="37"/>
        <v>0</v>
      </c>
      <c r="E306" s="10">
        <f t="shared" si="38"/>
        <v>0</v>
      </c>
      <c r="F306" s="2">
        <f t="shared" si="39"/>
        <v>0</v>
      </c>
      <c r="G306" s="2" t="str">
        <f>IF(ISERROR(B306),"-",IF(J305=0,0,SUM($F$33:F306)))</f>
        <v>-</v>
      </c>
      <c r="H306" s="2">
        <f t="shared" si="44"/>
        <v>0</v>
      </c>
      <c r="I306" s="2" t="str">
        <f>IF(ISERROR($B306),"-",IF(J305=0,0,SUM($H$33:H306)))</f>
        <v>-</v>
      </c>
      <c r="J306" s="2" t="str">
        <f t="shared" si="40"/>
        <v>-</v>
      </c>
      <c r="K306" s="2" t="str">
        <f t="shared" si="41"/>
        <v>-</v>
      </c>
      <c r="L306" s="2">
        <f t="shared" si="42"/>
        <v>0</v>
      </c>
      <c r="M306" s="2">
        <f t="shared" si="43"/>
        <v>0</v>
      </c>
      <c r="O306" s="2">
        <f>IF('Batt IN'!$N$18="Yes",BattLoan!F306*'Batt IN'!$E$7,0)</f>
        <v>0</v>
      </c>
    </row>
    <row r="307" spans="1:15" x14ac:dyDescent="0.25">
      <c r="B307" t="e">
        <f t="shared" si="36"/>
        <v>#N/A</v>
      </c>
      <c r="C307" s="2" t="str">
        <f t="shared" si="37"/>
        <v>0</v>
      </c>
      <c r="E307" s="10">
        <f t="shared" si="38"/>
        <v>0</v>
      </c>
      <c r="F307" s="2">
        <f t="shared" si="39"/>
        <v>0</v>
      </c>
      <c r="G307" s="2" t="str">
        <f>IF(ISERROR(B307),"-",IF(J306=0,0,SUM($F$33:F307)))</f>
        <v>-</v>
      </c>
      <c r="H307" s="2">
        <f t="shared" si="44"/>
        <v>0</v>
      </c>
      <c r="I307" s="2" t="str">
        <f>IF(ISERROR($B307),"-",IF(J306=0,0,SUM($H$33:H307)))</f>
        <v>-</v>
      </c>
      <c r="J307" s="2" t="str">
        <f t="shared" si="40"/>
        <v>-</v>
      </c>
      <c r="K307" s="2" t="str">
        <f t="shared" si="41"/>
        <v>-</v>
      </c>
      <c r="L307" s="2">
        <f t="shared" si="42"/>
        <v>0</v>
      </c>
      <c r="M307" s="2">
        <f t="shared" si="43"/>
        <v>0</v>
      </c>
      <c r="O307" s="2">
        <f>IF('Batt IN'!$N$18="Yes",BattLoan!F307*'Batt IN'!$E$7,0)</f>
        <v>0</v>
      </c>
    </row>
    <row r="308" spans="1:15" x14ac:dyDescent="0.25">
      <c r="A308">
        <v>23</v>
      </c>
      <c r="B308" t="e">
        <f t="shared" si="36"/>
        <v>#N/A</v>
      </c>
      <c r="C308" s="2" t="str">
        <f t="shared" si="37"/>
        <v>0</v>
      </c>
      <c r="E308" s="10">
        <f t="shared" si="38"/>
        <v>0</v>
      </c>
      <c r="F308" s="2">
        <f t="shared" si="39"/>
        <v>0</v>
      </c>
      <c r="G308" s="2" t="str">
        <f>IF(ISERROR(B308),"-",IF(J307=0,0,SUM($F$33:F308)))</f>
        <v>-</v>
      </c>
      <c r="H308" s="2">
        <f t="shared" si="44"/>
        <v>0</v>
      </c>
      <c r="I308" s="2" t="str">
        <f>IF(ISERROR($B308),"-",IF(J307=0,0,SUM($H$33:H308)))</f>
        <v>-</v>
      </c>
      <c r="J308" s="2" t="str">
        <f t="shared" si="40"/>
        <v>-</v>
      </c>
      <c r="K308" s="2" t="str">
        <f t="shared" si="41"/>
        <v>-</v>
      </c>
      <c r="L308" s="2">
        <f t="shared" si="42"/>
        <v>0</v>
      </c>
      <c r="M308" s="2">
        <f t="shared" si="43"/>
        <v>0</v>
      </c>
      <c r="O308" s="2">
        <f>IF('Batt IN'!$N$18="Yes",BattLoan!F308*'Batt IN'!$E$7,0)</f>
        <v>0</v>
      </c>
    </row>
    <row r="309" spans="1:15" x14ac:dyDescent="0.25">
      <c r="B309" t="e">
        <f t="shared" si="36"/>
        <v>#N/A</v>
      </c>
      <c r="C309" s="2" t="str">
        <f t="shared" si="37"/>
        <v>0</v>
      </c>
      <c r="E309" s="10">
        <f t="shared" si="38"/>
        <v>0</v>
      </c>
      <c r="F309" s="2">
        <f t="shared" si="39"/>
        <v>0</v>
      </c>
      <c r="G309" s="2" t="str">
        <f>IF(ISERROR(B309),"-",IF(J308=0,0,SUM($F$33:F309)))</f>
        <v>-</v>
      </c>
      <c r="H309" s="2">
        <f t="shared" si="44"/>
        <v>0</v>
      </c>
      <c r="I309" s="2" t="str">
        <f>IF(ISERROR($B309),"-",IF(J308=0,0,SUM($H$33:H309)))</f>
        <v>-</v>
      </c>
      <c r="J309" s="2" t="str">
        <f t="shared" si="40"/>
        <v>-</v>
      </c>
      <c r="K309" s="2" t="str">
        <f t="shared" si="41"/>
        <v>-</v>
      </c>
      <c r="L309" s="2">
        <f t="shared" si="42"/>
        <v>0</v>
      </c>
      <c r="M309" s="2">
        <f t="shared" si="43"/>
        <v>0</v>
      </c>
      <c r="O309" s="2">
        <f>IF('Batt IN'!$N$18="Yes",BattLoan!F309*'Batt IN'!$E$7,0)</f>
        <v>0</v>
      </c>
    </row>
    <row r="310" spans="1:15" x14ac:dyDescent="0.25">
      <c r="B310" t="e">
        <f t="shared" si="36"/>
        <v>#N/A</v>
      </c>
      <c r="C310" s="2" t="str">
        <f t="shared" si="37"/>
        <v>0</v>
      </c>
      <c r="E310" s="10">
        <f t="shared" si="38"/>
        <v>0</v>
      </c>
      <c r="F310" s="2">
        <f t="shared" si="39"/>
        <v>0</v>
      </c>
      <c r="G310" s="2" t="str">
        <f>IF(ISERROR(B310),"-",IF(J309=0,0,SUM($F$33:F310)))</f>
        <v>-</v>
      </c>
      <c r="H310" s="2">
        <f t="shared" si="44"/>
        <v>0</v>
      </c>
      <c r="I310" s="2" t="str">
        <f>IF(ISERROR($B310),"-",IF(J309=0,0,SUM($H$33:H310)))</f>
        <v>-</v>
      </c>
      <c r="J310" s="2" t="str">
        <f t="shared" si="40"/>
        <v>-</v>
      </c>
      <c r="K310" s="2" t="str">
        <f t="shared" si="41"/>
        <v>-</v>
      </c>
      <c r="L310" s="2">
        <f t="shared" si="42"/>
        <v>0</v>
      </c>
      <c r="M310" s="2">
        <f t="shared" si="43"/>
        <v>0</v>
      </c>
      <c r="O310" s="2">
        <f>IF('Batt IN'!$N$18="Yes",BattLoan!F310*'Batt IN'!$E$7,0)</f>
        <v>0</v>
      </c>
    </row>
    <row r="311" spans="1:15" x14ac:dyDescent="0.25">
      <c r="B311" t="e">
        <f t="shared" si="36"/>
        <v>#N/A</v>
      </c>
      <c r="C311" s="2" t="str">
        <f t="shared" si="37"/>
        <v>0</v>
      </c>
      <c r="E311" s="10">
        <f t="shared" si="38"/>
        <v>0</v>
      </c>
      <c r="F311" s="2">
        <f t="shared" si="39"/>
        <v>0</v>
      </c>
      <c r="G311" s="2" t="str">
        <f>IF(ISERROR(B311),"-",IF(J310=0,0,SUM($F$33:F311)))</f>
        <v>-</v>
      </c>
      <c r="H311" s="2">
        <f t="shared" si="44"/>
        <v>0</v>
      </c>
      <c r="I311" s="2" t="str">
        <f>IF(ISERROR($B311),"-",IF(J310=0,0,SUM($H$33:H311)))</f>
        <v>-</v>
      </c>
      <c r="J311" s="2" t="str">
        <f t="shared" si="40"/>
        <v>-</v>
      </c>
      <c r="K311" s="2" t="str">
        <f t="shared" si="41"/>
        <v>-</v>
      </c>
      <c r="L311" s="2">
        <f t="shared" si="42"/>
        <v>0</v>
      </c>
      <c r="M311" s="2">
        <f t="shared" si="43"/>
        <v>0</v>
      </c>
      <c r="O311" s="2">
        <f>IF('Batt IN'!$N$18="Yes",BattLoan!F311*'Batt IN'!$E$7,0)</f>
        <v>0</v>
      </c>
    </row>
    <row r="312" spans="1:15" x14ac:dyDescent="0.25">
      <c r="B312" t="e">
        <f t="shared" si="36"/>
        <v>#N/A</v>
      </c>
      <c r="C312" s="2" t="str">
        <f t="shared" si="37"/>
        <v>0</v>
      </c>
      <c r="E312" s="10">
        <f t="shared" si="38"/>
        <v>0</v>
      </c>
      <c r="F312" s="2">
        <f t="shared" si="39"/>
        <v>0</v>
      </c>
      <c r="G312" s="2" t="str">
        <f>IF(ISERROR(B312),"-",IF(J311=0,0,SUM($F$33:F312)))</f>
        <v>-</v>
      </c>
      <c r="H312" s="2">
        <f t="shared" si="44"/>
        <v>0</v>
      </c>
      <c r="I312" s="2" t="str">
        <f>IF(ISERROR($B312),"-",IF(J311=0,0,SUM($H$33:H312)))</f>
        <v>-</v>
      </c>
      <c r="J312" s="2" t="str">
        <f t="shared" si="40"/>
        <v>-</v>
      </c>
      <c r="K312" s="2" t="str">
        <f t="shared" si="41"/>
        <v>-</v>
      </c>
      <c r="L312" s="2">
        <f t="shared" si="42"/>
        <v>0</v>
      </c>
      <c r="M312" s="2">
        <f t="shared" si="43"/>
        <v>0</v>
      </c>
      <c r="O312" s="2">
        <f>IF('Batt IN'!$N$18="Yes",BattLoan!F312*'Batt IN'!$E$7,0)</f>
        <v>0</v>
      </c>
    </row>
    <row r="313" spans="1:15" x14ac:dyDescent="0.25">
      <c r="B313" t="e">
        <f t="shared" si="36"/>
        <v>#N/A</v>
      </c>
      <c r="C313" s="2" t="str">
        <f t="shared" si="37"/>
        <v>0</v>
      </c>
      <c r="E313" s="10">
        <f t="shared" si="38"/>
        <v>0</v>
      </c>
      <c r="F313" s="2">
        <f t="shared" si="39"/>
        <v>0</v>
      </c>
      <c r="G313" s="2" t="str">
        <f>IF(ISERROR(B313),"-",IF(J312=0,0,SUM($F$33:F313)))</f>
        <v>-</v>
      </c>
      <c r="H313" s="2">
        <f t="shared" si="44"/>
        <v>0</v>
      </c>
      <c r="I313" s="2" t="str">
        <f>IF(ISERROR($B313),"-",IF(J312=0,0,SUM($H$33:H313)))</f>
        <v>-</v>
      </c>
      <c r="J313" s="2" t="str">
        <f t="shared" si="40"/>
        <v>-</v>
      </c>
      <c r="K313" s="2" t="str">
        <f t="shared" si="41"/>
        <v>-</v>
      </c>
      <c r="L313" s="2">
        <f t="shared" si="42"/>
        <v>0</v>
      </c>
      <c r="M313" s="2">
        <f t="shared" si="43"/>
        <v>0</v>
      </c>
      <c r="O313" s="2">
        <f>IF('Batt IN'!$N$18="Yes",BattLoan!F313*'Batt IN'!$E$7,0)</f>
        <v>0</v>
      </c>
    </row>
    <row r="314" spans="1:15" x14ac:dyDescent="0.25">
      <c r="B314" t="e">
        <f t="shared" si="36"/>
        <v>#N/A</v>
      </c>
      <c r="C314" s="2" t="str">
        <f t="shared" si="37"/>
        <v>0</v>
      </c>
      <c r="E314" s="10">
        <f t="shared" si="38"/>
        <v>0</v>
      </c>
      <c r="F314" s="2">
        <f t="shared" si="39"/>
        <v>0</v>
      </c>
      <c r="G314" s="2" t="str">
        <f>IF(ISERROR(B314),"-",IF(J313=0,0,SUM($F$33:F314)))</f>
        <v>-</v>
      </c>
      <c r="H314" s="2">
        <f t="shared" si="44"/>
        <v>0</v>
      </c>
      <c r="I314" s="2" t="str">
        <f>IF(ISERROR($B314),"-",IF(J313=0,0,SUM($H$33:H314)))</f>
        <v>-</v>
      </c>
      <c r="J314" s="2" t="str">
        <f t="shared" si="40"/>
        <v>-</v>
      </c>
      <c r="K314" s="2" t="str">
        <f t="shared" si="41"/>
        <v>-</v>
      </c>
      <c r="L314" s="2">
        <f t="shared" si="42"/>
        <v>0</v>
      </c>
      <c r="M314" s="2">
        <f t="shared" si="43"/>
        <v>0</v>
      </c>
      <c r="O314" s="2">
        <f>IF('Batt IN'!$N$18="Yes",BattLoan!F314*'Batt IN'!$E$7,0)</f>
        <v>0</v>
      </c>
    </row>
    <row r="315" spans="1:15" x14ac:dyDescent="0.25">
      <c r="B315" t="e">
        <f t="shared" si="36"/>
        <v>#N/A</v>
      </c>
      <c r="C315" s="2" t="str">
        <f t="shared" si="37"/>
        <v>0</v>
      </c>
      <c r="E315" s="10">
        <f t="shared" si="38"/>
        <v>0</v>
      </c>
      <c r="F315" s="2">
        <f t="shared" si="39"/>
        <v>0</v>
      </c>
      <c r="G315" s="2" t="str">
        <f>IF(ISERROR(B315),"-",IF(J314=0,0,SUM($F$33:F315)))</f>
        <v>-</v>
      </c>
      <c r="H315" s="2">
        <f t="shared" si="44"/>
        <v>0</v>
      </c>
      <c r="I315" s="2" t="str">
        <f>IF(ISERROR($B315),"-",IF(J314=0,0,SUM($H$33:H315)))</f>
        <v>-</v>
      </c>
      <c r="J315" s="2" t="str">
        <f t="shared" si="40"/>
        <v>-</v>
      </c>
      <c r="K315" s="2" t="str">
        <f t="shared" si="41"/>
        <v>-</v>
      </c>
      <c r="L315" s="2">
        <f t="shared" si="42"/>
        <v>0</v>
      </c>
      <c r="M315" s="2">
        <f t="shared" si="43"/>
        <v>0</v>
      </c>
      <c r="O315" s="2">
        <f>IF('Batt IN'!$N$18="Yes",BattLoan!F315*'Batt IN'!$E$7,0)</f>
        <v>0</v>
      </c>
    </row>
    <row r="316" spans="1:15" x14ac:dyDescent="0.25">
      <c r="B316" t="e">
        <f t="shared" si="36"/>
        <v>#N/A</v>
      </c>
      <c r="C316" s="2" t="str">
        <f t="shared" si="37"/>
        <v>0</v>
      </c>
      <c r="E316" s="10">
        <f t="shared" si="38"/>
        <v>0</v>
      </c>
      <c r="F316" s="2">
        <f t="shared" si="39"/>
        <v>0</v>
      </c>
      <c r="G316" s="2" t="str">
        <f>IF(ISERROR(B316),"-",IF(J315=0,0,SUM($F$33:F316)))</f>
        <v>-</v>
      </c>
      <c r="H316" s="2">
        <f t="shared" si="44"/>
        <v>0</v>
      </c>
      <c r="I316" s="2" t="str">
        <f>IF(ISERROR($B316),"-",IF(J315=0,0,SUM($H$33:H316)))</f>
        <v>-</v>
      </c>
      <c r="J316" s="2" t="str">
        <f t="shared" si="40"/>
        <v>-</v>
      </c>
      <c r="K316" s="2" t="str">
        <f t="shared" si="41"/>
        <v>-</v>
      </c>
      <c r="L316" s="2">
        <f t="shared" si="42"/>
        <v>0</v>
      </c>
      <c r="M316" s="2">
        <f t="shared" si="43"/>
        <v>0</v>
      </c>
      <c r="O316" s="2">
        <f>IF('Batt IN'!$N$18="Yes",BattLoan!F316*'Batt IN'!$E$7,0)</f>
        <v>0</v>
      </c>
    </row>
    <row r="317" spans="1:15" x14ac:dyDescent="0.25">
      <c r="B317" t="e">
        <f t="shared" si="36"/>
        <v>#N/A</v>
      </c>
      <c r="C317" s="2" t="str">
        <f t="shared" si="37"/>
        <v>0</v>
      </c>
      <c r="E317" s="10">
        <f t="shared" si="38"/>
        <v>0</v>
      </c>
      <c r="F317" s="2">
        <f t="shared" si="39"/>
        <v>0</v>
      </c>
      <c r="G317" s="2" t="str">
        <f>IF(ISERROR(B317),"-",IF(J316=0,0,SUM($F$33:F317)))</f>
        <v>-</v>
      </c>
      <c r="H317" s="2">
        <f t="shared" si="44"/>
        <v>0</v>
      </c>
      <c r="I317" s="2" t="str">
        <f>IF(ISERROR($B317),"-",IF(J316=0,0,SUM($H$33:H317)))</f>
        <v>-</v>
      </c>
      <c r="J317" s="2" t="str">
        <f t="shared" si="40"/>
        <v>-</v>
      </c>
      <c r="K317" s="2" t="str">
        <f t="shared" si="41"/>
        <v>-</v>
      </c>
      <c r="L317" s="2">
        <f t="shared" si="42"/>
        <v>0</v>
      </c>
      <c r="M317" s="2">
        <f t="shared" si="43"/>
        <v>0</v>
      </c>
      <c r="O317" s="2">
        <f>IF('Batt IN'!$N$18="Yes",BattLoan!F317*'Batt IN'!$E$7,0)</f>
        <v>0</v>
      </c>
    </row>
    <row r="318" spans="1:15" x14ac:dyDescent="0.25">
      <c r="B318" t="e">
        <f t="shared" si="36"/>
        <v>#N/A</v>
      </c>
      <c r="C318" s="2" t="str">
        <f t="shared" si="37"/>
        <v>0</v>
      </c>
      <c r="E318" s="10">
        <f t="shared" si="38"/>
        <v>0</v>
      </c>
      <c r="F318" s="2">
        <f t="shared" si="39"/>
        <v>0</v>
      </c>
      <c r="G318" s="2" t="str">
        <f>IF(ISERROR(B318),"-",IF(J317=0,0,SUM($F$33:F318)))</f>
        <v>-</v>
      </c>
      <c r="H318" s="2">
        <f t="shared" si="44"/>
        <v>0</v>
      </c>
      <c r="I318" s="2" t="str">
        <f>IF(ISERROR($B318),"-",IF(J317=0,0,SUM($H$33:H318)))</f>
        <v>-</v>
      </c>
      <c r="J318" s="2" t="str">
        <f t="shared" si="40"/>
        <v>-</v>
      </c>
      <c r="K318" s="2" t="str">
        <f t="shared" si="41"/>
        <v>-</v>
      </c>
      <c r="L318" s="2">
        <f t="shared" si="42"/>
        <v>0</v>
      </c>
      <c r="M318" s="2">
        <f t="shared" si="43"/>
        <v>0</v>
      </c>
      <c r="O318" s="2">
        <f>IF('Batt IN'!$N$18="Yes",BattLoan!F318*'Batt IN'!$E$7,0)</f>
        <v>0</v>
      </c>
    </row>
    <row r="319" spans="1:15" x14ac:dyDescent="0.25">
      <c r="B319" t="e">
        <f t="shared" si="36"/>
        <v>#N/A</v>
      </c>
      <c r="C319" s="2" t="str">
        <f t="shared" si="37"/>
        <v>0</v>
      </c>
      <c r="E319" s="10">
        <f t="shared" si="38"/>
        <v>0</v>
      </c>
      <c r="F319" s="2">
        <f t="shared" si="39"/>
        <v>0</v>
      </c>
      <c r="G319" s="2" t="str">
        <f>IF(ISERROR(B319),"-",IF(J318=0,0,SUM($F$33:F319)))</f>
        <v>-</v>
      </c>
      <c r="H319" s="2">
        <f t="shared" si="44"/>
        <v>0</v>
      </c>
      <c r="I319" s="2" t="str">
        <f>IF(ISERROR($B319),"-",IF(J318=0,0,SUM($H$33:H319)))</f>
        <v>-</v>
      </c>
      <c r="J319" s="2" t="str">
        <f t="shared" si="40"/>
        <v>-</v>
      </c>
      <c r="K319" s="2" t="str">
        <f t="shared" si="41"/>
        <v>-</v>
      </c>
      <c r="L319" s="2">
        <f t="shared" si="42"/>
        <v>0</v>
      </c>
      <c r="M319" s="2">
        <f t="shared" si="43"/>
        <v>0</v>
      </c>
      <c r="O319" s="2">
        <f>IF('Batt IN'!$N$18="Yes",BattLoan!F319*'Batt IN'!$E$7,0)</f>
        <v>0</v>
      </c>
    </row>
    <row r="320" spans="1:15" x14ac:dyDescent="0.25">
      <c r="A320">
        <v>24</v>
      </c>
      <c r="B320" t="e">
        <f t="shared" si="36"/>
        <v>#N/A</v>
      </c>
      <c r="C320" s="2" t="str">
        <f t="shared" si="37"/>
        <v>0</v>
      </c>
      <c r="E320" s="10">
        <f t="shared" si="38"/>
        <v>0</v>
      </c>
      <c r="F320" s="2">
        <f t="shared" si="39"/>
        <v>0</v>
      </c>
      <c r="G320" s="2" t="str">
        <f>IF(ISERROR(B320),"-",IF(J319=0,0,SUM($F$33:F320)))</f>
        <v>-</v>
      </c>
      <c r="H320" s="2">
        <f t="shared" si="44"/>
        <v>0</v>
      </c>
      <c r="I320" s="2" t="str">
        <f>IF(ISERROR($B320),"-",IF(J319=0,0,SUM($H$33:H320)))</f>
        <v>-</v>
      </c>
      <c r="J320" s="2" t="str">
        <f t="shared" si="40"/>
        <v>-</v>
      </c>
      <c r="K320" s="2" t="str">
        <f t="shared" si="41"/>
        <v>-</v>
      </c>
      <c r="L320" s="2">
        <f t="shared" si="42"/>
        <v>0</v>
      </c>
      <c r="M320" s="2">
        <f t="shared" si="43"/>
        <v>0</v>
      </c>
      <c r="O320" s="2">
        <f>IF('Batt IN'!$N$18="Yes",BattLoan!F320*'Batt IN'!$E$7,0)</f>
        <v>0</v>
      </c>
    </row>
    <row r="321" spans="1:15" x14ac:dyDescent="0.25">
      <c r="B321" t="e">
        <f t="shared" si="36"/>
        <v>#N/A</v>
      </c>
      <c r="C321" s="2" t="str">
        <f t="shared" si="37"/>
        <v>0</v>
      </c>
      <c r="E321" s="10">
        <f t="shared" si="38"/>
        <v>0</v>
      </c>
      <c r="F321" s="2">
        <f t="shared" si="39"/>
        <v>0</v>
      </c>
      <c r="G321" s="2" t="str">
        <f>IF(ISERROR(B321),"-",IF(J320=0,0,SUM($F$33:F321)))</f>
        <v>-</v>
      </c>
      <c r="H321" s="2">
        <f t="shared" si="44"/>
        <v>0</v>
      </c>
      <c r="I321" s="2" t="str">
        <f>IF(ISERROR($B321),"-",IF(J320=0,0,SUM($H$33:H321)))</f>
        <v>-</v>
      </c>
      <c r="J321" s="2" t="str">
        <f t="shared" si="40"/>
        <v>-</v>
      </c>
      <c r="K321" s="2" t="str">
        <f t="shared" si="41"/>
        <v>-</v>
      </c>
      <c r="L321" s="2">
        <f t="shared" si="42"/>
        <v>0</v>
      </c>
      <c r="M321" s="2">
        <f t="shared" si="43"/>
        <v>0</v>
      </c>
      <c r="O321" s="2">
        <f>IF('Batt IN'!$N$18="Yes",BattLoan!F321*'Batt IN'!$E$7,0)</f>
        <v>0</v>
      </c>
    </row>
    <row r="322" spans="1:15" x14ac:dyDescent="0.25">
      <c r="B322" t="e">
        <f t="shared" si="36"/>
        <v>#N/A</v>
      </c>
      <c r="C322" s="2" t="str">
        <f t="shared" si="37"/>
        <v>0</v>
      </c>
      <c r="E322" s="10">
        <f t="shared" si="38"/>
        <v>0</v>
      </c>
      <c r="F322" s="2">
        <f t="shared" si="39"/>
        <v>0</v>
      </c>
      <c r="G322" s="2" t="str">
        <f>IF(ISERROR(B322),"-",IF(J321=0,0,SUM($F$33:F322)))</f>
        <v>-</v>
      </c>
      <c r="H322" s="2">
        <f t="shared" si="44"/>
        <v>0</v>
      </c>
      <c r="I322" s="2" t="str">
        <f>IF(ISERROR($B322),"-",IF(J321=0,0,SUM($H$33:H322)))</f>
        <v>-</v>
      </c>
      <c r="J322" s="2" t="str">
        <f t="shared" si="40"/>
        <v>-</v>
      </c>
      <c r="K322" s="2" t="str">
        <f t="shared" si="41"/>
        <v>-</v>
      </c>
      <c r="L322" s="2">
        <f t="shared" si="42"/>
        <v>0</v>
      </c>
      <c r="M322" s="2">
        <f t="shared" si="43"/>
        <v>0</v>
      </c>
      <c r="O322" s="2">
        <f>IF('Batt IN'!$N$18="Yes",BattLoan!F322*'Batt IN'!$E$7,0)</f>
        <v>0</v>
      </c>
    </row>
    <row r="323" spans="1:15" x14ac:dyDescent="0.25">
      <c r="B323" t="e">
        <f t="shared" si="36"/>
        <v>#N/A</v>
      </c>
      <c r="C323" s="2" t="str">
        <f t="shared" si="37"/>
        <v>0</v>
      </c>
      <c r="E323" s="10">
        <f t="shared" si="38"/>
        <v>0</v>
      </c>
      <c r="F323" s="2">
        <f t="shared" si="39"/>
        <v>0</v>
      </c>
      <c r="G323" s="2" t="str">
        <f>IF(ISERROR(B323),"-",IF(J322=0,0,SUM($F$33:F323)))</f>
        <v>-</v>
      </c>
      <c r="H323" s="2">
        <f t="shared" si="44"/>
        <v>0</v>
      </c>
      <c r="I323" s="2" t="str">
        <f>IF(ISERROR($B323),"-",IF(J322=0,0,SUM($H$33:H323)))</f>
        <v>-</v>
      </c>
      <c r="J323" s="2" t="str">
        <f t="shared" si="40"/>
        <v>-</v>
      </c>
      <c r="K323" s="2" t="str">
        <f t="shared" si="41"/>
        <v>-</v>
      </c>
      <c r="L323" s="2">
        <f t="shared" si="42"/>
        <v>0</v>
      </c>
      <c r="M323" s="2">
        <f t="shared" si="43"/>
        <v>0</v>
      </c>
      <c r="O323" s="2">
        <f>IF('Batt IN'!$N$18="Yes",BattLoan!F323*'Batt IN'!$E$7,0)</f>
        <v>0</v>
      </c>
    </row>
    <row r="324" spans="1:15" x14ac:dyDescent="0.25">
      <c r="B324" t="e">
        <f t="shared" si="36"/>
        <v>#N/A</v>
      </c>
      <c r="C324" s="2" t="str">
        <f t="shared" si="37"/>
        <v>0</v>
      </c>
      <c r="E324" s="10">
        <f t="shared" si="38"/>
        <v>0</v>
      </c>
      <c r="F324" s="2">
        <f t="shared" si="39"/>
        <v>0</v>
      </c>
      <c r="G324" s="2" t="str">
        <f>IF(ISERROR(B324),"-",IF(J323=0,0,SUM($F$33:F324)))</f>
        <v>-</v>
      </c>
      <c r="H324" s="2">
        <f t="shared" si="44"/>
        <v>0</v>
      </c>
      <c r="I324" s="2" t="str">
        <f>IF(ISERROR($B324),"-",IF(J323=0,0,SUM($H$33:H324)))</f>
        <v>-</v>
      </c>
      <c r="J324" s="2" t="str">
        <f t="shared" si="40"/>
        <v>-</v>
      </c>
      <c r="K324" s="2" t="str">
        <f t="shared" si="41"/>
        <v>-</v>
      </c>
      <c r="L324" s="2">
        <f t="shared" si="42"/>
        <v>0</v>
      </c>
      <c r="M324" s="2">
        <f t="shared" si="43"/>
        <v>0</v>
      </c>
      <c r="O324" s="2">
        <f>IF('Batt IN'!$N$18="Yes",BattLoan!F324*'Batt IN'!$E$7,0)</f>
        <v>0</v>
      </c>
    </row>
    <row r="325" spans="1:15" x14ac:dyDescent="0.25">
      <c r="B325" t="e">
        <f t="shared" si="36"/>
        <v>#N/A</v>
      </c>
      <c r="C325" s="2" t="str">
        <f t="shared" si="37"/>
        <v>0</v>
      </c>
      <c r="E325" s="10">
        <f t="shared" si="38"/>
        <v>0</v>
      </c>
      <c r="F325" s="2">
        <f t="shared" si="39"/>
        <v>0</v>
      </c>
      <c r="G325" s="2" t="str">
        <f>IF(ISERROR(B325),"-",IF(J324=0,0,SUM($F$33:F325)))</f>
        <v>-</v>
      </c>
      <c r="H325" s="2">
        <f t="shared" si="44"/>
        <v>0</v>
      </c>
      <c r="I325" s="2" t="str">
        <f>IF(ISERROR($B325),"-",IF(J324=0,0,SUM($H$33:H325)))</f>
        <v>-</v>
      </c>
      <c r="J325" s="2" t="str">
        <f t="shared" si="40"/>
        <v>-</v>
      </c>
      <c r="K325" s="2" t="str">
        <f t="shared" si="41"/>
        <v>-</v>
      </c>
      <c r="L325" s="2">
        <f t="shared" si="42"/>
        <v>0</v>
      </c>
      <c r="M325" s="2">
        <f t="shared" si="43"/>
        <v>0</v>
      </c>
      <c r="O325" s="2">
        <f>IF('Batt IN'!$N$18="Yes",BattLoan!F325*'Batt IN'!$E$7,0)</f>
        <v>0</v>
      </c>
    </row>
    <row r="326" spans="1:15" x14ac:dyDescent="0.25">
      <c r="B326" t="e">
        <f t="shared" si="36"/>
        <v>#N/A</v>
      </c>
      <c r="C326" s="2" t="str">
        <f t="shared" si="37"/>
        <v>0</v>
      </c>
      <c r="E326" s="10">
        <f t="shared" si="38"/>
        <v>0</v>
      </c>
      <c r="F326" s="2">
        <f t="shared" si="39"/>
        <v>0</v>
      </c>
      <c r="G326" s="2" t="str">
        <f>IF(ISERROR(B326),"-",IF(J325=0,0,SUM($F$33:F326)))</f>
        <v>-</v>
      </c>
      <c r="H326" s="2">
        <f t="shared" si="44"/>
        <v>0</v>
      </c>
      <c r="I326" s="2" t="str">
        <f>IF(ISERROR($B326),"-",IF(J325=0,0,SUM($H$33:H326)))</f>
        <v>-</v>
      </c>
      <c r="J326" s="2" t="str">
        <f t="shared" si="40"/>
        <v>-</v>
      </c>
      <c r="K326" s="2" t="str">
        <f t="shared" si="41"/>
        <v>-</v>
      </c>
      <c r="L326" s="2">
        <f t="shared" si="42"/>
        <v>0</v>
      </c>
      <c r="M326" s="2">
        <f t="shared" si="43"/>
        <v>0</v>
      </c>
      <c r="O326" s="2">
        <f>IF('Batt IN'!$N$18="Yes",BattLoan!F326*'Batt IN'!$E$7,0)</f>
        <v>0</v>
      </c>
    </row>
    <row r="327" spans="1:15" x14ac:dyDescent="0.25">
      <c r="B327" t="e">
        <f t="shared" si="36"/>
        <v>#N/A</v>
      </c>
      <c r="C327" s="2" t="str">
        <f t="shared" si="37"/>
        <v>0</v>
      </c>
      <c r="E327" s="10">
        <f t="shared" si="38"/>
        <v>0</v>
      </c>
      <c r="F327" s="2">
        <f t="shared" si="39"/>
        <v>0</v>
      </c>
      <c r="G327" s="2" t="str">
        <f>IF(ISERROR(B327),"-",IF(J326=0,0,SUM($F$33:F327)))</f>
        <v>-</v>
      </c>
      <c r="H327" s="2">
        <f t="shared" si="44"/>
        <v>0</v>
      </c>
      <c r="I327" s="2" t="str">
        <f>IF(ISERROR($B327),"-",IF(J326=0,0,SUM($H$33:H327)))</f>
        <v>-</v>
      </c>
      <c r="J327" s="2" t="str">
        <f t="shared" si="40"/>
        <v>-</v>
      </c>
      <c r="K327" s="2" t="str">
        <f t="shared" si="41"/>
        <v>-</v>
      </c>
      <c r="L327" s="2">
        <f t="shared" si="42"/>
        <v>0</v>
      </c>
      <c r="M327" s="2">
        <f t="shared" si="43"/>
        <v>0</v>
      </c>
      <c r="O327" s="2">
        <f>IF('Batt IN'!$N$18="Yes",BattLoan!F327*'Batt IN'!$E$7,0)</f>
        <v>0</v>
      </c>
    </row>
    <row r="328" spans="1:15" x14ac:dyDescent="0.25">
      <c r="B328" t="e">
        <f t="shared" si="36"/>
        <v>#N/A</v>
      </c>
      <c r="C328" s="2" t="str">
        <f t="shared" si="37"/>
        <v>0</v>
      </c>
      <c r="E328" s="10">
        <f t="shared" si="38"/>
        <v>0</v>
      </c>
      <c r="F328" s="2">
        <f t="shared" si="39"/>
        <v>0</v>
      </c>
      <c r="G328" s="2" t="str">
        <f>IF(ISERROR(B328),"-",IF(J327=0,0,SUM($F$33:F328)))</f>
        <v>-</v>
      </c>
      <c r="H328" s="2">
        <f t="shared" si="44"/>
        <v>0</v>
      </c>
      <c r="I328" s="2" t="str">
        <f>IF(ISERROR($B328),"-",IF(J327=0,0,SUM($H$33:H328)))</f>
        <v>-</v>
      </c>
      <c r="J328" s="2" t="str">
        <f t="shared" si="40"/>
        <v>-</v>
      </c>
      <c r="K328" s="2" t="str">
        <f t="shared" si="41"/>
        <v>-</v>
      </c>
      <c r="L328" s="2">
        <f t="shared" si="42"/>
        <v>0</v>
      </c>
      <c r="M328" s="2">
        <f t="shared" si="43"/>
        <v>0</v>
      </c>
      <c r="O328" s="2">
        <f>IF('Batt IN'!$N$18="Yes",BattLoan!F328*'Batt IN'!$E$7,0)</f>
        <v>0</v>
      </c>
    </row>
    <row r="329" spans="1:15" x14ac:dyDescent="0.25">
      <c r="B329" t="e">
        <f t="shared" si="36"/>
        <v>#N/A</v>
      </c>
      <c r="C329" s="2" t="str">
        <f t="shared" si="37"/>
        <v>0</v>
      </c>
      <c r="E329" s="10">
        <f t="shared" si="38"/>
        <v>0</v>
      </c>
      <c r="F329" s="2">
        <f t="shared" si="39"/>
        <v>0</v>
      </c>
      <c r="G329" s="2" t="str">
        <f>IF(ISERROR(B329),"-",IF(J328=0,0,SUM($F$33:F329)))</f>
        <v>-</v>
      </c>
      <c r="H329" s="2">
        <f t="shared" si="44"/>
        <v>0</v>
      </c>
      <c r="I329" s="2" t="str">
        <f>IF(ISERROR($B329),"-",IF(J328=0,0,SUM($H$33:H329)))</f>
        <v>-</v>
      </c>
      <c r="J329" s="2" t="str">
        <f t="shared" si="40"/>
        <v>-</v>
      </c>
      <c r="K329" s="2" t="str">
        <f t="shared" si="41"/>
        <v>-</v>
      </c>
      <c r="L329" s="2">
        <f t="shared" si="42"/>
        <v>0</v>
      </c>
      <c r="M329" s="2">
        <f t="shared" si="43"/>
        <v>0</v>
      </c>
      <c r="O329" s="2">
        <f>IF('Batt IN'!$N$18="Yes",BattLoan!F329*'Batt IN'!$E$7,0)</f>
        <v>0</v>
      </c>
    </row>
    <row r="330" spans="1:15" x14ac:dyDescent="0.25">
      <c r="B330" t="e">
        <f t="shared" si="36"/>
        <v>#N/A</v>
      </c>
      <c r="C330" s="2" t="str">
        <f t="shared" si="37"/>
        <v>0</v>
      </c>
      <c r="E330" s="10">
        <f t="shared" si="38"/>
        <v>0</v>
      </c>
      <c r="F330" s="2">
        <f t="shared" si="39"/>
        <v>0</v>
      </c>
      <c r="G330" s="2" t="str">
        <f>IF(ISERROR(B330),"-",IF(J329=0,0,SUM($F$33:F330)))</f>
        <v>-</v>
      </c>
      <c r="H330" s="2">
        <f t="shared" si="44"/>
        <v>0</v>
      </c>
      <c r="I330" s="2" t="str">
        <f>IF(ISERROR($B330),"-",IF(J329=0,0,SUM($H$33:H330)))</f>
        <v>-</v>
      </c>
      <c r="J330" s="2" t="str">
        <f t="shared" si="40"/>
        <v>-</v>
      </c>
      <c r="K330" s="2" t="str">
        <f t="shared" si="41"/>
        <v>-</v>
      </c>
      <c r="L330" s="2">
        <f t="shared" si="42"/>
        <v>0</v>
      </c>
      <c r="M330" s="2">
        <f t="shared" si="43"/>
        <v>0</v>
      </c>
      <c r="O330" s="2">
        <f>IF('Batt IN'!$N$18="Yes",BattLoan!F330*'Batt IN'!$E$7,0)</f>
        <v>0</v>
      </c>
    </row>
    <row r="331" spans="1:15" x14ac:dyDescent="0.25">
      <c r="B331" t="e">
        <f t="shared" si="36"/>
        <v>#N/A</v>
      </c>
      <c r="C331" s="2" t="str">
        <f t="shared" si="37"/>
        <v>0</v>
      </c>
      <c r="E331" s="10">
        <f t="shared" si="38"/>
        <v>0</v>
      </c>
      <c r="F331" s="2">
        <f t="shared" si="39"/>
        <v>0</v>
      </c>
      <c r="G331" s="2" t="str">
        <f>IF(ISERROR(B331),"-",IF(J330=0,0,SUM($F$33:F331)))</f>
        <v>-</v>
      </c>
      <c r="H331" s="2">
        <f t="shared" si="44"/>
        <v>0</v>
      </c>
      <c r="I331" s="2" t="str">
        <f>IF(ISERROR($B331),"-",IF(J330=0,0,SUM($H$33:H331)))</f>
        <v>-</v>
      </c>
      <c r="J331" s="2" t="str">
        <f t="shared" si="40"/>
        <v>-</v>
      </c>
      <c r="K331" s="2" t="str">
        <f t="shared" si="41"/>
        <v>-</v>
      </c>
      <c r="L331" s="2">
        <f t="shared" si="42"/>
        <v>0</v>
      </c>
      <c r="M331" s="2">
        <f t="shared" si="43"/>
        <v>0</v>
      </c>
      <c r="O331" s="2">
        <f>IF('Batt IN'!$N$18="Yes",BattLoan!F331*'Batt IN'!$E$7,0)</f>
        <v>0</v>
      </c>
    </row>
    <row r="332" spans="1:15" x14ac:dyDescent="0.25">
      <c r="A332">
        <v>25</v>
      </c>
      <c r="B332" t="e">
        <f t="shared" si="36"/>
        <v>#N/A</v>
      </c>
      <c r="C332" s="2" t="str">
        <f t="shared" si="37"/>
        <v>0</v>
      </c>
      <c r="E332" s="10">
        <f t="shared" si="38"/>
        <v>0</v>
      </c>
      <c r="F332" s="2">
        <f t="shared" si="39"/>
        <v>0</v>
      </c>
      <c r="G332" s="2" t="str">
        <f>IF(ISERROR(B332),"-",IF(J331=0,0,SUM($F$33:F332)))</f>
        <v>-</v>
      </c>
      <c r="H332" s="2">
        <f t="shared" si="44"/>
        <v>0</v>
      </c>
      <c r="I332" s="2" t="str">
        <f>IF(ISERROR($B332),"-",IF(J331=0,0,SUM($H$33:H332)))</f>
        <v>-</v>
      </c>
      <c r="J332" s="2" t="str">
        <f t="shared" si="40"/>
        <v>-</v>
      </c>
      <c r="K332" s="2" t="str">
        <f t="shared" si="41"/>
        <v>-</v>
      </c>
      <c r="L332" s="2">
        <f t="shared" si="42"/>
        <v>0</v>
      </c>
      <c r="M332" s="2">
        <f t="shared" si="43"/>
        <v>0</v>
      </c>
      <c r="O332" s="2">
        <f>IF('Batt IN'!$N$18="Yes",BattLoan!F332*'Batt IN'!$E$7,0)</f>
        <v>0</v>
      </c>
    </row>
    <row r="333" spans="1:15" x14ac:dyDescent="0.25">
      <c r="B333" t="e">
        <f t="shared" si="36"/>
        <v>#N/A</v>
      </c>
      <c r="C333" s="2" t="str">
        <f t="shared" si="37"/>
        <v>0</v>
      </c>
      <c r="E333" s="10">
        <f t="shared" si="38"/>
        <v>0</v>
      </c>
      <c r="F333" s="2">
        <f t="shared" si="39"/>
        <v>0</v>
      </c>
      <c r="G333" s="2" t="str">
        <f>IF(ISERROR(B333),"-",IF(J332=0,0,SUM($F$33:F333)))</f>
        <v>-</v>
      </c>
      <c r="H333" s="2">
        <f t="shared" si="44"/>
        <v>0</v>
      </c>
      <c r="I333" s="2" t="str">
        <f>IF(ISERROR($B333),"-",IF(J332=0,0,SUM($H$33:H333)))</f>
        <v>-</v>
      </c>
      <c r="J333" s="2" t="str">
        <f t="shared" si="40"/>
        <v>-</v>
      </c>
      <c r="K333" s="2" t="str">
        <f t="shared" si="41"/>
        <v>-</v>
      </c>
      <c r="L333" s="2">
        <f t="shared" si="42"/>
        <v>0</v>
      </c>
      <c r="M333" s="2">
        <f t="shared" si="43"/>
        <v>0</v>
      </c>
      <c r="O333" s="2">
        <f>IF('Batt IN'!$N$18="Yes",BattLoan!F333*'Batt IN'!$E$7,0)</f>
        <v>0</v>
      </c>
    </row>
    <row r="334" spans="1:15" x14ac:dyDescent="0.25">
      <c r="B334" t="e">
        <f t="shared" si="36"/>
        <v>#N/A</v>
      </c>
      <c r="C334" s="2" t="str">
        <f t="shared" si="37"/>
        <v>0</v>
      </c>
      <c r="E334" s="10">
        <f t="shared" si="38"/>
        <v>0</v>
      </c>
      <c r="F334" s="2">
        <f t="shared" si="39"/>
        <v>0</v>
      </c>
      <c r="G334" s="2" t="str">
        <f>IF(ISERROR(B334),"-",IF(J333=0,0,SUM($F$33:F334)))</f>
        <v>-</v>
      </c>
      <c r="H334" s="2">
        <f t="shared" si="44"/>
        <v>0</v>
      </c>
      <c r="I334" s="2" t="str">
        <f>IF(ISERROR($B334),"-",IF(J333=0,0,SUM($H$33:H334)))</f>
        <v>-</v>
      </c>
      <c r="J334" s="2" t="str">
        <f t="shared" si="40"/>
        <v>-</v>
      </c>
      <c r="K334" s="2" t="str">
        <f t="shared" si="41"/>
        <v>-</v>
      </c>
      <c r="L334" s="2">
        <f t="shared" si="42"/>
        <v>0</v>
      </c>
      <c r="M334" s="2">
        <f t="shared" si="43"/>
        <v>0</v>
      </c>
      <c r="O334" s="2">
        <f>IF('Batt IN'!$N$18="Yes",BattLoan!F334*'Batt IN'!$E$7,0)</f>
        <v>0</v>
      </c>
    </row>
    <row r="335" spans="1:15" x14ac:dyDescent="0.25">
      <c r="B335" t="e">
        <f t="shared" si="36"/>
        <v>#N/A</v>
      </c>
      <c r="C335" s="2" t="str">
        <f t="shared" si="37"/>
        <v>0</v>
      </c>
      <c r="E335" s="10">
        <f t="shared" si="38"/>
        <v>0</v>
      </c>
      <c r="F335" s="2">
        <f t="shared" si="39"/>
        <v>0</v>
      </c>
      <c r="G335" s="2" t="str">
        <f>IF(ISERROR(B335),"-",IF(J334=0,0,SUM($F$33:F335)))</f>
        <v>-</v>
      </c>
      <c r="H335" s="2">
        <f t="shared" si="44"/>
        <v>0</v>
      </c>
      <c r="I335" s="2" t="str">
        <f>IF(ISERROR($B335),"-",IF(J334=0,0,SUM($H$33:H335)))</f>
        <v>-</v>
      </c>
      <c r="J335" s="2" t="str">
        <f t="shared" si="40"/>
        <v>-</v>
      </c>
      <c r="K335" s="2" t="str">
        <f t="shared" si="41"/>
        <v>-</v>
      </c>
      <c r="L335" s="2">
        <f t="shared" si="42"/>
        <v>0</v>
      </c>
      <c r="M335" s="2">
        <f t="shared" si="43"/>
        <v>0</v>
      </c>
      <c r="O335" s="2">
        <f>IF('Batt IN'!$N$18="Yes",BattLoan!F335*'Batt IN'!$E$7,0)</f>
        <v>0</v>
      </c>
    </row>
    <row r="336" spans="1:15" x14ac:dyDescent="0.25">
      <c r="B336" t="e">
        <f t="shared" si="36"/>
        <v>#N/A</v>
      </c>
      <c r="C336" s="2" t="str">
        <f t="shared" si="37"/>
        <v>0</v>
      </c>
      <c r="E336" s="10">
        <f t="shared" si="38"/>
        <v>0</v>
      </c>
      <c r="F336" s="2">
        <f t="shared" si="39"/>
        <v>0</v>
      </c>
      <c r="G336" s="2" t="str">
        <f>IF(ISERROR(B336),"-",IF(J335=0,0,SUM($F$33:F336)))</f>
        <v>-</v>
      </c>
      <c r="H336" s="2">
        <f t="shared" si="44"/>
        <v>0</v>
      </c>
      <c r="I336" s="2" t="str">
        <f>IF(ISERROR($B336),"-",IF(J335=0,0,SUM($H$33:H336)))</f>
        <v>-</v>
      </c>
      <c r="J336" s="2" t="str">
        <f t="shared" si="40"/>
        <v>-</v>
      </c>
      <c r="K336" s="2" t="str">
        <f t="shared" si="41"/>
        <v>-</v>
      </c>
      <c r="L336" s="2">
        <f t="shared" si="42"/>
        <v>0</v>
      </c>
      <c r="M336" s="2">
        <f t="shared" si="43"/>
        <v>0</v>
      </c>
      <c r="O336" s="2">
        <f>IF('Batt IN'!$N$18="Yes",BattLoan!F336*'Batt IN'!$E$7,0)</f>
        <v>0</v>
      </c>
    </row>
    <row r="337" spans="1:15" x14ac:dyDescent="0.25">
      <c r="B337" t="e">
        <f t="shared" si="36"/>
        <v>#N/A</v>
      </c>
      <c r="C337" s="2" t="str">
        <f t="shared" si="37"/>
        <v>0</v>
      </c>
      <c r="E337" s="10">
        <f t="shared" si="38"/>
        <v>0</v>
      </c>
      <c r="F337" s="2">
        <f t="shared" si="39"/>
        <v>0</v>
      </c>
      <c r="G337" s="2" t="str">
        <f>IF(ISERROR(B337),"-",IF(J336=0,0,SUM($F$33:F337)))</f>
        <v>-</v>
      </c>
      <c r="H337" s="2">
        <f t="shared" si="44"/>
        <v>0</v>
      </c>
      <c r="I337" s="2" t="str">
        <f>IF(ISERROR($B337),"-",IF(J336=0,0,SUM($H$33:H337)))</f>
        <v>-</v>
      </c>
      <c r="J337" s="2" t="str">
        <f t="shared" si="40"/>
        <v>-</v>
      </c>
      <c r="K337" s="2" t="str">
        <f t="shared" si="41"/>
        <v>-</v>
      </c>
      <c r="L337" s="2">
        <f t="shared" si="42"/>
        <v>0</v>
      </c>
      <c r="M337" s="2">
        <f t="shared" si="43"/>
        <v>0</v>
      </c>
      <c r="O337" s="2">
        <f>IF('Batt IN'!$N$18="Yes",BattLoan!F337*'Batt IN'!$E$7,0)</f>
        <v>0</v>
      </c>
    </row>
    <row r="338" spans="1:15" x14ac:dyDescent="0.25">
      <c r="B338" t="e">
        <f t="shared" si="36"/>
        <v>#N/A</v>
      </c>
      <c r="C338" s="2" t="str">
        <f t="shared" si="37"/>
        <v>0</v>
      </c>
      <c r="E338" s="10">
        <f t="shared" si="38"/>
        <v>0</v>
      </c>
      <c r="F338" s="2">
        <f t="shared" si="39"/>
        <v>0</v>
      </c>
      <c r="G338" s="2" t="str">
        <f>IF(ISERROR(B338),"-",IF(J337=0,0,SUM($F$33:F338)))</f>
        <v>-</v>
      </c>
      <c r="H338" s="2">
        <f t="shared" si="44"/>
        <v>0</v>
      </c>
      <c r="I338" s="2" t="str">
        <f>IF(ISERROR($B338),"-",IF(J337=0,0,SUM($H$33:H338)))</f>
        <v>-</v>
      </c>
      <c r="J338" s="2" t="str">
        <f t="shared" si="40"/>
        <v>-</v>
      </c>
      <c r="K338" s="2" t="str">
        <f t="shared" si="41"/>
        <v>-</v>
      </c>
      <c r="L338" s="2">
        <f t="shared" si="42"/>
        <v>0</v>
      </c>
      <c r="M338" s="2">
        <f t="shared" si="43"/>
        <v>0</v>
      </c>
      <c r="O338" s="2">
        <f>IF('Batt IN'!$N$18="Yes",BattLoan!F338*'Batt IN'!$E$7,0)</f>
        <v>0</v>
      </c>
    </row>
    <row r="339" spans="1:15" x14ac:dyDescent="0.25">
      <c r="B339" t="e">
        <f t="shared" si="36"/>
        <v>#N/A</v>
      </c>
      <c r="C339" s="2" t="str">
        <f t="shared" si="37"/>
        <v>0</v>
      </c>
      <c r="E339" s="10">
        <f t="shared" si="38"/>
        <v>0</v>
      </c>
      <c r="F339" s="2">
        <f t="shared" si="39"/>
        <v>0</v>
      </c>
      <c r="G339" s="2" t="str">
        <f>IF(ISERROR(B339),"-",IF(J338=0,0,SUM($F$33:F339)))</f>
        <v>-</v>
      </c>
      <c r="H339" s="2">
        <f t="shared" si="44"/>
        <v>0</v>
      </c>
      <c r="I339" s="2" t="str">
        <f>IF(ISERROR($B339),"-",IF(J338=0,0,SUM($H$33:H339)))</f>
        <v>-</v>
      </c>
      <c r="J339" s="2" t="str">
        <f t="shared" si="40"/>
        <v>-</v>
      </c>
      <c r="K339" s="2" t="str">
        <f t="shared" si="41"/>
        <v>-</v>
      </c>
      <c r="L339" s="2">
        <f t="shared" si="42"/>
        <v>0</v>
      </c>
      <c r="M339" s="2">
        <f t="shared" si="43"/>
        <v>0</v>
      </c>
      <c r="O339" s="2">
        <f>IF('Batt IN'!$N$18="Yes",BattLoan!F339*'Batt IN'!$E$7,0)</f>
        <v>0</v>
      </c>
    </row>
    <row r="340" spans="1:15" x14ac:dyDescent="0.25">
      <c r="B340" t="e">
        <f t="shared" si="36"/>
        <v>#N/A</v>
      </c>
      <c r="C340" s="2" t="str">
        <f t="shared" si="37"/>
        <v>0</v>
      </c>
      <c r="E340" s="10">
        <f t="shared" si="38"/>
        <v>0</v>
      </c>
      <c r="F340" s="2">
        <f t="shared" si="39"/>
        <v>0</v>
      </c>
      <c r="G340" s="2" t="str">
        <f>IF(ISERROR(B340),"-",IF(J339=0,0,SUM($F$33:F340)))</f>
        <v>-</v>
      </c>
      <c r="H340" s="2">
        <f t="shared" si="44"/>
        <v>0</v>
      </c>
      <c r="I340" s="2" t="str">
        <f>IF(ISERROR($B340),"-",IF(J339=0,0,SUM($H$33:H340)))</f>
        <v>-</v>
      </c>
      <c r="J340" s="2" t="str">
        <f t="shared" si="40"/>
        <v>-</v>
      </c>
      <c r="K340" s="2" t="str">
        <f t="shared" si="41"/>
        <v>-</v>
      </c>
      <c r="L340" s="2">
        <f t="shared" si="42"/>
        <v>0</v>
      </c>
      <c r="M340" s="2">
        <f t="shared" si="43"/>
        <v>0</v>
      </c>
      <c r="O340" s="2">
        <f>IF('Batt IN'!$N$18="Yes",BattLoan!F340*'Batt IN'!$E$7,0)</f>
        <v>0</v>
      </c>
    </row>
    <row r="341" spans="1:15" x14ac:dyDescent="0.25">
      <c r="B341" t="e">
        <f t="shared" si="36"/>
        <v>#N/A</v>
      </c>
      <c r="C341" s="2" t="str">
        <f t="shared" si="37"/>
        <v>0</v>
      </c>
      <c r="E341" s="10">
        <f t="shared" si="38"/>
        <v>0</v>
      </c>
      <c r="F341" s="2">
        <f t="shared" si="39"/>
        <v>0</v>
      </c>
      <c r="G341" s="2" t="str">
        <f>IF(ISERROR(B341),"-",IF(J340=0,0,SUM($F$33:F341)))</f>
        <v>-</v>
      </c>
      <c r="H341" s="2">
        <f t="shared" si="44"/>
        <v>0</v>
      </c>
      <c r="I341" s="2" t="str">
        <f>IF(ISERROR($B341),"-",IF(J340=0,0,SUM($H$33:H341)))</f>
        <v>-</v>
      </c>
      <c r="J341" s="2" t="str">
        <f t="shared" si="40"/>
        <v>-</v>
      </c>
      <c r="K341" s="2" t="str">
        <f t="shared" si="41"/>
        <v>-</v>
      </c>
      <c r="L341" s="2">
        <f t="shared" si="42"/>
        <v>0</v>
      </c>
      <c r="M341" s="2">
        <f t="shared" si="43"/>
        <v>0</v>
      </c>
      <c r="O341" s="2">
        <f>IF('Batt IN'!$N$18="Yes",BattLoan!F341*'Batt IN'!$E$7,0)</f>
        <v>0</v>
      </c>
    </row>
    <row r="342" spans="1:15" x14ac:dyDescent="0.25">
      <c r="B342" t="e">
        <f t="shared" si="36"/>
        <v>#N/A</v>
      </c>
      <c r="C342" s="2" t="str">
        <f t="shared" si="37"/>
        <v>0</v>
      </c>
      <c r="E342" s="10">
        <f t="shared" si="38"/>
        <v>0</v>
      </c>
      <c r="F342" s="2">
        <f t="shared" si="39"/>
        <v>0</v>
      </c>
      <c r="G342" s="2" t="str">
        <f>IF(ISERROR(B342),"-",IF(J341=0,0,SUM($F$33:F342)))</f>
        <v>-</v>
      </c>
      <c r="H342" s="2">
        <f t="shared" si="44"/>
        <v>0</v>
      </c>
      <c r="I342" s="2" t="str">
        <f>IF(ISERROR($B342),"-",IF(J341=0,0,SUM($H$33:H342)))</f>
        <v>-</v>
      </c>
      <c r="J342" s="2" t="str">
        <f t="shared" si="40"/>
        <v>-</v>
      </c>
      <c r="K342" s="2" t="str">
        <f t="shared" si="41"/>
        <v>-</v>
      </c>
      <c r="L342" s="2">
        <f t="shared" si="42"/>
        <v>0</v>
      </c>
      <c r="M342" s="2">
        <f t="shared" si="43"/>
        <v>0</v>
      </c>
      <c r="O342" s="2">
        <f>IF('Batt IN'!$N$18="Yes",BattLoan!F342*'Batt IN'!$E$7,0)</f>
        <v>0</v>
      </c>
    </row>
    <row r="343" spans="1:15" x14ac:dyDescent="0.25">
      <c r="B343" t="e">
        <f t="shared" si="36"/>
        <v>#N/A</v>
      </c>
      <c r="C343" s="2" t="str">
        <f t="shared" si="37"/>
        <v>0</v>
      </c>
      <c r="E343" s="10">
        <f t="shared" si="38"/>
        <v>0</v>
      </c>
      <c r="F343" s="2">
        <f t="shared" si="39"/>
        <v>0</v>
      </c>
      <c r="G343" s="2" t="str">
        <f>IF(ISERROR(B343),"-",IF(J342=0,0,SUM($F$33:F343)))</f>
        <v>-</v>
      </c>
      <c r="H343" s="2">
        <f t="shared" si="44"/>
        <v>0</v>
      </c>
      <c r="I343" s="2" t="str">
        <f>IF(ISERROR($B343),"-",IF(J342=0,0,SUM($H$33:H343)))</f>
        <v>-</v>
      </c>
      <c r="J343" s="2" t="str">
        <f t="shared" si="40"/>
        <v>-</v>
      </c>
      <c r="K343" s="2" t="str">
        <f t="shared" si="41"/>
        <v>-</v>
      </c>
      <c r="L343" s="2">
        <f t="shared" si="42"/>
        <v>0</v>
      </c>
      <c r="M343" s="2">
        <f t="shared" si="43"/>
        <v>0</v>
      </c>
      <c r="O343" s="2">
        <f>IF('Batt IN'!$N$18="Yes",BattLoan!F343*'Batt IN'!$E$7,0)</f>
        <v>0</v>
      </c>
    </row>
    <row r="344" spans="1:15" x14ac:dyDescent="0.25">
      <c r="A344">
        <v>26</v>
      </c>
      <c r="B344" t="e">
        <f t="shared" si="36"/>
        <v>#N/A</v>
      </c>
      <c r="C344" s="2" t="str">
        <f t="shared" si="37"/>
        <v>0</v>
      </c>
      <c r="E344" s="10">
        <f t="shared" si="38"/>
        <v>0</v>
      </c>
      <c r="F344" s="2">
        <f t="shared" si="39"/>
        <v>0</v>
      </c>
      <c r="G344" s="2" t="str">
        <f>IF(ISERROR(B344),"-",IF(J343=0,0,SUM($F$33:F344)))</f>
        <v>-</v>
      </c>
      <c r="H344" s="2">
        <f t="shared" si="44"/>
        <v>0</v>
      </c>
      <c r="I344" s="2" t="str">
        <f>IF(ISERROR($B344),"-",IF(J343=0,0,SUM($H$33:H344)))</f>
        <v>-</v>
      </c>
      <c r="J344" s="2" t="str">
        <f t="shared" si="40"/>
        <v>-</v>
      </c>
      <c r="K344" s="2" t="str">
        <f t="shared" si="41"/>
        <v>-</v>
      </c>
      <c r="L344" s="2">
        <f t="shared" si="42"/>
        <v>0</v>
      </c>
      <c r="M344" s="2">
        <f t="shared" si="43"/>
        <v>0</v>
      </c>
      <c r="O344" s="2">
        <f>IF('Batt IN'!$N$18="Yes",BattLoan!F344*'Batt IN'!$E$7,0)</f>
        <v>0</v>
      </c>
    </row>
    <row r="345" spans="1:15" x14ac:dyDescent="0.25">
      <c r="B345" t="e">
        <f t="shared" si="36"/>
        <v>#N/A</v>
      </c>
      <c r="C345" s="2" t="str">
        <f t="shared" si="37"/>
        <v>0</v>
      </c>
      <c r="E345" s="10">
        <f t="shared" si="38"/>
        <v>0</v>
      </c>
      <c r="F345" s="2">
        <f t="shared" si="39"/>
        <v>0</v>
      </c>
      <c r="G345" s="2" t="str">
        <f>IF(ISERROR(B345),"-",IF(J344=0,0,SUM($F$33:F345)))</f>
        <v>-</v>
      </c>
      <c r="H345" s="2">
        <f t="shared" si="44"/>
        <v>0</v>
      </c>
      <c r="I345" s="2" t="str">
        <f>IF(ISERROR($B345),"-",IF(J344=0,0,SUM($H$33:H345)))</f>
        <v>-</v>
      </c>
      <c r="J345" s="2" t="str">
        <f t="shared" si="40"/>
        <v>-</v>
      </c>
      <c r="K345" s="2" t="str">
        <f t="shared" si="41"/>
        <v>-</v>
      </c>
      <c r="L345" s="2">
        <f t="shared" si="42"/>
        <v>0</v>
      </c>
      <c r="M345" s="2">
        <f t="shared" si="43"/>
        <v>0</v>
      </c>
      <c r="O345" s="2">
        <f>IF('Batt IN'!$N$18="Yes",BattLoan!F345*'Batt IN'!$E$7,0)</f>
        <v>0</v>
      </c>
    </row>
    <row r="346" spans="1:15" x14ac:dyDescent="0.25">
      <c r="B346" t="e">
        <f t="shared" si="36"/>
        <v>#N/A</v>
      </c>
      <c r="C346" s="2" t="str">
        <f t="shared" si="37"/>
        <v>0</v>
      </c>
      <c r="E346" s="10">
        <f t="shared" si="38"/>
        <v>0</v>
      </c>
      <c r="F346" s="2">
        <f t="shared" si="39"/>
        <v>0</v>
      </c>
      <c r="G346" s="2" t="str">
        <f>IF(ISERROR(B346),"-",IF(J345=0,0,SUM($F$33:F346)))</f>
        <v>-</v>
      </c>
      <c r="H346" s="2">
        <f t="shared" si="44"/>
        <v>0</v>
      </c>
      <c r="I346" s="2" t="str">
        <f>IF(ISERROR($B346),"-",IF(J345=0,0,SUM($H$33:H346)))</f>
        <v>-</v>
      </c>
      <c r="J346" s="2" t="str">
        <f t="shared" si="40"/>
        <v>-</v>
      </c>
      <c r="K346" s="2" t="str">
        <f t="shared" si="41"/>
        <v>-</v>
      </c>
      <c r="L346" s="2">
        <f t="shared" si="42"/>
        <v>0</v>
      </c>
      <c r="M346" s="2">
        <f t="shared" si="43"/>
        <v>0</v>
      </c>
      <c r="O346" s="2">
        <f>IF('Batt IN'!$N$18="Yes",BattLoan!F346*'Batt IN'!$E$7,0)</f>
        <v>0</v>
      </c>
    </row>
    <row r="347" spans="1:15" x14ac:dyDescent="0.25">
      <c r="B347" t="e">
        <f t="shared" si="36"/>
        <v>#N/A</v>
      </c>
      <c r="C347" s="2" t="str">
        <f t="shared" si="37"/>
        <v>0</v>
      </c>
      <c r="E347" s="10">
        <f t="shared" si="38"/>
        <v>0</v>
      </c>
      <c r="F347" s="2">
        <f t="shared" si="39"/>
        <v>0</v>
      </c>
      <c r="G347" s="2" t="str">
        <f>IF(ISERROR(B347),"-",IF(J346=0,0,SUM($F$33:F347)))</f>
        <v>-</v>
      </c>
      <c r="H347" s="2">
        <f t="shared" si="44"/>
        <v>0</v>
      </c>
      <c r="I347" s="2" t="str">
        <f>IF(ISERROR($B347),"-",IF(J346=0,0,SUM($H$33:H347)))</f>
        <v>-</v>
      </c>
      <c r="J347" s="2" t="str">
        <f t="shared" si="40"/>
        <v>-</v>
      </c>
      <c r="K347" s="2" t="str">
        <f t="shared" si="41"/>
        <v>-</v>
      </c>
      <c r="L347" s="2">
        <f t="shared" si="42"/>
        <v>0</v>
      </c>
      <c r="M347" s="2">
        <f t="shared" si="43"/>
        <v>0</v>
      </c>
      <c r="O347" s="2">
        <f>IF('Batt IN'!$N$18="Yes",BattLoan!F347*'Batt IN'!$E$7,0)</f>
        <v>0</v>
      </c>
    </row>
    <row r="348" spans="1:15" x14ac:dyDescent="0.25">
      <c r="B348" t="e">
        <f t="shared" si="36"/>
        <v>#N/A</v>
      </c>
      <c r="C348" s="2" t="str">
        <f t="shared" si="37"/>
        <v>0</v>
      </c>
      <c r="E348" s="10">
        <f t="shared" si="38"/>
        <v>0</v>
      </c>
      <c r="F348" s="2">
        <f t="shared" si="39"/>
        <v>0</v>
      </c>
      <c r="G348" s="2" t="str">
        <f>IF(ISERROR(B348),"-",IF(J347=0,0,SUM($F$33:F348)))</f>
        <v>-</v>
      </c>
      <c r="H348" s="2">
        <f t="shared" si="44"/>
        <v>0</v>
      </c>
      <c r="I348" s="2" t="str">
        <f>IF(ISERROR($B348),"-",IF(J347=0,0,SUM($H$33:H348)))</f>
        <v>-</v>
      </c>
      <c r="J348" s="2" t="str">
        <f t="shared" si="40"/>
        <v>-</v>
      </c>
      <c r="K348" s="2" t="str">
        <f t="shared" si="41"/>
        <v>-</v>
      </c>
      <c r="L348" s="2">
        <f t="shared" si="42"/>
        <v>0</v>
      </c>
      <c r="M348" s="2">
        <f t="shared" si="43"/>
        <v>0</v>
      </c>
      <c r="O348" s="2">
        <f>IF('Batt IN'!$N$18="Yes",BattLoan!F348*'Batt IN'!$E$7,0)</f>
        <v>0</v>
      </c>
    </row>
    <row r="349" spans="1:15" x14ac:dyDescent="0.25">
      <c r="B349" t="e">
        <f t="shared" si="36"/>
        <v>#N/A</v>
      </c>
      <c r="C349" s="2" t="str">
        <f t="shared" si="37"/>
        <v>0</v>
      </c>
      <c r="E349" s="10">
        <f t="shared" si="38"/>
        <v>0</v>
      </c>
      <c r="F349" s="2">
        <f t="shared" si="39"/>
        <v>0</v>
      </c>
      <c r="G349" s="2" t="str">
        <f>IF(ISERROR(B349),"-",IF(J348=0,0,SUM($F$33:F349)))</f>
        <v>-</v>
      </c>
      <c r="H349" s="2">
        <f t="shared" si="44"/>
        <v>0</v>
      </c>
      <c r="I349" s="2" t="str">
        <f>IF(ISERROR($B349),"-",IF(J348=0,0,SUM($H$33:H349)))</f>
        <v>-</v>
      </c>
      <c r="J349" s="2" t="str">
        <f t="shared" si="40"/>
        <v>-</v>
      </c>
      <c r="K349" s="2" t="str">
        <f t="shared" si="41"/>
        <v>-</v>
      </c>
      <c r="L349" s="2">
        <f t="shared" si="42"/>
        <v>0</v>
      </c>
      <c r="M349" s="2">
        <f t="shared" si="43"/>
        <v>0</v>
      </c>
      <c r="O349" s="2">
        <f>IF('Batt IN'!$N$18="Yes",BattLoan!F349*'Batt IN'!$E$7,0)</f>
        <v>0</v>
      </c>
    </row>
    <row r="350" spans="1:15" x14ac:dyDescent="0.25">
      <c r="B350" t="e">
        <f t="shared" si="36"/>
        <v>#N/A</v>
      </c>
      <c r="C350" s="2" t="str">
        <f t="shared" si="37"/>
        <v>0</v>
      </c>
      <c r="E350" s="10">
        <f t="shared" si="38"/>
        <v>0</v>
      </c>
      <c r="F350" s="2">
        <f t="shared" si="39"/>
        <v>0</v>
      </c>
      <c r="G350" s="2" t="str">
        <f>IF(ISERROR(B350),"-",IF(J349=0,0,SUM($F$33:F350)))</f>
        <v>-</v>
      </c>
      <c r="H350" s="2">
        <f t="shared" si="44"/>
        <v>0</v>
      </c>
      <c r="I350" s="2" t="str">
        <f>IF(ISERROR($B350),"-",IF(J349=0,0,SUM($H$33:H350)))</f>
        <v>-</v>
      </c>
      <c r="J350" s="2" t="str">
        <f t="shared" si="40"/>
        <v>-</v>
      </c>
      <c r="K350" s="2" t="str">
        <f t="shared" si="41"/>
        <v>-</v>
      </c>
      <c r="L350" s="2">
        <f t="shared" si="42"/>
        <v>0</v>
      </c>
      <c r="M350" s="2">
        <f t="shared" si="43"/>
        <v>0</v>
      </c>
      <c r="O350" s="2">
        <f>IF('Batt IN'!$N$18="Yes",BattLoan!F350*'Batt IN'!$E$7,0)</f>
        <v>0</v>
      </c>
    </row>
    <row r="351" spans="1:15" x14ac:dyDescent="0.25">
      <c r="B351" t="e">
        <f t="shared" si="36"/>
        <v>#N/A</v>
      </c>
      <c r="C351" s="2" t="str">
        <f t="shared" si="37"/>
        <v>0</v>
      </c>
      <c r="E351" s="10">
        <f t="shared" si="38"/>
        <v>0</v>
      </c>
      <c r="F351" s="2">
        <f t="shared" si="39"/>
        <v>0</v>
      </c>
      <c r="G351" s="2" t="str">
        <f>IF(ISERROR(B351),"-",IF(J350=0,0,SUM($F$33:F351)))</f>
        <v>-</v>
      </c>
      <c r="H351" s="2">
        <f t="shared" si="44"/>
        <v>0</v>
      </c>
      <c r="I351" s="2" t="str">
        <f>IF(ISERROR($B351),"-",IF(J350=0,0,SUM($H$33:H351)))</f>
        <v>-</v>
      </c>
      <c r="J351" s="2" t="str">
        <f t="shared" si="40"/>
        <v>-</v>
      </c>
      <c r="K351" s="2" t="str">
        <f t="shared" si="41"/>
        <v>-</v>
      </c>
      <c r="L351" s="2">
        <f t="shared" si="42"/>
        <v>0</v>
      </c>
      <c r="M351" s="2">
        <f t="shared" si="43"/>
        <v>0</v>
      </c>
      <c r="O351" s="2">
        <f>IF('Batt IN'!$N$18="Yes",BattLoan!F351*'Batt IN'!$E$7,0)</f>
        <v>0</v>
      </c>
    </row>
    <row r="352" spans="1:15" x14ac:dyDescent="0.25">
      <c r="B352" t="e">
        <f t="shared" si="36"/>
        <v>#N/A</v>
      </c>
      <c r="C352" s="2" t="str">
        <f t="shared" si="37"/>
        <v>0</v>
      </c>
      <c r="E352" s="10">
        <f t="shared" si="38"/>
        <v>0</v>
      </c>
      <c r="F352" s="2">
        <f t="shared" si="39"/>
        <v>0</v>
      </c>
      <c r="G352" s="2" t="str">
        <f>IF(ISERROR(B352),"-",IF(J351=0,0,SUM($F$33:F352)))</f>
        <v>-</v>
      </c>
      <c r="H352" s="2">
        <f t="shared" si="44"/>
        <v>0</v>
      </c>
      <c r="I352" s="2" t="str">
        <f>IF(ISERROR($B352),"-",IF(J351=0,0,SUM($H$33:H352)))</f>
        <v>-</v>
      </c>
      <c r="J352" s="2" t="str">
        <f t="shared" si="40"/>
        <v>-</v>
      </c>
      <c r="K352" s="2" t="str">
        <f t="shared" si="41"/>
        <v>-</v>
      </c>
      <c r="L352" s="2">
        <f t="shared" si="42"/>
        <v>0</v>
      </c>
      <c r="M352" s="2">
        <f t="shared" si="43"/>
        <v>0</v>
      </c>
      <c r="O352" s="2">
        <f>IF('Batt IN'!$N$18="Yes",BattLoan!F352*'Batt IN'!$E$7,0)</f>
        <v>0</v>
      </c>
    </row>
    <row r="353" spans="1:15" x14ac:dyDescent="0.25">
      <c r="B353" t="e">
        <f t="shared" ref="B353:B416" si="45">IF(B352&gt;=$E$9,NA(),B352+1)</f>
        <v>#N/A</v>
      </c>
      <c r="C353" s="2" t="str">
        <f t="shared" ref="C353:C392" si="46">IF(ISERROR(B353),"0",IF(J352=0,0,$E$11))</f>
        <v>0</v>
      </c>
      <c r="E353" s="10">
        <f t="shared" ref="E353:E392" si="47">C353+D353</f>
        <v>0</v>
      </c>
      <c r="F353" s="2">
        <f t="shared" ref="F353:F392" si="48">IF(ISERROR(B353),0,$E$8*J352)</f>
        <v>0</v>
      </c>
      <c r="G353" s="2" t="str">
        <f>IF(ISERROR(B353),"-",IF(J352=0,0,SUM($F$33:F353)))</f>
        <v>-</v>
      </c>
      <c r="H353" s="2">
        <f t="shared" si="44"/>
        <v>0</v>
      </c>
      <c r="I353" s="2" t="str">
        <f>IF(ISERROR($B353),"-",IF(J352=0,0,SUM($H$33:H353)))</f>
        <v>-</v>
      </c>
      <c r="J353" s="2" t="str">
        <f t="shared" ref="J353:J392" si="49">IF(ISERROR($B353),"-",IF(J352-H353&lt;0,0,J352-H353))</f>
        <v>-</v>
      </c>
      <c r="K353" s="2" t="str">
        <f t="shared" ref="K353:K392" si="50">IF(ISERROR(B353),"-",J352-H353)</f>
        <v>-</v>
      </c>
      <c r="L353" s="2">
        <f t="shared" ref="L353:L392" si="51">IF(K353&gt;=0,E353,E353+K353)</f>
        <v>0</v>
      </c>
      <c r="M353" s="2">
        <f t="shared" ref="M353:M392" si="52">-IF(K353&lt;0,K353,0)</f>
        <v>0</v>
      </c>
      <c r="O353" s="2">
        <f>IF('Batt IN'!$N$18="Yes",BattLoan!F353*'Batt IN'!$E$7,0)</f>
        <v>0</v>
      </c>
    </row>
    <row r="354" spans="1:15" x14ac:dyDescent="0.25">
      <c r="B354" t="e">
        <f t="shared" si="45"/>
        <v>#N/A</v>
      </c>
      <c r="C354" s="2" t="str">
        <f t="shared" si="46"/>
        <v>0</v>
      </c>
      <c r="E354" s="10">
        <f t="shared" si="47"/>
        <v>0</v>
      </c>
      <c r="F354" s="2">
        <f t="shared" si="48"/>
        <v>0</v>
      </c>
      <c r="G354" s="2" t="str">
        <f>IF(ISERROR(B354),"-",IF(J353=0,0,SUM($F$33:F354)))</f>
        <v>-</v>
      </c>
      <c r="H354" s="2">
        <f t="shared" ref="H354:H392" si="53">IF(ISERROR($B354),0,IF(J353=0,0,E354-F354))</f>
        <v>0</v>
      </c>
      <c r="I354" s="2" t="str">
        <f>IF(ISERROR($B354),"-",IF(J353=0,0,SUM($H$33:H354)))</f>
        <v>-</v>
      </c>
      <c r="J354" s="2" t="str">
        <f t="shared" si="49"/>
        <v>-</v>
      </c>
      <c r="K354" s="2" t="str">
        <f t="shared" si="50"/>
        <v>-</v>
      </c>
      <c r="L354" s="2">
        <f t="shared" si="51"/>
        <v>0</v>
      </c>
      <c r="M354" s="2">
        <f t="shared" si="52"/>
        <v>0</v>
      </c>
      <c r="O354" s="2">
        <f>IF('Batt IN'!$N$18="Yes",BattLoan!F354*'Batt IN'!$E$7,0)</f>
        <v>0</v>
      </c>
    </row>
    <row r="355" spans="1:15" x14ac:dyDescent="0.25">
      <c r="B355" t="e">
        <f t="shared" si="45"/>
        <v>#N/A</v>
      </c>
      <c r="C355" s="2" t="str">
        <f t="shared" si="46"/>
        <v>0</v>
      </c>
      <c r="E355" s="10">
        <f t="shared" si="47"/>
        <v>0</v>
      </c>
      <c r="F355" s="2">
        <f t="shared" si="48"/>
        <v>0</v>
      </c>
      <c r="G355" s="2" t="str">
        <f>IF(ISERROR(B355),"-",IF(J354=0,0,SUM($F$33:F355)))</f>
        <v>-</v>
      </c>
      <c r="H355" s="2">
        <f t="shared" si="53"/>
        <v>0</v>
      </c>
      <c r="I355" s="2" t="str">
        <f>IF(ISERROR($B355),"-",IF(J354=0,0,SUM($H$33:H355)))</f>
        <v>-</v>
      </c>
      <c r="J355" s="2" t="str">
        <f t="shared" si="49"/>
        <v>-</v>
      </c>
      <c r="K355" s="2" t="str">
        <f t="shared" si="50"/>
        <v>-</v>
      </c>
      <c r="L355" s="2">
        <f t="shared" si="51"/>
        <v>0</v>
      </c>
      <c r="M355" s="2">
        <f t="shared" si="52"/>
        <v>0</v>
      </c>
      <c r="O355" s="2">
        <f>IF('Batt IN'!$N$18="Yes",BattLoan!F355*'Batt IN'!$E$7,0)</f>
        <v>0</v>
      </c>
    </row>
    <row r="356" spans="1:15" x14ac:dyDescent="0.25">
      <c r="A356">
        <v>27</v>
      </c>
      <c r="B356" t="e">
        <f t="shared" si="45"/>
        <v>#N/A</v>
      </c>
      <c r="C356" s="2" t="str">
        <f t="shared" si="46"/>
        <v>0</v>
      </c>
      <c r="E356" s="10">
        <f t="shared" si="47"/>
        <v>0</v>
      </c>
      <c r="F356" s="2">
        <f t="shared" si="48"/>
        <v>0</v>
      </c>
      <c r="G356" s="2" t="str">
        <f>IF(ISERROR(B356),"-",IF(J355=0,0,SUM($F$33:F356)))</f>
        <v>-</v>
      </c>
      <c r="H356" s="2">
        <f t="shared" si="53"/>
        <v>0</v>
      </c>
      <c r="I356" s="2" t="str">
        <f>IF(ISERROR($B356),"-",IF(J355=0,0,SUM($H$33:H356)))</f>
        <v>-</v>
      </c>
      <c r="J356" s="2" t="str">
        <f t="shared" si="49"/>
        <v>-</v>
      </c>
      <c r="K356" s="2" t="str">
        <f t="shared" si="50"/>
        <v>-</v>
      </c>
      <c r="L356" s="2">
        <f t="shared" si="51"/>
        <v>0</v>
      </c>
      <c r="M356" s="2">
        <f t="shared" si="52"/>
        <v>0</v>
      </c>
      <c r="O356" s="2">
        <f>IF('Batt IN'!$N$18="Yes",BattLoan!F356*'Batt IN'!$E$7,0)</f>
        <v>0</v>
      </c>
    </row>
    <row r="357" spans="1:15" x14ac:dyDescent="0.25">
      <c r="B357" t="e">
        <f t="shared" si="45"/>
        <v>#N/A</v>
      </c>
      <c r="C357" s="2" t="str">
        <f t="shared" si="46"/>
        <v>0</v>
      </c>
      <c r="E357" s="10">
        <f t="shared" si="47"/>
        <v>0</v>
      </c>
      <c r="F357" s="2">
        <f t="shared" si="48"/>
        <v>0</v>
      </c>
      <c r="G357" s="2" t="str">
        <f>IF(ISERROR(B357),"-",IF(J356=0,0,SUM($F$33:F357)))</f>
        <v>-</v>
      </c>
      <c r="H357" s="2">
        <f t="shared" si="53"/>
        <v>0</v>
      </c>
      <c r="I357" s="2" t="str">
        <f>IF(ISERROR($B357),"-",IF(J356=0,0,SUM($H$33:H357)))</f>
        <v>-</v>
      </c>
      <c r="J357" s="2" t="str">
        <f t="shared" si="49"/>
        <v>-</v>
      </c>
      <c r="K357" s="2" t="str">
        <f t="shared" si="50"/>
        <v>-</v>
      </c>
      <c r="L357" s="2">
        <f t="shared" si="51"/>
        <v>0</v>
      </c>
      <c r="M357" s="2">
        <f t="shared" si="52"/>
        <v>0</v>
      </c>
      <c r="O357" s="2">
        <f>IF('Batt IN'!$N$18="Yes",BattLoan!F357*'Batt IN'!$E$7,0)</f>
        <v>0</v>
      </c>
    </row>
    <row r="358" spans="1:15" x14ac:dyDescent="0.25">
      <c r="B358" t="e">
        <f t="shared" si="45"/>
        <v>#N/A</v>
      </c>
      <c r="C358" s="2" t="str">
        <f t="shared" si="46"/>
        <v>0</v>
      </c>
      <c r="E358" s="10">
        <f t="shared" si="47"/>
        <v>0</v>
      </c>
      <c r="F358" s="2">
        <f t="shared" si="48"/>
        <v>0</v>
      </c>
      <c r="G358" s="2" t="str">
        <f>IF(ISERROR(B358),"-",IF(J357=0,0,SUM($F$33:F358)))</f>
        <v>-</v>
      </c>
      <c r="H358" s="2">
        <f t="shared" si="53"/>
        <v>0</v>
      </c>
      <c r="I358" s="2" t="str">
        <f>IF(ISERROR($B358),"-",IF(J357=0,0,SUM($H$33:H358)))</f>
        <v>-</v>
      </c>
      <c r="J358" s="2" t="str">
        <f t="shared" si="49"/>
        <v>-</v>
      </c>
      <c r="K358" s="2" t="str">
        <f t="shared" si="50"/>
        <v>-</v>
      </c>
      <c r="L358" s="2">
        <f t="shared" si="51"/>
        <v>0</v>
      </c>
      <c r="M358" s="2">
        <f t="shared" si="52"/>
        <v>0</v>
      </c>
      <c r="O358" s="2">
        <f>IF('Batt IN'!$N$18="Yes",BattLoan!F358*'Batt IN'!$E$7,0)</f>
        <v>0</v>
      </c>
    </row>
    <row r="359" spans="1:15" x14ac:dyDescent="0.25">
      <c r="B359" t="e">
        <f t="shared" si="45"/>
        <v>#N/A</v>
      </c>
      <c r="C359" s="2" t="str">
        <f t="shared" si="46"/>
        <v>0</v>
      </c>
      <c r="E359" s="10">
        <f t="shared" si="47"/>
        <v>0</v>
      </c>
      <c r="F359" s="2">
        <f t="shared" si="48"/>
        <v>0</v>
      </c>
      <c r="G359" s="2" t="str">
        <f>IF(ISERROR(B359),"-",IF(J358=0,0,SUM($F$33:F359)))</f>
        <v>-</v>
      </c>
      <c r="H359" s="2">
        <f t="shared" si="53"/>
        <v>0</v>
      </c>
      <c r="I359" s="2" t="str">
        <f>IF(ISERROR($B359),"-",IF(J358=0,0,SUM($H$33:H359)))</f>
        <v>-</v>
      </c>
      <c r="J359" s="2" t="str">
        <f t="shared" si="49"/>
        <v>-</v>
      </c>
      <c r="K359" s="2" t="str">
        <f t="shared" si="50"/>
        <v>-</v>
      </c>
      <c r="L359" s="2">
        <f t="shared" si="51"/>
        <v>0</v>
      </c>
      <c r="M359" s="2">
        <f t="shared" si="52"/>
        <v>0</v>
      </c>
      <c r="O359" s="2">
        <f>IF('Batt IN'!$N$18="Yes",BattLoan!F359*'Batt IN'!$E$7,0)</f>
        <v>0</v>
      </c>
    </row>
    <row r="360" spans="1:15" x14ac:dyDescent="0.25">
      <c r="B360" t="e">
        <f t="shared" si="45"/>
        <v>#N/A</v>
      </c>
      <c r="C360" s="2" t="str">
        <f t="shared" si="46"/>
        <v>0</v>
      </c>
      <c r="E360" s="10">
        <f t="shared" si="47"/>
        <v>0</v>
      </c>
      <c r="F360" s="2">
        <f t="shared" si="48"/>
        <v>0</v>
      </c>
      <c r="G360" s="2" t="str">
        <f>IF(ISERROR(B360),"-",IF(J359=0,0,SUM($F$33:F360)))</f>
        <v>-</v>
      </c>
      <c r="H360" s="2">
        <f t="shared" si="53"/>
        <v>0</v>
      </c>
      <c r="I360" s="2" t="str">
        <f>IF(ISERROR($B360),"-",IF(J359=0,0,SUM($H$33:H360)))</f>
        <v>-</v>
      </c>
      <c r="J360" s="2" t="str">
        <f t="shared" si="49"/>
        <v>-</v>
      </c>
      <c r="K360" s="2" t="str">
        <f t="shared" si="50"/>
        <v>-</v>
      </c>
      <c r="L360" s="2">
        <f t="shared" si="51"/>
        <v>0</v>
      </c>
      <c r="M360" s="2">
        <f t="shared" si="52"/>
        <v>0</v>
      </c>
      <c r="O360" s="2">
        <f>IF('Batt IN'!$N$18="Yes",BattLoan!F360*'Batt IN'!$E$7,0)</f>
        <v>0</v>
      </c>
    </row>
    <row r="361" spans="1:15" x14ac:dyDescent="0.25">
      <c r="B361" t="e">
        <f t="shared" si="45"/>
        <v>#N/A</v>
      </c>
      <c r="C361" s="2" t="str">
        <f t="shared" si="46"/>
        <v>0</v>
      </c>
      <c r="E361" s="10">
        <f t="shared" si="47"/>
        <v>0</v>
      </c>
      <c r="F361" s="2">
        <f t="shared" si="48"/>
        <v>0</v>
      </c>
      <c r="G361" s="2" t="str">
        <f>IF(ISERROR(B361),"-",IF(J360=0,0,SUM($F$33:F361)))</f>
        <v>-</v>
      </c>
      <c r="H361" s="2">
        <f t="shared" si="53"/>
        <v>0</v>
      </c>
      <c r="I361" s="2" t="str">
        <f>IF(ISERROR($B361),"-",IF(J360=0,0,SUM($H$33:H361)))</f>
        <v>-</v>
      </c>
      <c r="J361" s="2" t="str">
        <f t="shared" si="49"/>
        <v>-</v>
      </c>
      <c r="K361" s="2" t="str">
        <f t="shared" si="50"/>
        <v>-</v>
      </c>
      <c r="L361" s="2">
        <f t="shared" si="51"/>
        <v>0</v>
      </c>
      <c r="M361" s="2">
        <f t="shared" si="52"/>
        <v>0</v>
      </c>
      <c r="O361" s="2">
        <f>IF('Batt IN'!$N$18="Yes",BattLoan!F361*'Batt IN'!$E$7,0)</f>
        <v>0</v>
      </c>
    </row>
    <row r="362" spans="1:15" x14ac:dyDescent="0.25">
      <c r="B362" t="e">
        <f t="shared" si="45"/>
        <v>#N/A</v>
      </c>
      <c r="C362" s="2" t="str">
        <f t="shared" si="46"/>
        <v>0</v>
      </c>
      <c r="E362" s="10">
        <f t="shared" si="47"/>
        <v>0</v>
      </c>
      <c r="F362" s="2">
        <f t="shared" si="48"/>
        <v>0</v>
      </c>
      <c r="G362" s="2" t="str">
        <f>IF(ISERROR(B362),"-",IF(J361=0,0,SUM($F$33:F362)))</f>
        <v>-</v>
      </c>
      <c r="H362" s="2">
        <f t="shared" si="53"/>
        <v>0</v>
      </c>
      <c r="I362" s="2" t="str">
        <f>IF(ISERROR($B362),"-",IF(J361=0,0,SUM($H$33:H362)))</f>
        <v>-</v>
      </c>
      <c r="J362" s="2" t="str">
        <f t="shared" si="49"/>
        <v>-</v>
      </c>
      <c r="K362" s="2" t="str">
        <f t="shared" si="50"/>
        <v>-</v>
      </c>
      <c r="L362" s="2">
        <f t="shared" si="51"/>
        <v>0</v>
      </c>
      <c r="M362" s="2">
        <f t="shared" si="52"/>
        <v>0</v>
      </c>
      <c r="O362" s="2">
        <f>IF('Batt IN'!$N$18="Yes",BattLoan!F362*'Batt IN'!$E$7,0)</f>
        <v>0</v>
      </c>
    </row>
    <row r="363" spans="1:15" x14ac:dyDescent="0.25">
      <c r="B363" t="e">
        <f t="shared" si="45"/>
        <v>#N/A</v>
      </c>
      <c r="C363" s="2" t="str">
        <f t="shared" si="46"/>
        <v>0</v>
      </c>
      <c r="E363" s="10">
        <f t="shared" si="47"/>
        <v>0</v>
      </c>
      <c r="F363" s="2">
        <f t="shared" si="48"/>
        <v>0</v>
      </c>
      <c r="G363" s="2" t="str">
        <f>IF(ISERROR(B363),"-",IF(J362=0,0,SUM($F$33:F363)))</f>
        <v>-</v>
      </c>
      <c r="H363" s="2">
        <f t="shared" si="53"/>
        <v>0</v>
      </c>
      <c r="I363" s="2" t="str">
        <f>IF(ISERROR($B363),"-",IF(J362=0,0,SUM($H$33:H363)))</f>
        <v>-</v>
      </c>
      <c r="J363" s="2" t="str">
        <f t="shared" si="49"/>
        <v>-</v>
      </c>
      <c r="K363" s="2" t="str">
        <f t="shared" si="50"/>
        <v>-</v>
      </c>
      <c r="L363" s="2">
        <f t="shared" si="51"/>
        <v>0</v>
      </c>
      <c r="M363" s="2">
        <f t="shared" si="52"/>
        <v>0</v>
      </c>
      <c r="O363" s="2">
        <f>IF('Batt IN'!$N$18="Yes",BattLoan!F363*'Batt IN'!$E$7,0)</f>
        <v>0</v>
      </c>
    </row>
    <row r="364" spans="1:15" x14ac:dyDescent="0.25">
      <c r="B364" t="e">
        <f t="shared" si="45"/>
        <v>#N/A</v>
      </c>
      <c r="C364" s="2" t="str">
        <f t="shared" si="46"/>
        <v>0</v>
      </c>
      <c r="E364" s="10">
        <f t="shared" si="47"/>
        <v>0</v>
      </c>
      <c r="F364" s="2">
        <f t="shared" si="48"/>
        <v>0</v>
      </c>
      <c r="G364" s="2" t="str">
        <f>IF(ISERROR(B364),"-",IF(J363=0,0,SUM($F$33:F364)))</f>
        <v>-</v>
      </c>
      <c r="H364" s="2">
        <f t="shared" si="53"/>
        <v>0</v>
      </c>
      <c r="I364" s="2" t="str">
        <f>IF(ISERROR($B364),"-",IF(J363=0,0,SUM($H$33:H364)))</f>
        <v>-</v>
      </c>
      <c r="J364" s="2" t="str">
        <f t="shared" si="49"/>
        <v>-</v>
      </c>
      <c r="K364" s="2" t="str">
        <f t="shared" si="50"/>
        <v>-</v>
      </c>
      <c r="L364" s="2">
        <f t="shared" si="51"/>
        <v>0</v>
      </c>
      <c r="M364" s="2">
        <f t="shared" si="52"/>
        <v>0</v>
      </c>
      <c r="O364" s="2">
        <f>IF('Batt IN'!$N$18="Yes",BattLoan!F364*'Batt IN'!$E$7,0)</f>
        <v>0</v>
      </c>
    </row>
    <row r="365" spans="1:15" x14ac:dyDescent="0.25">
      <c r="B365" t="e">
        <f t="shared" si="45"/>
        <v>#N/A</v>
      </c>
      <c r="C365" s="2" t="str">
        <f t="shared" si="46"/>
        <v>0</v>
      </c>
      <c r="E365" s="10">
        <f t="shared" si="47"/>
        <v>0</v>
      </c>
      <c r="F365" s="2">
        <f t="shared" si="48"/>
        <v>0</v>
      </c>
      <c r="G365" s="2" t="str">
        <f>IF(ISERROR(B365),"-",IF(J364=0,0,SUM($F$33:F365)))</f>
        <v>-</v>
      </c>
      <c r="H365" s="2">
        <f t="shared" si="53"/>
        <v>0</v>
      </c>
      <c r="I365" s="2" t="str">
        <f>IF(ISERROR($B365),"-",IF(J364=0,0,SUM($H$33:H365)))</f>
        <v>-</v>
      </c>
      <c r="J365" s="2" t="str">
        <f t="shared" si="49"/>
        <v>-</v>
      </c>
      <c r="K365" s="2" t="str">
        <f t="shared" si="50"/>
        <v>-</v>
      </c>
      <c r="L365" s="2">
        <f t="shared" si="51"/>
        <v>0</v>
      </c>
      <c r="M365" s="2">
        <f t="shared" si="52"/>
        <v>0</v>
      </c>
      <c r="O365" s="2">
        <f>IF('Batt IN'!$N$18="Yes",BattLoan!F365*'Batt IN'!$E$7,0)</f>
        <v>0</v>
      </c>
    </row>
    <row r="366" spans="1:15" x14ac:dyDescent="0.25">
      <c r="B366" t="e">
        <f t="shared" si="45"/>
        <v>#N/A</v>
      </c>
      <c r="C366" s="2" t="str">
        <f t="shared" si="46"/>
        <v>0</v>
      </c>
      <c r="E366" s="10">
        <f t="shared" si="47"/>
        <v>0</v>
      </c>
      <c r="F366" s="2">
        <f t="shared" si="48"/>
        <v>0</v>
      </c>
      <c r="G366" s="2" t="str">
        <f>IF(ISERROR(B366),"-",IF(J365=0,0,SUM($F$33:F366)))</f>
        <v>-</v>
      </c>
      <c r="H366" s="2">
        <f t="shared" si="53"/>
        <v>0</v>
      </c>
      <c r="I366" s="2" t="str">
        <f>IF(ISERROR($B366),"-",IF(J365=0,0,SUM($H$33:H366)))</f>
        <v>-</v>
      </c>
      <c r="J366" s="2" t="str">
        <f t="shared" si="49"/>
        <v>-</v>
      </c>
      <c r="K366" s="2" t="str">
        <f t="shared" si="50"/>
        <v>-</v>
      </c>
      <c r="L366" s="2">
        <f t="shared" si="51"/>
        <v>0</v>
      </c>
      <c r="M366" s="2">
        <f t="shared" si="52"/>
        <v>0</v>
      </c>
      <c r="O366" s="2">
        <f>IF('Batt IN'!$N$18="Yes",BattLoan!F366*'Batt IN'!$E$7,0)</f>
        <v>0</v>
      </c>
    </row>
    <row r="367" spans="1:15" x14ac:dyDescent="0.25">
      <c r="B367" t="e">
        <f t="shared" si="45"/>
        <v>#N/A</v>
      </c>
      <c r="C367" s="2" t="str">
        <f t="shared" si="46"/>
        <v>0</v>
      </c>
      <c r="E367" s="10">
        <f t="shared" si="47"/>
        <v>0</v>
      </c>
      <c r="F367" s="2">
        <f t="shared" si="48"/>
        <v>0</v>
      </c>
      <c r="G367" s="2" t="str">
        <f>IF(ISERROR(B367),"-",IF(J366=0,0,SUM($F$33:F367)))</f>
        <v>-</v>
      </c>
      <c r="H367" s="2">
        <f t="shared" si="53"/>
        <v>0</v>
      </c>
      <c r="I367" s="2" t="str">
        <f>IF(ISERROR($B367),"-",IF(J366=0,0,SUM($H$33:H367)))</f>
        <v>-</v>
      </c>
      <c r="J367" s="2" t="str">
        <f t="shared" si="49"/>
        <v>-</v>
      </c>
      <c r="K367" s="2" t="str">
        <f t="shared" si="50"/>
        <v>-</v>
      </c>
      <c r="L367" s="2">
        <f t="shared" si="51"/>
        <v>0</v>
      </c>
      <c r="M367" s="2">
        <f t="shared" si="52"/>
        <v>0</v>
      </c>
      <c r="O367" s="2">
        <f>IF('Batt IN'!$N$18="Yes",BattLoan!F367*'Batt IN'!$E$7,0)</f>
        <v>0</v>
      </c>
    </row>
    <row r="368" spans="1:15" x14ac:dyDescent="0.25">
      <c r="A368">
        <v>28</v>
      </c>
      <c r="B368" t="e">
        <f t="shared" si="45"/>
        <v>#N/A</v>
      </c>
      <c r="C368" s="2" t="str">
        <f t="shared" si="46"/>
        <v>0</v>
      </c>
      <c r="E368" s="10">
        <f t="shared" si="47"/>
        <v>0</v>
      </c>
      <c r="F368" s="2">
        <f t="shared" si="48"/>
        <v>0</v>
      </c>
      <c r="G368" s="2" t="str">
        <f>IF(ISERROR(B368),"-",IF(J367=0,0,SUM($F$33:F368)))</f>
        <v>-</v>
      </c>
      <c r="H368" s="2">
        <f t="shared" si="53"/>
        <v>0</v>
      </c>
      <c r="I368" s="2" t="str">
        <f>IF(ISERROR($B368),"-",IF(J367=0,0,SUM($H$33:H368)))</f>
        <v>-</v>
      </c>
      <c r="J368" s="2" t="str">
        <f t="shared" si="49"/>
        <v>-</v>
      </c>
      <c r="K368" s="2" t="str">
        <f t="shared" si="50"/>
        <v>-</v>
      </c>
      <c r="L368" s="2">
        <f t="shared" si="51"/>
        <v>0</v>
      </c>
      <c r="M368" s="2">
        <f t="shared" si="52"/>
        <v>0</v>
      </c>
      <c r="O368" s="2">
        <f>IF('Batt IN'!$N$18="Yes",BattLoan!F368*'Batt IN'!$E$7,0)</f>
        <v>0</v>
      </c>
    </row>
    <row r="369" spans="1:15" x14ac:dyDescent="0.25">
      <c r="B369" t="e">
        <f t="shared" si="45"/>
        <v>#N/A</v>
      </c>
      <c r="C369" s="2" t="str">
        <f t="shared" si="46"/>
        <v>0</v>
      </c>
      <c r="E369" s="10">
        <f t="shared" si="47"/>
        <v>0</v>
      </c>
      <c r="F369" s="2">
        <f t="shared" si="48"/>
        <v>0</v>
      </c>
      <c r="G369" s="2" t="str">
        <f>IF(ISERROR(B369),"-",IF(J368=0,0,SUM($F$33:F369)))</f>
        <v>-</v>
      </c>
      <c r="H369" s="2">
        <f t="shared" si="53"/>
        <v>0</v>
      </c>
      <c r="I369" s="2" t="str">
        <f>IF(ISERROR($B369),"-",IF(J368=0,0,SUM($H$33:H369)))</f>
        <v>-</v>
      </c>
      <c r="J369" s="2" t="str">
        <f t="shared" si="49"/>
        <v>-</v>
      </c>
      <c r="K369" s="2" t="str">
        <f t="shared" si="50"/>
        <v>-</v>
      </c>
      <c r="L369" s="2">
        <f t="shared" si="51"/>
        <v>0</v>
      </c>
      <c r="M369" s="2">
        <f t="shared" si="52"/>
        <v>0</v>
      </c>
      <c r="O369" s="2">
        <f>IF('Batt IN'!$N$18="Yes",BattLoan!F369*'Batt IN'!$E$7,0)</f>
        <v>0</v>
      </c>
    </row>
    <row r="370" spans="1:15" x14ac:dyDescent="0.25">
      <c r="B370" t="e">
        <f t="shared" si="45"/>
        <v>#N/A</v>
      </c>
      <c r="C370" s="2" t="str">
        <f t="shared" si="46"/>
        <v>0</v>
      </c>
      <c r="E370" s="10">
        <f t="shared" si="47"/>
        <v>0</v>
      </c>
      <c r="F370" s="2">
        <f t="shared" si="48"/>
        <v>0</v>
      </c>
      <c r="G370" s="2" t="str">
        <f>IF(ISERROR(B370),"-",IF(J369=0,0,SUM($F$33:F370)))</f>
        <v>-</v>
      </c>
      <c r="H370" s="2">
        <f t="shared" si="53"/>
        <v>0</v>
      </c>
      <c r="I370" s="2" t="str">
        <f>IF(ISERROR($B370),"-",IF(J369=0,0,SUM($H$33:H370)))</f>
        <v>-</v>
      </c>
      <c r="J370" s="2" t="str">
        <f t="shared" si="49"/>
        <v>-</v>
      </c>
      <c r="K370" s="2" t="str">
        <f t="shared" si="50"/>
        <v>-</v>
      </c>
      <c r="L370" s="2">
        <f t="shared" si="51"/>
        <v>0</v>
      </c>
      <c r="M370" s="2">
        <f t="shared" si="52"/>
        <v>0</v>
      </c>
      <c r="O370" s="2">
        <f>IF('Batt IN'!$N$18="Yes",BattLoan!F370*'Batt IN'!$E$7,0)</f>
        <v>0</v>
      </c>
    </row>
    <row r="371" spans="1:15" x14ac:dyDescent="0.25">
      <c r="B371" t="e">
        <f t="shared" si="45"/>
        <v>#N/A</v>
      </c>
      <c r="C371" s="2" t="str">
        <f t="shared" si="46"/>
        <v>0</v>
      </c>
      <c r="E371" s="10">
        <f t="shared" si="47"/>
        <v>0</v>
      </c>
      <c r="F371" s="2">
        <f t="shared" si="48"/>
        <v>0</v>
      </c>
      <c r="G371" s="2" t="str">
        <f>IF(ISERROR(B371),"-",IF(J370=0,0,SUM($F$33:F371)))</f>
        <v>-</v>
      </c>
      <c r="H371" s="2">
        <f t="shared" si="53"/>
        <v>0</v>
      </c>
      <c r="I371" s="2" t="str">
        <f>IF(ISERROR($B371),"-",IF(J370=0,0,SUM($H$33:H371)))</f>
        <v>-</v>
      </c>
      <c r="J371" s="2" t="str">
        <f t="shared" si="49"/>
        <v>-</v>
      </c>
      <c r="K371" s="2" t="str">
        <f t="shared" si="50"/>
        <v>-</v>
      </c>
      <c r="L371" s="2">
        <f t="shared" si="51"/>
        <v>0</v>
      </c>
      <c r="M371" s="2">
        <f t="shared" si="52"/>
        <v>0</v>
      </c>
      <c r="O371" s="2">
        <f>IF('Batt IN'!$N$18="Yes",BattLoan!F371*'Batt IN'!$E$7,0)</f>
        <v>0</v>
      </c>
    </row>
    <row r="372" spans="1:15" x14ac:dyDescent="0.25">
      <c r="B372" t="e">
        <f t="shared" si="45"/>
        <v>#N/A</v>
      </c>
      <c r="C372" s="2" t="str">
        <f t="shared" si="46"/>
        <v>0</v>
      </c>
      <c r="E372" s="10">
        <f t="shared" si="47"/>
        <v>0</v>
      </c>
      <c r="F372" s="2">
        <f t="shared" si="48"/>
        <v>0</v>
      </c>
      <c r="G372" s="2" t="str">
        <f>IF(ISERROR(B372),"-",IF(J371=0,0,SUM($F$33:F372)))</f>
        <v>-</v>
      </c>
      <c r="H372" s="2">
        <f t="shared" si="53"/>
        <v>0</v>
      </c>
      <c r="I372" s="2" t="str">
        <f>IF(ISERROR($B372),"-",IF(J371=0,0,SUM($H$33:H372)))</f>
        <v>-</v>
      </c>
      <c r="J372" s="2" t="str">
        <f t="shared" si="49"/>
        <v>-</v>
      </c>
      <c r="K372" s="2" t="str">
        <f t="shared" si="50"/>
        <v>-</v>
      </c>
      <c r="L372" s="2">
        <f t="shared" si="51"/>
        <v>0</v>
      </c>
      <c r="M372" s="2">
        <f t="shared" si="52"/>
        <v>0</v>
      </c>
      <c r="O372" s="2">
        <f>IF('Batt IN'!$N$18="Yes",BattLoan!F372*'Batt IN'!$E$7,0)</f>
        <v>0</v>
      </c>
    </row>
    <row r="373" spans="1:15" x14ac:dyDescent="0.25">
      <c r="B373" t="e">
        <f t="shared" si="45"/>
        <v>#N/A</v>
      </c>
      <c r="C373" s="2" t="str">
        <f t="shared" si="46"/>
        <v>0</v>
      </c>
      <c r="E373" s="10">
        <f t="shared" si="47"/>
        <v>0</v>
      </c>
      <c r="F373" s="2">
        <f t="shared" si="48"/>
        <v>0</v>
      </c>
      <c r="G373" s="2" t="str">
        <f>IF(ISERROR(B373),"-",IF(J372=0,0,SUM($F$33:F373)))</f>
        <v>-</v>
      </c>
      <c r="H373" s="2">
        <f t="shared" si="53"/>
        <v>0</v>
      </c>
      <c r="I373" s="2" t="str">
        <f>IF(ISERROR($B373),"-",IF(J372=0,0,SUM($H$33:H373)))</f>
        <v>-</v>
      </c>
      <c r="J373" s="2" t="str">
        <f t="shared" si="49"/>
        <v>-</v>
      </c>
      <c r="K373" s="2" t="str">
        <f t="shared" si="50"/>
        <v>-</v>
      </c>
      <c r="L373" s="2">
        <f t="shared" si="51"/>
        <v>0</v>
      </c>
      <c r="M373" s="2">
        <f t="shared" si="52"/>
        <v>0</v>
      </c>
      <c r="O373" s="2">
        <f>IF('Batt IN'!$N$18="Yes",BattLoan!F373*'Batt IN'!$E$7,0)</f>
        <v>0</v>
      </c>
    </row>
    <row r="374" spans="1:15" x14ac:dyDescent="0.25">
      <c r="B374" t="e">
        <f t="shared" si="45"/>
        <v>#N/A</v>
      </c>
      <c r="C374" s="2" t="str">
        <f t="shared" si="46"/>
        <v>0</v>
      </c>
      <c r="E374" s="10">
        <f t="shared" si="47"/>
        <v>0</v>
      </c>
      <c r="F374" s="2">
        <f t="shared" si="48"/>
        <v>0</v>
      </c>
      <c r="G374" s="2" t="str">
        <f>IF(ISERROR(B374),"-",IF(J373=0,0,SUM($F$33:F374)))</f>
        <v>-</v>
      </c>
      <c r="H374" s="2">
        <f t="shared" si="53"/>
        <v>0</v>
      </c>
      <c r="I374" s="2" t="str">
        <f>IF(ISERROR($B374),"-",IF(J373=0,0,SUM($H$33:H374)))</f>
        <v>-</v>
      </c>
      <c r="J374" s="2" t="str">
        <f t="shared" si="49"/>
        <v>-</v>
      </c>
      <c r="K374" s="2" t="str">
        <f t="shared" si="50"/>
        <v>-</v>
      </c>
      <c r="L374" s="2">
        <f t="shared" si="51"/>
        <v>0</v>
      </c>
      <c r="M374" s="2">
        <f t="shared" si="52"/>
        <v>0</v>
      </c>
      <c r="O374" s="2">
        <f>IF('Batt IN'!$N$18="Yes",BattLoan!F374*'Batt IN'!$E$7,0)</f>
        <v>0</v>
      </c>
    </row>
    <row r="375" spans="1:15" x14ac:dyDescent="0.25">
      <c r="B375" t="e">
        <f t="shared" si="45"/>
        <v>#N/A</v>
      </c>
      <c r="C375" s="2" t="str">
        <f t="shared" si="46"/>
        <v>0</v>
      </c>
      <c r="E375" s="10">
        <f t="shared" si="47"/>
        <v>0</v>
      </c>
      <c r="F375" s="2">
        <f t="shared" si="48"/>
        <v>0</v>
      </c>
      <c r="G375" s="2" t="str">
        <f>IF(ISERROR(B375),"-",IF(J374=0,0,SUM($F$33:F375)))</f>
        <v>-</v>
      </c>
      <c r="H375" s="2">
        <f t="shared" si="53"/>
        <v>0</v>
      </c>
      <c r="I375" s="2" t="str">
        <f>IF(ISERROR($B375),"-",IF(J374=0,0,SUM($H$33:H375)))</f>
        <v>-</v>
      </c>
      <c r="J375" s="2" t="str">
        <f t="shared" si="49"/>
        <v>-</v>
      </c>
      <c r="K375" s="2" t="str">
        <f t="shared" si="50"/>
        <v>-</v>
      </c>
      <c r="L375" s="2">
        <f t="shared" si="51"/>
        <v>0</v>
      </c>
      <c r="M375" s="2">
        <f t="shared" si="52"/>
        <v>0</v>
      </c>
      <c r="O375" s="2">
        <f>IF('Batt IN'!$N$18="Yes",BattLoan!F375*'Batt IN'!$E$7,0)</f>
        <v>0</v>
      </c>
    </row>
    <row r="376" spans="1:15" x14ac:dyDescent="0.25">
      <c r="B376" t="e">
        <f t="shared" si="45"/>
        <v>#N/A</v>
      </c>
      <c r="C376" s="2" t="str">
        <f t="shared" si="46"/>
        <v>0</v>
      </c>
      <c r="E376" s="10">
        <f t="shared" si="47"/>
        <v>0</v>
      </c>
      <c r="F376" s="2">
        <f t="shared" si="48"/>
        <v>0</v>
      </c>
      <c r="G376" s="2" t="str">
        <f>IF(ISERROR(B376),"-",IF(J375=0,0,SUM($F$33:F376)))</f>
        <v>-</v>
      </c>
      <c r="H376" s="2">
        <f t="shared" si="53"/>
        <v>0</v>
      </c>
      <c r="I376" s="2" t="str">
        <f>IF(ISERROR($B376),"-",IF(J375=0,0,SUM($H$33:H376)))</f>
        <v>-</v>
      </c>
      <c r="J376" s="2" t="str">
        <f t="shared" si="49"/>
        <v>-</v>
      </c>
      <c r="K376" s="2" t="str">
        <f t="shared" si="50"/>
        <v>-</v>
      </c>
      <c r="L376" s="2">
        <f t="shared" si="51"/>
        <v>0</v>
      </c>
      <c r="M376" s="2">
        <f t="shared" si="52"/>
        <v>0</v>
      </c>
      <c r="O376" s="2">
        <f>IF('Batt IN'!$N$18="Yes",BattLoan!F376*'Batt IN'!$E$7,0)</f>
        <v>0</v>
      </c>
    </row>
    <row r="377" spans="1:15" x14ac:dyDescent="0.25">
      <c r="B377" t="e">
        <f t="shared" si="45"/>
        <v>#N/A</v>
      </c>
      <c r="C377" s="2" t="str">
        <f t="shared" si="46"/>
        <v>0</v>
      </c>
      <c r="E377" s="10">
        <f t="shared" si="47"/>
        <v>0</v>
      </c>
      <c r="F377" s="2">
        <f t="shared" si="48"/>
        <v>0</v>
      </c>
      <c r="G377" s="2" t="str">
        <f>IF(ISERROR(B377),"-",IF(J376=0,0,SUM($F$33:F377)))</f>
        <v>-</v>
      </c>
      <c r="H377" s="2">
        <f t="shared" si="53"/>
        <v>0</v>
      </c>
      <c r="I377" s="2" t="str">
        <f>IF(ISERROR($B377),"-",IF(J376=0,0,SUM($H$33:H377)))</f>
        <v>-</v>
      </c>
      <c r="J377" s="2" t="str">
        <f t="shared" si="49"/>
        <v>-</v>
      </c>
      <c r="K377" s="2" t="str">
        <f t="shared" si="50"/>
        <v>-</v>
      </c>
      <c r="L377" s="2">
        <f t="shared" si="51"/>
        <v>0</v>
      </c>
      <c r="M377" s="2">
        <f t="shared" si="52"/>
        <v>0</v>
      </c>
      <c r="O377" s="2">
        <f>IF('Batt IN'!$N$18="Yes",BattLoan!F377*'Batt IN'!$E$7,0)</f>
        <v>0</v>
      </c>
    </row>
    <row r="378" spans="1:15" x14ac:dyDescent="0.25">
      <c r="B378" t="e">
        <f t="shared" si="45"/>
        <v>#N/A</v>
      </c>
      <c r="C378" s="2" t="str">
        <f t="shared" si="46"/>
        <v>0</v>
      </c>
      <c r="E378" s="10">
        <f t="shared" si="47"/>
        <v>0</v>
      </c>
      <c r="F378" s="2">
        <f t="shared" si="48"/>
        <v>0</v>
      </c>
      <c r="G378" s="2" t="str">
        <f>IF(ISERROR(B378),"-",IF(J377=0,0,SUM($F$33:F378)))</f>
        <v>-</v>
      </c>
      <c r="H378" s="2">
        <f t="shared" si="53"/>
        <v>0</v>
      </c>
      <c r="I378" s="2" t="str">
        <f>IF(ISERROR($B378),"-",IF(J377=0,0,SUM($H$33:H378)))</f>
        <v>-</v>
      </c>
      <c r="J378" s="2" t="str">
        <f t="shared" si="49"/>
        <v>-</v>
      </c>
      <c r="K378" s="2" t="str">
        <f t="shared" si="50"/>
        <v>-</v>
      </c>
      <c r="L378" s="2">
        <f t="shared" si="51"/>
        <v>0</v>
      </c>
      <c r="M378" s="2">
        <f t="shared" si="52"/>
        <v>0</v>
      </c>
      <c r="O378" s="2">
        <f>IF('Batt IN'!$N$18="Yes",BattLoan!F378*'Batt IN'!$E$7,0)</f>
        <v>0</v>
      </c>
    </row>
    <row r="379" spans="1:15" x14ac:dyDescent="0.25">
      <c r="B379" t="e">
        <f t="shared" si="45"/>
        <v>#N/A</v>
      </c>
      <c r="C379" s="2" t="str">
        <f t="shared" si="46"/>
        <v>0</v>
      </c>
      <c r="E379" s="10">
        <f t="shared" si="47"/>
        <v>0</v>
      </c>
      <c r="F379" s="2">
        <f t="shared" si="48"/>
        <v>0</v>
      </c>
      <c r="G379" s="2" t="str">
        <f>IF(ISERROR(B379),"-",IF(J378=0,0,SUM($F$33:F379)))</f>
        <v>-</v>
      </c>
      <c r="H379" s="2">
        <f t="shared" si="53"/>
        <v>0</v>
      </c>
      <c r="I379" s="2" t="str">
        <f>IF(ISERROR($B379),"-",IF(J378=0,0,SUM($H$33:H379)))</f>
        <v>-</v>
      </c>
      <c r="J379" s="2" t="str">
        <f t="shared" si="49"/>
        <v>-</v>
      </c>
      <c r="K379" s="2" t="str">
        <f t="shared" si="50"/>
        <v>-</v>
      </c>
      <c r="L379" s="2">
        <f t="shared" si="51"/>
        <v>0</v>
      </c>
      <c r="M379" s="2">
        <f t="shared" si="52"/>
        <v>0</v>
      </c>
      <c r="O379" s="2">
        <f>IF('Batt IN'!$N$18="Yes",BattLoan!F379*'Batt IN'!$E$7,0)</f>
        <v>0</v>
      </c>
    </row>
    <row r="380" spans="1:15" x14ac:dyDescent="0.25">
      <c r="A380">
        <v>29</v>
      </c>
      <c r="B380" t="e">
        <f t="shared" si="45"/>
        <v>#N/A</v>
      </c>
      <c r="C380" s="2" t="str">
        <f t="shared" si="46"/>
        <v>0</v>
      </c>
      <c r="E380" s="10">
        <f t="shared" si="47"/>
        <v>0</v>
      </c>
      <c r="F380" s="2">
        <f t="shared" si="48"/>
        <v>0</v>
      </c>
      <c r="G380" s="2" t="str">
        <f>IF(ISERROR(B380),"-",IF(J379=0,0,SUM($F$33:F380)))</f>
        <v>-</v>
      </c>
      <c r="H380" s="2">
        <f t="shared" si="53"/>
        <v>0</v>
      </c>
      <c r="I380" s="2" t="str">
        <f>IF(ISERROR($B380),"-",IF(J379=0,0,SUM($H$33:H380)))</f>
        <v>-</v>
      </c>
      <c r="J380" s="2" t="str">
        <f t="shared" si="49"/>
        <v>-</v>
      </c>
      <c r="K380" s="2" t="str">
        <f t="shared" si="50"/>
        <v>-</v>
      </c>
      <c r="L380" s="2">
        <f t="shared" si="51"/>
        <v>0</v>
      </c>
      <c r="M380" s="2">
        <f t="shared" si="52"/>
        <v>0</v>
      </c>
      <c r="O380" s="2">
        <f>IF('Batt IN'!$N$18="Yes",BattLoan!F380*'Batt IN'!$E$7,0)</f>
        <v>0</v>
      </c>
    </row>
    <row r="381" spans="1:15" x14ac:dyDescent="0.25">
      <c r="B381" t="e">
        <f t="shared" si="45"/>
        <v>#N/A</v>
      </c>
      <c r="C381" s="2" t="str">
        <f t="shared" si="46"/>
        <v>0</v>
      </c>
      <c r="E381" s="10">
        <f t="shared" si="47"/>
        <v>0</v>
      </c>
      <c r="F381" s="2">
        <f t="shared" si="48"/>
        <v>0</v>
      </c>
      <c r="G381" s="2" t="str">
        <f>IF(ISERROR(B381),"-",IF(J380=0,0,SUM($F$33:F381)))</f>
        <v>-</v>
      </c>
      <c r="H381" s="2">
        <f t="shared" si="53"/>
        <v>0</v>
      </c>
      <c r="I381" s="2" t="str">
        <f>IF(ISERROR($B381),"-",IF(J380=0,0,SUM($H$33:H381)))</f>
        <v>-</v>
      </c>
      <c r="J381" s="2" t="str">
        <f t="shared" si="49"/>
        <v>-</v>
      </c>
      <c r="K381" s="2" t="str">
        <f t="shared" si="50"/>
        <v>-</v>
      </c>
      <c r="L381" s="2">
        <f t="shared" si="51"/>
        <v>0</v>
      </c>
      <c r="M381" s="2">
        <f t="shared" si="52"/>
        <v>0</v>
      </c>
      <c r="O381" s="2">
        <f>IF('Batt IN'!$N$18="Yes",BattLoan!F381*'Batt IN'!$E$7,0)</f>
        <v>0</v>
      </c>
    </row>
    <row r="382" spans="1:15" x14ac:dyDescent="0.25">
      <c r="B382" t="e">
        <f t="shared" si="45"/>
        <v>#N/A</v>
      </c>
      <c r="C382" s="2" t="str">
        <f t="shared" si="46"/>
        <v>0</v>
      </c>
      <c r="E382" s="10">
        <f t="shared" si="47"/>
        <v>0</v>
      </c>
      <c r="F382" s="2">
        <f t="shared" si="48"/>
        <v>0</v>
      </c>
      <c r="G382" s="2" t="str">
        <f>IF(ISERROR(B382),"-",IF(J381=0,0,SUM($F$33:F382)))</f>
        <v>-</v>
      </c>
      <c r="H382" s="2">
        <f t="shared" si="53"/>
        <v>0</v>
      </c>
      <c r="I382" s="2" t="str">
        <f>IF(ISERROR($B382),"-",IF(J381=0,0,SUM($H$33:H382)))</f>
        <v>-</v>
      </c>
      <c r="J382" s="2" t="str">
        <f t="shared" si="49"/>
        <v>-</v>
      </c>
      <c r="K382" s="2" t="str">
        <f t="shared" si="50"/>
        <v>-</v>
      </c>
      <c r="L382" s="2">
        <f t="shared" si="51"/>
        <v>0</v>
      </c>
      <c r="M382" s="2">
        <f t="shared" si="52"/>
        <v>0</v>
      </c>
      <c r="O382" s="2">
        <f>IF('Batt IN'!$N$18="Yes",BattLoan!F382*'Batt IN'!$E$7,0)</f>
        <v>0</v>
      </c>
    </row>
    <row r="383" spans="1:15" x14ac:dyDescent="0.25">
      <c r="B383" t="e">
        <f t="shared" si="45"/>
        <v>#N/A</v>
      </c>
      <c r="C383" s="2" t="str">
        <f t="shared" si="46"/>
        <v>0</v>
      </c>
      <c r="E383" s="10">
        <f t="shared" si="47"/>
        <v>0</v>
      </c>
      <c r="F383" s="2">
        <f t="shared" si="48"/>
        <v>0</v>
      </c>
      <c r="G383" s="2" t="str">
        <f>IF(ISERROR(B383),"-",IF(J382=0,0,SUM($F$33:F383)))</f>
        <v>-</v>
      </c>
      <c r="H383" s="2">
        <f t="shared" si="53"/>
        <v>0</v>
      </c>
      <c r="I383" s="2" t="str">
        <f>IF(ISERROR($B383),"-",IF(J382=0,0,SUM($H$33:H383)))</f>
        <v>-</v>
      </c>
      <c r="J383" s="2" t="str">
        <f t="shared" si="49"/>
        <v>-</v>
      </c>
      <c r="K383" s="2" t="str">
        <f t="shared" si="50"/>
        <v>-</v>
      </c>
      <c r="L383" s="2">
        <f t="shared" si="51"/>
        <v>0</v>
      </c>
      <c r="M383" s="2">
        <f t="shared" si="52"/>
        <v>0</v>
      </c>
      <c r="O383" s="2">
        <f>IF('Batt IN'!$N$18="Yes",BattLoan!F383*'Batt IN'!$E$7,0)</f>
        <v>0</v>
      </c>
    </row>
    <row r="384" spans="1:15" x14ac:dyDescent="0.25">
      <c r="B384" t="e">
        <f t="shared" si="45"/>
        <v>#N/A</v>
      </c>
      <c r="C384" s="2" t="str">
        <f t="shared" si="46"/>
        <v>0</v>
      </c>
      <c r="E384" s="10">
        <f t="shared" si="47"/>
        <v>0</v>
      </c>
      <c r="F384" s="2">
        <f t="shared" si="48"/>
        <v>0</v>
      </c>
      <c r="G384" s="2" t="str">
        <f>IF(ISERROR(B384),"-",IF(J383=0,0,SUM($F$33:F384)))</f>
        <v>-</v>
      </c>
      <c r="H384" s="2">
        <f t="shared" si="53"/>
        <v>0</v>
      </c>
      <c r="I384" s="2" t="str">
        <f>IF(ISERROR($B384),"-",IF(J383=0,0,SUM($H$33:H384)))</f>
        <v>-</v>
      </c>
      <c r="J384" s="2" t="str">
        <f t="shared" si="49"/>
        <v>-</v>
      </c>
      <c r="K384" s="2" t="str">
        <f t="shared" si="50"/>
        <v>-</v>
      </c>
      <c r="L384" s="2">
        <f t="shared" si="51"/>
        <v>0</v>
      </c>
      <c r="M384" s="2">
        <f t="shared" si="52"/>
        <v>0</v>
      </c>
      <c r="O384" s="2">
        <f>IF('Batt IN'!$N$18="Yes",BattLoan!F384*'Batt IN'!$E$7,0)</f>
        <v>0</v>
      </c>
    </row>
    <row r="385" spans="1:15" x14ac:dyDescent="0.25">
      <c r="B385" t="e">
        <f t="shared" si="45"/>
        <v>#N/A</v>
      </c>
      <c r="C385" s="2" t="str">
        <f t="shared" si="46"/>
        <v>0</v>
      </c>
      <c r="E385" s="10">
        <f t="shared" si="47"/>
        <v>0</v>
      </c>
      <c r="F385" s="2">
        <f t="shared" si="48"/>
        <v>0</v>
      </c>
      <c r="G385" s="2" t="str">
        <f>IF(ISERROR(B385),"-",IF(J384=0,0,SUM($F$33:F385)))</f>
        <v>-</v>
      </c>
      <c r="H385" s="2">
        <f t="shared" si="53"/>
        <v>0</v>
      </c>
      <c r="I385" s="2" t="str">
        <f>IF(ISERROR($B385),"-",IF(J384=0,0,SUM($H$33:H385)))</f>
        <v>-</v>
      </c>
      <c r="J385" s="2" t="str">
        <f t="shared" si="49"/>
        <v>-</v>
      </c>
      <c r="K385" s="2" t="str">
        <f t="shared" si="50"/>
        <v>-</v>
      </c>
      <c r="L385" s="2">
        <f t="shared" si="51"/>
        <v>0</v>
      </c>
      <c r="M385" s="2">
        <f t="shared" si="52"/>
        <v>0</v>
      </c>
      <c r="O385" s="2">
        <f>IF('Batt IN'!$N$18="Yes",BattLoan!F385*'Batt IN'!$E$7,0)</f>
        <v>0</v>
      </c>
    </row>
    <row r="386" spans="1:15" x14ac:dyDescent="0.25">
      <c r="B386" t="e">
        <f t="shared" si="45"/>
        <v>#N/A</v>
      </c>
      <c r="C386" s="2" t="str">
        <f t="shared" si="46"/>
        <v>0</v>
      </c>
      <c r="E386" s="10">
        <f t="shared" si="47"/>
        <v>0</v>
      </c>
      <c r="F386" s="2">
        <f t="shared" si="48"/>
        <v>0</v>
      </c>
      <c r="G386" s="2" t="str">
        <f>IF(ISERROR(B386),"-",IF(J385=0,0,SUM($F$33:F386)))</f>
        <v>-</v>
      </c>
      <c r="H386" s="2">
        <f t="shared" si="53"/>
        <v>0</v>
      </c>
      <c r="I386" s="2" t="str">
        <f>IF(ISERROR($B386),"-",IF(J385=0,0,SUM($H$33:H386)))</f>
        <v>-</v>
      </c>
      <c r="J386" s="2" t="str">
        <f t="shared" si="49"/>
        <v>-</v>
      </c>
      <c r="K386" s="2" t="str">
        <f t="shared" si="50"/>
        <v>-</v>
      </c>
      <c r="L386" s="2">
        <f t="shared" si="51"/>
        <v>0</v>
      </c>
      <c r="M386" s="2">
        <f t="shared" si="52"/>
        <v>0</v>
      </c>
      <c r="O386" s="2">
        <f>IF('Batt IN'!$N$18="Yes",BattLoan!F386*'Batt IN'!$E$7,0)</f>
        <v>0</v>
      </c>
    </row>
    <row r="387" spans="1:15" x14ac:dyDescent="0.25">
      <c r="B387" t="e">
        <f t="shared" si="45"/>
        <v>#N/A</v>
      </c>
      <c r="C387" s="2" t="str">
        <f t="shared" si="46"/>
        <v>0</v>
      </c>
      <c r="E387" s="10">
        <f t="shared" si="47"/>
        <v>0</v>
      </c>
      <c r="F387" s="2">
        <f t="shared" si="48"/>
        <v>0</v>
      </c>
      <c r="G387" s="2" t="str">
        <f>IF(ISERROR(B387),"-",IF(J386=0,0,SUM($F$33:F387)))</f>
        <v>-</v>
      </c>
      <c r="H387" s="2">
        <f t="shared" si="53"/>
        <v>0</v>
      </c>
      <c r="I387" s="2" t="str">
        <f>IF(ISERROR($B387),"-",IF(J386=0,0,SUM($H$33:H387)))</f>
        <v>-</v>
      </c>
      <c r="J387" s="2" t="str">
        <f t="shared" si="49"/>
        <v>-</v>
      </c>
      <c r="K387" s="2" t="str">
        <f t="shared" si="50"/>
        <v>-</v>
      </c>
      <c r="L387" s="2">
        <f t="shared" si="51"/>
        <v>0</v>
      </c>
      <c r="M387" s="2">
        <f t="shared" si="52"/>
        <v>0</v>
      </c>
      <c r="O387" s="2">
        <f>IF('Batt IN'!$N$18="Yes",BattLoan!F387*'Batt IN'!$E$7,0)</f>
        <v>0</v>
      </c>
    </row>
    <row r="388" spans="1:15" x14ac:dyDescent="0.25">
      <c r="B388" t="e">
        <f t="shared" si="45"/>
        <v>#N/A</v>
      </c>
      <c r="C388" s="2" t="str">
        <f t="shared" si="46"/>
        <v>0</v>
      </c>
      <c r="E388" s="10">
        <f t="shared" si="47"/>
        <v>0</v>
      </c>
      <c r="F388" s="2">
        <f t="shared" si="48"/>
        <v>0</v>
      </c>
      <c r="G388" s="2" t="str">
        <f>IF(ISERROR(B388),"-",IF(J387=0,0,SUM($F$33:F388)))</f>
        <v>-</v>
      </c>
      <c r="H388" s="2">
        <f t="shared" si="53"/>
        <v>0</v>
      </c>
      <c r="I388" s="2" t="str">
        <f>IF(ISERROR($B388),"-",IF(J387=0,0,SUM($H$33:H388)))</f>
        <v>-</v>
      </c>
      <c r="J388" s="2" t="str">
        <f t="shared" si="49"/>
        <v>-</v>
      </c>
      <c r="K388" s="2" t="str">
        <f t="shared" si="50"/>
        <v>-</v>
      </c>
      <c r="L388" s="2">
        <f t="shared" si="51"/>
        <v>0</v>
      </c>
      <c r="M388" s="2">
        <f t="shared" si="52"/>
        <v>0</v>
      </c>
      <c r="O388" s="2">
        <f>IF('Batt IN'!$N$18="Yes",BattLoan!F388*'Batt IN'!$E$7,0)</f>
        <v>0</v>
      </c>
    </row>
    <row r="389" spans="1:15" x14ac:dyDescent="0.25">
      <c r="B389" t="e">
        <f t="shared" si="45"/>
        <v>#N/A</v>
      </c>
      <c r="C389" s="2" t="str">
        <f t="shared" si="46"/>
        <v>0</v>
      </c>
      <c r="E389" s="10">
        <f t="shared" si="47"/>
        <v>0</v>
      </c>
      <c r="F389" s="2">
        <f t="shared" si="48"/>
        <v>0</v>
      </c>
      <c r="G389" s="2" t="str">
        <f>IF(ISERROR(B389),"-",IF(J388=0,0,SUM($F$33:F389)))</f>
        <v>-</v>
      </c>
      <c r="H389" s="2">
        <f t="shared" si="53"/>
        <v>0</v>
      </c>
      <c r="I389" s="2" t="str">
        <f>IF(ISERROR($B389),"-",IF(J388=0,0,SUM($H$33:H389)))</f>
        <v>-</v>
      </c>
      <c r="J389" s="2" t="str">
        <f t="shared" si="49"/>
        <v>-</v>
      </c>
      <c r="K389" s="2" t="str">
        <f t="shared" si="50"/>
        <v>-</v>
      </c>
      <c r="L389" s="2">
        <f t="shared" si="51"/>
        <v>0</v>
      </c>
      <c r="M389" s="2">
        <f t="shared" si="52"/>
        <v>0</v>
      </c>
      <c r="O389" s="2">
        <f>IF('Batt IN'!$N$18="Yes",BattLoan!F389*'Batt IN'!$E$7,0)</f>
        <v>0</v>
      </c>
    </row>
    <row r="390" spans="1:15" x14ac:dyDescent="0.25">
      <c r="B390" t="e">
        <f t="shared" si="45"/>
        <v>#N/A</v>
      </c>
      <c r="C390" s="2" t="str">
        <f t="shared" si="46"/>
        <v>0</v>
      </c>
      <c r="E390" s="10">
        <f t="shared" si="47"/>
        <v>0</v>
      </c>
      <c r="F390" s="2">
        <f t="shared" si="48"/>
        <v>0</v>
      </c>
      <c r="G390" s="2" t="str">
        <f>IF(ISERROR(B390),"-",IF(J389=0,0,SUM($F$33:F390)))</f>
        <v>-</v>
      </c>
      <c r="H390" s="2">
        <f t="shared" si="53"/>
        <v>0</v>
      </c>
      <c r="I390" s="2" t="str">
        <f>IF(ISERROR($B390),"-",IF(J389=0,0,SUM($H$33:H390)))</f>
        <v>-</v>
      </c>
      <c r="J390" s="2" t="str">
        <f t="shared" si="49"/>
        <v>-</v>
      </c>
      <c r="K390" s="2" t="str">
        <f t="shared" si="50"/>
        <v>-</v>
      </c>
      <c r="L390" s="2">
        <f t="shared" si="51"/>
        <v>0</v>
      </c>
      <c r="M390" s="2">
        <f t="shared" si="52"/>
        <v>0</v>
      </c>
      <c r="O390" s="2">
        <f>IF('Batt IN'!$N$18="Yes",BattLoan!F390*'Batt IN'!$E$7,0)</f>
        <v>0</v>
      </c>
    </row>
    <row r="391" spans="1:15" x14ac:dyDescent="0.25">
      <c r="B391" t="e">
        <f t="shared" si="45"/>
        <v>#N/A</v>
      </c>
      <c r="C391" s="2" t="str">
        <f t="shared" si="46"/>
        <v>0</v>
      </c>
      <c r="E391" s="10">
        <f t="shared" si="47"/>
        <v>0</v>
      </c>
      <c r="F391" s="2">
        <f t="shared" si="48"/>
        <v>0</v>
      </c>
      <c r="G391" s="2" t="str">
        <f>IF(ISERROR(B391),"-",IF(J390=0,0,SUM($F$33:F391)))</f>
        <v>-</v>
      </c>
      <c r="H391" s="2">
        <f t="shared" si="53"/>
        <v>0</v>
      </c>
      <c r="I391" s="2" t="str">
        <f>IF(ISERROR($B391),"-",IF(J390=0,0,SUM($H$33:H391)))</f>
        <v>-</v>
      </c>
      <c r="J391" s="2" t="str">
        <f t="shared" si="49"/>
        <v>-</v>
      </c>
      <c r="K391" s="2" t="str">
        <f t="shared" si="50"/>
        <v>-</v>
      </c>
      <c r="L391" s="2">
        <f t="shared" si="51"/>
        <v>0</v>
      </c>
      <c r="M391" s="2">
        <f t="shared" si="52"/>
        <v>0</v>
      </c>
      <c r="O391" s="2">
        <f>IF('Batt IN'!$N$18="Yes",BattLoan!F391*'Batt IN'!$E$7,0)</f>
        <v>0</v>
      </c>
    </row>
    <row r="392" spans="1:15" x14ac:dyDescent="0.25">
      <c r="A392">
        <v>30</v>
      </c>
      <c r="B392" t="e">
        <f t="shared" si="45"/>
        <v>#N/A</v>
      </c>
      <c r="C392" s="2" t="str">
        <f t="shared" si="46"/>
        <v>0</v>
      </c>
      <c r="E392" s="10">
        <f t="shared" si="47"/>
        <v>0</v>
      </c>
      <c r="F392" s="2">
        <f t="shared" si="48"/>
        <v>0</v>
      </c>
      <c r="G392" s="2" t="str">
        <f>IF(ISERROR(B392),"-",IF(J391=0,0,SUM($F$33:F392)))</f>
        <v>-</v>
      </c>
      <c r="H392" s="2">
        <f t="shared" si="53"/>
        <v>0</v>
      </c>
      <c r="I392" s="2" t="str">
        <f>IF(ISERROR($B392),"-",IF(J391=0,0,SUM($H$33:H392)))</f>
        <v>-</v>
      </c>
      <c r="J392" s="2" t="str">
        <f t="shared" si="49"/>
        <v>-</v>
      </c>
      <c r="K392" s="2" t="str">
        <f t="shared" si="50"/>
        <v>-</v>
      </c>
      <c r="L392" s="2">
        <f t="shared" si="51"/>
        <v>0</v>
      </c>
      <c r="M392" s="2">
        <f t="shared" si="52"/>
        <v>0</v>
      </c>
      <c r="O392" s="2">
        <f>IF('Batt IN'!$N$18="Yes",BattLoan!F392*'Batt IN'!$E$7,0)</f>
        <v>0</v>
      </c>
    </row>
    <row r="393" spans="1:15" x14ac:dyDescent="0.25">
      <c r="B393" t="e">
        <f t="shared" si="45"/>
        <v>#N/A</v>
      </c>
      <c r="C393" s="2" t="str">
        <f t="shared" ref="C393:C456" si="54">IF(ISERROR(B393),"0",IF(J392=0,0,$E$11))</f>
        <v>0</v>
      </c>
      <c r="E393" s="10">
        <f t="shared" ref="E393:E456" si="55">C393+D393</f>
        <v>0</v>
      </c>
      <c r="F393" s="2">
        <f t="shared" ref="F393:F456" si="56">IF(ISERROR(B393),0,$E$8*J392)</f>
        <v>0</v>
      </c>
      <c r="G393" s="2" t="str">
        <f>IF(ISERROR(B393),"-",IF(J392=0,0,SUM($F$33:F393)))</f>
        <v>-</v>
      </c>
      <c r="H393" s="2">
        <f t="shared" ref="H393:H456" si="57">IF(ISERROR($B393),0,IF(J392=0,0,E393-F393))</f>
        <v>0</v>
      </c>
      <c r="I393" s="2" t="str">
        <f>IF(ISERROR($B393),"-",IF(J392=0,0,SUM($H$33:H393)))</f>
        <v>-</v>
      </c>
      <c r="J393" s="2" t="str">
        <f t="shared" ref="J393:J456" si="58">IF(ISERROR($B393),"-",IF(J392-H393&lt;0,0,J392-H393))</f>
        <v>-</v>
      </c>
      <c r="K393" s="2" t="str">
        <f t="shared" ref="K393:K456" si="59">IF(ISERROR(B393),"-",J392-H393)</f>
        <v>-</v>
      </c>
      <c r="L393" s="2">
        <f t="shared" ref="L393:L456" si="60">IF(K393&gt;=0,E393,E393+K393)</f>
        <v>0</v>
      </c>
      <c r="M393" s="2">
        <f t="shared" ref="M393:M456" si="61">-IF(K393&lt;0,K393,0)</f>
        <v>0</v>
      </c>
      <c r="O393" s="2">
        <f>IF('Batt IN'!$N$18="Yes",BattLoan!F393*'Batt IN'!$E$7,0)</f>
        <v>0</v>
      </c>
    </row>
    <row r="394" spans="1:15" x14ac:dyDescent="0.25">
      <c r="B394" t="e">
        <f t="shared" si="45"/>
        <v>#N/A</v>
      </c>
      <c r="C394" s="2" t="str">
        <f t="shared" si="54"/>
        <v>0</v>
      </c>
      <c r="E394" s="10">
        <f t="shared" si="55"/>
        <v>0</v>
      </c>
      <c r="F394" s="2">
        <f t="shared" si="56"/>
        <v>0</v>
      </c>
      <c r="G394" s="2" t="str">
        <f>IF(ISERROR(B394),"-",IF(J393=0,0,SUM($F$33:F394)))</f>
        <v>-</v>
      </c>
      <c r="H394" s="2">
        <f t="shared" si="57"/>
        <v>0</v>
      </c>
      <c r="I394" s="2" t="str">
        <f>IF(ISERROR($B394),"-",IF(J393=0,0,SUM($H$33:H394)))</f>
        <v>-</v>
      </c>
      <c r="J394" s="2" t="str">
        <f t="shared" si="58"/>
        <v>-</v>
      </c>
      <c r="K394" s="2" t="str">
        <f t="shared" si="59"/>
        <v>-</v>
      </c>
      <c r="L394" s="2">
        <f t="shared" si="60"/>
        <v>0</v>
      </c>
      <c r="M394" s="2">
        <f t="shared" si="61"/>
        <v>0</v>
      </c>
      <c r="O394" s="2">
        <f>IF('Batt IN'!$N$18="Yes",BattLoan!F394*'Batt IN'!$E$7,0)</f>
        <v>0</v>
      </c>
    </row>
    <row r="395" spans="1:15" x14ac:dyDescent="0.25">
      <c r="B395" t="e">
        <f t="shared" si="45"/>
        <v>#N/A</v>
      </c>
      <c r="C395" s="2" t="str">
        <f t="shared" si="54"/>
        <v>0</v>
      </c>
      <c r="E395" s="10">
        <f t="shared" si="55"/>
        <v>0</v>
      </c>
      <c r="F395" s="2">
        <f t="shared" si="56"/>
        <v>0</v>
      </c>
      <c r="G395" s="2" t="str">
        <f>IF(ISERROR(B395),"-",IF(J394=0,0,SUM($F$33:F395)))</f>
        <v>-</v>
      </c>
      <c r="H395" s="2">
        <f t="shared" si="57"/>
        <v>0</v>
      </c>
      <c r="I395" s="2" t="str">
        <f>IF(ISERROR($B395),"-",IF(J394=0,0,SUM($H$33:H395)))</f>
        <v>-</v>
      </c>
      <c r="J395" s="2" t="str">
        <f t="shared" si="58"/>
        <v>-</v>
      </c>
      <c r="K395" s="2" t="str">
        <f t="shared" si="59"/>
        <v>-</v>
      </c>
      <c r="L395" s="2">
        <f t="shared" si="60"/>
        <v>0</v>
      </c>
      <c r="M395" s="2">
        <f t="shared" si="61"/>
        <v>0</v>
      </c>
      <c r="O395" s="2">
        <f>IF('Batt IN'!$N$18="Yes",BattLoan!F395*'Batt IN'!$E$7,0)</f>
        <v>0</v>
      </c>
    </row>
    <row r="396" spans="1:15" x14ac:dyDescent="0.25">
      <c r="B396" t="e">
        <f t="shared" si="45"/>
        <v>#N/A</v>
      </c>
      <c r="C396" s="2" t="str">
        <f t="shared" si="54"/>
        <v>0</v>
      </c>
      <c r="E396" s="10">
        <f t="shared" si="55"/>
        <v>0</v>
      </c>
      <c r="F396" s="2">
        <f t="shared" si="56"/>
        <v>0</v>
      </c>
      <c r="G396" s="2" t="str">
        <f>IF(ISERROR(B396),"-",IF(J395=0,0,SUM($F$33:F396)))</f>
        <v>-</v>
      </c>
      <c r="H396" s="2">
        <f t="shared" si="57"/>
        <v>0</v>
      </c>
      <c r="I396" s="2" t="str">
        <f>IF(ISERROR($B396),"-",IF(J395=0,0,SUM($H$33:H396)))</f>
        <v>-</v>
      </c>
      <c r="J396" s="2" t="str">
        <f t="shared" si="58"/>
        <v>-</v>
      </c>
      <c r="K396" s="2" t="str">
        <f t="shared" si="59"/>
        <v>-</v>
      </c>
      <c r="L396" s="2">
        <f t="shared" si="60"/>
        <v>0</v>
      </c>
      <c r="M396" s="2">
        <f t="shared" si="61"/>
        <v>0</v>
      </c>
      <c r="O396" s="2">
        <f>IF('Batt IN'!$N$18="Yes",BattLoan!F396*'Batt IN'!$E$7,0)</f>
        <v>0</v>
      </c>
    </row>
    <row r="397" spans="1:15" x14ac:dyDescent="0.25">
      <c r="B397" t="e">
        <f t="shared" si="45"/>
        <v>#N/A</v>
      </c>
      <c r="C397" s="2" t="str">
        <f t="shared" si="54"/>
        <v>0</v>
      </c>
      <c r="E397" s="10">
        <f t="shared" si="55"/>
        <v>0</v>
      </c>
      <c r="F397" s="2">
        <f t="shared" si="56"/>
        <v>0</v>
      </c>
      <c r="G397" s="2" t="str">
        <f>IF(ISERROR(B397),"-",IF(J396=0,0,SUM($F$33:F397)))</f>
        <v>-</v>
      </c>
      <c r="H397" s="2">
        <f t="shared" si="57"/>
        <v>0</v>
      </c>
      <c r="I397" s="2" t="str">
        <f>IF(ISERROR($B397),"-",IF(J396=0,0,SUM($H$33:H397)))</f>
        <v>-</v>
      </c>
      <c r="J397" s="2" t="str">
        <f t="shared" si="58"/>
        <v>-</v>
      </c>
      <c r="K397" s="2" t="str">
        <f t="shared" si="59"/>
        <v>-</v>
      </c>
      <c r="L397" s="2">
        <f t="shared" si="60"/>
        <v>0</v>
      </c>
      <c r="M397" s="2">
        <f t="shared" si="61"/>
        <v>0</v>
      </c>
      <c r="O397" s="2">
        <f>IF('Batt IN'!$N$18="Yes",BattLoan!F397*'Batt IN'!$E$7,0)</f>
        <v>0</v>
      </c>
    </row>
    <row r="398" spans="1:15" x14ac:dyDescent="0.25">
      <c r="B398" t="e">
        <f t="shared" si="45"/>
        <v>#N/A</v>
      </c>
      <c r="C398" s="2" t="str">
        <f t="shared" si="54"/>
        <v>0</v>
      </c>
      <c r="E398" s="10">
        <f t="shared" si="55"/>
        <v>0</v>
      </c>
      <c r="F398" s="2">
        <f t="shared" si="56"/>
        <v>0</v>
      </c>
      <c r="G398" s="2" t="str">
        <f>IF(ISERROR(B398),"-",IF(J397=0,0,SUM($F$33:F398)))</f>
        <v>-</v>
      </c>
      <c r="H398" s="2">
        <f t="shared" si="57"/>
        <v>0</v>
      </c>
      <c r="I398" s="2" t="str">
        <f>IF(ISERROR($B398),"-",IF(J397=0,0,SUM($H$33:H398)))</f>
        <v>-</v>
      </c>
      <c r="J398" s="2" t="str">
        <f t="shared" si="58"/>
        <v>-</v>
      </c>
      <c r="K398" s="2" t="str">
        <f t="shared" si="59"/>
        <v>-</v>
      </c>
      <c r="L398" s="2">
        <f t="shared" si="60"/>
        <v>0</v>
      </c>
      <c r="M398" s="2">
        <f t="shared" si="61"/>
        <v>0</v>
      </c>
      <c r="O398" s="2">
        <f>IF('Batt IN'!$N$18="Yes",BattLoan!F398*'Batt IN'!$E$7,0)</f>
        <v>0</v>
      </c>
    </row>
    <row r="399" spans="1:15" x14ac:dyDescent="0.25">
      <c r="B399" t="e">
        <f t="shared" si="45"/>
        <v>#N/A</v>
      </c>
      <c r="C399" s="2" t="str">
        <f t="shared" si="54"/>
        <v>0</v>
      </c>
      <c r="E399" s="10">
        <f t="shared" si="55"/>
        <v>0</v>
      </c>
      <c r="F399" s="2">
        <f t="shared" si="56"/>
        <v>0</v>
      </c>
      <c r="G399" s="2" t="str">
        <f>IF(ISERROR(B399),"-",IF(J398=0,0,SUM($F$33:F399)))</f>
        <v>-</v>
      </c>
      <c r="H399" s="2">
        <f t="shared" si="57"/>
        <v>0</v>
      </c>
      <c r="I399" s="2" t="str">
        <f>IF(ISERROR($B399),"-",IF(J398=0,0,SUM($H$33:H399)))</f>
        <v>-</v>
      </c>
      <c r="J399" s="2" t="str">
        <f t="shared" si="58"/>
        <v>-</v>
      </c>
      <c r="K399" s="2" t="str">
        <f t="shared" si="59"/>
        <v>-</v>
      </c>
      <c r="L399" s="2">
        <f t="shared" si="60"/>
        <v>0</v>
      </c>
      <c r="M399" s="2">
        <f t="shared" si="61"/>
        <v>0</v>
      </c>
      <c r="O399" s="2">
        <f>IF('Batt IN'!$N$18="Yes",BattLoan!F399*'Batt IN'!$E$7,0)</f>
        <v>0</v>
      </c>
    </row>
    <row r="400" spans="1:15" x14ac:dyDescent="0.25">
      <c r="B400" t="e">
        <f t="shared" si="45"/>
        <v>#N/A</v>
      </c>
      <c r="C400" s="2" t="str">
        <f t="shared" si="54"/>
        <v>0</v>
      </c>
      <c r="E400" s="10">
        <f t="shared" si="55"/>
        <v>0</v>
      </c>
      <c r="F400" s="2">
        <f t="shared" si="56"/>
        <v>0</v>
      </c>
      <c r="G400" s="2" t="str">
        <f>IF(ISERROR(B400),"-",IF(J399=0,0,SUM($F$33:F400)))</f>
        <v>-</v>
      </c>
      <c r="H400" s="2">
        <f t="shared" si="57"/>
        <v>0</v>
      </c>
      <c r="I400" s="2" t="str">
        <f>IF(ISERROR($B400),"-",IF(J399=0,0,SUM($H$33:H400)))</f>
        <v>-</v>
      </c>
      <c r="J400" s="2" t="str">
        <f t="shared" si="58"/>
        <v>-</v>
      </c>
      <c r="K400" s="2" t="str">
        <f t="shared" si="59"/>
        <v>-</v>
      </c>
      <c r="L400" s="2">
        <f t="shared" si="60"/>
        <v>0</v>
      </c>
      <c r="M400" s="2">
        <f t="shared" si="61"/>
        <v>0</v>
      </c>
      <c r="O400" s="2">
        <f>IF('Batt IN'!$N$18="Yes",BattLoan!F400*'Batt IN'!$E$7,0)</f>
        <v>0</v>
      </c>
    </row>
    <row r="401" spans="1:15" x14ac:dyDescent="0.25">
      <c r="B401" t="e">
        <f t="shared" si="45"/>
        <v>#N/A</v>
      </c>
      <c r="C401" s="2" t="str">
        <f t="shared" si="54"/>
        <v>0</v>
      </c>
      <c r="E401" s="10">
        <f t="shared" si="55"/>
        <v>0</v>
      </c>
      <c r="F401" s="2">
        <f t="shared" si="56"/>
        <v>0</v>
      </c>
      <c r="G401" s="2" t="str">
        <f>IF(ISERROR(B401),"-",IF(J400=0,0,SUM($F$33:F401)))</f>
        <v>-</v>
      </c>
      <c r="H401" s="2">
        <f t="shared" si="57"/>
        <v>0</v>
      </c>
      <c r="I401" s="2" t="str">
        <f>IF(ISERROR($B401),"-",IF(J400=0,0,SUM($H$33:H401)))</f>
        <v>-</v>
      </c>
      <c r="J401" s="2" t="str">
        <f t="shared" si="58"/>
        <v>-</v>
      </c>
      <c r="K401" s="2" t="str">
        <f t="shared" si="59"/>
        <v>-</v>
      </c>
      <c r="L401" s="2">
        <f t="shared" si="60"/>
        <v>0</v>
      </c>
      <c r="M401" s="2">
        <f t="shared" si="61"/>
        <v>0</v>
      </c>
      <c r="O401" s="2">
        <f>IF('Batt IN'!$N$18="Yes",BattLoan!F401*'Batt IN'!$E$7,0)</f>
        <v>0</v>
      </c>
    </row>
    <row r="402" spans="1:15" x14ac:dyDescent="0.25">
      <c r="B402" t="e">
        <f t="shared" si="45"/>
        <v>#N/A</v>
      </c>
      <c r="C402" s="2" t="str">
        <f t="shared" si="54"/>
        <v>0</v>
      </c>
      <c r="E402" s="10">
        <f t="shared" si="55"/>
        <v>0</v>
      </c>
      <c r="F402" s="2">
        <f t="shared" si="56"/>
        <v>0</v>
      </c>
      <c r="G402" s="2" t="str">
        <f>IF(ISERROR(B402),"-",IF(J401=0,0,SUM($F$33:F402)))</f>
        <v>-</v>
      </c>
      <c r="H402" s="2">
        <f t="shared" si="57"/>
        <v>0</v>
      </c>
      <c r="I402" s="2" t="str">
        <f>IF(ISERROR($B402),"-",IF(J401=0,0,SUM($H$33:H402)))</f>
        <v>-</v>
      </c>
      <c r="J402" s="2" t="str">
        <f t="shared" si="58"/>
        <v>-</v>
      </c>
      <c r="K402" s="2" t="str">
        <f t="shared" si="59"/>
        <v>-</v>
      </c>
      <c r="L402" s="2">
        <f t="shared" si="60"/>
        <v>0</v>
      </c>
      <c r="M402" s="2">
        <f t="shared" si="61"/>
        <v>0</v>
      </c>
      <c r="O402" s="2">
        <f>IF('Batt IN'!$N$18="Yes",BattLoan!F402*'Batt IN'!$E$7,0)</f>
        <v>0</v>
      </c>
    </row>
    <row r="403" spans="1:15" x14ac:dyDescent="0.25">
      <c r="B403" t="e">
        <f t="shared" si="45"/>
        <v>#N/A</v>
      </c>
      <c r="C403" s="2" t="str">
        <f t="shared" si="54"/>
        <v>0</v>
      </c>
      <c r="E403" s="10">
        <f t="shared" si="55"/>
        <v>0</v>
      </c>
      <c r="F403" s="2">
        <f t="shared" si="56"/>
        <v>0</v>
      </c>
      <c r="G403" s="2" t="str">
        <f>IF(ISERROR(B403),"-",IF(J402=0,0,SUM($F$33:F403)))</f>
        <v>-</v>
      </c>
      <c r="H403" s="2">
        <f t="shared" si="57"/>
        <v>0</v>
      </c>
      <c r="I403" s="2" t="str">
        <f>IF(ISERROR($B403),"-",IF(J402=0,0,SUM($H$33:H403)))</f>
        <v>-</v>
      </c>
      <c r="J403" s="2" t="str">
        <f t="shared" si="58"/>
        <v>-</v>
      </c>
      <c r="K403" s="2" t="str">
        <f t="shared" si="59"/>
        <v>-</v>
      </c>
      <c r="L403" s="2">
        <f t="shared" si="60"/>
        <v>0</v>
      </c>
      <c r="M403" s="2">
        <f t="shared" si="61"/>
        <v>0</v>
      </c>
      <c r="O403" s="2">
        <f>IF('Batt IN'!$N$18="Yes",BattLoan!F403*'Batt IN'!$E$7,0)</f>
        <v>0</v>
      </c>
    </row>
    <row r="404" spans="1:15" x14ac:dyDescent="0.25">
      <c r="A404">
        <v>31</v>
      </c>
      <c r="B404" t="e">
        <f t="shared" si="45"/>
        <v>#N/A</v>
      </c>
      <c r="C404" s="2" t="str">
        <f t="shared" si="54"/>
        <v>0</v>
      </c>
      <c r="E404" s="10">
        <f t="shared" si="55"/>
        <v>0</v>
      </c>
      <c r="F404" s="2">
        <f t="shared" si="56"/>
        <v>0</v>
      </c>
      <c r="G404" s="2" t="str">
        <f>IF(ISERROR(B404),"-",IF(J403=0,0,SUM($F$33:F404)))</f>
        <v>-</v>
      </c>
      <c r="H404" s="2">
        <f t="shared" si="57"/>
        <v>0</v>
      </c>
      <c r="I404" s="2" t="str">
        <f>IF(ISERROR($B404),"-",IF(J403=0,0,SUM($H$33:H404)))</f>
        <v>-</v>
      </c>
      <c r="J404" s="2" t="str">
        <f t="shared" si="58"/>
        <v>-</v>
      </c>
      <c r="K404" s="2" t="str">
        <f t="shared" si="59"/>
        <v>-</v>
      </c>
      <c r="L404" s="2">
        <f t="shared" si="60"/>
        <v>0</v>
      </c>
      <c r="M404" s="2">
        <f t="shared" si="61"/>
        <v>0</v>
      </c>
      <c r="O404" s="2">
        <f>IF('Batt IN'!$N$18="Yes",BattLoan!F404*'Batt IN'!$E$7,0)</f>
        <v>0</v>
      </c>
    </row>
    <row r="405" spans="1:15" x14ac:dyDescent="0.25">
      <c r="B405" t="e">
        <f t="shared" si="45"/>
        <v>#N/A</v>
      </c>
      <c r="C405" s="2" t="str">
        <f t="shared" si="54"/>
        <v>0</v>
      </c>
      <c r="E405" s="10">
        <f t="shared" si="55"/>
        <v>0</v>
      </c>
      <c r="F405" s="2">
        <f t="shared" si="56"/>
        <v>0</v>
      </c>
      <c r="G405" s="2" t="str">
        <f>IF(ISERROR(B405),"-",IF(J404=0,0,SUM($F$33:F405)))</f>
        <v>-</v>
      </c>
      <c r="H405" s="2">
        <f t="shared" si="57"/>
        <v>0</v>
      </c>
      <c r="I405" s="2" t="str">
        <f>IF(ISERROR($B405),"-",IF(J404=0,0,SUM($H$33:H405)))</f>
        <v>-</v>
      </c>
      <c r="J405" s="2" t="str">
        <f t="shared" si="58"/>
        <v>-</v>
      </c>
      <c r="K405" s="2" t="str">
        <f t="shared" si="59"/>
        <v>-</v>
      </c>
      <c r="L405" s="2">
        <f t="shared" si="60"/>
        <v>0</v>
      </c>
      <c r="M405" s="2">
        <f t="shared" si="61"/>
        <v>0</v>
      </c>
      <c r="O405" s="2">
        <f>IF('Batt IN'!$N$18="Yes",BattLoan!F405*'Batt IN'!$E$7,0)</f>
        <v>0</v>
      </c>
    </row>
    <row r="406" spans="1:15" x14ac:dyDescent="0.25">
      <c r="B406" t="e">
        <f t="shared" si="45"/>
        <v>#N/A</v>
      </c>
      <c r="C406" s="2" t="str">
        <f t="shared" si="54"/>
        <v>0</v>
      </c>
      <c r="E406" s="10">
        <f t="shared" si="55"/>
        <v>0</v>
      </c>
      <c r="F406" s="2">
        <f t="shared" si="56"/>
        <v>0</v>
      </c>
      <c r="G406" s="2" t="str">
        <f>IF(ISERROR(B406),"-",IF(J405=0,0,SUM($F$33:F406)))</f>
        <v>-</v>
      </c>
      <c r="H406" s="2">
        <f t="shared" si="57"/>
        <v>0</v>
      </c>
      <c r="I406" s="2" t="str">
        <f>IF(ISERROR($B406),"-",IF(J405=0,0,SUM($H$33:H406)))</f>
        <v>-</v>
      </c>
      <c r="J406" s="2" t="str">
        <f t="shared" si="58"/>
        <v>-</v>
      </c>
      <c r="K406" s="2" t="str">
        <f t="shared" si="59"/>
        <v>-</v>
      </c>
      <c r="L406" s="2">
        <f t="shared" si="60"/>
        <v>0</v>
      </c>
      <c r="M406" s="2">
        <f t="shared" si="61"/>
        <v>0</v>
      </c>
      <c r="O406" s="2">
        <f>IF('Batt IN'!$N$18="Yes",BattLoan!F406*'Batt IN'!$E$7,0)</f>
        <v>0</v>
      </c>
    </row>
    <row r="407" spans="1:15" x14ac:dyDescent="0.25">
      <c r="B407" t="e">
        <f t="shared" si="45"/>
        <v>#N/A</v>
      </c>
      <c r="C407" s="2" t="str">
        <f t="shared" si="54"/>
        <v>0</v>
      </c>
      <c r="E407" s="10">
        <f t="shared" si="55"/>
        <v>0</v>
      </c>
      <c r="F407" s="2">
        <f t="shared" si="56"/>
        <v>0</v>
      </c>
      <c r="G407" s="2" t="str">
        <f>IF(ISERROR(B407),"-",IF(J406=0,0,SUM($F$33:F407)))</f>
        <v>-</v>
      </c>
      <c r="H407" s="2">
        <f t="shared" si="57"/>
        <v>0</v>
      </c>
      <c r="I407" s="2" t="str">
        <f>IF(ISERROR($B407),"-",IF(J406=0,0,SUM($H$33:H407)))</f>
        <v>-</v>
      </c>
      <c r="J407" s="2" t="str">
        <f t="shared" si="58"/>
        <v>-</v>
      </c>
      <c r="K407" s="2" t="str">
        <f t="shared" si="59"/>
        <v>-</v>
      </c>
      <c r="L407" s="2">
        <f t="shared" si="60"/>
        <v>0</v>
      </c>
      <c r="M407" s="2">
        <f t="shared" si="61"/>
        <v>0</v>
      </c>
      <c r="O407" s="2">
        <f>IF('Batt IN'!$N$18="Yes",BattLoan!F407*'Batt IN'!$E$7,0)</f>
        <v>0</v>
      </c>
    </row>
    <row r="408" spans="1:15" x14ac:dyDescent="0.25">
      <c r="B408" t="e">
        <f t="shared" si="45"/>
        <v>#N/A</v>
      </c>
      <c r="C408" s="2" t="str">
        <f t="shared" si="54"/>
        <v>0</v>
      </c>
      <c r="E408" s="10">
        <f t="shared" si="55"/>
        <v>0</v>
      </c>
      <c r="F408" s="2">
        <f t="shared" si="56"/>
        <v>0</v>
      </c>
      <c r="G408" s="2" t="str">
        <f>IF(ISERROR(B408),"-",IF(J407=0,0,SUM($F$33:F408)))</f>
        <v>-</v>
      </c>
      <c r="H408" s="2">
        <f t="shared" si="57"/>
        <v>0</v>
      </c>
      <c r="I408" s="2" t="str">
        <f>IF(ISERROR($B408),"-",IF(J407=0,0,SUM($H$33:H408)))</f>
        <v>-</v>
      </c>
      <c r="J408" s="2" t="str">
        <f t="shared" si="58"/>
        <v>-</v>
      </c>
      <c r="K408" s="2" t="str">
        <f t="shared" si="59"/>
        <v>-</v>
      </c>
      <c r="L408" s="2">
        <f t="shared" si="60"/>
        <v>0</v>
      </c>
      <c r="M408" s="2">
        <f t="shared" si="61"/>
        <v>0</v>
      </c>
      <c r="O408" s="2">
        <f>IF('Batt IN'!$N$18="Yes",BattLoan!F408*'Batt IN'!$E$7,0)</f>
        <v>0</v>
      </c>
    </row>
    <row r="409" spans="1:15" x14ac:dyDescent="0.25">
      <c r="B409" t="e">
        <f t="shared" si="45"/>
        <v>#N/A</v>
      </c>
      <c r="C409" s="2" t="str">
        <f t="shared" si="54"/>
        <v>0</v>
      </c>
      <c r="E409" s="10">
        <f t="shared" si="55"/>
        <v>0</v>
      </c>
      <c r="F409" s="2">
        <f t="shared" si="56"/>
        <v>0</v>
      </c>
      <c r="G409" s="2" t="str">
        <f>IF(ISERROR(B409),"-",IF(J408=0,0,SUM($F$33:F409)))</f>
        <v>-</v>
      </c>
      <c r="H409" s="2">
        <f t="shared" si="57"/>
        <v>0</v>
      </c>
      <c r="I409" s="2" t="str">
        <f>IF(ISERROR($B409),"-",IF(J408=0,0,SUM($H$33:H409)))</f>
        <v>-</v>
      </c>
      <c r="J409" s="2" t="str">
        <f t="shared" si="58"/>
        <v>-</v>
      </c>
      <c r="K409" s="2" t="str">
        <f t="shared" si="59"/>
        <v>-</v>
      </c>
      <c r="L409" s="2">
        <f t="shared" si="60"/>
        <v>0</v>
      </c>
      <c r="M409" s="2">
        <f t="shared" si="61"/>
        <v>0</v>
      </c>
      <c r="O409" s="2">
        <f>IF('Batt IN'!$N$18="Yes",BattLoan!F409*'Batt IN'!$E$7,0)</f>
        <v>0</v>
      </c>
    </row>
    <row r="410" spans="1:15" x14ac:dyDescent="0.25">
      <c r="B410" t="e">
        <f t="shared" si="45"/>
        <v>#N/A</v>
      </c>
      <c r="C410" s="2" t="str">
        <f t="shared" si="54"/>
        <v>0</v>
      </c>
      <c r="E410" s="10">
        <f t="shared" si="55"/>
        <v>0</v>
      </c>
      <c r="F410" s="2">
        <f t="shared" si="56"/>
        <v>0</v>
      </c>
      <c r="G410" s="2" t="str">
        <f>IF(ISERROR(B410),"-",IF(J409=0,0,SUM($F$33:F410)))</f>
        <v>-</v>
      </c>
      <c r="H410" s="2">
        <f t="shared" si="57"/>
        <v>0</v>
      </c>
      <c r="I410" s="2" t="str">
        <f>IF(ISERROR($B410),"-",IF(J409=0,0,SUM($H$33:H410)))</f>
        <v>-</v>
      </c>
      <c r="J410" s="2" t="str">
        <f t="shared" si="58"/>
        <v>-</v>
      </c>
      <c r="K410" s="2" t="str">
        <f t="shared" si="59"/>
        <v>-</v>
      </c>
      <c r="L410" s="2">
        <f t="shared" si="60"/>
        <v>0</v>
      </c>
      <c r="M410" s="2">
        <f t="shared" si="61"/>
        <v>0</v>
      </c>
      <c r="O410" s="2">
        <f>IF('Batt IN'!$N$18="Yes",BattLoan!F410*'Batt IN'!$E$7,0)</f>
        <v>0</v>
      </c>
    </row>
    <row r="411" spans="1:15" x14ac:dyDescent="0.25">
      <c r="B411" t="e">
        <f t="shared" si="45"/>
        <v>#N/A</v>
      </c>
      <c r="C411" s="2" t="str">
        <f t="shared" si="54"/>
        <v>0</v>
      </c>
      <c r="E411" s="10">
        <f t="shared" si="55"/>
        <v>0</v>
      </c>
      <c r="F411" s="2">
        <f t="shared" si="56"/>
        <v>0</v>
      </c>
      <c r="G411" s="2" t="str">
        <f>IF(ISERROR(B411),"-",IF(J410=0,0,SUM($F$33:F411)))</f>
        <v>-</v>
      </c>
      <c r="H411" s="2">
        <f t="shared" si="57"/>
        <v>0</v>
      </c>
      <c r="I411" s="2" t="str">
        <f>IF(ISERROR($B411),"-",IF(J410=0,0,SUM($H$33:H411)))</f>
        <v>-</v>
      </c>
      <c r="J411" s="2" t="str">
        <f t="shared" si="58"/>
        <v>-</v>
      </c>
      <c r="K411" s="2" t="str">
        <f t="shared" si="59"/>
        <v>-</v>
      </c>
      <c r="L411" s="2">
        <f t="shared" si="60"/>
        <v>0</v>
      </c>
      <c r="M411" s="2">
        <f t="shared" si="61"/>
        <v>0</v>
      </c>
      <c r="O411" s="2">
        <f>IF('Batt IN'!$N$18="Yes",BattLoan!F411*'Batt IN'!$E$7,0)</f>
        <v>0</v>
      </c>
    </row>
    <row r="412" spans="1:15" x14ac:dyDescent="0.25">
      <c r="B412" t="e">
        <f t="shared" si="45"/>
        <v>#N/A</v>
      </c>
      <c r="C412" s="2" t="str">
        <f t="shared" si="54"/>
        <v>0</v>
      </c>
      <c r="E412" s="10">
        <f t="shared" si="55"/>
        <v>0</v>
      </c>
      <c r="F412" s="2">
        <f t="shared" si="56"/>
        <v>0</v>
      </c>
      <c r="G412" s="2" t="str">
        <f>IF(ISERROR(B412),"-",IF(J411=0,0,SUM($F$33:F412)))</f>
        <v>-</v>
      </c>
      <c r="H412" s="2">
        <f t="shared" si="57"/>
        <v>0</v>
      </c>
      <c r="I412" s="2" t="str">
        <f>IF(ISERROR($B412),"-",IF(J411=0,0,SUM($H$33:H412)))</f>
        <v>-</v>
      </c>
      <c r="J412" s="2" t="str">
        <f t="shared" si="58"/>
        <v>-</v>
      </c>
      <c r="K412" s="2" t="str">
        <f t="shared" si="59"/>
        <v>-</v>
      </c>
      <c r="L412" s="2">
        <f t="shared" si="60"/>
        <v>0</v>
      </c>
      <c r="M412" s="2">
        <f t="shared" si="61"/>
        <v>0</v>
      </c>
      <c r="O412" s="2">
        <f>IF('Batt IN'!$N$18="Yes",BattLoan!F412*'Batt IN'!$E$7,0)</f>
        <v>0</v>
      </c>
    </row>
    <row r="413" spans="1:15" x14ac:dyDescent="0.25">
      <c r="B413" t="e">
        <f t="shared" si="45"/>
        <v>#N/A</v>
      </c>
      <c r="C413" s="2" t="str">
        <f t="shared" si="54"/>
        <v>0</v>
      </c>
      <c r="E413" s="10">
        <f t="shared" si="55"/>
        <v>0</v>
      </c>
      <c r="F413" s="2">
        <f t="shared" si="56"/>
        <v>0</v>
      </c>
      <c r="G413" s="2" t="str">
        <f>IF(ISERROR(B413),"-",IF(J412=0,0,SUM($F$33:F413)))</f>
        <v>-</v>
      </c>
      <c r="H413" s="2">
        <f t="shared" si="57"/>
        <v>0</v>
      </c>
      <c r="I413" s="2" t="str">
        <f>IF(ISERROR($B413),"-",IF(J412=0,0,SUM($H$33:H413)))</f>
        <v>-</v>
      </c>
      <c r="J413" s="2" t="str">
        <f t="shared" si="58"/>
        <v>-</v>
      </c>
      <c r="K413" s="2" t="str">
        <f t="shared" si="59"/>
        <v>-</v>
      </c>
      <c r="L413" s="2">
        <f t="shared" si="60"/>
        <v>0</v>
      </c>
      <c r="M413" s="2">
        <f t="shared" si="61"/>
        <v>0</v>
      </c>
      <c r="O413" s="2">
        <f>IF('Batt IN'!$N$18="Yes",BattLoan!F413*'Batt IN'!$E$7,0)</f>
        <v>0</v>
      </c>
    </row>
    <row r="414" spans="1:15" x14ac:dyDescent="0.25">
      <c r="B414" t="e">
        <f t="shared" si="45"/>
        <v>#N/A</v>
      </c>
      <c r="C414" s="2" t="str">
        <f t="shared" si="54"/>
        <v>0</v>
      </c>
      <c r="E414" s="10">
        <f t="shared" si="55"/>
        <v>0</v>
      </c>
      <c r="F414" s="2">
        <f t="shared" si="56"/>
        <v>0</v>
      </c>
      <c r="G414" s="2" t="str">
        <f>IF(ISERROR(B414),"-",IF(J413=0,0,SUM($F$33:F414)))</f>
        <v>-</v>
      </c>
      <c r="H414" s="2">
        <f t="shared" si="57"/>
        <v>0</v>
      </c>
      <c r="I414" s="2" t="str">
        <f>IF(ISERROR($B414),"-",IF(J413=0,0,SUM($H$33:H414)))</f>
        <v>-</v>
      </c>
      <c r="J414" s="2" t="str">
        <f t="shared" si="58"/>
        <v>-</v>
      </c>
      <c r="K414" s="2" t="str">
        <f t="shared" si="59"/>
        <v>-</v>
      </c>
      <c r="L414" s="2">
        <f t="shared" si="60"/>
        <v>0</v>
      </c>
      <c r="M414" s="2">
        <f t="shared" si="61"/>
        <v>0</v>
      </c>
      <c r="O414" s="2">
        <f>IF('Batt IN'!$N$18="Yes",BattLoan!F414*'Batt IN'!$E$7,0)</f>
        <v>0</v>
      </c>
    </row>
    <row r="415" spans="1:15" x14ac:dyDescent="0.25">
      <c r="B415" t="e">
        <f t="shared" si="45"/>
        <v>#N/A</v>
      </c>
      <c r="C415" s="2" t="str">
        <f t="shared" si="54"/>
        <v>0</v>
      </c>
      <c r="E415" s="10">
        <f t="shared" si="55"/>
        <v>0</v>
      </c>
      <c r="F415" s="2">
        <f t="shared" si="56"/>
        <v>0</v>
      </c>
      <c r="G415" s="2" t="str">
        <f>IF(ISERROR(B415),"-",IF(J414=0,0,SUM($F$33:F415)))</f>
        <v>-</v>
      </c>
      <c r="H415" s="2">
        <f t="shared" si="57"/>
        <v>0</v>
      </c>
      <c r="I415" s="2" t="str">
        <f>IF(ISERROR($B415),"-",IF(J414=0,0,SUM($H$33:H415)))</f>
        <v>-</v>
      </c>
      <c r="J415" s="2" t="str">
        <f t="shared" si="58"/>
        <v>-</v>
      </c>
      <c r="K415" s="2" t="str">
        <f t="shared" si="59"/>
        <v>-</v>
      </c>
      <c r="L415" s="2">
        <f t="shared" si="60"/>
        <v>0</v>
      </c>
      <c r="M415" s="2">
        <f t="shared" si="61"/>
        <v>0</v>
      </c>
      <c r="O415" s="2">
        <f>IF('Batt IN'!$N$18="Yes",BattLoan!F415*'Batt IN'!$E$7,0)</f>
        <v>0</v>
      </c>
    </row>
    <row r="416" spans="1:15" x14ac:dyDescent="0.25">
      <c r="A416">
        <v>32</v>
      </c>
      <c r="B416" t="e">
        <f t="shared" si="45"/>
        <v>#N/A</v>
      </c>
      <c r="C416" s="2" t="str">
        <f t="shared" si="54"/>
        <v>0</v>
      </c>
      <c r="E416" s="10">
        <f t="shared" si="55"/>
        <v>0</v>
      </c>
      <c r="F416" s="2">
        <f t="shared" si="56"/>
        <v>0</v>
      </c>
      <c r="G416" s="2" t="str">
        <f>IF(ISERROR(B416),"-",IF(J415=0,0,SUM($F$33:F416)))</f>
        <v>-</v>
      </c>
      <c r="H416" s="2">
        <f t="shared" si="57"/>
        <v>0</v>
      </c>
      <c r="I416" s="2" t="str">
        <f>IF(ISERROR($B416),"-",IF(J415=0,0,SUM($H$33:H416)))</f>
        <v>-</v>
      </c>
      <c r="J416" s="2" t="str">
        <f t="shared" si="58"/>
        <v>-</v>
      </c>
      <c r="K416" s="2" t="str">
        <f t="shared" si="59"/>
        <v>-</v>
      </c>
      <c r="L416" s="2">
        <f t="shared" si="60"/>
        <v>0</v>
      </c>
      <c r="M416" s="2">
        <f t="shared" si="61"/>
        <v>0</v>
      </c>
      <c r="O416" s="2">
        <f>IF('Batt IN'!$N$18="Yes",BattLoan!F416*'Batt IN'!$E$7,0)</f>
        <v>0</v>
      </c>
    </row>
    <row r="417" spans="1:15" x14ac:dyDescent="0.25">
      <c r="B417" t="e">
        <f t="shared" ref="B417:B480" si="62">IF(B416&gt;=$E$9,NA(),B416+1)</f>
        <v>#N/A</v>
      </c>
      <c r="C417" s="2" t="str">
        <f t="shared" si="54"/>
        <v>0</v>
      </c>
      <c r="E417" s="10">
        <f t="shared" si="55"/>
        <v>0</v>
      </c>
      <c r="F417" s="2">
        <f t="shared" si="56"/>
        <v>0</v>
      </c>
      <c r="G417" s="2" t="str">
        <f>IF(ISERROR(B417),"-",IF(J416=0,0,SUM($F$33:F417)))</f>
        <v>-</v>
      </c>
      <c r="H417" s="2">
        <f t="shared" si="57"/>
        <v>0</v>
      </c>
      <c r="I417" s="2" t="str">
        <f>IF(ISERROR($B417),"-",IF(J416=0,0,SUM($H$33:H417)))</f>
        <v>-</v>
      </c>
      <c r="J417" s="2" t="str">
        <f t="shared" si="58"/>
        <v>-</v>
      </c>
      <c r="K417" s="2" t="str">
        <f t="shared" si="59"/>
        <v>-</v>
      </c>
      <c r="L417" s="2">
        <f t="shared" si="60"/>
        <v>0</v>
      </c>
      <c r="M417" s="2">
        <f t="shared" si="61"/>
        <v>0</v>
      </c>
      <c r="O417" s="2">
        <f>IF('Batt IN'!$N$18="Yes",BattLoan!F417*'Batt IN'!$E$7,0)</f>
        <v>0</v>
      </c>
    </row>
    <row r="418" spans="1:15" x14ac:dyDescent="0.25">
      <c r="B418" t="e">
        <f t="shared" si="62"/>
        <v>#N/A</v>
      </c>
      <c r="C418" s="2" t="str">
        <f t="shared" si="54"/>
        <v>0</v>
      </c>
      <c r="E418" s="10">
        <f t="shared" si="55"/>
        <v>0</v>
      </c>
      <c r="F418" s="2">
        <f t="shared" si="56"/>
        <v>0</v>
      </c>
      <c r="G418" s="2" t="str">
        <f>IF(ISERROR(B418),"-",IF(J417=0,0,SUM($F$33:F418)))</f>
        <v>-</v>
      </c>
      <c r="H418" s="2">
        <f t="shared" si="57"/>
        <v>0</v>
      </c>
      <c r="I418" s="2" t="str">
        <f>IF(ISERROR($B418),"-",IF(J417=0,0,SUM($H$33:H418)))</f>
        <v>-</v>
      </c>
      <c r="J418" s="2" t="str">
        <f t="shared" si="58"/>
        <v>-</v>
      </c>
      <c r="K418" s="2" t="str">
        <f t="shared" si="59"/>
        <v>-</v>
      </c>
      <c r="L418" s="2">
        <f t="shared" si="60"/>
        <v>0</v>
      </c>
      <c r="M418" s="2">
        <f t="shared" si="61"/>
        <v>0</v>
      </c>
      <c r="O418" s="2">
        <f>IF('Batt IN'!$N$18="Yes",BattLoan!F418*'Batt IN'!$E$7,0)</f>
        <v>0</v>
      </c>
    </row>
    <row r="419" spans="1:15" x14ac:dyDescent="0.25">
      <c r="B419" t="e">
        <f t="shared" si="62"/>
        <v>#N/A</v>
      </c>
      <c r="C419" s="2" t="str">
        <f t="shared" si="54"/>
        <v>0</v>
      </c>
      <c r="E419" s="10">
        <f t="shared" si="55"/>
        <v>0</v>
      </c>
      <c r="F419" s="2">
        <f t="shared" si="56"/>
        <v>0</v>
      </c>
      <c r="G419" s="2" t="str">
        <f>IF(ISERROR(B419),"-",IF(J418=0,0,SUM($F$33:F419)))</f>
        <v>-</v>
      </c>
      <c r="H419" s="2">
        <f t="shared" si="57"/>
        <v>0</v>
      </c>
      <c r="I419" s="2" t="str">
        <f>IF(ISERROR($B419),"-",IF(J418=0,0,SUM($H$33:H419)))</f>
        <v>-</v>
      </c>
      <c r="J419" s="2" t="str">
        <f t="shared" si="58"/>
        <v>-</v>
      </c>
      <c r="K419" s="2" t="str">
        <f t="shared" si="59"/>
        <v>-</v>
      </c>
      <c r="L419" s="2">
        <f t="shared" si="60"/>
        <v>0</v>
      </c>
      <c r="M419" s="2">
        <f t="shared" si="61"/>
        <v>0</v>
      </c>
      <c r="O419" s="2">
        <f>IF('Batt IN'!$N$18="Yes",BattLoan!F419*'Batt IN'!$E$7,0)</f>
        <v>0</v>
      </c>
    </row>
    <row r="420" spans="1:15" x14ac:dyDescent="0.25">
      <c r="B420" t="e">
        <f t="shared" si="62"/>
        <v>#N/A</v>
      </c>
      <c r="C420" s="2" t="str">
        <f t="shared" si="54"/>
        <v>0</v>
      </c>
      <c r="E420" s="10">
        <f t="shared" si="55"/>
        <v>0</v>
      </c>
      <c r="F420" s="2">
        <f t="shared" si="56"/>
        <v>0</v>
      </c>
      <c r="G420" s="2" t="str">
        <f>IF(ISERROR(B420),"-",IF(J419=0,0,SUM($F$33:F420)))</f>
        <v>-</v>
      </c>
      <c r="H420" s="2">
        <f t="shared" si="57"/>
        <v>0</v>
      </c>
      <c r="I420" s="2" t="str">
        <f>IF(ISERROR($B420),"-",IF(J419=0,0,SUM($H$33:H420)))</f>
        <v>-</v>
      </c>
      <c r="J420" s="2" t="str">
        <f t="shared" si="58"/>
        <v>-</v>
      </c>
      <c r="K420" s="2" t="str">
        <f t="shared" si="59"/>
        <v>-</v>
      </c>
      <c r="L420" s="2">
        <f t="shared" si="60"/>
        <v>0</v>
      </c>
      <c r="M420" s="2">
        <f t="shared" si="61"/>
        <v>0</v>
      </c>
      <c r="O420" s="2">
        <f>IF('Batt IN'!$N$18="Yes",BattLoan!F420*'Batt IN'!$E$7,0)</f>
        <v>0</v>
      </c>
    </row>
    <row r="421" spans="1:15" x14ac:dyDescent="0.25">
      <c r="B421" t="e">
        <f t="shared" si="62"/>
        <v>#N/A</v>
      </c>
      <c r="C421" s="2" t="str">
        <f t="shared" si="54"/>
        <v>0</v>
      </c>
      <c r="E421" s="10">
        <f t="shared" si="55"/>
        <v>0</v>
      </c>
      <c r="F421" s="2">
        <f t="shared" si="56"/>
        <v>0</v>
      </c>
      <c r="G421" s="2" t="str">
        <f>IF(ISERROR(B421),"-",IF(J420=0,0,SUM($F$33:F421)))</f>
        <v>-</v>
      </c>
      <c r="H421" s="2">
        <f t="shared" si="57"/>
        <v>0</v>
      </c>
      <c r="I421" s="2" t="str">
        <f>IF(ISERROR($B421),"-",IF(J420=0,0,SUM($H$33:H421)))</f>
        <v>-</v>
      </c>
      <c r="J421" s="2" t="str">
        <f t="shared" si="58"/>
        <v>-</v>
      </c>
      <c r="K421" s="2" t="str">
        <f t="shared" si="59"/>
        <v>-</v>
      </c>
      <c r="L421" s="2">
        <f t="shared" si="60"/>
        <v>0</v>
      </c>
      <c r="M421" s="2">
        <f t="shared" si="61"/>
        <v>0</v>
      </c>
      <c r="O421" s="2">
        <f>IF('Batt IN'!$N$18="Yes",BattLoan!F421*'Batt IN'!$E$7,0)</f>
        <v>0</v>
      </c>
    </row>
    <row r="422" spans="1:15" x14ac:dyDescent="0.25">
      <c r="B422" t="e">
        <f t="shared" si="62"/>
        <v>#N/A</v>
      </c>
      <c r="C422" s="2" t="str">
        <f t="shared" si="54"/>
        <v>0</v>
      </c>
      <c r="E422" s="10">
        <f t="shared" si="55"/>
        <v>0</v>
      </c>
      <c r="F422" s="2">
        <f t="shared" si="56"/>
        <v>0</v>
      </c>
      <c r="G422" s="2" t="str">
        <f>IF(ISERROR(B422),"-",IF(J421=0,0,SUM($F$33:F422)))</f>
        <v>-</v>
      </c>
      <c r="H422" s="2">
        <f t="shared" si="57"/>
        <v>0</v>
      </c>
      <c r="I422" s="2" t="str">
        <f>IF(ISERROR($B422),"-",IF(J421=0,0,SUM($H$33:H422)))</f>
        <v>-</v>
      </c>
      <c r="J422" s="2" t="str">
        <f t="shared" si="58"/>
        <v>-</v>
      </c>
      <c r="K422" s="2" t="str">
        <f t="shared" si="59"/>
        <v>-</v>
      </c>
      <c r="L422" s="2">
        <f t="shared" si="60"/>
        <v>0</v>
      </c>
      <c r="M422" s="2">
        <f t="shared" si="61"/>
        <v>0</v>
      </c>
      <c r="O422" s="2">
        <f>IF('Batt IN'!$N$18="Yes",BattLoan!F422*'Batt IN'!$E$7,0)</f>
        <v>0</v>
      </c>
    </row>
    <row r="423" spans="1:15" x14ac:dyDescent="0.25">
      <c r="B423" t="e">
        <f t="shared" si="62"/>
        <v>#N/A</v>
      </c>
      <c r="C423" s="2" t="str">
        <f t="shared" si="54"/>
        <v>0</v>
      </c>
      <c r="E423" s="10">
        <f t="shared" si="55"/>
        <v>0</v>
      </c>
      <c r="F423" s="2">
        <f t="shared" si="56"/>
        <v>0</v>
      </c>
      <c r="G423" s="2" t="str">
        <f>IF(ISERROR(B423),"-",IF(J422=0,0,SUM($F$33:F423)))</f>
        <v>-</v>
      </c>
      <c r="H423" s="2">
        <f t="shared" si="57"/>
        <v>0</v>
      </c>
      <c r="I423" s="2" t="str">
        <f>IF(ISERROR($B423),"-",IF(J422=0,0,SUM($H$33:H423)))</f>
        <v>-</v>
      </c>
      <c r="J423" s="2" t="str">
        <f t="shared" si="58"/>
        <v>-</v>
      </c>
      <c r="K423" s="2" t="str">
        <f t="shared" si="59"/>
        <v>-</v>
      </c>
      <c r="L423" s="2">
        <f t="shared" si="60"/>
        <v>0</v>
      </c>
      <c r="M423" s="2">
        <f t="shared" si="61"/>
        <v>0</v>
      </c>
      <c r="O423" s="2">
        <f>IF('Batt IN'!$N$18="Yes",BattLoan!F423*'Batt IN'!$E$7,0)</f>
        <v>0</v>
      </c>
    </row>
    <row r="424" spans="1:15" x14ac:dyDescent="0.25">
      <c r="B424" t="e">
        <f t="shared" si="62"/>
        <v>#N/A</v>
      </c>
      <c r="C424" s="2" t="str">
        <f t="shared" si="54"/>
        <v>0</v>
      </c>
      <c r="E424" s="10">
        <f t="shared" si="55"/>
        <v>0</v>
      </c>
      <c r="F424" s="2">
        <f t="shared" si="56"/>
        <v>0</v>
      </c>
      <c r="G424" s="2" t="str">
        <f>IF(ISERROR(B424),"-",IF(J423=0,0,SUM($F$33:F424)))</f>
        <v>-</v>
      </c>
      <c r="H424" s="2">
        <f t="shared" si="57"/>
        <v>0</v>
      </c>
      <c r="I424" s="2" t="str">
        <f>IF(ISERROR($B424),"-",IF(J423=0,0,SUM($H$33:H424)))</f>
        <v>-</v>
      </c>
      <c r="J424" s="2" t="str">
        <f t="shared" si="58"/>
        <v>-</v>
      </c>
      <c r="K424" s="2" t="str">
        <f t="shared" si="59"/>
        <v>-</v>
      </c>
      <c r="L424" s="2">
        <f t="shared" si="60"/>
        <v>0</v>
      </c>
      <c r="M424" s="2">
        <f t="shared" si="61"/>
        <v>0</v>
      </c>
      <c r="O424" s="2">
        <f>IF('Batt IN'!$N$18="Yes",BattLoan!F424*'Batt IN'!$E$7,0)</f>
        <v>0</v>
      </c>
    </row>
    <row r="425" spans="1:15" x14ac:dyDescent="0.25">
      <c r="B425" t="e">
        <f t="shared" si="62"/>
        <v>#N/A</v>
      </c>
      <c r="C425" s="2" t="str">
        <f t="shared" si="54"/>
        <v>0</v>
      </c>
      <c r="E425" s="10">
        <f t="shared" si="55"/>
        <v>0</v>
      </c>
      <c r="F425" s="2">
        <f t="shared" si="56"/>
        <v>0</v>
      </c>
      <c r="G425" s="2" t="str">
        <f>IF(ISERROR(B425),"-",IF(J424=0,0,SUM($F$33:F425)))</f>
        <v>-</v>
      </c>
      <c r="H425" s="2">
        <f t="shared" si="57"/>
        <v>0</v>
      </c>
      <c r="I425" s="2" t="str">
        <f>IF(ISERROR($B425),"-",IF(J424=0,0,SUM($H$33:H425)))</f>
        <v>-</v>
      </c>
      <c r="J425" s="2" t="str">
        <f t="shared" si="58"/>
        <v>-</v>
      </c>
      <c r="K425" s="2" t="str">
        <f t="shared" si="59"/>
        <v>-</v>
      </c>
      <c r="L425" s="2">
        <f t="shared" si="60"/>
        <v>0</v>
      </c>
      <c r="M425" s="2">
        <f t="shared" si="61"/>
        <v>0</v>
      </c>
      <c r="O425" s="2">
        <f>IF('Batt IN'!$N$18="Yes",BattLoan!F425*'Batt IN'!$E$7,0)</f>
        <v>0</v>
      </c>
    </row>
    <row r="426" spans="1:15" x14ac:dyDescent="0.25">
      <c r="B426" t="e">
        <f t="shared" si="62"/>
        <v>#N/A</v>
      </c>
      <c r="C426" s="2" t="str">
        <f t="shared" si="54"/>
        <v>0</v>
      </c>
      <c r="E426" s="10">
        <f t="shared" si="55"/>
        <v>0</v>
      </c>
      <c r="F426" s="2">
        <f t="shared" si="56"/>
        <v>0</v>
      </c>
      <c r="G426" s="2" t="str">
        <f>IF(ISERROR(B426),"-",IF(J425=0,0,SUM($F$33:F426)))</f>
        <v>-</v>
      </c>
      <c r="H426" s="2">
        <f t="shared" si="57"/>
        <v>0</v>
      </c>
      <c r="I426" s="2" t="str">
        <f>IF(ISERROR($B426),"-",IF(J425=0,0,SUM($H$33:H426)))</f>
        <v>-</v>
      </c>
      <c r="J426" s="2" t="str">
        <f t="shared" si="58"/>
        <v>-</v>
      </c>
      <c r="K426" s="2" t="str">
        <f t="shared" si="59"/>
        <v>-</v>
      </c>
      <c r="L426" s="2">
        <f t="shared" si="60"/>
        <v>0</v>
      </c>
      <c r="M426" s="2">
        <f t="shared" si="61"/>
        <v>0</v>
      </c>
      <c r="O426" s="2">
        <f>IF('Batt IN'!$N$18="Yes",BattLoan!F426*'Batt IN'!$E$7,0)</f>
        <v>0</v>
      </c>
    </row>
    <row r="427" spans="1:15" x14ac:dyDescent="0.25">
      <c r="B427" t="e">
        <f t="shared" si="62"/>
        <v>#N/A</v>
      </c>
      <c r="C427" s="2" t="str">
        <f t="shared" si="54"/>
        <v>0</v>
      </c>
      <c r="E427" s="10">
        <f t="shared" si="55"/>
        <v>0</v>
      </c>
      <c r="F427" s="2">
        <f t="shared" si="56"/>
        <v>0</v>
      </c>
      <c r="G427" s="2" t="str">
        <f>IF(ISERROR(B427),"-",IF(J426=0,0,SUM($F$33:F427)))</f>
        <v>-</v>
      </c>
      <c r="H427" s="2">
        <f t="shared" si="57"/>
        <v>0</v>
      </c>
      <c r="I427" s="2" t="str">
        <f>IF(ISERROR($B427),"-",IF(J426=0,0,SUM($H$33:H427)))</f>
        <v>-</v>
      </c>
      <c r="J427" s="2" t="str">
        <f t="shared" si="58"/>
        <v>-</v>
      </c>
      <c r="K427" s="2" t="str">
        <f t="shared" si="59"/>
        <v>-</v>
      </c>
      <c r="L427" s="2">
        <f t="shared" si="60"/>
        <v>0</v>
      </c>
      <c r="M427" s="2">
        <f t="shared" si="61"/>
        <v>0</v>
      </c>
      <c r="O427" s="2">
        <f>IF('Batt IN'!$N$18="Yes",BattLoan!F427*'Batt IN'!$E$7,0)</f>
        <v>0</v>
      </c>
    </row>
    <row r="428" spans="1:15" x14ac:dyDescent="0.25">
      <c r="A428">
        <v>33</v>
      </c>
      <c r="B428" t="e">
        <f t="shared" si="62"/>
        <v>#N/A</v>
      </c>
      <c r="C428" s="2" t="str">
        <f t="shared" si="54"/>
        <v>0</v>
      </c>
      <c r="E428" s="10">
        <f t="shared" si="55"/>
        <v>0</v>
      </c>
      <c r="F428" s="2">
        <f t="shared" si="56"/>
        <v>0</v>
      </c>
      <c r="G428" s="2" t="str">
        <f>IF(ISERROR(B428),"-",IF(J427=0,0,SUM($F$33:F428)))</f>
        <v>-</v>
      </c>
      <c r="H428" s="2">
        <f t="shared" si="57"/>
        <v>0</v>
      </c>
      <c r="I428" s="2" t="str">
        <f>IF(ISERROR($B428),"-",IF(J427=0,0,SUM($H$33:H428)))</f>
        <v>-</v>
      </c>
      <c r="J428" s="2" t="str">
        <f t="shared" si="58"/>
        <v>-</v>
      </c>
      <c r="K428" s="2" t="str">
        <f t="shared" si="59"/>
        <v>-</v>
      </c>
      <c r="L428" s="2">
        <f t="shared" si="60"/>
        <v>0</v>
      </c>
      <c r="M428" s="2">
        <f t="shared" si="61"/>
        <v>0</v>
      </c>
      <c r="O428" s="2">
        <f>IF('Batt IN'!$N$18="Yes",BattLoan!F428*'Batt IN'!$E$7,0)</f>
        <v>0</v>
      </c>
    </row>
    <row r="429" spans="1:15" x14ac:dyDescent="0.25">
      <c r="B429" t="e">
        <f t="shared" si="62"/>
        <v>#N/A</v>
      </c>
      <c r="C429" s="2" t="str">
        <f t="shared" si="54"/>
        <v>0</v>
      </c>
      <c r="E429" s="10">
        <f t="shared" si="55"/>
        <v>0</v>
      </c>
      <c r="F429" s="2">
        <f t="shared" si="56"/>
        <v>0</v>
      </c>
      <c r="G429" s="2" t="str">
        <f>IF(ISERROR(B429),"-",IF(J428=0,0,SUM($F$33:F429)))</f>
        <v>-</v>
      </c>
      <c r="H429" s="2">
        <f t="shared" si="57"/>
        <v>0</v>
      </c>
      <c r="I429" s="2" t="str">
        <f>IF(ISERROR($B429),"-",IF(J428=0,0,SUM($H$33:H429)))</f>
        <v>-</v>
      </c>
      <c r="J429" s="2" t="str">
        <f t="shared" si="58"/>
        <v>-</v>
      </c>
      <c r="K429" s="2" t="str">
        <f t="shared" si="59"/>
        <v>-</v>
      </c>
      <c r="L429" s="2">
        <f t="shared" si="60"/>
        <v>0</v>
      </c>
      <c r="M429" s="2">
        <f t="shared" si="61"/>
        <v>0</v>
      </c>
      <c r="O429" s="2">
        <f>IF('Batt IN'!$N$18="Yes",BattLoan!F429*'Batt IN'!$E$7,0)</f>
        <v>0</v>
      </c>
    </row>
    <row r="430" spans="1:15" x14ac:dyDescent="0.25">
      <c r="B430" t="e">
        <f t="shared" si="62"/>
        <v>#N/A</v>
      </c>
      <c r="C430" s="2" t="str">
        <f t="shared" si="54"/>
        <v>0</v>
      </c>
      <c r="E430" s="10">
        <f t="shared" si="55"/>
        <v>0</v>
      </c>
      <c r="F430" s="2">
        <f t="shared" si="56"/>
        <v>0</v>
      </c>
      <c r="G430" s="2" t="str">
        <f>IF(ISERROR(B430),"-",IF(J429=0,0,SUM($F$33:F430)))</f>
        <v>-</v>
      </c>
      <c r="H430" s="2">
        <f t="shared" si="57"/>
        <v>0</v>
      </c>
      <c r="I430" s="2" t="str">
        <f>IF(ISERROR($B430),"-",IF(J429=0,0,SUM($H$33:H430)))</f>
        <v>-</v>
      </c>
      <c r="J430" s="2" t="str">
        <f t="shared" si="58"/>
        <v>-</v>
      </c>
      <c r="K430" s="2" t="str">
        <f t="shared" si="59"/>
        <v>-</v>
      </c>
      <c r="L430" s="2">
        <f t="shared" si="60"/>
        <v>0</v>
      </c>
      <c r="M430" s="2">
        <f t="shared" si="61"/>
        <v>0</v>
      </c>
      <c r="O430" s="2">
        <f>IF('Batt IN'!$N$18="Yes",BattLoan!F430*'Batt IN'!$E$7,0)</f>
        <v>0</v>
      </c>
    </row>
    <row r="431" spans="1:15" x14ac:dyDescent="0.25">
      <c r="B431" t="e">
        <f t="shared" si="62"/>
        <v>#N/A</v>
      </c>
      <c r="C431" s="2" t="str">
        <f t="shared" si="54"/>
        <v>0</v>
      </c>
      <c r="E431" s="10">
        <f t="shared" si="55"/>
        <v>0</v>
      </c>
      <c r="F431" s="2">
        <f t="shared" si="56"/>
        <v>0</v>
      </c>
      <c r="G431" s="2" t="str">
        <f>IF(ISERROR(B431),"-",IF(J430=0,0,SUM($F$33:F431)))</f>
        <v>-</v>
      </c>
      <c r="H431" s="2">
        <f t="shared" si="57"/>
        <v>0</v>
      </c>
      <c r="I431" s="2" t="str">
        <f>IF(ISERROR($B431),"-",IF(J430=0,0,SUM($H$33:H431)))</f>
        <v>-</v>
      </c>
      <c r="J431" s="2" t="str">
        <f t="shared" si="58"/>
        <v>-</v>
      </c>
      <c r="K431" s="2" t="str">
        <f t="shared" si="59"/>
        <v>-</v>
      </c>
      <c r="L431" s="2">
        <f t="shared" si="60"/>
        <v>0</v>
      </c>
      <c r="M431" s="2">
        <f t="shared" si="61"/>
        <v>0</v>
      </c>
      <c r="O431" s="2">
        <f>IF('Batt IN'!$N$18="Yes",BattLoan!F431*'Batt IN'!$E$7,0)</f>
        <v>0</v>
      </c>
    </row>
    <row r="432" spans="1:15" x14ac:dyDescent="0.25">
      <c r="B432" t="e">
        <f t="shared" si="62"/>
        <v>#N/A</v>
      </c>
      <c r="C432" s="2" t="str">
        <f t="shared" si="54"/>
        <v>0</v>
      </c>
      <c r="E432" s="10">
        <f t="shared" si="55"/>
        <v>0</v>
      </c>
      <c r="F432" s="2">
        <f t="shared" si="56"/>
        <v>0</v>
      </c>
      <c r="G432" s="2" t="str">
        <f>IF(ISERROR(B432),"-",IF(J431=0,0,SUM($F$33:F432)))</f>
        <v>-</v>
      </c>
      <c r="H432" s="2">
        <f t="shared" si="57"/>
        <v>0</v>
      </c>
      <c r="I432" s="2" t="str">
        <f>IF(ISERROR($B432),"-",IF(J431=0,0,SUM($H$33:H432)))</f>
        <v>-</v>
      </c>
      <c r="J432" s="2" t="str">
        <f t="shared" si="58"/>
        <v>-</v>
      </c>
      <c r="K432" s="2" t="str">
        <f t="shared" si="59"/>
        <v>-</v>
      </c>
      <c r="L432" s="2">
        <f t="shared" si="60"/>
        <v>0</v>
      </c>
      <c r="M432" s="2">
        <f t="shared" si="61"/>
        <v>0</v>
      </c>
      <c r="O432" s="2">
        <f>IF('Batt IN'!$N$18="Yes",BattLoan!F432*'Batt IN'!$E$7,0)</f>
        <v>0</v>
      </c>
    </row>
    <row r="433" spans="1:15" x14ac:dyDescent="0.25">
      <c r="B433" t="e">
        <f t="shared" si="62"/>
        <v>#N/A</v>
      </c>
      <c r="C433" s="2" t="str">
        <f t="shared" si="54"/>
        <v>0</v>
      </c>
      <c r="E433" s="10">
        <f t="shared" si="55"/>
        <v>0</v>
      </c>
      <c r="F433" s="2">
        <f t="shared" si="56"/>
        <v>0</v>
      </c>
      <c r="G433" s="2" t="str">
        <f>IF(ISERROR(B433),"-",IF(J432=0,0,SUM($F$33:F433)))</f>
        <v>-</v>
      </c>
      <c r="H433" s="2">
        <f t="shared" si="57"/>
        <v>0</v>
      </c>
      <c r="I433" s="2" t="str">
        <f>IF(ISERROR($B433),"-",IF(J432=0,0,SUM($H$33:H433)))</f>
        <v>-</v>
      </c>
      <c r="J433" s="2" t="str">
        <f t="shared" si="58"/>
        <v>-</v>
      </c>
      <c r="K433" s="2" t="str">
        <f t="shared" si="59"/>
        <v>-</v>
      </c>
      <c r="L433" s="2">
        <f t="shared" si="60"/>
        <v>0</v>
      </c>
      <c r="M433" s="2">
        <f t="shared" si="61"/>
        <v>0</v>
      </c>
      <c r="O433" s="2">
        <f>IF('Batt IN'!$N$18="Yes",BattLoan!F433*'Batt IN'!$E$7,0)</f>
        <v>0</v>
      </c>
    </row>
    <row r="434" spans="1:15" x14ac:dyDescent="0.25">
      <c r="B434" t="e">
        <f t="shared" si="62"/>
        <v>#N/A</v>
      </c>
      <c r="C434" s="2" t="str">
        <f t="shared" si="54"/>
        <v>0</v>
      </c>
      <c r="E434" s="10">
        <f t="shared" si="55"/>
        <v>0</v>
      </c>
      <c r="F434" s="2">
        <f t="shared" si="56"/>
        <v>0</v>
      </c>
      <c r="G434" s="2" t="str">
        <f>IF(ISERROR(B434),"-",IF(J433=0,0,SUM($F$33:F434)))</f>
        <v>-</v>
      </c>
      <c r="H434" s="2">
        <f t="shared" si="57"/>
        <v>0</v>
      </c>
      <c r="I434" s="2" t="str">
        <f>IF(ISERROR($B434),"-",IF(J433=0,0,SUM($H$33:H434)))</f>
        <v>-</v>
      </c>
      <c r="J434" s="2" t="str">
        <f t="shared" si="58"/>
        <v>-</v>
      </c>
      <c r="K434" s="2" t="str">
        <f t="shared" si="59"/>
        <v>-</v>
      </c>
      <c r="L434" s="2">
        <f t="shared" si="60"/>
        <v>0</v>
      </c>
      <c r="M434" s="2">
        <f t="shared" si="61"/>
        <v>0</v>
      </c>
      <c r="O434" s="2">
        <f>IF('Batt IN'!$N$18="Yes",BattLoan!F434*'Batt IN'!$E$7,0)</f>
        <v>0</v>
      </c>
    </row>
    <row r="435" spans="1:15" x14ac:dyDescent="0.25">
      <c r="B435" t="e">
        <f t="shared" si="62"/>
        <v>#N/A</v>
      </c>
      <c r="C435" s="2" t="str">
        <f t="shared" si="54"/>
        <v>0</v>
      </c>
      <c r="E435" s="10">
        <f t="shared" si="55"/>
        <v>0</v>
      </c>
      <c r="F435" s="2">
        <f t="shared" si="56"/>
        <v>0</v>
      </c>
      <c r="G435" s="2" t="str">
        <f>IF(ISERROR(B435),"-",IF(J434=0,0,SUM($F$33:F435)))</f>
        <v>-</v>
      </c>
      <c r="H435" s="2">
        <f t="shared" si="57"/>
        <v>0</v>
      </c>
      <c r="I435" s="2" t="str">
        <f>IF(ISERROR($B435),"-",IF(J434=0,0,SUM($H$33:H435)))</f>
        <v>-</v>
      </c>
      <c r="J435" s="2" t="str">
        <f t="shared" si="58"/>
        <v>-</v>
      </c>
      <c r="K435" s="2" t="str">
        <f t="shared" si="59"/>
        <v>-</v>
      </c>
      <c r="L435" s="2">
        <f t="shared" si="60"/>
        <v>0</v>
      </c>
      <c r="M435" s="2">
        <f t="shared" si="61"/>
        <v>0</v>
      </c>
      <c r="O435" s="2">
        <f>IF('Batt IN'!$N$18="Yes",BattLoan!F435*'Batt IN'!$E$7,0)</f>
        <v>0</v>
      </c>
    </row>
    <row r="436" spans="1:15" x14ac:dyDescent="0.25">
      <c r="B436" t="e">
        <f t="shared" si="62"/>
        <v>#N/A</v>
      </c>
      <c r="C436" s="2" t="str">
        <f t="shared" si="54"/>
        <v>0</v>
      </c>
      <c r="E436" s="10">
        <f t="shared" si="55"/>
        <v>0</v>
      </c>
      <c r="F436" s="2">
        <f t="shared" si="56"/>
        <v>0</v>
      </c>
      <c r="G436" s="2" t="str">
        <f>IF(ISERROR(B436),"-",IF(J435=0,0,SUM($F$33:F436)))</f>
        <v>-</v>
      </c>
      <c r="H436" s="2">
        <f t="shared" si="57"/>
        <v>0</v>
      </c>
      <c r="I436" s="2" t="str">
        <f>IF(ISERROR($B436),"-",IF(J435=0,0,SUM($H$33:H436)))</f>
        <v>-</v>
      </c>
      <c r="J436" s="2" t="str">
        <f t="shared" si="58"/>
        <v>-</v>
      </c>
      <c r="K436" s="2" t="str">
        <f t="shared" si="59"/>
        <v>-</v>
      </c>
      <c r="L436" s="2">
        <f t="shared" si="60"/>
        <v>0</v>
      </c>
      <c r="M436" s="2">
        <f t="shared" si="61"/>
        <v>0</v>
      </c>
      <c r="O436" s="2">
        <f>IF('Batt IN'!$N$18="Yes",BattLoan!F436*'Batt IN'!$E$7,0)</f>
        <v>0</v>
      </c>
    </row>
    <row r="437" spans="1:15" x14ac:dyDescent="0.25">
      <c r="B437" t="e">
        <f t="shared" si="62"/>
        <v>#N/A</v>
      </c>
      <c r="C437" s="2" t="str">
        <f t="shared" si="54"/>
        <v>0</v>
      </c>
      <c r="E437" s="10">
        <f t="shared" si="55"/>
        <v>0</v>
      </c>
      <c r="F437" s="2">
        <f t="shared" si="56"/>
        <v>0</v>
      </c>
      <c r="G437" s="2" t="str">
        <f>IF(ISERROR(B437),"-",IF(J436=0,0,SUM($F$33:F437)))</f>
        <v>-</v>
      </c>
      <c r="H437" s="2">
        <f t="shared" si="57"/>
        <v>0</v>
      </c>
      <c r="I437" s="2" t="str">
        <f>IF(ISERROR($B437),"-",IF(J436=0,0,SUM($H$33:H437)))</f>
        <v>-</v>
      </c>
      <c r="J437" s="2" t="str">
        <f t="shared" si="58"/>
        <v>-</v>
      </c>
      <c r="K437" s="2" t="str">
        <f t="shared" si="59"/>
        <v>-</v>
      </c>
      <c r="L437" s="2">
        <f t="shared" si="60"/>
        <v>0</v>
      </c>
      <c r="M437" s="2">
        <f t="shared" si="61"/>
        <v>0</v>
      </c>
      <c r="O437" s="2">
        <f>IF('Batt IN'!$N$18="Yes",BattLoan!F437*'Batt IN'!$E$7,0)</f>
        <v>0</v>
      </c>
    </row>
    <row r="438" spans="1:15" x14ac:dyDescent="0.25">
      <c r="B438" t="e">
        <f t="shared" si="62"/>
        <v>#N/A</v>
      </c>
      <c r="C438" s="2" t="str">
        <f t="shared" si="54"/>
        <v>0</v>
      </c>
      <c r="E438" s="10">
        <f t="shared" si="55"/>
        <v>0</v>
      </c>
      <c r="F438" s="2">
        <f t="shared" si="56"/>
        <v>0</v>
      </c>
      <c r="G438" s="2" t="str">
        <f>IF(ISERROR(B438),"-",IF(J437=0,0,SUM($F$33:F438)))</f>
        <v>-</v>
      </c>
      <c r="H438" s="2">
        <f t="shared" si="57"/>
        <v>0</v>
      </c>
      <c r="I438" s="2" t="str">
        <f>IF(ISERROR($B438),"-",IF(J437=0,0,SUM($H$33:H438)))</f>
        <v>-</v>
      </c>
      <c r="J438" s="2" t="str">
        <f t="shared" si="58"/>
        <v>-</v>
      </c>
      <c r="K438" s="2" t="str">
        <f t="shared" si="59"/>
        <v>-</v>
      </c>
      <c r="L438" s="2">
        <f t="shared" si="60"/>
        <v>0</v>
      </c>
      <c r="M438" s="2">
        <f t="shared" si="61"/>
        <v>0</v>
      </c>
      <c r="O438" s="2">
        <f>IF('Batt IN'!$N$18="Yes",BattLoan!F438*'Batt IN'!$E$7,0)</f>
        <v>0</v>
      </c>
    </row>
    <row r="439" spans="1:15" x14ac:dyDescent="0.25">
      <c r="B439" t="e">
        <f t="shared" si="62"/>
        <v>#N/A</v>
      </c>
      <c r="C439" s="2" t="str">
        <f t="shared" si="54"/>
        <v>0</v>
      </c>
      <c r="E439" s="10">
        <f t="shared" si="55"/>
        <v>0</v>
      </c>
      <c r="F439" s="2">
        <f t="shared" si="56"/>
        <v>0</v>
      </c>
      <c r="G439" s="2" t="str">
        <f>IF(ISERROR(B439),"-",IF(J438=0,0,SUM($F$33:F439)))</f>
        <v>-</v>
      </c>
      <c r="H439" s="2">
        <f t="shared" si="57"/>
        <v>0</v>
      </c>
      <c r="I439" s="2" t="str">
        <f>IF(ISERROR($B439),"-",IF(J438=0,0,SUM($H$33:H439)))</f>
        <v>-</v>
      </c>
      <c r="J439" s="2" t="str">
        <f t="shared" si="58"/>
        <v>-</v>
      </c>
      <c r="K439" s="2" t="str">
        <f t="shared" si="59"/>
        <v>-</v>
      </c>
      <c r="L439" s="2">
        <f t="shared" si="60"/>
        <v>0</v>
      </c>
      <c r="M439" s="2">
        <f t="shared" si="61"/>
        <v>0</v>
      </c>
      <c r="O439" s="2">
        <f>IF('Batt IN'!$N$18="Yes",BattLoan!F439*'Batt IN'!$E$7,0)</f>
        <v>0</v>
      </c>
    </row>
    <row r="440" spans="1:15" x14ac:dyDescent="0.25">
      <c r="A440">
        <v>34</v>
      </c>
      <c r="B440" t="e">
        <f t="shared" si="62"/>
        <v>#N/A</v>
      </c>
      <c r="C440" s="2" t="str">
        <f t="shared" si="54"/>
        <v>0</v>
      </c>
      <c r="E440" s="10">
        <f t="shared" si="55"/>
        <v>0</v>
      </c>
      <c r="F440" s="2">
        <f t="shared" si="56"/>
        <v>0</v>
      </c>
      <c r="G440" s="2" t="str">
        <f>IF(ISERROR(B440),"-",IF(J439=0,0,SUM($F$33:F440)))</f>
        <v>-</v>
      </c>
      <c r="H440" s="2">
        <f t="shared" si="57"/>
        <v>0</v>
      </c>
      <c r="I440" s="2" t="str">
        <f>IF(ISERROR($B440),"-",IF(J439=0,0,SUM($H$33:H440)))</f>
        <v>-</v>
      </c>
      <c r="J440" s="2" t="str">
        <f t="shared" si="58"/>
        <v>-</v>
      </c>
      <c r="K440" s="2" t="str">
        <f t="shared" si="59"/>
        <v>-</v>
      </c>
      <c r="L440" s="2">
        <f t="shared" si="60"/>
        <v>0</v>
      </c>
      <c r="M440" s="2">
        <f t="shared" si="61"/>
        <v>0</v>
      </c>
      <c r="O440" s="2">
        <f>IF('Batt IN'!$N$18="Yes",BattLoan!F440*'Batt IN'!$E$7,0)</f>
        <v>0</v>
      </c>
    </row>
    <row r="441" spans="1:15" x14ac:dyDescent="0.25">
      <c r="B441" t="e">
        <f t="shared" si="62"/>
        <v>#N/A</v>
      </c>
      <c r="C441" s="2" t="str">
        <f t="shared" si="54"/>
        <v>0</v>
      </c>
      <c r="E441" s="10">
        <f t="shared" si="55"/>
        <v>0</v>
      </c>
      <c r="F441" s="2">
        <f t="shared" si="56"/>
        <v>0</v>
      </c>
      <c r="G441" s="2" t="str">
        <f>IF(ISERROR(B441),"-",IF(J440=0,0,SUM($F$33:F441)))</f>
        <v>-</v>
      </c>
      <c r="H441" s="2">
        <f t="shared" si="57"/>
        <v>0</v>
      </c>
      <c r="I441" s="2" t="str">
        <f>IF(ISERROR($B441),"-",IF(J440=0,0,SUM($H$33:H441)))</f>
        <v>-</v>
      </c>
      <c r="J441" s="2" t="str">
        <f t="shared" si="58"/>
        <v>-</v>
      </c>
      <c r="K441" s="2" t="str">
        <f t="shared" si="59"/>
        <v>-</v>
      </c>
      <c r="L441" s="2">
        <f t="shared" si="60"/>
        <v>0</v>
      </c>
      <c r="M441" s="2">
        <f t="shared" si="61"/>
        <v>0</v>
      </c>
      <c r="O441" s="2">
        <f>IF('Batt IN'!$N$18="Yes",BattLoan!F441*'Batt IN'!$E$7,0)</f>
        <v>0</v>
      </c>
    </row>
    <row r="442" spans="1:15" x14ac:dyDescent="0.25">
      <c r="B442" t="e">
        <f t="shared" si="62"/>
        <v>#N/A</v>
      </c>
      <c r="C442" s="2" t="str">
        <f t="shared" si="54"/>
        <v>0</v>
      </c>
      <c r="E442" s="10">
        <f t="shared" si="55"/>
        <v>0</v>
      </c>
      <c r="F442" s="2">
        <f t="shared" si="56"/>
        <v>0</v>
      </c>
      <c r="G442" s="2" t="str">
        <f>IF(ISERROR(B442),"-",IF(J441=0,0,SUM($F$33:F442)))</f>
        <v>-</v>
      </c>
      <c r="H442" s="2">
        <f t="shared" si="57"/>
        <v>0</v>
      </c>
      <c r="I442" s="2" t="str">
        <f>IF(ISERROR($B442),"-",IF(J441=0,0,SUM($H$33:H442)))</f>
        <v>-</v>
      </c>
      <c r="J442" s="2" t="str">
        <f t="shared" si="58"/>
        <v>-</v>
      </c>
      <c r="K442" s="2" t="str">
        <f t="shared" si="59"/>
        <v>-</v>
      </c>
      <c r="L442" s="2">
        <f t="shared" si="60"/>
        <v>0</v>
      </c>
      <c r="M442" s="2">
        <f t="shared" si="61"/>
        <v>0</v>
      </c>
      <c r="O442" s="2">
        <f>IF('Batt IN'!$N$18="Yes",BattLoan!F442*'Batt IN'!$E$7,0)</f>
        <v>0</v>
      </c>
    </row>
    <row r="443" spans="1:15" x14ac:dyDescent="0.25">
      <c r="B443" t="e">
        <f t="shared" si="62"/>
        <v>#N/A</v>
      </c>
      <c r="C443" s="2" t="str">
        <f t="shared" si="54"/>
        <v>0</v>
      </c>
      <c r="E443" s="10">
        <f t="shared" si="55"/>
        <v>0</v>
      </c>
      <c r="F443" s="2">
        <f t="shared" si="56"/>
        <v>0</v>
      </c>
      <c r="G443" s="2" t="str">
        <f>IF(ISERROR(B443),"-",IF(J442=0,0,SUM($F$33:F443)))</f>
        <v>-</v>
      </c>
      <c r="H443" s="2">
        <f t="shared" si="57"/>
        <v>0</v>
      </c>
      <c r="I443" s="2" t="str">
        <f>IF(ISERROR($B443),"-",IF(J442=0,0,SUM($H$33:H443)))</f>
        <v>-</v>
      </c>
      <c r="J443" s="2" t="str">
        <f t="shared" si="58"/>
        <v>-</v>
      </c>
      <c r="K443" s="2" t="str">
        <f t="shared" si="59"/>
        <v>-</v>
      </c>
      <c r="L443" s="2">
        <f t="shared" si="60"/>
        <v>0</v>
      </c>
      <c r="M443" s="2">
        <f t="shared" si="61"/>
        <v>0</v>
      </c>
      <c r="O443" s="2">
        <f>IF('Batt IN'!$N$18="Yes",BattLoan!F443*'Batt IN'!$E$7,0)</f>
        <v>0</v>
      </c>
    </row>
    <row r="444" spans="1:15" x14ac:dyDescent="0.25">
      <c r="B444" t="e">
        <f t="shared" si="62"/>
        <v>#N/A</v>
      </c>
      <c r="C444" s="2" t="str">
        <f t="shared" si="54"/>
        <v>0</v>
      </c>
      <c r="E444" s="10">
        <f t="shared" si="55"/>
        <v>0</v>
      </c>
      <c r="F444" s="2">
        <f t="shared" si="56"/>
        <v>0</v>
      </c>
      <c r="G444" s="2" t="str">
        <f>IF(ISERROR(B444),"-",IF(J443=0,0,SUM($F$33:F444)))</f>
        <v>-</v>
      </c>
      <c r="H444" s="2">
        <f t="shared" si="57"/>
        <v>0</v>
      </c>
      <c r="I444" s="2" t="str">
        <f>IF(ISERROR($B444),"-",IF(J443=0,0,SUM($H$33:H444)))</f>
        <v>-</v>
      </c>
      <c r="J444" s="2" t="str">
        <f t="shared" si="58"/>
        <v>-</v>
      </c>
      <c r="K444" s="2" t="str">
        <f t="shared" si="59"/>
        <v>-</v>
      </c>
      <c r="L444" s="2">
        <f t="shared" si="60"/>
        <v>0</v>
      </c>
      <c r="M444" s="2">
        <f t="shared" si="61"/>
        <v>0</v>
      </c>
      <c r="O444" s="2">
        <f>IF('Batt IN'!$N$18="Yes",BattLoan!F444*'Batt IN'!$E$7,0)</f>
        <v>0</v>
      </c>
    </row>
    <row r="445" spans="1:15" x14ac:dyDescent="0.25">
      <c r="B445" t="e">
        <f t="shared" si="62"/>
        <v>#N/A</v>
      </c>
      <c r="C445" s="2" t="str">
        <f t="shared" si="54"/>
        <v>0</v>
      </c>
      <c r="E445" s="10">
        <f t="shared" si="55"/>
        <v>0</v>
      </c>
      <c r="F445" s="2">
        <f t="shared" si="56"/>
        <v>0</v>
      </c>
      <c r="G445" s="2" t="str">
        <f>IF(ISERROR(B445),"-",IF(J444=0,0,SUM($F$33:F445)))</f>
        <v>-</v>
      </c>
      <c r="H445" s="2">
        <f t="shared" si="57"/>
        <v>0</v>
      </c>
      <c r="I445" s="2" t="str">
        <f>IF(ISERROR($B445),"-",IF(J444=0,0,SUM($H$33:H445)))</f>
        <v>-</v>
      </c>
      <c r="J445" s="2" t="str">
        <f t="shared" si="58"/>
        <v>-</v>
      </c>
      <c r="K445" s="2" t="str">
        <f t="shared" si="59"/>
        <v>-</v>
      </c>
      <c r="L445" s="2">
        <f t="shared" si="60"/>
        <v>0</v>
      </c>
      <c r="M445" s="2">
        <f t="shared" si="61"/>
        <v>0</v>
      </c>
      <c r="O445" s="2">
        <f>IF('Batt IN'!$N$18="Yes",BattLoan!F445*'Batt IN'!$E$7,0)</f>
        <v>0</v>
      </c>
    </row>
    <row r="446" spans="1:15" x14ac:dyDescent="0.25">
      <c r="B446" t="e">
        <f t="shared" si="62"/>
        <v>#N/A</v>
      </c>
      <c r="C446" s="2" t="str">
        <f t="shared" si="54"/>
        <v>0</v>
      </c>
      <c r="E446" s="10">
        <f t="shared" si="55"/>
        <v>0</v>
      </c>
      <c r="F446" s="2">
        <f t="shared" si="56"/>
        <v>0</v>
      </c>
      <c r="G446" s="2" t="str">
        <f>IF(ISERROR(B446),"-",IF(J445=0,0,SUM($F$33:F446)))</f>
        <v>-</v>
      </c>
      <c r="H446" s="2">
        <f t="shared" si="57"/>
        <v>0</v>
      </c>
      <c r="I446" s="2" t="str">
        <f>IF(ISERROR($B446),"-",IF(J445=0,0,SUM($H$33:H446)))</f>
        <v>-</v>
      </c>
      <c r="J446" s="2" t="str">
        <f t="shared" si="58"/>
        <v>-</v>
      </c>
      <c r="K446" s="2" t="str">
        <f t="shared" si="59"/>
        <v>-</v>
      </c>
      <c r="L446" s="2">
        <f t="shared" si="60"/>
        <v>0</v>
      </c>
      <c r="M446" s="2">
        <f t="shared" si="61"/>
        <v>0</v>
      </c>
      <c r="O446" s="2">
        <f>IF('Batt IN'!$N$18="Yes",BattLoan!F446*'Batt IN'!$E$7,0)</f>
        <v>0</v>
      </c>
    </row>
    <row r="447" spans="1:15" x14ac:dyDescent="0.25">
      <c r="B447" t="e">
        <f t="shared" si="62"/>
        <v>#N/A</v>
      </c>
      <c r="C447" s="2" t="str">
        <f t="shared" si="54"/>
        <v>0</v>
      </c>
      <c r="E447" s="10">
        <f t="shared" si="55"/>
        <v>0</v>
      </c>
      <c r="F447" s="2">
        <f t="shared" si="56"/>
        <v>0</v>
      </c>
      <c r="G447" s="2" t="str">
        <f>IF(ISERROR(B447),"-",IF(J446=0,0,SUM($F$33:F447)))</f>
        <v>-</v>
      </c>
      <c r="H447" s="2">
        <f t="shared" si="57"/>
        <v>0</v>
      </c>
      <c r="I447" s="2" t="str">
        <f>IF(ISERROR($B447),"-",IF(J446=0,0,SUM($H$33:H447)))</f>
        <v>-</v>
      </c>
      <c r="J447" s="2" t="str">
        <f t="shared" si="58"/>
        <v>-</v>
      </c>
      <c r="K447" s="2" t="str">
        <f t="shared" si="59"/>
        <v>-</v>
      </c>
      <c r="L447" s="2">
        <f t="shared" si="60"/>
        <v>0</v>
      </c>
      <c r="M447" s="2">
        <f t="shared" si="61"/>
        <v>0</v>
      </c>
      <c r="O447" s="2">
        <f>IF('Batt IN'!$N$18="Yes",BattLoan!F447*'Batt IN'!$E$7,0)</f>
        <v>0</v>
      </c>
    </row>
    <row r="448" spans="1:15" x14ac:dyDescent="0.25">
      <c r="B448" t="e">
        <f t="shared" si="62"/>
        <v>#N/A</v>
      </c>
      <c r="C448" s="2" t="str">
        <f t="shared" si="54"/>
        <v>0</v>
      </c>
      <c r="E448" s="10">
        <f t="shared" si="55"/>
        <v>0</v>
      </c>
      <c r="F448" s="2">
        <f t="shared" si="56"/>
        <v>0</v>
      </c>
      <c r="G448" s="2" t="str">
        <f>IF(ISERROR(B448),"-",IF(J447=0,0,SUM($F$33:F448)))</f>
        <v>-</v>
      </c>
      <c r="H448" s="2">
        <f t="shared" si="57"/>
        <v>0</v>
      </c>
      <c r="I448" s="2" t="str">
        <f>IF(ISERROR($B448),"-",IF(J447=0,0,SUM($H$33:H448)))</f>
        <v>-</v>
      </c>
      <c r="J448" s="2" t="str">
        <f t="shared" si="58"/>
        <v>-</v>
      </c>
      <c r="K448" s="2" t="str">
        <f t="shared" si="59"/>
        <v>-</v>
      </c>
      <c r="L448" s="2">
        <f t="shared" si="60"/>
        <v>0</v>
      </c>
      <c r="M448" s="2">
        <f t="shared" si="61"/>
        <v>0</v>
      </c>
      <c r="O448" s="2">
        <f>IF('Batt IN'!$N$18="Yes",BattLoan!F448*'Batt IN'!$E$7,0)</f>
        <v>0</v>
      </c>
    </row>
    <row r="449" spans="1:15" x14ac:dyDescent="0.25">
      <c r="B449" t="e">
        <f t="shared" si="62"/>
        <v>#N/A</v>
      </c>
      <c r="C449" s="2" t="str">
        <f t="shared" si="54"/>
        <v>0</v>
      </c>
      <c r="E449" s="10">
        <f t="shared" si="55"/>
        <v>0</v>
      </c>
      <c r="F449" s="2">
        <f t="shared" si="56"/>
        <v>0</v>
      </c>
      <c r="G449" s="2" t="str">
        <f>IF(ISERROR(B449),"-",IF(J448=0,0,SUM($F$33:F449)))</f>
        <v>-</v>
      </c>
      <c r="H449" s="2">
        <f t="shared" si="57"/>
        <v>0</v>
      </c>
      <c r="I449" s="2" t="str">
        <f>IF(ISERROR($B449),"-",IF(J448=0,0,SUM($H$33:H449)))</f>
        <v>-</v>
      </c>
      <c r="J449" s="2" t="str">
        <f t="shared" si="58"/>
        <v>-</v>
      </c>
      <c r="K449" s="2" t="str">
        <f t="shared" si="59"/>
        <v>-</v>
      </c>
      <c r="L449" s="2">
        <f t="shared" si="60"/>
        <v>0</v>
      </c>
      <c r="M449" s="2">
        <f t="shared" si="61"/>
        <v>0</v>
      </c>
      <c r="O449" s="2">
        <f>IF('Batt IN'!$N$18="Yes",BattLoan!F449*'Batt IN'!$E$7,0)</f>
        <v>0</v>
      </c>
    </row>
    <row r="450" spans="1:15" x14ac:dyDescent="0.25">
      <c r="B450" t="e">
        <f t="shared" si="62"/>
        <v>#N/A</v>
      </c>
      <c r="C450" s="2" t="str">
        <f t="shared" si="54"/>
        <v>0</v>
      </c>
      <c r="E450" s="10">
        <f t="shared" si="55"/>
        <v>0</v>
      </c>
      <c r="F450" s="2">
        <f t="shared" si="56"/>
        <v>0</v>
      </c>
      <c r="G450" s="2" t="str">
        <f>IF(ISERROR(B450),"-",IF(J449=0,0,SUM($F$33:F450)))</f>
        <v>-</v>
      </c>
      <c r="H450" s="2">
        <f t="shared" si="57"/>
        <v>0</v>
      </c>
      <c r="I450" s="2" t="str">
        <f>IF(ISERROR($B450),"-",IF(J449=0,0,SUM($H$33:H450)))</f>
        <v>-</v>
      </c>
      <c r="J450" s="2" t="str">
        <f t="shared" si="58"/>
        <v>-</v>
      </c>
      <c r="K450" s="2" t="str">
        <f t="shared" si="59"/>
        <v>-</v>
      </c>
      <c r="L450" s="2">
        <f t="shared" si="60"/>
        <v>0</v>
      </c>
      <c r="M450" s="2">
        <f t="shared" si="61"/>
        <v>0</v>
      </c>
      <c r="O450" s="2">
        <f>IF('Batt IN'!$N$18="Yes",BattLoan!F450*'Batt IN'!$E$7,0)</f>
        <v>0</v>
      </c>
    </row>
    <row r="451" spans="1:15" x14ac:dyDescent="0.25">
      <c r="B451" t="e">
        <f t="shared" si="62"/>
        <v>#N/A</v>
      </c>
      <c r="C451" s="2" t="str">
        <f t="shared" si="54"/>
        <v>0</v>
      </c>
      <c r="E451" s="10">
        <f t="shared" si="55"/>
        <v>0</v>
      </c>
      <c r="F451" s="2">
        <f t="shared" si="56"/>
        <v>0</v>
      </c>
      <c r="G451" s="2" t="str">
        <f>IF(ISERROR(B451),"-",IF(J450=0,0,SUM($F$33:F451)))</f>
        <v>-</v>
      </c>
      <c r="H451" s="2">
        <f t="shared" si="57"/>
        <v>0</v>
      </c>
      <c r="I451" s="2" t="str">
        <f>IF(ISERROR($B451),"-",IF(J450=0,0,SUM($H$33:H451)))</f>
        <v>-</v>
      </c>
      <c r="J451" s="2" t="str">
        <f t="shared" si="58"/>
        <v>-</v>
      </c>
      <c r="K451" s="2" t="str">
        <f t="shared" si="59"/>
        <v>-</v>
      </c>
      <c r="L451" s="2">
        <f t="shared" si="60"/>
        <v>0</v>
      </c>
      <c r="M451" s="2">
        <f t="shared" si="61"/>
        <v>0</v>
      </c>
      <c r="O451" s="2">
        <f>IF('Batt IN'!$N$18="Yes",BattLoan!F451*'Batt IN'!$E$7,0)</f>
        <v>0</v>
      </c>
    </row>
    <row r="452" spans="1:15" x14ac:dyDescent="0.25">
      <c r="A452">
        <v>35</v>
      </c>
      <c r="B452" t="e">
        <f t="shared" si="62"/>
        <v>#N/A</v>
      </c>
      <c r="C452" s="2" t="str">
        <f t="shared" si="54"/>
        <v>0</v>
      </c>
      <c r="E452" s="10">
        <f t="shared" si="55"/>
        <v>0</v>
      </c>
      <c r="F452" s="2">
        <f t="shared" si="56"/>
        <v>0</v>
      </c>
      <c r="G452" s="2" t="str">
        <f>IF(ISERROR(B452),"-",IF(J451=0,0,SUM($F$33:F452)))</f>
        <v>-</v>
      </c>
      <c r="H452" s="2">
        <f t="shared" si="57"/>
        <v>0</v>
      </c>
      <c r="I452" s="2" t="str">
        <f>IF(ISERROR($B452),"-",IF(J451=0,0,SUM($H$33:H452)))</f>
        <v>-</v>
      </c>
      <c r="J452" s="2" t="str">
        <f t="shared" si="58"/>
        <v>-</v>
      </c>
      <c r="K452" s="2" t="str">
        <f t="shared" si="59"/>
        <v>-</v>
      </c>
      <c r="L452" s="2">
        <f t="shared" si="60"/>
        <v>0</v>
      </c>
      <c r="M452" s="2">
        <f t="shared" si="61"/>
        <v>0</v>
      </c>
      <c r="O452" s="2">
        <f>IF('Batt IN'!$N$18="Yes",BattLoan!F452*'Batt IN'!$E$7,0)</f>
        <v>0</v>
      </c>
    </row>
    <row r="453" spans="1:15" x14ac:dyDescent="0.25">
      <c r="B453" t="e">
        <f t="shared" si="62"/>
        <v>#N/A</v>
      </c>
      <c r="C453" s="2" t="str">
        <f t="shared" si="54"/>
        <v>0</v>
      </c>
      <c r="E453" s="10">
        <f t="shared" si="55"/>
        <v>0</v>
      </c>
      <c r="F453" s="2">
        <f t="shared" si="56"/>
        <v>0</v>
      </c>
      <c r="G453" s="2" t="str">
        <f>IF(ISERROR(B453),"-",IF(J452=0,0,SUM($F$33:F453)))</f>
        <v>-</v>
      </c>
      <c r="H453" s="2">
        <f t="shared" si="57"/>
        <v>0</v>
      </c>
      <c r="I453" s="2" t="str">
        <f>IF(ISERROR($B453),"-",IF(J452=0,0,SUM($H$33:H453)))</f>
        <v>-</v>
      </c>
      <c r="J453" s="2" t="str">
        <f t="shared" si="58"/>
        <v>-</v>
      </c>
      <c r="K453" s="2" t="str">
        <f t="shared" si="59"/>
        <v>-</v>
      </c>
      <c r="L453" s="2">
        <f t="shared" si="60"/>
        <v>0</v>
      </c>
      <c r="M453" s="2">
        <f t="shared" si="61"/>
        <v>0</v>
      </c>
      <c r="O453" s="2">
        <f>IF('Batt IN'!$N$18="Yes",BattLoan!F453*'Batt IN'!$E$7,0)</f>
        <v>0</v>
      </c>
    </row>
    <row r="454" spans="1:15" x14ac:dyDescent="0.25">
      <c r="B454" t="e">
        <f t="shared" si="62"/>
        <v>#N/A</v>
      </c>
      <c r="C454" s="2" t="str">
        <f t="shared" si="54"/>
        <v>0</v>
      </c>
      <c r="E454" s="10">
        <f t="shared" si="55"/>
        <v>0</v>
      </c>
      <c r="F454" s="2">
        <f t="shared" si="56"/>
        <v>0</v>
      </c>
      <c r="G454" s="2" t="str">
        <f>IF(ISERROR(B454),"-",IF(J453=0,0,SUM($F$33:F454)))</f>
        <v>-</v>
      </c>
      <c r="H454" s="2">
        <f t="shared" si="57"/>
        <v>0</v>
      </c>
      <c r="I454" s="2" t="str">
        <f>IF(ISERROR($B454),"-",IF(J453=0,0,SUM($H$33:H454)))</f>
        <v>-</v>
      </c>
      <c r="J454" s="2" t="str">
        <f t="shared" si="58"/>
        <v>-</v>
      </c>
      <c r="K454" s="2" t="str">
        <f t="shared" si="59"/>
        <v>-</v>
      </c>
      <c r="L454" s="2">
        <f t="shared" si="60"/>
        <v>0</v>
      </c>
      <c r="M454" s="2">
        <f t="shared" si="61"/>
        <v>0</v>
      </c>
      <c r="O454" s="2">
        <f>IF('Batt IN'!$N$18="Yes",BattLoan!F454*'Batt IN'!$E$7,0)</f>
        <v>0</v>
      </c>
    </row>
    <row r="455" spans="1:15" x14ac:dyDescent="0.25">
      <c r="B455" t="e">
        <f t="shared" si="62"/>
        <v>#N/A</v>
      </c>
      <c r="C455" s="2" t="str">
        <f t="shared" si="54"/>
        <v>0</v>
      </c>
      <c r="E455" s="10">
        <f t="shared" si="55"/>
        <v>0</v>
      </c>
      <c r="F455" s="2">
        <f t="shared" si="56"/>
        <v>0</v>
      </c>
      <c r="G455" s="2" t="str">
        <f>IF(ISERROR(B455),"-",IF(J454=0,0,SUM($F$33:F455)))</f>
        <v>-</v>
      </c>
      <c r="H455" s="2">
        <f t="shared" si="57"/>
        <v>0</v>
      </c>
      <c r="I455" s="2" t="str">
        <f>IF(ISERROR($B455),"-",IF(J454=0,0,SUM($H$33:H455)))</f>
        <v>-</v>
      </c>
      <c r="J455" s="2" t="str">
        <f t="shared" si="58"/>
        <v>-</v>
      </c>
      <c r="K455" s="2" t="str">
        <f t="shared" si="59"/>
        <v>-</v>
      </c>
      <c r="L455" s="2">
        <f t="shared" si="60"/>
        <v>0</v>
      </c>
      <c r="M455" s="2">
        <f t="shared" si="61"/>
        <v>0</v>
      </c>
      <c r="O455" s="2">
        <f>IF('Batt IN'!$N$18="Yes",BattLoan!F455*'Batt IN'!$E$7,0)</f>
        <v>0</v>
      </c>
    </row>
    <row r="456" spans="1:15" x14ac:dyDescent="0.25">
      <c r="B456" t="e">
        <f t="shared" si="62"/>
        <v>#N/A</v>
      </c>
      <c r="C456" s="2" t="str">
        <f t="shared" si="54"/>
        <v>0</v>
      </c>
      <c r="E456" s="10">
        <f t="shared" si="55"/>
        <v>0</v>
      </c>
      <c r="F456" s="2">
        <f t="shared" si="56"/>
        <v>0</v>
      </c>
      <c r="G456" s="2" t="str">
        <f>IF(ISERROR(B456),"-",IF(J455=0,0,SUM($F$33:F456)))</f>
        <v>-</v>
      </c>
      <c r="H456" s="2">
        <f t="shared" si="57"/>
        <v>0</v>
      </c>
      <c r="I456" s="2" t="str">
        <f>IF(ISERROR($B456),"-",IF(J455=0,0,SUM($H$33:H456)))</f>
        <v>-</v>
      </c>
      <c r="J456" s="2" t="str">
        <f t="shared" si="58"/>
        <v>-</v>
      </c>
      <c r="K456" s="2" t="str">
        <f t="shared" si="59"/>
        <v>-</v>
      </c>
      <c r="L456" s="2">
        <f t="shared" si="60"/>
        <v>0</v>
      </c>
      <c r="M456" s="2">
        <f t="shared" si="61"/>
        <v>0</v>
      </c>
      <c r="O456" s="2">
        <f>IF('Batt IN'!$N$18="Yes",BattLoan!F456*'Batt IN'!$E$7,0)</f>
        <v>0</v>
      </c>
    </row>
    <row r="457" spans="1:15" x14ac:dyDescent="0.25">
      <c r="B457" t="e">
        <f t="shared" si="62"/>
        <v>#N/A</v>
      </c>
      <c r="C457" s="2" t="str">
        <f t="shared" ref="C457:C512" si="63">IF(ISERROR(B457),"0",IF(J456=0,0,$E$11))</f>
        <v>0</v>
      </c>
      <c r="E457" s="10">
        <f t="shared" ref="E457:E512" si="64">C457+D457</f>
        <v>0</v>
      </c>
      <c r="F457" s="2">
        <f t="shared" ref="F457:F512" si="65">IF(ISERROR(B457),0,$E$8*J456)</f>
        <v>0</v>
      </c>
      <c r="G457" s="2" t="str">
        <f>IF(ISERROR(B457),"-",IF(J456=0,0,SUM($F$33:F457)))</f>
        <v>-</v>
      </c>
      <c r="H457" s="2">
        <f t="shared" ref="H457:H512" si="66">IF(ISERROR($B457),0,IF(J456=0,0,E457-F457))</f>
        <v>0</v>
      </c>
      <c r="I457" s="2" t="str">
        <f>IF(ISERROR($B457),"-",IF(J456=0,0,SUM($H$33:H457)))</f>
        <v>-</v>
      </c>
      <c r="J457" s="2" t="str">
        <f t="shared" ref="J457:J512" si="67">IF(ISERROR($B457),"-",IF(J456-H457&lt;0,0,J456-H457))</f>
        <v>-</v>
      </c>
      <c r="K457" s="2" t="str">
        <f t="shared" ref="K457:K512" si="68">IF(ISERROR(B457),"-",J456-H457)</f>
        <v>-</v>
      </c>
      <c r="L457" s="2">
        <f t="shared" ref="L457:L512" si="69">IF(K457&gt;=0,E457,E457+K457)</f>
        <v>0</v>
      </c>
      <c r="M457" s="2">
        <f t="shared" ref="M457:M512" si="70">-IF(K457&lt;0,K457,0)</f>
        <v>0</v>
      </c>
      <c r="O457" s="2">
        <f>IF('Batt IN'!$N$18="Yes",BattLoan!F457*'Batt IN'!$E$7,0)</f>
        <v>0</v>
      </c>
    </row>
    <row r="458" spans="1:15" x14ac:dyDescent="0.25">
      <c r="B458" t="e">
        <f t="shared" si="62"/>
        <v>#N/A</v>
      </c>
      <c r="C458" s="2" t="str">
        <f t="shared" si="63"/>
        <v>0</v>
      </c>
      <c r="E458" s="10">
        <f t="shared" si="64"/>
        <v>0</v>
      </c>
      <c r="F458" s="2">
        <f t="shared" si="65"/>
        <v>0</v>
      </c>
      <c r="G458" s="2" t="str">
        <f>IF(ISERROR(B458),"-",IF(J457=0,0,SUM($F$33:F458)))</f>
        <v>-</v>
      </c>
      <c r="H458" s="2">
        <f t="shared" si="66"/>
        <v>0</v>
      </c>
      <c r="I458" s="2" t="str">
        <f>IF(ISERROR($B458),"-",IF(J457=0,0,SUM($H$33:H458)))</f>
        <v>-</v>
      </c>
      <c r="J458" s="2" t="str">
        <f t="shared" si="67"/>
        <v>-</v>
      </c>
      <c r="K458" s="2" t="str">
        <f t="shared" si="68"/>
        <v>-</v>
      </c>
      <c r="L458" s="2">
        <f t="shared" si="69"/>
        <v>0</v>
      </c>
      <c r="M458" s="2">
        <f t="shared" si="70"/>
        <v>0</v>
      </c>
      <c r="O458" s="2">
        <f>IF('Batt IN'!$N$18="Yes",BattLoan!F458*'Batt IN'!$E$7,0)</f>
        <v>0</v>
      </c>
    </row>
    <row r="459" spans="1:15" x14ac:dyDescent="0.25">
      <c r="B459" t="e">
        <f t="shared" si="62"/>
        <v>#N/A</v>
      </c>
      <c r="C459" s="2" t="str">
        <f t="shared" si="63"/>
        <v>0</v>
      </c>
      <c r="E459" s="10">
        <f t="shared" si="64"/>
        <v>0</v>
      </c>
      <c r="F459" s="2">
        <f t="shared" si="65"/>
        <v>0</v>
      </c>
      <c r="G459" s="2" t="str">
        <f>IF(ISERROR(B459),"-",IF(J458=0,0,SUM($F$33:F459)))</f>
        <v>-</v>
      </c>
      <c r="H459" s="2">
        <f t="shared" si="66"/>
        <v>0</v>
      </c>
      <c r="I459" s="2" t="str">
        <f>IF(ISERROR($B459),"-",IF(J458=0,0,SUM($H$33:H459)))</f>
        <v>-</v>
      </c>
      <c r="J459" s="2" t="str">
        <f t="shared" si="67"/>
        <v>-</v>
      </c>
      <c r="K459" s="2" t="str">
        <f t="shared" si="68"/>
        <v>-</v>
      </c>
      <c r="L459" s="2">
        <f t="shared" si="69"/>
        <v>0</v>
      </c>
      <c r="M459" s="2">
        <f t="shared" si="70"/>
        <v>0</v>
      </c>
      <c r="O459" s="2">
        <f>IF('Batt IN'!$N$18="Yes",BattLoan!F459*'Batt IN'!$E$7,0)</f>
        <v>0</v>
      </c>
    </row>
    <row r="460" spans="1:15" x14ac:dyDescent="0.25">
      <c r="B460" t="e">
        <f t="shared" si="62"/>
        <v>#N/A</v>
      </c>
      <c r="C460" s="2" t="str">
        <f t="shared" si="63"/>
        <v>0</v>
      </c>
      <c r="E460" s="10">
        <f t="shared" si="64"/>
        <v>0</v>
      </c>
      <c r="F460" s="2">
        <f t="shared" si="65"/>
        <v>0</v>
      </c>
      <c r="G460" s="2" t="str">
        <f>IF(ISERROR(B460),"-",IF(J459=0,0,SUM($F$33:F460)))</f>
        <v>-</v>
      </c>
      <c r="H460" s="2">
        <f t="shared" si="66"/>
        <v>0</v>
      </c>
      <c r="I460" s="2" t="str">
        <f>IF(ISERROR($B460),"-",IF(J459=0,0,SUM($H$33:H460)))</f>
        <v>-</v>
      </c>
      <c r="J460" s="2" t="str">
        <f t="shared" si="67"/>
        <v>-</v>
      </c>
      <c r="K460" s="2" t="str">
        <f t="shared" si="68"/>
        <v>-</v>
      </c>
      <c r="L460" s="2">
        <f t="shared" si="69"/>
        <v>0</v>
      </c>
      <c r="M460" s="2">
        <f t="shared" si="70"/>
        <v>0</v>
      </c>
      <c r="O460" s="2">
        <f>IF('Batt IN'!$N$18="Yes",BattLoan!F460*'Batt IN'!$E$7,0)</f>
        <v>0</v>
      </c>
    </row>
    <row r="461" spans="1:15" x14ac:dyDescent="0.25">
      <c r="B461" t="e">
        <f t="shared" si="62"/>
        <v>#N/A</v>
      </c>
      <c r="C461" s="2" t="str">
        <f t="shared" si="63"/>
        <v>0</v>
      </c>
      <c r="E461" s="10">
        <f t="shared" si="64"/>
        <v>0</v>
      </c>
      <c r="F461" s="2">
        <f t="shared" si="65"/>
        <v>0</v>
      </c>
      <c r="G461" s="2" t="str">
        <f>IF(ISERROR(B461),"-",IF(J460=0,0,SUM($F$33:F461)))</f>
        <v>-</v>
      </c>
      <c r="H461" s="2">
        <f t="shared" si="66"/>
        <v>0</v>
      </c>
      <c r="I461" s="2" t="str">
        <f>IF(ISERROR($B461),"-",IF(J460=0,0,SUM($H$33:H461)))</f>
        <v>-</v>
      </c>
      <c r="J461" s="2" t="str">
        <f t="shared" si="67"/>
        <v>-</v>
      </c>
      <c r="K461" s="2" t="str">
        <f t="shared" si="68"/>
        <v>-</v>
      </c>
      <c r="L461" s="2">
        <f t="shared" si="69"/>
        <v>0</v>
      </c>
      <c r="M461" s="2">
        <f t="shared" si="70"/>
        <v>0</v>
      </c>
      <c r="O461" s="2">
        <f>IF('Batt IN'!$N$18="Yes",BattLoan!F461*'Batt IN'!$E$7,0)</f>
        <v>0</v>
      </c>
    </row>
    <row r="462" spans="1:15" x14ac:dyDescent="0.25">
      <c r="B462" t="e">
        <f t="shared" si="62"/>
        <v>#N/A</v>
      </c>
      <c r="C462" s="2" t="str">
        <f t="shared" si="63"/>
        <v>0</v>
      </c>
      <c r="E462" s="10">
        <f t="shared" si="64"/>
        <v>0</v>
      </c>
      <c r="F462" s="2">
        <f t="shared" si="65"/>
        <v>0</v>
      </c>
      <c r="G462" s="2" t="str">
        <f>IF(ISERROR(B462),"-",IF(J461=0,0,SUM($F$33:F462)))</f>
        <v>-</v>
      </c>
      <c r="H462" s="2">
        <f t="shared" si="66"/>
        <v>0</v>
      </c>
      <c r="I462" s="2" t="str">
        <f>IF(ISERROR($B462),"-",IF(J461=0,0,SUM($H$33:H462)))</f>
        <v>-</v>
      </c>
      <c r="J462" s="2" t="str">
        <f t="shared" si="67"/>
        <v>-</v>
      </c>
      <c r="K462" s="2" t="str">
        <f t="shared" si="68"/>
        <v>-</v>
      </c>
      <c r="L462" s="2">
        <f t="shared" si="69"/>
        <v>0</v>
      </c>
      <c r="M462" s="2">
        <f t="shared" si="70"/>
        <v>0</v>
      </c>
      <c r="O462" s="2">
        <f>IF('Batt IN'!$N$18="Yes",BattLoan!F462*'Batt IN'!$E$7,0)</f>
        <v>0</v>
      </c>
    </row>
    <row r="463" spans="1:15" x14ac:dyDescent="0.25">
      <c r="B463" t="e">
        <f t="shared" si="62"/>
        <v>#N/A</v>
      </c>
      <c r="C463" s="2" t="str">
        <f t="shared" si="63"/>
        <v>0</v>
      </c>
      <c r="E463" s="10">
        <f t="shared" si="64"/>
        <v>0</v>
      </c>
      <c r="F463" s="2">
        <f t="shared" si="65"/>
        <v>0</v>
      </c>
      <c r="G463" s="2" t="str">
        <f>IF(ISERROR(B463),"-",IF(J462=0,0,SUM($F$33:F463)))</f>
        <v>-</v>
      </c>
      <c r="H463" s="2">
        <f t="shared" si="66"/>
        <v>0</v>
      </c>
      <c r="I463" s="2" t="str">
        <f>IF(ISERROR($B463),"-",IF(J462=0,0,SUM($H$33:H463)))</f>
        <v>-</v>
      </c>
      <c r="J463" s="2" t="str">
        <f t="shared" si="67"/>
        <v>-</v>
      </c>
      <c r="K463" s="2" t="str">
        <f t="shared" si="68"/>
        <v>-</v>
      </c>
      <c r="L463" s="2">
        <f t="shared" si="69"/>
        <v>0</v>
      </c>
      <c r="M463" s="2">
        <f t="shared" si="70"/>
        <v>0</v>
      </c>
      <c r="O463" s="2">
        <f>IF('Batt IN'!$N$18="Yes",BattLoan!F463*'Batt IN'!$E$7,0)</f>
        <v>0</v>
      </c>
    </row>
    <row r="464" spans="1:15" x14ac:dyDescent="0.25">
      <c r="A464">
        <v>36</v>
      </c>
      <c r="B464" t="e">
        <f t="shared" si="62"/>
        <v>#N/A</v>
      </c>
      <c r="C464" s="2" t="str">
        <f t="shared" si="63"/>
        <v>0</v>
      </c>
      <c r="E464" s="10">
        <f t="shared" si="64"/>
        <v>0</v>
      </c>
      <c r="F464" s="2">
        <f t="shared" si="65"/>
        <v>0</v>
      </c>
      <c r="G464" s="2" t="str">
        <f>IF(ISERROR(B464),"-",IF(J463=0,0,SUM($F$33:F464)))</f>
        <v>-</v>
      </c>
      <c r="H464" s="2">
        <f t="shared" si="66"/>
        <v>0</v>
      </c>
      <c r="I464" s="2" t="str">
        <f>IF(ISERROR($B464),"-",IF(J463=0,0,SUM($H$33:H464)))</f>
        <v>-</v>
      </c>
      <c r="J464" s="2" t="str">
        <f t="shared" si="67"/>
        <v>-</v>
      </c>
      <c r="K464" s="2" t="str">
        <f t="shared" si="68"/>
        <v>-</v>
      </c>
      <c r="L464" s="2">
        <f t="shared" si="69"/>
        <v>0</v>
      </c>
      <c r="M464" s="2">
        <f t="shared" si="70"/>
        <v>0</v>
      </c>
      <c r="O464" s="2">
        <f>IF('Batt IN'!$N$18="Yes",BattLoan!F464*'Batt IN'!$E$7,0)</f>
        <v>0</v>
      </c>
    </row>
    <row r="465" spans="1:15" x14ac:dyDescent="0.25">
      <c r="B465" t="e">
        <f t="shared" si="62"/>
        <v>#N/A</v>
      </c>
      <c r="C465" s="2" t="str">
        <f t="shared" si="63"/>
        <v>0</v>
      </c>
      <c r="E465" s="10">
        <f t="shared" si="64"/>
        <v>0</v>
      </c>
      <c r="F465" s="2">
        <f t="shared" si="65"/>
        <v>0</v>
      </c>
      <c r="G465" s="2" t="str">
        <f>IF(ISERROR(B465),"-",IF(J464=0,0,SUM($F$33:F465)))</f>
        <v>-</v>
      </c>
      <c r="H465" s="2">
        <f t="shared" si="66"/>
        <v>0</v>
      </c>
      <c r="I465" s="2" t="str">
        <f>IF(ISERROR($B465),"-",IF(J464=0,0,SUM($H$33:H465)))</f>
        <v>-</v>
      </c>
      <c r="J465" s="2" t="str">
        <f t="shared" si="67"/>
        <v>-</v>
      </c>
      <c r="K465" s="2" t="str">
        <f t="shared" si="68"/>
        <v>-</v>
      </c>
      <c r="L465" s="2">
        <f t="shared" si="69"/>
        <v>0</v>
      </c>
      <c r="M465" s="2">
        <f t="shared" si="70"/>
        <v>0</v>
      </c>
      <c r="O465" s="2">
        <f>IF('Batt IN'!$N$18="Yes",BattLoan!F465*'Batt IN'!$E$7,0)</f>
        <v>0</v>
      </c>
    </row>
    <row r="466" spans="1:15" x14ac:dyDescent="0.25">
      <c r="B466" t="e">
        <f t="shared" si="62"/>
        <v>#N/A</v>
      </c>
      <c r="C466" s="2" t="str">
        <f t="shared" si="63"/>
        <v>0</v>
      </c>
      <c r="E466" s="10">
        <f t="shared" si="64"/>
        <v>0</v>
      </c>
      <c r="F466" s="2">
        <f t="shared" si="65"/>
        <v>0</v>
      </c>
      <c r="G466" s="2" t="str">
        <f>IF(ISERROR(B466),"-",IF(J465=0,0,SUM($F$33:F466)))</f>
        <v>-</v>
      </c>
      <c r="H466" s="2">
        <f t="shared" si="66"/>
        <v>0</v>
      </c>
      <c r="I466" s="2" t="str">
        <f>IF(ISERROR($B466),"-",IF(J465=0,0,SUM($H$33:H466)))</f>
        <v>-</v>
      </c>
      <c r="J466" s="2" t="str">
        <f t="shared" si="67"/>
        <v>-</v>
      </c>
      <c r="K466" s="2" t="str">
        <f t="shared" si="68"/>
        <v>-</v>
      </c>
      <c r="L466" s="2">
        <f t="shared" si="69"/>
        <v>0</v>
      </c>
      <c r="M466" s="2">
        <f t="shared" si="70"/>
        <v>0</v>
      </c>
      <c r="O466" s="2">
        <f>IF('Batt IN'!$N$18="Yes",BattLoan!F466*'Batt IN'!$E$7,0)</f>
        <v>0</v>
      </c>
    </row>
    <row r="467" spans="1:15" x14ac:dyDescent="0.25">
      <c r="B467" t="e">
        <f t="shared" si="62"/>
        <v>#N/A</v>
      </c>
      <c r="C467" s="2" t="str">
        <f t="shared" si="63"/>
        <v>0</v>
      </c>
      <c r="E467" s="10">
        <f t="shared" si="64"/>
        <v>0</v>
      </c>
      <c r="F467" s="2">
        <f t="shared" si="65"/>
        <v>0</v>
      </c>
      <c r="G467" s="2" t="str">
        <f>IF(ISERROR(B467),"-",IF(J466=0,0,SUM($F$33:F467)))</f>
        <v>-</v>
      </c>
      <c r="H467" s="2">
        <f t="shared" si="66"/>
        <v>0</v>
      </c>
      <c r="I467" s="2" t="str">
        <f>IF(ISERROR($B467),"-",IF(J466=0,0,SUM($H$33:H467)))</f>
        <v>-</v>
      </c>
      <c r="J467" s="2" t="str">
        <f t="shared" si="67"/>
        <v>-</v>
      </c>
      <c r="K467" s="2" t="str">
        <f t="shared" si="68"/>
        <v>-</v>
      </c>
      <c r="L467" s="2">
        <f t="shared" si="69"/>
        <v>0</v>
      </c>
      <c r="M467" s="2">
        <f t="shared" si="70"/>
        <v>0</v>
      </c>
      <c r="O467" s="2">
        <f>IF('Batt IN'!$N$18="Yes",BattLoan!F467*'Batt IN'!$E$7,0)</f>
        <v>0</v>
      </c>
    </row>
    <row r="468" spans="1:15" x14ac:dyDescent="0.25">
      <c r="B468" t="e">
        <f t="shared" si="62"/>
        <v>#N/A</v>
      </c>
      <c r="C468" s="2" t="str">
        <f t="shared" si="63"/>
        <v>0</v>
      </c>
      <c r="E468" s="10">
        <f t="shared" si="64"/>
        <v>0</v>
      </c>
      <c r="F468" s="2">
        <f t="shared" si="65"/>
        <v>0</v>
      </c>
      <c r="G468" s="2" t="str">
        <f>IF(ISERROR(B468),"-",IF(J467=0,0,SUM($F$33:F468)))</f>
        <v>-</v>
      </c>
      <c r="H468" s="2">
        <f t="shared" si="66"/>
        <v>0</v>
      </c>
      <c r="I468" s="2" t="str">
        <f>IF(ISERROR($B468),"-",IF(J467=0,0,SUM($H$33:H468)))</f>
        <v>-</v>
      </c>
      <c r="J468" s="2" t="str">
        <f t="shared" si="67"/>
        <v>-</v>
      </c>
      <c r="K468" s="2" t="str">
        <f t="shared" si="68"/>
        <v>-</v>
      </c>
      <c r="L468" s="2">
        <f t="shared" si="69"/>
        <v>0</v>
      </c>
      <c r="M468" s="2">
        <f t="shared" si="70"/>
        <v>0</v>
      </c>
      <c r="O468" s="2">
        <f>IF('Batt IN'!$N$18="Yes",BattLoan!F468*'Batt IN'!$E$7,0)</f>
        <v>0</v>
      </c>
    </row>
    <row r="469" spans="1:15" x14ac:dyDescent="0.25">
      <c r="B469" t="e">
        <f t="shared" si="62"/>
        <v>#N/A</v>
      </c>
      <c r="C469" s="2" t="str">
        <f t="shared" si="63"/>
        <v>0</v>
      </c>
      <c r="E469" s="10">
        <f t="shared" si="64"/>
        <v>0</v>
      </c>
      <c r="F469" s="2">
        <f t="shared" si="65"/>
        <v>0</v>
      </c>
      <c r="G469" s="2" t="str">
        <f>IF(ISERROR(B469),"-",IF(J468=0,0,SUM($F$33:F469)))</f>
        <v>-</v>
      </c>
      <c r="H469" s="2">
        <f t="shared" si="66"/>
        <v>0</v>
      </c>
      <c r="I469" s="2" t="str">
        <f>IF(ISERROR($B469),"-",IF(J468=0,0,SUM($H$33:H469)))</f>
        <v>-</v>
      </c>
      <c r="J469" s="2" t="str">
        <f t="shared" si="67"/>
        <v>-</v>
      </c>
      <c r="K469" s="2" t="str">
        <f t="shared" si="68"/>
        <v>-</v>
      </c>
      <c r="L469" s="2">
        <f t="shared" si="69"/>
        <v>0</v>
      </c>
      <c r="M469" s="2">
        <f t="shared" si="70"/>
        <v>0</v>
      </c>
      <c r="O469" s="2">
        <f>IF('Batt IN'!$N$18="Yes",BattLoan!F469*'Batt IN'!$E$7,0)</f>
        <v>0</v>
      </c>
    </row>
    <row r="470" spans="1:15" x14ac:dyDescent="0.25">
      <c r="B470" t="e">
        <f t="shared" si="62"/>
        <v>#N/A</v>
      </c>
      <c r="C470" s="2" t="str">
        <f t="shared" si="63"/>
        <v>0</v>
      </c>
      <c r="E470" s="10">
        <f t="shared" si="64"/>
        <v>0</v>
      </c>
      <c r="F470" s="2">
        <f t="shared" si="65"/>
        <v>0</v>
      </c>
      <c r="G470" s="2" t="str">
        <f>IF(ISERROR(B470),"-",IF(J469=0,0,SUM($F$33:F470)))</f>
        <v>-</v>
      </c>
      <c r="H470" s="2">
        <f t="shared" si="66"/>
        <v>0</v>
      </c>
      <c r="I470" s="2" t="str">
        <f>IF(ISERROR($B470),"-",IF(J469=0,0,SUM($H$33:H470)))</f>
        <v>-</v>
      </c>
      <c r="J470" s="2" t="str">
        <f t="shared" si="67"/>
        <v>-</v>
      </c>
      <c r="K470" s="2" t="str">
        <f t="shared" si="68"/>
        <v>-</v>
      </c>
      <c r="L470" s="2">
        <f t="shared" si="69"/>
        <v>0</v>
      </c>
      <c r="M470" s="2">
        <f t="shared" si="70"/>
        <v>0</v>
      </c>
      <c r="O470" s="2">
        <f>IF('Batt IN'!$N$18="Yes",BattLoan!F470*'Batt IN'!$E$7,0)</f>
        <v>0</v>
      </c>
    </row>
    <row r="471" spans="1:15" x14ac:dyDescent="0.25">
      <c r="B471" t="e">
        <f t="shared" si="62"/>
        <v>#N/A</v>
      </c>
      <c r="C471" s="2" t="str">
        <f t="shared" si="63"/>
        <v>0</v>
      </c>
      <c r="E471" s="10">
        <f t="shared" si="64"/>
        <v>0</v>
      </c>
      <c r="F471" s="2">
        <f t="shared" si="65"/>
        <v>0</v>
      </c>
      <c r="G471" s="2" t="str">
        <f>IF(ISERROR(B471),"-",IF(J470=0,0,SUM($F$33:F471)))</f>
        <v>-</v>
      </c>
      <c r="H471" s="2">
        <f t="shared" si="66"/>
        <v>0</v>
      </c>
      <c r="I471" s="2" t="str">
        <f>IF(ISERROR($B471),"-",IF(J470=0,0,SUM($H$33:H471)))</f>
        <v>-</v>
      </c>
      <c r="J471" s="2" t="str">
        <f t="shared" si="67"/>
        <v>-</v>
      </c>
      <c r="K471" s="2" t="str">
        <f t="shared" si="68"/>
        <v>-</v>
      </c>
      <c r="L471" s="2">
        <f t="shared" si="69"/>
        <v>0</v>
      </c>
      <c r="M471" s="2">
        <f t="shared" si="70"/>
        <v>0</v>
      </c>
      <c r="O471" s="2">
        <f>IF('Batt IN'!$N$18="Yes",BattLoan!F471*'Batt IN'!$E$7,0)</f>
        <v>0</v>
      </c>
    </row>
    <row r="472" spans="1:15" x14ac:dyDescent="0.25">
      <c r="B472" t="e">
        <f t="shared" si="62"/>
        <v>#N/A</v>
      </c>
      <c r="C472" s="2" t="str">
        <f t="shared" si="63"/>
        <v>0</v>
      </c>
      <c r="E472" s="10">
        <f t="shared" si="64"/>
        <v>0</v>
      </c>
      <c r="F472" s="2">
        <f t="shared" si="65"/>
        <v>0</v>
      </c>
      <c r="G472" s="2" t="str">
        <f>IF(ISERROR(B472),"-",IF(J471=0,0,SUM($F$33:F472)))</f>
        <v>-</v>
      </c>
      <c r="H472" s="2">
        <f t="shared" si="66"/>
        <v>0</v>
      </c>
      <c r="I472" s="2" t="str">
        <f>IF(ISERROR($B472),"-",IF(J471=0,0,SUM($H$33:H472)))</f>
        <v>-</v>
      </c>
      <c r="J472" s="2" t="str">
        <f t="shared" si="67"/>
        <v>-</v>
      </c>
      <c r="K472" s="2" t="str">
        <f t="shared" si="68"/>
        <v>-</v>
      </c>
      <c r="L472" s="2">
        <f t="shared" si="69"/>
        <v>0</v>
      </c>
      <c r="M472" s="2">
        <f t="shared" si="70"/>
        <v>0</v>
      </c>
      <c r="O472" s="2">
        <f>IF('Batt IN'!$N$18="Yes",BattLoan!F472*'Batt IN'!$E$7,0)</f>
        <v>0</v>
      </c>
    </row>
    <row r="473" spans="1:15" x14ac:dyDescent="0.25">
      <c r="B473" t="e">
        <f t="shared" si="62"/>
        <v>#N/A</v>
      </c>
      <c r="C473" s="2" t="str">
        <f t="shared" si="63"/>
        <v>0</v>
      </c>
      <c r="E473" s="10">
        <f t="shared" si="64"/>
        <v>0</v>
      </c>
      <c r="F473" s="2">
        <f t="shared" si="65"/>
        <v>0</v>
      </c>
      <c r="G473" s="2" t="str">
        <f>IF(ISERROR(B473),"-",IF(J472=0,0,SUM($F$33:F473)))</f>
        <v>-</v>
      </c>
      <c r="H473" s="2">
        <f t="shared" si="66"/>
        <v>0</v>
      </c>
      <c r="I473" s="2" t="str">
        <f>IF(ISERROR($B473),"-",IF(J472=0,0,SUM($H$33:H473)))</f>
        <v>-</v>
      </c>
      <c r="J473" s="2" t="str">
        <f t="shared" si="67"/>
        <v>-</v>
      </c>
      <c r="K473" s="2" t="str">
        <f t="shared" si="68"/>
        <v>-</v>
      </c>
      <c r="L473" s="2">
        <f t="shared" si="69"/>
        <v>0</v>
      </c>
      <c r="M473" s="2">
        <f t="shared" si="70"/>
        <v>0</v>
      </c>
      <c r="O473" s="2">
        <f>IF('Batt IN'!$N$18="Yes",BattLoan!F473*'Batt IN'!$E$7,0)</f>
        <v>0</v>
      </c>
    </row>
    <row r="474" spans="1:15" x14ac:dyDescent="0.25">
      <c r="B474" t="e">
        <f t="shared" si="62"/>
        <v>#N/A</v>
      </c>
      <c r="C474" s="2" t="str">
        <f t="shared" si="63"/>
        <v>0</v>
      </c>
      <c r="E474" s="10">
        <f t="shared" si="64"/>
        <v>0</v>
      </c>
      <c r="F474" s="2">
        <f t="shared" si="65"/>
        <v>0</v>
      </c>
      <c r="G474" s="2" t="str">
        <f>IF(ISERROR(B474),"-",IF(J473=0,0,SUM($F$33:F474)))</f>
        <v>-</v>
      </c>
      <c r="H474" s="2">
        <f t="shared" si="66"/>
        <v>0</v>
      </c>
      <c r="I474" s="2" t="str">
        <f>IF(ISERROR($B474),"-",IF(J473=0,0,SUM($H$33:H474)))</f>
        <v>-</v>
      </c>
      <c r="J474" s="2" t="str">
        <f t="shared" si="67"/>
        <v>-</v>
      </c>
      <c r="K474" s="2" t="str">
        <f t="shared" si="68"/>
        <v>-</v>
      </c>
      <c r="L474" s="2">
        <f t="shared" si="69"/>
        <v>0</v>
      </c>
      <c r="M474" s="2">
        <f t="shared" si="70"/>
        <v>0</v>
      </c>
      <c r="O474" s="2">
        <f>IF('Batt IN'!$N$18="Yes",BattLoan!F474*'Batt IN'!$E$7,0)</f>
        <v>0</v>
      </c>
    </row>
    <row r="475" spans="1:15" x14ac:dyDescent="0.25">
      <c r="B475" t="e">
        <f t="shared" si="62"/>
        <v>#N/A</v>
      </c>
      <c r="C475" s="2" t="str">
        <f t="shared" si="63"/>
        <v>0</v>
      </c>
      <c r="E475" s="10">
        <f t="shared" si="64"/>
        <v>0</v>
      </c>
      <c r="F475" s="2">
        <f t="shared" si="65"/>
        <v>0</v>
      </c>
      <c r="G475" s="2" t="str">
        <f>IF(ISERROR(B475),"-",IF(J474=0,0,SUM($F$33:F475)))</f>
        <v>-</v>
      </c>
      <c r="H475" s="2">
        <f t="shared" si="66"/>
        <v>0</v>
      </c>
      <c r="I475" s="2" t="str">
        <f>IF(ISERROR($B475),"-",IF(J474=0,0,SUM($H$33:H475)))</f>
        <v>-</v>
      </c>
      <c r="J475" s="2" t="str">
        <f t="shared" si="67"/>
        <v>-</v>
      </c>
      <c r="K475" s="2" t="str">
        <f t="shared" si="68"/>
        <v>-</v>
      </c>
      <c r="L475" s="2">
        <f t="shared" si="69"/>
        <v>0</v>
      </c>
      <c r="M475" s="2">
        <f t="shared" si="70"/>
        <v>0</v>
      </c>
      <c r="O475" s="2">
        <f>IF('Batt IN'!$N$18="Yes",BattLoan!F475*'Batt IN'!$E$7,0)</f>
        <v>0</v>
      </c>
    </row>
    <row r="476" spans="1:15" x14ac:dyDescent="0.25">
      <c r="A476">
        <v>37</v>
      </c>
      <c r="B476" t="e">
        <f t="shared" si="62"/>
        <v>#N/A</v>
      </c>
      <c r="C476" s="2" t="str">
        <f t="shared" si="63"/>
        <v>0</v>
      </c>
      <c r="E476" s="10">
        <f t="shared" si="64"/>
        <v>0</v>
      </c>
      <c r="F476" s="2">
        <f t="shared" si="65"/>
        <v>0</v>
      </c>
      <c r="G476" s="2" t="str">
        <f>IF(ISERROR(B476),"-",IF(J475=0,0,SUM($F$33:F476)))</f>
        <v>-</v>
      </c>
      <c r="H476" s="2">
        <f t="shared" si="66"/>
        <v>0</v>
      </c>
      <c r="I476" s="2" t="str">
        <f>IF(ISERROR($B476),"-",IF(J475=0,0,SUM($H$33:H476)))</f>
        <v>-</v>
      </c>
      <c r="J476" s="2" t="str">
        <f t="shared" si="67"/>
        <v>-</v>
      </c>
      <c r="K476" s="2" t="str">
        <f t="shared" si="68"/>
        <v>-</v>
      </c>
      <c r="L476" s="2">
        <f t="shared" si="69"/>
        <v>0</v>
      </c>
      <c r="M476" s="2">
        <f t="shared" si="70"/>
        <v>0</v>
      </c>
      <c r="O476" s="2">
        <f>IF('Batt IN'!$N$18="Yes",BattLoan!F476*'Batt IN'!$E$7,0)</f>
        <v>0</v>
      </c>
    </row>
    <row r="477" spans="1:15" x14ac:dyDescent="0.25">
      <c r="B477" t="e">
        <f t="shared" si="62"/>
        <v>#N/A</v>
      </c>
      <c r="C477" s="2" t="str">
        <f t="shared" si="63"/>
        <v>0</v>
      </c>
      <c r="E477" s="10">
        <f t="shared" si="64"/>
        <v>0</v>
      </c>
      <c r="F477" s="2">
        <f t="shared" si="65"/>
        <v>0</v>
      </c>
      <c r="G477" s="2" t="str">
        <f>IF(ISERROR(B477),"-",IF(J476=0,0,SUM($F$33:F477)))</f>
        <v>-</v>
      </c>
      <c r="H477" s="2">
        <f t="shared" si="66"/>
        <v>0</v>
      </c>
      <c r="I477" s="2" t="str">
        <f>IF(ISERROR($B477),"-",IF(J476=0,0,SUM($H$33:H477)))</f>
        <v>-</v>
      </c>
      <c r="J477" s="2" t="str">
        <f t="shared" si="67"/>
        <v>-</v>
      </c>
      <c r="K477" s="2" t="str">
        <f t="shared" si="68"/>
        <v>-</v>
      </c>
      <c r="L477" s="2">
        <f t="shared" si="69"/>
        <v>0</v>
      </c>
      <c r="M477" s="2">
        <f t="shared" si="70"/>
        <v>0</v>
      </c>
      <c r="O477" s="2">
        <f>IF('Batt IN'!$N$18="Yes",BattLoan!F477*'Batt IN'!$E$7,0)</f>
        <v>0</v>
      </c>
    </row>
    <row r="478" spans="1:15" x14ac:dyDescent="0.25">
      <c r="B478" t="e">
        <f t="shared" si="62"/>
        <v>#N/A</v>
      </c>
      <c r="C478" s="2" t="str">
        <f t="shared" si="63"/>
        <v>0</v>
      </c>
      <c r="E478" s="10">
        <f t="shared" si="64"/>
        <v>0</v>
      </c>
      <c r="F478" s="2">
        <f t="shared" si="65"/>
        <v>0</v>
      </c>
      <c r="G478" s="2" t="str">
        <f>IF(ISERROR(B478),"-",IF(J477=0,0,SUM($F$33:F478)))</f>
        <v>-</v>
      </c>
      <c r="H478" s="2">
        <f t="shared" si="66"/>
        <v>0</v>
      </c>
      <c r="I478" s="2" t="str">
        <f>IF(ISERROR($B478),"-",IF(J477=0,0,SUM($H$33:H478)))</f>
        <v>-</v>
      </c>
      <c r="J478" s="2" t="str">
        <f t="shared" si="67"/>
        <v>-</v>
      </c>
      <c r="K478" s="2" t="str">
        <f t="shared" si="68"/>
        <v>-</v>
      </c>
      <c r="L478" s="2">
        <f t="shared" si="69"/>
        <v>0</v>
      </c>
      <c r="M478" s="2">
        <f t="shared" si="70"/>
        <v>0</v>
      </c>
      <c r="O478" s="2">
        <f>IF('Batt IN'!$N$18="Yes",BattLoan!F478*'Batt IN'!$E$7,0)</f>
        <v>0</v>
      </c>
    </row>
    <row r="479" spans="1:15" x14ac:dyDescent="0.25">
      <c r="B479" t="e">
        <f t="shared" si="62"/>
        <v>#N/A</v>
      </c>
      <c r="C479" s="2" t="str">
        <f t="shared" si="63"/>
        <v>0</v>
      </c>
      <c r="E479" s="10">
        <f t="shared" si="64"/>
        <v>0</v>
      </c>
      <c r="F479" s="2">
        <f t="shared" si="65"/>
        <v>0</v>
      </c>
      <c r="G479" s="2" t="str">
        <f>IF(ISERROR(B479),"-",IF(J478=0,0,SUM($F$33:F479)))</f>
        <v>-</v>
      </c>
      <c r="H479" s="2">
        <f t="shared" si="66"/>
        <v>0</v>
      </c>
      <c r="I479" s="2" t="str">
        <f>IF(ISERROR($B479),"-",IF(J478=0,0,SUM($H$33:H479)))</f>
        <v>-</v>
      </c>
      <c r="J479" s="2" t="str">
        <f t="shared" si="67"/>
        <v>-</v>
      </c>
      <c r="K479" s="2" t="str">
        <f t="shared" si="68"/>
        <v>-</v>
      </c>
      <c r="L479" s="2">
        <f t="shared" si="69"/>
        <v>0</v>
      </c>
      <c r="M479" s="2">
        <f t="shared" si="70"/>
        <v>0</v>
      </c>
      <c r="O479" s="2">
        <f>IF('Batt IN'!$N$18="Yes",BattLoan!F479*'Batt IN'!$E$7,0)</f>
        <v>0</v>
      </c>
    </row>
    <row r="480" spans="1:15" x14ac:dyDescent="0.25">
      <c r="B480" t="e">
        <f t="shared" si="62"/>
        <v>#N/A</v>
      </c>
      <c r="C480" s="2" t="str">
        <f t="shared" si="63"/>
        <v>0</v>
      </c>
      <c r="E480" s="10">
        <f t="shared" si="64"/>
        <v>0</v>
      </c>
      <c r="F480" s="2">
        <f t="shared" si="65"/>
        <v>0</v>
      </c>
      <c r="G480" s="2" t="str">
        <f>IF(ISERROR(B480),"-",IF(J479=0,0,SUM($F$33:F480)))</f>
        <v>-</v>
      </c>
      <c r="H480" s="2">
        <f t="shared" si="66"/>
        <v>0</v>
      </c>
      <c r="I480" s="2" t="str">
        <f>IF(ISERROR($B480),"-",IF(J479=0,0,SUM($H$33:H480)))</f>
        <v>-</v>
      </c>
      <c r="J480" s="2" t="str">
        <f t="shared" si="67"/>
        <v>-</v>
      </c>
      <c r="K480" s="2" t="str">
        <f t="shared" si="68"/>
        <v>-</v>
      </c>
      <c r="L480" s="2">
        <f t="shared" si="69"/>
        <v>0</v>
      </c>
      <c r="M480" s="2">
        <f t="shared" si="70"/>
        <v>0</v>
      </c>
      <c r="O480" s="2">
        <f>IF('Batt IN'!$N$18="Yes",BattLoan!F480*'Batt IN'!$E$7,0)</f>
        <v>0</v>
      </c>
    </row>
    <row r="481" spans="1:15" x14ac:dyDescent="0.25">
      <c r="B481" t="e">
        <f t="shared" ref="B481:B512" si="71">IF(B480&gt;=$E$9,NA(),B480+1)</f>
        <v>#N/A</v>
      </c>
      <c r="C481" s="2" t="str">
        <f t="shared" si="63"/>
        <v>0</v>
      </c>
      <c r="E481" s="10">
        <f t="shared" si="64"/>
        <v>0</v>
      </c>
      <c r="F481" s="2">
        <f t="shared" si="65"/>
        <v>0</v>
      </c>
      <c r="G481" s="2" t="str">
        <f>IF(ISERROR(B481),"-",IF(J480=0,0,SUM($F$33:F481)))</f>
        <v>-</v>
      </c>
      <c r="H481" s="2">
        <f t="shared" si="66"/>
        <v>0</v>
      </c>
      <c r="I481" s="2" t="str">
        <f>IF(ISERROR($B481),"-",IF(J480=0,0,SUM($H$33:H481)))</f>
        <v>-</v>
      </c>
      <c r="J481" s="2" t="str">
        <f t="shared" si="67"/>
        <v>-</v>
      </c>
      <c r="K481" s="2" t="str">
        <f t="shared" si="68"/>
        <v>-</v>
      </c>
      <c r="L481" s="2">
        <f t="shared" si="69"/>
        <v>0</v>
      </c>
      <c r="M481" s="2">
        <f t="shared" si="70"/>
        <v>0</v>
      </c>
      <c r="O481" s="2">
        <f>IF('Batt IN'!$N$18="Yes",BattLoan!F481*'Batt IN'!$E$7,0)</f>
        <v>0</v>
      </c>
    </row>
    <row r="482" spans="1:15" x14ac:dyDescent="0.25">
      <c r="B482" t="e">
        <f t="shared" si="71"/>
        <v>#N/A</v>
      </c>
      <c r="C482" s="2" t="str">
        <f t="shared" si="63"/>
        <v>0</v>
      </c>
      <c r="E482" s="10">
        <f t="shared" si="64"/>
        <v>0</v>
      </c>
      <c r="F482" s="2">
        <f t="shared" si="65"/>
        <v>0</v>
      </c>
      <c r="G482" s="2" t="str">
        <f>IF(ISERROR(B482),"-",IF(J481=0,0,SUM($F$33:F482)))</f>
        <v>-</v>
      </c>
      <c r="H482" s="2">
        <f t="shared" si="66"/>
        <v>0</v>
      </c>
      <c r="I482" s="2" t="str">
        <f>IF(ISERROR($B482),"-",IF(J481=0,0,SUM($H$33:H482)))</f>
        <v>-</v>
      </c>
      <c r="J482" s="2" t="str">
        <f t="shared" si="67"/>
        <v>-</v>
      </c>
      <c r="K482" s="2" t="str">
        <f t="shared" si="68"/>
        <v>-</v>
      </c>
      <c r="L482" s="2">
        <f t="shared" si="69"/>
        <v>0</v>
      </c>
      <c r="M482" s="2">
        <f t="shared" si="70"/>
        <v>0</v>
      </c>
      <c r="O482" s="2">
        <f>IF('Batt IN'!$N$18="Yes",BattLoan!F482*'Batt IN'!$E$7,0)</f>
        <v>0</v>
      </c>
    </row>
    <row r="483" spans="1:15" x14ac:dyDescent="0.25">
      <c r="B483" t="e">
        <f t="shared" si="71"/>
        <v>#N/A</v>
      </c>
      <c r="C483" s="2" t="str">
        <f t="shared" si="63"/>
        <v>0</v>
      </c>
      <c r="E483" s="10">
        <f t="shared" si="64"/>
        <v>0</v>
      </c>
      <c r="F483" s="2">
        <f t="shared" si="65"/>
        <v>0</v>
      </c>
      <c r="G483" s="2" t="str">
        <f>IF(ISERROR(B483),"-",IF(J482=0,0,SUM($F$33:F483)))</f>
        <v>-</v>
      </c>
      <c r="H483" s="2">
        <f t="shared" si="66"/>
        <v>0</v>
      </c>
      <c r="I483" s="2" t="str">
        <f>IF(ISERROR($B483),"-",IF(J482=0,0,SUM($H$33:H483)))</f>
        <v>-</v>
      </c>
      <c r="J483" s="2" t="str">
        <f t="shared" si="67"/>
        <v>-</v>
      </c>
      <c r="K483" s="2" t="str">
        <f t="shared" si="68"/>
        <v>-</v>
      </c>
      <c r="L483" s="2">
        <f t="shared" si="69"/>
        <v>0</v>
      </c>
      <c r="M483" s="2">
        <f t="shared" si="70"/>
        <v>0</v>
      </c>
      <c r="O483" s="2">
        <f>IF('Batt IN'!$N$18="Yes",BattLoan!F483*'Batt IN'!$E$7,0)</f>
        <v>0</v>
      </c>
    </row>
    <row r="484" spans="1:15" x14ac:dyDescent="0.25">
      <c r="B484" t="e">
        <f t="shared" si="71"/>
        <v>#N/A</v>
      </c>
      <c r="C484" s="2" t="str">
        <f t="shared" si="63"/>
        <v>0</v>
      </c>
      <c r="E484" s="10">
        <f t="shared" si="64"/>
        <v>0</v>
      </c>
      <c r="F484" s="2">
        <f t="shared" si="65"/>
        <v>0</v>
      </c>
      <c r="G484" s="2" t="str">
        <f>IF(ISERROR(B484),"-",IF(J483=0,0,SUM($F$33:F484)))</f>
        <v>-</v>
      </c>
      <c r="H484" s="2">
        <f t="shared" si="66"/>
        <v>0</v>
      </c>
      <c r="I484" s="2" t="str">
        <f>IF(ISERROR($B484),"-",IF(J483=0,0,SUM($H$33:H484)))</f>
        <v>-</v>
      </c>
      <c r="J484" s="2" t="str">
        <f t="shared" si="67"/>
        <v>-</v>
      </c>
      <c r="K484" s="2" t="str">
        <f t="shared" si="68"/>
        <v>-</v>
      </c>
      <c r="L484" s="2">
        <f t="shared" si="69"/>
        <v>0</v>
      </c>
      <c r="M484" s="2">
        <f t="shared" si="70"/>
        <v>0</v>
      </c>
      <c r="O484" s="2">
        <f>IF('Batt IN'!$N$18="Yes",BattLoan!F484*'Batt IN'!$E$7,0)</f>
        <v>0</v>
      </c>
    </row>
    <row r="485" spans="1:15" x14ac:dyDescent="0.25">
      <c r="B485" t="e">
        <f t="shared" si="71"/>
        <v>#N/A</v>
      </c>
      <c r="C485" s="2" t="str">
        <f t="shared" si="63"/>
        <v>0</v>
      </c>
      <c r="E485" s="10">
        <f t="shared" si="64"/>
        <v>0</v>
      </c>
      <c r="F485" s="2">
        <f t="shared" si="65"/>
        <v>0</v>
      </c>
      <c r="G485" s="2" t="str">
        <f>IF(ISERROR(B485),"-",IF(J484=0,0,SUM($F$33:F485)))</f>
        <v>-</v>
      </c>
      <c r="H485" s="2">
        <f t="shared" si="66"/>
        <v>0</v>
      </c>
      <c r="I485" s="2" t="str">
        <f>IF(ISERROR($B485),"-",IF(J484=0,0,SUM($H$33:H485)))</f>
        <v>-</v>
      </c>
      <c r="J485" s="2" t="str">
        <f t="shared" si="67"/>
        <v>-</v>
      </c>
      <c r="K485" s="2" t="str">
        <f t="shared" si="68"/>
        <v>-</v>
      </c>
      <c r="L485" s="2">
        <f t="shared" si="69"/>
        <v>0</v>
      </c>
      <c r="M485" s="2">
        <f t="shared" si="70"/>
        <v>0</v>
      </c>
      <c r="O485" s="2">
        <f>IF('Batt IN'!$N$18="Yes",BattLoan!F485*'Batt IN'!$E$7,0)</f>
        <v>0</v>
      </c>
    </row>
    <row r="486" spans="1:15" x14ac:dyDescent="0.25">
      <c r="B486" t="e">
        <f t="shared" si="71"/>
        <v>#N/A</v>
      </c>
      <c r="C486" s="2" t="str">
        <f t="shared" si="63"/>
        <v>0</v>
      </c>
      <c r="E486" s="10">
        <f t="shared" si="64"/>
        <v>0</v>
      </c>
      <c r="F486" s="2">
        <f t="shared" si="65"/>
        <v>0</v>
      </c>
      <c r="G486" s="2" t="str">
        <f>IF(ISERROR(B486),"-",IF(J485=0,0,SUM($F$33:F486)))</f>
        <v>-</v>
      </c>
      <c r="H486" s="2">
        <f t="shared" si="66"/>
        <v>0</v>
      </c>
      <c r="I486" s="2" t="str">
        <f>IF(ISERROR($B486),"-",IF(J485=0,0,SUM($H$33:H486)))</f>
        <v>-</v>
      </c>
      <c r="J486" s="2" t="str">
        <f t="shared" si="67"/>
        <v>-</v>
      </c>
      <c r="K486" s="2" t="str">
        <f t="shared" si="68"/>
        <v>-</v>
      </c>
      <c r="L486" s="2">
        <f t="shared" si="69"/>
        <v>0</v>
      </c>
      <c r="M486" s="2">
        <f t="shared" si="70"/>
        <v>0</v>
      </c>
      <c r="O486" s="2">
        <f>IF('Batt IN'!$N$18="Yes",BattLoan!F486*'Batt IN'!$E$7,0)</f>
        <v>0</v>
      </c>
    </row>
    <row r="487" spans="1:15" x14ac:dyDescent="0.25">
      <c r="B487" t="e">
        <f t="shared" si="71"/>
        <v>#N/A</v>
      </c>
      <c r="C487" s="2" t="str">
        <f t="shared" si="63"/>
        <v>0</v>
      </c>
      <c r="E487" s="10">
        <f t="shared" si="64"/>
        <v>0</v>
      </c>
      <c r="F487" s="2">
        <f t="shared" si="65"/>
        <v>0</v>
      </c>
      <c r="G487" s="2" t="str">
        <f>IF(ISERROR(B487),"-",IF(J486=0,0,SUM($F$33:F487)))</f>
        <v>-</v>
      </c>
      <c r="H487" s="2">
        <f t="shared" si="66"/>
        <v>0</v>
      </c>
      <c r="I487" s="2" t="str">
        <f>IF(ISERROR($B487),"-",IF(J486=0,0,SUM($H$33:H487)))</f>
        <v>-</v>
      </c>
      <c r="J487" s="2" t="str">
        <f t="shared" si="67"/>
        <v>-</v>
      </c>
      <c r="K487" s="2" t="str">
        <f t="shared" si="68"/>
        <v>-</v>
      </c>
      <c r="L487" s="2">
        <f t="shared" si="69"/>
        <v>0</v>
      </c>
      <c r="M487" s="2">
        <f t="shared" si="70"/>
        <v>0</v>
      </c>
      <c r="O487" s="2">
        <f>IF('Batt IN'!$N$18="Yes",BattLoan!F487*'Batt IN'!$E$7,0)</f>
        <v>0</v>
      </c>
    </row>
    <row r="488" spans="1:15" x14ac:dyDescent="0.25">
      <c r="A488">
        <v>38</v>
      </c>
      <c r="B488" t="e">
        <f t="shared" si="71"/>
        <v>#N/A</v>
      </c>
      <c r="C488" s="2" t="str">
        <f t="shared" si="63"/>
        <v>0</v>
      </c>
      <c r="E488" s="10">
        <f t="shared" si="64"/>
        <v>0</v>
      </c>
      <c r="F488" s="2">
        <f t="shared" si="65"/>
        <v>0</v>
      </c>
      <c r="G488" s="2" t="str">
        <f>IF(ISERROR(B488),"-",IF(J487=0,0,SUM($F$33:F488)))</f>
        <v>-</v>
      </c>
      <c r="H488" s="2">
        <f t="shared" si="66"/>
        <v>0</v>
      </c>
      <c r="I488" s="2" t="str">
        <f>IF(ISERROR($B488),"-",IF(J487=0,0,SUM($H$33:H488)))</f>
        <v>-</v>
      </c>
      <c r="J488" s="2" t="str">
        <f t="shared" si="67"/>
        <v>-</v>
      </c>
      <c r="K488" s="2" t="str">
        <f t="shared" si="68"/>
        <v>-</v>
      </c>
      <c r="L488" s="2">
        <f t="shared" si="69"/>
        <v>0</v>
      </c>
      <c r="M488" s="2">
        <f t="shared" si="70"/>
        <v>0</v>
      </c>
      <c r="O488" s="2">
        <f>IF('Batt IN'!$N$18="Yes",BattLoan!F488*'Batt IN'!$E$7,0)</f>
        <v>0</v>
      </c>
    </row>
    <row r="489" spans="1:15" x14ac:dyDescent="0.25">
      <c r="B489" t="e">
        <f t="shared" si="71"/>
        <v>#N/A</v>
      </c>
      <c r="C489" s="2" t="str">
        <f t="shared" si="63"/>
        <v>0</v>
      </c>
      <c r="E489" s="10">
        <f t="shared" si="64"/>
        <v>0</v>
      </c>
      <c r="F489" s="2">
        <f t="shared" si="65"/>
        <v>0</v>
      </c>
      <c r="G489" s="2" t="str">
        <f>IF(ISERROR(B489),"-",IF(J488=0,0,SUM($F$33:F489)))</f>
        <v>-</v>
      </c>
      <c r="H489" s="2">
        <f t="shared" si="66"/>
        <v>0</v>
      </c>
      <c r="I489" s="2" t="str">
        <f>IF(ISERROR($B489),"-",IF(J488=0,0,SUM($H$33:H489)))</f>
        <v>-</v>
      </c>
      <c r="J489" s="2" t="str">
        <f t="shared" si="67"/>
        <v>-</v>
      </c>
      <c r="K489" s="2" t="str">
        <f t="shared" si="68"/>
        <v>-</v>
      </c>
      <c r="L489" s="2">
        <f t="shared" si="69"/>
        <v>0</v>
      </c>
      <c r="M489" s="2">
        <f t="shared" si="70"/>
        <v>0</v>
      </c>
      <c r="O489" s="2">
        <f>IF('Batt IN'!$N$18="Yes",BattLoan!F489*'Batt IN'!$E$7,0)</f>
        <v>0</v>
      </c>
    </row>
    <row r="490" spans="1:15" x14ac:dyDescent="0.25">
      <c r="B490" t="e">
        <f t="shared" si="71"/>
        <v>#N/A</v>
      </c>
      <c r="C490" s="2" t="str">
        <f t="shared" si="63"/>
        <v>0</v>
      </c>
      <c r="E490" s="10">
        <f t="shared" si="64"/>
        <v>0</v>
      </c>
      <c r="F490" s="2">
        <f t="shared" si="65"/>
        <v>0</v>
      </c>
      <c r="G490" s="2" t="str">
        <f>IF(ISERROR(B490),"-",IF(J489=0,0,SUM($F$33:F490)))</f>
        <v>-</v>
      </c>
      <c r="H490" s="2">
        <f t="shared" si="66"/>
        <v>0</v>
      </c>
      <c r="I490" s="2" t="str">
        <f>IF(ISERROR($B490),"-",IF(J489=0,0,SUM($H$33:H490)))</f>
        <v>-</v>
      </c>
      <c r="J490" s="2" t="str">
        <f t="shared" si="67"/>
        <v>-</v>
      </c>
      <c r="K490" s="2" t="str">
        <f t="shared" si="68"/>
        <v>-</v>
      </c>
      <c r="L490" s="2">
        <f t="shared" si="69"/>
        <v>0</v>
      </c>
      <c r="M490" s="2">
        <f t="shared" si="70"/>
        <v>0</v>
      </c>
      <c r="O490" s="2">
        <f>IF('Batt IN'!$N$18="Yes",BattLoan!F490*'Batt IN'!$E$7,0)</f>
        <v>0</v>
      </c>
    </row>
    <row r="491" spans="1:15" x14ac:dyDescent="0.25">
      <c r="B491" t="e">
        <f t="shared" si="71"/>
        <v>#N/A</v>
      </c>
      <c r="C491" s="2" t="str">
        <f t="shared" si="63"/>
        <v>0</v>
      </c>
      <c r="E491" s="10">
        <f t="shared" si="64"/>
        <v>0</v>
      </c>
      <c r="F491" s="2">
        <f t="shared" si="65"/>
        <v>0</v>
      </c>
      <c r="G491" s="2" t="str">
        <f>IF(ISERROR(B491),"-",IF(J490=0,0,SUM($F$33:F491)))</f>
        <v>-</v>
      </c>
      <c r="H491" s="2">
        <f t="shared" si="66"/>
        <v>0</v>
      </c>
      <c r="I491" s="2" t="str">
        <f>IF(ISERROR($B491),"-",IF(J490=0,0,SUM($H$33:H491)))</f>
        <v>-</v>
      </c>
      <c r="J491" s="2" t="str">
        <f t="shared" si="67"/>
        <v>-</v>
      </c>
      <c r="K491" s="2" t="str">
        <f t="shared" si="68"/>
        <v>-</v>
      </c>
      <c r="L491" s="2">
        <f t="shared" si="69"/>
        <v>0</v>
      </c>
      <c r="M491" s="2">
        <f t="shared" si="70"/>
        <v>0</v>
      </c>
      <c r="O491" s="2">
        <f>IF('Batt IN'!$N$18="Yes",BattLoan!F491*'Batt IN'!$E$7,0)</f>
        <v>0</v>
      </c>
    </row>
    <row r="492" spans="1:15" x14ac:dyDescent="0.25">
      <c r="B492" t="e">
        <f t="shared" si="71"/>
        <v>#N/A</v>
      </c>
      <c r="C492" s="2" t="str">
        <f t="shared" si="63"/>
        <v>0</v>
      </c>
      <c r="E492" s="10">
        <f t="shared" si="64"/>
        <v>0</v>
      </c>
      <c r="F492" s="2">
        <f t="shared" si="65"/>
        <v>0</v>
      </c>
      <c r="G492" s="2" t="str">
        <f>IF(ISERROR(B492),"-",IF(J491=0,0,SUM($F$33:F492)))</f>
        <v>-</v>
      </c>
      <c r="H492" s="2">
        <f t="shared" si="66"/>
        <v>0</v>
      </c>
      <c r="I492" s="2" t="str">
        <f>IF(ISERROR($B492),"-",IF(J491=0,0,SUM($H$33:H492)))</f>
        <v>-</v>
      </c>
      <c r="J492" s="2" t="str">
        <f t="shared" si="67"/>
        <v>-</v>
      </c>
      <c r="K492" s="2" t="str">
        <f t="shared" si="68"/>
        <v>-</v>
      </c>
      <c r="L492" s="2">
        <f t="shared" si="69"/>
        <v>0</v>
      </c>
      <c r="M492" s="2">
        <f t="shared" si="70"/>
        <v>0</v>
      </c>
      <c r="O492" s="2">
        <f>IF('Batt IN'!$N$18="Yes",BattLoan!F492*'Batt IN'!$E$7,0)</f>
        <v>0</v>
      </c>
    </row>
    <row r="493" spans="1:15" x14ac:dyDescent="0.25">
      <c r="B493" t="e">
        <f t="shared" si="71"/>
        <v>#N/A</v>
      </c>
      <c r="C493" s="2" t="str">
        <f t="shared" si="63"/>
        <v>0</v>
      </c>
      <c r="E493" s="10">
        <f t="shared" si="64"/>
        <v>0</v>
      </c>
      <c r="F493" s="2">
        <f t="shared" si="65"/>
        <v>0</v>
      </c>
      <c r="G493" s="2" t="str">
        <f>IF(ISERROR(B493),"-",IF(J492=0,0,SUM($F$33:F493)))</f>
        <v>-</v>
      </c>
      <c r="H493" s="2">
        <f t="shared" si="66"/>
        <v>0</v>
      </c>
      <c r="I493" s="2" t="str">
        <f>IF(ISERROR($B493),"-",IF(J492=0,0,SUM($H$33:H493)))</f>
        <v>-</v>
      </c>
      <c r="J493" s="2" t="str">
        <f t="shared" si="67"/>
        <v>-</v>
      </c>
      <c r="K493" s="2" t="str">
        <f t="shared" si="68"/>
        <v>-</v>
      </c>
      <c r="L493" s="2">
        <f t="shared" si="69"/>
        <v>0</v>
      </c>
      <c r="M493" s="2">
        <f t="shared" si="70"/>
        <v>0</v>
      </c>
      <c r="O493" s="2">
        <f>IF('Batt IN'!$N$18="Yes",BattLoan!F493*'Batt IN'!$E$7,0)</f>
        <v>0</v>
      </c>
    </row>
    <row r="494" spans="1:15" x14ac:dyDescent="0.25">
      <c r="B494" t="e">
        <f t="shared" si="71"/>
        <v>#N/A</v>
      </c>
      <c r="C494" s="2" t="str">
        <f t="shared" si="63"/>
        <v>0</v>
      </c>
      <c r="E494" s="10">
        <f t="shared" si="64"/>
        <v>0</v>
      </c>
      <c r="F494" s="2">
        <f t="shared" si="65"/>
        <v>0</v>
      </c>
      <c r="G494" s="2" t="str">
        <f>IF(ISERROR(B494),"-",IF(J493=0,0,SUM($F$33:F494)))</f>
        <v>-</v>
      </c>
      <c r="H494" s="2">
        <f t="shared" si="66"/>
        <v>0</v>
      </c>
      <c r="I494" s="2" t="str">
        <f>IF(ISERROR($B494),"-",IF(J493=0,0,SUM($H$33:H494)))</f>
        <v>-</v>
      </c>
      <c r="J494" s="2" t="str">
        <f t="shared" si="67"/>
        <v>-</v>
      </c>
      <c r="K494" s="2" t="str">
        <f t="shared" si="68"/>
        <v>-</v>
      </c>
      <c r="L494" s="2">
        <f t="shared" si="69"/>
        <v>0</v>
      </c>
      <c r="M494" s="2">
        <f t="shared" si="70"/>
        <v>0</v>
      </c>
      <c r="O494" s="2">
        <f>IF('Batt IN'!$N$18="Yes",BattLoan!F494*'Batt IN'!$E$7,0)</f>
        <v>0</v>
      </c>
    </row>
    <row r="495" spans="1:15" x14ac:dyDescent="0.25">
      <c r="B495" t="e">
        <f t="shared" si="71"/>
        <v>#N/A</v>
      </c>
      <c r="C495" s="2" t="str">
        <f t="shared" si="63"/>
        <v>0</v>
      </c>
      <c r="E495" s="10">
        <f t="shared" si="64"/>
        <v>0</v>
      </c>
      <c r="F495" s="2">
        <f t="shared" si="65"/>
        <v>0</v>
      </c>
      <c r="G495" s="2" t="str">
        <f>IF(ISERROR(B495),"-",IF(J494=0,0,SUM($F$33:F495)))</f>
        <v>-</v>
      </c>
      <c r="H495" s="2">
        <f t="shared" si="66"/>
        <v>0</v>
      </c>
      <c r="I495" s="2" t="str">
        <f>IF(ISERROR($B495),"-",IF(J494=0,0,SUM($H$33:H495)))</f>
        <v>-</v>
      </c>
      <c r="J495" s="2" t="str">
        <f t="shared" si="67"/>
        <v>-</v>
      </c>
      <c r="K495" s="2" t="str">
        <f t="shared" si="68"/>
        <v>-</v>
      </c>
      <c r="L495" s="2">
        <f t="shared" si="69"/>
        <v>0</v>
      </c>
      <c r="M495" s="2">
        <f t="shared" si="70"/>
        <v>0</v>
      </c>
      <c r="O495" s="2">
        <f>IF('Batt IN'!$N$18="Yes",BattLoan!F495*'Batt IN'!$E$7,0)</f>
        <v>0</v>
      </c>
    </row>
    <row r="496" spans="1:15" x14ac:dyDescent="0.25">
      <c r="B496" t="e">
        <f t="shared" si="71"/>
        <v>#N/A</v>
      </c>
      <c r="C496" s="2" t="str">
        <f t="shared" si="63"/>
        <v>0</v>
      </c>
      <c r="E496" s="10">
        <f t="shared" si="64"/>
        <v>0</v>
      </c>
      <c r="F496" s="2">
        <f t="shared" si="65"/>
        <v>0</v>
      </c>
      <c r="G496" s="2" t="str">
        <f>IF(ISERROR(B496),"-",IF(J495=0,0,SUM($F$33:F496)))</f>
        <v>-</v>
      </c>
      <c r="H496" s="2">
        <f t="shared" si="66"/>
        <v>0</v>
      </c>
      <c r="I496" s="2" t="str">
        <f>IF(ISERROR($B496),"-",IF(J495=0,0,SUM($H$33:H496)))</f>
        <v>-</v>
      </c>
      <c r="J496" s="2" t="str">
        <f t="shared" si="67"/>
        <v>-</v>
      </c>
      <c r="K496" s="2" t="str">
        <f t="shared" si="68"/>
        <v>-</v>
      </c>
      <c r="L496" s="2">
        <f t="shared" si="69"/>
        <v>0</v>
      </c>
      <c r="M496" s="2">
        <f t="shared" si="70"/>
        <v>0</v>
      </c>
      <c r="O496" s="2">
        <f>IF('Batt IN'!$N$18="Yes",BattLoan!F496*'Batt IN'!$E$7,0)</f>
        <v>0</v>
      </c>
    </row>
    <row r="497" spans="1:15" x14ac:dyDescent="0.25">
      <c r="B497" t="e">
        <f t="shared" si="71"/>
        <v>#N/A</v>
      </c>
      <c r="C497" s="2" t="str">
        <f t="shared" si="63"/>
        <v>0</v>
      </c>
      <c r="E497" s="10">
        <f t="shared" si="64"/>
        <v>0</v>
      </c>
      <c r="F497" s="2">
        <f t="shared" si="65"/>
        <v>0</v>
      </c>
      <c r="G497" s="2" t="str">
        <f>IF(ISERROR(B497),"-",IF(J496=0,0,SUM($F$33:F497)))</f>
        <v>-</v>
      </c>
      <c r="H497" s="2">
        <f t="shared" si="66"/>
        <v>0</v>
      </c>
      <c r="I497" s="2" t="str">
        <f>IF(ISERROR($B497),"-",IF(J496=0,0,SUM($H$33:H497)))</f>
        <v>-</v>
      </c>
      <c r="J497" s="2" t="str">
        <f t="shared" si="67"/>
        <v>-</v>
      </c>
      <c r="K497" s="2" t="str">
        <f t="shared" si="68"/>
        <v>-</v>
      </c>
      <c r="L497" s="2">
        <f t="shared" si="69"/>
        <v>0</v>
      </c>
      <c r="M497" s="2">
        <f t="shared" si="70"/>
        <v>0</v>
      </c>
      <c r="O497" s="2">
        <f>IF('Batt IN'!$N$18="Yes",BattLoan!F497*'Batt IN'!$E$7,0)</f>
        <v>0</v>
      </c>
    </row>
    <row r="498" spans="1:15" x14ac:dyDescent="0.25">
      <c r="B498" t="e">
        <f t="shared" si="71"/>
        <v>#N/A</v>
      </c>
      <c r="C498" s="2" t="str">
        <f t="shared" si="63"/>
        <v>0</v>
      </c>
      <c r="E498" s="10">
        <f t="shared" si="64"/>
        <v>0</v>
      </c>
      <c r="F498" s="2">
        <f t="shared" si="65"/>
        <v>0</v>
      </c>
      <c r="G498" s="2" t="str">
        <f>IF(ISERROR(B498),"-",IF(J497=0,0,SUM($F$33:F498)))</f>
        <v>-</v>
      </c>
      <c r="H498" s="2">
        <f t="shared" si="66"/>
        <v>0</v>
      </c>
      <c r="I498" s="2" t="str">
        <f>IF(ISERROR($B498),"-",IF(J497=0,0,SUM($H$33:H498)))</f>
        <v>-</v>
      </c>
      <c r="J498" s="2" t="str">
        <f t="shared" si="67"/>
        <v>-</v>
      </c>
      <c r="K498" s="2" t="str">
        <f t="shared" si="68"/>
        <v>-</v>
      </c>
      <c r="L498" s="2">
        <f t="shared" si="69"/>
        <v>0</v>
      </c>
      <c r="M498" s="2">
        <f t="shared" si="70"/>
        <v>0</v>
      </c>
      <c r="O498" s="2">
        <f>IF('Batt IN'!$N$18="Yes",BattLoan!F498*'Batt IN'!$E$7,0)</f>
        <v>0</v>
      </c>
    </row>
    <row r="499" spans="1:15" x14ac:dyDescent="0.25">
      <c r="B499" t="e">
        <f t="shared" si="71"/>
        <v>#N/A</v>
      </c>
      <c r="C499" s="2" t="str">
        <f t="shared" si="63"/>
        <v>0</v>
      </c>
      <c r="E499" s="10">
        <f t="shared" si="64"/>
        <v>0</v>
      </c>
      <c r="F499" s="2">
        <f t="shared" si="65"/>
        <v>0</v>
      </c>
      <c r="G499" s="2" t="str">
        <f>IF(ISERROR(B499),"-",IF(J498=0,0,SUM($F$33:F499)))</f>
        <v>-</v>
      </c>
      <c r="H499" s="2">
        <f t="shared" si="66"/>
        <v>0</v>
      </c>
      <c r="I499" s="2" t="str">
        <f>IF(ISERROR($B499),"-",IF(J498=0,0,SUM($H$33:H499)))</f>
        <v>-</v>
      </c>
      <c r="J499" s="2" t="str">
        <f t="shared" si="67"/>
        <v>-</v>
      </c>
      <c r="K499" s="2" t="str">
        <f t="shared" si="68"/>
        <v>-</v>
      </c>
      <c r="L499" s="2">
        <f t="shared" si="69"/>
        <v>0</v>
      </c>
      <c r="M499" s="2">
        <f t="shared" si="70"/>
        <v>0</v>
      </c>
      <c r="O499" s="2">
        <f>IF('Batt IN'!$N$18="Yes",BattLoan!F499*'Batt IN'!$E$7,0)</f>
        <v>0</v>
      </c>
    </row>
    <row r="500" spans="1:15" x14ac:dyDescent="0.25">
      <c r="A500">
        <v>39</v>
      </c>
      <c r="B500" t="e">
        <f t="shared" si="71"/>
        <v>#N/A</v>
      </c>
      <c r="C500" s="2" t="str">
        <f t="shared" si="63"/>
        <v>0</v>
      </c>
      <c r="E500" s="10">
        <f t="shared" si="64"/>
        <v>0</v>
      </c>
      <c r="F500" s="2">
        <f t="shared" si="65"/>
        <v>0</v>
      </c>
      <c r="G500" s="2" t="str">
        <f>IF(ISERROR(B500),"-",IF(J499=0,0,SUM($F$33:F500)))</f>
        <v>-</v>
      </c>
      <c r="H500" s="2">
        <f t="shared" si="66"/>
        <v>0</v>
      </c>
      <c r="I500" s="2" t="str">
        <f>IF(ISERROR($B500),"-",IF(J499=0,0,SUM($H$33:H500)))</f>
        <v>-</v>
      </c>
      <c r="J500" s="2" t="str">
        <f t="shared" si="67"/>
        <v>-</v>
      </c>
      <c r="K500" s="2" t="str">
        <f t="shared" si="68"/>
        <v>-</v>
      </c>
      <c r="L500" s="2">
        <f t="shared" si="69"/>
        <v>0</v>
      </c>
      <c r="M500" s="2">
        <f t="shared" si="70"/>
        <v>0</v>
      </c>
      <c r="O500" s="2">
        <f>IF('Batt IN'!$N$18="Yes",BattLoan!F500*'Batt IN'!$E$7,0)</f>
        <v>0</v>
      </c>
    </row>
    <row r="501" spans="1:15" x14ac:dyDescent="0.25">
      <c r="B501" t="e">
        <f t="shared" si="71"/>
        <v>#N/A</v>
      </c>
      <c r="C501" s="2" t="str">
        <f t="shared" si="63"/>
        <v>0</v>
      </c>
      <c r="E501" s="10">
        <f t="shared" si="64"/>
        <v>0</v>
      </c>
      <c r="F501" s="2">
        <f t="shared" si="65"/>
        <v>0</v>
      </c>
      <c r="G501" s="2" t="str">
        <f>IF(ISERROR(B501),"-",IF(J500=0,0,SUM($F$33:F501)))</f>
        <v>-</v>
      </c>
      <c r="H501" s="2">
        <f t="shared" si="66"/>
        <v>0</v>
      </c>
      <c r="I501" s="2" t="str">
        <f>IF(ISERROR($B501),"-",IF(J500=0,0,SUM($H$33:H501)))</f>
        <v>-</v>
      </c>
      <c r="J501" s="2" t="str">
        <f t="shared" si="67"/>
        <v>-</v>
      </c>
      <c r="K501" s="2" t="str">
        <f t="shared" si="68"/>
        <v>-</v>
      </c>
      <c r="L501" s="2">
        <f t="shared" si="69"/>
        <v>0</v>
      </c>
      <c r="M501" s="2">
        <f t="shared" si="70"/>
        <v>0</v>
      </c>
      <c r="O501" s="2">
        <f>IF('Batt IN'!$N$18="Yes",BattLoan!F501*'Batt IN'!$E$7,0)</f>
        <v>0</v>
      </c>
    </row>
    <row r="502" spans="1:15" x14ac:dyDescent="0.25">
      <c r="B502" t="e">
        <f t="shared" si="71"/>
        <v>#N/A</v>
      </c>
      <c r="C502" s="2" t="str">
        <f t="shared" si="63"/>
        <v>0</v>
      </c>
      <c r="E502" s="10">
        <f t="shared" si="64"/>
        <v>0</v>
      </c>
      <c r="F502" s="2">
        <f t="shared" si="65"/>
        <v>0</v>
      </c>
      <c r="G502" s="2" t="str">
        <f>IF(ISERROR(B502),"-",IF(J501=0,0,SUM($F$33:F502)))</f>
        <v>-</v>
      </c>
      <c r="H502" s="2">
        <f t="shared" si="66"/>
        <v>0</v>
      </c>
      <c r="I502" s="2" t="str">
        <f>IF(ISERROR($B502),"-",IF(J501=0,0,SUM($H$33:H502)))</f>
        <v>-</v>
      </c>
      <c r="J502" s="2" t="str">
        <f t="shared" si="67"/>
        <v>-</v>
      </c>
      <c r="K502" s="2" t="str">
        <f t="shared" si="68"/>
        <v>-</v>
      </c>
      <c r="L502" s="2">
        <f t="shared" si="69"/>
        <v>0</v>
      </c>
      <c r="M502" s="2">
        <f t="shared" si="70"/>
        <v>0</v>
      </c>
      <c r="O502" s="2">
        <f>IF('Batt IN'!$N$18="Yes",BattLoan!F502*'Batt IN'!$E$7,0)</f>
        <v>0</v>
      </c>
    </row>
    <row r="503" spans="1:15" x14ac:dyDescent="0.25">
      <c r="B503" t="e">
        <f t="shared" si="71"/>
        <v>#N/A</v>
      </c>
      <c r="C503" s="2" t="str">
        <f t="shared" si="63"/>
        <v>0</v>
      </c>
      <c r="E503" s="10">
        <f t="shared" si="64"/>
        <v>0</v>
      </c>
      <c r="F503" s="2">
        <f t="shared" si="65"/>
        <v>0</v>
      </c>
      <c r="G503" s="2" t="str">
        <f>IF(ISERROR(B503),"-",IF(J502=0,0,SUM($F$33:F503)))</f>
        <v>-</v>
      </c>
      <c r="H503" s="2">
        <f t="shared" si="66"/>
        <v>0</v>
      </c>
      <c r="I503" s="2" t="str">
        <f>IF(ISERROR($B503),"-",IF(J502=0,0,SUM($H$33:H503)))</f>
        <v>-</v>
      </c>
      <c r="J503" s="2" t="str">
        <f t="shared" si="67"/>
        <v>-</v>
      </c>
      <c r="K503" s="2" t="str">
        <f t="shared" si="68"/>
        <v>-</v>
      </c>
      <c r="L503" s="2">
        <f t="shared" si="69"/>
        <v>0</v>
      </c>
      <c r="M503" s="2">
        <f t="shared" si="70"/>
        <v>0</v>
      </c>
      <c r="O503" s="2">
        <f>IF('Batt IN'!$N$18="Yes",BattLoan!F503*'Batt IN'!$E$7,0)</f>
        <v>0</v>
      </c>
    </row>
    <row r="504" spans="1:15" x14ac:dyDescent="0.25">
      <c r="B504" t="e">
        <f t="shared" si="71"/>
        <v>#N/A</v>
      </c>
      <c r="C504" s="2" t="str">
        <f t="shared" si="63"/>
        <v>0</v>
      </c>
      <c r="E504" s="10">
        <f t="shared" si="64"/>
        <v>0</v>
      </c>
      <c r="F504" s="2">
        <f t="shared" si="65"/>
        <v>0</v>
      </c>
      <c r="G504" s="2" t="str">
        <f>IF(ISERROR(B504),"-",IF(J503=0,0,SUM($F$33:F504)))</f>
        <v>-</v>
      </c>
      <c r="H504" s="2">
        <f t="shared" si="66"/>
        <v>0</v>
      </c>
      <c r="I504" s="2" t="str">
        <f>IF(ISERROR($B504),"-",IF(J503=0,0,SUM($H$33:H504)))</f>
        <v>-</v>
      </c>
      <c r="J504" s="2" t="str">
        <f t="shared" si="67"/>
        <v>-</v>
      </c>
      <c r="K504" s="2" t="str">
        <f t="shared" si="68"/>
        <v>-</v>
      </c>
      <c r="L504" s="2">
        <f t="shared" si="69"/>
        <v>0</v>
      </c>
      <c r="M504" s="2">
        <f t="shared" si="70"/>
        <v>0</v>
      </c>
      <c r="O504" s="2">
        <f>IF('Batt IN'!$N$18="Yes",BattLoan!F504*'Batt IN'!$E$7,0)</f>
        <v>0</v>
      </c>
    </row>
    <row r="505" spans="1:15" x14ac:dyDescent="0.25">
      <c r="B505" t="e">
        <f t="shared" si="71"/>
        <v>#N/A</v>
      </c>
      <c r="C505" s="2" t="str">
        <f t="shared" si="63"/>
        <v>0</v>
      </c>
      <c r="E505" s="10">
        <f t="shared" si="64"/>
        <v>0</v>
      </c>
      <c r="F505" s="2">
        <f t="shared" si="65"/>
        <v>0</v>
      </c>
      <c r="G505" s="2" t="str">
        <f>IF(ISERROR(B505),"-",IF(J504=0,0,SUM($F$33:F505)))</f>
        <v>-</v>
      </c>
      <c r="H505" s="2">
        <f t="shared" si="66"/>
        <v>0</v>
      </c>
      <c r="I505" s="2" t="str">
        <f>IF(ISERROR($B505),"-",IF(J504=0,0,SUM($H$33:H505)))</f>
        <v>-</v>
      </c>
      <c r="J505" s="2" t="str">
        <f t="shared" si="67"/>
        <v>-</v>
      </c>
      <c r="K505" s="2" t="str">
        <f t="shared" si="68"/>
        <v>-</v>
      </c>
      <c r="L505" s="2">
        <f t="shared" si="69"/>
        <v>0</v>
      </c>
      <c r="M505" s="2">
        <f t="shared" si="70"/>
        <v>0</v>
      </c>
      <c r="O505" s="2">
        <f>IF('Batt IN'!$N$18="Yes",BattLoan!F505*'Batt IN'!$E$7,0)</f>
        <v>0</v>
      </c>
    </row>
    <row r="506" spans="1:15" x14ac:dyDescent="0.25">
      <c r="B506" t="e">
        <f t="shared" si="71"/>
        <v>#N/A</v>
      </c>
      <c r="C506" s="2" t="str">
        <f t="shared" si="63"/>
        <v>0</v>
      </c>
      <c r="E506" s="10">
        <f t="shared" si="64"/>
        <v>0</v>
      </c>
      <c r="F506" s="2">
        <f t="shared" si="65"/>
        <v>0</v>
      </c>
      <c r="G506" s="2" t="str">
        <f>IF(ISERROR(B506),"-",IF(J505=0,0,SUM($F$33:F506)))</f>
        <v>-</v>
      </c>
      <c r="H506" s="2">
        <f t="shared" si="66"/>
        <v>0</v>
      </c>
      <c r="I506" s="2" t="str">
        <f>IF(ISERROR($B506),"-",IF(J505=0,0,SUM($H$33:H506)))</f>
        <v>-</v>
      </c>
      <c r="J506" s="2" t="str">
        <f t="shared" si="67"/>
        <v>-</v>
      </c>
      <c r="K506" s="2" t="str">
        <f t="shared" si="68"/>
        <v>-</v>
      </c>
      <c r="L506" s="2">
        <f t="shared" si="69"/>
        <v>0</v>
      </c>
      <c r="M506" s="2">
        <f t="shared" si="70"/>
        <v>0</v>
      </c>
      <c r="O506" s="2">
        <f>IF('Batt IN'!$N$18="Yes",BattLoan!F506*'Batt IN'!$E$7,0)</f>
        <v>0</v>
      </c>
    </row>
    <row r="507" spans="1:15" x14ac:dyDescent="0.25">
      <c r="B507" t="e">
        <f t="shared" si="71"/>
        <v>#N/A</v>
      </c>
      <c r="C507" s="2" t="str">
        <f t="shared" si="63"/>
        <v>0</v>
      </c>
      <c r="E507" s="10">
        <f t="shared" si="64"/>
        <v>0</v>
      </c>
      <c r="F507" s="2">
        <f t="shared" si="65"/>
        <v>0</v>
      </c>
      <c r="G507" s="2" t="str">
        <f>IF(ISERROR(B507),"-",IF(J506=0,0,SUM($F$33:F507)))</f>
        <v>-</v>
      </c>
      <c r="H507" s="2">
        <f t="shared" si="66"/>
        <v>0</v>
      </c>
      <c r="I507" s="2" t="str">
        <f>IF(ISERROR($B507),"-",IF(J506=0,0,SUM($H$33:H507)))</f>
        <v>-</v>
      </c>
      <c r="J507" s="2" t="str">
        <f t="shared" si="67"/>
        <v>-</v>
      </c>
      <c r="K507" s="2" t="str">
        <f t="shared" si="68"/>
        <v>-</v>
      </c>
      <c r="L507" s="2">
        <f t="shared" si="69"/>
        <v>0</v>
      </c>
      <c r="M507" s="2">
        <f t="shared" si="70"/>
        <v>0</v>
      </c>
      <c r="O507" s="2">
        <f>IF('Batt IN'!$N$18="Yes",BattLoan!F507*'Batt IN'!$E$7,0)</f>
        <v>0</v>
      </c>
    </row>
    <row r="508" spans="1:15" x14ac:dyDescent="0.25">
      <c r="B508" t="e">
        <f t="shared" si="71"/>
        <v>#N/A</v>
      </c>
      <c r="C508" s="2" t="str">
        <f t="shared" si="63"/>
        <v>0</v>
      </c>
      <c r="E508" s="10">
        <f t="shared" si="64"/>
        <v>0</v>
      </c>
      <c r="F508" s="2">
        <f t="shared" si="65"/>
        <v>0</v>
      </c>
      <c r="G508" s="2" t="str">
        <f>IF(ISERROR(B508),"-",IF(J507=0,0,SUM($F$33:F508)))</f>
        <v>-</v>
      </c>
      <c r="H508" s="2">
        <f t="shared" si="66"/>
        <v>0</v>
      </c>
      <c r="I508" s="2" t="str">
        <f>IF(ISERROR($B508),"-",IF(J507=0,0,SUM($H$33:H508)))</f>
        <v>-</v>
      </c>
      <c r="J508" s="2" t="str">
        <f t="shared" si="67"/>
        <v>-</v>
      </c>
      <c r="K508" s="2" t="str">
        <f t="shared" si="68"/>
        <v>-</v>
      </c>
      <c r="L508" s="2">
        <f t="shared" si="69"/>
        <v>0</v>
      </c>
      <c r="M508" s="2">
        <f t="shared" si="70"/>
        <v>0</v>
      </c>
      <c r="O508" s="2">
        <f>IF('Batt IN'!$N$18="Yes",BattLoan!F508*'Batt IN'!$E$7,0)</f>
        <v>0</v>
      </c>
    </row>
    <row r="509" spans="1:15" x14ac:dyDescent="0.25">
      <c r="B509" t="e">
        <f t="shared" si="71"/>
        <v>#N/A</v>
      </c>
      <c r="C509" s="2" t="str">
        <f t="shared" si="63"/>
        <v>0</v>
      </c>
      <c r="E509" s="10">
        <f t="shared" si="64"/>
        <v>0</v>
      </c>
      <c r="F509" s="2">
        <f t="shared" si="65"/>
        <v>0</v>
      </c>
      <c r="G509" s="2" t="str">
        <f>IF(ISERROR(B509),"-",IF(J508=0,0,SUM($F$33:F509)))</f>
        <v>-</v>
      </c>
      <c r="H509" s="2">
        <f t="shared" si="66"/>
        <v>0</v>
      </c>
      <c r="I509" s="2" t="str">
        <f>IF(ISERROR($B509),"-",IF(J508=0,0,SUM($H$33:H509)))</f>
        <v>-</v>
      </c>
      <c r="J509" s="2" t="str">
        <f t="shared" si="67"/>
        <v>-</v>
      </c>
      <c r="K509" s="2" t="str">
        <f t="shared" si="68"/>
        <v>-</v>
      </c>
      <c r="L509" s="2">
        <f t="shared" si="69"/>
        <v>0</v>
      </c>
      <c r="M509" s="2">
        <f t="shared" si="70"/>
        <v>0</v>
      </c>
      <c r="O509" s="2">
        <f>IF('Batt IN'!$N$18="Yes",BattLoan!F509*'Batt IN'!$E$7,0)</f>
        <v>0</v>
      </c>
    </row>
    <row r="510" spans="1:15" x14ac:dyDescent="0.25">
      <c r="B510" t="e">
        <f t="shared" si="71"/>
        <v>#N/A</v>
      </c>
      <c r="C510" s="2" t="str">
        <f t="shared" si="63"/>
        <v>0</v>
      </c>
      <c r="E510" s="10">
        <f t="shared" si="64"/>
        <v>0</v>
      </c>
      <c r="F510" s="2">
        <f t="shared" si="65"/>
        <v>0</v>
      </c>
      <c r="G510" s="2" t="str">
        <f>IF(ISERROR(B510),"-",IF(J509=0,0,SUM($F$33:F510)))</f>
        <v>-</v>
      </c>
      <c r="H510" s="2">
        <f t="shared" si="66"/>
        <v>0</v>
      </c>
      <c r="I510" s="2" t="str">
        <f>IF(ISERROR($B510),"-",IF(J509=0,0,SUM($H$33:H510)))</f>
        <v>-</v>
      </c>
      <c r="J510" s="2" t="str">
        <f t="shared" si="67"/>
        <v>-</v>
      </c>
      <c r="K510" s="2" t="str">
        <f t="shared" si="68"/>
        <v>-</v>
      </c>
      <c r="L510" s="2">
        <f t="shared" si="69"/>
        <v>0</v>
      </c>
      <c r="M510" s="2">
        <f t="shared" si="70"/>
        <v>0</v>
      </c>
      <c r="O510" s="2">
        <f>IF('Batt IN'!$N$18="Yes",BattLoan!F510*'Batt IN'!$E$7,0)</f>
        <v>0</v>
      </c>
    </row>
    <row r="511" spans="1:15" x14ac:dyDescent="0.25">
      <c r="B511" t="e">
        <f t="shared" si="71"/>
        <v>#N/A</v>
      </c>
      <c r="C511" s="2" t="str">
        <f t="shared" si="63"/>
        <v>0</v>
      </c>
      <c r="E511" s="10">
        <f t="shared" si="64"/>
        <v>0</v>
      </c>
      <c r="F511" s="2">
        <f t="shared" si="65"/>
        <v>0</v>
      </c>
      <c r="G511" s="2" t="str">
        <f>IF(ISERROR(B511),"-",IF(J510=0,0,SUM($F$33:F511)))</f>
        <v>-</v>
      </c>
      <c r="H511" s="2">
        <f t="shared" si="66"/>
        <v>0</v>
      </c>
      <c r="I511" s="2" t="str">
        <f>IF(ISERROR($B511),"-",IF(J510=0,0,SUM($H$33:H511)))</f>
        <v>-</v>
      </c>
      <c r="J511" s="2" t="str">
        <f t="shared" si="67"/>
        <v>-</v>
      </c>
      <c r="K511" s="2" t="str">
        <f t="shared" si="68"/>
        <v>-</v>
      </c>
      <c r="L511" s="2">
        <f t="shared" si="69"/>
        <v>0</v>
      </c>
      <c r="M511" s="2">
        <f t="shared" si="70"/>
        <v>0</v>
      </c>
      <c r="O511" s="2">
        <f>IF('Batt IN'!$N$18="Yes",BattLoan!F511*'Batt IN'!$E$7,0)</f>
        <v>0</v>
      </c>
    </row>
    <row r="512" spans="1:15" x14ac:dyDescent="0.25">
      <c r="A512">
        <v>40</v>
      </c>
      <c r="B512" t="e">
        <f t="shared" si="71"/>
        <v>#N/A</v>
      </c>
      <c r="C512" s="2" t="str">
        <f t="shared" si="63"/>
        <v>0</v>
      </c>
      <c r="E512" s="10">
        <f t="shared" si="64"/>
        <v>0</v>
      </c>
      <c r="F512" s="2">
        <f t="shared" si="65"/>
        <v>0</v>
      </c>
      <c r="G512" s="2" t="str">
        <f>IF(ISERROR(B512),"-",IF(J511=0,0,SUM($F$33:F512)))</f>
        <v>-</v>
      </c>
      <c r="H512" s="2">
        <f t="shared" si="66"/>
        <v>0</v>
      </c>
      <c r="I512" s="2" t="str">
        <f>IF(ISERROR($B512),"-",IF(J511=0,0,SUM($H$33:H512)))</f>
        <v>-</v>
      </c>
      <c r="J512" s="2" t="str">
        <f t="shared" si="67"/>
        <v>-</v>
      </c>
      <c r="K512" s="2" t="str">
        <f t="shared" si="68"/>
        <v>-</v>
      </c>
      <c r="L512" s="2">
        <f t="shared" si="69"/>
        <v>0</v>
      </c>
      <c r="M512" s="2">
        <f t="shared" si="70"/>
        <v>0</v>
      </c>
      <c r="O512" s="2">
        <f>IF('Batt IN'!$N$18="Yes",BattLoan!F512*'Batt IN'!$E$7,0)</f>
        <v>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DN108"/>
  <sheetViews>
    <sheetView zoomScale="85" zoomScaleNormal="85" workbookViewId="0">
      <selection activeCell="CE42" sqref="CE42"/>
    </sheetView>
  </sheetViews>
  <sheetFormatPr defaultRowHeight="15" x14ac:dyDescent="0.25"/>
  <cols>
    <col min="2" max="2" width="13" customWidth="1"/>
    <col min="3" max="3" width="11.42578125" customWidth="1"/>
    <col min="4" max="18" width="11.28515625" bestFit="1" customWidth="1"/>
    <col min="19" max="19" width="14.140625" bestFit="1" customWidth="1"/>
    <col min="20" max="118" width="11.28515625" bestFit="1" customWidth="1"/>
  </cols>
  <sheetData>
    <row r="1" spans="1:24" ht="60" x14ac:dyDescent="0.25">
      <c r="B1" s="9" t="s">
        <v>226</v>
      </c>
      <c r="C1" s="9" t="s">
        <v>227</v>
      </c>
      <c r="D1" s="9" t="s">
        <v>233</v>
      </c>
      <c r="S1" t="s">
        <v>342</v>
      </c>
      <c r="T1" s="9" t="s">
        <v>343</v>
      </c>
    </row>
    <row r="2" spans="1:24" x14ac:dyDescent="0.25">
      <c r="A2">
        <v>2014</v>
      </c>
      <c r="B2" s="1">
        <v>0.3</v>
      </c>
      <c r="C2" s="1">
        <v>0.3</v>
      </c>
      <c r="D2" s="1">
        <v>0.5</v>
      </c>
      <c r="H2" s="1">
        <v>0</v>
      </c>
      <c r="O2" t="s">
        <v>225</v>
      </c>
      <c r="Q2" t="s">
        <v>252</v>
      </c>
      <c r="S2" t="s">
        <v>331</v>
      </c>
      <c r="T2" s="7">
        <v>0.25</v>
      </c>
    </row>
    <row r="3" spans="1:24" ht="17.25" x14ac:dyDescent="0.25">
      <c r="A3">
        <v>2015</v>
      </c>
      <c r="B3" s="1">
        <v>0.3</v>
      </c>
      <c r="C3" s="1">
        <v>0.3</v>
      </c>
      <c r="D3" s="1">
        <v>0.5</v>
      </c>
      <c r="E3" t="s">
        <v>13</v>
      </c>
      <c r="F3" t="s">
        <v>21</v>
      </c>
      <c r="G3" t="s">
        <v>14</v>
      </c>
      <c r="H3" s="1">
        <v>0.1</v>
      </c>
      <c r="I3" t="s">
        <v>52</v>
      </c>
      <c r="K3" t="s">
        <v>268</v>
      </c>
      <c r="O3" t="s">
        <v>9</v>
      </c>
      <c r="Q3" t="s">
        <v>253</v>
      </c>
      <c r="S3" t="s">
        <v>332</v>
      </c>
      <c r="T3" s="7">
        <v>1</v>
      </c>
    </row>
    <row r="4" spans="1:24" ht="17.25" x14ac:dyDescent="0.25">
      <c r="A4">
        <v>2016</v>
      </c>
      <c r="B4" s="1">
        <v>0.3</v>
      </c>
      <c r="C4" s="1">
        <v>0.3</v>
      </c>
      <c r="D4" s="1">
        <v>0.5</v>
      </c>
      <c r="E4" t="s">
        <v>14</v>
      </c>
      <c r="F4" t="s">
        <v>22</v>
      </c>
      <c r="G4" t="s">
        <v>29</v>
      </c>
      <c r="H4" s="1">
        <v>0.3</v>
      </c>
      <c r="I4" t="s">
        <v>53</v>
      </c>
      <c r="K4" t="s">
        <v>269</v>
      </c>
      <c r="Q4" t="s">
        <v>254</v>
      </c>
      <c r="S4" t="s">
        <v>333</v>
      </c>
      <c r="T4" s="7">
        <v>0.75</v>
      </c>
    </row>
    <row r="5" spans="1:24" ht="17.25" x14ac:dyDescent="0.25">
      <c r="A5">
        <v>2017</v>
      </c>
      <c r="B5" s="1">
        <v>0.3</v>
      </c>
      <c r="C5" s="1">
        <v>0.3</v>
      </c>
      <c r="D5" s="1">
        <v>1</v>
      </c>
      <c r="E5" t="s">
        <v>404</v>
      </c>
      <c r="G5" t="s">
        <v>525</v>
      </c>
      <c r="K5" t="s">
        <v>270</v>
      </c>
    </row>
    <row r="6" spans="1:24" ht="17.25" x14ac:dyDescent="0.25">
      <c r="A6">
        <v>2018</v>
      </c>
      <c r="B6" s="1">
        <v>0.3</v>
      </c>
      <c r="C6" s="1">
        <v>0.3</v>
      </c>
      <c r="D6" s="1">
        <v>1</v>
      </c>
      <c r="E6" t="s">
        <v>405</v>
      </c>
      <c r="G6" t="s">
        <v>526</v>
      </c>
      <c r="K6" t="s">
        <v>271</v>
      </c>
      <c r="O6" t="s">
        <v>232</v>
      </c>
      <c r="Q6" t="s">
        <v>373</v>
      </c>
      <c r="S6" t="s">
        <v>400</v>
      </c>
      <c r="T6" t="str">
        <f>IF('PV IN'!F$4="PV Only","PV System Net After-Tax Cash Flow","PV &amp; Hybrid Systems Net After-Tax Cash Flows")</f>
        <v>PV System Net After-Tax Cash Flow</v>
      </c>
    </row>
    <row r="7" spans="1:24" ht="17.25" x14ac:dyDescent="0.25">
      <c r="A7">
        <v>2019</v>
      </c>
      <c r="B7" s="1">
        <v>0.3</v>
      </c>
      <c r="C7" s="1">
        <v>0.3</v>
      </c>
      <c r="D7" s="1">
        <v>1</v>
      </c>
      <c r="E7" t="s">
        <v>206</v>
      </c>
      <c r="F7" t="s">
        <v>376</v>
      </c>
      <c r="G7" t="s">
        <v>527</v>
      </c>
      <c r="K7" t="s">
        <v>272</v>
      </c>
      <c r="O7" t="s">
        <v>35</v>
      </c>
      <c r="Q7" t="s">
        <v>374</v>
      </c>
      <c r="S7" t="s">
        <v>401</v>
      </c>
      <c r="T7" t="str">
        <f>IF('PV IN'!F$4="Battery Only","Battery System Net After-Tax Cash Flow","Battery, PV &amp; Hybrid Systems Net After-Tax Cash Flows")</f>
        <v>Battery, PV &amp; Hybrid Systems Net After-Tax Cash Flows</v>
      </c>
    </row>
    <row r="8" spans="1:24" x14ac:dyDescent="0.25">
      <c r="A8">
        <v>2020</v>
      </c>
      <c r="B8" s="1">
        <v>0.3</v>
      </c>
      <c r="C8" s="1">
        <v>0.3</v>
      </c>
      <c r="D8" s="1">
        <v>1</v>
      </c>
      <c r="E8" t="s">
        <v>207</v>
      </c>
      <c r="F8" t="s">
        <v>377</v>
      </c>
      <c r="G8" t="s">
        <v>528</v>
      </c>
      <c r="O8" t="s">
        <v>231</v>
      </c>
    </row>
    <row r="9" spans="1:24" x14ac:dyDescent="0.25">
      <c r="A9">
        <v>2021</v>
      </c>
      <c r="B9" s="1">
        <v>0.3</v>
      </c>
      <c r="C9" s="1">
        <v>0.3</v>
      </c>
      <c r="D9" s="1">
        <v>1</v>
      </c>
      <c r="F9" t="s">
        <v>378</v>
      </c>
      <c r="G9" t="s">
        <v>529</v>
      </c>
    </row>
    <row r="10" spans="1:24" x14ac:dyDescent="0.25">
      <c r="A10">
        <v>2022</v>
      </c>
      <c r="B10" s="1">
        <v>0.3</v>
      </c>
      <c r="C10" s="1">
        <v>0.3</v>
      </c>
      <c r="D10" s="1">
        <v>1</v>
      </c>
      <c r="F10" t="s">
        <v>379</v>
      </c>
      <c r="G10" t="s">
        <v>530</v>
      </c>
    </row>
    <row r="11" spans="1:24" x14ac:dyDescent="0.25">
      <c r="A11">
        <v>2023</v>
      </c>
      <c r="B11" s="1">
        <v>0.3</v>
      </c>
      <c r="C11" s="1">
        <v>0.3</v>
      </c>
      <c r="D11" s="1">
        <v>0.8</v>
      </c>
      <c r="F11" t="s">
        <v>380</v>
      </c>
      <c r="G11" t="s">
        <v>531</v>
      </c>
      <c r="X11" s="3"/>
    </row>
    <row r="12" spans="1:24" x14ac:dyDescent="0.25">
      <c r="A12">
        <v>2024</v>
      </c>
      <c r="B12" s="1">
        <v>0.3</v>
      </c>
      <c r="C12" s="1">
        <v>0.3</v>
      </c>
      <c r="D12" s="1">
        <v>0.6</v>
      </c>
      <c r="F12" t="s">
        <v>381</v>
      </c>
      <c r="G12" t="s">
        <v>532</v>
      </c>
      <c r="X12" s="103"/>
    </row>
    <row r="13" spans="1:24" x14ac:dyDescent="0.25">
      <c r="A13">
        <v>2025</v>
      </c>
      <c r="B13" s="1">
        <v>0.3</v>
      </c>
      <c r="C13" s="1">
        <v>0.3</v>
      </c>
      <c r="D13" s="1">
        <v>0.4</v>
      </c>
      <c r="F13" t="s">
        <v>382</v>
      </c>
      <c r="G13" t="s">
        <v>533</v>
      </c>
      <c r="X13" s="103"/>
    </row>
    <row r="14" spans="1:24" x14ac:dyDescent="0.25">
      <c r="A14">
        <v>2026</v>
      </c>
      <c r="B14" s="1">
        <v>0.1</v>
      </c>
      <c r="C14" s="1">
        <v>0.3</v>
      </c>
      <c r="D14" s="1">
        <v>0.2</v>
      </c>
      <c r="F14" t="s">
        <v>383</v>
      </c>
      <c r="G14" t="s">
        <v>534</v>
      </c>
      <c r="X14" s="103"/>
    </row>
    <row r="15" spans="1:24" x14ac:dyDescent="0.25">
      <c r="A15">
        <v>2027</v>
      </c>
      <c r="B15" s="1">
        <v>0.1</v>
      </c>
      <c r="C15" s="1">
        <v>0.3</v>
      </c>
      <c r="D15" s="1">
        <v>0</v>
      </c>
      <c r="F15" t="s">
        <v>384</v>
      </c>
      <c r="X15" s="103"/>
    </row>
    <row r="16" spans="1:24" x14ac:dyDescent="0.25">
      <c r="A16">
        <v>2028</v>
      </c>
      <c r="B16" s="1">
        <v>0.1</v>
      </c>
      <c r="C16" s="1">
        <v>0.3</v>
      </c>
      <c r="D16" s="1">
        <v>0</v>
      </c>
    </row>
    <row r="17" spans="1:23" x14ac:dyDescent="0.25">
      <c r="A17">
        <v>2029</v>
      </c>
      <c r="B17" s="1">
        <v>0.1</v>
      </c>
      <c r="C17" s="1">
        <v>0.3</v>
      </c>
      <c r="D17" s="1">
        <v>0</v>
      </c>
      <c r="E17" s="3" t="s">
        <v>375</v>
      </c>
    </row>
    <row r="18" spans="1:23" x14ac:dyDescent="0.25">
      <c r="A18">
        <v>2030</v>
      </c>
      <c r="B18" s="1">
        <v>0.1</v>
      </c>
      <c r="C18" s="1">
        <v>0.3</v>
      </c>
      <c r="D18" s="1">
        <v>0</v>
      </c>
      <c r="F18">
        <v>1</v>
      </c>
      <c r="G18">
        <v>2</v>
      </c>
      <c r="H18">
        <v>3</v>
      </c>
      <c r="I18">
        <v>4</v>
      </c>
      <c r="J18">
        <v>5</v>
      </c>
      <c r="K18">
        <v>6</v>
      </c>
      <c r="L18">
        <v>7</v>
      </c>
      <c r="M18">
        <v>8</v>
      </c>
      <c r="N18">
        <v>9</v>
      </c>
      <c r="U18" t="s">
        <v>374</v>
      </c>
      <c r="V18" t="s">
        <v>408</v>
      </c>
    </row>
    <row r="19" spans="1:23" x14ac:dyDescent="0.25">
      <c r="A19">
        <v>2031</v>
      </c>
      <c r="B19" s="1">
        <v>0.1</v>
      </c>
      <c r="C19" s="1">
        <v>0.3</v>
      </c>
      <c r="D19" s="1">
        <v>0</v>
      </c>
      <c r="E19" t="s">
        <v>37</v>
      </c>
      <c r="F19" t="s">
        <v>376</v>
      </c>
      <c r="G19" t="s">
        <v>377</v>
      </c>
      <c r="H19" t="s">
        <v>378</v>
      </c>
      <c r="I19" t="s">
        <v>379</v>
      </c>
      <c r="J19" t="s">
        <v>380</v>
      </c>
      <c r="K19" t="s">
        <v>381</v>
      </c>
      <c r="L19" t="s">
        <v>382</v>
      </c>
      <c r="M19" t="s">
        <v>383</v>
      </c>
      <c r="N19" t="s">
        <v>384</v>
      </c>
      <c r="O19" t="s">
        <v>385</v>
      </c>
      <c r="Q19" t="s">
        <v>37</v>
      </c>
      <c r="R19" t="s">
        <v>406</v>
      </c>
      <c r="S19" s="26" t="s">
        <v>407</v>
      </c>
      <c r="T19" s="3" t="s">
        <v>372</v>
      </c>
    </row>
    <row r="20" spans="1:23" x14ac:dyDescent="0.25">
      <c r="A20">
        <v>2032</v>
      </c>
      <c r="B20" s="1">
        <v>0.1</v>
      </c>
      <c r="C20" s="1">
        <v>0.3</v>
      </c>
      <c r="D20" s="1">
        <v>0</v>
      </c>
      <c r="E20">
        <v>2019</v>
      </c>
      <c r="F20" s="27">
        <f t="shared" ref="F20:F51" si="0">N67</f>
        <v>0</v>
      </c>
      <c r="G20" s="27">
        <f t="shared" ref="G20:G51" si="1">AA67</f>
        <v>0</v>
      </c>
      <c r="H20" s="27">
        <f t="shared" ref="H20:H51" si="2">AN67</f>
        <v>0</v>
      </c>
      <c r="I20" s="27">
        <f t="shared" ref="I20:I51" si="3">BA67</f>
        <v>0</v>
      </c>
      <c r="J20" s="27">
        <f t="shared" ref="J20:J51" si="4">BN67</f>
        <v>0</v>
      </c>
      <c r="K20" s="27">
        <f t="shared" ref="K20:K51" si="5">CA67</f>
        <v>0</v>
      </c>
      <c r="L20" s="27">
        <f t="shared" ref="L20:L51" si="6">CN67</f>
        <v>0</v>
      </c>
      <c r="M20" s="27">
        <f t="shared" ref="M20:M51" si="7">DA67</f>
        <v>0</v>
      </c>
      <c r="N20" s="27">
        <f t="shared" ref="N20:N51" si="8">DN67</f>
        <v>0</v>
      </c>
      <c r="O20" s="135" cm="1">
        <f t="array" ref="O20">INDEX(F20:N20,0,MATCH('PV IN'!$G$7,$F$19:$N$19,0))</f>
        <v>0</v>
      </c>
      <c r="Q20">
        <f>INDEX(E20:E61,MATCH('PV IN'!$D$6,E20:E61,0),1)</f>
        <v>2024</v>
      </c>
      <c r="R20" s="49">
        <f t="shared" ref="R20:R25" si="9">INDEX($E$20:$O$61,MATCH(Q20,$E$20:$E$61,0),11)</f>
        <v>3.3326520740049596E-2</v>
      </c>
      <c r="S20" s="16">
        <f>'PV IN'!$E$6</f>
        <v>7.5999999999999998E-2</v>
      </c>
      <c r="T20" t="s">
        <v>37</v>
      </c>
      <c r="U20" t="s">
        <v>10</v>
      </c>
    </row>
    <row r="21" spans="1:23" x14ac:dyDescent="0.25">
      <c r="A21">
        <v>2033</v>
      </c>
      <c r="B21" s="1">
        <v>0.1</v>
      </c>
      <c r="C21" s="1">
        <v>0.26</v>
      </c>
      <c r="D21" s="1">
        <v>0</v>
      </c>
      <c r="E21">
        <v>2020</v>
      </c>
      <c r="F21" s="27">
        <f t="shared" si="0"/>
        <v>0</v>
      </c>
      <c r="G21" s="27">
        <f t="shared" si="1"/>
        <v>0</v>
      </c>
      <c r="H21" s="27">
        <f t="shared" si="2"/>
        <v>0</v>
      </c>
      <c r="I21" s="27">
        <f t="shared" si="3"/>
        <v>0</v>
      </c>
      <c r="J21" s="27">
        <f t="shared" si="4"/>
        <v>0</v>
      </c>
      <c r="K21" s="27">
        <f t="shared" si="5"/>
        <v>0</v>
      </c>
      <c r="L21" s="27">
        <f t="shared" si="6"/>
        <v>0</v>
      </c>
      <c r="M21" s="27">
        <f t="shared" si="7"/>
        <v>0</v>
      </c>
      <c r="N21" s="27">
        <f t="shared" si="8"/>
        <v>0</v>
      </c>
      <c r="O21" s="135" cm="1">
        <f t="array" ref="O21">INDEX(F21:N21,0,MATCH('PV IN'!$G$7,$F$19:$N$19,0))</f>
        <v>0</v>
      </c>
      <c r="Q21">
        <f>Q20+1</f>
        <v>2025</v>
      </c>
      <c r="R21" s="49">
        <f t="shared" si="9"/>
        <v>-4.5657182613324945E-4</v>
      </c>
      <c r="S21" s="16">
        <f>S20*(1+(R21))</f>
        <v>7.5965300541213879E-2</v>
      </c>
      <c r="T21">
        <f>'PV IN'!E5</f>
        <v>2025</v>
      </c>
      <c r="U21" s="16">
        <f>INDEX(LkUP!$Q$20:$S$61,MATCH(LkUP!T21,LkUP!$Q$20:$Q$61,0),3)</f>
        <v>7.5965300541213879E-2</v>
      </c>
      <c r="V21" s="2">
        <f>PVCalcs!D16</f>
        <v>7.5999999999999998E-2</v>
      </c>
      <c r="W21" s="2">
        <f>IF('PV IN'!$D$7="Table",U21,V21)</f>
        <v>7.5965300541213879E-2</v>
      </c>
    </row>
    <row r="22" spans="1:23" x14ac:dyDescent="0.25">
      <c r="A22">
        <v>2034</v>
      </c>
      <c r="B22" s="1">
        <v>0.1</v>
      </c>
      <c r="C22" s="1">
        <v>0.22</v>
      </c>
      <c r="D22" s="1">
        <v>0</v>
      </c>
      <c r="E22">
        <v>2021</v>
      </c>
      <c r="F22" s="27">
        <f t="shared" si="0"/>
        <v>0</v>
      </c>
      <c r="G22" s="27">
        <f t="shared" si="1"/>
        <v>0</v>
      </c>
      <c r="H22" s="27">
        <f t="shared" si="2"/>
        <v>0</v>
      </c>
      <c r="I22" s="27">
        <f t="shared" si="3"/>
        <v>0</v>
      </c>
      <c r="J22" s="27">
        <f t="shared" si="4"/>
        <v>0</v>
      </c>
      <c r="K22" s="27">
        <f t="shared" si="5"/>
        <v>0</v>
      </c>
      <c r="L22" s="27">
        <f t="shared" si="6"/>
        <v>0</v>
      </c>
      <c r="M22" s="27">
        <f t="shared" si="7"/>
        <v>0</v>
      </c>
      <c r="N22" s="27">
        <f t="shared" si="8"/>
        <v>0</v>
      </c>
      <c r="O22" s="135" cm="1">
        <f t="array" ref="O22">INDEX(F22:N22,0,MATCH('PV IN'!$G$7,$F$19:$N$19,0))</f>
        <v>0</v>
      </c>
      <c r="Q22">
        <f t="shared" ref="Q22:Q61" si="10">Q21+1</f>
        <v>2026</v>
      </c>
      <c r="R22" s="49">
        <f t="shared" si="9"/>
        <v>-1.233554778597541E-2</v>
      </c>
      <c r="S22" s="16">
        <f t="shared" ref="S22:S61" si="11">S21*(1+(R22))</f>
        <v>7.5028226946311755E-2</v>
      </c>
      <c r="T22">
        <f>T21+1</f>
        <v>2026</v>
      </c>
      <c r="U22" s="16">
        <f>INDEX(LkUP!$Q$20:$S$61,MATCH(LkUP!T22,LkUP!$Q$20:$Q$61,0),3)</f>
        <v>7.5028226946311755E-2</v>
      </c>
      <c r="V22" s="2">
        <f>PVCalcs!D28</f>
        <v>7.5999999999999998E-2</v>
      </c>
      <c r="W22" s="2">
        <f>IF('PV IN'!$D$7="Table",U22,V22)</f>
        <v>7.5028226946311755E-2</v>
      </c>
    </row>
    <row r="23" spans="1:23" x14ac:dyDescent="0.25">
      <c r="A23">
        <v>2035</v>
      </c>
      <c r="B23" s="1">
        <v>0.1</v>
      </c>
      <c r="C23" s="1">
        <v>0</v>
      </c>
      <c r="D23" s="1">
        <v>0</v>
      </c>
      <c r="E23">
        <v>2022</v>
      </c>
      <c r="F23" s="27">
        <f t="shared" si="0"/>
        <v>0</v>
      </c>
      <c r="G23" s="27">
        <f t="shared" si="1"/>
        <v>0</v>
      </c>
      <c r="H23" s="27">
        <f t="shared" si="2"/>
        <v>0</v>
      </c>
      <c r="I23" s="27">
        <f t="shared" si="3"/>
        <v>0</v>
      </c>
      <c r="J23" s="27">
        <f t="shared" si="4"/>
        <v>0</v>
      </c>
      <c r="K23" s="27">
        <f t="shared" si="5"/>
        <v>0</v>
      </c>
      <c r="L23" s="27">
        <f t="shared" si="6"/>
        <v>0</v>
      </c>
      <c r="M23" s="27">
        <f t="shared" si="7"/>
        <v>0</v>
      </c>
      <c r="N23" s="27">
        <f t="shared" si="8"/>
        <v>0</v>
      </c>
      <c r="O23" s="135" cm="1">
        <f t="array" ref="O23">INDEX(F23:N23,0,MATCH('PV IN'!$G$7,$F$19:$N$19,0))</f>
        <v>0</v>
      </c>
      <c r="Q23">
        <f t="shared" si="10"/>
        <v>2027</v>
      </c>
      <c r="R23" s="49">
        <f t="shared" si="9"/>
        <v>1.3256904800613765E-3</v>
      </c>
      <c r="S23" s="16">
        <f t="shared" si="11"/>
        <v>7.5127691152510362E-2</v>
      </c>
      <c r="T23">
        <f t="shared" ref="T23:T61" si="12">T22+1</f>
        <v>2027</v>
      </c>
      <c r="U23" s="16">
        <f>INDEX(LkUP!$Q$20:$S$61,MATCH(LkUP!T23,LkUP!$Q$20:$Q$61,0),3)</f>
        <v>7.5127691152510362E-2</v>
      </c>
      <c r="V23" s="2">
        <f>PVCalcs!D40</f>
        <v>7.5999999999999998E-2</v>
      </c>
      <c r="W23" s="2">
        <f>IF('PV IN'!$D$7="Table",U23,V23)</f>
        <v>7.5127691152510362E-2</v>
      </c>
    </row>
    <row r="24" spans="1:23" x14ac:dyDescent="0.25">
      <c r="A24">
        <v>2036</v>
      </c>
      <c r="B24" s="1">
        <v>0.1</v>
      </c>
      <c r="C24" s="1">
        <v>0</v>
      </c>
      <c r="D24" s="1">
        <v>0</v>
      </c>
      <c r="E24">
        <v>2023</v>
      </c>
      <c r="F24" s="27">
        <f t="shared" si="0"/>
        <v>-3.6496695587658619E-2</v>
      </c>
      <c r="G24" s="27">
        <f t="shared" si="1"/>
        <v>-1.865514350300175E-2</v>
      </c>
      <c r="H24" s="27">
        <f t="shared" si="2"/>
        <v>-3.6384374809391752E-2</v>
      </c>
      <c r="I24" s="27">
        <f t="shared" si="3"/>
        <v>-1.8417237153382233E-2</v>
      </c>
      <c r="J24" s="27">
        <f t="shared" si="4"/>
        <v>5.8074447810145251E-2</v>
      </c>
      <c r="K24" s="27">
        <f t="shared" si="5"/>
        <v>2.6496532051785714E-4</v>
      </c>
      <c r="L24" s="27">
        <f t="shared" si="6"/>
        <v>-2.8636443370300226E-2</v>
      </c>
      <c r="M24" s="27">
        <f t="shared" si="7"/>
        <v>-2.8128503753320686E-2</v>
      </c>
      <c r="N24" s="27">
        <f t="shared" si="8"/>
        <v>-4.498618800650879E-2</v>
      </c>
      <c r="O24" s="135" cm="1">
        <f t="array" ref="O24">INDEX(F24:N24,0,MATCH('PV IN'!$G$7,$F$19:$N$19,0))</f>
        <v>-3.6384374809391752E-2</v>
      </c>
      <c r="Q24">
        <f t="shared" si="10"/>
        <v>2028</v>
      </c>
      <c r="R24" s="49">
        <f t="shared" si="9"/>
        <v>9.9886584313204265E-3</v>
      </c>
      <c r="S24" s="16">
        <f t="shared" si="11"/>
        <v>7.5878115998166518E-2</v>
      </c>
      <c r="T24">
        <f t="shared" si="12"/>
        <v>2028</v>
      </c>
      <c r="U24" s="16">
        <f>INDEX(LkUP!$Q$20:$S$61,MATCH(LkUP!T24,LkUP!$Q$20:$Q$61,0),3)</f>
        <v>7.5878115998166518E-2</v>
      </c>
      <c r="V24" s="2">
        <f>PVCalcs!D52</f>
        <v>7.5999999999999998E-2</v>
      </c>
      <c r="W24" s="2">
        <f>IF('PV IN'!$D$7="Table",U24,V24)</f>
        <v>7.5878115998166518E-2</v>
      </c>
    </row>
    <row r="25" spans="1:23" x14ac:dyDescent="0.25">
      <c r="A25">
        <v>2037</v>
      </c>
      <c r="B25" s="1">
        <v>0.1</v>
      </c>
      <c r="C25" s="1">
        <v>0</v>
      </c>
      <c r="D25" s="1">
        <v>0</v>
      </c>
      <c r="E25">
        <v>2024</v>
      </c>
      <c r="F25" s="27">
        <f t="shared" si="0"/>
        <v>-2.2601423811718983E-2</v>
      </c>
      <c r="G25" s="27">
        <f t="shared" si="1"/>
        <v>-0.10598278541977833</v>
      </c>
      <c r="H25" s="27">
        <f t="shared" si="2"/>
        <v>3.3326520740049596E-2</v>
      </c>
      <c r="I25" s="27">
        <f t="shared" si="3"/>
        <v>-3.9665227335962436E-2</v>
      </c>
      <c r="J25" s="27">
        <f t="shared" si="4"/>
        <v>-7.1511904900512971E-2</v>
      </c>
      <c r="K25" s="27">
        <f t="shared" si="5"/>
        <v>-0.12388712643229605</v>
      </c>
      <c r="L25" s="27">
        <f t="shared" si="6"/>
        <v>-2.831558890527474E-2</v>
      </c>
      <c r="M25" s="27">
        <f t="shared" si="7"/>
        <v>-2.177492690778331E-2</v>
      </c>
      <c r="N25" s="27">
        <f t="shared" si="8"/>
        <v>-8.6766019263541973E-3</v>
      </c>
      <c r="O25" s="135" cm="1">
        <f t="array" ref="O25">INDEX(F25:N25,0,MATCH('PV IN'!$G$7,$F$19:$N$19,0))</f>
        <v>3.3326520740049596E-2</v>
      </c>
      <c r="Q25">
        <f t="shared" si="10"/>
        <v>2029</v>
      </c>
      <c r="R25" s="49">
        <f t="shared" si="9"/>
        <v>9.5219076650139784E-4</v>
      </c>
      <c r="S25" s="16">
        <f t="shared" si="11"/>
        <v>7.5950366439599487E-2</v>
      </c>
      <c r="T25">
        <f t="shared" si="12"/>
        <v>2029</v>
      </c>
      <c r="U25" s="16">
        <f>INDEX(LkUP!$Q$20:$S$61,MATCH(LkUP!T25,LkUP!$Q$20:$Q$61,0),3)</f>
        <v>7.5950366439599487E-2</v>
      </c>
      <c r="V25" s="2">
        <f>PVCalcs!D64</f>
        <v>7.5999999999999998E-2</v>
      </c>
      <c r="W25" s="2">
        <f>IF('PV IN'!$D$7="Table",U25,V25)</f>
        <v>7.5950366439599487E-2</v>
      </c>
    </row>
    <row r="26" spans="1:23" x14ac:dyDescent="0.25">
      <c r="A26">
        <v>2038</v>
      </c>
      <c r="B26" s="1">
        <v>0.1</v>
      </c>
      <c r="C26" s="1">
        <v>0</v>
      </c>
      <c r="D26" s="1">
        <v>0</v>
      </c>
      <c r="E26">
        <v>2025</v>
      </c>
      <c r="F26" s="27">
        <f t="shared" si="0"/>
        <v>-2.8066334081251979E-2</v>
      </c>
      <c r="G26" s="27">
        <f t="shared" si="1"/>
        <v>-3.580396362281598E-2</v>
      </c>
      <c r="H26" s="27">
        <f t="shared" si="2"/>
        <v>-4.5657182613324945E-4</v>
      </c>
      <c r="I26" s="27">
        <f t="shared" si="3"/>
        <v>-2.6971900385618263E-2</v>
      </c>
      <c r="J26" s="27">
        <f t="shared" si="4"/>
        <v>-9.973376668309334E-3</v>
      </c>
      <c r="K26" s="27">
        <f t="shared" si="5"/>
        <v>-0.10706582789345982</v>
      </c>
      <c r="L26" s="27">
        <f t="shared" si="6"/>
        <v>-2.0098155700226723E-2</v>
      </c>
      <c r="M26" s="27">
        <f t="shared" si="7"/>
        <v>-6.1137159568462199E-3</v>
      </c>
      <c r="N26" s="27">
        <f t="shared" si="8"/>
        <v>-1.2011818139020978E-2</v>
      </c>
      <c r="O26" s="135" cm="1">
        <f t="array" ref="O26">INDEX(F26:N26,0,MATCH('PV IN'!$G$7,$F$19:$N$19,0))</f>
        <v>-4.5657182613324945E-4</v>
      </c>
      <c r="Q26">
        <f t="shared" si="10"/>
        <v>2030</v>
      </c>
      <c r="R26" s="49">
        <f t="shared" ref="R26:R61" si="13">INDEX($E$20:$O$61,MATCH(Q26,$E$20:$E$61,0),11)</f>
        <v>1.8030043417512317E-3</v>
      </c>
      <c r="S26" s="16">
        <f t="shared" si="11"/>
        <v>7.6087305280047673E-2</v>
      </c>
      <c r="T26">
        <f t="shared" si="12"/>
        <v>2030</v>
      </c>
      <c r="U26" s="16">
        <f>INDEX(LkUP!$Q$20:$S$61,MATCH(LkUP!T26,LkUP!$Q$20:$Q$61,0),3)</f>
        <v>7.6087305280047673E-2</v>
      </c>
      <c r="V26" s="2">
        <f>PVCalcs!D76</f>
        <v>7.5999999999999998E-2</v>
      </c>
      <c r="W26" s="2">
        <f>IF('PV IN'!$D$7="Table",U26,V26)</f>
        <v>7.6087305280047673E-2</v>
      </c>
    </row>
    <row r="27" spans="1:23" x14ac:dyDescent="0.25">
      <c r="A27">
        <v>2039</v>
      </c>
      <c r="B27" s="1">
        <v>0.1</v>
      </c>
      <c r="C27" s="1">
        <v>0</v>
      </c>
      <c r="D27" s="1">
        <v>0</v>
      </c>
      <c r="E27">
        <v>2026</v>
      </c>
      <c r="F27" s="27">
        <f t="shared" si="0"/>
        <v>-1.9013694504239322E-2</v>
      </c>
      <c r="G27" s="27">
        <f t="shared" si="1"/>
        <v>-8.9984315626715911E-3</v>
      </c>
      <c r="H27" s="27">
        <f t="shared" si="2"/>
        <v>-1.233554778597541E-2</v>
      </c>
      <c r="I27" s="27">
        <f t="shared" si="3"/>
        <v>-1.6624499885541572E-2</v>
      </c>
      <c r="J27" s="27">
        <f t="shared" si="4"/>
        <v>-9.8022470820484115E-3</v>
      </c>
      <c r="K27" s="27">
        <f t="shared" si="5"/>
        <v>-1.1925954448587447E-2</v>
      </c>
      <c r="L27" s="27">
        <f t="shared" si="6"/>
        <v>-1.3173007388560747E-2</v>
      </c>
      <c r="M27" s="27">
        <f t="shared" si="7"/>
        <v>-8.4849585555882429E-3</v>
      </c>
      <c r="N27" s="27">
        <f t="shared" si="8"/>
        <v>-1.8191050210531155E-2</v>
      </c>
      <c r="O27" s="135" cm="1">
        <f t="array" ref="O27">INDEX(F27:N27,0,MATCH('PV IN'!$G$7,$F$19:$N$19,0))</f>
        <v>-1.233554778597541E-2</v>
      </c>
      <c r="Q27">
        <f t="shared" si="10"/>
        <v>2031</v>
      </c>
      <c r="R27" s="49">
        <f t="shared" si="13"/>
        <v>5.8953232882376187E-3</v>
      </c>
      <c r="S27" s="16">
        <f t="shared" si="11"/>
        <v>7.6535864542804394E-2</v>
      </c>
      <c r="T27">
        <f t="shared" si="12"/>
        <v>2031</v>
      </c>
      <c r="U27" s="16">
        <f>INDEX(LkUP!$Q$20:$S$61,MATCH(LkUP!T27,LkUP!$Q$20:$Q$61,0),3)</f>
        <v>7.6535864542804394E-2</v>
      </c>
      <c r="V27" s="2">
        <f>PVCalcs!D88</f>
        <v>7.5999999999999998E-2</v>
      </c>
      <c r="W27" s="2">
        <f>IF('PV IN'!$D$7="Table",U27,V27)</f>
        <v>7.6535864542804394E-2</v>
      </c>
    </row>
    <row r="28" spans="1:23" x14ac:dyDescent="0.25">
      <c r="A28">
        <v>2040</v>
      </c>
      <c r="B28" s="1">
        <v>0.1</v>
      </c>
      <c r="C28" s="1">
        <v>0</v>
      </c>
      <c r="D28" s="1">
        <v>0</v>
      </c>
      <c r="E28">
        <v>2027</v>
      </c>
      <c r="F28" s="27">
        <f t="shared" si="0"/>
        <v>-1.1335286753491153E-2</v>
      </c>
      <c r="G28" s="27">
        <f t="shared" si="1"/>
        <v>4.7274159032933776E-4</v>
      </c>
      <c r="H28" s="27">
        <f t="shared" si="2"/>
        <v>1.3256904800613765E-3</v>
      </c>
      <c r="I28" s="27">
        <f t="shared" si="3"/>
        <v>-4.0567185319023017E-3</v>
      </c>
      <c r="J28" s="27">
        <f t="shared" si="4"/>
        <v>2.303302265274395E-3</v>
      </c>
      <c r="K28" s="27">
        <f t="shared" si="5"/>
        <v>8.7950920606540812E-4</v>
      </c>
      <c r="L28" s="27">
        <f t="shared" si="6"/>
        <v>-7.7293913824282709E-3</v>
      </c>
      <c r="M28" s="27">
        <f t="shared" si="7"/>
        <v>2.3576562942846623E-3</v>
      </c>
      <c r="N28" s="27">
        <f t="shared" si="8"/>
        <v>2.3567868575567674E-3</v>
      </c>
      <c r="O28" s="135" cm="1">
        <f t="array" ref="O28">INDEX(F28:N28,0,MATCH('PV IN'!$G$7,$F$19:$N$19,0))</f>
        <v>1.3256904800613765E-3</v>
      </c>
      <c r="Q28">
        <f t="shared" si="10"/>
        <v>2032</v>
      </c>
      <c r="R28" s="49">
        <f t="shared" si="13"/>
        <v>5.8420274700843079E-3</v>
      </c>
      <c r="S28" s="16">
        <f t="shared" si="11"/>
        <v>7.6982989165910107E-2</v>
      </c>
      <c r="T28">
        <f t="shared" si="12"/>
        <v>2032</v>
      </c>
      <c r="U28" s="16">
        <f>INDEX(LkUP!$Q$20:$S$61,MATCH(LkUP!T28,LkUP!$Q$20:$Q$61,0),3)</f>
        <v>7.6982989165910107E-2</v>
      </c>
      <c r="V28" s="2">
        <f>PVCalcs!D100</f>
        <v>7.5999999999999998E-2</v>
      </c>
      <c r="W28" s="2">
        <f>IF('PV IN'!$D$7="Table",U28,V28)</f>
        <v>7.6982989165910107E-2</v>
      </c>
    </row>
    <row r="29" spans="1:23" x14ac:dyDescent="0.25">
      <c r="A29">
        <v>2041</v>
      </c>
      <c r="B29" s="1">
        <v>0.1</v>
      </c>
      <c r="C29" s="1">
        <v>0</v>
      </c>
      <c r="D29" s="1">
        <v>0</v>
      </c>
      <c r="E29">
        <v>2028</v>
      </c>
      <c r="F29" s="27">
        <f t="shared" si="0"/>
        <v>-2.9046503650019227E-3</v>
      </c>
      <c r="G29" s="27">
        <f t="shared" si="1"/>
        <v>2.7845683378129259E-3</v>
      </c>
      <c r="H29" s="27">
        <f t="shared" si="2"/>
        <v>9.9886584313204265E-3</v>
      </c>
      <c r="I29" s="27">
        <f t="shared" si="3"/>
        <v>6.1258698450712126E-4</v>
      </c>
      <c r="J29" s="27">
        <f t="shared" si="4"/>
        <v>4.7110149037244697E-3</v>
      </c>
      <c r="K29" s="27">
        <f t="shared" si="5"/>
        <v>2.3906917866205546E-3</v>
      </c>
      <c r="L29" s="27">
        <f t="shared" si="6"/>
        <v>-2.3297787909362139E-3</v>
      </c>
      <c r="M29" s="27">
        <f t="shared" si="7"/>
        <v>3.1517041022019695E-3</v>
      </c>
      <c r="N29" s="27">
        <f t="shared" si="8"/>
        <v>9.6050681702140803E-3</v>
      </c>
      <c r="O29" s="135" cm="1">
        <f t="array" ref="O29">INDEX(F29:N29,0,MATCH('PV IN'!$G$7,$F$19:$N$19,0))</f>
        <v>9.9886584313204265E-3</v>
      </c>
      <c r="Q29">
        <f t="shared" si="10"/>
        <v>2033</v>
      </c>
      <c r="R29" s="49">
        <f t="shared" si="13"/>
        <v>3.206296446648662E-2</v>
      </c>
      <c r="S29" s="16">
        <f t="shared" si="11"/>
        <v>7.9451292012060609E-2</v>
      </c>
      <c r="T29">
        <f t="shared" si="12"/>
        <v>2033</v>
      </c>
      <c r="U29" s="16">
        <f>INDEX(LkUP!$Q$20:$S$61,MATCH(LkUP!T29,LkUP!$Q$20:$Q$61,0),3)</f>
        <v>7.9451292012060609E-2</v>
      </c>
      <c r="V29" s="2">
        <f>PVCalcs!D112</f>
        <v>7.5999999999999998E-2</v>
      </c>
      <c r="W29" s="2">
        <f>IF('PV IN'!$D$7="Table",U29,V29)</f>
        <v>7.9451292012060609E-2</v>
      </c>
    </row>
    <row r="30" spans="1:23" x14ac:dyDescent="0.25">
      <c r="A30">
        <v>2042</v>
      </c>
      <c r="B30" s="1">
        <v>0.1</v>
      </c>
      <c r="C30" s="1">
        <v>0</v>
      </c>
      <c r="D30" s="1">
        <v>0</v>
      </c>
      <c r="E30">
        <v>2029</v>
      </c>
      <c r="F30" s="27">
        <f t="shared" si="0"/>
        <v>2.6535894690969584E-3</v>
      </c>
      <c r="G30" s="27">
        <f t="shared" si="1"/>
        <v>4.6564629104842619E-3</v>
      </c>
      <c r="H30" s="27">
        <f t="shared" si="2"/>
        <v>9.5219076650139784E-4</v>
      </c>
      <c r="I30" s="27">
        <f t="shared" si="3"/>
        <v>5.4826653546262366E-3</v>
      </c>
      <c r="J30" s="27">
        <f t="shared" si="4"/>
        <v>1.0117755862401216E-2</v>
      </c>
      <c r="K30" s="27">
        <f t="shared" si="5"/>
        <v>4.2437002727582678E-3</v>
      </c>
      <c r="L30" s="27">
        <f t="shared" si="6"/>
        <v>4.8492137745129666E-3</v>
      </c>
      <c r="M30" s="27">
        <f t="shared" si="7"/>
        <v>-2.2318131036238842E-3</v>
      </c>
      <c r="N30" s="27">
        <f t="shared" si="8"/>
        <v>9.8882417645570573E-3</v>
      </c>
      <c r="O30" s="135" cm="1">
        <f t="array" ref="O30">INDEX(F30:N30,0,MATCH('PV IN'!$G$7,$F$19:$N$19,0))</f>
        <v>9.5219076650139784E-4</v>
      </c>
      <c r="Q30">
        <f t="shared" si="10"/>
        <v>2034</v>
      </c>
      <c r="R30" s="49">
        <f t="shared" si="13"/>
        <v>8.659776728901546E-3</v>
      </c>
      <c r="S30" s="16">
        <f t="shared" si="11"/>
        <v>8.0139322461707824E-2</v>
      </c>
      <c r="T30">
        <f t="shared" si="12"/>
        <v>2034</v>
      </c>
      <c r="U30" s="16">
        <f>INDEX(LkUP!$Q$20:$S$61,MATCH(LkUP!T30,LkUP!$Q$20:$Q$61,0),3)</f>
        <v>8.0139322461707824E-2</v>
      </c>
      <c r="V30" s="2">
        <f>PVCalcs!D124</f>
        <v>7.5999999999999998E-2</v>
      </c>
      <c r="W30" s="2">
        <f>IF('PV IN'!$D$7="Table",U30,V30)</f>
        <v>8.0139322461707824E-2</v>
      </c>
    </row>
    <row r="31" spans="1:23" x14ac:dyDescent="0.25">
      <c r="A31">
        <v>2043</v>
      </c>
      <c r="B31" s="1">
        <v>0.1</v>
      </c>
      <c r="C31" s="1">
        <v>0</v>
      </c>
      <c r="D31" s="1">
        <v>0</v>
      </c>
      <c r="E31">
        <v>2030</v>
      </c>
      <c r="F31" s="27">
        <f t="shared" si="0"/>
        <v>4.3732014898194638E-3</v>
      </c>
      <c r="G31" s="27">
        <f t="shared" si="1"/>
        <v>1.5460445918656712E-3</v>
      </c>
      <c r="H31" s="27">
        <f t="shared" si="2"/>
        <v>1.8030043417512317E-3</v>
      </c>
      <c r="I31" s="27">
        <f t="shared" si="3"/>
        <v>1.232339325184548E-2</v>
      </c>
      <c r="J31" s="27">
        <f t="shared" si="4"/>
        <v>-1.8619284494286088E-2</v>
      </c>
      <c r="K31" s="27">
        <f t="shared" si="5"/>
        <v>1.4429564639353085E-2</v>
      </c>
      <c r="L31" s="27">
        <f t="shared" si="6"/>
        <v>5.5496826189476486E-3</v>
      </c>
      <c r="M31" s="27">
        <f t="shared" si="7"/>
        <v>2.7574554644627602E-3</v>
      </c>
      <c r="N31" s="27">
        <f t="shared" si="8"/>
        <v>1.3533696030569115E-2</v>
      </c>
      <c r="O31" s="135" cm="1">
        <f t="array" ref="O31">INDEX(F31:N31,0,MATCH('PV IN'!$G$7,$F$19:$N$19,0))</f>
        <v>1.8030043417512317E-3</v>
      </c>
      <c r="Q31">
        <f t="shared" si="10"/>
        <v>2035</v>
      </c>
      <c r="R31" s="49">
        <f t="shared" si="13"/>
        <v>7.7241253465874706E-3</v>
      </c>
      <c r="S31" s="16">
        <f t="shared" si="11"/>
        <v>8.0758328633592641E-2</v>
      </c>
      <c r="T31">
        <f t="shared" si="12"/>
        <v>2035</v>
      </c>
      <c r="U31" s="16">
        <f>INDEX(LkUP!$Q$20:$S$61,MATCH(LkUP!T31,LkUP!$Q$20:$Q$61,0),3)</f>
        <v>8.0758328633592641E-2</v>
      </c>
      <c r="V31" s="2">
        <f>PVCalcs!D136</f>
        <v>7.5999999999999998E-2</v>
      </c>
      <c r="W31" s="2">
        <f>IF('PV IN'!$D$7="Table",U31,V31)</f>
        <v>8.0758328633592641E-2</v>
      </c>
    </row>
    <row r="32" spans="1:23" x14ac:dyDescent="0.25">
      <c r="A32">
        <v>2044</v>
      </c>
      <c r="B32" s="1">
        <v>0.1</v>
      </c>
      <c r="C32" s="1">
        <v>0</v>
      </c>
      <c r="D32" s="1">
        <v>0</v>
      </c>
      <c r="E32">
        <v>2031</v>
      </c>
      <c r="F32" s="27">
        <f t="shared" si="0"/>
        <v>4.35078689181005E-3</v>
      </c>
      <c r="G32" s="27">
        <f t="shared" si="1"/>
        <v>7.1792796771259718E-3</v>
      </c>
      <c r="H32" s="27">
        <f t="shared" si="2"/>
        <v>5.8953232882376187E-3</v>
      </c>
      <c r="I32" s="27">
        <f t="shared" si="3"/>
        <v>1.702328807757476E-2</v>
      </c>
      <c r="J32" s="27">
        <f t="shared" si="4"/>
        <v>4.0583695353593012E-3</v>
      </c>
      <c r="K32" s="27">
        <f t="shared" si="5"/>
        <v>1.2493776522040128E-2</v>
      </c>
      <c r="L32" s="27">
        <f t="shared" si="6"/>
        <v>2.5436124904609963E-3</v>
      </c>
      <c r="M32" s="27">
        <f t="shared" si="7"/>
        <v>1.002225822411097E-2</v>
      </c>
      <c r="N32" s="27">
        <f t="shared" si="8"/>
        <v>1.3927245125067697E-2</v>
      </c>
      <c r="O32" s="135" cm="1">
        <f t="array" ref="O32">INDEX(F32:N32,0,MATCH('PV IN'!$G$7,$F$19:$N$19,0))</f>
        <v>5.8953232882376187E-3</v>
      </c>
      <c r="Q32">
        <f t="shared" si="10"/>
        <v>2036</v>
      </c>
      <c r="R32" s="49">
        <f t="shared" si="13"/>
        <v>-4.9492887639963658E-3</v>
      </c>
      <c r="S32" s="16">
        <f t="shared" si="11"/>
        <v>8.0358632345087277E-2</v>
      </c>
      <c r="T32">
        <f t="shared" si="12"/>
        <v>2036</v>
      </c>
      <c r="U32" s="16">
        <f>INDEX(LkUP!$Q$20:$S$61,MATCH(LkUP!T32,LkUP!$Q$20:$Q$61,0),3)</f>
        <v>8.0358632345087277E-2</v>
      </c>
      <c r="V32" s="2">
        <f>PVCalcs!D148</f>
        <v>7.5999999999999998E-2</v>
      </c>
      <c r="W32" s="2">
        <f>IF('PV IN'!$D$7="Table",U32,V32)</f>
        <v>8.0358632345087277E-2</v>
      </c>
    </row>
    <row r="33" spans="1:23" x14ac:dyDescent="0.25">
      <c r="A33">
        <v>2045</v>
      </c>
      <c r="B33" s="1">
        <v>0.1</v>
      </c>
      <c r="C33" s="1">
        <v>0</v>
      </c>
      <c r="D33" s="1">
        <v>0</v>
      </c>
      <c r="E33">
        <v>2032</v>
      </c>
      <c r="F33" s="27">
        <f t="shared" si="0"/>
        <v>1.457337972789609E-3</v>
      </c>
      <c r="G33" s="27">
        <f t="shared" si="1"/>
        <v>2.9449411478012803E-3</v>
      </c>
      <c r="H33" s="27">
        <f t="shared" si="2"/>
        <v>5.8420274700843079E-3</v>
      </c>
      <c r="I33" s="27">
        <f t="shared" si="3"/>
        <v>8.1657032814242518E-3</v>
      </c>
      <c r="J33" s="27">
        <f t="shared" si="4"/>
        <v>7.7741350405204843E-3</v>
      </c>
      <c r="K33" s="27">
        <f t="shared" si="5"/>
        <v>4.8715723842018485E-3</v>
      </c>
      <c r="L33" s="27">
        <f t="shared" si="6"/>
        <v>8.910538889955048E-3</v>
      </c>
      <c r="M33" s="27">
        <f t="shared" si="7"/>
        <v>3.5110710954283086E-3</v>
      </c>
      <c r="N33" s="27">
        <f t="shared" si="8"/>
        <v>-1.2101315919785579E-2</v>
      </c>
      <c r="O33" s="135" cm="1">
        <f t="array" ref="O33">INDEX(F33:N33,0,MATCH('PV IN'!$G$7,$F$19:$N$19,0))</f>
        <v>5.8420274700843079E-3</v>
      </c>
      <c r="Q33">
        <f t="shared" si="10"/>
        <v>2037</v>
      </c>
      <c r="R33" s="49">
        <f t="shared" si="13"/>
        <v>3.0501609694247641E-3</v>
      </c>
      <c r="S33" s="16">
        <f t="shared" si="11"/>
        <v>8.0603739109022604E-2</v>
      </c>
      <c r="T33">
        <f t="shared" si="12"/>
        <v>2037</v>
      </c>
      <c r="U33" s="16">
        <f>INDEX(LkUP!$Q$20:$S$61,MATCH(LkUP!T33,LkUP!$Q$20:$Q$61,0),3)</f>
        <v>8.0603739109022604E-2</v>
      </c>
      <c r="V33" s="2">
        <f>PVCalcs!D160</f>
        <v>7.5999999999999998E-2</v>
      </c>
      <c r="W33" s="2">
        <f>IF('PV IN'!$D$7="Table",U33,V33)</f>
        <v>8.0603739109022604E-2</v>
      </c>
    </row>
    <row r="34" spans="1:23" x14ac:dyDescent="0.25">
      <c r="A34">
        <v>2046</v>
      </c>
      <c r="B34" s="1">
        <v>0.1</v>
      </c>
      <c r="C34" s="1">
        <v>0</v>
      </c>
      <c r="D34" s="1">
        <v>0</v>
      </c>
      <c r="E34">
        <v>2033</v>
      </c>
      <c r="F34" s="27">
        <f t="shared" si="0"/>
        <v>3.2945692440918928E-3</v>
      </c>
      <c r="G34" s="27">
        <f t="shared" si="1"/>
        <v>-1.8830075372987317E-3</v>
      </c>
      <c r="H34" s="27">
        <f t="shared" si="2"/>
        <v>3.206296446648662E-2</v>
      </c>
      <c r="I34" s="27">
        <f t="shared" si="3"/>
        <v>2.8321959746101639E-3</v>
      </c>
      <c r="J34" s="27">
        <f t="shared" si="4"/>
        <v>1.4658766234163635E-2</v>
      </c>
      <c r="K34" s="27">
        <f t="shared" si="5"/>
        <v>2.2023361613072922E-3</v>
      </c>
      <c r="L34" s="27">
        <f t="shared" si="6"/>
        <v>2.8356391602759557E-3</v>
      </c>
      <c r="M34" s="27">
        <f t="shared" si="7"/>
        <v>1.3191698836697372E-3</v>
      </c>
      <c r="N34" s="27">
        <f t="shared" si="8"/>
        <v>2.0562587759280124E-3</v>
      </c>
      <c r="O34" s="135" cm="1">
        <f t="array" ref="O34">INDEX(F34:N34,0,MATCH('PV IN'!$G$7,$F$19:$N$19,0))</f>
        <v>3.206296446648662E-2</v>
      </c>
      <c r="Q34">
        <f t="shared" si="10"/>
        <v>2038</v>
      </c>
      <c r="R34" s="49">
        <f t="shared" si="13"/>
        <v>8.5322832585784294E-3</v>
      </c>
      <c r="S34" s="16">
        <f t="shared" si="11"/>
        <v>8.1291473042801335E-2</v>
      </c>
      <c r="T34">
        <f t="shared" si="12"/>
        <v>2038</v>
      </c>
      <c r="U34" s="16">
        <f>INDEX(LkUP!$Q$20:$S$61,MATCH(LkUP!T34,LkUP!$Q$20:$Q$61,0),3)</f>
        <v>8.1291473042801335E-2</v>
      </c>
      <c r="V34" s="2">
        <f>PVCalcs!D172</f>
        <v>7.5999999999999998E-2</v>
      </c>
      <c r="W34" s="2">
        <f>IF('PV IN'!$D$7="Table",U34,V34)</f>
        <v>8.1291473042801335E-2</v>
      </c>
    </row>
    <row r="35" spans="1:23" x14ac:dyDescent="0.25">
      <c r="A35">
        <v>2047</v>
      </c>
      <c r="B35" s="1">
        <v>0.1</v>
      </c>
      <c r="C35" s="1">
        <v>0</v>
      </c>
      <c r="D35" s="1">
        <v>0</v>
      </c>
      <c r="E35">
        <v>2034</v>
      </c>
      <c r="F35" s="27">
        <f t="shared" si="0"/>
        <v>-4.1266635009574614E-5</v>
      </c>
      <c r="G35" s="27">
        <f t="shared" si="1"/>
        <v>-3.7104764876638286E-5</v>
      </c>
      <c r="H35" s="27">
        <f t="shared" si="2"/>
        <v>8.659776728901546E-3</v>
      </c>
      <c r="I35" s="27">
        <f t="shared" si="3"/>
        <v>5.9691322965250268E-5</v>
      </c>
      <c r="J35" s="27">
        <f t="shared" si="4"/>
        <v>7.5995849447659091E-3</v>
      </c>
      <c r="K35" s="27">
        <f t="shared" si="5"/>
        <v>3.2598025011111816E-3</v>
      </c>
      <c r="L35" s="27">
        <f t="shared" si="6"/>
        <v>8.6570695502609265E-4</v>
      </c>
      <c r="M35" s="27">
        <f t="shared" si="7"/>
        <v>-2.120235064334845E-3</v>
      </c>
      <c r="N35" s="27">
        <f t="shared" si="8"/>
        <v>-8.8428090609130917E-4</v>
      </c>
      <c r="O35" s="135" cm="1">
        <f t="array" ref="O35">INDEX(F35:N35,0,MATCH('PV IN'!$G$7,$F$19:$N$19,0))</f>
        <v>8.659776728901546E-3</v>
      </c>
      <c r="Q35">
        <f t="shared" si="10"/>
        <v>2039</v>
      </c>
      <c r="R35" s="49">
        <f t="shared" si="13"/>
        <v>2.7044613729283098E-3</v>
      </c>
      <c r="S35" s="16">
        <f t="shared" si="11"/>
        <v>8.1511322691594043E-2</v>
      </c>
      <c r="T35">
        <f t="shared" si="12"/>
        <v>2039</v>
      </c>
      <c r="U35" s="16">
        <f>INDEX(LkUP!$Q$20:$S$61,MATCH(LkUP!T35,LkUP!$Q$20:$Q$61,0),3)</f>
        <v>8.1511322691594043E-2</v>
      </c>
      <c r="V35" s="2">
        <f>PVCalcs!D184</f>
        <v>7.5999999999999998E-2</v>
      </c>
      <c r="W35" s="2">
        <f>IF('PV IN'!$D$7="Table",U35,V35)</f>
        <v>8.1511322691594043E-2</v>
      </c>
    </row>
    <row r="36" spans="1:23" x14ac:dyDescent="0.25">
      <c r="A36">
        <v>2048</v>
      </c>
      <c r="B36" s="1">
        <v>0.1</v>
      </c>
      <c r="C36" s="1">
        <v>0</v>
      </c>
      <c r="D36" s="1">
        <v>0</v>
      </c>
      <c r="E36">
        <v>2035</v>
      </c>
      <c r="F36" s="27">
        <f t="shared" si="0"/>
        <v>-9.8021944920850985E-4</v>
      </c>
      <c r="G36" s="27">
        <f t="shared" si="1"/>
        <v>-3.0649052013768047E-3</v>
      </c>
      <c r="H36" s="27">
        <f t="shared" si="2"/>
        <v>7.7241253465874706E-3</v>
      </c>
      <c r="I36" s="27">
        <f t="shared" si="3"/>
        <v>-1.7043331044606065E-4</v>
      </c>
      <c r="J36" s="27">
        <f t="shared" si="4"/>
        <v>1.90770750228474E-2</v>
      </c>
      <c r="K36" s="27">
        <f t="shared" si="5"/>
        <v>-8.7761360062332198E-4</v>
      </c>
      <c r="L36" s="27">
        <f t="shared" si="6"/>
        <v>-4.8395156158327199E-3</v>
      </c>
      <c r="M36" s="27">
        <f t="shared" si="7"/>
        <v>2.2472314108781077E-6</v>
      </c>
      <c r="N36" s="27">
        <f t="shared" si="8"/>
        <v>-1.3917034056879344E-3</v>
      </c>
      <c r="O36" s="135" cm="1">
        <f t="array" ref="O36">INDEX(F36:N36,0,MATCH('PV IN'!$G$7,$F$19:$N$19,0))</f>
        <v>7.7241253465874706E-3</v>
      </c>
      <c r="Q36">
        <f t="shared" si="10"/>
        <v>2040</v>
      </c>
      <c r="R36" s="49">
        <f t="shared" si="13"/>
        <v>3.1987375391270899E-3</v>
      </c>
      <c r="S36" s="16">
        <f t="shared" si="11"/>
        <v>8.1772056019351544E-2</v>
      </c>
      <c r="T36">
        <f t="shared" si="12"/>
        <v>2040</v>
      </c>
      <c r="U36" s="16">
        <f>INDEX(LkUP!$Q$20:$S$61,MATCH(LkUP!T36,LkUP!$Q$20:$Q$61,0),3)</f>
        <v>8.1772056019351544E-2</v>
      </c>
      <c r="V36" s="2">
        <f>PVCalcs!D196</f>
        <v>7.5999999999999998E-2</v>
      </c>
      <c r="W36" s="2">
        <f>IF('PV IN'!$D$7="Table",U36,V36)</f>
        <v>8.1772056019351544E-2</v>
      </c>
    </row>
    <row r="37" spans="1:23" x14ac:dyDescent="0.25">
      <c r="A37">
        <v>2049</v>
      </c>
      <c r="B37" s="1">
        <v>0.1</v>
      </c>
      <c r="C37" s="1">
        <v>0</v>
      </c>
      <c r="D37" s="1">
        <v>0</v>
      </c>
      <c r="E37">
        <v>2036</v>
      </c>
      <c r="F37" s="27">
        <f t="shared" si="0"/>
        <v>5.6561568188700298E-3</v>
      </c>
      <c r="G37" s="27">
        <f t="shared" si="1"/>
        <v>-3.6083366280622877E-3</v>
      </c>
      <c r="H37" s="27">
        <f t="shared" si="2"/>
        <v>-4.9492887639963658E-3</v>
      </c>
      <c r="I37" s="27">
        <f t="shared" si="3"/>
        <v>9.600260084918941E-3</v>
      </c>
      <c r="J37" s="27">
        <f t="shared" si="4"/>
        <v>5.9312499878659015E-3</v>
      </c>
      <c r="K37" s="27">
        <f t="shared" si="5"/>
        <v>3.5332505273851789E-3</v>
      </c>
      <c r="L37" s="27">
        <f t="shared" si="6"/>
        <v>-2.8223660030917098E-3</v>
      </c>
      <c r="M37" s="27">
        <f t="shared" si="7"/>
        <v>-1.6155828898939702E-4</v>
      </c>
      <c r="N37" s="27">
        <f t="shared" si="8"/>
        <v>1.9576165889866992E-2</v>
      </c>
      <c r="O37" s="135" cm="1">
        <f t="array" ref="O37">INDEX(F37:N37,0,MATCH('PV IN'!$G$7,$F$19:$N$19,0))</f>
        <v>-4.9492887639963658E-3</v>
      </c>
      <c r="Q37">
        <f t="shared" si="10"/>
        <v>2041</v>
      </c>
      <c r="R37" s="49">
        <f t="shared" si="13"/>
        <v>4.4280657373850897E-3</v>
      </c>
      <c r="S37" s="16">
        <f t="shared" si="11"/>
        <v>8.2134148058886372E-2</v>
      </c>
      <c r="T37">
        <f t="shared" si="12"/>
        <v>2041</v>
      </c>
      <c r="U37" s="16">
        <f>INDEX(LkUP!$Q$20:$S$61,MATCH(LkUP!T37,LkUP!$Q$20:$Q$61,0),3)</f>
        <v>8.2134148058886372E-2</v>
      </c>
      <c r="V37" s="2">
        <f>PVCalcs!D208</f>
        <v>7.5999999999999998E-2</v>
      </c>
      <c r="W37" s="2">
        <f>IF('PV IN'!$D$7="Table",U37,V37)</f>
        <v>8.2134148058886372E-2</v>
      </c>
    </row>
    <row r="38" spans="1:23" x14ac:dyDescent="0.25">
      <c r="A38">
        <v>2050</v>
      </c>
      <c r="B38" s="1">
        <v>0.1</v>
      </c>
      <c r="C38" s="1">
        <v>0</v>
      </c>
      <c r="D38" s="1">
        <v>0</v>
      </c>
      <c r="E38">
        <v>2037</v>
      </c>
      <c r="F38" s="27">
        <f t="shared" si="0"/>
        <v>-3.9786935838418752E-3</v>
      </c>
      <c r="G38" s="27">
        <f t="shared" si="1"/>
        <v>3.8101716982286179E-3</v>
      </c>
      <c r="H38" s="27">
        <f t="shared" si="2"/>
        <v>3.0501609694247641E-3</v>
      </c>
      <c r="I38" s="27">
        <f t="shared" si="3"/>
        <v>5.5936689194071897E-3</v>
      </c>
      <c r="J38" s="27">
        <f t="shared" si="4"/>
        <v>6.0581872394159875E-3</v>
      </c>
      <c r="K38" s="27">
        <f t="shared" si="5"/>
        <v>9.7650791230695661E-3</v>
      </c>
      <c r="L38" s="27">
        <f t="shared" si="6"/>
        <v>-2.6717755676610223E-3</v>
      </c>
      <c r="M38" s="27">
        <f t="shared" si="7"/>
        <v>-5.4027210078939139E-3</v>
      </c>
      <c r="N38" s="27">
        <f t="shared" si="8"/>
        <v>-4.6560582199650265E-3</v>
      </c>
      <c r="O38" s="135" cm="1">
        <f t="array" ref="O38">INDEX(F38:N38,0,MATCH('PV IN'!$G$7,$F$19:$N$19,0))</f>
        <v>3.0501609694247641E-3</v>
      </c>
      <c r="Q38">
        <f t="shared" si="10"/>
        <v>2042</v>
      </c>
      <c r="R38" s="49">
        <f t="shared" si="13"/>
        <v>1.4786078923868478E-2</v>
      </c>
      <c r="S38" s="16">
        <f t="shared" si="11"/>
        <v>8.3348590054429766E-2</v>
      </c>
      <c r="T38">
        <f t="shared" si="12"/>
        <v>2042</v>
      </c>
      <c r="U38" s="16">
        <f>INDEX(LkUP!$Q$20:$S$61,MATCH(LkUP!T38,LkUP!$Q$20:$Q$61,0),3)</f>
        <v>8.3348590054429766E-2</v>
      </c>
      <c r="V38" s="2">
        <f>PVCalcs!D220</f>
        <v>7.5999999999999998E-2</v>
      </c>
      <c r="W38" s="2">
        <f>IF('PV IN'!$D$7="Table",U38,V38)</f>
        <v>8.3348590054429766E-2</v>
      </c>
    </row>
    <row r="39" spans="1:23" x14ac:dyDescent="0.25">
      <c r="E39">
        <v>2038</v>
      </c>
      <c r="F39" s="27">
        <f t="shared" si="0"/>
        <v>5.0869482434597081E-3</v>
      </c>
      <c r="G39" s="27">
        <f t="shared" si="1"/>
        <v>1.1502232248165529E-3</v>
      </c>
      <c r="H39" s="27">
        <f t="shared" si="2"/>
        <v>8.5322832585784294E-3</v>
      </c>
      <c r="I39" s="27">
        <f t="shared" si="3"/>
        <v>5.0113927622172883E-3</v>
      </c>
      <c r="J39" s="27">
        <f t="shared" si="4"/>
        <v>1.0270537423471436E-2</v>
      </c>
      <c r="K39" s="27">
        <f t="shared" si="5"/>
        <v>2.3521126750365138E-2</v>
      </c>
      <c r="L39" s="27">
        <f t="shared" si="6"/>
        <v>6.8929272186112761E-4</v>
      </c>
      <c r="M39" s="27">
        <f t="shared" si="7"/>
        <v>-7.8613176238624249E-4</v>
      </c>
      <c r="N39" s="27">
        <f t="shared" si="8"/>
        <v>8.8099591966585549E-3</v>
      </c>
      <c r="O39" s="135" cm="1">
        <f t="array" ref="O39">INDEX(F39:N39,0,MATCH('PV IN'!$G$7,$F$19:$N$19,0))</f>
        <v>8.5322832585784294E-3</v>
      </c>
      <c r="Q39">
        <f t="shared" si="10"/>
        <v>2043</v>
      </c>
      <c r="R39" s="49">
        <f t="shared" si="13"/>
        <v>3.2517398602999064E-3</v>
      </c>
      <c r="S39" s="16">
        <f t="shared" si="11"/>
        <v>8.3619617987009537E-2</v>
      </c>
      <c r="T39">
        <f t="shared" si="12"/>
        <v>2043</v>
      </c>
      <c r="U39" s="16">
        <f>INDEX(LkUP!$Q$20:$S$61,MATCH(LkUP!T39,LkUP!$Q$20:$Q$61,0),3)</f>
        <v>8.3619617987009537E-2</v>
      </c>
      <c r="V39" s="2">
        <f>PVCalcs!D232</f>
        <v>7.5999999999999998E-2</v>
      </c>
      <c r="W39" s="2">
        <f>IF('PV IN'!$D$7="Table",U39,V39)</f>
        <v>8.3619617987009537E-2</v>
      </c>
    </row>
    <row r="40" spans="1:23" x14ac:dyDescent="0.25">
      <c r="E40">
        <v>2039</v>
      </c>
      <c r="F40" s="27">
        <f t="shared" si="0"/>
        <v>1.1338084783372991E-3</v>
      </c>
      <c r="G40" s="27">
        <f t="shared" si="1"/>
        <v>-2.247257852017685E-3</v>
      </c>
      <c r="H40" s="27">
        <f t="shared" si="2"/>
        <v>2.7044613729283098E-3</v>
      </c>
      <c r="I40" s="27">
        <f t="shared" si="3"/>
        <v>-4.5153392114247641E-3</v>
      </c>
      <c r="J40" s="27">
        <f t="shared" si="4"/>
        <v>3.5638789839503747E-3</v>
      </c>
      <c r="K40" s="27">
        <f t="shared" si="5"/>
        <v>2.8001129901057326E-2</v>
      </c>
      <c r="L40" s="27">
        <f t="shared" si="6"/>
        <v>-6.3886975150461843E-4</v>
      </c>
      <c r="M40" s="27">
        <f t="shared" si="7"/>
        <v>-3.4490780318327959E-3</v>
      </c>
      <c r="N40" s="27">
        <f t="shared" si="8"/>
        <v>5.7894012309169726E-3</v>
      </c>
      <c r="O40" s="135" cm="1">
        <f t="array" ref="O40">INDEX(F40:N40,0,MATCH('PV IN'!$G$7,$F$19:$N$19,0))</f>
        <v>2.7044613729283098E-3</v>
      </c>
      <c r="Q40">
        <f t="shared" si="10"/>
        <v>2044</v>
      </c>
      <c r="R40" s="49">
        <f t="shared" si="13"/>
        <v>-1.64834183656952E-3</v>
      </c>
      <c r="S40" s="16">
        <f t="shared" si="11"/>
        <v>8.3481784272323598E-2</v>
      </c>
      <c r="T40">
        <f t="shared" si="12"/>
        <v>2044</v>
      </c>
      <c r="U40" s="16">
        <f>INDEX(LkUP!$Q$20:$S$61,MATCH(LkUP!T40,LkUP!$Q$20:$Q$61,0),3)</f>
        <v>8.3481784272323598E-2</v>
      </c>
      <c r="V40" s="2">
        <f>PVCalcs!D244</f>
        <v>7.5999999999999998E-2</v>
      </c>
      <c r="W40" s="2">
        <f>IF('PV IN'!$D$7="Table",U40,V40)</f>
        <v>8.3481784272323598E-2</v>
      </c>
    </row>
    <row r="41" spans="1:23" x14ac:dyDescent="0.25">
      <c r="E41">
        <v>2040</v>
      </c>
      <c r="F41" s="27">
        <f t="shared" si="0"/>
        <v>-2.9599489508557212E-4</v>
      </c>
      <c r="G41" s="27">
        <f t="shared" si="1"/>
        <v>-2.4970435336575197E-3</v>
      </c>
      <c r="H41" s="27">
        <f t="shared" si="2"/>
        <v>3.1987375391270899E-3</v>
      </c>
      <c r="I41" s="27">
        <f t="shared" si="3"/>
        <v>1.1235020410089443E-3</v>
      </c>
      <c r="J41" s="27">
        <f t="shared" si="4"/>
        <v>5.6372957790070386E-4</v>
      </c>
      <c r="K41" s="27">
        <f t="shared" si="5"/>
        <v>2.0541830035134614E-2</v>
      </c>
      <c r="L41" s="27">
        <f t="shared" si="6"/>
        <v>-5.302306674589783E-4</v>
      </c>
      <c r="M41" s="27">
        <f t="shared" si="7"/>
        <v>-2.6673873827574367E-3</v>
      </c>
      <c r="N41" s="27">
        <f t="shared" si="8"/>
        <v>-3.091482957146958E-3</v>
      </c>
      <c r="O41" s="135" cm="1">
        <f t="array" ref="O41">INDEX(F41:N41,0,MATCH('PV IN'!$G$7,$F$19:$N$19,0))</f>
        <v>3.1987375391270899E-3</v>
      </c>
      <c r="Q41">
        <f t="shared" si="10"/>
        <v>2045</v>
      </c>
      <c r="R41" s="49">
        <f t="shared" si="13"/>
        <v>-1.2631658738354828E-3</v>
      </c>
      <c r="S41" s="16">
        <f t="shared" si="11"/>
        <v>8.3376332931343902E-2</v>
      </c>
      <c r="T41">
        <f t="shared" si="12"/>
        <v>2045</v>
      </c>
      <c r="U41" s="16">
        <f>INDEX(LkUP!$Q$20:$S$61,MATCH(LkUP!T41,LkUP!$Q$20:$Q$61,0),3)</f>
        <v>8.3376332931343902E-2</v>
      </c>
      <c r="V41" s="2">
        <f>PVCalcs!D256</f>
        <v>7.5999999999999998E-2</v>
      </c>
      <c r="W41" s="2">
        <f>IF('PV IN'!$D$7="Table",U41,V41)</f>
        <v>8.3376332931343902E-2</v>
      </c>
    </row>
    <row r="42" spans="1:23" x14ac:dyDescent="0.25">
      <c r="E42">
        <v>2041</v>
      </c>
      <c r="F42" s="27">
        <f t="shared" si="0"/>
        <v>-4.3966963153689791E-5</v>
      </c>
      <c r="G42" s="27">
        <f t="shared" si="1"/>
        <v>-2.5233744789377845E-3</v>
      </c>
      <c r="H42" s="27">
        <f t="shared" si="2"/>
        <v>4.4280657373850897E-3</v>
      </c>
      <c r="I42" s="27">
        <f t="shared" si="3"/>
        <v>9.8588813394200388E-3</v>
      </c>
      <c r="J42" s="27">
        <f t="shared" si="4"/>
        <v>3.2359240648308458E-3</v>
      </c>
      <c r="K42" s="27">
        <f t="shared" si="5"/>
        <v>6.8909528181912687E-3</v>
      </c>
      <c r="L42" s="27">
        <f t="shared" si="6"/>
        <v>-3.2451158307925916E-3</v>
      </c>
      <c r="M42" s="27">
        <f t="shared" si="7"/>
        <v>-5.4258137048959262E-3</v>
      </c>
      <c r="N42" s="27">
        <f t="shared" si="8"/>
        <v>-3.0259668621275574E-3</v>
      </c>
      <c r="O42" s="135" cm="1">
        <f t="array" ref="O42">INDEX(F42:N42,0,MATCH('PV IN'!$G$7,$F$19:$N$19,0))</f>
        <v>4.4280657373850897E-3</v>
      </c>
      <c r="Q42">
        <f t="shared" si="10"/>
        <v>2046</v>
      </c>
      <c r="R42" s="49">
        <f t="shared" si="13"/>
        <v>-1.0890539705036683E-3</v>
      </c>
      <c r="S42" s="16">
        <f t="shared" si="11"/>
        <v>8.3285531604918986E-2</v>
      </c>
      <c r="T42">
        <f t="shared" si="12"/>
        <v>2046</v>
      </c>
      <c r="U42" s="16">
        <f>INDEX(LkUP!$Q$20:$S$61,MATCH(LkUP!T42,LkUP!$Q$20:$Q$61,0),3)</f>
        <v>8.3285531604918986E-2</v>
      </c>
      <c r="V42" s="2">
        <f>PVCalcs!D268</f>
        <v>7.5999999999999998E-2</v>
      </c>
      <c r="W42" s="2">
        <f>IF('PV IN'!$D$7="Table",U42,V42)</f>
        <v>8.3285531604918986E-2</v>
      </c>
    </row>
    <row r="43" spans="1:23" x14ac:dyDescent="0.25">
      <c r="E43">
        <v>2042</v>
      </c>
      <c r="F43" s="27">
        <f t="shared" si="0"/>
        <v>-2.949556180770294E-3</v>
      </c>
      <c r="G43" s="27">
        <f t="shared" si="1"/>
        <v>-5.1892311234648459E-3</v>
      </c>
      <c r="H43" s="27">
        <f t="shared" si="2"/>
        <v>1.4786078923868478E-2</v>
      </c>
      <c r="I43" s="27">
        <f t="shared" si="3"/>
        <v>2.5027273955353919E-3</v>
      </c>
      <c r="J43" s="27">
        <f t="shared" si="4"/>
        <v>-2.6579677517521037E-5</v>
      </c>
      <c r="K43" s="27">
        <f t="shared" si="5"/>
        <v>-4.3890189564659903E-3</v>
      </c>
      <c r="L43" s="27">
        <f t="shared" si="6"/>
        <v>-4.3323642797423222E-3</v>
      </c>
      <c r="M43" s="27">
        <f t="shared" si="7"/>
        <v>-5.6479130563516595E-3</v>
      </c>
      <c r="N43" s="27">
        <f t="shared" si="8"/>
        <v>-4.3837921403496061E-3</v>
      </c>
      <c r="O43" s="135" cm="1">
        <f t="array" ref="O43">INDEX(F43:N43,0,MATCH('PV IN'!$G$7,$F$19:$N$19,0))</f>
        <v>1.4786078923868478E-2</v>
      </c>
      <c r="Q43">
        <f t="shared" si="10"/>
        <v>2047</v>
      </c>
      <c r="R43" s="49">
        <f t="shared" si="13"/>
        <v>-1.3930742645129773E-3</v>
      </c>
      <c r="S43" s="16">
        <f t="shared" si="11"/>
        <v>8.3169508674233894E-2</v>
      </c>
      <c r="T43">
        <f t="shared" si="12"/>
        <v>2047</v>
      </c>
      <c r="U43" s="16">
        <f>INDEX(LkUP!$Q$20:$S$61,MATCH(LkUP!T43,LkUP!$Q$20:$Q$61,0),3)</f>
        <v>8.3169508674233894E-2</v>
      </c>
      <c r="V43" s="2">
        <f>PVCalcs!D280</f>
        <v>7.5999999999999998E-2</v>
      </c>
      <c r="W43" s="2">
        <f>IF('PV IN'!$D$7="Table",U43,V43)</f>
        <v>8.3169508674233894E-2</v>
      </c>
    </row>
    <row r="44" spans="1:23" x14ac:dyDescent="0.25">
      <c r="E44">
        <v>2043</v>
      </c>
      <c r="F44" s="27">
        <f t="shared" si="0"/>
        <v>-2.951012034502867E-3</v>
      </c>
      <c r="G44" s="27">
        <f t="shared" si="1"/>
        <v>-5.4365326252388997E-3</v>
      </c>
      <c r="H44" s="27">
        <f t="shared" si="2"/>
        <v>3.2517398602999064E-3</v>
      </c>
      <c r="I44" s="27">
        <f t="shared" si="3"/>
        <v>-4.6788946144042829E-3</v>
      </c>
      <c r="J44" s="27">
        <f t="shared" si="4"/>
        <v>-2.0422383845108277E-3</v>
      </c>
      <c r="K44" s="27">
        <f t="shared" si="5"/>
        <v>-2.3430396084788605E-5</v>
      </c>
      <c r="L44" s="27">
        <f t="shared" si="6"/>
        <v>-2.6760654930713442E-3</v>
      </c>
      <c r="M44" s="27">
        <f t="shared" si="7"/>
        <v>-6.6270716700729763E-3</v>
      </c>
      <c r="N44" s="27">
        <f t="shared" si="8"/>
        <v>-3.7072583006783314E-3</v>
      </c>
      <c r="O44" s="135" cm="1">
        <f t="array" ref="O44">INDEX(F44:N44,0,MATCH('PV IN'!$G$7,$F$19:$N$19,0))</f>
        <v>3.2517398602999064E-3</v>
      </c>
      <c r="Q44">
        <f t="shared" si="10"/>
        <v>2048</v>
      </c>
      <c r="R44" s="49">
        <f t="shared" si="13"/>
        <v>-5.7265639066659182E-3</v>
      </c>
      <c r="S44" s="16">
        <f t="shared" si="11"/>
        <v>8.2693233167724894E-2</v>
      </c>
      <c r="T44">
        <f t="shared" si="12"/>
        <v>2048</v>
      </c>
      <c r="U44" s="16">
        <f>INDEX(LkUP!$Q$20:$S$61,MATCH(LkUP!T44,LkUP!$Q$20:$Q$61,0),3)</f>
        <v>8.2693233167724894E-2</v>
      </c>
      <c r="V44" s="2">
        <f>PVCalcs!D292</f>
        <v>7.5999999999999998E-2</v>
      </c>
      <c r="W44" s="2">
        <f>IF('PV IN'!$D$7="Table",U44,V44)</f>
        <v>8.2693233167724894E-2</v>
      </c>
    </row>
    <row r="45" spans="1:23" x14ac:dyDescent="0.25">
      <c r="E45">
        <v>2044</v>
      </c>
      <c r="F45" s="27">
        <f t="shared" si="0"/>
        <v>-3.0434835956128442E-3</v>
      </c>
      <c r="G45" s="27">
        <f t="shared" si="1"/>
        <v>-2.9114144873083705E-3</v>
      </c>
      <c r="H45" s="27">
        <f t="shared" si="2"/>
        <v>-1.64834183656952E-3</v>
      </c>
      <c r="I45" s="27">
        <f t="shared" si="3"/>
        <v>-1.4089244343158773E-3</v>
      </c>
      <c r="J45" s="27">
        <f t="shared" si="4"/>
        <v>-9.8994551394138534E-3</v>
      </c>
      <c r="K45" s="27">
        <f t="shared" si="5"/>
        <v>1.4928090541656142E-3</v>
      </c>
      <c r="L45" s="27">
        <f t="shared" si="6"/>
        <v>-1.104679554950714E-3</v>
      </c>
      <c r="M45" s="27">
        <f t="shared" si="7"/>
        <v>-3.587308887250455E-3</v>
      </c>
      <c r="N45" s="27">
        <f t="shared" si="8"/>
        <v>-3.34726102117947E-4</v>
      </c>
      <c r="O45" s="135" cm="1">
        <f t="array" ref="O45">INDEX(F45:N45,0,MATCH('PV IN'!$G$7,$F$19:$N$19,0))</f>
        <v>-1.64834183656952E-3</v>
      </c>
      <c r="Q45">
        <f t="shared" si="10"/>
        <v>2049</v>
      </c>
      <c r="R45" s="49">
        <f t="shared" si="13"/>
        <v>-8.9996319792430227E-3</v>
      </c>
      <c r="S45" s="16">
        <f t="shared" si="11"/>
        <v>8.194902450204164E-2</v>
      </c>
      <c r="T45">
        <f t="shared" si="12"/>
        <v>2049</v>
      </c>
      <c r="U45" s="16">
        <f>INDEX(LkUP!$Q$20:$S$61,MATCH(LkUP!T45,LkUP!$Q$20:$Q$61,0),3)</f>
        <v>8.194902450204164E-2</v>
      </c>
      <c r="V45" s="2">
        <f>PVCalcs!D304</f>
        <v>7.5999999999999998E-2</v>
      </c>
      <c r="W45" s="2">
        <f>IF('PV IN'!$D$7="Table",U45,V45)</f>
        <v>8.194902450204164E-2</v>
      </c>
    </row>
    <row r="46" spans="1:23" x14ac:dyDescent="0.25">
      <c r="E46">
        <v>2045</v>
      </c>
      <c r="F46" s="27">
        <f t="shared" si="0"/>
        <v>-2.6153154353935003E-3</v>
      </c>
      <c r="G46" s="27">
        <f t="shared" si="1"/>
        <v>-2.0848599743488439E-3</v>
      </c>
      <c r="H46" s="27">
        <f t="shared" si="2"/>
        <v>-1.2631658738354828E-3</v>
      </c>
      <c r="I46" s="27">
        <f t="shared" si="3"/>
        <v>4.5083590193579466E-3</v>
      </c>
      <c r="J46" s="27">
        <f t="shared" si="4"/>
        <v>-1.0601175596637726E-2</v>
      </c>
      <c r="K46" s="27">
        <f t="shared" si="5"/>
        <v>-1.3502525583491392E-4</v>
      </c>
      <c r="L46" s="27">
        <f t="shared" si="6"/>
        <v>-3.2176793948538818E-4</v>
      </c>
      <c r="M46" s="27">
        <f t="shared" si="7"/>
        <v>-1.7276211495761175E-3</v>
      </c>
      <c r="N46" s="27">
        <f t="shared" si="8"/>
        <v>-1.8240473191835497E-4</v>
      </c>
      <c r="O46" s="135" cm="1">
        <f t="array" ref="O46">INDEX(F46:N46,0,MATCH('PV IN'!$G$7,$F$19:$N$19,0))</f>
        <v>-1.2631658738354828E-3</v>
      </c>
      <c r="Q46">
        <f t="shared" si="10"/>
        <v>2050</v>
      </c>
      <c r="R46" s="49">
        <f t="shared" si="13"/>
        <v>-7.5633013389257734E-3</v>
      </c>
      <c r="S46" s="16">
        <f t="shared" si="11"/>
        <v>8.1329219335301683E-2</v>
      </c>
      <c r="T46">
        <f t="shared" si="12"/>
        <v>2050</v>
      </c>
      <c r="U46" s="16">
        <f>INDEX(LkUP!$Q$20:$S$61,MATCH(LkUP!T46,LkUP!$Q$20:$Q$61,0),3)</f>
        <v>8.1329219335301683E-2</v>
      </c>
      <c r="V46" s="2">
        <f>PVCalcs!D316</f>
        <v>7.5999999999999998E-2</v>
      </c>
      <c r="W46" s="2">
        <f>IF('PV IN'!$D$7="Table",U46,V46)</f>
        <v>8.1329219335301683E-2</v>
      </c>
    </row>
    <row r="47" spans="1:23" x14ac:dyDescent="0.25">
      <c r="E47">
        <v>2046</v>
      </c>
      <c r="F47" s="27">
        <f t="shared" si="0"/>
        <v>-1.8580524186564303E-3</v>
      </c>
      <c r="G47" s="27">
        <f t="shared" si="1"/>
        <v>-1.1618291002862126E-3</v>
      </c>
      <c r="H47" s="27">
        <f t="shared" si="2"/>
        <v>-1.0890539705036683E-3</v>
      </c>
      <c r="I47" s="27">
        <f t="shared" si="3"/>
        <v>3.0611619105860902E-3</v>
      </c>
      <c r="J47" s="27">
        <f t="shared" si="4"/>
        <v>1.1389555744764589E-2</v>
      </c>
      <c r="K47" s="27">
        <f t="shared" si="5"/>
        <v>-2.0975740380804633E-3</v>
      </c>
      <c r="L47" s="27">
        <f t="shared" si="6"/>
        <v>-2.3133482125621148E-3</v>
      </c>
      <c r="M47" s="27">
        <f t="shared" si="7"/>
        <v>-2.1788832285746943E-3</v>
      </c>
      <c r="N47" s="27">
        <f t="shared" si="8"/>
        <v>2.4680504862141642E-4</v>
      </c>
      <c r="O47" s="135" cm="1">
        <f t="array" ref="O47">INDEX(F47:N47,0,MATCH('PV IN'!$G$7,$F$19:$N$19,0))</f>
        <v>-1.0890539705036683E-3</v>
      </c>
      <c r="Q47">
        <f t="shared" si="10"/>
        <v>2051</v>
      </c>
      <c r="R47" s="49">
        <f t="shared" si="13"/>
        <v>-7.5633013389257734E-3</v>
      </c>
      <c r="S47" s="16">
        <f t="shared" si="11"/>
        <v>8.071410194180921E-2</v>
      </c>
      <c r="T47">
        <f t="shared" si="12"/>
        <v>2051</v>
      </c>
      <c r="U47" s="16">
        <f>INDEX(LkUP!$Q$20:$S$61,MATCH(LkUP!T47,LkUP!$Q$20:$Q$61,0),3)</f>
        <v>8.071410194180921E-2</v>
      </c>
      <c r="V47" s="2">
        <f>PVCalcs!D328</f>
        <v>7.5999999999999998E-2</v>
      </c>
      <c r="W47" s="2">
        <f>IF('PV IN'!$D$7="Table",U47,V47)</f>
        <v>8.071410194180921E-2</v>
      </c>
    </row>
    <row r="48" spans="1:23" x14ac:dyDescent="0.25">
      <c r="E48">
        <v>2047</v>
      </c>
      <c r="F48" s="27">
        <f t="shared" si="0"/>
        <v>-2.2726165035137362E-3</v>
      </c>
      <c r="G48" s="27">
        <f t="shared" si="1"/>
        <v>2.0042200941146728E-4</v>
      </c>
      <c r="H48" s="27">
        <f t="shared" si="2"/>
        <v>-1.3930742645129773E-3</v>
      </c>
      <c r="I48" s="27">
        <f t="shared" si="3"/>
        <v>-1.5494254614178353E-3</v>
      </c>
      <c r="J48" s="27">
        <f t="shared" si="4"/>
        <v>-7.7473097958816522E-3</v>
      </c>
      <c r="K48" s="27">
        <f t="shared" si="5"/>
        <v>8.0287645225587988E-4</v>
      </c>
      <c r="L48" s="27">
        <f t="shared" si="6"/>
        <v>-2.0741434028970838E-3</v>
      </c>
      <c r="M48" s="27">
        <f t="shared" si="7"/>
        <v>-2.5057964989075397E-3</v>
      </c>
      <c r="N48" s="27">
        <f t="shared" si="8"/>
        <v>-1.9492787922625525E-3</v>
      </c>
      <c r="O48" s="135" cm="1">
        <f t="array" ref="O48">INDEX(F48:N48,0,MATCH('PV IN'!$G$7,$F$19:$N$19,0))</f>
        <v>-1.3930742645129773E-3</v>
      </c>
      <c r="Q48">
        <f t="shared" si="10"/>
        <v>2052</v>
      </c>
      <c r="R48" s="49">
        <f t="shared" si="13"/>
        <v>-7.5633013389257734E-3</v>
      </c>
      <c r="S48" s="16">
        <f t="shared" si="11"/>
        <v>8.0103636866522526E-2</v>
      </c>
      <c r="T48">
        <f t="shared" si="12"/>
        <v>2052</v>
      </c>
      <c r="U48" s="16">
        <f>INDEX(LkUP!$Q$20:$S$61,MATCH(LkUP!T48,LkUP!$Q$20:$Q$61,0),3)</f>
        <v>8.0103636866522526E-2</v>
      </c>
      <c r="V48" s="2">
        <f>PVCalcs!D340</f>
        <v>7.5999999999999998E-2</v>
      </c>
      <c r="W48" s="2">
        <f>IF('PV IN'!$D$7="Table",U48,V48)</f>
        <v>8.0103636866522526E-2</v>
      </c>
    </row>
    <row r="49" spans="2:118" x14ac:dyDescent="0.25">
      <c r="E49">
        <v>2048</v>
      </c>
      <c r="F49" s="27">
        <f t="shared" si="0"/>
        <v>-2.764698362793461E-3</v>
      </c>
      <c r="G49" s="27">
        <f t="shared" si="1"/>
        <v>-4.1896611010130633E-3</v>
      </c>
      <c r="H49" s="27">
        <f t="shared" si="2"/>
        <v>-5.7265639066659182E-3</v>
      </c>
      <c r="I49" s="27">
        <f t="shared" si="3"/>
        <v>-1.4132903681481092E-3</v>
      </c>
      <c r="J49" s="27">
        <f t="shared" si="4"/>
        <v>-1.1443335725421264E-2</v>
      </c>
      <c r="K49" s="27">
        <f t="shared" si="5"/>
        <v>2.0160625388337483E-4</v>
      </c>
      <c r="L49" s="27">
        <f t="shared" si="6"/>
        <v>-2.3699572730336601E-3</v>
      </c>
      <c r="M49" s="27">
        <f t="shared" si="7"/>
        <v>-1.6119798327234728E-3</v>
      </c>
      <c r="N49" s="27">
        <f t="shared" si="8"/>
        <v>-6.0724946043530671E-3</v>
      </c>
      <c r="O49" s="135" cm="1">
        <f t="array" ref="O49">INDEX(F49:N49,0,MATCH('PV IN'!$G$7,$F$19:$N$19,0))</f>
        <v>-5.7265639066659182E-3</v>
      </c>
      <c r="Q49">
        <f t="shared" si="10"/>
        <v>2053</v>
      </c>
      <c r="R49" s="49">
        <f t="shared" si="13"/>
        <v>-7.5633013389257734E-3</v>
      </c>
      <c r="S49" s="16">
        <f t="shared" si="11"/>
        <v>7.9497788922557128E-2</v>
      </c>
      <c r="T49">
        <f t="shared" si="12"/>
        <v>2053</v>
      </c>
      <c r="U49" s="16">
        <f>INDEX(LkUP!$Q$20:$S$61,MATCH(LkUP!T49,LkUP!$Q$20:$Q$61,0),3)</f>
        <v>7.9497788922557128E-2</v>
      </c>
      <c r="V49" s="2">
        <f>PVCalcs!D352</f>
        <v>7.5999999999999998E-2</v>
      </c>
      <c r="W49" s="2">
        <f>IF('PV IN'!$D$7="Table",U49,V49)</f>
        <v>7.9497788922557128E-2</v>
      </c>
    </row>
    <row r="50" spans="2:118" x14ac:dyDescent="0.25">
      <c r="E50">
        <v>2049</v>
      </c>
      <c r="F50" s="27">
        <f t="shared" si="0"/>
        <v>-5.6247413940509784E-3</v>
      </c>
      <c r="G50" s="27">
        <f t="shared" si="1"/>
        <v>-6.8595621262722986E-3</v>
      </c>
      <c r="H50" s="27">
        <f t="shared" si="2"/>
        <v>-8.9996319792430227E-3</v>
      </c>
      <c r="I50" s="27">
        <f t="shared" si="3"/>
        <v>-1.1527065922799808E-3</v>
      </c>
      <c r="J50" s="27">
        <f t="shared" si="4"/>
        <v>-1.6847565310409474E-2</v>
      </c>
      <c r="K50" s="27">
        <f t="shared" si="5"/>
        <v>-2.338560163806042E-3</v>
      </c>
      <c r="L50" s="27">
        <f t="shared" si="6"/>
        <v>-8.6339485925984172E-3</v>
      </c>
      <c r="M50" s="27">
        <f t="shared" si="7"/>
        <v>-6.3097996859232354E-3</v>
      </c>
      <c r="N50" s="27">
        <f t="shared" si="8"/>
        <v>-1.2125638201316799E-2</v>
      </c>
      <c r="O50" s="135" cm="1">
        <f t="array" ref="O50">INDEX(F50:N50,0,MATCH('PV IN'!$G$7,$F$19:$N$19,0))</f>
        <v>-8.9996319792430227E-3</v>
      </c>
      <c r="Q50">
        <f t="shared" si="10"/>
        <v>2054</v>
      </c>
      <c r="R50" s="49">
        <f t="shared" si="13"/>
        <v>-7.5633013389257734E-3</v>
      </c>
      <c r="S50" s="16">
        <f t="shared" si="11"/>
        <v>7.8896523189157505E-2</v>
      </c>
      <c r="T50">
        <f t="shared" si="12"/>
        <v>2054</v>
      </c>
      <c r="U50" s="16">
        <f>INDEX(LkUP!$Q$20:$S$61,MATCH(LkUP!T50,LkUP!$Q$20:$Q$61,0),3)</f>
        <v>7.8896523189157505E-2</v>
      </c>
      <c r="V50" s="2">
        <f>PVCalcs!D364</f>
        <v>7.5999999999999998E-2</v>
      </c>
      <c r="W50" s="2">
        <f>IF('PV IN'!$D$7="Table",U50,V50)</f>
        <v>7.8896523189157505E-2</v>
      </c>
    </row>
    <row r="51" spans="2:118" x14ac:dyDescent="0.25">
      <c r="E51">
        <v>2050</v>
      </c>
      <c r="F51" s="27">
        <f t="shared" si="0"/>
        <v>-6.9276873647360956E-3</v>
      </c>
      <c r="G51" s="27">
        <f t="shared" si="1"/>
        <v>-4.1982567721729723E-3</v>
      </c>
      <c r="H51" s="27">
        <f t="shared" si="2"/>
        <v>-7.5633013389257734E-3</v>
      </c>
      <c r="I51" s="27">
        <f t="shared" si="3"/>
        <v>-1.5126805393132743E-3</v>
      </c>
      <c r="J51" s="27">
        <f t="shared" si="4"/>
        <v>-9.5744479199747698E-3</v>
      </c>
      <c r="K51" s="27">
        <f t="shared" si="5"/>
        <v>-8.9801125041224332E-3</v>
      </c>
      <c r="L51" s="27">
        <f t="shared" si="6"/>
        <v>-6.7442526170192491E-3</v>
      </c>
      <c r="M51" s="27">
        <f t="shared" si="7"/>
        <v>-7.490290753511878E-3</v>
      </c>
      <c r="N51" s="27">
        <f t="shared" si="8"/>
        <v>-8.5769848217684425E-3</v>
      </c>
      <c r="O51" s="135" cm="1">
        <f t="array" ref="O51">INDEX(F51:N51,0,MATCH('PV IN'!$G$7,$F$19:$N$19,0))</f>
        <v>-7.5633013389257734E-3</v>
      </c>
      <c r="Q51">
        <f t="shared" si="10"/>
        <v>2055</v>
      </c>
      <c r="R51" s="49">
        <f t="shared" si="13"/>
        <v>-7.5633013389257734E-3</v>
      </c>
      <c r="S51" s="16">
        <f t="shared" si="11"/>
        <v>7.8299805009684365E-2</v>
      </c>
      <c r="T51">
        <f t="shared" si="12"/>
        <v>2055</v>
      </c>
      <c r="U51" s="16">
        <f>INDEX(LkUP!$Q$20:$S$61,MATCH(LkUP!T51,LkUP!$Q$20:$Q$61,0),3)</f>
        <v>7.8299805009684365E-2</v>
      </c>
      <c r="V51" s="2">
        <f>PVCalcs!D376</f>
        <v>7.5999999999999998E-2</v>
      </c>
      <c r="W51" s="2">
        <f>IF('PV IN'!$D$7="Table",U51,V51)</f>
        <v>7.8299805009684365E-2</v>
      </c>
    </row>
    <row r="52" spans="2:118" x14ac:dyDescent="0.25">
      <c r="E52">
        <v>2051</v>
      </c>
      <c r="F52" s="27">
        <f t="shared" ref="F52:F61" si="14">N99</f>
        <v>-6.9276873647360956E-3</v>
      </c>
      <c r="G52" s="27">
        <f t="shared" ref="G52:G61" si="15">AA99</f>
        <v>-4.1982567721729723E-3</v>
      </c>
      <c r="H52" s="27">
        <f t="shared" ref="H52:H61" si="16">AN99</f>
        <v>-7.5633013389257734E-3</v>
      </c>
      <c r="I52" s="27">
        <f t="shared" ref="I52:I61" si="17">BA99</f>
        <v>-1.5126805393132743E-3</v>
      </c>
      <c r="J52" s="27">
        <f t="shared" ref="J52:J61" si="18">BN99</f>
        <v>-9.5744479199747698E-3</v>
      </c>
      <c r="K52" s="27">
        <f t="shared" ref="K52:K61" si="19">CA99</f>
        <v>-8.9801125041224332E-3</v>
      </c>
      <c r="L52" s="27">
        <f t="shared" ref="L52:L61" si="20">CN99</f>
        <v>-6.7442526170192491E-3</v>
      </c>
      <c r="M52" s="27">
        <f t="shared" ref="M52:M61" si="21">DA99</f>
        <v>-7.490290753511878E-3</v>
      </c>
      <c r="N52" s="27">
        <f t="shared" ref="N52:N61" si="22">DN99</f>
        <v>-8.5769848217684425E-3</v>
      </c>
      <c r="O52" s="135" cm="1">
        <f t="array" ref="O52">INDEX(F52:N52,0,MATCH('PV IN'!$G$7,$F$19:$N$19,0))</f>
        <v>-7.5633013389257734E-3</v>
      </c>
      <c r="Q52">
        <f t="shared" si="10"/>
        <v>2056</v>
      </c>
      <c r="R52" s="49">
        <f t="shared" si="13"/>
        <v>-7.5633013389257734E-3</v>
      </c>
      <c r="S52" s="16">
        <f t="shared" si="11"/>
        <v>7.7707599989616988E-2</v>
      </c>
      <c r="T52">
        <f t="shared" si="12"/>
        <v>2056</v>
      </c>
      <c r="U52" s="16">
        <f>INDEX(LkUP!$Q$20:$S$61,MATCH(LkUP!T52,LkUP!$Q$20:$Q$61,0),3)</f>
        <v>7.7707599989616988E-2</v>
      </c>
      <c r="V52" s="2">
        <f>PVCalcs!D388</f>
        <v>7.5999999999999998E-2</v>
      </c>
      <c r="W52" s="2">
        <f>IF('PV IN'!$D$7="Table",U52,V52)</f>
        <v>7.7707599989616988E-2</v>
      </c>
    </row>
    <row r="53" spans="2:118" x14ac:dyDescent="0.25">
      <c r="E53">
        <v>2052</v>
      </c>
      <c r="F53" s="27">
        <f t="shared" si="14"/>
        <v>-6.9276873647360956E-3</v>
      </c>
      <c r="G53" s="27">
        <f t="shared" si="15"/>
        <v>-4.1982567721729723E-3</v>
      </c>
      <c r="H53" s="27">
        <f t="shared" si="16"/>
        <v>-7.5633013389257734E-3</v>
      </c>
      <c r="I53" s="27">
        <f t="shared" si="17"/>
        <v>-1.5126805393132743E-3</v>
      </c>
      <c r="J53" s="27">
        <f t="shared" si="18"/>
        <v>-9.5744479199747698E-3</v>
      </c>
      <c r="K53" s="27">
        <f t="shared" si="19"/>
        <v>-8.9801125041224332E-3</v>
      </c>
      <c r="L53" s="27">
        <f t="shared" si="20"/>
        <v>-6.7442526170192491E-3</v>
      </c>
      <c r="M53" s="27">
        <f t="shared" si="21"/>
        <v>-7.490290753511878E-3</v>
      </c>
      <c r="N53" s="27">
        <f t="shared" si="22"/>
        <v>-8.5769848217684425E-3</v>
      </c>
      <c r="O53" s="135" cm="1">
        <f t="array" ref="O53">INDEX(F53:N53,0,MATCH('PV IN'!$G$7,$F$19:$N$19,0))</f>
        <v>-7.5633013389257734E-3</v>
      </c>
      <c r="Q53">
        <f t="shared" si="10"/>
        <v>2057</v>
      </c>
      <c r="R53" s="49">
        <f t="shared" si="13"/>
        <v>-7.5633013389257734E-3</v>
      </c>
      <c r="S53" s="16">
        <f t="shared" si="11"/>
        <v>7.7119873994570806E-2</v>
      </c>
      <c r="T53">
        <f t="shared" si="12"/>
        <v>2057</v>
      </c>
      <c r="U53" s="16">
        <f>INDEX(LkUP!$Q$20:$S$61,MATCH(LkUP!T53,LkUP!$Q$20:$Q$61,0),3)</f>
        <v>7.7119873994570806E-2</v>
      </c>
      <c r="V53" s="2">
        <f>PVCalcs!D400</f>
        <v>7.5999999999999998E-2</v>
      </c>
      <c r="W53" s="2">
        <f>IF('PV IN'!$D$7="Table",U53,V53)</f>
        <v>7.7119873994570806E-2</v>
      </c>
    </row>
    <row r="54" spans="2:118" x14ac:dyDescent="0.25">
      <c r="E54">
        <v>2053</v>
      </c>
      <c r="F54" s="27">
        <f t="shared" si="14"/>
        <v>-6.9276873647360956E-3</v>
      </c>
      <c r="G54" s="27">
        <f t="shared" si="15"/>
        <v>-4.1982567721729723E-3</v>
      </c>
      <c r="H54" s="27">
        <f t="shared" si="16"/>
        <v>-7.5633013389257734E-3</v>
      </c>
      <c r="I54" s="27">
        <f t="shared" si="17"/>
        <v>-1.5126805393132743E-3</v>
      </c>
      <c r="J54" s="27">
        <f t="shared" si="18"/>
        <v>-9.5744479199747698E-3</v>
      </c>
      <c r="K54" s="27">
        <f t="shared" si="19"/>
        <v>-8.9801125041224332E-3</v>
      </c>
      <c r="L54" s="27">
        <f t="shared" si="20"/>
        <v>-6.7442526170192491E-3</v>
      </c>
      <c r="M54" s="27">
        <f t="shared" si="21"/>
        <v>-7.490290753511878E-3</v>
      </c>
      <c r="N54" s="27">
        <f t="shared" si="22"/>
        <v>-8.5769848217684425E-3</v>
      </c>
      <c r="O54" s="135" cm="1">
        <f t="array" ref="O54">INDEX(F54:N54,0,MATCH('PV IN'!$G$7,$F$19:$N$19,0))</f>
        <v>-7.5633013389257734E-3</v>
      </c>
      <c r="P54" s="12"/>
      <c r="Q54">
        <f t="shared" si="10"/>
        <v>2058</v>
      </c>
      <c r="R54" s="49">
        <f t="shared" si="13"/>
        <v>-7.5633013389257734E-3</v>
      </c>
      <c r="S54" s="16">
        <f t="shared" si="11"/>
        <v>7.6536593148329876E-2</v>
      </c>
      <c r="T54">
        <f t="shared" si="12"/>
        <v>2058</v>
      </c>
      <c r="U54" s="16">
        <f>INDEX(LkUP!$Q$20:$S$61,MATCH(LkUP!T54,LkUP!$Q$20:$Q$61,0),3)</f>
        <v>7.6536593148329876E-2</v>
      </c>
      <c r="V54" s="2">
        <f>PVCalcs!D401</f>
        <v>7.5999999999999998E-2</v>
      </c>
      <c r="W54" s="2">
        <f>IF('PV IN'!$D$7="Table",U54,V54)</f>
        <v>7.6536593148329876E-2</v>
      </c>
    </row>
    <row r="55" spans="2:118" x14ac:dyDescent="0.25">
      <c r="E55">
        <v>2054</v>
      </c>
      <c r="F55" s="27">
        <f t="shared" si="14"/>
        <v>-6.9276873647360956E-3</v>
      </c>
      <c r="G55" s="27">
        <f t="shared" si="15"/>
        <v>-4.1982567721729723E-3</v>
      </c>
      <c r="H55" s="27">
        <f t="shared" si="16"/>
        <v>-7.5633013389257734E-3</v>
      </c>
      <c r="I55" s="27">
        <f t="shared" si="17"/>
        <v>-1.5126805393132743E-3</v>
      </c>
      <c r="J55" s="27">
        <f t="shared" si="18"/>
        <v>-9.5744479199747698E-3</v>
      </c>
      <c r="K55" s="27">
        <f t="shared" si="19"/>
        <v>-8.9801125041224332E-3</v>
      </c>
      <c r="L55" s="27">
        <f t="shared" si="20"/>
        <v>-6.7442526170192491E-3</v>
      </c>
      <c r="M55" s="27">
        <f t="shared" si="21"/>
        <v>-7.490290753511878E-3</v>
      </c>
      <c r="N55" s="27">
        <f t="shared" si="22"/>
        <v>-8.5769848217684425E-3</v>
      </c>
      <c r="O55" s="135" cm="1">
        <f t="array" ref="O55">INDEX(F55:N55,0,MATCH('PV IN'!$G$7,$F$19:$N$19,0))</f>
        <v>-7.5633013389257734E-3</v>
      </c>
      <c r="P55" s="12"/>
      <c r="Q55">
        <f t="shared" si="10"/>
        <v>2059</v>
      </c>
      <c r="R55" s="49">
        <f t="shared" si="13"/>
        <v>-7.5633013389257734E-3</v>
      </c>
      <c r="S55" s="16">
        <f t="shared" si="11"/>
        <v>7.5957723830894289E-2</v>
      </c>
      <c r="T55">
        <f t="shared" si="12"/>
        <v>2059</v>
      </c>
      <c r="U55" s="16">
        <f>INDEX(LkUP!$Q$20:$S$61,MATCH(LkUP!T55,LkUP!$Q$20:$Q$61,0),3)</f>
        <v>7.5957723830894289E-2</v>
      </c>
      <c r="V55" s="2">
        <f>PVCalcs!D402</f>
        <v>7.5999999999999998E-2</v>
      </c>
      <c r="W55" s="2">
        <f>IF('PV IN'!$D$7="Table",U55,V55)</f>
        <v>7.5957723830894289E-2</v>
      </c>
    </row>
    <row r="56" spans="2:118" x14ac:dyDescent="0.25">
      <c r="E56">
        <v>2055</v>
      </c>
      <c r="F56" s="27">
        <f t="shared" si="14"/>
        <v>-6.9276873647360956E-3</v>
      </c>
      <c r="G56" s="27">
        <f t="shared" si="15"/>
        <v>-4.1982567721729723E-3</v>
      </c>
      <c r="H56" s="27">
        <f t="shared" si="16"/>
        <v>-7.5633013389257734E-3</v>
      </c>
      <c r="I56" s="27">
        <f t="shared" si="17"/>
        <v>-1.5126805393132743E-3</v>
      </c>
      <c r="J56" s="27">
        <f t="shared" si="18"/>
        <v>-9.5744479199747698E-3</v>
      </c>
      <c r="K56" s="27">
        <f t="shared" si="19"/>
        <v>-8.9801125041224332E-3</v>
      </c>
      <c r="L56" s="27">
        <f t="shared" si="20"/>
        <v>-6.7442526170192491E-3</v>
      </c>
      <c r="M56" s="27">
        <f t="shared" si="21"/>
        <v>-7.490290753511878E-3</v>
      </c>
      <c r="N56" s="27">
        <f t="shared" si="22"/>
        <v>-8.5769848217684425E-3</v>
      </c>
      <c r="O56" s="135" cm="1">
        <f t="array" ref="O56">INDEX(F56:N56,0,MATCH('PV IN'!$G$7,$F$19:$N$19,0))</f>
        <v>-7.5633013389257734E-3</v>
      </c>
      <c r="P56" s="12"/>
      <c r="Q56">
        <f t="shared" si="10"/>
        <v>2060</v>
      </c>
      <c r="R56" s="49">
        <f t="shared" si="13"/>
        <v>-7.5633013389257734E-3</v>
      </c>
      <c r="S56" s="16">
        <f t="shared" si="11"/>
        <v>7.5383232676542331E-2</v>
      </c>
      <c r="T56">
        <f t="shared" si="12"/>
        <v>2060</v>
      </c>
      <c r="U56" s="16">
        <f>INDEX(LkUP!$Q$20:$S$61,MATCH(LkUP!T56,LkUP!$Q$20:$Q$61,0),3)</f>
        <v>7.5383232676542331E-2</v>
      </c>
      <c r="V56" s="2">
        <f>PVCalcs!D403</f>
        <v>7.5999999999999998E-2</v>
      </c>
      <c r="W56" s="2">
        <f>IF('PV IN'!$D$7="Table",U56,V56)</f>
        <v>7.5383232676542331E-2</v>
      </c>
    </row>
    <row r="57" spans="2:118" x14ac:dyDescent="0.25">
      <c r="E57">
        <v>2056</v>
      </c>
      <c r="F57" s="27">
        <f t="shared" si="14"/>
        <v>-6.9276873647360956E-3</v>
      </c>
      <c r="G57" s="27">
        <f t="shared" si="15"/>
        <v>-4.1982567721729723E-3</v>
      </c>
      <c r="H57" s="27">
        <f t="shared" si="16"/>
        <v>-7.5633013389257734E-3</v>
      </c>
      <c r="I57" s="27">
        <f t="shared" si="17"/>
        <v>-1.5126805393132743E-3</v>
      </c>
      <c r="J57" s="27">
        <f t="shared" si="18"/>
        <v>-9.5744479199747698E-3</v>
      </c>
      <c r="K57" s="27">
        <f t="shared" si="19"/>
        <v>-8.9801125041224332E-3</v>
      </c>
      <c r="L57" s="27">
        <f t="shared" si="20"/>
        <v>-6.7442526170192491E-3</v>
      </c>
      <c r="M57" s="27">
        <f t="shared" si="21"/>
        <v>-7.490290753511878E-3</v>
      </c>
      <c r="N57" s="27">
        <f t="shared" si="22"/>
        <v>-8.5769848217684425E-3</v>
      </c>
      <c r="O57" s="135" cm="1">
        <f t="array" ref="O57">INDEX(F57:N57,0,MATCH('PV IN'!$G$7,$F$19:$N$19,0))</f>
        <v>-7.5633013389257734E-3</v>
      </c>
      <c r="P57" s="12"/>
      <c r="Q57">
        <f t="shared" si="10"/>
        <v>2061</v>
      </c>
      <c r="R57" s="49" t="e">
        <f t="shared" si="13"/>
        <v>#N/A</v>
      </c>
      <c r="S57" s="16" t="e">
        <f t="shared" si="11"/>
        <v>#N/A</v>
      </c>
      <c r="T57">
        <f t="shared" si="12"/>
        <v>2061</v>
      </c>
      <c r="U57" s="16" t="e">
        <f>INDEX(LkUP!$Q$20:$S$61,MATCH(LkUP!T57,LkUP!$Q$20:$Q$61,0),3)</f>
        <v>#N/A</v>
      </c>
      <c r="V57" s="2">
        <f>PVCalcs!D404</f>
        <v>7.5999999999999998E-2</v>
      </c>
      <c r="W57" s="2" t="e">
        <f>IF('PV IN'!$D$7="Table",U57,V57)</f>
        <v>#N/A</v>
      </c>
    </row>
    <row r="58" spans="2:118" x14ac:dyDescent="0.25">
      <c r="E58">
        <v>2057</v>
      </c>
      <c r="F58" s="27">
        <f t="shared" si="14"/>
        <v>-6.9276873647360956E-3</v>
      </c>
      <c r="G58" s="27">
        <f t="shared" si="15"/>
        <v>-4.1982567721729723E-3</v>
      </c>
      <c r="H58" s="27">
        <f t="shared" si="16"/>
        <v>-7.5633013389257734E-3</v>
      </c>
      <c r="I58" s="27">
        <f t="shared" si="17"/>
        <v>-1.5126805393132743E-3</v>
      </c>
      <c r="J58" s="27">
        <f t="shared" si="18"/>
        <v>-9.5744479199747698E-3</v>
      </c>
      <c r="K58" s="27">
        <f t="shared" si="19"/>
        <v>-8.9801125041224332E-3</v>
      </c>
      <c r="L58" s="27">
        <f t="shared" si="20"/>
        <v>-6.7442526170192491E-3</v>
      </c>
      <c r="M58" s="27">
        <f t="shared" si="21"/>
        <v>-7.490290753511878E-3</v>
      </c>
      <c r="N58" s="27">
        <f t="shared" si="22"/>
        <v>-8.5769848217684425E-3</v>
      </c>
      <c r="O58" s="135" cm="1">
        <f t="array" ref="O58">INDEX(F58:N58,0,MATCH('PV IN'!$G$7,$F$19:$N$19,0))</f>
        <v>-7.5633013389257734E-3</v>
      </c>
      <c r="P58" s="12"/>
      <c r="Q58">
        <f t="shared" si="10"/>
        <v>2062</v>
      </c>
      <c r="R58" s="49" t="e">
        <f t="shared" si="13"/>
        <v>#N/A</v>
      </c>
      <c r="S58" s="16" t="e">
        <f t="shared" si="11"/>
        <v>#N/A</v>
      </c>
      <c r="T58">
        <f t="shared" si="12"/>
        <v>2062</v>
      </c>
      <c r="U58" s="16" t="e">
        <f>INDEX(LkUP!$Q$20:$S$61,MATCH(LkUP!T58,LkUP!$Q$20:$Q$61,0),3)</f>
        <v>#N/A</v>
      </c>
      <c r="V58" s="2">
        <f>PVCalcs!D405</f>
        <v>7.5999999999999998E-2</v>
      </c>
      <c r="W58" s="2" t="e">
        <f>IF('PV IN'!$D$7="Table",U58,V58)</f>
        <v>#N/A</v>
      </c>
    </row>
    <row r="59" spans="2:118" x14ac:dyDescent="0.25">
      <c r="E59">
        <v>2058</v>
      </c>
      <c r="F59" s="27">
        <f t="shared" si="14"/>
        <v>-6.9276873647360956E-3</v>
      </c>
      <c r="G59" s="27">
        <f t="shared" si="15"/>
        <v>-4.1982567721729723E-3</v>
      </c>
      <c r="H59" s="27">
        <f t="shared" si="16"/>
        <v>-7.5633013389257734E-3</v>
      </c>
      <c r="I59" s="27">
        <f t="shared" si="17"/>
        <v>-1.5126805393132743E-3</v>
      </c>
      <c r="J59" s="27">
        <f t="shared" si="18"/>
        <v>-9.5744479199747698E-3</v>
      </c>
      <c r="K59" s="27">
        <f t="shared" si="19"/>
        <v>-8.9801125041224332E-3</v>
      </c>
      <c r="L59" s="27">
        <f t="shared" si="20"/>
        <v>-6.7442526170192491E-3</v>
      </c>
      <c r="M59" s="27">
        <f t="shared" si="21"/>
        <v>-7.490290753511878E-3</v>
      </c>
      <c r="N59" s="27">
        <f t="shared" si="22"/>
        <v>-8.5769848217684425E-3</v>
      </c>
      <c r="O59" s="135" cm="1">
        <f t="array" ref="O59">INDEX(F59:N59,0,MATCH('PV IN'!$G$7,$F$19:$N$19,0))</f>
        <v>-7.5633013389257734E-3</v>
      </c>
      <c r="P59" s="12"/>
      <c r="Q59">
        <f t="shared" si="10"/>
        <v>2063</v>
      </c>
      <c r="R59" s="49" t="e">
        <f t="shared" si="13"/>
        <v>#N/A</v>
      </c>
      <c r="S59" s="16" t="e">
        <f t="shared" si="11"/>
        <v>#N/A</v>
      </c>
      <c r="T59">
        <f t="shared" si="12"/>
        <v>2063</v>
      </c>
      <c r="U59" s="16" t="e">
        <f>INDEX(LkUP!$Q$20:$S$61,MATCH(LkUP!T59,LkUP!$Q$20:$Q$61,0),3)</f>
        <v>#N/A</v>
      </c>
      <c r="V59" s="2">
        <f>PVCalcs!D406</f>
        <v>7.5999999999999998E-2</v>
      </c>
      <c r="W59" s="2" t="e">
        <f>IF('PV IN'!$D$7="Table",U59,V59)</f>
        <v>#N/A</v>
      </c>
    </row>
    <row r="60" spans="2:118" x14ac:dyDescent="0.25">
      <c r="E60">
        <v>2059</v>
      </c>
      <c r="F60" s="27">
        <f t="shared" si="14"/>
        <v>-6.9276873647360956E-3</v>
      </c>
      <c r="G60" s="27">
        <f t="shared" si="15"/>
        <v>-4.1982567721729723E-3</v>
      </c>
      <c r="H60" s="27">
        <f t="shared" si="16"/>
        <v>-7.5633013389257734E-3</v>
      </c>
      <c r="I60" s="27">
        <f t="shared" si="17"/>
        <v>-1.5126805393132743E-3</v>
      </c>
      <c r="J60" s="27">
        <f t="shared" si="18"/>
        <v>-9.5744479199747698E-3</v>
      </c>
      <c r="K60" s="27">
        <f t="shared" si="19"/>
        <v>-8.9801125041224332E-3</v>
      </c>
      <c r="L60" s="27">
        <f t="shared" si="20"/>
        <v>-6.7442526170192491E-3</v>
      </c>
      <c r="M60" s="27">
        <f t="shared" si="21"/>
        <v>-7.490290753511878E-3</v>
      </c>
      <c r="N60" s="27">
        <f t="shared" si="22"/>
        <v>-8.5769848217684425E-3</v>
      </c>
      <c r="O60" s="135" cm="1">
        <f t="array" ref="O60">INDEX(F60:N60,0,MATCH('PV IN'!$G$7,$F$19:$N$19,0))</f>
        <v>-7.5633013389257734E-3</v>
      </c>
      <c r="P60" s="12"/>
      <c r="Q60">
        <f t="shared" si="10"/>
        <v>2064</v>
      </c>
      <c r="R60" s="49" t="e">
        <f t="shared" si="13"/>
        <v>#N/A</v>
      </c>
      <c r="S60" s="16" t="e">
        <f t="shared" si="11"/>
        <v>#N/A</v>
      </c>
      <c r="T60">
        <f t="shared" si="12"/>
        <v>2064</v>
      </c>
      <c r="U60" s="16" t="e">
        <f>INDEX(LkUP!$Q$20:$S$61,MATCH(LkUP!T60,LkUP!$Q$20:$Q$61,0),3)</f>
        <v>#N/A</v>
      </c>
      <c r="V60" s="2">
        <f>PVCalcs!D407</f>
        <v>7.5999999999999998E-2</v>
      </c>
      <c r="W60" s="2" t="e">
        <f>IF('PV IN'!$D$7="Table",U60,V60)</f>
        <v>#N/A</v>
      </c>
    </row>
    <row r="61" spans="2:118" x14ac:dyDescent="0.25">
      <c r="E61">
        <v>2060</v>
      </c>
      <c r="F61" s="27">
        <f t="shared" si="14"/>
        <v>-6.9276873647360956E-3</v>
      </c>
      <c r="G61" s="27">
        <f t="shared" si="15"/>
        <v>-4.1982567721729723E-3</v>
      </c>
      <c r="H61" s="27">
        <f t="shared" si="16"/>
        <v>-7.5633013389257734E-3</v>
      </c>
      <c r="I61" s="27">
        <f t="shared" si="17"/>
        <v>-1.5126805393132743E-3</v>
      </c>
      <c r="J61" s="27">
        <f t="shared" si="18"/>
        <v>-9.5744479199747698E-3</v>
      </c>
      <c r="K61" s="27">
        <f t="shared" si="19"/>
        <v>-8.9801125041224332E-3</v>
      </c>
      <c r="L61" s="27">
        <f t="shared" si="20"/>
        <v>-6.7442526170192491E-3</v>
      </c>
      <c r="M61" s="27">
        <f t="shared" si="21"/>
        <v>-7.490290753511878E-3</v>
      </c>
      <c r="N61" s="27">
        <f t="shared" si="22"/>
        <v>-8.5769848217684425E-3</v>
      </c>
      <c r="O61" s="135" cm="1">
        <f t="array" ref="O61">INDEX(F61:N61,0,MATCH('PV IN'!$G$7,$F$19:$N$19,0))</f>
        <v>-7.5633013389257734E-3</v>
      </c>
      <c r="P61" s="12"/>
      <c r="Q61">
        <f t="shared" si="10"/>
        <v>2065</v>
      </c>
      <c r="R61" s="49" t="e">
        <f t="shared" si="13"/>
        <v>#N/A</v>
      </c>
      <c r="S61" s="16" t="e">
        <f t="shared" si="11"/>
        <v>#N/A</v>
      </c>
      <c r="T61">
        <f t="shared" si="12"/>
        <v>2065</v>
      </c>
      <c r="U61" s="16" t="e">
        <f>INDEX(LkUP!$Q$20:$S$61,MATCH(LkUP!T61,LkUP!$Q$20:$Q$61,0),3)</f>
        <v>#N/A</v>
      </c>
      <c r="V61" s="2">
        <f>PVCalcs!D408</f>
        <v>7.5999999999999998E-2</v>
      </c>
      <c r="W61" s="2" t="e">
        <f>IF('PV IN'!$D$7="Table",U61,V61)</f>
        <v>#N/A</v>
      </c>
    </row>
    <row r="62" spans="2:118" x14ac:dyDescent="0.25">
      <c r="P62" s="12"/>
      <c r="R62" s="4"/>
      <c r="S62" s="16"/>
      <c r="U62" s="16"/>
      <c r="V62" s="2"/>
      <c r="W62" s="2"/>
    </row>
    <row r="64" spans="2:118" x14ac:dyDescent="0.25">
      <c r="B64">
        <v>1</v>
      </c>
      <c r="C64">
        <v>2</v>
      </c>
      <c r="D64">
        <v>3</v>
      </c>
      <c r="E64">
        <v>4</v>
      </c>
      <c r="F64">
        <v>5</v>
      </c>
      <c r="G64">
        <v>6</v>
      </c>
      <c r="H64">
        <v>7</v>
      </c>
      <c r="I64">
        <v>8</v>
      </c>
      <c r="J64">
        <v>9</v>
      </c>
      <c r="K64">
        <v>10</v>
      </c>
      <c r="L64">
        <v>11</v>
      </c>
      <c r="M64">
        <v>12</v>
      </c>
      <c r="N64" s="3" t="s">
        <v>385</v>
      </c>
      <c r="O64">
        <v>1</v>
      </c>
      <c r="P64">
        <v>2</v>
      </c>
      <c r="Q64">
        <v>3</v>
      </c>
      <c r="R64">
        <v>4</v>
      </c>
      <c r="S64">
        <v>5</v>
      </c>
      <c r="T64">
        <v>6</v>
      </c>
      <c r="U64">
        <v>7</v>
      </c>
      <c r="V64">
        <v>8</v>
      </c>
      <c r="W64">
        <v>9</v>
      </c>
      <c r="X64">
        <v>10</v>
      </c>
      <c r="Y64">
        <v>11</v>
      </c>
      <c r="Z64">
        <v>12</v>
      </c>
      <c r="AA64" s="3" t="s">
        <v>385</v>
      </c>
      <c r="AB64">
        <v>1</v>
      </c>
      <c r="AC64">
        <v>2</v>
      </c>
      <c r="AD64">
        <v>3</v>
      </c>
      <c r="AE64">
        <v>4</v>
      </c>
      <c r="AF64">
        <v>5</v>
      </c>
      <c r="AG64">
        <v>6</v>
      </c>
      <c r="AH64">
        <v>7</v>
      </c>
      <c r="AI64">
        <v>8</v>
      </c>
      <c r="AJ64">
        <v>9</v>
      </c>
      <c r="AK64">
        <v>10</v>
      </c>
      <c r="AL64">
        <v>11</v>
      </c>
      <c r="AM64">
        <v>12</v>
      </c>
      <c r="AN64" s="3" t="s">
        <v>385</v>
      </c>
      <c r="AO64">
        <v>1</v>
      </c>
      <c r="AP64">
        <v>2</v>
      </c>
      <c r="AQ64">
        <v>3</v>
      </c>
      <c r="AR64">
        <v>4</v>
      </c>
      <c r="AS64">
        <v>5</v>
      </c>
      <c r="AT64">
        <v>6</v>
      </c>
      <c r="AU64">
        <v>7</v>
      </c>
      <c r="AV64">
        <v>8</v>
      </c>
      <c r="AW64">
        <v>9</v>
      </c>
      <c r="AX64">
        <v>10</v>
      </c>
      <c r="AY64">
        <v>11</v>
      </c>
      <c r="AZ64">
        <v>12</v>
      </c>
      <c r="BA64" s="3" t="s">
        <v>385</v>
      </c>
      <c r="BB64">
        <v>1</v>
      </c>
      <c r="BC64">
        <v>2</v>
      </c>
      <c r="BD64">
        <v>3</v>
      </c>
      <c r="BE64">
        <v>4</v>
      </c>
      <c r="BF64">
        <v>5</v>
      </c>
      <c r="BG64">
        <v>6</v>
      </c>
      <c r="BH64">
        <v>7</v>
      </c>
      <c r="BI64">
        <v>8</v>
      </c>
      <c r="BJ64">
        <v>9</v>
      </c>
      <c r="BK64">
        <v>10</v>
      </c>
      <c r="BL64">
        <v>11</v>
      </c>
      <c r="BM64">
        <v>12</v>
      </c>
      <c r="BN64" s="3" t="s">
        <v>385</v>
      </c>
      <c r="BO64">
        <v>1</v>
      </c>
      <c r="BP64">
        <v>2</v>
      </c>
      <c r="BQ64">
        <v>3</v>
      </c>
      <c r="BR64">
        <v>4</v>
      </c>
      <c r="BS64">
        <v>5</v>
      </c>
      <c r="BT64">
        <v>6</v>
      </c>
      <c r="BU64">
        <v>7</v>
      </c>
      <c r="BV64">
        <v>8</v>
      </c>
      <c r="BW64">
        <v>9</v>
      </c>
      <c r="BX64">
        <v>10</v>
      </c>
      <c r="BY64">
        <v>11</v>
      </c>
      <c r="BZ64">
        <v>12</v>
      </c>
      <c r="CA64" s="3" t="s">
        <v>385</v>
      </c>
      <c r="CB64">
        <v>1</v>
      </c>
      <c r="CC64">
        <v>2</v>
      </c>
      <c r="CD64">
        <v>3</v>
      </c>
      <c r="CE64">
        <v>4</v>
      </c>
      <c r="CF64">
        <v>5</v>
      </c>
      <c r="CG64">
        <v>6</v>
      </c>
      <c r="CH64">
        <v>7</v>
      </c>
      <c r="CI64">
        <v>8</v>
      </c>
      <c r="CJ64">
        <v>9</v>
      </c>
      <c r="CK64">
        <v>10</v>
      </c>
      <c r="CL64">
        <v>11</v>
      </c>
      <c r="CM64">
        <v>12</v>
      </c>
      <c r="CN64" s="3" t="s">
        <v>385</v>
      </c>
      <c r="CO64">
        <v>1</v>
      </c>
      <c r="CP64">
        <v>2</v>
      </c>
      <c r="CQ64">
        <v>3</v>
      </c>
      <c r="CR64">
        <v>4</v>
      </c>
      <c r="CS64">
        <v>5</v>
      </c>
      <c r="CT64">
        <v>6</v>
      </c>
      <c r="CU64">
        <v>7</v>
      </c>
      <c r="CV64">
        <v>8</v>
      </c>
      <c r="CW64">
        <v>9</v>
      </c>
      <c r="CX64">
        <v>10</v>
      </c>
      <c r="CY64">
        <v>11</v>
      </c>
      <c r="CZ64">
        <v>12</v>
      </c>
      <c r="DA64" s="3" t="s">
        <v>385</v>
      </c>
      <c r="DB64">
        <v>1</v>
      </c>
      <c r="DC64">
        <v>2</v>
      </c>
      <c r="DD64">
        <v>3</v>
      </c>
      <c r="DE64">
        <v>4</v>
      </c>
      <c r="DF64">
        <v>5</v>
      </c>
      <c r="DG64">
        <v>6</v>
      </c>
      <c r="DH64">
        <v>7</v>
      </c>
      <c r="DI64">
        <v>8</v>
      </c>
      <c r="DJ64">
        <v>9</v>
      </c>
      <c r="DK64">
        <v>10</v>
      </c>
      <c r="DL64">
        <v>11</v>
      </c>
      <c r="DM64">
        <v>12</v>
      </c>
      <c r="DN64" s="3" t="s">
        <v>385</v>
      </c>
    </row>
    <row r="65" spans="1:118" x14ac:dyDescent="0.25">
      <c r="B65" t="s">
        <v>376</v>
      </c>
      <c r="C65" t="s">
        <v>376</v>
      </c>
      <c r="D65" t="s">
        <v>376</v>
      </c>
      <c r="E65" t="s">
        <v>376</v>
      </c>
      <c r="F65" t="s">
        <v>376</v>
      </c>
      <c r="G65" t="s">
        <v>376</v>
      </c>
      <c r="H65" t="s">
        <v>376</v>
      </c>
      <c r="I65" t="s">
        <v>376</v>
      </c>
      <c r="J65" t="s">
        <v>376</v>
      </c>
      <c r="K65" t="s">
        <v>376</v>
      </c>
      <c r="L65" t="s">
        <v>376</v>
      </c>
      <c r="M65" t="s">
        <v>376</v>
      </c>
      <c r="N65" s="3" t="s">
        <v>376</v>
      </c>
      <c r="O65" t="s">
        <v>377</v>
      </c>
      <c r="P65" t="s">
        <v>377</v>
      </c>
      <c r="Q65" t="s">
        <v>377</v>
      </c>
      <c r="R65" t="s">
        <v>377</v>
      </c>
      <c r="S65" t="s">
        <v>377</v>
      </c>
      <c r="T65" t="s">
        <v>377</v>
      </c>
      <c r="U65" t="s">
        <v>377</v>
      </c>
      <c r="V65" t="s">
        <v>377</v>
      </c>
      <c r="W65" t="s">
        <v>377</v>
      </c>
      <c r="X65" t="s">
        <v>377</v>
      </c>
      <c r="Y65" t="s">
        <v>377</v>
      </c>
      <c r="Z65" t="s">
        <v>377</v>
      </c>
      <c r="AA65" s="3" t="s">
        <v>377</v>
      </c>
      <c r="AB65" t="s">
        <v>378</v>
      </c>
      <c r="AC65" t="s">
        <v>378</v>
      </c>
      <c r="AD65" t="s">
        <v>378</v>
      </c>
      <c r="AE65" t="s">
        <v>378</v>
      </c>
      <c r="AF65" t="s">
        <v>378</v>
      </c>
      <c r="AG65" t="s">
        <v>378</v>
      </c>
      <c r="AH65" t="s">
        <v>378</v>
      </c>
      <c r="AI65" t="s">
        <v>378</v>
      </c>
      <c r="AJ65" t="s">
        <v>378</v>
      </c>
      <c r="AK65" t="s">
        <v>378</v>
      </c>
      <c r="AL65" t="s">
        <v>378</v>
      </c>
      <c r="AM65" t="s">
        <v>378</v>
      </c>
      <c r="AN65" s="3" t="s">
        <v>378</v>
      </c>
      <c r="AO65" t="s">
        <v>379</v>
      </c>
      <c r="AP65" t="s">
        <v>379</v>
      </c>
      <c r="AQ65" t="s">
        <v>379</v>
      </c>
      <c r="AR65" t="s">
        <v>379</v>
      </c>
      <c r="AS65" t="s">
        <v>379</v>
      </c>
      <c r="AT65" t="s">
        <v>379</v>
      </c>
      <c r="AU65" t="s">
        <v>379</v>
      </c>
      <c r="AV65" t="s">
        <v>379</v>
      </c>
      <c r="AW65" t="s">
        <v>379</v>
      </c>
      <c r="AX65" t="s">
        <v>379</v>
      </c>
      <c r="AY65" t="s">
        <v>379</v>
      </c>
      <c r="AZ65" t="s">
        <v>379</v>
      </c>
      <c r="BA65" s="3" t="s">
        <v>379</v>
      </c>
      <c r="BB65" t="s">
        <v>380</v>
      </c>
      <c r="BC65" t="s">
        <v>380</v>
      </c>
      <c r="BD65" t="s">
        <v>380</v>
      </c>
      <c r="BE65" t="s">
        <v>380</v>
      </c>
      <c r="BF65" t="s">
        <v>380</v>
      </c>
      <c r="BG65" t="s">
        <v>380</v>
      </c>
      <c r="BH65" t="s">
        <v>380</v>
      </c>
      <c r="BI65" t="s">
        <v>380</v>
      </c>
      <c r="BJ65" t="s">
        <v>380</v>
      </c>
      <c r="BK65" t="s">
        <v>380</v>
      </c>
      <c r="BL65" t="s">
        <v>380</v>
      </c>
      <c r="BM65" t="s">
        <v>380</v>
      </c>
      <c r="BN65" s="3" t="s">
        <v>380</v>
      </c>
      <c r="BO65" t="s">
        <v>381</v>
      </c>
      <c r="BP65" t="s">
        <v>381</v>
      </c>
      <c r="BQ65" t="s">
        <v>381</v>
      </c>
      <c r="BR65" t="s">
        <v>381</v>
      </c>
      <c r="BS65" t="s">
        <v>381</v>
      </c>
      <c r="BT65" t="s">
        <v>381</v>
      </c>
      <c r="BU65" t="s">
        <v>381</v>
      </c>
      <c r="BV65" t="s">
        <v>381</v>
      </c>
      <c r="BW65" t="s">
        <v>381</v>
      </c>
      <c r="BX65" t="s">
        <v>381</v>
      </c>
      <c r="BY65" t="s">
        <v>381</v>
      </c>
      <c r="BZ65" t="s">
        <v>381</v>
      </c>
      <c r="CA65" s="3" t="s">
        <v>381</v>
      </c>
      <c r="CB65" t="s">
        <v>382</v>
      </c>
      <c r="CC65" t="s">
        <v>382</v>
      </c>
      <c r="CD65" t="s">
        <v>382</v>
      </c>
      <c r="CE65" t="s">
        <v>382</v>
      </c>
      <c r="CF65" t="s">
        <v>382</v>
      </c>
      <c r="CG65" t="s">
        <v>382</v>
      </c>
      <c r="CH65" t="s">
        <v>382</v>
      </c>
      <c r="CI65" t="s">
        <v>382</v>
      </c>
      <c r="CJ65" t="s">
        <v>382</v>
      </c>
      <c r="CK65" t="s">
        <v>382</v>
      </c>
      <c r="CL65" t="s">
        <v>382</v>
      </c>
      <c r="CM65" t="s">
        <v>382</v>
      </c>
      <c r="CN65" s="3" t="s">
        <v>382</v>
      </c>
      <c r="CO65" t="s">
        <v>383</v>
      </c>
      <c r="CP65" t="s">
        <v>383</v>
      </c>
      <c r="CQ65" t="s">
        <v>383</v>
      </c>
      <c r="CR65" t="s">
        <v>383</v>
      </c>
      <c r="CS65" t="s">
        <v>383</v>
      </c>
      <c r="CT65" t="s">
        <v>383</v>
      </c>
      <c r="CU65" t="s">
        <v>383</v>
      </c>
      <c r="CV65" t="s">
        <v>383</v>
      </c>
      <c r="CW65" t="s">
        <v>383</v>
      </c>
      <c r="CX65" t="s">
        <v>383</v>
      </c>
      <c r="CY65" t="s">
        <v>383</v>
      </c>
      <c r="CZ65" t="s">
        <v>383</v>
      </c>
      <c r="DA65" s="3" t="s">
        <v>383</v>
      </c>
      <c r="DB65" t="s">
        <v>384</v>
      </c>
      <c r="DC65" t="s">
        <v>384</v>
      </c>
      <c r="DD65" t="s">
        <v>384</v>
      </c>
      <c r="DE65" t="s">
        <v>384</v>
      </c>
      <c r="DF65" t="s">
        <v>384</v>
      </c>
      <c r="DG65" t="s">
        <v>384</v>
      </c>
      <c r="DH65" t="s">
        <v>384</v>
      </c>
      <c r="DI65" t="s">
        <v>384</v>
      </c>
      <c r="DJ65" t="s">
        <v>384</v>
      </c>
      <c r="DK65" t="s">
        <v>384</v>
      </c>
      <c r="DL65" t="s">
        <v>384</v>
      </c>
      <c r="DM65" t="s">
        <v>384</v>
      </c>
      <c r="DN65" s="3" t="s">
        <v>384</v>
      </c>
    </row>
    <row r="66" spans="1:118" x14ac:dyDescent="0.25">
      <c r="B66" t="s">
        <v>525</v>
      </c>
      <c r="C66" t="s">
        <v>526</v>
      </c>
      <c r="D66" t="s">
        <v>527</v>
      </c>
      <c r="E66" t="s">
        <v>528</v>
      </c>
      <c r="F66" t="s">
        <v>529</v>
      </c>
      <c r="G66" t="s">
        <v>530</v>
      </c>
      <c r="H66" t="s">
        <v>531</v>
      </c>
      <c r="I66" t="s">
        <v>532</v>
      </c>
      <c r="J66" t="s">
        <v>533</v>
      </c>
      <c r="K66" t="s">
        <v>534</v>
      </c>
      <c r="N66" s="3"/>
      <c r="O66" t="s">
        <v>525</v>
      </c>
      <c r="P66" t="s">
        <v>526</v>
      </c>
      <c r="Q66" t="s">
        <v>527</v>
      </c>
      <c r="R66" t="s">
        <v>528</v>
      </c>
      <c r="S66" t="s">
        <v>529</v>
      </c>
      <c r="T66" t="s">
        <v>530</v>
      </c>
      <c r="U66" t="s">
        <v>531</v>
      </c>
      <c r="V66" t="s">
        <v>532</v>
      </c>
      <c r="W66" t="s">
        <v>533</v>
      </c>
      <c r="X66" t="s">
        <v>534</v>
      </c>
      <c r="AA66" s="3"/>
      <c r="AB66" t="s">
        <v>525</v>
      </c>
      <c r="AC66" t="s">
        <v>526</v>
      </c>
      <c r="AD66" t="s">
        <v>527</v>
      </c>
      <c r="AE66" t="s">
        <v>528</v>
      </c>
      <c r="AF66" t="s">
        <v>529</v>
      </c>
      <c r="AG66" t="s">
        <v>530</v>
      </c>
      <c r="AH66" t="s">
        <v>531</v>
      </c>
      <c r="AI66" t="s">
        <v>532</v>
      </c>
      <c r="AJ66" t="s">
        <v>533</v>
      </c>
      <c r="AK66" t="s">
        <v>534</v>
      </c>
      <c r="AN66" s="3"/>
      <c r="AO66" t="s">
        <v>525</v>
      </c>
      <c r="AP66" t="s">
        <v>526</v>
      </c>
      <c r="AQ66" t="s">
        <v>527</v>
      </c>
      <c r="AR66" t="s">
        <v>528</v>
      </c>
      <c r="AS66" t="s">
        <v>529</v>
      </c>
      <c r="AT66" t="s">
        <v>530</v>
      </c>
      <c r="AU66" t="s">
        <v>531</v>
      </c>
      <c r="AV66" t="s">
        <v>532</v>
      </c>
      <c r="AW66" t="s">
        <v>533</v>
      </c>
      <c r="AX66" t="s">
        <v>534</v>
      </c>
      <c r="BA66" s="3"/>
      <c r="BB66" t="s">
        <v>525</v>
      </c>
      <c r="BC66" t="s">
        <v>526</v>
      </c>
      <c r="BD66" t="s">
        <v>527</v>
      </c>
      <c r="BE66" t="s">
        <v>528</v>
      </c>
      <c r="BF66" t="s">
        <v>529</v>
      </c>
      <c r="BG66" t="s">
        <v>530</v>
      </c>
      <c r="BH66" t="s">
        <v>531</v>
      </c>
      <c r="BI66" t="s">
        <v>532</v>
      </c>
      <c r="BJ66" t="s">
        <v>533</v>
      </c>
      <c r="BK66" t="s">
        <v>534</v>
      </c>
      <c r="BN66" s="3"/>
      <c r="BO66" t="s">
        <v>525</v>
      </c>
      <c r="BP66" t="s">
        <v>526</v>
      </c>
      <c r="BQ66" t="s">
        <v>527</v>
      </c>
      <c r="BR66" t="s">
        <v>528</v>
      </c>
      <c r="BS66" t="s">
        <v>529</v>
      </c>
      <c r="BT66" t="s">
        <v>530</v>
      </c>
      <c r="BU66" t="s">
        <v>531</v>
      </c>
      <c r="BV66" t="s">
        <v>532</v>
      </c>
      <c r="BW66" t="s">
        <v>533</v>
      </c>
      <c r="BX66" t="s">
        <v>534</v>
      </c>
      <c r="CA66" s="3"/>
      <c r="CB66" t="s">
        <v>525</v>
      </c>
      <c r="CC66" t="s">
        <v>526</v>
      </c>
      <c r="CD66" t="s">
        <v>527</v>
      </c>
      <c r="CE66" t="s">
        <v>528</v>
      </c>
      <c r="CF66" t="s">
        <v>529</v>
      </c>
      <c r="CG66" t="s">
        <v>530</v>
      </c>
      <c r="CH66" t="s">
        <v>531</v>
      </c>
      <c r="CI66" t="s">
        <v>532</v>
      </c>
      <c r="CJ66" t="s">
        <v>533</v>
      </c>
      <c r="CK66" t="s">
        <v>534</v>
      </c>
      <c r="CN66" s="3"/>
      <c r="CO66" t="s">
        <v>525</v>
      </c>
      <c r="CP66" t="s">
        <v>526</v>
      </c>
      <c r="CQ66" t="s">
        <v>527</v>
      </c>
      <c r="CR66" t="s">
        <v>528</v>
      </c>
      <c r="CS66" t="s">
        <v>529</v>
      </c>
      <c r="CT66" t="s">
        <v>530</v>
      </c>
      <c r="CU66" t="s">
        <v>531</v>
      </c>
      <c r="CV66" t="s">
        <v>532</v>
      </c>
      <c r="CW66" t="s">
        <v>533</v>
      </c>
      <c r="CX66" t="s">
        <v>534</v>
      </c>
      <c r="DA66" s="3"/>
      <c r="DB66" t="s">
        <v>525</v>
      </c>
      <c r="DC66" t="s">
        <v>526</v>
      </c>
      <c r="DD66" t="s">
        <v>527</v>
      </c>
      <c r="DE66" t="s">
        <v>528</v>
      </c>
      <c r="DF66" t="s">
        <v>529</v>
      </c>
      <c r="DG66" t="s">
        <v>530</v>
      </c>
      <c r="DH66" t="s">
        <v>531</v>
      </c>
      <c r="DI66" t="s">
        <v>532</v>
      </c>
      <c r="DJ66" t="s">
        <v>533</v>
      </c>
      <c r="DK66" t="s">
        <v>534</v>
      </c>
      <c r="DN66" s="3"/>
    </row>
    <row r="67" spans="1:118" x14ac:dyDescent="0.25">
      <c r="A67">
        <v>2019</v>
      </c>
      <c r="B67">
        <v>0</v>
      </c>
      <c r="C67">
        <v>0</v>
      </c>
      <c r="D67">
        <v>0</v>
      </c>
      <c r="E67">
        <v>0</v>
      </c>
      <c r="F67">
        <v>0</v>
      </c>
      <c r="G67">
        <v>0</v>
      </c>
      <c r="H67">
        <v>0</v>
      </c>
      <c r="I67">
        <v>0</v>
      </c>
      <c r="J67">
        <v>0</v>
      </c>
      <c r="K67">
        <v>0</v>
      </c>
      <c r="N67" s="3" cm="1">
        <f t="array" ref="N67">INDEX(B67:M67,0,MATCH('PV IN'!$E$7,LkUP!B$66:M$66,0))</f>
        <v>0</v>
      </c>
      <c r="O67">
        <v>0</v>
      </c>
      <c r="P67">
        <v>0</v>
      </c>
      <c r="Q67">
        <v>0</v>
      </c>
      <c r="R67">
        <v>0</v>
      </c>
      <c r="S67">
        <v>0</v>
      </c>
      <c r="T67">
        <v>0</v>
      </c>
      <c r="U67">
        <v>0</v>
      </c>
      <c r="V67">
        <v>0</v>
      </c>
      <c r="W67">
        <v>0</v>
      </c>
      <c r="X67">
        <v>0</v>
      </c>
      <c r="AA67" s="3" cm="1">
        <f t="array" ref="AA67">INDEX(O67:Z67,0,MATCH('PV IN'!$E$7,LkUP!O$66:Z$66,0))</f>
        <v>0</v>
      </c>
      <c r="AB67">
        <v>0</v>
      </c>
      <c r="AC67">
        <v>0</v>
      </c>
      <c r="AD67">
        <v>0</v>
      </c>
      <c r="AE67">
        <v>0</v>
      </c>
      <c r="AF67">
        <v>0</v>
      </c>
      <c r="AG67">
        <v>0</v>
      </c>
      <c r="AH67">
        <v>0</v>
      </c>
      <c r="AI67">
        <v>0</v>
      </c>
      <c r="AJ67">
        <v>0</v>
      </c>
      <c r="AK67">
        <v>0</v>
      </c>
      <c r="AN67" s="3" cm="1">
        <f t="array" ref="AN67">INDEX(AB67:AM67,0,MATCH('PV IN'!$E$7,LkUP!AB$66:AM$66,0))</f>
        <v>0</v>
      </c>
      <c r="AO67">
        <v>0</v>
      </c>
      <c r="AP67">
        <v>0</v>
      </c>
      <c r="AQ67">
        <v>0</v>
      </c>
      <c r="AR67">
        <v>0</v>
      </c>
      <c r="AS67">
        <v>0</v>
      </c>
      <c r="AT67">
        <v>0</v>
      </c>
      <c r="AU67">
        <v>0</v>
      </c>
      <c r="AV67">
        <v>0</v>
      </c>
      <c r="AW67">
        <v>0</v>
      </c>
      <c r="AX67">
        <v>0</v>
      </c>
      <c r="BA67" s="3" cm="1">
        <f t="array" ref="BA67">INDEX(AO67:AZ67,0,MATCH('PV IN'!$E$7,LkUP!AO$66:AZ$66,0))</f>
        <v>0</v>
      </c>
      <c r="BB67">
        <v>0</v>
      </c>
      <c r="BC67">
        <v>0</v>
      </c>
      <c r="BD67">
        <v>0</v>
      </c>
      <c r="BE67">
        <v>0</v>
      </c>
      <c r="BF67">
        <v>0</v>
      </c>
      <c r="BG67">
        <v>0</v>
      </c>
      <c r="BH67">
        <v>0</v>
      </c>
      <c r="BI67">
        <v>0</v>
      </c>
      <c r="BJ67">
        <v>0</v>
      </c>
      <c r="BK67">
        <v>0</v>
      </c>
      <c r="BN67" s="3" cm="1">
        <f t="array" ref="BN67">INDEX(BB67:BM67,0,MATCH('PV IN'!$E$7,LkUP!BB$66:BM$66,0))</f>
        <v>0</v>
      </c>
      <c r="BO67">
        <v>0</v>
      </c>
      <c r="BP67">
        <v>0</v>
      </c>
      <c r="BQ67">
        <v>0</v>
      </c>
      <c r="BR67">
        <v>0</v>
      </c>
      <c r="BS67">
        <v>0</v>
      </c>
      <c r="BT67">
        <v>0</v>
      </c>
      <c r="BU67">
        <v>0</v>
      </c>
      <c r="BV67">
        <v>0</v>
      </c>
      <c r="BW67">
        <v>0</v>
      </c>
      <c r="BX67">
        <v>0</v>
      </c>
      <c r="CA67" s="3" cm="1">
        <f t="array" ref="CA67">INDEX(BO67:BZ67,0,MATCH('PV IN'!$E$7,LkUP!BO$66:BZ$66,0))</f>
        <v>0</v>
      </c>
      <c r="CB67">
        <v>0</v>
      </c>
      <c r="CC67">
        <v>0</v>
      </c>
      <c r="CD67">
        <v>0</v>
      </c>
      <c r="CE67">
        <v>0</v>
      </c>
      <c r="CF67">
        <v>0</v>
      </c>
      <c r="CG67">
        <v>0</v>
      </c>
      <c r="CH67">
        <v>0</v>
      </c>
      <c r="CI67">
        <v>0</v>
      </c>
      <c r="CJ67">
        <v>0</v>
      </c>
      <c r="CK67">
        <v>0</v>
      </c>
      <c r="CN67" s="3" cm="1">
        <f t="array" ref="CN67">INDEX(CB67:CM67,0,MATCH('PV IN'!$E$7,LkUP!CB$66:CM$66,0))</f>
        <v>0</v>
      </c>
      <c r="CO67">
        <v>0</v>
      </c>
      <c r="CP67">
        <v>0</v>
      </c>
      <c r="CQ67">
        <v>0</v>
      </c>
      <c r="CR67">
        <v>0</v>
      </c>
      <c r="CS67">
        <v>0</v>
      </c>
      <c r="CT67">
        <v>0</v>
      </c>
      <c r="CU67">
        <v>0</v>
      </c>
      <c r="CV67">
        <v>0</v>
      </c>
      <c r="CW67">
        <v>0</v>
      </c>
      <c r="CX67">
        <v>0</v>
      </c>
      <c r="DA67" s="3" cm="1">
        <f t="array" ref="DA67">INDEX(CO67:CZ67,0,MATCH('PV IN'!$E$7,LkUP!CO$66:CZ$66,0))</f>
        <v>0</v>
      </c>
      <c r="DB67">
        <v>0</v>
      </c>
      <c r="DC67">
        <v>0</v>
      </c>
      <c r="DD67">
        <v>0</v>
      </c>
      <c r="DE67">
        <v>0</v>
      </c>
      <c r="DF67">
        <v>0</v>
      </c>
      <c r="DG67">
        <v>0</v>
      </c>
      <c r="DH67">
        <v>0</v>
      </c>
      <c r="DI67">
        <v>0</v>
      </c>
      <c r="DJ67">
        <v>0</v>
      </c>
      <c r="DK67">
        <v>0</v>
      </c>
      <c r="DN67" s="3" cm="1">
        <f t="array" ref="DN67">INDEX(DB67:DM67,0,MATCH('PV IN'!$E$7,LkUP!DB$66:DM$66,0))</f>
        <v>0</v>
      </c>
    </row>
    <row r="68" spans="1:118" x14ac:dyDescent="0.25">
      <c r="A68">
        <v>2020</v>
      </c>
      <c r="B68">
        <v>0</v>
      </c>
      <c r="C68">
        <v>0</v>
      </c>
      <c r="D68">
        <v>0</v>
      </c>
      <c r="E68">
        <v>0</v>
      </c>
      <c r="F68">
        <v>0</v>
      </c>
      <c r="G68">
        <v>0</v>
      </c>
      <c r="H68">
        <v>0</v>
      </c>
      <c r="I68">
        <v>0</v>
      </c>
      <c r="J68">
        <v>0</v>
      </c>
      <c r="K68">
        <v>0</v>
      </c>
      <c r="L68" s="133"/>
      <c r="M68" s="133"/>
      <c r="N68" s="134" cm="1">
        <f t="array" ref="N68">INDEX(B68:M68,0,MATCH('PV IN'!$E$7,LkUP!B$66:M$66,0))</f>
        <v>0</v>
      </c>
      <c r="O68">
        <v>0</v>
      </c>
      <c r="P68">
        <v>0</v>
      </c>
      <c r="Q68">
        <v>0</v>
      </c>
      <c r="R68">
        <v>0</v>
      </c>
      <c r="S68">
        <v>0</v>
      </c>
      <c r="T68">
        <v>0</v>
      </c>
      <c r="U68">
        <v>0</v>
      </c>
      <c r="V68">
        <v>0</v>
      </c>
      <c r="W68">
        <v>0</v>
      </c>
      <c r="X68">
        <v>0</v>
      </c>
      <c r="Y68" s="133"/>
      <c r="Z68" s="133"/>
      <c r="AA68" s="134" cm="1">
        <f t="array" ref="AA68">INDEX(O68:Z68,0,MATCH('PV IN'!$E$7,LkUP!O$66:Z$66,0))</f>
        <v>0</v>
      </c>
      <c r="AB68">
        <v>0</v>
      </c>
      <c r="AC68">
        <v>0</v>
      </c>
      <c r="AD68">
        <v>0</v>
      </c>
      <c r="AE68">
        <v>0</v>
      </c>
      <c r="AF68">
        <v>0</v>
      </c>
      <c r="AG68">
        <v>0</v>
      </c>
      <c r="AH68">
        <v>0</v>
      </c>
      <c r="AI68">
        <v>0</v>
      </c>
      <c r="AJ68">
        <v>0</v>
      </c>
      <c r="AK68">
        <v>0</v>
      </c>
      <c r="AL68" s="133"/>
      <c r="AM68" s="133"/>
      <c r="AN68" s="134" cm="1">
        <f t="array" ref="AN68">INDEX(AB68:AM68,0,MATCH('PV IN'!$E$7,LkUP!AB$66:AM$66,0))</f>
        <v>0</v>
      </c>
      <c r="AO68">
        <v>0</v>
      </c>
      <c r="AP68">
        <v>0</v>
      </c>
      <c r="AQ68">
        <v>0</v>
      </c>
      <c r="AR68">
        <v>0</v>
      </c>
      <c r="AS68">
        <v>0</v>
      </c>
      <c r="AT68">
        <v>0</v>
      </c>
      <c r="AU68">
        <v>0</v>
      </c>
      <c r="AV68">
        <v>0</v>
      </c>
      <c r="AW68">
        <v>0</v>
      </c>
      <c r="AX68">
        <v>0</v>
      </c>
      <c r="AY68" s="133"/>
      <c r="AZ68" s="133"/>
      <c r="BA68" s="134" cm="1">
        <f t="array" ref="BA68">INDEX(AO68:AZ68,0,MATCH('PV IN'!$E$7,LkUP!AO$66:AZ$66,0))</f>
        <v>0</v>
      </c>
      <c r="BB68">
        <v>0</v>
      </c>
      <c r="BC68">
        <v>0</v>
      </c>
      <c r="BD68">
        <v>0</v>
      </c>
      <c r="BE68">
        <v>0</v>
      </c>
      <c r="BF68">
        <v>0</v>
      </c>
      <c r="BG68">
        <v>0</v>
      </c>
      <c r="BH68">
        <v>0</v>
      </c>
      <c r="BI68">
        <v>0</v>
      </c>
      <c r="BJ68">
        <v>0</v>
      </c>
      <c r="BK68">
        <v>0</v>
      </c>
      <c r="BL68" s="133"/>
      <c r="BM68" s="133"/>
      <c r="BN68" s="134" cm="1">
        <f t="array" ref="BN68">INDEX(BB68:BM68,0,MATCH('PV IN'!$E$7,LkUP!BB$66:BM$66,0))</f>
        <v>0</v>
      </c>
      <c r="BO68">
        <v>0</v>
      </c>
      <c r="BP68">
        <v>0</v>
      </c>
      <c r="BQ68">
        <v>0</v>
      </c>
      <c r="BR68">
        <v>0</v>
      </c>
      <c r="BS68">
        <v>0</v>
      </c>
      <c r="BT68">
        <v>0</v>
      </c>
      <c r="BU68">
        <v>0</v>
      </c>
      <c r="BV68">
        <v>0</v>
      </c>
      <c r="BW68">
        <v>0</v>
      </c>
      <c r="BX68">
        <v>0</v>
      </c>
      <c r="BY68" s="133"/>
      <c r="BZ68" s="133"/>
      <c r="CA68" s="134" cm="1">
        <f t="array" ref="CA68">INDEX(BO68:BZ68,0,MATCH('PV IN'!$E$7,LkUP!BO$66:BZ$66,0))</f>
        <v>0</v>
      </c>
      <c r="CB68">
        <v>0</v>
      </c>
      <c r="CC68">
        <v>0</v>
      </c>
      <c r="CD68">
        <v>0</v>
      </c>
      <c r="CE68">
        <v>0</v>
      </c>
      <c r="CF68">
        <v>0</v>
      </c>
      <c r="CG68">
        <v>0</v>
      </c>
      <c r="CH68">
        <v>0</v>
      </c>
      <c r="CI68">
        <v>0</v>
      </c>
      <c r="CJ68">
        <v>0</v>
      </c>
      <c r="CK68">
        <v>0</v>
      </c>
      <c r="CL68" s="133"/>
      <c r="CM68" s="133"/>
      <c r="CN68" s="134" cm="1">
        <f t="array" ref="CN68">INDEX(CB68:CM68,0,MATCH('PV IN'!$E$7,LkUP!CB$66:CM$66,0))</f>
        <v>0</v>
      </c>
      <c r="CO68">
        <v>0</v>
      </c>
      <c r="CP68">
        <v>0</v>
      </c>
      <c r="CQ68">
        <v>0</v>
      </c>
      <c r="CR68">
        <v>0</v>
      </c>
      <c r="CS68">
        <v>0</v>
      </c>
      <c r="CT68">
        <v>0</v>
      </c>
      <c r="CU68">
        <v>0</v>
      </c>
      <c r="CV68">
        <v>0</v>
      </c>
      <c r="CW68">
        <v>0</v>
      </c>
      <c r="CX68">
        <v>0</v>
      </c>
      <c r="CY68" s="133"/>
      <c r="CZ68" s="133"/>
      <c r="DA68" s="134" cm="1">
        <f t="array" ref="DA68">INDEX(CO68:CZ68,0,MATCH('PV IN'!$E$7,LkUP!CO$66:CZ$66,0))</f>
        <v>0</v>
      </c>
      <c r="DB68">
        <v>0</v>
      </c>
      <c r="DC68">
        <v>0</v>
      </c>
      <c r="DD68">
        <v>0</v>
      </c>
      <c r="DE68">
        <v>0</v>
      </c>
      <c r="DF68">
        <v>0</v>
      </c>
      <c r="DG68">
        <v>0</v>
      </c>
      <c r="DH68">
        <v>0</v>
      </c>
      <c r="DI68">
        <v>0</v>
      </c>
      <c r="DJ68">
        <v>0</v>
      </c>
      <c r="DK68">
        <v>0</v>
      </c>
      <c r="DN68" s="134" cm="1">
        <f t="array" ref="DN68">INDEX(DB68:DM68,0,MATCH('PV IN'!$E$7,LkUP!DB$66:DM$66,0))</f>
        <v>0</v>
      </c>
    </row>
    <row r="69" spans="1:118" x14ac:dyDescent="0.25">
      <c r="A69">
        <v>2021</v>
      </c>
      <c r="B69">
        <v>0</v>
      </c>
      <c r="C69">
        <v>0</v>
      </c>
      <c r="D69">
        <v>0</v>
      </c>
      <c r="E69">
        <v>0</v>
      </c>
      <c r="F69">
        <v>0</v>
      </c>
      <c r="G69">
        <v>0</v>
      </c>
      <c r="H69">
        <v>0</v>
      </c>
      <c r="I69">
        <v>0</v>
      </c>
      <c r="J69">
        <v>0</v>
      </c>
      <c r="K69">
        <v>0</v>
      </c>
      <c r="L69" s="133"/>
      <c r="M69" s="133"/>
      <c r="N69" s="134" cm="1">
        <f t="array" ref="N69">INDEX(B69:M69,0,MATCH('PV IN'!$E$7,LkUP!B$66:M$66,0))</f>
        <v>0</v>
      </c>
      <c r="O69">
        <v>0</v>
      </c>
      <c r="P69">
        <v>0</v>
      </c>
      <c r="Q69">
        <v>0</v>
      </c>
      <c r="R69">
        <v>0</v>
      </c>
      <c r="S69">
        <v>0</v>
      </c>
      <c r="T69">
        <v>0</v>
      </c>
      <c r="U69">
        <v>0</v>
      </c>
      <c r="V69">
        <v>0</v>
      </c>
      <c r="W69">
        <v>0</v>
      </c>
      <c r="X69">
        <v>0</v>
      </c>
      <c r="Y69" s="133"/>
      <c r="Z69" s="133"/>
      <c r="AA69" s="134" cm="1">
        <f t="array" ref="AA69">INDEX(O69:Z69,0,MATCH('PV IN'!$E$7,LkUP!O$66:Z$66,0))</f>
        <v>0</v>
      </c>
      <c r="AB69">
        <v>0</v>
      </c>
      <c r="AC69">
        <v>0</v>
      </c>
      <c r="AD69">
        <v>0</v>
      </c>
      <c r="AE69">
        <v>0</v>
      </c>
      <c r="AF69">
        <v>0</v>
      </c>
      <c r="AG69">
        <v>0</v>
      </c>
      <c r="AH69">
        <v>0</v>
      </c>
      <c r="AI69">
        <v>0</v>
      </c>
      <c r="AJ69">
        <v>0</v>
      </c>
      <c r="AK69">
        <v>0</v>
      </c>
      <c r="AL69" s="133"/>
      <c r="AM69" s="133"/>
      <c r="AN69" s="134" cm="1">
        <f t="array" ref="AN69">INDEX(AB69:AM69,0,MATCH('PV IN'!$E$7,LkUP!AB$66:AM$66,0))</f>
        <v>0</v>
      </c>
      <c r="AO69">
        <v>0</v>
      </c>
      <c r="AP69">
        <v>0</v>
      </c>
      <c r="AQ69">
        <v>0</v>
      </c>
      <c r="AR69">
        <v>0</v>
      </c>
      <c r="AS69">
        <v>0</v>
      </c>
      <c r="AT69">
        <v>0</v>
      </c>
      <c r="AU69">
        <v>0</v>
      </c>
      <c r="AV69">
        <v>0</v>
      </c>
      <c r="AW69">
        <v>0</v>
      </c>
      <c r="AX69">
        <v>0</v>
      </c>
      <c r="AY69" s="133"/>
      <c r="AZ69" s="133"/>
      <c r="BA69" s="134" cm="1">
        <f t="array" ref="BA69">INDEX(AO69:AZ69,0,MATCH('PV IN'!$E$7,LkUP!AO$66:AZ$66,0))</f>
        <v>0</v>
      </c>
      <c r="BB69">
        <v>0</v>
      </c>
      <c r="BC69">
        <v>0</v>
      </c>
      <c r="BD69">
        <v>0</v>
      </c>
      <c r="BE69">
        <v>0</v>
      </c>
      <c r="BF69">
        <v>0</v>
      </c>
      <c r="BG69">
        <v>0</v>
      </c>
      <c r="BH69">
        <v>0</v>
      </c>
      <c r="BI69">
        <v>0</v>
      </c>
      <c r="BJ69">
        <v>0</v>
      </c>
      <c r="BK69">
        <v>0</v>
      </c>
      <c r="BL69" s="133"/>
      <c r="BM69" s="133"/>
      <c r="BN69" s="134" cm="1">
        <f t="array" ref="BN69">INDEX(BB69:BM69,0,MATCH('PV IN'!$E$7,LkUP!BB$66:BM$66,0))</f>
        <v>0</v>
      </c>
      <c r="BO69">
        <v>0</v>
      </c>
      <c r="BP69">
        <v>0</v>
      </c>
      <c r="BQ69">
        <v>0</v>
      </c>
      <c r="BR69">
        <v>0</v>
      </c>
      <c r="BS69">
        <v>0</v>
      </c>
      <c r="BT69">
        <v>0</v>
      </c>
      <c r="BU69">
        <v>0</v>
      </c>
      <c r="BV69">
        <v>0</v>
      </c>
      <c r="BW69">
        <v>0</v>
      </c>
      <c r="BX69">
        <v>0</v>
      </c>
      <c r="BY69" s="133"/>
      <c r="BZ69" s="133"/>
      <c r="CA69" s="134" cm="1">
        <f t="array" ref="CA69">INDEX(BO69:BZ69,0,MATCH('PV IN'!$E$7,LkUP!BO$66:BZ$66,0))</f>
        <v>0</v>
      </c>
      <c r="CB69">
        <v>0</v>
      </c>
      <c r="CC69">
        <v>0</v>
      </c>
      <c r="CD69">
        <v>0</v>
      </c>
      <c r="CE69">
        <v>0</v>
      </c>
      <c r="CF69">
        <v>0</v>
      </c>
      <c r="CG69">
        <v>0</v>
      </c>
      <c r="CH69">
        <v>0</v>
      </c>
      <c r="CI69">
        <v>0</v>
      </c>
      <c r="CJ69">
        <v>0</v>
      </c>
      <c r="CK69">
        <v>0</v>
      </c>
      <c r="CL69" s="133"/>
      <c r="CM69" s="133"/>
      <c r="CN69" s="134" cm="1">
        <f t="array" ref="CN69">INDEX(CB69:CM69,0,MATCH('PV IN'!$E$7,LkUP!CB$66:CM$66,0))</f>
        <v>0</v>
      </c>
      <c r="CO69">
        <v>0</v>
      </c>
      <c r="CP69">
        <v>0</v>
      </c>
      <c r="CQ69">
        <v>0</v>
      </c>
      <c r="CR69">
        <v>0</v>
      </c>
      <c r="CS69">
        <v>0</v>
      </c>
      <c r="CT69">
        <v>0</v>
      </c>
      <c r="CU69">
        <v>0</v>
      </c>
      <c r="CV69">
        <v>0</v>
      </c>
      <c r="CW69">
        <v>0</v>
      </c>
      <c r="CX69">
        <v>0</v>
      </c>
      <c r="CY69" s="133"/>
      <c r="CZ69" s="133"/>
      <c r="DA69" s="134" cm="1">
        <f t="array" ref="DA69">INDEX(CO69:CZ69,0,MATCH('PV IN'!$E$7,LkUP!CO$66:CZ$66,0))</f>
        <v>0</v>
      </c>
      <c r="DB69">
        <v>0</v>
      </c>
      <c r="DC69">
        <v>0</v>
      </c>
      <c r="DD69">
        <v>0</v>
      </c>
      <c r="DE69">
        <v>0</v>
      </c>
      <c r="DF69">
        <v>0</v>
      </c>
      <c r="DG69">
        <v>0</v>
      </c>
      <c r="DH69">
        <v>0</v>
      </c>
      <c r="DI69">
        <v>0</v>
      </c>
      <c r="DJ69">
        <v>0</v>
      </c>
      <c r="DK69">
        <v>0</v>
      </c>
      <c r="DN69" s="134" cm="1">
        <f t="array" ref="DN69">INDEX(DB69:DM69,0,MATCH('PV IN'!$E$7,LkUP!DB$66:DM$66,0))</f>
        <v>0</v>
      </c>
    </row>
    <row r="70" spans="1:118" x14ac:dyDescent="0.25">
      <c r="A70">
        <v>2022</v>
      </c>
      <c r="B70" s="133">
        <v>0</v>
      </c>
      <c r="C70" s="133">
        <v>0</v>
      </c>
      <c r="D70" s="133">
        <v>0</v>
      </c>
      <c r="E70" s="133">
        <v>0</v>
      </c>
      <c r="F70" s="133">
        <v>0</v>
      </c>
      <c r="G70" s="133">
        <v>0</v>
      </c>
      <c r="H70" s="133">
        <v>0</v>
      </c>
      <c r="I70" s="133">
        <v>0</v>
      </c>
      <c r="J70" s="133">
        <v>0</v>
      </c>
      <c r="K70" s="133">
        <v>0</v>
      </c>
      <c r="L70" s="133"/>
      <c r="M70" s="133"/>
      <c r="N70" s="134" cm="1">
        <f t="array" ref="N70">INDEX(B70:M70,0,MATCH('PV IN'!$E$7,LkUP!B$66:M$66,0))</f>
        <v>0</v>
      </c>
      <c r="O70" s="133">
        <v>0</v>
      </c>
      <c r="P70" s="133">
        <v>0</v>
      </c>
      <c r="Q70" s="133">
        <v>0</v>
      </c>
      <c r="R70" s="133">
        <v>0</v>
      </c>
      <c r="S70" s="133">
        <v>0</v>
      </c>
      <c r="T70" s="133">
        <v>0</v>
      </c>
      <c r="U70" s="133">
        <v>0</v>
      </c>
      <c r="V70" s="133">
        <v>0</v>
      </c>
      <c r="W70" s="133">
        <v>0</v>
      </c>
      <c r="X70" s="133">
        <v>0</v>
      </c>
      <c r="Y70" s="133"/>
      <c r="Z70" s="133"/>
      <c r="AA70" s="134" cm="1">
        <f t="array" ref="AA70">INDEX(O70:Z70,0,MATCH('PV IN'!$E$7,LkUP!O$66:Z$66,0))</f>
        <v>0</v>
      </c>
      <c r="AB70" s="133">
        <v>0</v>
      </c>
      <c r="AC70" s="133">
        <v>0</v>
      </c>
      <c r="AD70" s="133">
        <v>0</v>
      </c>
      <c r="AE70" s="133">
        <v>0</v>
      </c>
      <c r="AF70" s="133">
        <v>0</v>
      </c>
      <c r="AG70" s="133">
        <v>0</v>
      </c>
      <c r="AH70" s="133">
        <v>0</v>
      </c>
      <c r="AI70" s="133">
        <v>0</v>
      </c>
      <c r="AJ70" s="133">
        <v>0</v>
      </c>
      <c r="AK70" s="133">
        <v>0</v>
      </c>
      <c r="AL70" s="133"/>
      <c r="AM70" s="133"/>
      <c r="AN70" s="134" cm="1">
        <f t="array" ref="AN70">INDEX(AB70:AM70,0,MATCH('PV IN'!$E$7,LkUP!AB$66:AM$66,0))</f>
        <v>0</v>
      </c>
      <c r="AO70" s="133">
        <v>0</v>
      </c>
      <c r="AP70" s="133">
        <v>0</v>
      </c>
      <c r="AQ70" s="133">
        <v>0</v>
      </c>
      <c r="AR70" s="133">
        <v>0</v>
      </c>
      <c r="AS70" s="133">
        <v>0</v>
      </c>
      <c r="AT70" s="133">
        <v>0</v>
      </c>
      <c r="AU70" s="133">
        <v>0</v>
      </c>
      <c r="AV70" s="133">
        <v>0</v>
      </c>
      <c r="AW70" s="133">
        <v>0</v>
      </c>
      <c r="AX70" s="133">
        <v>0</v>
      </c>
      <c r="AY70" s="133"/>
      <c r="AZ70" s="133"/>
      <c r="BA70" s="134" cm="1">
        <f t="array" ref="BA70">INDEX(AO70:AZ70,0,MATCH('PV IN'!$E$7,LkUP!AO$66:AZ$66,0))</f>
        <v>0</v>
      </c>
      <c r="BB70" s="133">
        <v>0</v>
      </c>
      <c r="BC70" s="133">
        <v>0</v>
      </c>
      <c r="BD70" s="133">
        <v>0</v>
      </c>
      <c r="BE70" s="133">
        <v>0</v>
      </c>
      <c r="BF70" s="133">
        <v>0</v>
      </c>
      <c r="BG70" s="133">
        <v>0</v>
      </c>
      <c r="BH70" s="133">
        <v>0</v>
      </c>
      <c r="BI70" s="133">
        <v>0</v>
      </c>
      <c r="BJ70" s="133">
        <v>0</v>
      </c>
      <c r="BK70" s="133">
        <v>0</v>
      </c>
      <c r="BL70" s="133"/>
      <c r="BM70" s="133"/>
      <c r="BN70" s="134" cm="1">
        <f t="array" ref="BN70">INDEX(BB70:BM70,0,MATCH('PV IN'!$E$7,LkUP!BB$66:BM$66,0))</f>
        <v>0</v>
      </c>
      <c r="BO70" s="133">
        <v>0</v>
      </c>
      <c r="BP70" s="133">
        <v>0</v>
      </c>
      <c r="BQ70" s="133">
        <v>0</v>
      </c>
      <c r="BR70" s="133">
        <v>0</v>
      </c>
      <c r="BS70" s="133">
        <v>0</v>
      </c>
      <c r="BT70" s="133">
        <v>0</v>
      </c>
      <c r="BU70" s="133">
        <v>0</v>
      </c>
      <c r="BV70" s="133">
        <v>0</v>
      </c>
      <c r="BW70" s="133">
        <v>0</v>
      </c>
      <c r="BX70" s="133">
        <v>0</v>
      </c>
      <c r="BY70" s="133"/>
      <c r="BZ70" s="133"/>
      <c r="CA70" s="134" cm="1">
        <f t="array" ref="CA70">INDEX(BO70:BZ70,0,MATCH('PV IN'!$E$7,LkUP!BO$66:BZ$66,0))</f>
        <v>0</v>
      </c>
      <c r="CB70" s="133">
        <v>0</v>
      </c>
      <c r="CC70" s="133">
        <v>0</v>
      </c>
      <c r="CD70" s="133">
        <v>0</v>
      </c>
      <c r="CE70" s="133">
        <v>0</v>
      </c>
      <c r="CF70" s="133">
        <v>0</v>
      </c>
      <c r="CG70" s="133">
        <v>0</v>
      </c>
      <c r="CH70" s="133">
        <v>0</v>
      </c>
      <c r="CI70" s="133">
        <v>0</v>
      </c>
      <c r="CJ70" s="133">
        <v>0</v>
      </c>
      <c r="CK70" s="133">
        <v>0</v>
      </c>
      <c r="CL70" s="133"/>
      <c r="CM70" s="133"/>
      <c r="CN70" s="134" cm="1">
        <f t="array" ref="CN70">INDEX(CB70:CM70,0,MATCH('PV IN'!$E$7,LkUP!CB$66:CM$66,0))</f>
        <v>0</v>
      </c>
      <c r="CO70" s="133">
        <v>0</v>
      </c>
      <c r="CP70" s="133">
        <v>0</v>
      </c>
      <c r="CQ70" s="133">
        <v>0</v>
      </c>
      <c r="CR70" s="133">
        <v>0</v>
      </c>
      <c r="CS70" s="133">
        <v>0</v>
      </c>
      <c r="CT70" s="133">
        <v>0</v>
      </c>
      <c r="CU70" s="133">
        <v>0</v>
      </c>
      <c r="CV70" s="133">
        <v>0</v>
      </c>
      <c r="CW70" s="133">
        <v>0</v>
      </c>
      <c r="CX70" s="133">
        <v>0</v>
      </c>
      <c r="CY70" s="133"/>
      <c r="CZ70" s="133"/>
      <c r="DA70" s="134" cm="1">
        <f t="array" ref="DA70">INDEX(CO70:CZ70,0,MATCH('PV IN'!$E$7,LkUP!CO$66:CZ$66,0))</f>
        <v>0</v>
      </c>
      <c r="DB70" s="133">
        <v>0</v>
      </c>
      <c r="DC70" s="133">
        <v>0</v>
      </c>
      <c r="DD70" s="133">
        <v>0</v>
      </c>
      <c r="DE70" s="133">
        <v>0</v>
      </c>
      <c r="DF70" s="133">
        <v>0</v>
      </c>
      <c r="DG70" s="133">
        <v>0</v>
      </c>
      <c r="DH70" s="133">
        <v>0</v>
      </c>
      <c r="DI70" s="133">
        <v>0</v>
      </c>
      <c r="DJ70" s="133">
        <v>0</v>
      </c>
      <c r="DK70" s="133">
        <v>0</v>
      </c>
      <c r="DL70" s="133"/>
      <c r="DM70" s="133"/>
      <c r="DN70" s="134" cm="1">
        <f t="array" ref="DN70">INDEX(DB70:DM70,0,MATCH('PV IN'!$E$7,LkUP!DB$66:DM$66,0))</f>
        <v>0</v>
      </c>
    </row>
    <row r="71" spans="1:118" x14ac:dyDescent="0.25">
      <c r="A71">
        <v>2023</v>
      </c>
      <c r="B71" s="133">
        <v>-2.4992005774326167E-2</v>
      </c>
      <c r="C71" s="133">
        <v>-3.0975361340943391E-2</v>
      </c>
      <c r="D71" s="133">
        <v>-3.408761149889053E-2</v>
      </c>
      <c r="E71" s="133">
        <v>-2.4564127515064899E-2</v>
      </c>
      <c r="F71" s="133">
        <v>-3.3121379243818437E-2</v>
      </c>
      <c r="G71" s="133">
        <v>-3.562021037668997E-2</v>
      </c>
      <c r="H71" s="133">
        <v>-3.6862227112848166E-2</v>
      </c>
      <c r="I71" s="133">
        <v>-3.4919449294091361E-2</v>
      </c>
      <c r="J71" s="133">
        <v>-3.5586161509589258E-2</v>
      </c>
      <c r="K71" s="133">
        <v>-3.6496695587658619E-2</v>
      </c>
      <c r="L71" s="133"/>
      <c r="M71" s="133"/>
      <c r="N71" s="134" cm="1">
        <f t="array" ref="N71">INDEX(B71:M71,0,MATCH('PV IN'!$E$7,LkUP!B$66:M$66,0))</f>
        <v>-3.6496695587658619E-2</v>
      </c>
      <c r="O71" s="133">
        <v>-3.2119527225339055E-2</v>
      </c>
      <c r="P71" s="133">
        <v>-2.3723715355537536E-2</v>
      </c>
      <c r="Q71" s="133">
        <v>-1.9062525497372404E-2</v>
      </c>
      <c r="R71" s="133">
        <v>-2.640178574476227E-2</v>
      </c>
      <c r="S71" s="133">
        <v>-1.9892488568558953E-2</v>
      </c>
      <c r="T71" s="133">
        <v>-2.0456426389999283E-2</v>
      </c>
      <c r="U71" s="133">
        <v>-2.8549621111952531E-2</v>
      </c>
      <c r="V71" s="133">
        <v>-2.2027654266973413E-2</v>
      </c>
      <c r="W71" s="133">
        <v>-2.1875821758428629E-2</v>
      </c>
      <c r="X71" s="133">
        <v>-1.865514350300175E-2</v>
      </c>
      <c r="Y71" s="133"/>
      <c r="Z71" s="133"/>
      <c r="AA71" s="134" cm="1">
        <f t="array" ref="AA71">INDEX(O71:Z71,0,MATCH('PV IN'!$E$7,LkUP!O$66:Z$66,0))</f>
        <v>-1.865514350300175E-2</v>
      </c>
      <c r="AB71" s="133">
        <v>-2.9543429993531569E-2</v>
      </c>
      <c r="AC71" s="133">
        <v>-3.071171500729563E-2</v>
      </c>
      <c r="AD71" s="133">
        <v>-3.3510475836880417E-2</v>
      </c>
      <c r="AE71" s="133">
        <v>-2.3958765141471099E-2</v>
      </c>
      <c r="AF71" s="133">
        <v>-3.1313033313832582E-2</v>
      </c>
      <c r="AG71" s="133">
        <v>-3.556425659699778E-2</v>
      </c>
      <c r="AH71" s="133">
        <v>-4.2303959217738836E-2</v>
      </c>
      <c r="AI71" s="133">
        <v>-3.6967459191488382E-2</v>
      </c>
      <c r="AJ71" s="133">
        <v>-3.846797003667108E-2</v>
      </c>
      <c r="AK71" s="133">
        <v>-3.6384374809391752E-2</v>
      </c>
      <c r="AL71" s="133"/>
      <c r="AM71" s="133"/>
      <c r="AN71" s="134" cm="1">
        <f t="array" ref="AN71">INDEX(AB71:AM71,0,MATCH('PV IN'!$E$7,LkUP!AB$66:AM$66,0))</f>
        <v>-3.6384374809391752E-2</v>
      </c>
      <c r="AO71" s="133">
        <v>-2.4210257649720457E-2</v>
      </c>
      <c r="AP71" s="133">
        <v>-2.1272236787654202E-2</v>
      </c>
      <c r="AQ71" s="133">
        <v>-1.8540396189102561E-2</v>
      </c>
      <c r="AR71" s="133">
        <v>-2.3319309101490809E-2</v>
      </c>
      <c r="AS71" s="133">
        <v>-1.9179643465771612E-2</v>
      </c>
      <c r="AT71" s="133">
        <v>-1.9367745750364575E-2</v>
      </c>
      <c r="AU71" s="133">
        <v>-1.9539611903260062E-2</v>
      </c>
      <c r="AV71" s="133">
        <v>-1.9599688855432503E-2</v>
      </c>
      <c r="AW71" s="133">
        <v>-1.9636705064993435E-2</v>
      </c>
      <c r="AX71" s="133">
        <v>-1.8417237153382233E-2</v>
      </c>
      <c r="AY71" s="133"/>
      <c r="AZ71" s="133"/>
      <c r="BA71" s="134" cm="1">
        <f t="array" ref="BA71">INDEX(AO71:AZ71,0,MATCH('PV IN'!$E$7,LkUP!AO$66:AZ$66,0))</f>
        <v>-1.8417237153382233E-2</v>
      </c>
      <c r="BB71" s="133">
        <v>5.4778201526473495E-2</v>
      </c>
      <c r="BC71" s="133">
        <v>5.7764249654233366E-2</v>
      </c>
      <c r="BD71" s="133">
        <v>6.0673472817236708E-2</v>
      </c>
      <c r="BE71" s="133">
        <v>6.2771275464335891E-2</v>
      </c>
      <c r="BF71" s="133">
        <v>5.8699081680789363E-2</v>
      </c>
      <c r="BG71" s="133">
        <v>5.5814111495146028E-2</v>
      </c>
      <c r="BH71" s="133">
        <v>5.1855427104622237E-2</v>
      </c>
      <c r="BI71" s="133">
        <v>5.4839890504673805E-2</v>
      </c>
      <c r="BJ71" s="133">
        <v>5.3985000814716237E-2</v>
      </c>
      <c r="BK71" s="133">
        <v>5.8074447810145251E-2</v>
      </c>
      <c r="BL71" s="133"/>
      <c r="BM71" s="133"/>
      <c r="BN71" s="134" cm="1">
        <f t="array" ref="BN71">INDEX(BB71:BM71,0,MATCH('PV IN'!$E$7,LkUP!BB$66:BM$66,0))</f>
        <v>5.8074447810145251E-2</v>
      </c>
      <c r="BO71" s="133">
        <v>3.7320445357972892E-3</v>
      </c>
      <c r="BP71" s="133">
        <v>2.3998286855438974E-3</v>
      </c>
      <c r="BQ71" s="133">
        <v>9.9025620283732627E-4</v>
      </c>
      <c r="BR71" s="133">
        <v>3.7874123572692714E-3</v>
      </c>
      <c r="BS71" s="133">
        <v>7.6877627058005314E-4</v>
      </c>
      <c r="BT71" s="133">
        <v>2.4973923124481698E-4</v>
      </c>
      <c r="BU71" s="133">
        <v>-2.1892857312125118E-4</v>
      </c>
      <c r="BV71" s="133">
        <v>6.7417992918037426E-4</v>
      </c>
      <c r="BW71" s="133">
        <v>4.4724758805908798E-4</v>
      </c>
      <c r="BX71" s="133">
        <v>2.6496532051785714E-4</v>
      </c>
      <c r="BY71" s="133"/>
      <c r="BZ71" s="133"/>
      <c r="CA71" s="134" cm="1">
        <f t="array" ref="CA71">INDEX(BO71:BZ71,0,MATCH('PV IN'!$E$7,LkUP!BO$66:BZ$66,0))</f>
        <v>2.6496532051785714E-4</v>
      </c>
      <c r="CB71" s="133">
        <v>-3.9052064154238661E-2</v>
      </c>
      <c r="CC71" s="133">
        <v>-3.4226644415341387E-2</v>
      </c>
      <c r="CD71" s="133">
        <v>-3.0360091064610736E-2</v>
      </c>
      <c r="CE71" s="133">
        <v>-3.2796246931062006E-2</v>
      </c>
      <c r="CF71" s="133">
        <v>-3.1951642127438118E-2</v>
      </c>
      <c r="CG71" s="133">
        <v>-3.4040910698128958E-2</v>
      </c>
      <c r="CH71" s="133">
        <v>-3.4216062049117771E-2</v>
      </c>
      <c r="CI71" s="133">
        <v>-3.3418948568420877E-2</v>
      </c>
      <c r="CJ71" s="133">
        <v>-3.3764171454717183E-2</v>
      </c>
      <c r="CK71" s="133">
        <v>-2.8636443370300226E-2</v>
      </c>
      <c r="CL71" s="133"/>
      <c r="CM71" s="133"/>
      <c r="CN71" s="134" cm="1">
        <f t="array" ref="CN71">INDEX(CB71:CM71,0,MATCH('PV IN'!$E$7,LkUP!CB$66:CM$66,0))</f>
        <v>-2.8636443370300226E-2</v>
      </c>
      <c r="CO71" s="133">
        <v>-5.1560989383777726E-2</v>
      </c>
      <c r="CP71" s="133">
        <v>-3.7340029414292535E-2</v>
      </c>
      <c r="CQ71" s="133">
        <v>-3.0286524827552078E-2</v>
      </c>
      <c r="CR71" s="133">
        <v>-4.2591206355458072E-2</v>
      </c>
      <c r="CS71" s="133">
        <v>-2.9330682140924831E-2</v>
      </c>
      <c r="CT71" s="133">
        <v>-3.2052370824182989E-2</v>
      </c>
      <c r="CU71" s="133">
        <v>-4.075561443384744E-2</v>
      </c>
      <c r="CV71" s="133">
        <v>-3.4483534368771517E-2</v>
      </c>
      <c r="CW71" s="133">
        <v>-3.5058430772997688E-2</v>
      </c>
      <c r="CX71" s="133">
        <v>-2.8128503753320686E-2</v>
      </c>
      <c r="CY71" s="133"/>
      <c r="CZ71" s="133"/>
      <c r="DA71" s="134" cm="1">
        <f t="array" ref="DA71">INDEX(CO71:CZ71,0,MATCH('PV IN'!$E$7,LkUP!CO$66:CZ$66,0))</f>
        <v>-2.8128503753320686E-2</v>
      </c>
      <c r="DB71" s="133">
        <v>-4.0953571361397177E-2</v>
      </c>
      <c r="DC71" s="133">
        <v>-3.9652091256705754E-2</v>
      </c>
      <c r="DD71" s="133">
        <v>-4.1148123789743987E-2</v>
      </c>
      <c r="DE71" s="133">
        <v>-3.5464941736973309E-2</v>
      </c>
      <c r="DF71" s="133">
        <v>-3.9007470207557265E-2</v>
      </c>
      <c r="DG71" s="133">
        <v>-4.2377836435898368E-2</v>
      </c>
      <c r="DH71" s="133">
        <v>-4.8780883365083023E-2</v>
      </c>
      <c r="DI71" s="133">
        <v>-4.4166129487265143E-2</v>
      </c>
      <c r="DJ71" s="133">
        <v>-4.5083151350428737E-2</v>
      </c>
      <c r="DK71" s="133">
        <v>-4.498618800650879E-2</v>
      </c>
      <c r="DL71" s="133"/>
      <c r="DM71" s="133"/>
      <c r="DN71" s="134" cm="1">
        <f t="array" ref="DN71">INDEX(DB71:DM71,0,MATCH('PV IN'!$E$7,LkUP!DB$66:DM$66,0))</f>
        <v>-4.498618800650879E-2</v>
      </c>
    </row>
    <row r="72" spans="1:118" x14ac:dyDescent="0.25">
      <c r="A72">
        <v>2024</v>
      </c>
      <c r="B72" s="133">
        <v>-2.7141044496796211E-2</v>
      </c>
      <c r="C72" s="133">
        <v>-1.621287333122538E-2</v>
      </c>
      <c r="D72" s="133">
        <v>-2.767452098845773E-2</v>
      </c>
      <c r="E72" s="133">
        <v>-2.6869306130705838E-2</v>
      </c>
      <c r="F72" s="133">
        <v>-2.4652543931483195E-2</v>
      </c>
      <c r="G72" s="133">
        <v>-3.3199059629483767E-2</v>
      </c>
      <c r="H72" s="133">
        <v>1.5802227740009549E-2</v>
      </c>
      <c r="I72" s="133">
        <v>-2.3612676944113925E-2</v>
      </c>
      <c r="J72" s="133">
        <v>-2.2806119970837872E-2</v>
      </c>
      <c r="K72" s="133">
        <v>-2.2601423811718983E-2</v>
      </c>
      <c r="L72" s="133"/>
      <c r="M72" s="133"/>
      <c r="N72" s="134" cm="1">
        <f t="array" ref="N72">INDEX(B72:M72,0,MATCH('PV IN'!$E$7,LkUP!B$66:M$66,0))</f>
        <v>-2.2601423811718983E-2</v>
      </c>
      <c r="O72" s="133">
        <v>-9.4609110161513063E-2</v>
      </c>
      <c r="P72" s="133">
        <v>-9.4255159976362524E-2</v>
      </c>
      <c r="Q72" s="133">
        <v>-0.10371989544405456</v>
      </c>
      <c r="R72" s="133">
        <v>-9.4633615278751249E-2</v>
      </c>
      <c r="S72" s="133">
        <v>-0.11074469890883107</v>
      </c>
      <c r="T72" s="133">
        <v>-0.11649675750576677</v>
      </c>
      <c r="U72" s="133">
        <v>-5.4599852680989068E-2</v>
      </c>
      <c r="V72" s="133">
        <v>-0.10488133765289252</v>
      </c>
      <c r="W72" s="133">
        <v>-0.10401499921417985</v>
      </c>
      <c r="X72" s="133">
        <v>-0.10598278541977833</v>
      </c>
      <c r="Y72" s="133"/>
      <c r="Z72" s="133"/>
      <c r="AA72" s="134" cm="1">
        <f t="array" ref="AA72">INDEX(O72:Z72,0,MATCH('PV IN'!$E$7,LkUP!O$66:Z$66,0))</f>
        <v>-0.10598278541977833</v>
      </c>
      <c r="AB72" s="133">
        <v>3.1916383000046927E-2</v>
      </c>
      <c r="AC72" s="133">
        <v>3.89074573828486E-2</v>
      </c>
      <c r="AD72" s="133">
        <v>3.1561413821033966E-2</v>
      </c>
      <c r="AE72" s="133">
        <v>2.6688616720088251E-2</v>
      </c>
      <c r="AF72" s="133">
        <v>2.6104183510396353E-2</v>
      </c>
      <c r="AG72" s="133">
        <v>1.314189586620244E-2</v>
      </c>
      <c r="AH72" s="133">
        <v>0.11693536576615025</v>
      </c>
      <c r="AI72" s="133">
        <v>2.5876069729565E-2</v>
      </c>
      <c r="AJ72" s="133">
        <v>2.8057906812464749E-2</v>
      </c>
      <c r="AK72" s="133">
        <v>3.3326520740049596E-2</v>
      </c>
      <c r="AL72" s="133"/>
      <c r="AM72" s="133"/>
      <c r="AN72" s="134" cm="1">
        <f t="array" ref="AN72">INDEX(AB72:AM72,0,MATCH('PV IN'!$E$7,LkUP!AB$66:AM$66,0))</f>
        <v>3.3326520740049596E-2</v>
      </c>
      <c r="AO72" s="133">
        <v>-3.7658902348279871E-2</v>
      </c>
      <c r="AP72" s="133">
        <v>-3.0403373886871924E-2</v>
      </c>
      <c r="AQ72" s="133">
        <v>-4.1774787556023839E-2</v>
      </c>
      <c r="AR72" s="133">
        <v>-3.8210600069271045E-2</v>
      </c>
      <c r="AS72" s="133">
        <v>-4.7068683771432369E-2</v>
      </c>
      <c r="AT72" s="133">
        <v>-4.859081286917119E-2</v>
      </c>
      <c r="AU72" s="133">
        <v>-1.1506101997655203E-2</v>
      </c>
      <c r="AV72" s="133">
        <v>-4.1035934764338061E-2</v>
      </c>
      <c r="AW72" s="133">
        <v>-4.083590917131999E-2</v>
      </c>
      <c r="AX72" s="133">
        <v>-3.9665227335962436E-2</v>
      </c>
      <c r="AY72" s="133"/>
      <c r="AZ72" s="133"/>
      <c r="BA72" s="134" cm="1">
        <f t="array" ref="BA72">INDEX(AO72:AZ72,0,MATCH('PV IN'!$E$7,LkUP!AO$66:AZ$66,0))</f>
        <v>-3.9665227335962436E-2</v>
      </c>
      <c r="BB72" s="133">
        <v>-7.571714683940084E-2</v>
      </c>
      <c r="BC72" s="133">
        <v>-7.0344305631833193E-2</v>
      </c>
      <c r="BD72" s="133">
        <v>-8.5442061924319371E-2</v>
      </c>
      <c r="BE72" s="133">
        <v>-8.9190833980661174E-2</v>
      </c>
      <c r="BF72" s="133">
        <v>-7.830060833343884E-2</v>
      </c>
      <c r="BG72" s="133">
        <v>-9.348426028467112E-2</v>
      </c>
      <c r="BH72" s="133">
        <v>-1.0487646598925076E-2</v>
      </c>
      <c r="BI72" s="133">
        <v>-8.1211980702843592E-2</v>
      </c>
      <c r="BJ72" s="133">
        <v>-7.8793876995687448E-2</v>
      </c>
      <c r="BK72" s="133">
        <v>-7.1511904900512971E-2</v>
      </c>
      <c r="BL72" s="133"/>
      <c r="BM72" s="133"/>
      <c r="BN72" s="134" cm="1">
        <f t="array" ref="BN72">INDEX(BB72:BM72,0,MATCH('PV IN'!$E$7,LkUP!BB$66:BM$66,0))</f>
        <v>-7.1511904900512971E-2</v>
      </c>
      <c r="BO72" s="133">
        <v>-0.12393506846010957</v>
      </c>
      <c r="BP72" s="133">
        <v>-0.11700208614723689</v>
      </c>
      <c r="BQ72" s="133">
        <v>-0.12570198811998234</v>
      </c>
      <c r="BR72" s="133">
        <v>-0.12485454964230813</v>
      </c>
      <c r="BS72" s="133">
        <v>-0.12504828175759372</v>
      </c>
      <c r="BT72" s="133">
        <v>-0.12827294677787715</v>
      </c>
      <c r="BU72" s="133">
        <v>-0.10245228806753416</v>
      </c>
      <c r="BV72" s="133">
        <v>-0.12344727830965152</v>
      </c>
      <c r="BW72" s="133">
        <v>-0.12414601728539522</v>
      </c>
      <c r="BX72" s="133">
        <v>-0.12388712643229605</v>
      </c>
      <c r="BY72" s="133"/>
      <c r="BZ72" s="133"/>
      <c r="CA72" s="134" cm="1">
        <f t="array" ref="CA72">INDEX(BO72:BZ72,0,MATCH('PV IN'!$E$7,LkUP!BO$66:BZ$66,0))</f>
        <v>-0.12388712643229605</v>
      </c>
      <c r="CB72" s="133">
        <v>-2.1014360172252802E-2</v>
      </c>
      <c r="CC72" s="133">
        <v>-1.9221050175943059E-2</v>
      </c>
      <c r="CD72" s="133">
        <v>-3.1753847695971497E-2</v>
      </c>
      <c r="CE72" s="133">
        <v>-2.148590231794243E-2</v>
      </c>
      <c r="CF72" s="133">
        <v>-3.8900908618883463E-2</v>
      </c>
      <c r="CG72" s="133">
        <v>-4.4495316955767854E-2</v>
      </c>
      <c r="CH72" s="133">
        <v>2.6612966805949489E-2</v>
      </c>
      <c r="CI72" s="133">
        <v>-3.1415237559536825E-2</v>
      </c>
      <c r="CJ72" s="133">
        <v>-3.0629902948416783E-2</v>
      </c>
      <c r="CK72" s="133">
        <v>-2.831558890527474E-2</v>
      </c>
      <c r="CL72" s="133"/>
      <c r="CM72" s="133"/>
      <c r="CN72" s="134" cm="1">
        <f t="array" ref="CN72">INDEX(CB72:CM72,0,MATCH('PV IN'!$E$7,LkUP!CB$66:CM$66,0))</f>
        <v>-2.831558890527474E-2</v>
      </c>
      <c r="CO72" s="133">
        <v>-6.5230589452169134E-3</v>
      </c>
      <c r="CP72" s="133">
        <v>-8.1016694125809439E-3</v>
      </c>
      <c r="CQ72" s="133">
        <v>-2.2916832685031287E-2</v>
      </c>
      <c r="CR72" s="133">
        <v>-9.9191299438388426E-3</v>
      </c>
      <c r="CS72" s="133">
        <v>-2.9737529669186975E-2</v>
      </c>
      <c r="CT72" s="133">
        <v>-2.3049488951826663E-2</v>
      </c>
      <c r="CU72" s="133">
        <v>-1.8594023037419283E-3</v>
      </c>
      <c r="CV72" s="133">
        <v>-1.8348829768812754E-2</v>
      </c>
      <c r="CW72" s="133">
        <v>-1.7396939655769939E-2</v>
      </c>
      <c r="CX72" s="133">
        <v>-2.177492690778331E-2</v>
      </c>
      <c r="CY72" s="133"/>
      <c r="CZ72" s="133"/>
      <c r="DA72" s="134" cm="1">
        <f t="array" ref="DA72">INDEX(CO72:CZ72,0,MATCH('PV IN'!$E$7,LkUP!CO$66:CZ$66,0))</f>
        <v>-2.177492690778331E-2</v>
      </c>
      <c r="DB72" s="133">
        <v>2.1622373333428728E-3</v>
      </c>
      <c r="DC72" s="133">
        <v>1.1721729737238808E-3</v>
      </c>
      <c r="DD72" s="133">
        <v>-1.2545650393003255E-2</v>
      </c>
      <c r="DE72" s="133">
        <v>-2.0766725356857075E-3</v>
      </c>
      <c r="DF72" s="133">
        <v>-1.193215518901402E-2</v>
      </c>
      <c r="DG72" s="133">
        <v>-2.7364202228439227E-2</v>
      </c>
      <c r="DH72" s="133">
        <v>5.2711824783416329E-2</v>
      </c>
      <c r="DI72" s="133">
        <v>-5.0020091231622356E-3</v>
      </c>
      <c r="DJ72" s="133">
        <v>-1.1156835068714198E-2</v>
      </c>
      <c r="DK72" s="133">
        <v>-8.6766019263541973E-3</v>
      </c>
      <c r="DL72" s="133"/>
      <c r="DM72" s="133"/>
      <c r="DN72" s="134" cm="1">
        <f t="array" ref="DN72">INDEX(DB72:DM72,0,MATCH('PV IN'!$E$7,LkUP!DB$66:DM$66,0))</f>
        <v>-8.6766019263541973E-3</v>
      </c>
    </row>
    <row r="73" spans="1:118" x14ac:dyDescent="0.25">
      <c r="A73">
        <v>2025</v>
      </c>
      <c r="B73" s="133">
        <v>-4.0510487169222502E-2</v>
      </c>
      <c r="C73" s="133">
        <v>-3.2502334497345464E-2</v>
      </c>
      <c r="D73" s="133">
        <v>-3.3875144693014586E-2</v>
      </c>
      <c r="E73" s="133">
        <v>-4.4169183104646445E-2</v>
      </c>
      <c r="F73" s="133">
        <v>-3.5181685141921513E-2</v>
      </c>
      <c r="G73" s="133">
        <v>-4.6597403692543934E-2</v>
      </c>
      <c r="H73" s="133">
        <v>7.6413695926675143E-3</v>
      </c>
      <c r="I73" s="133">
        <v>-2.7736299811734172E-2</v>
      </c>
      <c r="J73" s="133">
        <v>-3.5217818932125736E-2</v>
      </c>
      <c r="K73" s="133">
        <v>-2.8066334081251979E-2</v>
      </c>
      <c r="L73" s="133"/>
      <c r="M73" s="133"/>
      <c r="N73" s="134" cm="1">
        <f t="array" ref="N73">INDEX(B73:M73,0,MATCH('PV IN'!$E$7,LkUP!B$66:M$66,0))</f>
        <v>-2.8066334081251979E-2</v>
      </c>
      <c r="O73" s="133">
        <v>-3.5927835554409836E-2</v>
      </c>
      <c r="P73" s="133">
        <v>-3.4278337127163369E-2</v>
      </c>
      <c r="Q73" s="133">
        <v>-3.1080238875269638E-2</v>
      </c>
      <c r="R73" s="133">
        <v>-4.1842027300767158E-2</v>
      </c>
      <c r="S73" s="133">
        <v>-3.373353892644658E-2</v>
      </c>
      <c r="T73" s="133">
        <v>-4.0503283351503425E-2</v>
      </c>
      <c r="U73" s="133">
        <v>-2.0089793916718373E-2</v>
      </c>
      <c r="V73" s="133">
        <v>-3.5036298322523494E-2</v>
      </c>
      <c r="W73" s="133">
        <v>-3.7987727021119938E-2</v>
      </c>
      <c r="X73" s="133">
        <v>-3.580396362281598E-2</v>
      </c>
      <c r="Y73" s="133"/>
      <c r="Z73" s="133"/>
      <c r="AA73" s="134" cm="1">
        <f t="array" ref="AA73">INDEX(O73:Z73,0,MATCH('PV IN'!$E$7,LkUP!O$66:Z$66,0))</f>
        <v>-3.580396362281598E-2</v>
      </c>
      <c r="AB73" s="133">
        <v>-1.759846427455047E-2</v>
      </c>
      <c r="AC73" s="133">
        <v>-1.4641443376989182E-2</v>
      </c>
      <c r="AD73" s="133">
        <v>-9.2513477575046736E-3</v>
      </c>
      <c r="AE73" s="133">
        <v>-2.0460203778316536E-2</v>
      </c>
      <c r="AF73" s="133">
        <v>-1.3112488901213224E-2</v>
      </c>
      <c r="AG73" s="133">
        <v>-2.2018782884701955E-2</v>
      </c>
      <c r="AH73" s="133">
        <v>1.8908168848720434E-2</v>
      </c>
      <c r="AI73" s="133">
        <v>6.0029954497206107E-4</v>
      </c>
      <c r="AJ73" s="133">
        <v>-1.5880234494000667E-2</v>
      </c>
      <c r="AK73" s="133">
        <v>-4.5657182613324945E-4</v>
      </c>
      <c r="AL73" s="133"/>
      <c r="AM73" s="133"/>
      <c r="AN73" s="134" cm="1">
        <f t="array" ref="AN73">INDEX(AB73:AM73,0,MATCH('PV IN'!$E$7,LkUP!AB$66:AM$66,0))</f>
        <v>-4.5657182613324945E-4</v>
      </c>
      <c r="AO73" s="133">
        <v>-2.9996752596405364E-2</v>
      </c>
      <c r="AP73" s="133">
        <v>-3.0014988749039968E-2</v>
      </c>
      <c r="AQ73" s="133">
        <v>-3.1259079571941406E-2</v>
      </c>
      <c r="AR73" s="133">
        <v>-3.7863352444602767E-2</v>
      </c>
      <c r="AS73" s="133">
        <v>-3.4663779169151594E-2</v>
      </c>
      <c r="AT73" s="133">
        <v>-4.0140299760612938E-2</v>
      </c>
      <c r="AU73" s="133">
        <v>-1.6127925601392507E-2</v>
      </c>
      <c r="AV73" s="133">
        <v>-3.3883318880667167E-2</v>
      </c>
      <c r="AW73" s="133">
        <v>-3.3744569094371221E-2</v>
      </c>
      <c r="AX73" s="133">
        <v>-2.6971900385618263E-2</v>
      </c>
      <c r="AY73" s="133"/>
      <c r="AZ73" s="133"/>
      <c r="BA73" s="134" cm="1">
        <f t="array" ref="BA73">INDEX(AO73:AZ73,0,MATCH('PV IN'!$E$7,LkUP!AO$66:AZ$66,0))</f>
        <v>-2.6971900385618263E-2</v>
      </c>
      <c r="BB73" s="133">
        <v>-1.8654914146658343E-2</v>
      </c>
      <c r="BC73" s="133">
        <v>-1.5267121126989192E-2</v>
      </c>
      <c r="BD73" s="133">
        <v>-1.6735607253013825E-2</v>
      </c>
      <c r="BE73" s="133">
        <v>-2.710018172595784E-2</v>
      </c>
      <c r="BF73" s="133">
        <v>-1.624994632767603E-2</v>
      </c>
      <c r="BG73" s="133">
        <v>-1.5236985574743008E-2</v>
      </c>
      <c r="BH73" s="133">
        <v>-9.1133516065163341E-3</v>
      </c>
      <c r="BI73" s="133">
        <v>-1.4934038503649725E-2</v>
      </c>
      <c r="BJ73" s="133">
        <v>-1.9599809215973988E-2</v>
      </c>
      <c r="BK73" s="133">
        <v>-9.973376668309334E-3</v>
      </c>
      <c r="BL73" s="133"/>
      <c r="BM73" s="133"/>
      <c r="BN73" s="134" cm="1">
        <f t="array" ref="BN73">INDEX(BB73:BM73,0,MATCH('PV IN'!$E$7,LkUP!BB$66:BM$66,0))</f>
        <v>-9.973376668309334E-3</v>
      </c>
      <c r="BO73" s="133">
        <v>-0.11094497055454286</v>
      </c>
      <c r="BP73" s="133">
        <v>-0.10302573515514213</v>
      </c>
      <c r="BQ73" s="133">
        <v>-0.10429127693598747</v>
      </c>
      <c r="BR73" s="133">
        <v>-0.11277075978127558</v>
      </c>
      <c r="BS73" s="133">
        <v>-0.1046110299742021</v>
      </c>
      <c r="BT73" s="133">
        <v>-0.11398740927695426</v>
      </c>
      <c r="BU73" s="133">
        <v>-8.0442472695646319E-2</v>
      </c>
      <c r="BV73" s="133">
        <v>-0.10731359532339765</v>
      </c>
      <c r="BW73" s="133">
        <v>-0.10764658480412487</v>
      </c>
      <c r="BX73" s="133">
        <v>-0.10706582789345982</v>
      </c>
      <c r="BY73" s="133"/>
      <c r="BZ73" s="133"/>
      <c r="CA73" s="134" cm="1">
        <f t="array" ref="CA73">INDEX(BO73:BZ73,0,MATCH('PV IN'!$E$7,LkUP!BO$66:BZ$66,0))</f>
        <v>-0.10706582789345982</v>
      </c>
      <c r="CB73" s="133">
        <v>-2.2595799048775764E-2</v>
      </c>
      <c r="CC73" s="133">
        <v>-2.1345968640276752E-2</v>
      </c>
      <c r="CD73" s="133">
        <v>-2.2082080308525973E-2</v>
      </c>
      <c r="CE73" s="133">
        <v>-2.6462419293628435E-2</v>
      </c>
      <c r="CF73" s="133">
        <v>-2.1218638105804714E-2</v>
      </c>
      <c r="CG73" s="133">
        <v>-3.0161862362196302E-2</v>
      </c>
      <c r="CH73" s="133">
        <v>4.0090211777228432E-3</v>
      </c>
      <c r="CI73" s="133">
        <v>-1.9947090216997993E-2</v>
      </c>
      <c r="CJ73" s="133">
        <v>-2.3220796258834366E-2</v>
      </c>
      <c r="CK73" s="133">
        <v>-2.0098155700226723E-2</v>
      </c>
      <c r="CL73" s="133"/>
      <c r="CM73" s="133"/>
      <c r="CN73" s="134" cm="1">
        <f t="array" ref="CN73">INDEX(CB73:CM73,0,MATCH('PV IN'!$E$7,LkUP!CB$66:CM$66,0))</f>
        <v>-2.0098155700226723E-2</v>
      </c>
      <c r="CO73" s="133">
        <v>-4.9393737931937801E-3</v>
      </c>
      <c r="CP73" s="133">
        <v>-5.7145183889447523E-3</v>
      </c>
      <c r="CQ73" s="133">
        <v>-1.0800283489154417E-2</v>
      </c>
      <c r="CR73" s="133">
        <v>-6.6999373786816594E-3</v>
      </c>
      <c r="CS73" s="133">
        <v>-1.1647813063777011E-2</v>
      </c>
      <c r="CT73" s="133">
        <v>-1.6367228049755555E-2</v>
      </c>
      <c r="CU73" s="133">
        <v>1.0143543515120545E-2</v>
      </c>
      <c r="CV73" s="133">
        <v>-6.8222851835662264E-3</v>
      </c>
      <c r="CW73" s="133">
        <v>-6.3396449389214894E-3</v>
      </c>
      <c r="CX73" s="133">
        <v>-6.1137159568462199E-3</v>
      </c>
      <c r="CY73" s="133"/>
      <c r="CZ73" s="133"/>
      <c r="DA73" s="134" cm="1">
        <f t="array" ref="DA73">INDEX(CO73:CZ73,0,MATCH('PV IN'!$E$7,LkUP!CO$66:CZ$66,0))</f>
        <v>-6.1137159568462199E-3</v>
      </c>
      <c r="DB73" s="133">
        <v>-3.1986386067715734E-2</v>
      </c>
      <c r="DC73" s="133">
        <v>-2.234621173623336E-2</v>
      </c>
      <c r="DD73" s="133">
        <v>-1.4491154593290317E-2</v>
      </c>
      <c r="DE73" s="133">
        <v>-3.35080659617598E-2</v>
      </c>
      <c r="DF73" s="133">
        <v>-1.6943985627772881E-2</v>
      </c>
      <c r="DG73" s="133">
        <v>-3.3927908944405512E-2</v>
      </c>
      <c r="DH73" s="133">
        <v>3.4261352072534113E-2</v>
      </c>
      <c r="DI73" s="133">
        <v>-4.1090594829197642E-2</v>
      </c>
      <c r="DJ73" s="133">
        <v>-4.0352073635855905E-2</v>
      </c>
      <c r="DK73" s="133">
        <v>-1.2011818139020978E-2</v>
      </c>
      <c r="DL73" s="133"/>
      <c r="DM73" s="133"/>
      <c r="DN73" s="134" cm="1">
        <f t="array" ref="DN73">INDEX(DB73:DM73,0,MATCH('PV IN'!$E$7,LkUP!DB$66:DM$66,0))</f>
        <v>-1.2011818139020978E-2</v>
      </c>
    </row>
    <row r="74" spans="1:118" x14ac:dyDescent="0.25">
      <c r="A74">
        <v>2026</v>
      </c>
      <c r="B74" s="133">
        <v>-2.4514142173843873E-2</v>
      </c>
      <c r="C74" s="133">
        <v>-2.2487313587691599E-2</v>
      </c>
      <c r="D74" s="133">
        <v>-2.3118750979021226E-2</v>
      </c>
      <c r="E74" s="133">
        <v>-3.4890073554134912E-2</v>
      </c>
      <c r="F74" s="133">
        <v>-1.6650738846187625E-2</v>
      </c>
      <c r="G74" s="133">
        <v>-1.9845917634809779E-2</v>
      </c>
      <c r="H74" s="133">
        <v>-1.8522346095607062E-2</v>
      </c>
      <c r="I74" s="133">
        <v>-2.3549471946957723E-2</v>
      </c>
      <c r="J74" s="133">
        <v>-2.4726726615264493E-2</v>
      </c>
      <c r="K74" s="133">
        <v>-1.9013694504239322E-2</v>
      </c>
      <c r="L74" s="133"/>
      <c r="M74" s="133"/>
      <c r="N74" s="134" cm="1">
        <f t="array" ref="N74">INDEX(B74:M74,0,MATCH('PV IN'!$E$7,LkUP!B$66:M$66,0))</f>
        <v>-1.9013694504239322E-2</v>
      </c>
      <c r="O74" s="133">
        <v>-3.494931680535391E-2</v>
      </c>
      <c r="P74" s="133">
        <v>-3.4900397427050561E-2</v>
      </c>
      <c r="Q74" s="133">
        <v>-3.5895040888026662E-2</v>
      </c>
      <c r="R74" s="133">
        <v>-4.3121476047007612E-2</v>
      </c>
      <c r="S74" s="133">
        <v>-2.6439378142850856E-2</v>
      </c>
      <c r="T74" s="133">
        <v>-3.708384113833816E-2</v>
      </c>
      <c r="U74" s="133">
        <v>-2.1983867715948052E-2</v>
      </c>
      <c r="V74" s="133">
        <v>-2.8561541512323711E-2</v>
      </c>
      <c r="W74" s="133">
        <v>-3.036200041767605E-2</v>
      </c>
      <c r="X74" s="133">
        <v>-8.9984315626715911E-3</v>
      </c>
      <c r="Y74" s="133"/>
      <c r="Z74" s="133"/>
      <c r="AA74" s="134" cm="1">
        <f t="array" ref="AA74">INDEX(O74:Z74,0,MATCH('PV IN'!$E$7,LkUP!O$66:Z$66,0))</f>
        <v>-8.9984315626715911E-3</v>
      </c>
      <c r="AB74" s="133">
        <v>-2.1963669135785936E-2</v>
      </c>
      <c r="AC74" s="133">
        <v>-1.9513879061398863E-2</v>
      </c>
      <c r="AD74" s="133">
        <v>-1.6841576648479444E-2</v>
      </c>
      <c r="AE74" s="133">
        <v>-4.0954230497378986E-2</v>
      </c>
      <c r="AF74" s="133">
        <v>-1.0332271085728069E-2</v>
      </c>
      <c r="AG74" s="133">
        <v>-1.8276656870704854E-2</v>
      </c>
      <c r="AH74" s="133">
        <v>-1.3861142887165574E-2</v>
      </c>
      <c r="AI74" s="133">
        <v>-1.1378583573716315E-2</v>
      </c>
      <c r="AJ74" s="133">
        <v>-1.1170106629637964E-2</v>
      </c>
      <c r="AK74" s="133">
        <v>-1.233554778597541E-2</v>
      </c>
      <c r="AL74" s="133"/>
      <c r="AM74" s="133"/>
      <c r="AN74" s="134" cm="1">
        <f t="array" ref="AN74">INDEX(AB74:AM74,0,MATCH('PV IN'!$E$7,LkUP!AB$66:AM$66,0))</f>
        <v>-1.233554778597541E-2</v>
      </c>
      <c r="AO74" s="133">
        <v>-2.0437036558234131E-2</v>
      </c>
      <c r="AP74" s="133">
        <v>-2.2221868324748349E-2</v>
      </c>
      <c r="AQ74" s="133">
        <v>-1.962017931806654E-2</v>
      </c>
      <c r="AR74" s="133">
        <v>-2.8843187318478552E-2</v>
      </c>
      <c r="AS74" s="133">
        <v>-1.3618179791580209E-2</v>
      </c>
      <c r="AT74" s="133">
        <v>-1.9998283923672762E-2</v>
      </c>
      <c r="AU74" s="133">
        <v>-2.097604322418407E-2</v>
      </c>
      <c r="AV74" s="133">
        <v>-1.709521601325838E-2</v>
      </c>
      <c r="AW74" s="133">
        <v>-2.3064764309817673E-2</v>
      </c>
      <c r="AX74" s="133">
        <v>-1.6624499885541572E-2</v>
      </c>
      <c r="AY74" s="133"/>
      <c r="AZ74" s="133"/>
      <c r="BA74" s="134" cm="1">
        <f t="array" ref="BA74">INDEX(AO74:AZ74,0,MATCH('PV IN'!$E$7,LkUP!AO$66:AZ$66,0))</f>
        <v>-1.6624499885541572E-2</v>
      </c>
      <c r="BB74" s="133">
        <v>-1.4970287912707159E-2</v>
      </c>
      <c r="BC74" s="133">
        <v>-1.3203491845233405E-2</v>
      </c>
      <c r="BD74" s="133">
        <v>-1.6609421556751644E-2</v>
      </c>
      <c r="BE74" s="133">
        <v>-2.6374521143271969E-2</v>
      </c>
      <c r="BF74" s="133">
        <v>-2.3662975728875996E-3</v>
      </c>
      <c r="BG74" s="133">
        <v>-1.6156664425322403E-2</v>
      </c>
      <c r="BH74" s="133">
        <v>-3.778594553448358E-3</v>
      </c>
      <c r="BI74" s="133">
        <v>-4.3851289541943341E-3</v>
      </c>
      <c r="BJ74" s="133">
        <v>-1.3660051145902987E-2</v>
      </c>
      <c r="BK74" s="133">
        <v>-9.8022470820484115E-3</v>
      </c>
      <c r="BL74" s="133"/>
      <c r="BM74" s="133"/>
      <c r="BN74" s="134" cm="1">
        <f t="array" ref="BN74">INDEX(BB74:BM74,0,MATCH('PV IN'!$E$7,LkUP!BB$66:BM$66,0))</f>
        <v>-9.8022470820484115E-3</v>
      </c>
      <c r="BO74" s="133">
        <v>-1.5766472232855665E-2</v>
      </c>
      <c r="BP74" s="133">
        <v>-1.5440997846780116E-2</v>
      </c>
      <c r="BQ74" s="133">
        <v>-2.0938220902755406E-2</v>
      </c>
      <c r="BR74" s="133">
        <v>-2.3679020316102764E-2</v>
      </c>
      <c r="BS74" s="133">
        <v>-8.0249726840799316E-3</v>
      </c>
      <c r="BT74" s="133">
        <v>-1.481356773948901E-2</v>
      </c>
      <c r="BU74" s="133">
        <v>-5.821795105503927E-3</v>
      </c>
      <c r="BV74" s="133">
        <v>-1.3844308462169155E-2</v>
      </c>
      <c r="BW74" s="133">
        <v>-1.6397135341476254E-2</v>
      </c>
      <c r="BX74" s="133">
        <v>-1.1925954448587447E-2</v>
      </c>
      <c r="BY74" s="133"/>
      <c r="BZ74" s="133"/>
      <c r="CA74" s="134" cm="1">
        <f t="array" ref="CA74">INDEX(BO74:BZ74,0,MATCH('PV IN'!$E$7,LkUP!BO$66:BZ$66,0))</f>
        <v>-1.1925954448587447E-2</v>
      </c>
      <c r="CB74" s="133">
        <v>-2.38141790556342E-2</v>
      </c>
      <c r="CC74" s="133">
        <v>-2.3841090609276763E-2</v>
      </c>
      <c r="CD74" s="133">
        <v>-1.97127740939309E-2</v>
      </c>
      <c r="CE74" s="133">
        <v>-3.9805046205743551E-2</v>
      </c>
      <c r="CF74" s="133">
        <v>-1.4995294045133906E-2</v>
      </c>
      <c r="CG74" s="133">
        <v>-1.8115818965422553E-2</v>
      </c>
      <c r="CH74" s="133">
        <v>-2.3869391485145091E-2</v>
      </c>
      <c r="CI74" s="133">
        <v>-1.643096134395242E-2</v>
      </c>
      <c r="CJ74" s="133">
        <v>-2.1951649462203446E-2</v>
      </c>
      <c r="CK74" s="133">
        <v>-1.3173007388560747E-2</v>
      </c>
      <c r="CL74" s="133"/>
      <c r="CM74" s="133"/>
      <c r="CN74" s="134" cm="1">
        <f t="array" ref="CN74">INDEX(CB74:CM74,0,MATCH('PV IN'!$E$7,LkUP!CB$66:CM$66,0))</f>
        <v>-1.3173007388560747E-2</v>
      </c>
      <c r="CO74" s="133">
        <v>-1.7616473347427317E-2</v>
      </c>
      <c r="CP74" s="133">
        <v>-1.6400350672754225E-2</v>
      </c>
      <c r="CQ74" s="133">
        <v>-1.8248130052946059E-2</v>
      </c>
      <c r="CR74" s="133">
        <v>-3.7285924895885648E-2</v>
      </c>
      <c r="CS74" s="133">
        <v>-1.1437031570039264E-2</v>
      </c>
      <c r="CT74" s="133">
        <v>-1.7214076063083315E-2</v>
      </c>
      <c r="CU74" s="133">
        <v>-1.0844268836410594E-2</v>
      </c>
      <c r="CV74" s="133">
        <v>-1.3554406552534143E-2</v>
      </c>
      <c r="CW74" s="133">
        <v>-2.4066797246446271E-2</v>
      </c>
      <c r="CX74" s="133">
        <v>-8.4849585555882429E-3</v>
      </c>
      <c r="CY74" s="133"/>
      <c r="CZ74" s="133"/>
      <c r="DA74" s="134" cm="1">
        <f t="array" ref="DA74">INDEX(CO74:CZ74,0,MATCH('PV IN'!$E$7,LkUP!CO$66:CZ$66,0))</f>
        <v>-8.4849585555882429E-3</v>
      </c>
      <c r="DB74" s="133">
        <v>-3.2898243016030934E-2</v>
      </c>
      <c r="DC74" s="133">
        <v>-3.3165042087139864E-2</v>
      </c>
      <c r="DD74" s="133">
        <v>-3.1443878663162811E-2</v>
      </c>
      <c r="DE74" s="133">
        <v>-4.8345892928267534E-2</v>
      </c>
      <c r="DF74" s="133">
        <v>-2.3838530478398772E-2</v>
      </c>
      <c r="DG74" s="133">
        <v>-2.4908714581779557E-2</v>
      </c>
      <c r="DH74" s="133">
        <v>-2.8154015387323233E-2</v>
      </c>
      <c r="DI74" s="133">
        <v>-6.5712545737435747E-3</v>
      </c>
      <c r="DJ74" s="133">
        <v>-1.3198430492262256E-2</v>
      </c>
      <c r="DK74" s="133">
        <v>-1.8191050210531155E-2</v>
      </c>
      <c r="DL74" s="133"/>
      <c r="DM74" s="133"/>
      <c r="DN74" s="134" cm="1">
        <f t="array" ref="DN74">INDEX(DB74:DM74,0,MATCH('PV IN'!$E$7,LkUP!DB$66:DM$66,0))</f>
        <v>-1.8191050210531155E-2</v>
      </c>
    </row>
    <row r="75" spans="1:118" x14ac:dyDescent="0.25">
      <c r="A75">
        <v>2027</v>
      </c>
      <c r="B75" s="133">
        <v>-2.8024362759577287E-2</v>
      </c>
      <c r="C75" s="133">
        <v>-2.6289682428019968E-2</v>
      </c>
      <c r="D75" s="133">
        <v>-2.6148376035617385E-2</v>
      </c>
      <c r="E75" s="133">
        <v>-3.2749691336294837E-2</v>
      </c>
      <c r="F75" s="133">
        <v>-1.6155923839819241E-2</v>
      </c>
      <c r="G75" s="133">
        <v>-2.1158328969610195E-2</v>
      </c>
      <c r="H75" s="133">
        <v>-2.3128990632250705E-2</v>
      </c>
      <c r="I75" s="133">
        <v>-1.717031799183184E-2</v>
      </c>
      <c r="J75" s="133">
        <v>-2.5326966005996425E-2</v>
      </c>
      <c r="K75" s="133">
        <v>-1.1335286753491153E-2</v>
      </c>
      <c r="L75" s="133"/>
      <c r="M75" s="133"/>
      <c r="N75" s="134" cm="1">
        <f t="array" ref="N75">INDEX(B75:M75,0,MATCH('PV IN'!$E$7,LkUP!B$66:M$66,0))</f>
        <v>-1.1335286753491153E-2</v>
      </c>
      <c r="O75" s="133">
        <v>-2.322236863185493E-2</v>
      </c>
      <c r="P75" s="133">
        <v>-2.0768118660271336E-2</v>
      </c>
      <c r="Q75" s="133">
        <v>-2.3455959102327117E-2</v>
      </c>
      <c r="R75" s="133">
        <v>-2.9497788294296595E-2</v>
      </c>
      <c r="S75" s="133">
        <v>-8.2582545900784857E-3</v>
      </c>
      <c r="T75" s="133">
        <v>-1.1471098265417246E-2</v>
      </c>
      <c r="U75" s="133">
        <v>-1.6277624033916149E-2</v>
      </c>
      <c r="V75" s="133">
        <v>-1.0811901357602481E-2</v>
      </c>
      <c r="W75" s="133">
        <v>-1.600120925506095E-2</v>
      </c>
      <c r="X75" s="133">
        <v>4.7274159032933776E-4</v>
      </c>
      <c r="Y75" s="133"/>
      <c r="Z75" s="133"/>
      <c r="AA75" s="134" cm="1">
        <f t="array" ref="AA75">INDEX(O75:Z75,0,MATCH('PV IN'!$E$7,LkUP!O$66:Z$66,0))</f>
        <v>4.7274159032933776E-4</v>
      </c>
      <c r="AB75" s="133">
        <v>-2.3856686626677961E-3</v>
      </c>
      <c r="AC75" s="133">
        <v>-1.9028783441684527E-4</v>
      </c>
      <c r="AD75" s="133">
        <v>-4.8776196424793125E-3</v>
      </c>
      <c r="AE75" s="133">
        <v>-5.6353769402614183E-3</v>
      </c>
      <c r="AF75" s="133">
        <v>-4.471034854415276E-3</v>
      </c>
      <c r="AG75" s="133">
        <v>-3.6240619890994721E-3</v>
      </c>
      <c r="AH75" s="133">
        <v>-1.1410366805468232E-2</v>
      </c>
      <c r="AI75" s="133">
        <v>-6.757329338512516E-4</v>
      </c>
      <c r="AJ75" s="133">
        <v>-4.2429850626342757E-3</v>
      </c>
      <c r="AK75" s="133">
        <v>1.3256904800613765E-3</v>
      </c>
      <c r="AL75" s="133"/>
      <c r="AM75" s="133"/>
      <c r="AN75" s="134" cm="1">
        <f t="array" ref="AN75">INDEX(AB75:AM75,0,MATCH('PV IN'!$E$7,LkUP!AB$66:AM$66,0))</f>
        <v>1.3256904800613765E-3</v>
      </c>
      <c r="AO75" s="133">
        <v>-1.4889461308263819E-2</v>
      </c>
      <c r="AP75" s="133">
        <v>-1.2696687418347129E-2</v>
      </c>
      <c r="AQ75" s="133">
        <v>-1.4513677449480887E-2</v>
      </c>
      <c r="AR75" s="133">
        <v>-1.6890305295117272E-2</v>
      </c>
      <c r="AS75" s="133">
        <v>-7.9707280910837688E-3</v>
      </c>
      <c r="AT75" s="133">
        <v>-7.5139746758907527E-3</v>
      </c>
      <c r="AU75" s="133">
        <v>-1.4802728336224764E-2</v>
      </c>
      <c r="AV75" s="133">
        <v>-1.0254274108354467E-2</v>
      </c>
      <c r="AW75" s="133">
        <v>-2.0012895142299144E-2</v>
      </c>
      <c r="AX75" s="133">
        <v>-4.0567185319023017E-3</v>
      </c>
      <c r="AY75" s="133"/>
      <c r="AZ75" s="133"/>
      <c r="BA75" s="134" cm="1">
        <f t="array" ref="BA75">INDEX(AO75:AZ75,0,MATCH('PV IN'!$E$7,LkUP!AO$66:AZ$66,0))</f>
        <v>-4.0567185319023017E-3</v>
      </c>
      <c r="BB75" s="133">
        <v>-5.8690105623294851E-3</v>
      </c>
      <c r="BC75" s="133">
        <v>-4.1521195540574667E-3</v>
      </c>
      <c r="BD75" s="133">
        <v>-7.0083144465843492E-3</v>
      </c>
      <c r="BE75" s="133">
        <v>-9.2834347294627438E-3</v>
      </c>
      <c r="BF75" s="133">
        <v>-2.7463287610969057E-3</v>
      </c>
      <c r="BG75" s="133">
        <v>1.7944987627823537E-4</v>
      </c>
      <c r="BH75" s="133">
        <v>-3.7283989787367097E-3</v>
      </c>
      <c r="BI75" s="133">
        <v>-2.2026726385998368E-3</v>
      </c>
      <c r="BJ75" s="133">
        <v>-3.6480867949391696E-3</v>
      </c>
      <c r="BK75" s="133">
        <v>2.303302265274395E-3</v>
      </c>
      <c r="BL75" s="133"/>
      <c r="BM75" s="133"/>
      <c r="BN75" s="134" cm="1">
        <f t="array" ref="BN75">INDEX(BB75:BM75,0,MATCH('PV IN'!$E$7,LkUP!BB$66:BM$66,0))</f>
        <v>2.303302265274395E-3</v>
      </c>
      <c r="BO75" s="133">
        <v>-6.5091637708511391E-3</v>
      </c>
      <c r="BP75" s="133">
        <v>-6.1579393016269199E-3</v>
      </c>
      <c r="BQ75" s="133">
        <v>-8.8842834345953855E-3</v>
      </c>
      <c r="BR75" s="133">
        <v>-1.3089131057470071E-2</v>
      </c>
      <c r="BS75" s="133">
        <v>-1.0521293829358763E-3</v>
      </c>
      <c r="BT75" s="133">
        <v>-2.0073857472783815E-3</v>
      </c>
      <c r="BU75" s="133">
        <v>-2.5367886837285298E-3</v>
      </c>
      <c r="BV75" s="133">
        <v>-5.0690077578929944E-3</v>
      </c>
      <c r="BW75" s="133">
        <v>-7.1456549437435377E-3</v>
      </c>
      <c r="BX75" s="133">
        <v>8.7950920606540812E-4</v>
      </c>
      <c r="BY75" s="133"/>
      <c r="BZ75" s="133"/>
      <c r="CA75" s="134" cm="1">
        <f t="array" ref="CA75">INDEX(BO75:BZ75,0,MATCH('PV IN'!$E$7,LkUP!BO$66:BZ$66,0))</f>
        <v>8.7950920606540812E-4</v>
      </c>
      <c r="CB75" s="133">
        <v>-2.4281541918336126E-2</v>
      </c>
      <c r="CC75" s="133">
        <v>-2.2919213915761117E-2</v>
      </c>
      <c r="CD75" s="133">
        <v>-1.724336069640001E-2</v>
      </c>
      <c r="CE75" s="133">
        <v>-3.1698488596136318E-2</v>
      </c>
      <c r="CF75" s="133">
        <v>-1.5101009864893739E-2</v>
      </c>
      <c r="CG75" s="133">
        <v>-1.5492172753694746E-2</v>
      </c>
      <c r="CH75" s="133">
        <v>-1.6479462949800756E-2</v>
      </c>
      <c r="CI75" s="133">
        <v>-1.7152024757661869E-2</v>
      </c>
      <c r="CJ75" s="133">
        <v>-2.4560483675449347E-2</v>
      </c>
      <c r="CK75" s="133">
        <v>-7.7293913824282709E-3</v>
      </c>
      <c r="CL75" s="133"/>
      <c r="CM75" s="133"/>
      <c r="CN75" s="134" cm="1">
        <f t="array" ref="CN75">INDEX(CB75:CM75,0,MATCH('PV IN'!$E$7,LkUP!CB$66:CM$66,0))</f>
        <v>-7.7293913824282709E-3</v>
      </c>
      <c r="CO75" s="133">
        <v>-1.1393441125278139E-2</v>
      </c>
      <c r="CP75" s="133">
        <v>-9.3919918277727086E-3</v>
      </c>
      <c r="CQ75" s="133">
        <v>-1.0724855392504413E-2</v>
      </c>
      <c r="CR75" s="133">
        <v>-2.1496359397877016E-2</v>
      </c>
      <c r="CS75" s="133">
        <v>-3.0719753053184834E-3</v>
      </c>
      <c r="CT75" s="133">
        <v>-4.984662202675373E-3</v>
      </c>
      <c r="CU75" s="133">
        <v>-5.0431091799582632E-3</v>
      </c>
      <c r="CV75" s="133">
        <v>-5.1845674049082963E-3</v>
      </c>
      <c r="CW75" s="133">
        <v>-4.588687922024829E-3</v>
      </c>
      <c r="CX75" s="133">
        <v>2.3576562942846623E-3</v>
      </c>
      <c r="CY75" s="133"/>
      <c r="CZ75" s="133"/>
      <c r="DA75" s="134" cm="1">
        <f t="array" ref="DA75">INDEX(CO75:CZ75,0,MATCH('PV IN'!$E$7,LkUP!CO$66:CZ$66,0))</f>
        <v>2.3576562942846623E-3</v>
      </c>
      <c r="DB75" s="133">
        <v>-2.2701787980402004E-2</v>
      </c>
      <c r="DC75" s="133">
        <v>-1.5194010575715866E-2</v>
      </c>
      <c r="DD75" s="133">
        <v>-3.8218756957419608E-2</v>
      </c>
      <c r="DE75" s="133">
        <v>-3.1106741469944188E-2</v>
      </c>
      <c r="DF75" s="133">
        <v>-7.5569850607812832E-3</v>
      </c>
      <c r="DG75" s="133">
        <v>-1.8617609467111083E-2</v>
      </c>
      <c r="DH75" s="133">
        <v>-2.1122758928844323E-2</v>
      </c>
      <c r="DI75" s="133">
        <v>-7.0721269552405965E-3</v>
      </c>
      <c r="DJ75" s="133">
        <v>-1.2770089450381855E-2</v>
      </c>
      <c r="DK75" s="133">
        <v>2.3567868575567674E-3</v>
      </c>
      <c r="DL75" s="133"/>
      <c r="DM75" s="133"/>
      <c r="DN75" s="134" cm="1">
        <f t="array" ref="DN75">INDEX(DB75:DM75,0,MATCH('PV IN'!$E$7,LkUP!DB$66:DM$66,0))</f>
        <v>2.3567868575567674E-3</v>
      </c>
    </row>
    <row r="76" spans="1:118" x14ac:dyDescent="0.25">
      <c r="A76">
        <v>2028</v>
      </c>
      <c r="B76" s="133">
        <v>-1.5804507538284353E-2</v>
      </c>
      <c r="C76" s="133">
        <v>-1.4981093305393337E-2</v>
      </c>
      <c r="D76" s="133">
        <v>-1.6084045503954356E-2</v>
      </c>
      <c r="E76" s="133">
        <v>-1.6228379404772633E-2</v>
      </c>
      <c r="F76" s="133">
        <v>-1.4042268602415029E-2</v>
      </c>
      <c r="G76" s="133">
        <v>-1.152345532025887E-2</v>
      </c>
      <c r="H76" s="133">
        <v>-1.7519053746896478E-2</v>
      </c>
      <c r="I76" s="133">
        <v>-1.0364126025151342E-2</v>
      </c>
      <c r="J76" s="133">
        <v>-1.8847613330590894E-2</v>
      </c>
      <c r="K76" s="133">
        <v>-2.9046503650019227E-3</v>
      </c>
      <c r="L76" s="133"/>
      <c r="M76" s="133"/>
      <c r="N76" s="134" cm="1">
        <f t="array" ref="N76">INDEX(B76:M76,0,MATCH('PV IN'!$E$7,LkUP!B$66:M$66,0))</f>
        <v>-2.9046503650019227E-3</v>
      </c>
      <c r="O76" s="133">
        <v>-1.4499341553683679E-2</v>
      </c>
      <c r="P76" s="133">
        <v>-1.3852037212091753E-2</v>
      </c>
      <c r="Q76" s="133">
        <v>-1.1473928127224271E-2</v>
      </c>
      <c r="R76" s="133">
        <v>-2.6980143917818531E-2</v>
      </c>
      <c r="S76" s="133">
        <v>-5.6314640817200345E-3</v>
      </c>
      <c r="T76" s="133">
        <v>-1.3300333879228295E-2</v>
      </c>
      <c r="U76" s="133">
        <v>-6.802053859609085E-3</v>
      </c>
      <c r="V76" s="133">
        <v>-1.0199773188835578E-2</v>
      </c>
      <c r="W76" s="133">
        <v>-1.7021214782404086E-2</v>
      </c>
      <c r="X76" s="133">
        <v>2.7845683378129259E-3</v>
      </c>
      <c r="Y76" s="133"/>
      <c r="Z76" s="133"/>
      <c r="AA76" s="134" cm="1">
        <f t="array" ref="AA76">INDEX(O76:Z76,0,MATCH('PV IN'!$E$7,LkUP!O$66:Z$66,0))</f>
        <v>2.7845683378129259E-3</v>
      </c>
      <c r="AB76" s="133">
        <v>-3.9012763062433006E-3</v>
      </c>
      <c r="AC76" s="133">
        <v>-8.27109617910699E-3</v>
      </c>
      <c r="AD76" s="133">
        <v>-6.9710542790844465E-3</v>
      </c>
      <c r="AE76" s="133">
        <v>-8.4693666937916759E-3</v>
      </c>
      <c r="AF76" s="133">
        <v>-5.3250946826636425E-3</v>
      </c>
      <c r="AG76" s="133">
        <v>-1.1560165676526053E-2</v>
      </c>
      <c r="AH76" s="133">
        <v>1.7332937211071832E-3</v>
      </c>
      <c r="AI76" s="133">
        <v>2.8323379481914163E-4</v>
      </c>
      <c r="AJ76" s="133">
        <v>-1.2807740172368146E-2</v>
      </c>
      <c r="AK76" s="133">
        <v>9.9886584313204265E-3</v>
      </c>
      <c r="AL76" s="133"/>
      <c r="AM76" s="133"/>
      <c r="AN76" s="134" cm="1">
        <f t="array" ref="AN76">INDEX(AB76:AM76,0,MATCH('PV IN'!$E$7,LkUP!AB$66:AM$66,0))</f>
        <v>9.9886584313204265E-3</v>
      </c>
      <c r="AO76" s="133">
        <v>-1.5858115261527451E-2</v>
      </c>
      <c r="AP76" s="133">
        <v>-1.4725963377012666E-2</v>
      </c>
      <c r="AQ76" s="133">
        <v>-1.2523836210527753E-2</v>
      </c>
      <c r="AR76" s="133">
        <v>-1.598252571691439E-2</v>
      </c>
      <c r="AS76" s="133">
        <v>-8.4441726173820047E-3</v>
      </c>
      <c r="AT76" s="133">
        <v>-1.1510692321609834E-2</v>
      </c>
      <c r="AU76" s="133">
        <v>-1.3590603684623516E-2</v>
      </c>
      <c r="AV76" s="133">
        <v>-1.2226992955496225E-2</v>
      </c>
      <c r="AW76" s="133">
        <v>-2.0323539119368152E-2</v>
      </c>
      <c r="AX76" s="133">
        <v>6.1258698450712126E-4</v>
      </c>
      <c r="AY76" s="133"/>
      <c r="AZ76" s="133"/>
      <c r="BA76" s="134" cm="1">
        <f t="array" ref="BA76">INDEX(AO76:AZ76,0,MATCH('PV IN'!$E$7,LkUP!AO$66:AZ$66,0))</f>
        <v>6.1258698450712126E-4</v>
      </c>
      <c r="BB76" s="133">
        <v>-3.1039943398968603E-5</v>
      </c>
      <c r="BC76" s="133">
        <v>-1.949913050375228E-3</v>
      </c>
      <c r="BD76" s="133">
        <v>-4.222710585521477E-3</v>
      </c>
      <c r="BE76" s="133">
        <v>-5.079839391856222E-3</v>
      </c>
      <c r="BF76" s="133">
        <v>1.5619266422351886E-3</v>
      </c>
      <c r="BG76" s="133">
        <v>-2.8457593007517015E-3</v>
      </c>
      <c r="BH76" s="133">
        <v>5.170258596455795E-3</v>
      </c>
      <c r="BI76" s="133">
        <v>4.0956214933462044E-4</v>
      </c>
      <c r="BJ76" s="133">
        <v>-5.1794761497687232E-3</v>
      </c>
      <c r="BK76" s="133">
        <v>4.7110149037244697E-3</v>
      </c>
      <c r="BL76" s="133"/>
      <c r="BM76" s="133"/>
      <c r="BN76" s="134" cm="1">
        <f t="array" ref="BN76">INDEX(BB76:BM76,0,MATCH('PV IN'!$E$7,LkUP!BB$66:BM$66,0))</f>
        <v>4.7110149037244697E-3</v>
      </c>
      <c r="BO76" s="133">
        <v>-3.4048236125239621E-3</v>
      </c>
      <c r="BP76" s="133">
        <v>-6.5862685254261151E-3</v>
      </c>
      <c r="BQ76" s="133">
        <v>-7.8043464753989409E-3</v>
      </c>
      <c r="BR76" s="133">
        <v>-1.6283926447343108E-2</v>
      </c>
      <c r="BS76" s="133">
        <v>-1.1084328968687803E-3</v>
      </c>
      <c r="BT76" s="133">
        <v>-4.2491434128411019E-3</v>
      </c>
      <c r="BU76" s="133">
        <v>-9.2166126609304656E-3</v>
      </c>
      <c r="BV76" s="133">
        <v>-3.3948856815531657E-3</v>
      </c>
      <c r="BW76" s="133">
        <v>-7.9235881107023749E-3</v>
      </c>
      <c r="BX76" s="133">
        <v>2.3906917866205546E-3</v>
      </c>
      <c r="BY76" s="133"/>
      <c r="BZ76" s="133"/>
      <c r="CA76" s="134" cm="1">
        <f t="array" ref="CA76">INDEX(BO76:BZ76,0,MATCH('PV IN'!$E$7,LkUP!BO$66:BZ$66,0))</f>
        <v>2.3906917866205546E-3</v>
      </c>
      <c r="CB76" s="133">
        <v>-1.9757097027613017E-2</v>
      </c>
      <c r="CC76" s="133">
        <v>-1.8985175381264683E-2</v>
      </c>
      <c r="CD76" s="133">
        <v>-1.9004857129277328E-2</v>
      </c>
      <c r="CE76" s="133">
        <v>-3.0595850878359095E-2</v>
      </c>
      <c r="CF76" s="133">
        <v>-1.3874553561559195E-2</v>
      </c>
      <c r="CG76" s="133">
        <v>-1.6433300559548693E-2</v>
      </c>
      <c r="CH76" s="133">
        <v>-6.6478509864911156E-3</v>
      </c>
      <c r="CI76" s="133">
        <v>-1.2913627608214595E-2</v>
      </c>
      <c r="CJ76" s="133">
        <v>-2.0578768939809113E-2</v>
      </c>
      <c r="CK76" s="133">
        <v>-2.3297787909362139E-3</v>
      </c>
      <c r="CL76" s="133"/>
      <c r="CM76" s="133"/>
      <c r="CN76" s="134" cm="1">
        <f t="array" ref="CN76">INDEX(CB76:CM76,0,MATCH('PV IN'!$E$7,LkUP!CB$66:CM$66,0))</f>
        <v>-2.3297787909362139E-3</v>
      </c>
      <c r="CO76" s="133">
        <v>1.9747974939324136E-3</v>
      </c>
      <c r="CP76" s="133">
        <v>2.2554840549768767E-3</v>
      </c>
      <c r="CQ76" s="133">
        <v>6.0731798898047886E-3</v>
      </c>
      <c r="CR76" s="133">
        <v>-1.7655082098124687E-3</v>
      </c>
      <c r="CS76" s="133">
        <v>1.9287362036133724E-3</v>
      </c>
      <c r="CT76" s="133">
        <v>4.9419195918545128E-3</v>
      </c>
      <c r="CU76" s="133">
        <v>1.7799054297731782E-3</v>
      </c>
      <c r="CV76" s="133">
        <v>-4.1114296162687901E-3</v>
      </c>
      <c r="CW76" s="133">
        <v>4.837385055273119E-3</v>
      </c>
      <c r="CX76" s="133">
        <v>3.1517041022019695E-3</v>
      </c>
      <c r="CY76" s="133"/>
      <c r="CZ76" s="133"/>
      <c r="DA76" s="134" cm="1">
        <f t="array" ref="DA76">INDEX(CO76:CZ76,0,MATCH('PV IN'!$E$7,LkUP!CO$66:CZ$66,0))</f>
        <v>3.1517041022019695E-3</v>
      </c>
      <c r="DB76" s="133">
        <v>-2.1911104408176216E-2</v>
      </c>
      <c r="DC76" s="133">
        <v>-5.5571762323046925E-3</v>
      </c>
      <c r="DD76" s="133">
        <v>6.7784470740225302E-3</v>
      </c>
      <c r="DE76" s="133">
        <v>-1.6787733046002111E-2</v>
      </c>
      <c r="DF76" s="133">
        <v>1.9355411840089741E-3</v>
      </c>
      <c r="DG76" s="133">
        <v>-3.0223412942978853E-2</v>
      </c>
      <c r="DH76" s="133">
        <v>-1.6201427270903315E-2</v>
      </c>
      <c r="DI76" s="133">
        <v>-1.9178709761182037E-3</v>
      </c>
      <c r="DJ76" s="133">
        <v>-6.6778671069688059E-3</v>
      </c>
      <c r="DK76" s="133">
        <v>9.6050681702140803E-3</v>
      </c>
      <c r="DL76" s="133"/>
      <c r="DM76" s="133"/>
      <c r="DN76" s="134" cm="1">
        <f t="array" ref="DN76">INDEX(DB76:DM76,0,MATCH('PV IN'!$E$7,LkUP!DB$66:DM$66,0))</f>
        <v>9.6050681702140803E-3</v>
      </c>
    </row>
    <row r="77" spans="1:118" x14ac:dyDescent="0.25">
      <c r="A77">
        <v>2029</v>
      </c>
      <c r="B77" s="133">
        <v>-8.1146243742063178E-3</v>
      </c>
      <c r="C77" s="133">
        <v>-9.7263115061799136E-3</v>
      </c>
      <c r="D77" s="133">
        <v>-1.1361814695780608E-2</v>
      </c>
      <c r="E77" s="133">
        <v>-9.1377844816747187E-3</v>
      </c>
      <c r="F77" s="133">
        <v>-1.0668028508127139E-2</v>
      </c>
      <c r="G77" s="133">
        <v>-1.0814033515041566E-2</v>
      </c>
      <c r="H77" s="133">
        <v>-2.0522668191564064E-2</v>
      </c>
      <c r="I77" s="133">
        <v>-7.0975177811970205E-3</v>
      </c>
      <c r="J77" s="133">
        <v>-1.2382988328527616E-2</v>
      </c>
      <c r="K77" s="133">
        <v>2.6535894690969584E-3</v>
      </c>
      <c r="L77" s="133"/>
      <c r="M77" s="133"/>
      <c r="N77" s="134" cm="1">
        <f t="array" ref="N77">INDEX(B77:M77,0,MATCH('PV IN'!$E$7,LkUP!B$66:M$66,0))</f>
        <v>2.6535894690969584E-3</v>
      </c>
      <c r="O77" s="133">
        <v>-6.2701983819128974E-3</v>
      </c>
      <c r="P77" s="133">
        <v>-6.6655674101922932E-3</v>
      </c>
      <c r="Q77" s="133">
        <v>-9.6095455472117904E-3</v>
      </c>
      <c r="R77" s="133">
        <v>-9.0240830240130056E-3</v>
      </c>
      <c r="S77" s="133">
        <v>-8.7040502529427671E-3</v>
      </c>
      <c r="T77" s="133">
        <v>-5.3145097562380039E-3</v>
      </c>
      <c r="U77" s="133">
        <v>1.3372165934456606E-2</v>
      </c>
      <c r="V77" s="133">
        <v>6.2896945548795394E-4</v>
      </c>
      <c r="W77" s="133">
        <v>-9.4371952001126354E-3</v>
      </c>
      <c r="X77" s="133">
        <v>4.6564629104842619E-3</v>
      </c>
      <c r="Y77" s="133"/>
      <c r="Z77" s="133"/>
      <c r="AA77" s="134" cm="1">
        <f t="array" ref="AA77">INDEX(O77:Z77,0,MATCH('PV IN'!$E$7,LkUP!O$66:Z$66,0))</f>
        <v>4.6564629104842619E-3</v>
      </c>
      <c r="AB77" s="133">
        <v>1.6294051615531424E-4</v>
      </c>
      <c r="AC77" s="133">
        <v>7.4443786706430252E-3</v>
      </c>
      <c r="AD77" s="133">
        <v>-1.7084674183425008E-3</v>
      </c>
      <c r="AE77" s="133">
        <v>-4.9666638375226316E-3</v>
      </c>
      <c r="AF77" s="133">
        <v>2.1360670705404218E-3</v>
      </c>
      <c r="AG77" s="133">
        <v>1.4554880178127758E-2</v>
      </c>
      <c r="AH77" s="133">
        <v>-2.8550756316653345E-3</v>
      </c>
      <c r="AI77" s="133">
        <v>-6.7320099379706245E-3</v>
      </c>
      <c r="AJ77" s="133">
        <v>-5.1822501142337017E-3</v>
      </c>
      <c r="AK77" s="133">
        <v>9.5219076650139784E-4</v>
      </c>
      <c r="AL77" s="133"/>
      <c r="AM77" s="133"/>
      <c r="AN77" s="134" cm="1">
        <f t="array" ref="AN77">INDEX(AB77:AM77,0,MATCH('PV IN'!$E$7,LkUP!AB$66:AM$66,0))</f>
        <v>9.5219076650139784E-4</v>
      </c>
      <c r="AO77" s="133">
        <v>4.5869983082917192E-4</v>
      </c>
      <c r="AP77" s="133">
        <v>-1.7321204588281535E-4</v>
      </c>
      <c r="AQ77" s="133">
        <v>-1.50265284438736E-4</v>
      </c>
      <c r="AR77" s="133">
        <v>-3.8280348641511848E-3</v>
      </c>
      <c r="AS77" s="133">
        <v>-1.5244415018483381E-3</v>
      </c>
      <c r="AT77" s="133">
        <v>3.1121152914858952E-3</v>
      </c>
      <c r="AU77" s="133">
        <v>-1.6504532231182325E-3</v>
      </c>
      <c r="AV77" s="133">
        <v>-4.1408107590612028E-3</v>
      </c>
      <c r="AW77" s="133">
        <v>-4.6279376188867374E-3</v>
      </c>
      <c r="AX77" s="133">
        <v>5.4826653546262366E-3</v>
      </c>
      <c r="AY77" s="133"/>
      <c r="AZ77" s="133"/>
      <c r="BA77" s="134" cm="1">
        <f t="array" ref="BA77">INDEX(AO77:AZ77,0,MATCH('PV IN'!$E$7,LkUP!AO$66:AZ$66,0))</f>
        <v>5.4826653546262366E-3</v>
      </c>
      <c r="BB77" s="133">
        <v>-8.4130768155732546E-4</v>
      </c>
      <c r="BC77" s="133">
        <v>6.6285820990800003E-3</v>
      </c>
      <c r="BD77" s="133">
        <v>-2.7972696332606347E-3</v>
      </c>
      <c r="BE77" s="133">
        <v>-8.1316061285061731E-4</v>
      </c>
      <c r="BF77" s="133">
        <v>3.0320330967387394E-3</v>
      </c>
      <c r="BG77" s="133">
        <v>5.6340816290616465E-3</v>
      </c>
      <c r="BH77" s="133">
        <v>-2.0362143569063913E-3</v>
      </c>
      <c r="BI77" s="133">
        <v>9.6350065374137435E-3</v>
      </c>
      <c r="BJ77" s="133">
        <v>-8.5814794278105174E-3</v>
      </c>
      <c r="BK77" s="133">
        <v>1.0117755862401216E-2</v>
      </c>
      <c r="BL77" s="133"/>
      <c r="BM77" s="133"/>
      <c r="BN77" s="134" cm="1">
        <f t="array" ref="BN77">INDEX(BB77:BM77,0,MATCH('PV IN'!$E$7,LkUP!BB$66:BM$66,0))</f>
        <v>1.0117755862401216E-2</v>
      </c>
      <c r="BO77" s="133">
        <v>-4.6836222674223943E-3</v>
      </c>
      <c r="BP77" s="133">
        <v>-1.0038106609692588E-2</v>
      </c>
      <c r="BQ77" s="133">
        <v>-6.6950536936316437E-3</v>
      </c>
      <c r="BR77" s="133">
        <v>-9.5754527510626113E-3</v>
      </c>
      <c r="BS77" s="133">
        <v>-7.4926042411934833E-4</v>
      </c>
      <c r="BT77" s="133">
        <v>-1.0121652892682831E-2</v>
      </c>
      <c r="BU77" s="133">
        <v>-3.5114145880438632E-3</v>
      </c>
      <c r="BV77" s="133">
        <v>-1.0804008039754765E-3</v>
      </c>
      <c r="BW77" s="133">
        <v>-6.8807392028690205E-3</v>
      </c>
      <c r="BX77" s="133">
        <v>4.2437002727582678E-3</v>
      </c>
      <c r="BY77" s="133"/>
      <c r="BZ77" s="133"/>
      <c r="CA77" s="134" cm="1">
        <f t="array" ref="CA77">INDEX(BO77:BZ77,0,MATCH('PV IN'!$E$7,LkUP!BO$66:BZ$66,0))</f>
        <v>4.2437002727582678E-3</v>
      </c>
      <c r="CB77" s="133">
        <v>-1.0534776059112159E-2</v>
      </c>
      <c r="CC77" s="133">
        <v>-9.2874100373580258E-3</v>
      </c>
      <c r="CD77" s="133">
        <v>-1.3353513694722791E-2</v>
      </c>
      <c r="CE77" s="133">
        <v>-1.4976807292848828E-2</v>
      </c>
      <c r="CF77" s="133">
        <v>-7.5948726244943268E-3</v>
      </c>
      <c r="CG77" s="133">
        <v>-5.6087442297502645E-3</v>
      </c>
      <c r="CH77" s="133">
        <v>-3.5399797298792486E-3</v>
      </c>
      <c r="CI77" s="133">
        <v>-7.419581074610131E-4</v>
      </c>
      <c r="CJ77" s="133">
        <v>-1.3838403919228671E-2</v>
      </c>
      <c r="CK77" s="133">
        <v>4.8492137745129666E-3</v>
      </c>
      <c r="CL77" s="133"/>
      <c r="CM77" s="133"/>
      <c r="CN77" s="134" cm="1">
        <f t="array" ref="CN77">INDEX(CB77:CM77,0,MATCH('PV IN'!$E$7,LkUP!CB$66:CM$66,0))</f>
        <v>4.8492137745129666E-3</v>
      </c>
      <c r="CO77" s="133">
        <v>6.9481426048915865E-4</v>
      </c>
      <c r="CP77" s="133">
        <v>-6.501866718471287E-3</v>
      </c>
      <c r="CQ77" s="133">
        <v>6.1346314225647356E-3</v>
      </c>
      <c r="CR77" s="133">
        <v>-2.6147571808903835E-3</v>
      </c>
      <c r="CS77" s="133">
        <v>-3.2758816100222918E-3</v>
      </c>
      <c r="CT77" s="133">
        <v>-2.3701475147846788E-3</v>
      </c>
      <c r="CU77" s="133">
        <v>-1.7254841330268909E-3</v>
      </c>
      <c r="CV77" s="133">
        <v>-4.5466694067504212E-3</v>
      </c>
      <c r="CW77" s="133">
        <v>6.1420858982065415E-3</v>
      </c>
      <c r="CX77" s="133">
        <v>-2.2318131036238842E-3</v>
      </c>
      <c r="CY77" s="133"/>
      <c r="CZ77" s="133"/>
      <c r="DA77" s="134" cm="1">
        <f t="array" ref="DA77">INDEX(CO77:CZ77,0,MATCH('PV IN'!$E$7,LkUP!CO$66:CZ$66,0))</f>
        <v>-2.2318131036238842E-3</v>
      </c>
      <c r="DB77" s="133">
        <v>-3.1690213087567755E-3</v>
      </c>
      <c r="DC77" s="133">
        <v>-1.2552042572630645E-2</v>
      </c>
      <c r="DD77" s="133">
        <v>-1.7828745777453251E-2</v>
      </c>
      <c r="DE77" s="133">
        <v>-7.0283508787638074E-3</v>
      </c>
      <c r="DF77" s="133">
        <v>-2.1497507473277284E-2</v>
      </c>
      <c r="DG77" s="133">
        <v>-2.4092451224133494E-3</v>
      </c>
      <c r="DH77" s="133">
        <v>1.7630836275264058E-2</v>
      </c>
      <c r="DI77" s="133">
        <v>-9.6472461652547404E-4</v>
      </c>
      <c r="DJ77" s="133">
        <v>-1.9504476746392056E-2</v>
      </c>
      <c r="DK77" s="133">
        <v>9.8882417645570573E-3</v>
      </c>
      <c r="DL77" s="133"/>
      <c r="DM77" s="133"/>
      <c r="DN77" s="134" cm="1">
        <f t="array" ref="DN77">INDEX(DB77:DM77,0,MATCH('PV IN'!$E$7,LkUP!DB$66:DM$66,0))</f>
        <v>9.8882417645570573E-3</v>
      </c>
    </row>
    <row r="78" spans="1:118" x14ac:dyDescent="0.25">
      <c r="A78">
        <v>2030</v>
      </c>
      <c r="B78" s="133">
        <v>-5.5717841269807182E-3</v>
      </c>
      <c r="C78" s="133">
        <v>-5.4141462651739487E-3</v>
      </c>
      <c r="D78" s="133">
        <v>-8.5548863279219789E-3</v>
      </c>
      <c r="E78" s="133">
        <v>-8.665695915577901E-3</v>
      </c>
      <c r="F78" s="133">
        <v>-6.8134411739552833E-3</v>
      </c>
      <c r="G78" s="133">
        <v>-6.0889155469518235E-3</v>
      </c>
      <c r="H78" s="133">
        <v>-5.9185635482355056E-3</v>
      </c>
      <c r="I78" s="133">
        <v>-2.62576462715632E-3</v>
      </c>
      <c r="J78" s="133">
        <v>-1.2256762957069199E-2</v>
      </c>
      <c r="K78" s="133">
        <v>4.3732014898194638E-3</v>
      </c>
      <c r="L78" s="133"/>
      <c r="M78" s="133"/>
      <c r="N78" s="134" cm="1">
        <f t="array" ref="N78">INDEX(B78:M78,0,MATCH('PV IN'!$E$7,LkUP!B$66:M$66,0))</f>
        <v>4.3732014898194638E-3</v>
      </c>
      <c r="O78" s="133">
        <v>-6.7951706223552105E-3</v>
      </c>
      <c r="P78" s="133">
        <v>-3.2971271703015441E-3</v>
      </c>
      <c r="Q78" s="133">
        <v>-1.5060875300664458E-2</v>
      </c>
      <c r="R78" s="133">
        <v>-1.0515055104317082E-2</v>
      </c>
      <c r="S78" s="133">
        <v>-8.7551549689898304E-3</v>
      </c>
      <c r="T78" s="133">
        <v>-6.9793074165165831E-3</v>
      </c>
      <c r="U78" s="133">
        <v>1.3615959654276125E-2</v>
      </c>
      <c r="V78" s="133">
        <v>3.2792502933072006E-3</v>
      </c>
      <c r="W78" s="133">
        <v>-1.0272224232950437E-2</v>
      </c>
      <c r="X78" s="133">
        <v>1.5460445918656712E-3</v>
      </c>
      <c r="Y78" s="133"/>
      <c r="Z78" s="133"/>
      <c r="AA78" s="134" cm="1">
        <f t="array" ref="AA78">INDEX(O78:Z78,0,MATCH('PV IN'!$E$7,LkUP!O$66:Z$66,0))</f>
        <v>1.5460445918656712E-3</v>
      </c>
      <c r="AB78" s="133">
        <v>1.8159594018092675E-3</v>
      </c>
      <c r="AC78" s="133">
        <v>7.908539067936534E-3</v>
      </c>
      <c r="AD78" s="133">
        <v>-2.5380004468341668E-3</v>
      </c>
      <c r="AE78" s="133">
        <v>1.8183174450863773E-2</v>
      </c>
      <c r="AF78" s="133">
        <v>6.3273388859918641E-3</v>
      </c>
      <c r="AG78" s="133">
        <v>6.4376538191753558E-3</v>
      </c>
      <c r="AH78" s="133">
        <v>-9.7251978102921906E-3</v>
      </c>
      <c r="AI78" s="133">
        <v>1.8736943167542944E-2</v>
      </c>
      <c r="AJ78" s="133">
        <v>1.6884279462499603E-3</v>
      </c>
      <c r="AK78" s="133">
        <v>1.8030043417512317E-3</v>
      </c>
      <c r="AL78" s="133"/>
      <c r="AM78" s="133"/>
      <c r="AN78" s="134" cm="1">
        <f t="array" ref="AN78">INDEX(AB78:AM78,0,MATCH('PV IN'!$E$7,LkUP!AB$66:AM$66,0))</f>
        <v>1.8030043417512317E-3</v>
      </c>
      <c r="AO78" s="133">
        <v>1.6223763243974573E-3</v>
      </c>
      <c r="AP78" s="133">
        <v>2.8583456858453303E-4</v>
      </c>
      <c r="AQ78" s="133">
        <v>-1.5912112871939155E-3</v>
      </c>
      <c r="AR78" s="133">
        <v>-6.2689349543515599E-3</v>
      </c>
      <c r="AS78" s="133">
        <v>-4.8758834080817742E-3</v>
      </c>
      <c r="AT78" s="133">
        <v>-1.9576708442443987E-3</v>
      </c>
      <c r="AU78" s="133">
        <v>9.3286300292506497E-3</v>
      </c>
      <c r="AV78" s="133">
        <v>2.2060471720419294E-3</v>
      </c>
      <c r="AW78" s="133">
        <v>-2.3556588183330546E-3</v>
      </c>
      <c r="AX78" s="133">
        <v>1.232339325184548E-2</v>
      </c>
      <c r="AY78" s="133"/>
      <c r="AZ78" s="133"/>
      <c r="BA78" s="134" cm="1">
        <f t="array" ref="BA78">INDEX(AO78:AZ78,0,MATCH('PV IN'!$E$7,LkUP!AO$66:AZ$66,0))</f>
        <v>1.232339325184548E-2</v>
      </c>
      <c r="BB78" s="133">
        <v>-8.2372123601774667E-3</v>
      </c>
      <c r="BC78" s="133">
        <v>-9.1726277141229787E-3</v>
      </c>
      <c r="BD78" s="133">
        <v>-8.9291188385277765E-3</v>
      </c>
      <c r="BE78" s="133">
        <v>-3.2665284432462278E-3</v>
      </c>
      <c r="BF78" s="133">
        <v>-1.0121240079567594E-2</v>
      </c>
      <c r="BG78" s="133">
        <v>-5.5142016733642669E-3</v>
      </c>
      <c r="BH78" s="133">
        <v>-1.7462567385792015E-2</v>
      </c>
      <c r="BI78" s="133">
        <v>-1.5264407890225439E-2</v>
      </c>
      <c r="BJ78" s="133">
        <v>-7.3015443838234089E-3</v>
      </c>
      <c r="BK78" s="133">
        <v>-1.8619284494286088E-2</v>
      </c>
      <c r="BL78" s="133"/>
      <c r="BM78" s="133"/>
      <c r="BN78" s="134" cm="1">
        <f t="array" ref="BN78">INDEX(BB78:BM78,0,MATCH('PV IN'!$E$7,LkUP!BB$66:BM$66,0))</f>
        <v>-1.8619284494286088E-2</v>
      </c>
      <c r="BO78" s="133">
        <v>6.8951020415393954E-3</v>
      </c>
      <c r="BP78" s="133">
        <v>1.0105976468792138E-2</v>
      </c>
      <c r="BQ78" s="133">
        <v>5.0082338831716E-3</v>
      </c>
      <c r="BR78" s="133">
        <v>1.3441921467498539E-2</v>
      </c>
      <c r="BS78" s="133">
        <v>1.0563481807883223E-2</v>
      </c>
      <c r="BT78" s="133">
        <v>1.3795679668906654E-2</v>
      </c>
      <c r="BU78" s="133">
        <v>6.3074088012641649E-3</v>
      </c>
      <c r="BV78" s="133">
        <v>1.1789851561325558E-2</v>
      </c>
      <c r="BW78" s="133">
        <v>6.1927352849351826E-3</v>
      </c>
      <c r="BX78" s="133">
        <v>1.4429564639353085E-2</v>
      </c>
      <c r="BY78" s="133"/>
      <c r="BZ78" s="133"/>
      <c r="CA78" s="134" cm="1">
        <f t="array" ref="CA78">INDEX(BO78:BZ78,0,MATCH('PV IN'!$E$7,LkUP!BO$66:BZ$66,0))</f>
        <v>1.4429564639353085E-2</v>
      </c>
      <c r="CB78" s="133">
        <v>-5.4044594134021514E-3</v>
      </c>
      <c r="CC78" s="133">
        <v>7.9375043693739563E-4</v>
      </c>
      <c r="CD78" s="133">
        <v>-1.1931976048231778E-2</v>
      </c>
      <c r="CE78" s="133">
        <v>-4.0377893462052259E-3</v>
      </c>
      <c r="CF78" s="133">
        <v>-2.5374763652782663E-3</v>
      </c>
      <c r="CG78" s="133">
        <v>-5.029583646422228E-3</v>
      </c>
      <c r="CH78" s="133">
        <v>-3.5461995640989688E-3</v>
      </c>
      <c r="CI78" s="133">
        <v>3.4293528004588928E-3</v>
      </c>
      <c r="CJ78" s="133">
        <v>-1.6339184483634209E-3</v>
      </c>
      <c r="CK78" s="133">
        <v>5.5496826189476486E-3</v>
      </c>
      <c r="CL78" s="133"/>
      <c r="CM78" s="133"/>
      <c r="CN78" s="134" cm="1">
        <f t="array" ref="CN78">INDEX(CB78:CM78,0,MATCH('PV IN'!$E$7,LkUP!CB$66:CM$66,0))</f>
        <v>5.5496826189476486E-3</v>
      </c>
      <c r="CO78" s="133">
        <v>-2.9224731959956907E-3</v>
      </c>
      <c r="CP78" s="133">
        <v>-9.5828908471351608E-3</v>
      </c>
      <c r="CQ78" s="133">
        <v>-4.6843256077610329E-3</v>
      </c>
      <c r="CR78" s="133">
        <v>-1.1198321521838426E-2</v>
      </c>
      <c r="CS78" s="133">
        <v>-4.0898693272311392E-3</v>
      </c>
      <c r="CT78" s="133">
        <v>-6.1440972903768921E-3</v>
      </c>
      <c r="CU78" s="133">
        <v>-6.4696760627432669E-3</v>
      </c>
      <c r="CV78" s="133">
        <v>-3.1080728152117982E-3</v>
      </c>
      <c r="CW78" s="133">
        <v>-1.0663163352424445E-2</v>
      </c>
      <c r="CX78" s="133">
        <v>2.7574554644627602E-3</v>
      </c>
      <c r="CY78" s="133"/>
      <c r="CZ78" s="133"/>
      <c r="DA78" s="134" cm="1">
        <f t="array" ref="DA78">INDEX(CO78:CZ78,0,MATCH('PV IN'!$E$7,LkUP!CO$66:CZ$66,0))</f>
        <v>2.7574554644627602E-3</v>
      </c>
      <c r="DB78" s="133">
        <v>2.114634686772229E-2</v>
      </c>
      <c r="DC78" s="133">
        <v>1.0503693135628924E-2</v>
      </c>
      <c r="DD78" s="133">
        <v>1.389311789595544E-2</v>
      </c>
      <c r="DE78" s="133">
        <v>-8.4771778858835686E-3</v>
      </c>
      <c r="DF78" s="133">
        <v>8.6472092981541467E-3</v>
      </c>
      <c r="DG78" s="133">
        <v>1.6946188144685684E-2</v>
      </c>
      <c r="DH78" s="133">
        <v>-5.5846290041615372E-3</v>
      </c>
      <c r="DI78" s="133">
        <v>-7.7410508343562872E-4</v>
      </c>
      <c r="DJ78" s="133">
        <v>-1.6761672052540911E-2</v>
      </c>
      <c r="DK78" s="133">
        <v>1.3533696030569115E-2</v>
      </c>
      <c r="DL78" s="133"/>
      <c r="DM78" s="133"/>
      <c r="DN78" s="134" cm="1">
        <f t="array" ref="DN78">INDEX(DB78:DM78,0,MATCH('PV IN'!$E$7,LkUP!DB$66:DM$66,0))</f>
        <v>1.3533696030569115E-2</v>
      </c>
    </row>
    <row r="79" spans="1:118" x14ac:dyDescent="0.25">
      <c r="A79">
        <v>2031</v>
      </c>
      <c r="B79" s="133">
        <v>-2.3728243708661507E-3</v>
      </c>
      <c r="C79" s="133">
        <v>1.0707218013727173E-3</v>
      </c>
      <c r="D79" s="133">
        <v>-6.3055072337031958E-3</v>
      </c>
      <c r="E79" s="133">
        <v>-1.8600318523432943E-3</v>
      </c>
      <c r="F79" s="133">
        <v>-4.2295638314886466E-3</v>
      </c>
      <c r="G79" s="133">
        <v>-1.7995966819288113E-3</v>
      </c>
      <c r="H79" s="133">
        <v>-1.8650900534498902E-2</v>
      </c>
      <c r="I79" s="133">
        <v>4.5077968179481065E-3</v>
      </c>
      <c r="J79" s="133">
        <v>-8.88313886016023E-3</v>
      </c>
      <c r="K79" s="133">
        <v>4.35078689181005E-3</v>
      </c>
      <c r="L79" s="133"/>
      <c r="M79" s="133"/>
      <c r="N79" s="134" cm="1">
        <f t="array" ref="N79">INDEX(B79:M79,0,MATCH('PV IN'!$E$7,LkUP!B$66:M$66,0))</f>
        <v>4.35078689181005E-3</v>
      </c>
      <c r="O79" s="133">
        <v>7.8590315938029608E-4</v>
      </c>
      <c r="P79" s="133">
        <v>5.7861302242863781E-3</v>
      </c>
      <c r="Q79" s="133">
        <v>-3.4855160998147052E-3</v>
      </c>
      <c r="R79" s="133">
        <v>-6.0617064793818511E-3</v>
      </c>
      <c r="S79" s="133">
        <v>6.1132104059995196E-5</v>
      </c>
      <c r="T79" s="133">
        <v>-3.8190762281633192E-3</v>
      </c>
      <c r="U79" s="133">
        <v>-1.0943408522583159E-2</v>
      </c>
      <c r="V79" s="133">
        <v>1.1952590054135874E-2</v>
      </c>
      <c r="W79" s="133">
        <v>-6.511833624316214E-3</v>
      </c>
      <c r="X79" s="133">
        <v>7.1792796771259718E-3</v>
      </c>
      <c r="Y79" s="133"/>
      <c r="Z79" s="133"/>
      <c r="AA79" s="134" cm="1">
        <f t="array" ref="AA79">INDEX(O79:Z79,0,MATCH('PV IN'!$E$7,LkUP!O$66:Z$66,0))</f>
        <v>7.1792796771259718E-3</v>
      </c>
      <c r="AB79" s="133">
        <v>4.016795043730953E-3</v>
      </c>
      <c r="AC79" s="133">
        <v>5.5064799914601135E-3</v>
      </c>
      <c r="AD79" s="133">
        <v>5.2584757182336916E-3</v>
      </c>
      <c r="AE79" s="133">
        <v>7.4980933655054713E-3</v>
      </c>
      <c r="AF79" s="133">
        <v>7.8285984151534854E-3</v>
      </c>
      <c r="AG79" s="133">
        <v>1.6787513983666083E-2</v>
      </c>
      <c r="AH79" s="133">
        <v>4.292940845908662E-3</v>
      </c>
      <c r="AI79" s="133">
        <v>2.9161407464897785E-4</v>
      </c>
      <c r="AJ79" s="133">
        <v>-3.723045184544943E-3</v>
      </c>
      <c r="AK79" s="133">
        <v>5.8953232882376187E-3</v>
      </c>
      <c r="AL79" s="133"/>
      <c r="AM79" s="133"/>
      <c r="AN79" s="134" cm="1">
        <f t="array" ref="AN79">INDEX(AB79:AM79,0,MATCH('PV IN'!$E$7,LkUP!AB$66:AM$66,0))</f>
        <v>5.8953232882376187E-3</v>
      </c>
      <c r="AO79" s="133">
        <v>-1.0035536281932718E-3</v>
      </c>
      <c r="AP79" s="133">
        <v>1.9494532582348372E-3</v>
      </c>
      <c r="AQ79" s="133">
        <v>-6.4021145029255983E-3</v>
      </c>
      <c r="AR79" s="133">
        <v>6.5026262707412264E-4</v>
      </c>
      <c r="AS79" s="133">
        <v>1.467496392248307E-3</v>
      </c>
      <c r="AT79" s="133">
        <v>2.2041766126617624E-4</v>
      </c>
      <c r="AU79" s="133">
        <v>5.7786694558119613E-3</v>
      </c>
      <c r="AV79" s="133">
        <v>8.765972380944842E-3</v>
      </c>
      <c r="AW79" s="133">
        <v>3.0702139464483932E-3</v>
      </c>
      <c r="AX79" s="133">
        <v>1.702328807757476E-2</v>
      </c>
      <c r="AY79" s="133"/>
      <c r="AZ79" s="133"/>
      <c r="BA79" s="134" cm="1">
        <f t="array" ref="BA79">INDEX(AO79:AZ79,0,MATCH('PV IN'!$E$7,LkUP!AO$66:AZ$66,0))</f>
        <v>1.702328807757476E-2</v>
      </c>
      <c r="BB79" s="133">
        <v>3.9155629563376896E-3</v>
      </c>
      <c r="BC79" s="133">
        <v>9.2168821847442312E-3</v>
      </c>
      <c r="BD79" s="133">
        <v>-1.5039931297145524E-4</v>
      </c>
      <c r="BE79" s="133">
        <v>5.5428502549524066E-3</v>
      </c>
      <c r="BF79" s="133">
        <v>6.047173594865252E-3</v>
      </c>
      <c r="BG79" s="133">
        <v>6.0648847792834368E-3</v>
      </c>
      <c r="BH79" s="133">
        <v>3.2254868108431947E-3</v>
      </c>
      <c r="BI79" s="133">
        <v>9.2836889888048557E-3</v>
      </c>
      <c r="BJ79" s="133">
        <v>1.9103559009942986E-3</v>
      </c>
      <c r="BK79" s="133">
        <v>4.0583695353593012E-3</v>
      </c>
      <c r="BL79" s="133"/>
      <c r="BM79" s="133"/>
      <c r="BN79" s="134" cm="1">
        <f t="array" ref="BN79">INDEX(BB79:BM79,0,MATCH('PV IN'!$E$7,LkUP!BB$66:BM$66,0))</f>
        <v>4.0583695353593012E-3</v>
      </c>
      <c r="BO79" s="133">
        <v>9.3178471055609911E-3</v>
      </c>
      <c r="BP79" s="133">
        <v>1.6207750861364046E-2</v>
      </c>
      <c r="BQ79" s="133">
        <v>6.7445839533383182E-3</v>
      </c>
      <c r="BR79" s="133">
        <v>1.4190781623746341E-2</v>
      </c>
      <c r="BS79" s="133">
        <v>1.0484214446619204E-2</v>
      </c>
      <c r="BT79" s="133">
        <v>9.9501383409831886E-3</v>
      </c>
      <c r="BU79" s="133">
        <v>9.9789878968711918E-3</v>
      </c>
      <c r="BV79" s="133">
        <v>1.3152553737693999E-2</v>
      </c>
      <c r="BW79" s="133">
        <v>9.9368286061369999E-3</v>
      </c>
      <c r="BX79" s="133">
        <v>1.2493776522040128E-2</v>
      </c>
      <c r="BY79" s="133"/>
      <c r="BZ79" s="133"/>
      <c r="CA79" s="134" cm="1">
        <f t="array" ref="CA79">INDEX(BO79:BZ79,0,MATCH('PV IN'!$E$7,LkUP!BO$66:BZ$66,0))</f>
        <v>1.2493776522040128E-2</v>
      </c>
      <c r="CB79" s="133">
        <v>2.7208048325758618E-3</v>
      </c>
      <c r="CC79" s="133">
        <v>1.9871446440730767E-3</v>
      </c>
      <c r="CD79" s="133">
        <v>-6.9295333852772084E-3</v>
      </c>
      <c r="CE79" s="133">
        <v>-2.7391507300079318E-3</v>
      </c>
      <c r="CF79" s="133">
        <v>1.2115044602285202E-3</v>
      </c>
      <c r="CG79" s="133">
        <v>-2.326915183854114E-4</v>
      </c>
      <c r="CH79" s="133">
        <v>1.4560689573349245E-3</v>
      </c>
      <c r="CI79" s="133">
        <v>4.7972147624876877E-3</v>
      </c>
      <c r="CJ79" s="133">
        <v>-1.9655608975452255E-3</v>
      </c>
      <c r="CK79" s="133">
        <v>2.5436124904609963E-3</v>
      </c>
      <c r="CL79" s="133"/>
      <c r="CM79" s="133"/>
      <c r="CN79" s="134" cm="1">
        <f t="array" ref="CN79">INDEX(CB79:CM79,0,MATCH('PV IN'!$E$7,LkUP!CB$66:CM$66,0))</f>
        <v>2.5436124904609963E-3</v>
      </c>
      <c r="CO79" s="133">
        <v>5.0132753914968722E-4</v>
      </c>
      <c r="CP79" s="133">
        <v>1.659846104635262E-3</v>
      </c>
      <c r="CQ79" s="133">
        <v>-5.165290962225305E-3</v>
      </c>
      <c r="CR79" s="133">
        <v>-1.1662090063613318E-2</v>
      </c>
      <c r="CS79" s="133">
        <v>3.1419475593197394E-3</v>
      </c>
      <c r="CT79" s="133">
        <v>2.9406204556182705E-5</v>
      </c>
      <c r="CU79" s="133">
        <v>6.4972436301183193E-4</v>
      </c>
      <c r="CV79" s="133">
        <v>7.0043555179839434E-3</v>
      </c>
      <c r="CW79" s="133">
        <v>-8.1216015090519716E-3</v>
      </c>
      <c r="CX79" s="133">
        <v>1.002225822411097E-2</v>
      </c>
      <c r="CY79" s="133"/>
      <c r="CZ79" s="133"/>
      <c r="DA79" s="134" cm="1">
        <f t="array" ref="DA79">INDEX(CO79:CZ79,0,MATCH('PV IN'!$E$7,LkUP!CO$66:CZ$66,0))</f>
        <v>1.002225822411097E-2</v>
      </c>
      <c r="DB79" s="133">
        <v>6.8596367388566839E-3</v>
      </c>
      <c r="DC79" s="133">
        <v>1.7066437363705306E-2</v>
      </c>
      <c r="DD79" s="133">
        <v>-1.717788169173224E-2</v>
      </c>
      <c r="DE79" s="133">
        <v>5.201469413873689E-3</v>
      </c>
      <c r="DF79" s="133">
        <v>3.2991020659917142E-3</v>
      </c>
      <c r="DG79" s="133">
        <v>1.4099341858204209E-2</v>
      </c>
      <c r="DH79" s="133">
        <v>-1.7334920905767587E-4</v>
      </c>
      <c r="DI79" s="133">
        <v>1.8437555772187291E-2</v>
      </c>
      <c r="DJ79" s="133">
        <v>-1.8727381467549712E-2</v>
      </c>
      <c r="DK79" s="133">
        <v>1.3927245125067697E-2</v>
      </c>
      <c r="DL79" s="133"/>
      <c r="DM79" s="133"/>
      <c r="DN79" s="134" cm="1">
        <f t="array" ref="DN79">INDEX(DB79:DM79,0,MATCH('PV IN'!$E$7,LkUP!DB$66:DM$66,0))</f>
        <v>1.3927245125067697E-2</v>
      </c>
    </row>
    <row r="80" spans="1:118" x14ac:dyDescent="0.25">
      <c r="A80">
        <v>2032</v>
      </c>
      <c r="B80" s="133">
        <v>-2.8337723318978451E-4</v>
      </c>
      <c r="C80" s="133">
        <v>3.5674997123889022E-3</v>
      </c>
      <c r="D80" s="133">
        <v>-2.9338076818889447E-3</v>
      </c>
      <c r="E80" s="133">
        <v>6.7836608952513639E-3</v>
      </c>
      <c r="F80" s="133">
        <v>4.6777197913310512E-4</v>
      </c>
      <c r="G80" s="133">
        <v>4.310802938406218E-3</v>
      </c>
      <c r="H80" s="133">
        <v>-1.5269939273752223E-3</v>
      </c>
      <c r="I80" s="133">
        <v>3.0843628993671201E-3</v>
      </c>
      <c r="J80" s="133">
        <v>9.2673524948445538E-4</v>
      </c>
      <c r="K80" s="133">
        <v>1.457337972789609E-3</v>
      </c>
      <c r="L80" s="133"/>
      <c r="M80" s="133"/>
      <c r="N80" s="134" cm="1">
        <f t="array" ref="N80">INDEX(B80:M80,0,MATCH('PV IN'!$E$7,LkUP!B$66:M$66,0))</f>
        <v>1.457337972789609E-3</v>
      </c>
      <c r="O80" s="133">
        <v>6.9151074715954157E-3</v>
      </c>
      <c r="P80" s="133">
        <v>6.504455313632241E-3</v>
      </c>
      <c r="Q80" s="133">
        <v>-6.473487985820674E-4</v>
      </c>
      <c r="R80" s="133">
        <v>3.7850110514784058E-3</v>
      </c>
      <c r="S80" s="133">
        <v>-3.7485398154015553E-3</v>
      </c>
      <c r="T80" s="133">
        <v>3.5717706673064247E-3</v>
      </c>
      <c r="U80" s="133">
        <v>-1.0159195186441122E-2</v>
      </c>
      <c r="V80" s="133">
        <v>-1.8187877563023006E-3</v>
      </c>
      <c r="W80" s="133">
        <v>-6.1904283184641704E-3</v>
      </c>
      <c r="X80" s="133">
        <v>2.9449411478012803E-3</v>
      </c>
      <c r="Y80" s="133"/>
      <c r="Z80" s="133"/>
      <c r="AA80" s="134" cm="1">
        <f t="array" ref="AA80">INDEX(O80:Z80,0,MATCH('PV IN'!$E$7,LkUP!O$66:Z$66,0))</f>
        <v>2.9449411478012803E-3</v>
      </c>
      <c r="AB80" s="133">
        <v>1.3495332350548065E-2</v>
      </c>
      <c r="AC80" s="133">
        <v>1.7898524524026533E-2</v>
      </c>
      <c r="AD80" s="133">
        <v>1.015517502803088E-2</v>
      </c>
      <c r="AE80" s="133">
        <v>1.2456059916983854E-2</v>
      </c>
      <c r="AF80" s="133">
        <v>1.3745194465976052E-2</v>
      </c>
      <c r="AG80" s="133">
        <v>6.4290218951960354E-3</v>
      </c>
      <c r="AH80" s="133">
        <v>2.567242148708542E-3</v>
      </c>
      <c r="AI80" s="133">
        <v>1.2348751294396514E-2</v>
      </c>
      <c r="AJ80" s="133">
        <v>1.5752408657498183E-2</v>
      </c>
      <c r="AK80" s="133">
        <v>5.8420274700843079E-3</v>
      </c>
      <c r="AL80" s="133"/>
      <c r="AM80" s="133"/>
      <c r="AN80" s="134" cm="1">
        <f t="array" ref="AN80">INDEX(AB80:AM80,0,MATCH('PV IN'!$E$7,LkUP!AB$66:AM$66,0))</f>
        <v>5.8420274700843079E-3</v>
      </c>
      <c r="AO80" s="133">
        <v>2.915476754704216E-3</v>
      </c>
      <c r="AP80" s="133">
        <v>8.8547449428376685E-3</v>
      </c>
      <c r="AQ80" s="133">
        <v>-1.1049840701589484E-3</v>
      </c>
      <c r="AR80" s="133">
        <v>8.6707373725668432E-3</v>
      </c>
      <c r="AS80" s="133">
        <v>4.3340613088794673E-3</v>
      </c>
      <c r="AT80" s="133">
        <v>7.4102153506744092E-3</v>
      </c>
      <c r="AU80" s="133">
        <v>8.0884633200115443E-4</v>
      </c>
      <c r="AV80" s="133">
        <v>5.1710661699225224E-3</v>
      </c>
      <c r="AW80" s="133">
        <v>3.7116481403575356E-3</v>
      </c>
      <c r="AX80" s="133">
        <v>8.1657032814242518E-3</v>
      </c>
      <c r="AY80" s="133"/>
      <c r="AZ80" s="133"/>
      <c r="BA80" s="134" cm="1">
        <f t="array" ref="BA80">INDEX(AO80:AZ80,0,MATCH('PV IN'!$E$7,LkUP!AO$66:AZ$66,0))</f>
        <v>8.1657032814242518E-3</v>
      </c>
      <c r="BB80" s="133">
        <v>5.9167917614102207E-3</v>
      </c>
      <c r="BC80" s="133">
        <v>8.2451957427275031E-3</v>
      </c>
      <c r="BD80" s="133">
        <v>2.0160219294583963E-3</v>
      </c>
      <c r="BE80" s="133">
        <v>6.5538071594071923E-3</v>
      </c>
      <c r="BF80" s="133">
        <v>3.9505591552130414E-3</v>
      </c>
      <c r="BG80" s="133">
        <v>5.5928371312762891E-3</v>
      </c>
      <c r="BH80" s="133">
        <v>1.0258459099858524E-2</v>
      </c>
      <c r="BI80" s="133">
        <v>4.7469191788107896E-3</v>
      </c>
      <c r="BJ80" s="133">
        <v>5.6001297212496561E-3</v>
      </c>
      <c r="BK80" s="133">
        <v>7.7741350405204843E-3</v>
      </c>
      <c r="BL80" s="133"/>
      <c r="BM80" s="133"/>
      <c r="BN80" s="134" cm="1">
        <f t="array" ref="BN80">INDEX(BB80:BM80,0,MATCH('PV IN'!$E$7,LkUP!BB$66:BM$66,0))</f>
        <v>7.7741350405204843E-3</v>
      </c>
      <c r="BO80" s="133">
        <v>1.1589191647794532E-2</v>
      </c>
      <c r="BP80" s="133">
        <v>1.1146057211657843E-2</v>
      </c>
      <c r="BQ80" s="133">
        <v>-1.4326432491310189E-4</v>
      </c>
      <c r="BR80" s="133">
        <v>9.1795156159910143E-3</v>
      </c>
      <c r="BS80" s="133">
        <v>4.1070422102389044E-3</v>
      </c>
      <c r="BT80" s="133">
        <v>8.8940531552878944E-3</v>
      </c>
      <c r="BU80" s="133">
        <v>1.646535515915756E-2</v>
      </c>
      <c r="BV80" s="133">
        <v>7.70769780374573E-3</v>
      </c>
      <c r="BW80" s="133">
        <v>4.8863211943071527E-3</v>
      </c>
      <c r="BX80" s="133">
        <v>4.8715723842018485E-3</v>
      </c>
      <c r="BY80" s="133"/>
      <c r="BZ80" s="133"/>
      <c r="CA80" s="134" cm="1">
        <f t="array" ref="CA80">INDEX(BO80:BZ80,0,MATCH('PV IN'!$E$7,LkUP!BO$66:BZ$66,0))</f>
        <v>4.8715723842018485E-3</v>
      </c>
      <c r="CB80" s="133">
        <v>1.7970968188504432E-4</v>
      </c>
      <c r="CC80" s="133">
        <v>5.7332970614445899E-3</v>
      </c>
      <c r="CD80" s="133">
        <v>-1.6815138413065513E-3</v>
      </c>
      <c r="CE80" s="133">
        <v>2.5868579310264176E-3</v>
      </c>
      <c r="CF80" s="133">
        <v>2.1974084383432086E-3</v>
      </c>
      <c r="CG80" s="133">
        <v>2.1775982199465564E-3</v>
      </c>
      <c r="CH80" s="133">
        <v>-1.7470415131466328E-3</v>
      </c>
      <c r="CI80" s="133">
        <v>8.1468949587393102E-3</v>
      </c>
      <c r="CJ80" s="133">
        <v>2.3939118469166625E-3</v>
      </c>
      <c r="CK80" s="133">
        <v>8.910538889955048E-3</v>
      </c>
      <c r="CL80" s="133"/>
      <c r="CM80" s="133"/>
      <c r="CN80" s="134" cm="1">
        <f t="array" ref="CN80">INDEX(CB80:CM80,0,MATCH('PV IN'!$E$7,LkUP!CB$66:CM$66,0))</f>
        <v>8.910538889955048E-3</v>
      </c>
      <c r="CO80" s="133">
        <v>-1.7363240701671536E-3</v>
      </c>
      <c r="CP80" s="133">
        <v>1.7177427039280963E-3</v>
      </c>
      <c r="CQ80" s="133">
        <v>-6.6841686899223726E-3</v>
      </c>
      <c r="CR80" s="133">
        <v>-3.8718319317552702E-3</v>
      </c>
      <c r="CS80" s="133">
        <v>1.4052474045596561E-3</v>
      </c>
      <c r="CT80" s="133">
        <v>-2.1119738580335106E-3</v>
      </c>
      <c r="CU80" s="133">
        <v>-5.6809606159268324E-4</v>
      </c>
      <c r="CV80" s="133">
        <v>3.2459561736266772E-3</v>
      </c>
      <c r="CW80" s="133">
        <v>-3.7908997746751694E-3</v>
      </c>
      <c r="CX80" s="133">
        <v>3.5110710954283086E-3</v>
      </c>
      <c r="CY80" s="133"/>
      <c r="CZ80" s="133"/>
      <c r="DA80" s="134" cm="1">
        <f t="array" ref="DA80">INDEX(CO80:CZ80,0,MATCH('PV IN'!$E$7,LkUP!CO$66:CZ$66,0))</f>
        <v>3.5110710954283086E-3</v>
      </c>
      <c r="DB80" s="133">
        <v>-8.4837534131921161E-3</v>
      </c>
      <c r="DC80" s="133">
        <v>-9.682232146417875E-3</v>
      </c>
      <c r="DD80" s="133">
        <v>8.1798604052707707E-3</v>
      </c>
      <c r="DE80" s="133">
        <v>1.3622602562577078E-2</v>
      </c>
      <c r="DF80" s="133">
        <v>3.1711551245012909E-3</v>
      </c>
      <c r="DG80" s="133">
        <v>-1.3977916477014546E-2</v>
      </c>
      <c r="DH80" s="133">
        <v>2.1732290021869451E-3</v>
      </c>
      <c r="DI80" s="133">
        <v>1.1870186685283333E-2</v>
      </c>
      <c r="DJ80" s="133">
        <v>-9.7476230431370707E-3</v>
      </c>
      <c r="DK80" s="133">
        <v>-1.2101315919785579E-2</v>
      </c>
      <c r="DL80" s="133"/>
      <c r="DM80" s="133"/>
      <c r="DN80" s="134" cm="1">
        <f t="array" ref="DN80">INDEX(DB80:DM80,0,MATCH('PV IN'!$E$7,LkUP!DB$66:DM$66,0))</f>
        <v>-1.2101315919785579E-2</v>
      </c>
    </row>
    <row r="81" spans="1:118" x14ac:dyDescent="0.25">
      <c r="A81">
        <v>2033</v>
      </c>
      <c r="B81" s="133">
        <v>2.1474675504181882E-3</v>
      </c>
      <c r="C81" s="133">
        <v>1.434661422960676E-2</v>
      </c>
      <c r="D81" s="133">
        <v>-1.6815245112406618E-3</v>
      </c>
      <c r="E81" s="133">
        <v>8.5231852203662296E-3</v>
      </c>
      <c r="F81" s="133">
        <v>3.3048513734687509E-3</v>
      </c>
      <c r="G81" s="133">
        <v>1.3042421003965788E-3</v>
      </c>
      <c r="H81" s="133">
        <v>1.6742446238859885E-3</v>
      </c>
      <c r="I81" s="133">
        <v>6.7913562163594791E-3</v>
      </c>
      <c r="J81" s="133">
        <v>-5.5380405588484963E-3</v>
      </c>
      <c r="K81" s="133">
        <v>3.2945692440918928E-3</v>
      </c>
      <c r="L81" s="133"/>
      <c r="M81" s="133"/>
      <c r="N81" s="134" cm="1">
        <f t="array" ref="N81">INDEX(B81:M81,0,MATCH('PV IN'!$E$7,LkUP!B$66:M$66,0))</f>
        <v>3.2945692440918928E-3</v>
      </c>
      <c r="O81" s="133">
        <v>2.8470465289860355E-2</v>
      </c>
      <c r="P81" s="133">
        <v>2.2380734648424664E-2</v>
      </c>
      <c r="Q81" s="133">
        <v>3.9225906571815142E-2</v>
      </c>
      <c r="R81" s="133">
        <v>4.1371907780933311E-2</v>
      </c>
      <c r="S81" s="133">
        <v>2.9272794969600575E-2</v>
      </c>
      <c r="T81" s="133">
        <v>3.2003193913335351E-2</v>
      </c>
      <c r="U81" s="133">
        <v>1.1894968720008028E-2</v>
      </c>
      <c r="V81" s="133">
        <v>2.0315841538256291E-2</v>
      </c>
      <c r="W81" s="133">
        <v>4.5900087940797127E-2</v>
      </c>
      <c r="X81" s="133">
        <v>-1.8830075372987317E-3</v>
      </c>
      <c r="Y81" s="133"/>
      <c r="Z81" s="133"/>
      <c r="AA81" s="134" cm="1">
        <f t="array" ref="AA81">INDEX(O81:Z81,0,MATCH('PV IN'!$E$7,LkUP!O$66:Z$66,0))</f>
        <v>-1.8830075372987317E-3</v>
      </c>
      <c r="AB81" s="133">
        <v>1.1293240823889881E-2</v>
      </c>
      <c r="AC81" s="133">
        <v>1.4008617083577439E-2</v>
      </c>
      <c r="AD81" s="133">
        <v>1.0707710769920633E-2</v>
      </c>
      <c r="AE81" s="133">
        <v>1.3617618336273125E-2</v>
      </c>
      <c r="AF81" s="133">
        <v>1.9811912588075298E-2</v>
      </c>
      <c r="AG81" s="133">
        <v>1.2050213887669791E-2</v>
      </c>
      <c r="AH81" s="133">
        <v>2.1473246023475393E-2</v>
      </c>
      <c r="AI81" s="133">
        <v>2.896121351113495E-2</v>
      </c>
      <c r="AJ81" s="133">
        <v>7.999280099737674E-3</v>
      </c>
      <c r="AK81" s="133">
        <v>3.206296446648662E-2</v>
      </c>
      <c r="AL81" s="133"/>
      <c r="AM81" s="133"/>
      <c r="AN81" s="134" cm="1">
        <f t="array" ref="AN81">INDEX(AB81:AM81,0,MATCH('PV IN'!$E$7,LkUP!AB$66:AM$66,0))</f>
        <v>3.206296446648662E-2</v>
      </c>
      <c r="AO81" s="133">
        <v>9.3087290216869421E-3</v>
      </c>
      <c r="AP81" s="133">
        <v>8.9962928830176914E-3</v>
      </c>
      <c r="AQ81" s="133">
        <v>5.1404322804711466E-3</v>
      </c>
      <c r="AR81" s="133">
        <v>1.5361191968451263E-2</v>
      </c>
      <c r="AS81" s="133">
        <v>8.8677924691056651E-3</v>
      </c>
      <c r="AT81" s="133">
        <v>9.4168923588731912E-3</v>
      </c>
      <c r="AU81" s="133">
        <v>1.5206737951923097E-2</v>
      </c>
      <c r="AV81" s="133">
        <v>6.8024294521650142E-3</v>
      </c>
      <c r="AW81" s="133">
        <v>7.408634125558592E-3</v>
      </c>
      <c r="AX81" s="133">
        <v>2.8321959746101639E-3</v>
      </c>
      <c r="AY81" s="133"/>
      <c r="AZ81" s="133"/>
      <c r="BA81" s="134" cm="1">
        <f t="array" ref="BA81">INDEX(AO81:AZ81,0,MATCH('PV IN'!$E$7,LkUP!AO$66:AZ$66,0))</f>
        <v>2.8321959746101639E-3</v>
      </c>
      <c r="BB81" s="133">
        <v>6.7235265386921608E-3</v>
      </c>
      <c r="BC81" s="133">
        <v>1.0549985465865854E-2</v>
      </c>
      <c r="BD81" s="133">
        <v>7.0708545058721468E-3</v>
      </c>
      <c r="BE81" s="133">
        <v>3.8581546120958231E-2</v>
      </c>
      <c r="BF81" s="133">
        <v>9.707186347854127E-3</v>
      </c>
      <c r="BG81" s="133">
        <v>4.8017096980331386E-3</v>
      </c>
      <c r="BH81" s="133">
        <v>9.8818376433483738E-3</v>
      </c>
      <c r="BI81" s="133">
        <v>1.6602756045848769E-2</v>
      </c>
      <c r="BJ81" s="133">
        <v>1.8982349991378503E-2</v>
      </c>
      <c r="BK81" s="133">
        <v>1.4658766234163635E-2</v>
      </c>
      <c r="BL81" s="133"/>
      <c r="BM81" s="133"/>
      <c r="BN81" s="134" cm="1">
        <f t="array" ref="BN81">INDEX(BB81:BM81,0,MATCH('PV IN'!$E$7,LkUP!BB$66:BM$66,0))</f>
        <v>1.4658766234163635E-2</v>
      </c>
      <c r="BO81" s="133">
        <v>1.0620280396606971E-2</v>
      </c>
      <c r="BP81" s="133">
        <v>8.5852770738483429E-3</v>
      </c>
      <c r="BQ81" s="133">
        <v>1.0787588206814989E-2</v>
      </c>
      <c r="BR81" s="133">
        <v>1.1452052885765023E-2</v>
      </c>
      <c r="BS81" s="133">
        <v>7.0807560126359527E-3</v>
      </c>
      <c r="BT81" s="133">
        <v>1.1387755326120658E-2</v>
      </c>
      <c r="BU81" s="133">
        <v>1.3846256827377085E-2</v>
      </c>
      <c r="BV81" s="133">
        <v>7.2053924846564423E-3</v>
      </c>
      <c r="BW81" s="133">
        <v>1.0585528696793989E-2</v>
      </c>
      <c r="BX81" s="133">
        <v>2.2023361613072922E-3</v>
      </c>
      <c r="BY81" s="133"/>
      <c r="BZ81" s="133"/>
      <c r="CA81" s="134" cm="1">
        <f t="array" ref="CA81">INDEX(BO81:BZ81,0,MATCH('PV IN'!$E$7,LkUP!BO$66:BZ$66,0))</f>
        <v>2.2023361613072922E-3</v>
      </c>
      <c r="CB81" s="133">
        <v>2.2932323259515643E-2</v>
      </c>
      <c r="CC81" s="133">
        <v>2.2484091673436811E-2</v>
      </c>
      <c r="CD81" s="133">
        <v>2.999580597857867E-2</v>
      </c>
      <c r="CE81" s="133">
        <v>2.5776653204083459E-2</v>
      </c>
      <c r="CF81" s="133">
        <v>2.2283676900054328E-2</v>
      </c>
      <c r="CG81" s="133">
        <v>2.3812674553534953E-2</v>
      </c>
      <c r="CH81" s="133">
        <v>1.1189578040260157E-2</v>
      </c>
      <c r="CI81" s="133">
        <v>1.2106531945880744E-2</v>
      </c>
      <c r="CJ81" s="133">
        <v>2.9114090748963817E-2</v>
      </c>
      <c r="CK81" s="133">
        <v>2.8356391602759557E-3</v>
      </c>
      <c r="CL81" s="133"/>
      <c r="CM81" s="133"/>
      <c r="CN81" s="134" cm="1">
        <f t="array" ref="CN81">INDEX(CB81:CM81,0,MATCH('PV IN'!$E$7,LkUP!CB$66:CM$66,0))</f>
        <v>2.8356391602759557E-3</v>
      </c>
      <c r="CO81" s="133">
        <v>2.6431994244418213E-3</v>
      </c>
      <c r="CP81" s="133">
        <v>4.9503781736529029E-3</v>
      </c>
      <c r="CQ81" s="133">
        <v>-5.0492856109529017E-3</v>
      </c>
      <c r="CR81" s="133">
        <v>7.1322705566042354E-3</v>
      </c>
      <c r="CS81" s="133">
        <v>4.742162910190092E-3</v>
      </c>
      <c r="CT81" s="133">
        <v>3.5734272439741652E-3</v>
      </c>
      <c r="CU81" s="133">
        <v>1.3819225934794605E-3</v>
      </c>
      <c r="CV81" s="133">
        <v>6.0681776340626827E-3</v>
      </c>
      <c r="CW81" s="133">
        <v>1.8151317004608501E-3</v>
      </c>
      <c r="CX81" s="133">
        <v>1.3191698836697372E-3</v>
      </c>
      <c r="CY81" s="133"/>
      <c r="CZ81" s="133"/>
      <c r="DA81" s="134" cm="1">
        <f t="array" ref="DA81">INDEX(CO81:CZ81,0,MATCH('PV IN'!$E$7,LkUP!CO$66:CZ$66,0))</f>
        <v>1.3191698836697372E-3</v>
      </c>
      <c r="DB81" s="133">
        <v>2.6075056970750524E-2</v>
      </c>
      <c r="DC81" s="133">
        <v>3.3832654039945377E-2</v>
      </c>
      <c r="DD81" s="133">
        <v>3.3122969297485198E-2</v>
      </c>
      <c r="DE81" s="133">
        <v>-6.7853095319964714E-4</v>
      </c>
      <c r="DF81" s="133">
        <v>1.8026838585849633E-2</v>
      </c>
      <c r="DG81" s="133">
        <v>1.8478517181458067E-2</v>
      </c>
      <c r="DH81" s="133">
        <v>9.3400237202099657E-3</v>
      </c>
      <c r="DI81" s="133">
        <v>1.7687223080376815E-2</v>
      </c>
      <c r="DJ81" s="133">
        <v>2.4346362151753582E-2</v>
      </c>
      <c r="DK81" s="133">
        <v>2.0562587759280124E-3</v>
      </c>
      <c r="DL81" s="133"/>
      <c r="DM81" s="133"/>
      <c r="DN81" s="134" cm="1">
        <f t="array" ref="DN81">INDEX(DB81:DM81,0,MATCH('PV IN'!$E$7,LkUP!DB$66:DM$66,0))</f>
        <v>2.0562587759280124E-3</v>
      </c>
    </row>
    <row r="82" spans="1:118" x14ac:dyDescent="0.25">
      <c r="A82">
        <v>2034</v>
      </c>
      <c r="B82" s="133">
        <v>4.9758514962220564E-3</v>
      </c>
      <c r="C82" s="133">
        <v>9.460045472224649E-4</v>
      </c>
      <c r="D82" s="133">
        <v>-4.1507589499127683E-3</v>
      </c>
      <c r="E82" s="133">
        <v>1.336689931964561E-2</v>
      </c>
      <c r="F82" s="133">
        <v>4.0141489594506053E-3</v>
      </c>
      <c r="G82" s="133">
        <v>8.5879053067615414E-3</v>
      </c>
      <c r="H82" s="133">
        <v>1.7523342032402876E-3</v>
      </c>
      <c r="I82" s="133">
        <v>3.4424300220842812E-3</v>
      </c>
      <c r="J82" s="133">
        <v>-7.9101073240144069E-3</v>
      </c>
      <c r="K82" s="133">
        <v>-4.1266635009574614E-5</v>
      </c>
      <c r="L82" s="133"/>
      <c r="M82" s="133"/>
      <c r="N82" s="134" cm="1">
        <f t="array" ref="N82">INDEX(B82:M82,0,MATCH('PV IN'!$E$7,LkUP!B$66:M$66,0))</f>
        <v>-4.1266635009574614E-5</v>
      </c>
      <c r="O82" s="133">
        <v>1.7995060211921927E-3</v>
      </c>
      <c r="P82" s="133">
        <v>2.7697570566248063E-3</v>
      </c>
      <c r="Q82" s="133">
        <v>1.3016432232600681E-2</v>
      </c>
      <c r="R82" s="133">
        <v>7.4342288237005238E-3</v>
      </c>
      <c r="S82" s="133">
        <v>1.2990990586093296E-3</v>
      </c>
      <c r="T82" s="133">
        <v>4.5593140132132884E-4</v>
      </c>
      <c r="U82" s="133">
        <v>-4.810445946394383E-4</v>
      </c>
      <c r="V82" s="133">
        <v>9.4278096151368933E-3</v>
      </c>
      <c r="W82" s="133">
        <v>1.546248540287004E-3</v>
      </c>
      <c r="X82" s="133">
        <v>-3.7104764876638286E-5</v>
      </c>
      <c r="Y82" s="133"/>
      <c r="Z82" s="133"/>
      <c r="AA82" s="134" cm="1">
        <f t="array" ref="AA82">INDEX(O82:Z82,0,MATCH('PV IN'!$E$7,LkUP!O$66:Z$66,0))</f>
        <v>-3.7104764876638286E-5</v>
      </c>
      <c r="AB82" s="133">
        <v>7.9010533298807858E-3</v>
      </c>
      <c r="AC82" s="133">
        <v>9.5219734552282227E-3</v>
      </c>
      <c r="AD82" s="133">
        <v>6.2111483061249679E-3</v>
      </c>
      <c r="AE82" s="133">
        <v>8.470792087095138E-3</v>
      </c>
      <c r="AF82" s="133">
        <v>1.16867649248176E-2</v>
      </c>
      <c r="AG82" s="133">
        <v>4.8596750611550645E-3</v>
      </c>
      <c r="AH82" s="133">
        <v>5.6322164587396589E-3</v>
      </c>
      <c r="AI82" s="133">
        <v>6.7615457040484453E-3</v>
      </c>
      <c r="AJ82" s="133">
        <v>5.364518162901513E-3</v>
      </c>
      <c r="AK82" s="133">
        <v>8.659776728901546E-3</v>
      </c>
      <c r="AL82" s="133"/>
      <c r="AM82" s="133"/>
      <c r="AN82" s="134" cm="1">
        <f t="array" ref="AN82">INDEX(AB82:AM82,0,MATCH('PV IN'!$E$7,LkUP!AB$66:AM$66,0))</f>
        <v>8.659776728901546E-3</v>
      </c>
      <c r="AO82" s="133">
        <v>4.090981168976715E-3</v>
      </c>
      <c r="AP82" s="133">
        <v>4.7693361006142286E-3</v>
      </c>
      <c r="AQ82" s="133">
        <v>5.366978766408576E-4</v>
      </c>
      <c r="AR82" s="133">
        <v>5.5124518783922242E-3</v>
      </c>
      <c r="AS82" s="133">
        <v>8.6896481459560332E-3</v>
      </c>
      <c r="AT82" s="133">
        <v>5.2291220672064801E-3</v>
      </c>
      <c r="AU82" s="133">
        <v>1.0486678910905951E-2</v>
      </c>
      <c r="AV82" s="133">
        <v>6.7542145524279052E-3</v>
      </c>
      <c r="AW82" s="133">
        <v>7.2641578375983963E-3</v>
      </c>
      <c r="AX82" s="133">
        <v>5.9691322965250268E-5</v>
      </c>
      <c r="AY82" s="133"/>
      <c r="AZ82" s="133"/>
      <c r="BA82" s="134" cm="1">
        <f t="array" ref="BA82">INDEX(AO82:AZ82,0,MATCH('PV IN'!$E$7,LkUP!AO$66:AZ$66,0))</f>
        <v>5.9691322965250268E-5</v>
      </c>
      <c r="BB82" s="133">
        <v>3.5013353415718179E-2</v>
      </c>
      <c r="BC82" s="133">
        <v>2.6729253796522145E-2</v>
      </c>
      <c r="BD82" s="133">
        <v>2.3368747910333339E-2</v>
      </c>
      <c r="BE82" s="133">
        <v>5.6818240478736784E-3</v>
      </c>
      <c r="BF82" s="133">
        <v>5.802412860994006E-3</v>
      </c>
      <c r="BG82" s="133">
        <v>2.087272258470322E-2</v>
      </c>
      <c r="BH82" s="133">
        <v>5.9161675937060955E-3</v>
      </c>
      <c r="BI82" s="133">
        <v>2.8943147732414961E-2</v>
      </c>
      <c r="BJ82" s="133">
        <v>2.1645181389491771E-3</v>
      </c>
      <c r="BK82" s="133">
        <v>7.5995849447659091E-3</v>
      </c>
      <c r="BL82" s="133"/>
      <c r="BM82" s="133"/>
      <c r="BN82" s="134" cm="1">
        <f t="array" ref="BN82">INDEX(BB82:BM82,0,MATCH('PV IN'!$E$7,LkUP!BB$66:BM$66,0))</f>
        <v>7.5995849447659091E-3</v>
      </c>
      <c r="BO82" s="133">
        <v>8.9796615925371529E-3</v>
      </c>
      <c r="BP82" s="133">
        <v>1.0641541071385907E-2</v>
      </c>
      <c r="BQ82" s="133">
        <v>1.0599138893528391E-2</v>
      </c>
      <c r="BR82" s="133">
        <v>1.429445344750456E-2</v>
      </c>
      <c r="BS82" s="133">
        <v>1.1269440634248258E-2</v>
      </c>
      <c r="BT82" s="133">
        <v>6.7137043475160117E-3</v>
      </c>
      <c r="BU82" s="133">
        <v>9.9743268724398534E-3</v>
      </c>
      <c r="BV82" s="133">
        <v>5.5434928846997767E-3</v>
      </c>
      <c r="BW82" s="133">
        <v>1.2802936227481203E-2</v>
      </c>
      <c r="BX82" s="133">
        <v>3.2598025011111816E-3</v>
      </c>
      <c r="BY82" s="133"/>
      <c r="BZ82" s="133"/>
      <c r="CA82" s="134" cm="1">
        <f t="array" ref="CA82">INDEX(BO82:BZ82,0,MATCH('PV IN'!$E$7,LkUP!BO$66:BZ$66,0))</f>
        <v>3.2598025011111816E-3</v>
      </c>
      <c r="CB82" s="133">
        <v>1.2362753627611078E-2</v>
      </c>
      <c r="CC82" s="133">
        <v>7.9436126711411835E-3</v>
      </c>
      <c r="CD82" s="133">
        <v>1.5683287157770721E-2</v>
      </c>
      <c r="CE82" s="133">
        <v>1.2355204734954349E-2</v>
      </c>
      <c r="CF82" s="133">
        <v>7.9104992192965372E-3</v>
      </c>
      <c r="CG82" s="133">
        <v>4.1020637365794506E-3</v>
      </c>
      <c r="CH82" s="133">
        <v>8.7506539343238533E-3</v>
      </c>
      <c r="CI82" s="133">
        <v>7.9147961275085662E-3</v>
      </c>
      <c r="CJ82" s="133">
        <v>1.1417210147732617E-2</v>
      </c>
      <c r="CK82" s="133">
        <v>8.6570695502609265E-4</v>
      </c>
      <c r="CL82" s="133"/>
      <c r="CM82" s="133"/>
      <c r="CN82" s="134" cm="1">
        <f t="array" ref="CN82">INDEX(CB82:CM82,0,MATCH('PV IN'!$E$7,LkUP!CB$66:CM$66,0))</f>
        <v>8.6570695502609265E-4</v>
      </c>
      <c r="CO82" s="133">
        <v>-3.2786325153357099E-3</v>
      </c>
      <c r="CP82" s="133">
        <v>3.2165438810702112E-4</v>
      </c>
      <c r="CQ82" s="133">
        <v>-1.3287608118074496E-2</v>
      </c>
      <c r="CR82" s="133">
        <v>1.0919367538107554E-2</v>
      </c>
      <c r="CS82" s="133">
        <v>1.4339537508665969E-4</v>
      </c>
      <c r="CT82" s="133">
        <v>-1.8533398612773501E-3</v>
      </c>
      <c r="CU82" s="133">
        <v>-4.6083040900476756E-3</v>
      </c>
      <c r="CV82" s="133">
        <v>1.2535227513842576E-4</v>
      </c>
      <c r="CW82" s="133">
        <v>-1.1567959727137188E-2</v>
      </c>
      <c r="CX82" s="133">
        <v>-2.120235064334845E-3</v>
      </c>
      <c r="CY82" s="133"/>
      <c r="CZ82" s="133"/>
      <c r="DA82" s="134" cm="1">
        <f t="array" ref="DA82">INDEX(CO82:CZ82,0,MATCH('PV IN'!$E$7,LkUP!CO$66:CZ$66,0))</f>
        <v>-2.120235064334845E-3</v>
      </c>
      <c r="DB82" s="133">
        <v>1.3518890303717768E-2</v>
      </c>
      <c r="DC82" s="133">
        <v>-3.7202519254051361E-3</v>
      </c>
      <c r="DD82" s="133">
        <v>1.1088157389913884E-2</v>
      </c>
      <c r="DE82" s="133">
        <v>5.6348420419021659E-3</v>
      </c>
      <c r="DF82" s="133">
        <v>2.9802660900943591E-3</v>
      </c>
      <c r="DG82" s="133">
        <v>1.6756934470628346E-2</v>
      </c>
      <c r="DH82" s="133">
        <v>4.263582727017442E-3</v>
      </c>
      <c r="DI82" s="133">
        <v>6.2683245527712511E-3</v>
      </c>
      <c r="DJ82" s="133">
        <v>1.1621670899764892E-2</v>
      </c>
      <c r="DK82" s="133">
        <v>-8.8428090609130917E-4</v>
      </c>
      <c r="DL82" s="133"/>
      <c r="DM82" s="133"/>
      <c r="DN82" s="134" cm="1">
        <f t="array" ref="DN82">INDEX(DB82:DM82,0,MATCH('PV IN'!$E$7,LkUP!DB$66:DM$66,0))</f>
        <v>-8.8428090609130917E-4</v>
      </c>
    </row>
    <row r="83" spans="1:118" x14ac:dyDescent="0.25">
      <c r="A83">
        <v>2035</v>
      </c>
      <c r="B83" s="133">
        <v>-4.4854157401564652E-3</v>
      </c>
      <c r="C83" s="133">
        <v>-2.5466718798262521E-3</v>
      </c>
      <c r="D83" s="133">
        <v>-5.0173416375343316E-3</v>
      </c>
      <c r="E83" s="133">
        <v>-6.2241081418580504E-4</v>
      </c>
      <c r="F83" s="133">
        <v>-2.1923810296564212E-3</v>
      </c>
      <c r="G83" s="133">
        <v>-7.6175402184201404E-3</v>
      </c>
      <c r="H83" s="133">
        <v>8.3590670101920742E-3</v>
      </c>
      <c r="I83" s="133">
        <v>9.0463072868398277E-5</v>
      </c>
      <c r="J83" s="133">
        <v>-1.0838778272153947E-2</v>
      </c>
      <c r="K83" s="133">
        <v>-9.8021944920850985E-4</v>
      </c>
      <c r="L83" s="133"/>
      <c r="M83" s="133"/>
      <c r="N83" s="134" cm="1">
        <f t="array" ref="N83">INDEX(B83:M83,0,MATCH('PV IN'!$E$7,LkUP!B$66:M$66,0))</f>
        <v>-9.8021944920850985E-4</v>
      </c>
      <c r="O83" s="133">
        <v>-6.4025671740328329E-3</v>
      </c>
      <c r="P83" s="133">
        <v>-3.268982330185351E-3</v>
      </c>
      <c r="Q83" s="133">
        <v>3.2340698725381776E-3</v>
      </c>
      <c r="R83" s="133">
        <v>-3.9099252860846341E-3</v>
      </c>
      <c r="S83" s="133">
        <v>-5.1370175728946265E-3</v>
      </c>
      <c r="T83" s="133">
        <v>-8.9182164733012867E-3</v>
      </c>
      <c r="U83" s="133">
        <v>-7.9694764383174757E-3</v>
      </c>
      <c r="V83" s="133">
        <v>-4.3966204981734482E-3</v>
      </c>
      <c r="W83" s="133">
        <v>-7.7770250360770571E-3</v>
      </c>
      <c r="X83" s="133">
        <v>-3.0649052013768047E-3</v>
      </c>
      <c r="Y83" s="133"/>
      <c r="Z83" s="133"/>
      <c r="AA83" s="134" cm="1">
        <f t="array" ref="AA83">INDEX(O83:Z83,0,MATCH('PV IN'!$E$7,LkUP!O$66:Z$66,0))</f>
        <v>-3.0649052013768047E-3</v>
      </c>
      <c r="AB83" s="133">
        <v>6.6545350858476012E-3</v>
      </c>
      <c r="AC83" s="133">
        <v>-4.0859196151201791E-3</v>
      </c>
      <c r="AD83" s="133">
        <v>3.8208883937330381E-3</v>
      </c>
      <c r="AE83" s="133">
        <v>9.5636004192989395E-3</v>
      </c>
      <c r="AF83" s="133">
        <v>-2.1109468982662403E-3</v>
      </c>
      <c r="AG83" s="133">
        <v>5.867174659937211E-3</v>
      </c>
      <c r="AH83" s="133">
        <v>1.8251688058482363E-2</v>
      </c>
      <c r="AI83" s="133">
        <v>-3.1304751853092148E-3</v>
      </c>
      <c r="AJ83" s="133">
        <v>1.9261393844135621E-3</v>
      </c>
      <c r="AK83" s="133">
        <v>7.7241253465874706E-3</v>
      </c>
      <c r="AL83" s="133"/>
      <c r="AM83" s="133"/>
      <c r="AN83" s="134" cm="1">
        <f t="array" ref="AN83">INDEX(AB83:AM83,0,MATCH('PV IN'!$E$7,LkUP!AB$66:AM$66,0))</f>
        <v>7.7241253465874706E-3</v>
      </c>
      <c r="AO83" s="133">
        <v>2.1556560665740177E-3</v>
      </c>
      <c r="AP83" s="133">
        <v>4.5222855624438094E-3</v>
      </c>
      <c r="AQ83" s="133">
        <v>9.3237578436325148E-3</v>
      </c>
      <c r="AR83" s="133">
        <v>1.3062601987697112E-2</v>
      </c>
      <c r="AS83" s="133">
        <v>7.1283301437742568E-3</v>
      </c>
      <c r="AT83" s="133">
        <v>4.7499178960848992E-3</v>
      </c>
      <c r="AU83" s="133">
        <v>4.2720512047240587E-3</v>
      </c>
      <c r="AV83" s="133">
        <v>3.1147115372946953E-3</v>
      </c>
      <c r="AW83" s="133">
        <v>9.8326752586611055E-3</v>
      </c>
      <c r="AX83" s="133">
        <v>-1.7043331044606065E-4</v>
      </c>
      <c r="AY83" s="133"/>
      <c r="AZ83" s="133"/>
      <c r="BA83" s="134" cm="1">
        <f t="array" ref="BA83">INDEX(AO83:AZ83,0,MATCH('PV IN'!$E$7,LkUP!AO$66:AZ$66,0))</f>
        <v>-1.7043331044606065E-4</v>
      </c>
      <c r="BB83" s="133">
        <v>-2.16352329651473E-2</v>
      </c>
      <c r="BC83" s="133">
        <v>2.3538010842694655E-3</v>
      </c>
      <c r="BD83" s="133">
        <v>5.1711438768896256E-3</v>
      </c>
      <c r="BE83" s="133">
        <v>4.7764407865424484E-4</v>
      </c>
      <c r="BF83" s="133">
        <v>-3.872392029256691E-4</v>
      </c>
      <c r="BG83" s="133">
        <v>1.0652005470250749E-2</v>
      </c>
      <c r="BH83" s="133">
        <v>1.2652493145311142E-2</v>
      </c>
      <c r="BI83" s="133">
        <v>2.1039148718730756E-3</v>
      </c>
      <c r="BJ83" s="133">
        <v>-3.6634804400591872E-3</v>
      </c>
      <c r="BK83" s="133">
        <v>1.90770750228474E-2</v>
      </c>
      <c r="BL83" s="133"/>
      <c r="BM83" s="133"/>
      <c r="BN83" s="134" cm="1">
        <f t="array" ref="BN83">INDEX(BB83:BM83,0,MATCH('PV IN'!$E$7,LkUP!BB$66:BM$66,0))</f>
        <v>1.90770750228474E-2</v>
      </c>
      <c r="BO83" s="133">
        <v>1.1862019113780939E-2</v>
      </c>
      <c r="BP83" s="133">
        <v>9.777741679472738E-3</v>
      </c>
      <c r="BQ83" s="133">
        <v>8.7703676970744514E-3</v>
      </c>
      <c r="BR83" s="133">
        <v>1.9838122435451855E-2</v>
      </c>
      <c r="BS83" s="133">
        <v>5.3068000162255664E-3</v>
      </c>
      <c r="BT83" s="133">
        <v>6.5594621258111387E-3</v>
      </c>
      <c r="BU83" s="133">
        <v>1.2643080336469678E-2</v>
      </c>
      <c r="BV83" s="133">
        <v>9.5969635458952318E-3</v>
      </c>
      <c r="BW83" s="133">
        <v>1.0319048154813553E-2</v>
      </c>
      <c r="BX83" s="133">
        <v>-8.7761360062332198E-4</v>
      </c>
      <c r="BY83" s="133"/>
      <c r="BZ83" s="133"/>
      <c r="CA83" s="134" cm="1">
        <f t="array" ref="CA83">INDEX(BO83:BZ83,0,MATCH('PV IN'!$E$7,LkUP!BO$66:BZ$66,0))</f>
        <v>-8.7761360062332198E-4</v>
      </c>
      <c r="CB83" s="133">
        <v>-2.9170879371985398E-3</v>
      </c>
      <c r="CC83" s="133">
        <v>7.5688080039361665E-5</v>
      </c>
      <c r="CD83" s="133">
        <v>6.5003719360662044E-4</v>
      </c>
      <c r="CE83" s="133">
        <v>-5.1253991784029184E-4</v>
      </c>
      <c r="CF83" s="133">
        <v>-3.8147304403958471E-3</v>
      </c>
      <c r="CG83" s="133">
        <v>-6.8194682879479168E-3</v>
      </c>
      <c r="CH83" s="133">
        <v>1.9217470578705611E-4</v>
      </c>
      <c r="CI83" s="133">
        <v>-5.9078768224299838E-3</v>
      </c>
      <c r="CJ83" s="133">
        <v>-4.8359308077917107E-3</v>
      </c>
      <c r="CK83" s="133">
        <v>-4.8395156158327199E-3</v>
      </c>
      <c r="CL83" s="133"/>
      <c r="CM83" s="133"/>
      <c r="CN83" s="134" cm="1">
        <f t="array" ref="CN83">INDEX(CB83:CM83,0,MATCH('PV IN'!$E$7,LkUP!CB$66:CM$66,0))</f>
        <v>-4.8395156158327199E-3</v>
      </c>
      <c r="CO83" s="133">
        <v>-6.7807911594995624E-3</v>
      </c>
      <c r="CP83" s="133">
        <v>-3.4251102519610045E-3</v>
      </c>
      <c r="CQ83" s="133">
        <v>-1.3630594221657442E-2</v>
      </c>
      <c r="CR83" s="133">
        <v>4.1869233605586233E-3</v>
      </c>
      <c r="CS83" s="133">
        <v>-4.3831883094800359E-3</v>
      </c>
      <c r="CT83" s="133">
        <v>-8.4428369538992101E-3</v>
      </c>
      <c r="CU83" s="133">
        <v>-1.8242514678592878E-3</v>
      </c>
      <c r="CV83" s="133">
        <v>-4.5621654940287736E-3</v>
      </c>
      <c r="CW83" s="133">
        <v>-1.0362358080022702E-2</v>
      </c>
      <c r="CX83" s="133">
        <v>2.2472314108781077E-6</v>
      </c>
      <c r="CY83" s="133"/>
      <c r="CZ83" s="133"/>
      <c r="DA83" s="134" cm="1">
        <f t="array" ref="DA83">INDEX(CO83:CZ83,0,MATCH('PV IN'!$E$7,LkUP!CO$66:CZ$66,0))</f>
        <v>2.2472314108781077E-6</v>
      </c>
      <c r="DB83" s="133">
        <v>4.1334784590203975E-3</v>
      </c>
      <c r="DC83" s="133">
        <v>5.7048893896505361E-3</v>
      </c>
      <c r="DD83" s="133">
        <v>2.0323478914801812E-3</v>
      </c>
      <c r="DE83" s="133">
        <v>1.1286063076352734E-2</v>
      </c>
      <c r="DF83" s="133">
        <v>4.6592425130481492E-3</v>
      </c>
      <c r="DG83" s="133">
        <v>-4.2074720337461017E-3</v>
      </c>
      <c r="DH83" s="133">
        <v>-6.1399366666627635E-3</v>
      </c>
      <c r="DI83" s="133">
        <v>3.4431238720986001E-3</v>
      </c>
      <c r="DJ83" s="133">
        <v>5.4688869637203579E-3</v>
      </c>
      <c r="DK83" s="133">
        <v>-1.3917034056879344E-3</v>
      </c>
      <c r="DL83" s="133"/>
      <c r="DM83" s="133"/>
      <c r="DN83" s="134" cm="1">
        <f t="array" ref="DN83">INDEX(DB83:DM83,0,MATCH('PV IN'!$E$7,LkUP!DB$66:DM$66,0))</f>
        <v>-1.3917034056879344E-3</v>
      </c>
    </row>
    <row r="84" spans="1:118" x14ac:dyDescent="0.25">
      <c r="A84">
        <v>2036</v>
      </c>
      <c r="B84" s="133">
        <v>-9.5710319341161943E-5</v>
      </c>
      <c r="C84" s="133">
        <v>-1.5197483264087649E-2</v>
      </c>
      <c r="D84" s="133">
        <v>3.332892748020725E-4</v>
      </c>
      <c r="E84" s="133">
        <v>-8.7432049119454786E-4</v>
      </c>
      <c r="F84" s="133">
        <v>8.2029678709242045E-3</v>
      </c>
      <c r="G84" s="133">
        <v>-2.8509525228393776E-3</v>
      </c>
      <c r="H84" s="133">
        <v>-8.9373875255836458E-3</v>
      </c>
      <c r="I84" s="133">
        <v>2.9174910241865611E-3</v>
      </c>
      <c r="J84" s="133">
        <v>2.7696488124860353E-5</v>
      </c>
      <c r="K84" s="133">
        <v>5.6561568188700298E-3</v>
      </c>
      <c r="L84" s="133"/>
      <c r="M84" s="133"/>
      <c r="N84" s="134" cm="1">
        <f t="array" ref="N84">INDEX(B84:M84,0,MATCH('PV IN'!$E$7,LkUP!B$66:M$66,0))</f>
        <v>5.6561568188700298E-3</v>
      </c>
      <c r="O84" s="133">
        <v>1.9015457772174879E-2</v>
      </c>
      <c r="P84" s="133">
        <v>1.6394565537575043E-2</v>
      </c>
      <c r="Q84" s="133">
        <v>9.8938866458571691E-3</v>
      </c>
      <c r="R84" s="133">
        <v>2.014396843709082E-2</v>
      </c>
      <c r="S84" s="133">
        <v>1.2832227223132152E-2</v>
      </c>
      <c r="T84" s="133">
        <v>1.5181769305609527E-2</v>
      </c>
      <c r="U84" s="133">
        <v>-2.2189283043529198E-3</v>
      </c>
      <c r="V84" s="133">
        <v>1.8662700865846732E-3</v>
      </c>
      <c r="W84" s="133">
        <v>1.0912706132002781E-2</v>
      </c>
      <c r="X84" s="133">
        <v>-3.6083366280622877E-3</v>
      </c>
      <c r="Y84" s="133"/>
      <c r="Z84" s="133"/>
      <c r="AA84" s="134" cm="1">
        <f t="array" ref="AA84">INDEX(O84:Z84,0,MATCH('PV IN'!$E$7,LkUP!O$66:Z$66,0))</f>
        <v>-3.6083366280622877E-3</v>
      </c>
      <c r="AB84" s="133">
        <v>1.7749019746796271E-3</v>
      </c>
      <c r="AC84" s="133">
        <v>5.0933801945647113E-3</v>
      </c>
      <c r="AD84" s="133">
        <v>3.7279445308518213E-4</v>
      </c>
      <c r="AE84" s="133">
        <v>-4.4493261089594325E-4</v>
      </c>
      <c r="AF84" s="133">
        <v>5.9853275540312527E-3</v>
      </c>
      <c r="AG84" s="133">
        <v>-3.546125143977721E-3</v>
      </c>
      <c r="AH84" s="133">
        <v>-2.7448714487093811E-3</v>
      </c>
      <c r="AI84" s="133">
        <v>8.1938574723509523E-3</v>
      </c>
      <c r="AJ84" s="133">
        <v>-7.0760061534595243E-4</v>
      </c>
      <c r="AK84" s="133">
        <v>-4.9492887639963658E-3</v>
      </c>
      <c r="AL84" s="133"/>
      <c r="AM84" s="133"/>
      <c r="AN84" s="134" cm="1">
        <f t="array" ref="AN84">INDEX(AB84:AM84,0,MATCH('PV IN'!$E$7,LkUP!AB$66:AM$66,0))</f>
        <v>-4.9492887639963658E-3</v>
      </c>
      <c r="AO84" s="133">
        <v>4.6439397727839078E-3</v>
      </c>
      <c r="AP84" s="133">
        <v>1.2858494174250491E-2</v>
      </c>
      <c r="AQ84" s="133">
        <v>1.8496354247157325E-3</v>
      </c>
      <c r="AR84" s="133">
        <v>1.6245057607468229E-2</v>
      </c>
      <c r="AS84" s="133">
        <v>9.1759072098785317E-3</v>
      </c>
      <c r="AT84" s="133">
        <v>5.2398161605126982E-3</v>
      </c>
      <c r="AU84" s="133">
        <v>1.7013398453002974E-2</v>
      </c>
      <c r="AV84" s="133">
        <v>5.8568184519504031E-3</v>
      </c>
      <c r="AW84" s="133">
        <v>8.4956075616881323E-3</v>
      </c>
      <c r="AX84" s="133">
        <v>9.600260084918941E-3</v>
      </c>
      <c r="AY84" s="133"/>
      <c r="AZ84" s="133"/>
      <c r="BA84" s="134" cm="1">
        <f t="array" ref="BA84">INDEX(AO84:AZ84,0,MATCH('PV IN'!$E$7,LkUP!AO$66:AZ$66,0))</f>
        <v>9.600260084918941E-3</v>
      </c>
      <c r="BB84" s="133">
        <v>2.8713684129594002E-2</v>
      </c>
      <c r="BC84" s="133">
        <v>7.4086132723455928E-3</v>
      </c>
      <c r="BD84" s="133">
        <v>8.3883866534093833E-3</v>
      </c>
      <c r="BE84" s="133">
        <v>8.1014116478140188E-3</v>
      </c>
      <c r="BF84" s="133">
        <v>2.7945271471885559E-2</v>
      </c>
      <c r="BG84" s="133">
        <v>-7.9050448269864376E-3</v>
      </c>
      <c r="BH84" s="133">
        <v>1.6276613794705658E-2</v>
      </c>
      <c r="BI84" s="133">
        <v>1.2422295377141106E-2</v>
      </c>
      <c r="BJ84" s="133">
        <v>2.3952832975707994E-3</v>
      </c>
      <c r="BK84" s="133">
        <v>5.9312499878659015E-3</v>
      </c>
      <c r="BL84" s="133"/>
      <c r="BM84" s="133"/>
      <c r="BN84" s="134" cm="1">
        <f t="array" ref="BN84">INDEX(BB84:BM84,0,MATCH('PV IN'!$E$7,LkUP!BB$66:BM$66,0))</f>
        <v>5.9312499878659015E-3</v>
      </c>
      <c r="BO84" s="133">
        <v>5.836356563331647E-3</v>
      </c>
      <c r="BP84" s="133">
        <v>1.3896420036205273E-2</v>
      </c>
      <c r="BQ84" s="133">
        <v>6.0487248178712604E-3</v>
      </c>
      <c r="BR84" s="133">
        <v>6.7202641821833423E-3</v>
      </c>
      <c r="BS84" s="133">
        <v>6.9191691571771465E-3</v>
      </c>
      <c r="BT84" s="133">
        <v>-5.445006036994747E-4</v>
      </c>
      <c r="BU84" s="133">
        <v>3.9949956673264323E-3</v>
      </c>
      <c r="BV84" s="133">
        <v>4.0528329882632743E-3</v>
      </c>
      <c r="BW84" s="133">
        <v>6.7571928150024297E-3</v>
      </c>
      <c r="BX84" s="133">
        <v>3.5332505273851789E-3</v>
      </c>
      <c r="BY84" s="133"/>
      <c r="BZ84" s="133"/>
      <c r="CA84" s="134" cm="1">
        <f t="array" ref="CA84">INDEX(BO84:BZ84,0,MATCH('PV IN'!$E$7,LkUP!BO$66:BZ$66,0))</f>
        <v>3.5332505273851789E-3</v>
      </c>
      <c r="CB84" s="133">
        <v>5.4064503006101741E-3</v>
      </c>
      <c r="CC84" s="133">
        <v>2.3004603850621521E-3</v>
      </c>
      <c r="CD84" s="133">
        <v>1.8571383408987397E-4</v>
      </c>
      <c r="CE84" s="133">
        <v>9.0074193447175297E-3</v>
      </c>
      <c r="CF84" s="133">
        <v>6.522111142069735E-3</v>
      </c>
      <c r="CG84" s="133">
        <v>-3.7146924254071096E-4</v>
      </c>
      <c r="CH84" s="133">
        <v>7.3513294253519275E-3</v>
      </c>
      <c r="CI84" s="133">
        <v>2.0271208311456197E-3</v>
      </c>
      <c r="CJ84" s="133">
        <v>4.7631966791510764E-3</v>
      </c>
      <c r="CK84" s="133">
        <v>-2.8223660030917098E-3</v>
      </c>
      <c r="CL84" s="133"/>
      <c r="CM84" s="133"/>
      <c r="CN84" s="134" cm="1">
        <f t="array" ref="CN84">INDEX(CB84:CM84,0,MATCH('PV IN'!$E$7,LkUP!CB$66:CM$66,0))</f>
        <v>-2.8223660030917098E-3</v>
      </c>
      <c r="CO84" s="133">
        <v>-5.4338159097249861E-3</v>
      </c>
      <c r="CP84" s="133">
        <v>-4.0708449696931458E-3</v>
      </c>
      <c r="CQ84" s="133">
        <v>-1.0261249431094714E-2</v>
      </c>
      <c r="CR84" s="133">
        <v>1.417335827365223E-3</v>
      </c>
      <c r="CS84" s="133">
        <v>-1.0849438138787234E-3</v>
      </c>
      <c r="CT84" s="133">
        <v>-3.6694873970763119E-3</v>
      </c>
      <c r="CU84" s="133">
        <v>-1.7304787353681803E-3</v>
      </c>
      <c r="CV84" s="133">
        <v>1.398645460933795E-3</v>
      </c>
      <c r="CW84" s="133">
        <v>-6.0117645274933391E-3</v>
      </c>
      <c r="CX84" s="133">
        <v>-1.6155828898939702E-4</v>
      </c>
      <c r="CY84" s="133"/>
      <c r="CZ84" s="133"/>
      <c r="DA84" s="134" cm="1">
        <f t="array" ref="DA84">INDEX(CO84:CZ84,0,MATCH('PV IN'!$E$7,LkUP!CO$66:CZ$66,0))</f>
        <v>-1.6155828898939702E-4</v>
      </c>
      <c r="DB84" s="133">
        <v>6.9823362398111471E-3</v>
      </c>
      <c r="DC84" s="133">
        <v>1.5026200229799887E-3</v>
      </c>
      <c r="DD84" s="133">
        <v>5.2756323034943457E-3</v>
      </c>
      <c r="DE84" s="133">
        <v>4.1639325156436813E-2</v>
      </c>
      <c r="DF84" s="133">
        <v>8.5998597174969972E-3</v>
      </c>
      <c r="DG84" s="133">
        <v>6.7911787110055714E-3</v>
      </c>
      <c r="DH84" s="133">
        <v>6.6580202096191273E-3</v>
      </c>
      <c r="DI84" s="133">
        <v>4.0132633217792044E-3</v>
      </c>
      <c r="DJ84" s="133">
        <v>7.0695780782279423E-3</v>
      </c>
      <c r="DK84" s="133">
        <v>1.9576165889866992E-2</v>
      </c>
      <c r="DL84" s="133"/>
      <c r="DM84" s="133"/>
      <c r="DN84" s="134" cm="1">
        <f t="array" ref="DN84">INDEX(DB84:DM84,0,MATCH('PV IN'!$E$7,LkUP!DB$66:DM$66,0))</f>
        <v>1.9576165889866992E-2</v>
      </c>
    </row>
    <row r="85" spans="1:118" x14ac:dyDescent="0.25">
      <c r="A85">
        <v>2037</v>
      </c>
      <c r="B85" s="133">
        <v>3.5528960987449539E-3</v>
      </c>
      <c r="C85" s="133">
        <v>6.9001115209692057E-3</v>
      </c>
      <c r="D85" s="133">
        <v>-7.1898963002661916E-4</v>
      </c>
      <c r="E85" s="133">
        <v>1.2391556567806739E-2</v>
      </c>
      <c r="F85" s="133">
        <v>-4.3589112991931078E-3</v>
      </c>
      <c r="G85" s="133">
        <v>1.8146795496258781E-4</v>
      </c>
      <c r="H85" s="133">
        <v>7.1215613944200914E-3</v>
      </c>
      <c r="I85" s="133">
        <v>1.3607701752626966E-2</v>
      </c>
      <c r="J85" s="133">
        <v>-5.3954073795663346E-3</v>
      </c>
      <c r="K85" s="133">
        <v>-3.9786935838418752E-3</v>
      </c>
      <c r="L85" s="133"/>
      <c r="M85" s="133"/>
      <c r="N85" s="134" cm="1">
        <f t="array" ref="N85">INDEX(B85:M85,0,MATCH('PV IN'!$E$7,LkUP!B$66:M$66,0))</f>
        <v>-3.9786935838418752E-3</v>
      </c>
      <c r="O85" s="133">
        <v>9.3244897614542469E-3</v>
      </c>
      <c r="P85" s="133">
        <v>3.7222056846985606E-3</v>
      </c>
      <c r="Q85" s="133">
        <v>1.4919985633908539E-2</v>
      </c>
      <c r="R85" s="133">
        <v>1.5307114929687473E-2</v>
      </c>
      <c r="S85" s="133">
        <v>8.0966864277869244E-3</v>
      </c>
      <c r="T85" s="133">
        <v>3.1540800903247439E-3</v>
      </c>
      <c r="U85" s="133">
        <v>1.6772015259445713E-2</v>
      </c>
      <c r="V85" s="133">
        <v>1.6623864760029557E-3</v>
      </c>
      <c r="W85" s="133">
        <v>1.6932139193687825E-2</v>
      </c>
      <c r="X85" s="133">
        <v>3.8101716982286179E-3</v>
      </c>
      <c r="Y85" s="133"/>
      <c r="Z85" s="133"/>
      <c r="AA85" s="134" cm="1">
        <f t="array" ref="AA85">INDEX(O85:Z85,0,MATCH('PV IN'!$E$7,LkUP!O$66:Z$66,0))</f>
        <v>3.8101716982286179E-3</v>
      </c>
      <c r="AB85" s="133">
        <v>3.027606874863704E-3</v>
      </c>
      <c r="AC85" s="133">
        <v>2.3379918158946572E-3</v>
      </c>
      <c r="AD85" s="133">
        <v>2.7009486908001214E-3</v>
      </c>
      <c r="AE85" s="133">
        <v>2.6154952579338947E-2</v>
      </c>
      <c r="AF85" s="133">
        <v>5.2026332683787774E-3</v>
      </c>
      <c r="AG85" s="133">
        <v>7.9748003013379292E-3</v>
      </c>
      <c r="AH85" s="133">
        <v>6.7490599444698044E-3</v>
      </c>
      <c r="AI85" s="133">
        <v>8.4637239403133422E-3</v>
      </c>
      <c r="AJ85" s="133">
        <v>5.1168926245680063E-3</v>
      </c>
      <c r="AK85" s="133">
        <v>3.0501609694247641E-3</v>
      </c>
      <c r="AL85" s="133"/>
      <c r="AM85" s="133"/>
      <c r="AN85" s="134" cm="1">
        <f t="array" ref="AN85">INDEX(AB85:AM85,0,MATCH('PV IN'!$E$7,LkUP!AB$66:AM$66,0))</f>
        <v>3.0501609694247641E-3</v>
      </c>
      <c r="AO85" s="133">
        <v>1.7996296232407661E-2</v>
      </c>
      <c r="AP85" s="133">
        <v>1.5107370184813892E-2</v>
      </c>
      <c r="AQ85" s="133">
        <v>1.0094793126322105E-2</v>
      </c>
      <c r="AR85" s="133">
        <v>1.232778411086158E-2</v>
      </c>
      <c r="AS85" s="133">
        <v>1.8844499543856898E-2</v>
      </c>
      <c r="AT85" s="133">
        <v>1.1921902618673279E-2</v>
      </c>
      <c r="AU85" s="133">
        <v>2.4749669197188767E-2</v>
      </c>
      <c r="AV85" s="133">
        <v>1.8957234169335802E-2</v>
      </c>
      <c r="AW85" s="133">
        <v>1.7432945021003843E-2</v>
      </c>
      <c r="AX85" s="133">
        <v>5.5936689194071897E-3</v>
      </c>
      <c r="AY85" s="133"/>
      <c r="AZ85" s="133"/>
      <c r="BA85" s="134" cm="1">
        <f t="array" ref="BA85">INDEX(AO85:AZ85,0,MATCH('PV IN'!$E$7,LkUP!AO$66:AZ$66,0))</f>
        <v>5.5936689194071897E-3</v>
      </c>
      <c r="BB85" s="133">
        <v>4.6673884537295788E-3</v>
      </c>
      <c r="BC85" s="133">
        <v>4.7105754471147652E-3</v>
      </c>
      <c r="BD85" s="133">
        <v>6.2781259766300102E-3</v>
      </c>
      <c r="BE85" s="133">
        <v>1.329462280638294E-2</v>
      </c>
      <c r="BF85" s="133">
        <v>1.4269936542692978E-2</v>
      </c>
      <c r="BG85" s="133">
        <v>1.7676693669383299E-2</v>
      </c>
      <c r="BH85" s="133">
        <v>-6.9607655646288019E-3</v>
      </c>
      <c r="BI85" s="133">
        <v>6.575209000331486E-3</v>
      </c>
      <c r="BJ85" s="133">
        <v>4.6042354047607899E-3</v>
      </c>
      <c r="BK85" s="133">
        <v>6.0581872394159875E-3</v>
      </c>
      <c r="BL85" s="133"/>
      <c r="BM85" s="133"/>
      <c r="BN85" s="134" cm="1">
        <f t="array" ref="BN85">INDEX(BB85:BM85,0,MATCH('PV IN'!$E$7,LkUP!BB$66:BM$66,0))</f>
        <v>6.0581872394159875E-3</v>
      </c>
      <c r="BO85" s="133">
        <v>6.3811653986497498E-3</v>
      </c>
      <c r="BP85" s="133">
        <v>2.2390136100825114E-2</v>
      </c>
      <c r="BQ85" s="133">
        <v>2.8921828800714654E-3</v>
      </c>
      <c r="BR85" s="133">
        <v>8.7599441370650039E-3</v>
      </c>
      <c r="BS85" s="133">
        <v>1.0439218151290706E-2</v>
      </c>
      <c r="BT85" s="133">
        <v>1.3940567292132207E-2</v>
      </c>
      <c r="BU85" s="133">
        <v>1.7013540055937225E-3</v>
      </c>
      <c r="BV85" s="133">
        <v>1.1690331395100298E-2</v>
      </c>
      <c r="BW85" s="133">
        <v>3.3051774055878089E-3</v>
      </c>
      <c r="BX85" s="133">
        <v>9.7650791230695661E-3</v>
      </c>
      <c r="BY85" s="133"/>
      <c r="BZ85" s="133"/>
      <c r="CA85" s="134" cm="1">
        <f t="array" ref="CA85">INDEX(BO85:BZ85,0,MATCH('PV IN'!$E$7,LkUP!BO$66:BZ$66,0))</f>
        <v>9.7650791230695661E-3</v>
      </c>
      <c r="CB85" s="133">
        <v>1.3158933275040582E-2</v>
      </c>
      <c r="CC85" s="133">
        <v>1.6162726094041183E-2</v>
      </c>
      <c r="CD85" s="133">
        <v>6.8911078462279137E-3</v>
      </c>
      <c r="CE85" s="133">
        <v>2.0848195975119863E-2</v>
      </c>
      <c r="CF85" s="133">
        <v>1.3314787114134682E-2</v>
      </c>
      <c r="CG85" s="133">
        <v>7.2965638243339933E-3</v>
      </c>
      <c r="CH85" s="133">
        <v>1.5071506021270513E-2</v>
      </c>
      <c r="CI85" s="133">
        <v>2.6308467543924457E-3</v>
      </c>
      <c r="CJ85" s="133">
        <v>1.3126036986808609E-2</v>
      </c>
      <c r="CK85" s="133">
        <v>-2.6717755676610223E-3</v>
      </c>
      <c r="CL85" s="133"/>
      <c r="CM85" s="133"/>
      <c r="CN85" s="134" cm="1">
        <f t="array" ref="CN85">INDEX(CB85:CM85,0,MATCH('PV IN'!$E$7,LkUP!CB$66:CM$66,0))</f>
        <v>-2.6717755676610223E-3</v>
      </c>
      <c r="CO85" s="133">
        <v>4.9525721547897328E-3</v>
      </c>
      <c r="CP85" s="133">
        <v>3.3874561779155077E-4</v>
      </c>
      <c r="CQ85" s="133">
        <v>-4.8868961397717644E-4</v>
      </c>
      <c r="CR85" s="133">
        <v>1.2251979005165135E-2</v>
      </c>
      <c r="CS85" s="133">
        <v>1.3297343448452912E-3</v>
      </c>
      <c r="CT85" s="133">
        <v>6.8450004966517041E-4</v>
      </c>
      <c r="CU85" s="133">
        <v>-1.5886381627947751E-3</v>
      </c>
      <c r="CV85" s="133">
        <v>3.3619238810725285E-3</v>
      </c>
      <c r="CW85" s="133">
        <v>6.8721446023662953E-4</v>
      </c>
      <c r="CX85" s="133">
        <v>-5.4027210078939139E-3</v>
      </c>
      <c r="CY85" s="133"/>
      <c r="CZ85" s="133"/>
      <c r="DA85" s="134" cm="1">
        <f t="array" ref="DA85">INDEX(CO85:CZ85,0,MATCH('PV IN'!$E$7,LkUP!CO$66:CZ$66,0))</f>
        <v>-5.4027210078939139E-3</v>
      </c>
      <c r="DB85" s="133">
        <v>1.0671435292604863E-3</v>
      </c>
      <c r="DC85" s="133">
        <v>4.7027886224019506E-3</v>
      </c>
      <c r="DD85" s="133">
        <v>4.9027151535505327E-3</v>
      </c>
      <c r="DE85" s="133">
        <v>9.8008673865204142E-3</v>
      </c>
      <c r="DF85" s="133">
        <v>1.0800788949419658E-2</v>
      </c>
      <c r="DG85" s="133">
        <v>3.2013259879583832E-3</v>
      </c>
      <c r="DH85" s="133">
        <v>9.4687841336453908E-3</v>
      </c>
      <c r="DI85" s="133">
        <v>3.2539880060833103E-3</v>
      </c>
      <c r="DJ85" s="133">
        <v>3.5113578722873037E-3</v>
      </c>
      <c r="DK85" s="133">
        <v>-4.6560582199650265E-3</v>
      </c>
      <c r="DL85" s="133"/>
      <c r="DM85" s="133"/>
      <c r="DN85" s="134" cm="1">
        <f t="array" ref="DN85">INDEX(DB85:DM85,0,MATCH('PV IN'!$E$7,LkUP!DB$66:DM$66,0))</f>
        <v>-4.6560582199650265E-3</v>
      </c>
    </row>
    <row r="86" spans="1:118" x14ac:dyDescent="0.25">
      <c r="A86">
        <v>2038</v>
      </c>
      <c r="B86" s="133">
        <v>5.4314374605945398E-3</v>
      </c>
      <c r="C86" s="133">
        <v>3.9540117437301351E-3</v>
      </c>
      <c r="D86" s="133">
        <v>3.7858682431282024E-3</v>
      </c>
      <c r="E86" s="133">
        <v>9.9271726924582537E-3</v>
      </c>
      <c r="F86" s="133">
        <v>7.8935474670352723E-3</v>
      </c>
      <c r="G86" s="133">
        <v>4.9312878775644529E-3</v>
      </c>
      <c r="H86" s="133">
        <v>7.8742902632881334E-3</v>
      </c>
      <c r="I86" s="133">
        <v>6.6492610601451762E-3</v>
      </c>
      <c r="J86" s="133">
        <v>4.2309204379326702E-3</v>
      </c>
      <c r="K86" s="133">
        <v>5.0869482434597081E-3</v>
      </c>
      <c r="L86" s="133"/>
      <c r="M86" s="133"/>
      <c r="N86" s="134" cm="1">
        <f t="array" ref="N86">INDEX(B86:M86,0,MATCH('PV IN'!$E$7,LkUP!B$66:M$66,0))</f>
        <v>5.0869482434597081E-3</v>
      </c>
      <c r="O86" s="133">
        <v>1.0487032569360717E-2</v>
      </c>
      <c r="P86" s="133">
        <v>1.3427440570960708E-2</v>
      </c>
      <c r="Q86" s="133">
        <v>-3.6247357995674418E-4</v>
      </c>
      <c r="R86" s="133">
        <v>1.1324888566577393E-2</v>
      </c>
      <c r="S86" s="133">
        <v>1.8196948642488289E-2</v>
      </c>
      <c r="T86" s="133">
        <v>2.378256095157961E-3</v>
      </c>
      <c r="U86" s="133">
        <v>2.2257696912941896E-2</v>
      </c>
      <c r="V86" s="133">
        <v>6.4079920516669341E-3</v>
      </c>
      <c r="W86" s="133">
        <v>2.4352972942539748E-2</v>
      </c>
      <c r="X86" s="133">
        <v>1.1502232248165529E-3</v>
      </c>
      <c r="Y86" s="133"/>
      <c r="Z86" s="133"/>
      <c r="AA86" s="134" cm="1">
        <f t="array" ref="AA86">INDEX(O86:Z86,0,MATCH('PV IN'!$E$7,LkUP!O$66:Z$66,0))</f>
        <v>1.1502232248165529E-3</v>
      </c>
      <c r="AB86" s="133">
        <v>1.3001410975528923E-2</v>
      </c>
      <c r="AC86" s="133">
        <v>1.683544316113254E-2</v>
      </c>
      <c r="AD86" s="133">
        <v>7.071565181582912E-3</v>
      </c>
      <c r="AE86" s="133">
        <v>1.7856017912921306E-2</v>
      </c>
      <c r="AF86" s="133">
        <v>3.8809614031302554E-3</v>
      </c>
      <c r="AG86" s="133">
        <v>5.9957005781851071E-3</v>
      </c>
      <c r="AH86" s="133">
        <v>3.3175171400415854E-3</v>
      </c>
      <c r="AI86" s="133">
        <v>8.2968590547142906E-3</v>
      </c>
      <c r="AJ86" s="133">
        <v>7.4032729773528191E-3</v>
      </c>
      <c r="AK86" s="133">
        <v>8.5322832585784294E-3</v>
      </c>
      <c r="AL86" s="133"/>
      <c r="AM86" s="133"/>
      <c r="AN86" s="134" cm="1">
        <f t="array" ref="AN86">INDEX(AB86:AM86,0,MATCH('PV IN'!$E$7,LkUP!AB$66:AM$66,0))</f>
        <v>8.5322832585784294E-3</v>
      </c>
      <c r="AO86" s="133">
        <v>2.5583677947415215E-2</v>
      </c>
      <c r="AP86" s="133">
        <v>2.1877302222830009E-2</v>
      </c>
      <c r="AQ86" s="133">
        <v>2.012799052714688E-2</v>
      </c>
      <c r="AR86" s="133">
        <v>2.2498857017696453E-2</v>
      </c>
      <c r="AS86" s="133">
        <v>2.9220657784352174E-2</v>
      </c>
      <c r="AT86" s="133">
        <v>1.6862707548120529E-2</v>
      </c>
      <c r="AU86" s="133">
        <v>3.0960351899138872E-2</v>
      </c>
      <c r="AV86" s="133">
        <v>2.87922063518334E-2</v>
      </c>
      <c r="AW86" s="133">
        <v>2.0936613187622109E-2</v>
      </c>
      <c r="AX86" s="133">
        <v>5.0113927622172883E-3</v>
      </c>
      <c r="AY86" s="133"/>
      <c r="AZ86" s="133"/>
      <c r="BA86" s="134" cm="1">
        <f t="array" ref="BA86">INDEX(AO86:AZ86,0,MATCH('PV IN'!$E$7,LkUP!AO$66:AZ$66,0))</f>
        <v>5.0113927622172883E-3</v>
      </c>
      <c r="BB86" s="133">
        <v>1.474291125103879E-2</v>
      </c>
      <c r="BC86" s="133">
        <v>1.0181752933084268E-2</v>
      </c>
      <c r="BD86" s="133">
        <v>6.811053075292936E-3</v>
      </c>
      <c r="BE86" s="133">
        <v>1.5845971063424474E-2</v>
      </c>
      <c r="BF86" s="133">
        <v>5.5159294570762468E-3</v>
      </c>
      <c r="BG86" s="133">
        <v>1.0091554123696021E-2</v>
      </c>
      <c r="BH86" s="133">
        <v>1.5395568022225426E-2</v>
      </c>
      <c r="BI86" s="133">
        <v>7.54883646912579E-3</v>
      </c>
      <c r="BJ86" s="133">
        <v>3.3089764520393018E-3</v>
      </c>
      <c r="BK86" s="133">
        <v>1.0270537423471436E-2</v>
      </c>
      <c r="BL86" s="133"/>
      <c r="BM86" s="133"/>
      <c r="BN86" s="134" cm="1">
        <f t="array" ref="BN86">INDEX(BB86:BM86,0,MATCH('PV IN'!$E$7,LkUP!BB$66:BM$66,0))</f>
        <v>1.0270537423471436E-2</v>
      </c>
      <c r="BO86" s="133">
        <v>4.5721149728643364E-3</v>
      </c>
      <c r="BP86" s="133">
        <v>1.2984201144953514E-2</v>
      </c>
      <c r="BQ86" s="133">
        <v>2.0807637238850893E-3</v>
      </c>
      <c r="BR86" s="133">
        <v>1.9960217370301007E-2</v>
      </c>
      <c r="BS86" s="133">
        <v>9.0012981130404204E-3</v>
      </c>
      <c r="BT86" s="133">
        <v>2.4251830774737405E-2</v>
      </c>
      <c r="BU86" s="133">
        <v>1.3747972273300619E-2</v>
      </c>
      <c r="BV86" s="133">
        <v>1.01910108262368E-2</v>
      </c>
      <c r="BW86" s="133">
        <v>3.014446886844701E-3</v>
      </c>
      <c r="BX86" s="133">
        <v>2.3521126750365138E-2</v>
      </c>
      <c r="BY86" s="133"/>
      <c r="BZ86" s="133"/>
      <c r="CA86" s="134" cm="1">
        <f t="array" ref="CA86">INDEX(BO86:BZ86,0,MATCH('PV IN'!$E$7,LkUP!BO$66:BZ$66,0))</f>
        <v>2.3521126750365138E-2</v>
      </c>
      <c r="CB86" s="133">
        <v>1.6812194097990375E-2</v>
      </c>
      <c r="CC86" s="133">
        <v>1.2115764246412034E-2</v>
      </c>
      <c r="CD86" s="133">
        <v>1.2988800681023574E-2</v>
      </c>
      <c r="CE86" s="133">
        <v>1.7965914395596961E-2</v>
      </c>
      <c r="CF86" s="133">
        <v>1.8611944430488633E-2</v>
      </c>
      <c r="CG86" s="133">
        <v>9.6251309786810364E-3</v>
      </c>
      <c r="CH86" s="133">
        <v>1.3418461415355815E-2</v>
      </c>
      <c r="CI86" s="133">
        <v>4.7201102613824023E-3</v>
      </c>
      <c r="CJ86" s="133">
        <v>1.1803418163781356E-2</v>
      </c>
      <c r="CK86" s="133">
        <v>6.8929272186112761E-4</v>
      </c>
      <c r="CL86" s="133"/>
      <c r="CM86" s="133"/>
      <c r="CN86" s="134" cm="1">
        <f t="array" ref="CN86">INDEX(CB86:CM86,0,MATCH('PV IN'!$E$7,LkUP!CB$66:CM$66,0))</f>
        <v>6.8929272186112761E-4</v>
      </c>
      <c r="CO86" s="133">
        <v>3.7249809344948102E-3</v>
      </c>
      <c r="CP86" s="133">
        <v>4.5893666702293322E-3</v>
      </c>
      <c r="CQ86" s="133">
        <v>2.2949150103605E-3</v>
      </c>
      <c r="CR86" s="133">
        <v>2.367861413504866E-2</v>
      </c>
      <c r="CS86" s="133">
        <v>1.4236490674439646E-2</v>
      </c>
      <c r="CT86" s="133">
        <v>7.9116645771327588E-3</v>
      </c>
      <c r="CU86" s="133">
        <v>4.9179348300483908E-3</v>
      </c>
      <c r="CV86" s="133">
        <v>1.4994809494496488E-2</v>
      </c>
      <c r="CW86" s="133">
        <v>1.4067228553267053E-2</v>
      </c>
      <c r="CX86" s="133">
        <v>-7.8613176238624249E-4</v>
      </c>
      <c r="CY86" s="133"/>
      <c r="CZ86" s="133"/>
      <c r="DA86" s="134" cm="1">
        <f t="array" ref="DA86">INDEX(CO86:CZ86,0,MATCH('PV IN'!$E$7,LkUP!CO$66:CZ$66,0))</f>
        <v>-7.8613176238624249E-4</v>
      </c>
      <c r="DB86" s="133">
        <v>4.5576688625493574E-3</v>
      </c>
      <c r="DC86" s="133">
        <v>8.3775712058295031E-3</v>
      </c>
      <c r="DD86" s="133">
        <v>2.6012935865400793E-3</v>
      </c>
      <c r="DE86" s="133">
        <v>6.0945409985822549E-3</v>
      </c>
      <c r="DF86" s="133">
        <v>1.3173641250815901E-2</v>
      </c>
      <c r="DG86" s="133">
        <v>1.3596460113561987E-3</v>
      </c>
      <c r="DH86" s="133">
        <v>2.1885391232507361E-2</v>
      </c>
      <c r="DI86" s="133">
        <v>-2.55977293788767E-3</v>
      </c>
      <c r="DJ86" s="133">
        <v>1.9385629510584739E-2</v>
      </c>
      <c r="DK86" s="133">
        <v>8.8099591966585549E-3</v>
      </c>
      <c r="DL86" s="133"/>
      <c r="DM86" s="133"/>
      <c r="DN86" s="134" cm="1">
        <f t="array" ref="DN86">INDEX(DB86:DM86,0,MATCH('PV IN'!$E$7,LkUP!DB$66:DM$66,0))</f>
        <v>8.8099591966585549E-3</v>
      </c>
    </row>
    <row r="87" spans="1:118" x14ac:dyDescent="0.25">
      <c r="A87">
        <v>2039</v>
      </c>
      <c r="B87" s="133">
        <v>8.637291739206748E-3</v>
      </c>
      <c r="C87" s="133">
        <v>1.0804844087178656E-2</v>
      </c>
      <c r="D87" s="133">
        <v>4.1844875464537119E-3</v>
      </c>
      <c r="E87" s="133">
        <v>1.3380105616717595E-2</v>
      </c>
      <c r="F87" s="133">
        <v>4.3744505856909317E-3</v>
      </c>
      <c r="G87" s="133">
        <v>9.5701165633790188E-3</v>
      </c>
      <c r="H87" s="133">
        <v>1.8642271817556198E-2</v>
      </c>
      <c r="I87" s="133">
        <v>6.3825085811161355E-3</v>
      </c>
      <c r="J87" s="133">
        <v>2.0956941094296385E-4</v>
      </c>
      <c r="K87" s="133">
        <v>1.1338084783372991E-3</v>
      </c>
      <c r="L87" s="133"/>
      <c r="M87" s="133"/>
      <c r="N87" s="134" cm="1">
        <f t="array" ref="N87">INDEX(B87:M87,0,MATCH('PV IN'!$E$7,LkUP!B$66:M$66,0))</f>
        <v>1.1338084783372991E-3</v>
      </c>
      <c r="O87" s="133">
        <v>9.5061414677113914E-3</v>
      </c>
      <c r="P87" s="133">
        <v>1.1493720117498274E-2</v>
      </c>
      <c r="Q87" s="133">
        <v>6.4727275034219441E-3</v>
      </c>
      <c r="R87" s="133">
        <v>6.0905584948874828E-3</v>
      </c>
      <c r="S87" s="133">
        <v>2.1521800061314333E-2</v>
      </c>
      <c r="T87" s="133">
        <v>3.1459642110916973E-3</v>
      </c>
      <c r="U87" s="133">
        <v>1.8677146063619077E-2</v>
      </c>
      <c r="V87" s="133">
        <v>1.448023387458971E-3</v>
      </c>
      <c r="W87" s="133">
        <v>1.9227896927535307E-2</v>
      </c>
      <c r="X87" s="133">
        <v>-2.247257852017685E-3</v>
      </c>
      <c r="Y87" s="133"/>
      <c r="Z87" s="133"/>
      <c r="AA87" s="134" cm="1">
        <f t="array" ref="AA87">INDEX(O87:Z87,0,MATCH('PV IN'!$E$7,LkUP!O$66:Z$66,0))</f>
        <v>-2.247257852017685E-3</v>
      </c>
      <c r="AB87" s="133">
        <v>1.6864397308082982E-2</v>
      </c>
      <c r="AC87" s="133">
        <v>1.0987060389078859E-2</v>
      </c>
      <c r="AD87" s="133">
        <v>5.649222696690482E-3</v>
      </c>
      <c r="AE87" s="133">
        <v>6.1051584264159176E-3</v>
      </c>
      <c r="AF87" s="133">
        <v>1.1854148604691165E-2</v>
      </c>
      <c r="AG87" s="133">
        <v>5.6899475405555169E-3</v>
      </c>
      <c r="AH87" s="133">
        <v>1.1362440476338158E-2</v>
      </c>
      <c r="AI87" s="133">
        <v>6.249972955713134E-3</v>
      </c>
      <c r="AJ87" s="133">
        <v>6.8900399624349058E-3</v>
      </c>
      <c r="AK87" s="133">
        <v>2.7044613729283098E-3</v>
      </c>
      <c r="AL87" s="133"/>
      <c r="AM87" s="133"/>
      <c r="AN87" s="134" cm="1">
        <f t="array" ref="AN87">INDEX(AB87:AM87,0,MATCH('PV IN'!$E$7,LkUP!AB$66:AM$66,0))</f>
        <v>2.7044613729283098E-3</v>
      </c>
      <c r="AO87" s="133">
        <v>1.6939063428777514E-2</v>
      </c>
      <c r="AP87" s="133">
        <v>8.4522678520952792E-3</v>
      </c>
      <c r="AQ87" s="133">
        <v>1.4259977611175676E-2</v>
      </c>
      <c r="AR87" s="133">
        <v>2.2196601362203323E-2</v>
      </c>
      <c r="AS87" s="133">
        <v>2.1426114717493547E-2</v>
      </c>
      <c r="AT87" s="133">
        <v>7.5906342304175502E-3</v>
      </c>
      <c r="AU87" s="133">
        <v>1.3697791958852864E-2</v>
      </c>
      <c r="AV87" s="133">
        <v>1.6211915797039393E-2</v>
      </c>
      <c r="AW87" s="133">
        <v>1.3826997943419676E-2</v>
      </c>
      <c r="AX87" s="133">
        <v>-4.5153392114247641E-3</v>
      </c>
      <c r="AY87" s="133"/>
      <c r="AZ87" s="133"/>
      <c r="BA87" s="134" cm="1">
        <f t="array" ref="BA87">INDEX(AO87:AZ87,0,MATCH('PV IN'!$E$7,LkUP!AO$66:AZ$66,0))</f>
        <v>-4.5153392114247641E-3</v>
      </c>
      <c r="BB87" s="133">
        <v>1.9008436931304907E-3</v>
      </c>
      <c r="BC87" s="133">
        <v>4.0828785603394058E-3</v>
      </c>
      <c r="BD87" s="133">
        <v>3.1673241055175283E-3</v>
      </c>
      <c r="BE87" s="133">
        <v>8.9657001090549249E-3</v>
      </c>
      <c r="BF87" s="133">
        <v>-1.9842369643972048E-2</v>
      </c>
      <c r="BG87" s="133">
        <v>4.3738963168776074E-4</v>
      </c>
      <c r="BH87" s="133">
        <v>-1.3374408932623425E-2</v>
      </c>
      <c r="BI87" s="133">
        <v>2.8369505744006477E-3</v>
      </c>
      <c r="BJ87" s="133">
        <v>2.5567131997633083E-3</v>
      </c>
      <c r="BK87" s="133">
        <v>3.5638789839503747E-3</v>
      </c>
      <c r="BL87" s="133"/>
      <c r="BM87" s="133"/>
      <c r="BN87" s="134" cm="1">
        <f t="array" ref="BN87">INDEX(BB87:BM87,0,MATCH('PV IN'!$E$7,LkUP!BB$66:BM$66,0))</f>
        <v>3.5638789839503747E-3</v>
      </c>
      <c r="BO87" s="133">
        <v>3.1261804748110729E-3</v>
      </c>
      <c r="BP87" s="133">
        <v>9.0387923332085744E-4</v>
      </c>
      <c r="BQ87" s="133">
        <v>-3.8974260726830378E-3</v>
      </c>
      <c r="BR87" s="133">
        <v>7.7965677170893141E-3</v>
      </c>
      <c r="BS87" s="133">
        <v>6.3918457176255087E-3</v>
      </c>
      <c r="BT87" s="133">
        <v>1.2739171060089932E-2</v>
      </c>
      <c r="BU87" s="133">
        <v>6.6465504284875356E-3</v>
      </c>
      <c r="BV87" s="133">
        <v>5.5753778566536537E-3</v>
      </c>
      <c r="BW87" s="133">
        <v>-1.8918095876989272E-3</v>
      </c>
      <c r="BX87" s="133">
        <v>2.8001129901057326E-2</v>
      </c>
      <c r="BY87" s="133"/>
      <c r="BZ87" s="133"/>
      <c r="CA87" s="134" cm="1">
        <f t="array" ref="CA87">INDEX(BO87:BZ87,0,MATCH('PV IN'!$E$7,LkUP!BO$66:BZ$66,0))</f>
        <v>2.8001129901057326E-2</v>
      </c>
      <c r="CB87" s="133">
        <v>6.510422698667852E-3</v>
      </c>
      <c r="CC87" s="133">
        <v>1.1629155033482467E-2</v>
      </c>
      <c r="CD87" s="133">
        <v>3.7052123532750718E-3</v>
      </c>
      <c r="CE87" s="133">
        <v>1.4243163165167085E-2</v>
      </c>
      <c r="CF87" s="133">
        <v>1.0268342826662974E-2</v>
      </c>
      <c r="CG87" s="133">
        <v>9.1785856682447247E-3</v>
      </c>
      <c r="CH87" s="133">
        <v>1.7203291554462062E-2</v>
      </c>
      <c r="CI87" s="133">
        <v>3.9903289916366656E-3</v>
      </c>
      <c r="CJ87" s="133">
        <v>8.2607118637899254E-3</v>
      </c>
      <c r="CK87" s="133">
        <v>-6.3886975150461843E-4</v>
      </c>
      <c r="CL87" s="133"/>
      <c r="CM87" s="133"/>
      <c r="CN87" s="134" cm="1">
        <f t="array" ref="CN87">INDEX(CB87:CM87,0,MATCH('PV IN'!$E$7,LkUP!CB$66:CM$66,0))</f>
        <v>-6.3886975150461843E-4</v>
      </c>
      <c r="CO87" s="133">
        <v>2.316357057260442E-2</v>
      </c>
      <c r="CP87" s="133">
        <v>2.7036556124885664E-2</v>
      </c>
      <c r="CQ87" s="133">
        <v>2.138981465109481E-2</v>
      </c>
      <c r="CR87" s="133">
        <v>3.453372291254217E-2</v>
      </c>
      <c r="CS87" s="133">
        <v>2.0585038983378715E-2</v>
      </c>
      <c r="CT87" s="133">
        <v>2.7653182144507484E-2</v>
      </c>
      <c r="CU87" s="133">
        <v>2.8753943906287577E-2</v>
      </c>
      <c r="CV87" s="133">
        <v>8.4583235210829912E-3</v>
      </c>
      <c r="CW87" s="133">
        <v>2.5859825122041963E-2</v>
      </c>
      <c r="CX87" s="133">
        <v>-3.4490780318327959E-3</v>
      </c>
      <c r="CY87" s="133"/>
      <c r="CZ87" s="133"/>
      <c r="DA87" s="134" cm="1">
        <f t="array" ref="DA87">INDEX(CO87:CZ87,0,MATCH('PV IN'!$E$7,LkUP!CO$66:CZ$66,0))</f>
        <v>-3.4490780318327959E-3</v>
      </c>
      <c r="DB87" s="133">
        <v>-2.1971562552182858E-3</v>
      </c>
      <c r="DC87" s="133">
        <v>3.2466520232672953E-3</v>
      </c>
      <c r="DD87" s="133">
        <v>-2.1306798038498425E-3</v>
      </c>
      <c r="DE87" s="133">
        <v>7.3346761389742601E-3</v>
      </c>
      <c r="DF87" s="133">
        <v>1.5057484994423231E-2</v>
      </c>
      <c r="DG87" s="133">
        <v>1.057917464040574E-3</v>
      </c>
      <c r="DH87" s="133">
        <v>1.3434534166737847E-2</v>
      </c>
      <c r="DI87" s="133">
        <v>9.0310563883927945E-3</v>
      </c>
      <c r="DJ87" s="133">
        <v>1.365348904773887E-2</v>
      </c>
      <c r="DK87" s="133">
        <v>5.7894012309169726E-3</v>
      </c>
      <c r="DL87" s="133"/>
      <c r="DM87" s="133"/>
      <c r="DN87" s="134" cm="1">
        <f t="array" ref="DN87">INDEX(DB87:DM87,0,MATCH('PV IN'!$E$7,LkUP!DB$66:DM$66,0))</f>
        <v>5.7894012309169726E-3</v>
      </c>
    </row>
    <row r="88" spans="1:118" x14ac:dyDescent="0.25">
      <c r="A88">
        <v>2040</v>
      </c>
      <c r="B88" s="133">
        <v>8.5263977523776027E-3</v>
      </c>
      <c r="C88" s="133">
        <v>7.3249977239374401E-3</v>
      </c>
      <c r="D88" s="133">
        <v>1.2020185472281961E-2</v>
      </c>
      <c r="E88" s="133">
        <v>1.0334172446731149E-2</v>
      </c>
      <c r="F88" s="133">
        <v>4.9679520362707298E-3</v>
      </c>
      <c r="G88" s="133">
        <v>5.7260261462936321E-3</v>
      </c>
      <c r="H88" s="133">
        <v>1.1170955666331896E-2</v>
      </c>
      <c r="I88" s="133">
        <v>4.626818851883349E-3</v>
      </c>
      <c r="J88" s="133">
        <v>9.9368874727291754E-3</v>
      </c>
      <c r="K88" s="133">
        <v>-2.9599489508557212E-4</v>
      </c>
      <c r="L88" s="133"/>
      <c r="M88" s="133"/>
      <c r="N88" s="134" cm="1">
        <f t="array" ref="N88">INDEX(B88:M88,0,MATCH('PV IN'!$E$7,LkUP!B$66:M$66,0))</f>
        <v>-2.9599489508557212E-4</v>
      </c>
      <c r="O88" s="133">
        <v>2.0656028084988275E-3</v>
      </c>
      <c r="P88" s="133">
        <v>-2.6644807697282741E-3</v>
      </c>
      <c r="Q88" s="133">
        <v>-2.2464177944717173E-3</v>
      </c>
      <c r="R88" s="133">
        <v>-1.7813239367625968E-3</v>
      </c>
      <c r="S88" s="133">
        <v>4.5886982582114258E-3</v>
      </c>
      <c r="T88" s="133">
        <v>3.2965691579334645E-3</v>
      </c>
      <c r="U88" s="133">
        <v>1.4552573371795521E-2</v>
      </c>
      <c r="V88" s="133">
        <v>-1.625402476928673E-3</v>
      </c>
      <c r="W88" s="133">
        <v>7.4888426432778502E-3</v>
      </c>
      <c r="X88" s="133">
        <v>-2.4970435336575197E-3</v>
      </c>
      <c r="Y88" s="133"/>
      <c r="Z88" s="133"/>
      <c r="AA88" s="134" cm="1">
        <f t="array" ref="AA88">INDEX(O88:Z88,0,MATCH('PV IN'!$E$7,LkUP!O$66:Z$66,0))</f>
        <v>-2.4970435336575197E-3</v>
      </c>
      <c r="AB88" s="133">
        <v>5.609573621997847E-3</v>
      </c>
      <c r="AC88" s="133">
        <v>7.0644226189624185E-3</v>
      </c>
      <c r="AD88" s="133">
        <v>1.3682738042572832E-2</v>
      </c>
      <c r="AE88" s="133">
        <v>1.1184266141054581E-2</v>
      </c>
      <c r="AF88" s="133">
        <v>8.1504793290718899E-3</v>
      </c>
      <c r="AG88" s="133">
        <v>4.7970606269756577E-3</v>
      </c>
      <c r="AH88" s="133">
        <v>1.4242716468120534E-2</v>
      </c>
      <c r="AI88" s="133">
        <v>7.4589309339842345E-3</v>
      </c>
      <c r="AJ88" s="133">
        <v>-2.2019584902906999E-3</v>
      </c>
      <c r="AK88" s="133">
        <v>3.1987375391270899E-3</v>
      </c>
      <c r="AL88" s="133"/>
      <c r="AM88" s="133"/>
      <c r="AN88" s="134" cm="1">
        <f t="array" ref="AN88">INDEX(AB88:AM88,0,MATCH('PV IN'!$E$7,LkUP!AB$66:AM$66,0))</f>
        <v>3.1987375391270899E-3</v>
      </c>
      <c r="AO88" s="133">
        <v>1.520599806583961E-2</v>
      </c>
      <c r="AP88" s="133">
        <v>1.2873979777309716E-2</v>
      </c>
      <c r="AQ88" s="133">
        <v>1.5132157905960893E-2</v>
      </c>
      <c r="AR88" s="133">
        <v>2.1044113942787237E-2</v>
      </c>
      <c r="AS88" s="133">
        <v>2.0008978661710839E-2</v>
      </c>
      <c r="AT88" s="133">
        <v>1.3880824532078308E-2</v>
      </c>
      <c r="AU88" s="133">
        <v>1.3332682224146091E-2</v>
      </c>
      <c r="AV88" s="133">
        <v>7.5732022112734339E-3</v>
      </c>
      <c r="AW88" s="133">
        <v>1.0574281232683736E-2</v>
      </c>
      <c r="AX88" s="133">
        <v>1.1235020410089443E-3</v>
      </c>
      <c r="AY88" s="133"/>
      <c r="AZ88" s="133"/>
      <c r="BA88" s="134" cm="1">
        <f t="array" ref="BA88">INDEX(AO88:AZ88,0,MATCH('PV IN'!$E$7,LkUP!AO$66:AZ$66,0))</f>
        <v>1.1235020410089443E-3</v>
      </c>
      <c r="BB88" s="133">
        <v>3.5041947611523967E-3</v>
      </c>
      <c r="BC88" s="133">
        <v>-2.7216509754222577E-3</v>
      </c>
      <c r="BD88" s="133">
        <v>6.4843093008421578E-4</v>
      </c>
      <c r="BE88" s="133">
        <v>5.8243823677165702E-3</v>
      </c>
      <c r="BF88" s="133">
        <v>1.6804000095509454E-2</v>
      </c>
      <c r="BG88" s="133">
        <v>-6.8870101221748048E-3</v>
      </c>
      <c r="BH88" s="133">
        <v>3.1297345691396951E-2</v>
      </c>
      <c r="BI88" s="133">
        <v>2.3559493459469924E-3</v>
      </c>
      <c r="BJ88" s="133">
        <v>-1.6050601538123516E-2</v>
      </c>
      <c r="BK88" s="133">
        <v>5.6372957790070386E-4</v>
      </c>
      <c r="BL88" s="133"/>
      <c r="BM88" s="133"/>
      <c r="BN88" s="134" cm="1">
        <f t="array" ref="BN88">INDEX(BB88:BM88,0,MATCH('PV IN'!$E$7,LkUP!BB$66:BM$66,0))</f>
        <v>5.6372957790070386E-4</v>
      </c>
      <c r="BO88" s="133">
        <v>1.3259445305299768E-3</v>
      </c>
      <c r="BP88" s="133">
        <v>7.0459926820145673E-3</v>
      </c>
      <c r="BQ88" s="133">
        <v>1.1311661376235645E-3</v>
      </c>
      <c r="BR88" s="133">
        <v>1.5887731278971692E-2</v>
      </c>
      <c r="BS88" s="133">
        <v>3.2184019800349213E-3</v>
      </c>
      <c r="BT88" s="133">
        <v>7.2360188154015146E-4</v>
      </c>
      <c r="BU88" s="133">
        <v>1.0231653484118409E-2</v>
      </c>
      <c r="BV88" s="133">
        <v>8.4371043065067236E-3</v>
      </c>
      <c r="BW88" s="133">
        <v>2.4147331887853919E-3</v>
      </c>
      <c r="BX88" s="133">
        <v>2.0541830035134614E-2</v>
      </c>
      <c r="BY88" s="133"/>
      <c r="BZ88" s="133"/>
      <c r="CA88" s="134" cm="1">
        <f t="array" ref="CA88">INDEX(BO88:BZ88,0,MATCH('PV IN'!$E$7,LkUP!BO$66:BZ$66,0))</f>
        <v>2.0541830035134614E-2</v>
      </c>
      <c r="CB88" s="133">
        <v>4.1066241724351318E-3</v>
      </c>
      <c r="CC88" s="133">
        <v>5.9868141720033818E-4</v>
      </c>
      <c r="CD88" s="133">
        <v>-1.0377514664053637E-3</v>
      </c>
      <c r="CE88" s="133">
        <v>7.8344767824741653E-3</v>
      </c>
      <c r="CF88" s="133">
        <v>3.8308881554050211E-3</v>
      </c>
      <c r="CG88" s="133">
        <v>3.9909874678349068E-3</v>
      </c>
      <c r="CH88" s="133">
        <v>1.1969312968584261E-2</v>
      </c>
      <c r="CI88" s="133">
        <v>5.3592438364255058E-3</v>
      </c>
      <c r="CJ88" s="133">
        <v>5.4276598436201725E-3</v>
      </c>
      <c r="CK88" s="133">
        <v>-5.302306674589783E-4</v>
      </c>
      <c r="CL88" s="133"/>
      <c r="CM88" s="133"/>
      <c r="CN88" s="134" cm="1">
        <f t="array" ref="CN88">INDEX(CB88:CM88,0,MATCH('PV IN'!$E$7,LkUP!CB$66:CM$66,0))</f>
        <v>-5.302306674589783E-4</v>
      </c>
      <c r="CO88" s="133">
        <v>2.2054268496480196E-2</v>
      </c>
      <c r="CP88" s="133">
        <v>1.6858310756719466E-2</v>
      </c>
      <c r="CQ88" s="133">
        <v>2.2981609281671971E-2</v>
      </c>
      <c r="CR88" s="133">
        <v>2.2211125488547236E-2</v>
      </c>
      <c r="CS88" s="133">
        <v>1.299896418798417E-2</v>
      </c>
      <c r="CT88" s="133">
        <v>1.7112381400455977E-2</v>
      </c>
      <c r="CU88" s="133">
        <v>3.0751843037709819E-2</v>
      </c>
      <c r="CV88" s="133">
        <v>3.1857796349254483E-3</v>
      </c>
      <c r="CW88" s="133">
        <v>3.2961835244866747E-2</v>
      </c>
      <c r="CX88" s="133">
        <v>-2.6673873827574367E-3</v>
      </c>
      <c r="CY88" s="133"/>
      <c r="CZ88" s="133"/>
      <c r="DA88" s="134" cm="1">
        <f t="array" ref="DA88">INDEX(CO88:CZ88,0,MATCH('PV IN'!$E$7,LkUP!CO$66:CZ$66,0))</f>
        <v>-2.6673873827574367E-3</v>
      </c>
      <c r="DB88" s="133">
        <v>7.4799576051186242E-3</v>
      </c>
      <c r="DC88" s="133">
        <v>8.1247248862560528E-3</v>
      </c>
      <c r="DD88" s="133">
        <v>1.2833253495192133E-2</v>
      </c>
      <c r="DE88" s="133">
        <v>1.9878596862082466E-2</v>
      </c>
      <c r="DF88" s="133">
        <v>8.0769629031110998E-3</v>
      </c>
      <c r="DG88" s="133">
        <v>9.496678216611083E-3</v>
      </c>
      <c r="DH88" s="133">
        <v>1.5957324802278308E-2</v>
      </c>
      <c r="DI88" s="133">
        <v>7.9769115325914065E-3</v>
      </c>
      <c r="DJ88" s="133">
        <v>1.4208142120515443E-2</v>
      </c>
      <c r="DK88" s="133">
        <v>-3.091482957146958E-3</v>
      </c>
      <c r="DL88" s="133"/>
      <c r="DM88" s="133"/>
      <c r="DN88" s="134" cm="1">
        <f t="array" ref="DN88">INDEX(DB88:DM88,0,MATCH('PV IN'!$E$7,LkUP!DB$66:DM$66,0))</f>
        <v>-3.091482957146958E-3</v>
      </c>
    </row>
    <row r="89" spans="1:118" x14ac:dyDescent="0.25">
      <c r="A89">
        <v>2041</v>
      </c>
      <c r="B89" s="133">
        <v>6.9729041990448304E-3</v>
      </c>
      <c r="C89" s="133">
        <v>5.1874029701504138E-3</v>
      </c>
      <c r="D89" s="133">
        <v>-2.0331007355718607E-3</v>
      </c>
      <c r="E89" s="133">
        <v>4.8094462414754718E-3</v>
      </c>
      <c r="F89" s="133">
        <v>1.5060241563470416E-2</v>
      </c>
      <c r="G89" s="133">
        <v>1.8554780536175419E-3</v>
      </c>
      <c r="H89" s="133">
        <v>1.2985234065622063E-2</v>
      </c>
      <c r="I89" s="133">
        <v>1.9314321548758169E-4</v>
      </c>
      <c r="J89" s="133">
        <v>9.6217655817941953E-3</v>
      </c>
      <c r="K89" s="133">
        <v>-4.3966963153689791E-5</v>
      </c>
      <c r="L89" s="133"/>
      <c r="M89" s="133"/>
      <c r="N89" s="134" cm="1">
        <f t="array" ref="N89">INDEX(B89:M89,0,MATCH('PV IN'!$E$7,LkUP!B$66:M$66,0))</f>
        <v>-4.3966963153689791E-5</v>
      </c>
      <c r="O89" s="133">
        <v>4.5321663317271187E-3</v>
      </c>
      <c r="P89" s="133">
        <v>5.2179812171116785E-3</v>
      </c>
      <c r="Q89" s="133">
        <v>-6.7450293767374664E-3</v>
      </c>
      <c r="R89" s="133">
        <v>7.125978777351075E-4</v>
      </c>
      <c r="S89" s="133">
        <v>-1.2988956098971221E-4</v>
      </c>
      <c r="T89" s="133">
        <v>1.231374539925473E-4</v>
      </c>
      <c r="U89" s="133">
        <v>1.4405055101594649E-2</v>
      </c>
      <c r="V89" s="133">
        <v>-1.4476165869942497E-3</v>
      </c>
      <c r="W89" s="133">
        <v>-7.4652687190442067E-3</v>
      </c>
      <c r="X89" s="133">
        <v>-2.5233744789377845E-3</v>
      </c>
      <c r="Y89" s="133"/>
      <c r="Z89" s="133"/>
      <c r="AA89" s="134" cm="1">
        <f t="array" ref="AA89">INDEX(O89:Z89,0,MATCH('PV IN'!$E$7,LkUP!O$66:Z$66,0))</f>
        <v>-2.5233744789377845E-3</v>
      </c>
      <c r="AB89" s="133">
        <v>8.4119639521021711E-3</v>
      </c>
      <c r="AC89" s="133">
        <v>1.1943485738791707E-2</v>
      </c>
      <c r="AD89" s="133">
        <v>4.1765062641552558E-3</v>
      </c>
      <c r="AE89" s="133">
        <v>2.0893457967163704E-2</v>
      </c>
      <c r="AF89" s="133">
        <v>4.3977438553033802E-3</v>
      </c>
      <c r="AG89" s="133">
        <v>1.0799486394205032E-2</v>
      </c>
      <c r="AH89" s="133">
        <v>4.5076569981804303E-3</v>
      </c>
      <c r="AI89" s="133">
        <v>1.1197621818211491E-2</v>
      </c>
      <c r="AJ89" s="133">
        <v>1.2102700495135875E-3</v>
      </c>
      <c r="AK89" s="133">
        <v>4.4280657373850897E-3</v>
      </c>
      <c r="AL89" s="133"/>
      <c r="AM89" s="133"/>
      <c r="AN89" s="134" cm="1">
        <f t="array" ref="AN89">INDEX(AB89:AM89,0,MATCH('PV IN'!$E$7,LkUP!AB$66:AM$66,0))</f>
        <v>4.4280657373850897E-3</v>
      </c>
      <c r="AO89" s="133">
        <v>1.0298130547056365E-2</v>
      </c>
      <c r="AP89" s="133">
        <v>5.8463680371456583E-3</v>
      </c>
      <c r="AQ89" s="133">
        <v>9.5338417322517709E-3</v>
      </c>
      <c r="AR89" s="133">
        <v>3.5174988214747038E-3</v>
      </c>
      <c r="AS89" s="133">
        <v>6.4820102546127197E-3</v>
      </c>
      <c r="AT89" s="133">
        <v>3.9697014375586776E-3</v>
      </c>
      <c r="AU89" s="133">
        <v>1.7228028304218084E-2</v>
      </c>
      <c r="AV89" s="133">
        <v>1.8296111119218606E-4</v>
      </c>
      <c r="AW89" s="133">
        <v>9.9823226360627442E-3</v>
      </c>
      <c r="AX89" s="133">
        <v>9.8588813394200388E-3</v>
      </c>
      <c r="AY89" s="133"/>
      <c r="AZ89" s="133"/>
      <c r="BA89" s="134" cm="1">
        <f t="array" ref="BA89">INDEX(AO89:AZ89,0,MATCH('PV IN'!$E$7,LkUP!AO$66:AZ$66,0))</f>
        <v>9.8588813394200388E-3</v>
      </c>
      <c r="BB89" s="133">
        <v>4.6179612146933398E-3</v>
      </c>
      <c r="BC89" s="133">
        <v>5.7647376495167536E-3</v>
      </c>
      <c r="BD89" s="133">
        <v>3.0908868529055233E-3</v>
      </c>
      <c r="BE89" s="133">
        <v>8.7521825090515811E-3</v>
      </c>
      <c r="BF89" s="133">
        <v>7.0350137935647457E-3</v>
      </c>
      <c r="BG89" s="133">
        <v>9.5619132157663729E-4</v>
      </c>
      <c r="BH89" s="133">
        <v>-2.7090458388041919E-2</v>
      </c>
      <c r="BI89" s="133">
        <v>3.1985081893905181E-3</v>
      </c>
      <c r="BJ89" s="133">
        <v>3.5076303343331951E-3</v>
      </c>
      <c r="BK89" s="133">
        <v>3.2359240648308458E-3</v>
      </c>
      <c r="BL89" s="133"/>
      <c r="BM89" s="133"/>
      <c r="BN89" s="134" cm="1">
        <f t="array" ref="BN89">INDEX(BB89:BM89,0,MATCH('PV IN'!$E$7,LkUP!BB$66:BM$66,0))</f>
        <v>3.2359240648308458E-3</v>
      </c>
      <c r="BO89" s="133">
        <v>6.4517683376383679E-3</v>
      </c>
      <c r="BP89" s="133">
        <v>-3.0246925442342027E-5</v>
      </c>
      <c r="BQ89" s="133">
        <v>4.0519157455344932E-3</v>
      </c>
      <c r="BR89" s="133">
        <v>2.6785442973268014E-2</v>
      </c>
      <c r="BS89" s="133">
        <v>5.1076460235964845E-3</v>
      </c>
      <c r="BT89" s="133">
        <v>-4.3874051250877811E-4</v>
      </c>
      <c r="BU89" s="133">
        <v>6.1683739731307457E-3</v>
      </c>
      <c r="BV89" s="133">
        <v>1.2526644322679838E-2</v>
      </c>
      <c r="BW89" s="133">
        <v>7.9942604379695664E-3</v>
      </c>
      <c r="BX89" s="133">
        <v>6.8909528181912687E-3</v>
      </c>
      <c r="BY89" s="133"/>
      <c r="BZ89" s="133"/>
      <c r="CA89" s="134" cm="1">
        <f t="array" ref="CA89">INDEX(BO89:BZ89,0,MATCH('PV IN'!$E$7,LkUP!BO$66:BZ$66,0))</f>
        <v>6.8909528181912687E-3</v>
      </c>
      <c r="CB89" s="133">
        <v>-3.1113022269357205E-3</v>
      </c>
      <c r="CC89" s="133">
        <v>-1.5638745915808913E-3</v>
      </c>
      <c r="CD89" s="133">
        <v>-5.9136406785084894E-3</v>
      </c>
      <c r="CE89" s="133">
        <v>6.0295162631138829E-4</v>
      </c>
      <c r="CF89" s="133">
        <v>-3.3869809531285535E-3</v>
      </c>
      <c r="CG89" s="133">
        <v>-4.7231265837708678E-3</v>
      </c>
      <c r="CH89" s="133">
        <v>3.0752332029204475E-3</v>
      </c>
      <c r="CI89" s="133">
        <v>-2.2275721937636858E-3</v>
      </c>
      <c r="CJ89" s="133">
        <v>4.7592937483455838E-3</v>
      </c>
      <c r="CK89" s="133">
        <v>-3.2451158307925916E-3</v>
      </c>
      <c r="CL89" s="133"/>
      <c r="CM89" s="133"/>
      <c r="CN89" s="134" cm="1">
        <f t="array" ref="CN89">INDEX(CB89:CM89,0,MATCH('PV IN'!$E$7,LkUP!CB$66:CM$66,0))</f>
        <v>-3.2451158307925916E-3</v>
      </c>
      <c r="CO89" s="133">
        <v>5.5570271560048332E-3</v>
      </c>
      <c r="CP89" s="133">
        <v>1.670520943600016E-3</v>
      </c>
      <c r="CQ89" s="133">
        <v>5.2064839940597595E-3</v>
      </c>
      <c r="CR89" s="133">
        <v>9.9211079252130557E-4</v>
      </c>
      <c r="CS89" s="133">
        <v>2.0148877089028544E-4</v>
      </c>
      <c r="CT89" s="133">
        <v>-6.8792968480116054E-4</v>
      </c>
      <c r="CU89" s="133">
        <v>9.6637803688683424E-3</v>
      </c>
      <c r="CV89" s="133">
        <v>-4.3301907248453134E-3</v>
      </c>
      <c r="CW89" s="133">
        <v>2.3430463775136565E-2</v>
      </c>
      <c r="CX89" s="133">
        <v>-5.4258137048959262E-3</v>
      </c>
      <c r="CY89" s="133"/>
      <c r="CZ89" s="133"/>
      <c r="DA89" s="134" cm="1">
        <f t="array" ref="DA89">INDEX(CO89:CZ89,0,MATCH('PV IN'!$E$7,LkUP!CO$66:CZ$66,0))</f>
        <v>-5.4258137048959262E-3</v>
      </c>
      <c r="DB89" s="133">
        <v>1.1467131887531122E-2</v>
      </c>
      <c r="DC89" s="133">
        <v>8.1924147394251863E-3</v>
      </c>
      <c r="DD89" s="133">
        <v>1.0475849650285607E-2</v>
      </c>
      <c r="DE89" s="133">
        <v>1.0957974424941719E-2</v>
      </c>
      <c r="DF89" s="133">
        <v>1.4219021148327074E-3</v>
      </c>
      <c r="DG89" s="133">
        <v>4.5973854256376673E-3</v>
      </c>
      <c r="DH89" s="133">
        <v>3.7888561430596984E-3</v>
      </c>
      <c r="DI89" s="133">
        <v>2.1109067920360696E-3</v>
      </c>
      <c r="DJ89" s="133">
        <v>9.8147059114140987E-3</v>
      </c>
      <c r="DK89" s="133">
        <v>-3.0259668621275574E-3</v>
      </c>
      <c r="DL89" s="133"/>
      <c r="DM89" s="133"/>
      <c r="DN89" s="134" cm="1">
        <f t="array" ref="DN89">INDEX(DB89:DM89,0,MATCH('PV IN'!$E$7,LkUP!DB$66:DM$66,0))</f>
        <v>-3.0259668621275574E-3</v>
      </c>
    </row>
    <row r="90" spans="1:118" x14ac:dyDescent="0.25">
      <c r="A90">
        <v>2042</v>
      </c>
      <c r="B90" s="133">
        <v>1.544279355594835E-3</v>
      </c>
      <c r="C90" s="133">
        <v>-1.9890444760906302E-3</v>
      </c>
      <c r="D90" s="133">
        <v>5.6100023353553184E-3</v>
      </c>
      <c r="E90" s="133">
        <v>1.4504212585646215E-3</v>
      </c>
      <c r="F90" s="133">
        <v>4.0655382548094292E-3</v>
      </c>
      <c r="G90" s="133">
        <v>-2.8045678495758949E-3</v>
      </c>
      <c r="H90" s="133">
        <v>9.390044822665939E-3</v>
      </c>
      <c r="I90" s="133">
        <v>1.3018512285039722E-3</v>
      </c>
      <c r="J90" s="133">
        <v>7.3275210123697416E-3</v>
      </c>
      <c r="K90" s="133">
        <v>-2.949556180770294E-3</v>
      </c>
      <c r="L90" s="133"/>
      <c r="M90" s="133"/>
      <c r="N90" s="134" cm="1">
        <f t="array" ref="N90">INDEX(B90:M90,0,MATCH('PV IN'!$E$7,LkUP!B$66:M$66,0))</f>
        <v>-2.949556180770294E-3</v>
      </c>
      <c r="O90" s="133">
        <v>5.6970703198672352E-5</v>
      </c>
      <c r="P90" s="133">
        <v>-1.2239065760901269E-3</v>
      </c>
      <c r="Q90" s="133">
        <v>-5.1733855352084212E-4</v>
      </c>
      <c r="R90" s="133">
        <v>6.7153731849793593E-3</v>
      </c>
      <c r="S90" s="133">
        <v>-3.1594759229495034E-3</v>
      </c>
      <c r="T90" s="133">
        <v>-7.377033092131946E-3</v>
      </c>
      <c r="U90" s="133">
        <v>-5.5701534093569663E-3</v>
      </c>
      <c r="V90" s="133">
        <v>7.3235180002245905E-3</v>
      </c>
      <c r="W90" s="133">
        <v>-5.7347876463055211E-3</v>
      </c>
      <c r="X90" s="133">
        <v>-5.1892311234648459E-3</v>
      </c>
      <c r="Y90" s="133"/>
      <c r="Z90" s="133"/>
      <c r="AA90" s="134" cm="1">
        <f t="array" ref="AA90">INDEX(O90:Z90,0,MATCH('PV IN'!$E$7,LkUP!O$66:Z$66,0))</f>
        <v>-5.1892311234648459E-3</v>
      </c>
      <c r="AB90" s="133">
        <v>5.2984960547806251E-3</v>
      </c>
      <c r="AC90" s="133">
        <v>4.9491515979231866E-4</v>
      </c>
      <c r="AD90" s="133">
        <v>1.0828398224621021E-2</v>
      </c>
      <c r="AE90" s="133">
        <v>4.5441059239407578E-3</v>
      </c>
      <c r="AF90" s="133">
        <v>2.6373086774084151E-3</v>
      </c>
      <c r="AG90" s="133">
        <v>-7.5789357013683481E-3</v>
      </c>
      <c r="AH90" s="133">
        <v>5.3314670707097136E-3</v>
      </c>
      <c r="AI90" s="133">
        <v>2.1759161222772647E-3</v>
      </c>
      <c r="AJ90" s="133">
        <v>-5.4115574166919075E-3</v>
      </c>
      <c r="AK90" s="133">
        <v>1.4786078923868478E-2</v>
      </c>
      <c r="AL90" s="133"/>
      <c r="AM90" s="133"/>
      <c r="AN90" s="134" cm="1">
        <f t="array" ref="AN90">INDEX(AB90:AM90,0,MATCH('PV IN'!$E$7,LkUP!AB$66:AM$66,0))</f>
        <v>1.4786078923868478E-2</v>
      </c>
      <c r="AO90" s="133">
        <v>3.4560707167510338E-3</v>
      </c>
      <c r="AP90" s="133">
        <v>-6.1864396243327201E-5</v>
      </c>
      <c r="AQ90" s="133">
        <v>-3.6562123677515456E-3</v>
      </c>
      <c r="AR90" s="133">
        <v>6.6757580826980597E-3</v>
      </c>
      <c r="AS90" s="133">
        <v>-2.485227291420514E-3</v>
      </c>
      <c r="AT90" s="133">
        <v>-4.1406568187923832E-3</v>
      </c>
      <c r="AU90" s="133">
        <v>7.232042379491376E-3</v>
      </c>
      <c r="AV90" s="133">
        <v>1.4504501500500375E-3</v>
      </c>
      <c r="AW90" s="133">
        <v>5.8995033554340402E-3</v>
      </c>
      <c r="AX90" s="133">
        <v>2.5027273955353919E-3</v>
      </c>
      <c r="AY90" s="133"/>
      <c r="AZ90" s="133"/>
      <c r="BA90" s="134" cm="1">
        <f t="array" ref="BA90">INDEX(AO90:AZ90,0,MATCH('PV IN'!$E$7,LkUP!AO$66:AZ$66,0))</f>
        <v>2.5027273955353919E-3</v>
      </c>
      <c r="BB90" s="133">
        <v>-2.9032269369779744E-3</v>
      </c>
      <c r="BC90" s="133">
        <v>-4.3343791002741191E-3</v>
      </c>
      <c r="BD90" s="133">
        <v>-2.6068274126900318E-3</v>
      </c>
      <c r="BE90" s="133">
        <v>2.179895431749475E-3</v>
      </c>
      <c r="BF90" s="133">
        <v>9.6178493113183994E-3</v>
      </c>
      <c r="BG90" s="133">
        <v>-1.1955878626083534E-3</v>
      </c>
      <c r="BH90" s="133">
        <v>1.3686743014436283E-2</v>
      </c>
      <c r="BI90" s="133">
        <v>1.7204263087532176E-3</v>
      </c>
      <c r="BJ90" s="133">
        <v>2.5016792780303457E-2</v>
      </c>
      <c r="BK90" s="133">
        <v>-2.6579677517521037E-5</v>
      </c>
      <c r="BL90" s="133"/>
      <c r="BM90" s="133"/>
      <c r="BN90" s="134" cm="1">
        <f t="array" ref="BN90">INDEX(BB90:BM90,0,MATCH('PV IN'!$E$7,LkUP!BB$66:BM$66,0))</f>
        <v>-2.6579677517521037E-5</v>
      </c>
      <c r="BO90" s="133">
        <v>6.204739884221864E-3</v>
      </c>
      <c r="BP90" s="133">
        <v>3.355125308500983E-3</v>
      </c>
      <c r="BQ90" s="133">
        <v>2.4006854562197886E-3</v>
      </c>
      <c r="BR90" s="133">
        <v>2.5291423846788067E-2</v>
      </c>
      <c r="BS90" s="133">
        <v>2.7409673054750654E-3</v>
      </c>
      <c r="BT90" s="133">
        <v>-7.6337013793451622E-4</v>
      </c>
      <c r="BU90" s="133">
        <v>8.8318845646902962E-3</v>
      </c>
      <c r="BV90" s="133">
        <v>1.324039355472614E-2</v>
      </c>
      <c r="BW90" s="133">
        <v>7.5929236216741997E-3</v>
      </c>
      <c r="BX90" s="133">
        <v>-4.3890189564659903E-3</v>
      </c>
      <c r="BY90" s="133"/>
      <c r="BZ90" s="133"/>
      <c r="CA90" s="134" cm="1">
        <f t="array" ref="CA90">INDEX(BO90:BZ90,0,MATCH('PV IN'!$E$7,LkUP!BO$66:BZ$66,0))</f>
        <v>-4.3890189564659903E-3</v>
      </c>
      <c r="CB90" s="133">
        <v>-2.8822011378706915E-3</v>
      </c>
      <c r="CC90" s="133">
        <v>-5.5012197705684874E-3</v>
      </c>
      <c r="CD90" s="133">
        <v>-6.2084651920787885E-3</v>
      </c>
      <c r="CE90" s="133">
        <v>3.4612904658104029E-3</v>
      </c>
      <c r="CF90" s="133">
        <v>-2.3884589512545421E-3</v>
      </c>
      <c r="CG90" s="133">
        <v>-7.4111531304208826E-3</v>
      </c>
      <c r="CH90" s="133">
        <v>2.8071683699124441E-3</v>
      </c>
      <c r="CI90" s="133">
        <v>1.0706821524658645E-3</v>
      </c>
      <c r="CJ90" s="133">
        <v>-2.202553605898318E-3</v>
      </c>
      <c r="CK90" s="133">
        <v>-4.3323642797423222E-3</v>
      </c>
      <c r="CL90" s="133"/>
      <c r="CM90" s="133"/>
      <c r="CN90" s="134" cm="1">
        <f t="array" ref="CN90">INDEX(CB90:CM90,0,MATCH('PV IN'!$E$7,LkUP!CB$66:CM$66,0))</f>
        <v>-4.3323642797423222E-3</v>
      </c>
      <c r="CO90" s="133">
        <v>-5.0598289031004969E-3</v>
      </c>
      <c r="CP90" s="133">
        <v>-6.176857511485708E-3</v>
      </c>
      <c r="CQ90" s="133">
        <v>-8.8247984773721592E-3</v>
      </c>
      <c r="CR90" s="133">
        <v>-2.8700095499315588E-3</v>
      </c>
      <c r="CS90" s="133">
        <v>-1.4503444997384337E-3</v>
      </c>
      <c r="CT90" s="133">
        <v>-6.9870741649699772E-3</v>
      </c>
      <c r="CU90" s="133">
        <v>-3.2809085063116312E-4</v>
      </c>
      <c r="CV90" s="133">
        <v>-1.9528533802527662E-3</v>
      </c>
      <c r="CW90" s="133">
        <v>9.2473535614879341E-3</v>
      </c>
      <c r="CX90" s="133">
        <v>-5.6479130563516595E-3</v>
      </c>
      <c r="CY90" s="133"/>
      <c r="CZ90" s="133"/>
      <c r="DA90" s="134" cm="1">
        <f t="array" ref="DA90">INDEX(CO90:CZ90,0,MATCH('PV IN'!$E$7,LkUP!CO$66:CZ$66,0))</f>
        <v>-5.6479130563516595E-3</v>
      </c>
      <c r="DB90" s="133">
        <v>8.7664674214926238E-3</v>
      </c>
      <c r="DC90" s="133">
        <v>1.3176543067303605E-4</v>
      </c>
      <c r="DD90" s="133">
        <v>2.2142858030286261E-3</v>
      </c>
      <c r="DE90" s="133">
        <v>8.8386843658455026E-3</v>
      </c>
      <c r="DF90" s="133">
        <v>-1.0183767662275077E-3</v>
      </c>
      <c r="DG90" s="133">
        <v>-3.196745729674363E-3</v>
      </c>
      <c r="DH90" s="133">
        <v>-6.2976723354027015E-6</v>
      </c>
      <c r="DI90" s="133">
        <v>-2.5866719126902516E-4</v>
      </c>
      <c r="DJ90" s="133">
        <v>-5.760750781638402E-4</v>
      </c>
      <c r="DK90" s="133">
        <v>-4.3837921403496061E-3</v>
      </c>
      <c r="DL90" s="133"/>
      <c r="DM90" s="133"/>
      <c r="DN90" s="134" cm="1">
        <f t="array" ref="DN90">INDEX(DB90:DM90,0,MATCH('PV IN'!$E$7,LkUP!DB$66:DM$66,0))</f>
        <v>-4.3837921403496061E-3</v>
      </c>
    </row>
    <row r="91" spans="1:118" x14ac:dyDescent="0.25">
      <c r="A91">
        <v>2043</v>
      </c>
      <c r="B91" s="133">
        <v>-1.0333173133229906E-3</v>
      </c>
      <c r="C91" s="133">
        <v>-4.9272910007839852E-3</v>
      </c>
      <c r="D91" s="133">
        <v>-2.4265757812837888E-3</v>
      </c>
      <c r="E91" s="133">
        <v>-1.2559110812338946E-4</v>
      </c>
      <c r="F91" s="133">
        <v>-7.8937135302736014E-4</v>
      </c>
      <c r="G91" s="133">
        <v>-5.6127905510998206E-3</v>
      </c>
      <c r="H91" s="133">
        <v>4.3360106279259104E-3</v>
      </c>
      <c r="I91" s="133">
        <v>-2.3176561044578048E-3</v>
      </c>
      <c r="J91" s="133">
        <v>9.2902024217488455E-4</v>
      </c>
      <c r="K91" s="133">
        <v>-2.951012034502867E-3</v>
      </c>
      <c r="L91" s="133"/>
      <c r="M91" s="133"/>
      <c r="N91" s="134" cm="1">
        <f t="array" ref="N91">INDEX(B91:M91,0,MATCH('PV IN'!$E$7,LkUP!B$66:M$66,0))</f>
        <v>-2.951012034502867E-3</v>
      </c>
      <c r="O91" s="133">
        <v>7.2389109957871295E-4</v>
      </c>
      <c r="P91" s="133">
        <v>2.9700830404460221E-3</v>
      </c>
      <c r="Q91" s="133">
        <v>-9.1243329067009751E-4</v>
      </c>
      <c r="R91" s="133">
        <v>-5.2566183959320391E-3</v>
      </c>
      <c r="S91" s="133">
        <v>-7.5058970219439615E-3</v>
      </c>
      <c r="T91" s="133">
        <v>-3.0905107453971727E-3</v>
      </c>
      <c r="U91" s="133">
        <v>1.1223608456138929E-3</v>
      </c>
      <c r="V91" s="133">
        <v>-2.4303299055028586E-3</v>
      </c>
      <c r="W91" s="133">
        <v>8.1428271296872892E-4</v>
      </c>
      <c r="X91" s="133">
        <v>-5.4365326252388997E-3</v>
      </c>
      <c r="Y91" s="133"/>
      <c r="Z91" s="133"/>
      <c r="AA91" s="134" cm="1">
        <f t="array" ref="AA91">INDEX(O91:Z91,0,MATCH('PV IN'!$E$7,LkUP!O$66:Z$66,0))</f>
        <v>-5.4365326252388997E-3</v>
      </c>
      <c r="AB91" s="133">
        <v>4.2035261099302073E-3</v>
      </c>
      <c r="AC91" s="133">
        <v>-1.3607266073710266E-3</v>
      </c>
      <c r="AD91" s="133">
        <v>1.0243436212915256E-3</v>
      </c>
      <c r="AE91" s="133">
        <v>3.3182741022801951E-3</v>
      </c>
      <c r="AF91" s="133">
        <v>1.3175163389138253E-3</v>
      </c>
      <c r="AG91" s="133">
        <v>-7.523018752026671E-4</v>
      </c>
      <c r="AH91" s="133">
        <v>5.1332687855039508E-3</v>
      </c>
      <c r="AI91" s="133">
        <v>9.5842931187621334E-4</v>
      </c>
      <c r="AJ91" s="133">
        <v>-1.2449217423624898E-3</v>
      </c>
      <c r="AK91" s="133">
        <v>3.2517398602999064E-3</v>
      </c>
      <c r="AL91" s="133"/>
      <c r="AM91" s="133"/>
      <c r="AN91" s="134" cm="1">
        <f t="array" ref="AN91">INDEX(AB91:AM91,0,MATCH('PV IN'!$E$7,LkUP!AB$66:AM$66,0))</f>
        <v>3.2517398602999064E-3</v>
      </c>
      <c r="AO91" s="133">
        <v>-5.7011372374632724E-3</v>
      </c>
      <c r="AP91" s="133">
        <v>-6.1801555339076835E-5</v>
      </c>
      <c r="AQ91" s="133">
        <v>-9.5685046115657462E-3</v>
      </c>
      <c r="AR91" s="133">
        <v>6.3482724406860227E-3</v>
      </c>
      <c r="AS91" s="133">
        <v>-6.9778635732244652E-3</v>
      </c>
      <c r="AT91" s="133">
        <v>-1.7626566915413286E-3</v>
      </c>
      <c r="AU91" s="133">
        <v>-5.550808039043096E-3</v>
      </c>
      <c r="AV91" s="133">
        <v>-2.835999894650955E-3</v>
      </c>
      <c r="AW91" s="133">
        <v>3.0190423831232644E-3</v>
      </c>
      <c r="AX91" s="133">
        <v>-4.6788946144042829E-3</v>
      </c>
      <c r="AY91" s="133"/>
      <c r="AZ91" s="133"/>
      <c r="BA91" s="134" cm="1">
        <f t="array" ref="BA91">INDEX(AO91:AZ91,0,MATCH('PV IN'!$E$7,LkUP!AO$66:AZ$66,0))</f>
        <v>-4.6788946144042829E-3</v>
      </c>
      <c r="BB91" s="133">
        <v>2.5983506517561765E-4</v>
      </c>
      <c r="BC91" s="133">
        <v>-2.1367276964012879E-3</v>
      </c>
      <c r="BD91" s="133">
        <v>-1.3572416297434082E-3</v>
      </c>
      <c r="BE91" s="133">
        <v>7.9973070644258747E-3</v>
      </c>
      <c r="BF91" s="133">
        <v>6.226006231984469E-4</v>
      </c>
      <c r="BG91" s="133">
        <v>-6.1621845571602192E-3</v>
      </c>
      <c r="BH91" s="133">
        <v>-4.0951906427111832E-3</v>
      </c>
      <c r="BI91" s="133">
        <v>-5.3853350760639251E-5</v>
      </c>
      <c r="BJ91" s="133">
        <v>-4.2020726117092937E-3</v>
      </c>
      <c r="BK91" s="133">
        <v>-2.0422383845108277E-3</v>
      </c>
      <c r="BL91" s="133"/>
      <c r="BM91" s="133"/>
      <c r="BN91" s="134" cm="1">
        <f t="array" ref="BN91">INDEX(BB91:BM91,0,MATCH('PV IN'!$E$7,LkUP!BB$66:BM$66,0))</f>
        <v>-2.0422383845108277E-3</v>
      </c>
      <c r="BO91" s="133">
        <v>1.2219371451312839E-2</v>
      </c>
      <c r="BP91" s="133">
        <v>3.0785968891903219E-3</v>
      </c>
      <c r="BQ91" s="133">
        <v>7.7751641297123609E-3</v>
      </c>
      <c r="BR91" s="133">
        <v>9.1446047547423179E-3</v>
      </c>
      <c r="BS91" s="133">
        <v>5.5709820523249668E-3</v>
      </c>
      <c r="BT91" s="133">
        <v>1.8022241152944654E-5</v>
      </c>
      <c r="BU91" s="133">
        <v>7.30289012600948E-3</v>
      </c>
      <c r="BV91" s="133">
        <v>9.6498780805432931E-3</v>
      </c>
      <c r="BW91" s="133">
        <v>-2.5894434491759138E-3</v>
      </c>
      <c r="BX91" s="133">
        <v>-2.3430396084788605E-5</v>
      </c>
      <c r="BY91" s="133"/>
      <c r="BZ91" s="133"/>
      <c r="CA91" s="134" cm="1">
        <f t="array" ref="CA91">INDEX(BO91:BZ91,0,MATCH('PV IN'!$E$7,LkUP!BO$66:BZ$66,0))</f>
        <v>-2.3430396084788605E-5</v>
      </c>
      <c r="CB91" s="133">
        <v>-3.9927177523425821E-3</v>
      </c>
      <c r="CC91" s="133">
        <v>-3.708070022392975E-3</v>
      </c>
      <c r="CD91" s="133">
        <v>-3.0955748292010553E-3</v>
      </c>
      <c r="CE91" s="133">
        <v>-1.1893447251731938E-3</v>
      </c>
      <c r="CF91" s="133">
        <v>-1.8375216570456203E-3</v>
      </c>
      <c r="CG91" s="133">
        <v>-4.2286776559549571E-3</v>
      </c>
      <c r="CH91" s="133">
        <v>5.4376346837875962E-3</v>
      </c>
      <c r="CI91" s="133">
        <v>1.7978540236649365E-3</v>
      </c>
      <c r="CJ91" s="133">
        <v>-4.5968704571388774E-3</v>
      </c>
      <c r="CK91" s="133">
        <v>-2.6760654930713442E-3</v>
      </c>
      <c r="CL91" s="133"/>
      <c r="CM91" s="133"/>
      <c r="CN91" s="134" cm="1">
        <f t="array" ref="CN91">INDEX(CB91:CM91,0,MATCH('PV IN'!$E$7,LkUP!CB$66:CM$66,0))</f>
        <v>-2.6760654930713442E-3</v>
      </c>
      <c r="CO91" s="133">
        <v>-8.3053830285197364E-3</v>
      </c>
      <c r="CP91" s="133">
        <v>-8.6482488186272344E-3</v>
      </c>
      <c r="CQ91" s="133">
        <v>-1.0760392491594108E-2</v>
      </c>
      <c r="CR91" s="133">
        <v>-5.7658745401019127E-3</v>
      </c>
      <c r="CS91" s="133">
        <v>-5.1133910726183125E-3</v>
      </c>
      <c r="CT91" s="133">
        <v>-9.8024529904977269E-3</v>
      </c>
      <c r="CU91" s="133">
        <v>-1.8454415073939966E-3</v>
      </c>
      <c r="CV91" s="133">
        <v>-1.5973863664584347E-3</v>
      </c>
      <c r="CW91" s="133">
        <v>4.4156205453611065E-4</v>
      </c>
      <c r="CX91" s="133">
        <v>-6.6270716700729763E-3</v>
      </c>
      <c r="CY91" s="133"/>
      <c r="CZ91" s="133"/>
      <c r="DA91" s="134" cm="1">
        <f t="array" ref="DA91">INDEX(CO91:CZ91,0,MATCH('PV IN'!$E$7,LkUP!CO$66:CZ$66,0))</f>
        <v>-6.6270716700729763E-3</v>
      </c>
      <c r="DB91" s="133">
        <v>6.6576812950594156E-3</v>
      </c>
      <c r="DC91" s="133">
        <v>-1.0386526483005077E-2</v>
      </c>
      <c r="DD91" s="133">
        <v>-4.6555977374543953E-3</v>
      </c>
      <c r="DE91" s="133">
        <v>6.0559693968723354E-4</v>
      </c>
      <c r="DF91" s="133">
        <v>-7.9525223092473604E-3</v>
      </c>
      <c r="DG91" s="133">
        <v>-5.8834614263515318E-3</v>
      </c>
      <c r="DH91" s="133">
        <v>-4.0801462251610753E-3</v>
      </c>
      <c r="DI91" s="133">
        <v>-5.3401824182479677E-4</v>
      </c>
      <c r="DJ91" s="133">
        <v>-7.2847527545088419E-3</v>
      </c>
      <c r="DK91" s="133">
        <v>-3.7072583006783314E-3</v>
      </c>
      <c r="DL91" s="133"/>
      <c r="DM91" s="133"/>
      <c r="DN91" s="134" cm="1">
        <f t="array" ref="DN91">INDEX(DB91:DM91,0,MATCH('PV IN'!$E$7,LkUP!DB$66:DM$66,0))</f>
        <v>-3.7072583006783314E-3</v>
      </c>
    </row>
    <row r="92" spans="1:118" x14ac:dyDescent="0.25">
      <c r="A92">
        <v>2044</v>
      </c>
      <c r="B92" s="133">
        <v>5.615915588807498E-4</v>
      </c>
      <c r="C92" s="133">
        <v>-2.1891146957083787E-3</v>
      </c>
      <c r="D92" s="133">
        <v>4.937931446860333E-4</v>
      </c>
      <c r="E92" s="133">
        <v>-4.7446037532971458E-4</v>
      </c>
      <c r="F92" s="133">
        <v>2.7011910881088478E-3</v>
      </c>
      <c r="G92" s="133">
        <v>-2.3029326786016473E-3</v>
      </c>
      <c r="H92" s="133">
        <v>3.7720831237294319E-3</v>
      </c>
      <c r="I92" s="133">
        <v>-2.4347629904184504E-3</v>
      </c>
      <c r="J92" s="133">
        <v>3.3936728934848169E-3</v>
      </c>
      <c r="K92" s="133">
        <v>-3.0434835956128442E-3</v>
      </c>
      <c r="L92" s="133"/>
      <c r="M92" s="133"/>
      <c r="N92" s="134" cm="1">
        <f t="array" ref="N92">INDEX(B92:M92,0,MATCH('PV IN'!$E$7,LkUP!B$66:M$66,0))</f>
        <v>-3.0434835956128442E-3</v>
      </c>
      <c r="O92" s="133">
        <v>1.7198318341315787E-3</v>
      </c>
      <c r="P92" s="133">
        <v>-2.2408696666342707E-3</v>
      </c>
      <c r="Q92" s="133">
        <v>-6.6099465523483572E-4</v>
      </c>
      <c r="R92" s="133">
        <v>2.2449186550890867E-2</v>
      </c>
      <c r="S92" s="133">
        <v>3.8181283015573418E-4</v>
      </c>
      <c r="T92" s="133">
        <v>1.6150459939347991E-3</v>
      </c>
      <c r="U92" s="133">
        <v>3.6860963603699863E-3</v>
      </c>
      <c r="V92" s="133">
        <v>-7.5024135292477991E-4</v>
      </c>
      <c r="W92" s="133">
        <v>1.9248742936732195E-2</v>
      </c>
      <c r="X92" s="133">
        <v>-2.9114144873083705E-3</v>
      </c>
      <c r="Y92" s="133"/>
      <c r="Z92" s="133"/>
      <c r="AA92" s="134" cm="1">
        <f t="array" ref="AA92">INDEX(O92:Z92,0,MATCH('PV IN'!$E$7,LkUP!O$66:Z$66,0))</f>
        <v>-2.9114144873083705E-3</v>
      </c>
      <c r="AB92" s="133">
        <v>-1.6056928127396277E-3</v>
      </c>
      <c r="AC92" s="133">
        <v>-7.1630275914703195E-3</v>
      </c>
      <c r="AD92" s="133">
        <v>-3.5610348332656408E-4</v>
      </c>
      <c r="AE92" s="133">
        <v>-3.6023223594984429E-4</v>
      </c>
      <c r="AF92" s="133">
        <v>1.9192022790204409E-3</v>
      </c>
      <c r="AG92" s="133">
        <v>4.9924513260927901E-3</v>
      </c>
      <c r="AH92" s="133">
        <v>4.0214468356405443E-3</v>
      </c>
      <c r="AI92" s="133">
        <v>1.1554107959619207E-3</v>
      </c>
      <c r="AJ92" s="133">
        <v>6.4581587525355064E-3</v>
      </c>
      <c r="AK92" s="133">
        <v>-1.64834183656952E-3</v>
      </c>
      <c r="AL92" s="133"/>
      <c r="AM92" s="133"/>
      <c r="AN92" s="134" cm="1">
        <f t="array" ref="AN92">INDEX(AB92:AM92,0,MATCH('PV IN'!$E$7,LkUP!AB$66:AM$66,0))</f>
        <v>-1.64834183656952E-3</v>
      </c>
      <c r="AO92" s="133">
        <v>-8.4041496889223158E-4</v>
      </c>
      <c r="AP92" s="133">
        <v>3.067900138382039E-3</v>
      </c>
      <c r="AQ92" s="133">
        <v>-3.6774242606268529E-3</v>
      </c>
      <c r="AR92" s="133">
        <v>1.1748787557774048E-2</v>
      </c>
      <c r="AS92" s="133">
        <v>-1.2233003852117547E-3</v>
      </c>
      <c r="AT92" s="133">
        <v>4.1306552114742517E-3</v>
      </c>
      <c r="AU92" s="133">
        <v>6.5903771974015549E-3</v>
      </c>
      <c r="AV92" s="133">
        <v>3.6850142265058681E-4</v>
      </c>
      <c r="AW92" s="133">
        <v>3.4775835203329272E-5</v>
      </c>
      <c r="AX92" s="133">
        <v>-1.4089244343158773E-3</v>
      </c>
      <c r="AY92" s="133"/>
      <c r="AZ92" s="133"/>
      <c r="BA92" s="134" cm="1">
        <f t="array" ref="BA92">INDEX(AO92:AZ92,0,MATCH('PV IN'!$E$7,LkUP!AO$66:AZ$66,0))</f>
        <v>-1.4089244343158773E-3</v>
      </c>
      <c r="BB92" s="133">
        <v>-1.3642214377635711E-2</v>
      </c>
      <c r="BC92" s="133">
        <v>-3.809051387232136E-3</v>
      </c>
      <c r="BD92" s="133">
        <v>-4.1156390995551557E-3</v>
      </c>
      <c r="BE92" s="133">
        <v>3.5821515617587749E-3</v>
      </c>
      <c r="BF92" s="133">
        <v>-1.4095001858797185E-3</v>
      </c>
      <c r="BG92" s="133">
        <v>-7.6332188040054089E-3</v>
      </c>
      <c r="BH92" s="133">
        <v>2.0613314292986785E-2</v>
      </c>
      <c r="BI92" s="133">
        <v>2.2384599065975873E-4</v>
      </c>
      <c r="BJ92" s="133">
        <v>4.7123604182086202E-3</v>
      </c>
      <c r="BK92" s="133">
        <v>-9.8994551394138534E-3</v>
      </c>
      <c r="BL92" s="133"/>
      <c r="BM92" s="133"/>
      <c r="BN92" s="134" cm="1">
        <f t="array" ref="BN92">INDEX(BB92:BM92,0,MATCH('PV IN'!$E$7,LkUP!BB$66:BM$66,0))</f>
        <v>-9.8994551394138534E-3</v>
      </c>
      <c r="BO92" s="133">
        <v>1.1098687678645244E-2</v>
      </c>
      <c r="BP92" s="133">
        <v>-1.5060807514755484E-3</v>
      </c>
      <c r="BQ92" s="133">
        <v>1.0024490028531651E-2</v>
      </c>
      <c r="BR92" s="133">
        <v>8.0363699355877685E-3</v>
      </c>
      <c r="BS92" s="133">
        <v>1.3553451781895496E-2</v>
      </c>
      <c r="BT92" s="133">
        <v>1.0329403638662707E-3</v>
      </c>
      <c r="BU92" s="133">
        <v>1.6942791223926609E-2</v>
      </c>
      <c r="BV92" s="133">
        <v>5.8208417612294634E-3</v>
      </c>
      <c r="BW92" s="133">
        <v>3.5812131903080642E-3</v>
      </c>
      <c r="BX92" s="133">
        <v>1.4928090541656142E-3</v>
      </c>
      <c r="BY92" s="133"/>
      <c r="BZ92" s="133"/>
      <c r="CA92" s="134" cm="1">
        <f t="array" ref="CA92">INDEX(BO92:BZ92,0,MATCH('PV IN'!$E$7,LkUP!BO$66:BZ$66,0))</f>
        <v>1.4928090541656142E-3</v>
      </c>
      <c r="CB92" s="133">
        <v>1.1115575141167882E-3</v>
      </c>
      <c r="CC92" s="133">
        <v>3.9207130658961055E-4</v>
      </c>
      <c r="CD92" s="133">
        <v>-4.0058281638424603E-4</v>
      </c>
      <c r="CE92" s="133">
        <v>6.8582896955619943E-3</v>
      </c>
      <c r="CF92" s="133">
        <v>1.0958147474062342E-3</v>
      </c>
      <c r="CG92" s="133">
        <v>1.7286165411089342E-3</v>
      </c>
      <c r="CH92" s="133">
        <v>4.7402507993524554E-3</v>
      </c>
      <c r="CI92" s="133">
        <v>2.8576242495305387E-4</v>
      </c>
      <c r="CJ92" s="133">
        <v>1.4865859940017446E-2</v>
      </c>
      <c r="CK92" s="133">
        <v>-1.104679554950714E-3</v>
      </c>
      <c r="CL92" s="133"/>
      <c r="CM92" s="133"/>
      <c r="CN92" s="134" cm="1">
        <f t="array" ref="CN92">INDEX(CB92:CM92,0,MATCH('PV IN'!$E$7,LkUP!CB$66:CM$66,0))</f>
        <v>-1.104679554950714E-3</v>
      </c>
      <c r="CO92" s="133">
        <v>-4.7686338932877688E-3</v>
      </c>
      <c r="CP92" s="133">
        <v>-4.649296063652518E-3</v>
      </c>
      <c r="CQ92" s="133">
        <v>-4.8025860502679159E-3</v>
      </c>
      <c r="CR92" s="133">
        <v>-2.974624227700332E-3</v>
      </c>
      <c r="CS92" s="133">
        <v>-1.8701719770191508E-4</v>
      </c>
      <c r="CT92" s="133">
        <v>-7.0051232508519636E-3</v>
      </c>
      <c r="CU92" s="133">
        <v>-1.8754858693084931E-3</v>
      </c>
      <c r="CV92" s="133">
        <v>-6.8730644833473928E-4</v>
      </c>
      <c r="CW92" s="133">
        <v>4.9502270401458378E-3</v>
      </c>
      <c r="CX92" s="133">
        <v>-3.587308887250455E-3</v>
      </c>
      <c r="CY92" s="133"/>
      <c r="CZ92" s="133"/>
      <c r="DA92" s="134" cm="1">
        <f t="array" ref="DA92">INDEX(CO92:CZ92,0,MATCH('PV IN'!$E$7,LkUP!CO$66:CZ$66,0))</f>
        <v>-3.587308887250455E-3</v>
      </c>
      <c r="DB92" s="133">
        <v>2.3679485594908273E-3</v>
      </c>
      <c r="DC92" s="133">
        <v>7.3303160137778154E-4</v>
      </c>
      <c r="DD92" s="133">
        <v>-7.1540311628570338E-4</v>
      </c>
      <c r="DE92" s="133">
        <v>4.7874578992553058E-3</v>
      </c>
      <c r="DF92" s="133">
        <v>-6.1442629492270565E-3</v>
      </c>
      <c r="DG92" s="133">
        <v>3.5536120487722608E-3</v>
      </c>
      <c r="DH92" s="133">
        <v>-2.2992421786049697E-3</v>
      </c>
      <c r="DI92" s="133">
        <v>1.5837908504987229E-3</v>
      </c>
      <c r="DJ92" s="133">
        <v>-2.1337769633460132E-3</v>
      </c>
      <c r="DK92" s="133">
        <v>-3.34726102117947E-4</v>
      </c>
      <c r="DL92" s="133"/>
      <c r="DM92" s="133"/>
      <c r="DN92" s="134" cm="1">
        <f t="array" ref="DN92">INDEX(DB92:DM92,0,MATCH('PV IN'!$E$7,LkUP!DB$66:DM$66,0))</f>
        <v>-3.34726102117947E-4</v>
      </c>
    </row>
    <row r="93" spans="1:118" x14ac:dyDescent="0.25">
      <c r="A93">
        <v>2045</v>
      </c>
      <c r="B93" s="133">
        <v>1.2132993768139719E-3</v>
      </c>
      <c r="C93" s="133">
        <v>-2.5882532210411022E-4</v>
      </c>
      <c r="D93" s="133">
        <v>-1.4971496367556473E-3</v>
      </c>
      <c r="E93" s="133">
        <v>3.9445211170128702E-3</v>
      </c>
      <c r="F93" s="133">
        <v>2.3379641084574614E-3</v>
      </c>
      <c r="G93" s="133">
        <v>-5.0927589133433248E-3</v>
      </c>
      <c r="H93" s="133">
        <v>6.6976204908178894E-4</v>
      </c>
      <c r="I93" s="133">
        <v>-1.7220513961980927E-4</v>
      </c>
      <c r="J93" s="133">
        <v>-4.777987985484899E-4</v>
      </c>
      <c r="K93" s="133">
        <v>-2.6153154353935003E-3</v>
      </c>
      <c r="L93" s="133"/>
      <c r="M93" s="133"/>
      <c r="N93" s="134" cm="1">
        <f t="array" ref="N93">INDEX(B93:M93,0,MATCH('PV IN'!$E$7,LkUP!B$66:M$66,0))</f>
        <v>-2.6153154353935003E-3</v>
      </c>
      <c r="O93" s="133">
        <v>-3.1648116589081347E-3</v>
      </c>
      <c r="P93" s="133">
        <v>-6.3227154467738553E-3</v>
      </c>
      <c r="Q93" s="133">
        <v>2.5867706059586409E-3</v>
      </c>
      <c r="R93" s="133">
        <v>1.1764477331126899E-2</v>
      </c>
      <c r="S93" s="133">
        <v>5.5677495237571118E-4</v>
      </c>
      <c r="T93" s="133">
        <v>6.3674207209909854E-4</v>
      </c>
      <c r="U93" s="133">
        <v>-2.9401764274511076E-3</v>
      </c>
      <c r="V93" s="133">
        <v>4.0732638797297462E-3</v>
      </c>
      <c r="W93" s="133">
        <v>1.066835825482533E-2</v>
      </c>
      <c r="X93" s="133">
        <v>-2.0848599743488439E-3</v>
      </c>
      <c r="Y93" s="133"/>
      <c r="Z93" s="133"/>
      <c r="AA93" s="134" cm="1">
        <f t="array" ref="AA93">INDEX(O93:Z93,0,MATCH('PV IN'!$E$7,LkUP!O$66:Z$66,0))</f>
        <v>-2.0848599743488439E-3</v>
      </c>
      <c r="AB93" s="133">
        <v>-1.0329681473027308E-3</v>
      </c>
      <c r="AC93" s="133">
        <v>-1.2063084937421072E-3</v>
      </c>
      <c r="AD93" s="133">
        <v>-4.8916178904897306E-3</v>
      </c>
      <c r="AE93" s="133">
        <v>1.0192019525923596E-2</v>
      </c>
      <c r="AF93" s="133">
        <v>4.0175266549811401E-3</v>
      </c>
      <c r="AG93" s="133">
        <v>-1.788199642913414E-3</v>
      </c>
      <c r="AH93" s="133">
        <v>-2.0785073752731871E-2</v>
      </c>
      <c r="AI93" s="133">
        <v>2.418283173483326E-3</v>
      </c>
      <c r="AJ93" s="133">
        <v>-3.5703113391333502E-6</v>
      </c>
      <c r="AK93" s="133">
        <v>-1.2631658738354828E-3</v>
      </c>
      <c r="AL93" s="133"/>
      <c r="AM93" s="133"/>
      <c r="AN93" s="134" cm="1">
        <f t="array" ref="AN93">INDEX(AB93:AM93,0,MATCH('PV IN'!$E$7,LkUP!AB$66:AM$66,0))</f>
        <v>-1.2631658738354828E-3</v>
      </c>
      <c r="AO93" s="133">
        <v>-1.3630988242265769E-4</v>
      </c>
      <c r="AP93" s="133">
        <v>2.3530197657515317E-3</v>
      </c>
      <c r="AQ93" s="133">
        <v>1.4017707936413105E-3</v>
      </c>
      <c r="AR93" s="133">
        <v>6.8142051361935862E-3</v>
      </c>
      <c r="AS93" s="133">
        <v>1.9340534977395367E-3</v>
      </c>
      <c r="AT93" s="133">
        <v>1.7084653249815237E-4</v>
      </c>
      <c r="AU93" s="133">
        <v>4.8967983886305097E-3</v>
      </c>
      <c r="AV93" s="133">
        <v>3.7569227112995872E-3</v>
      </c>
      <c r="AW93" s="133">
        <v>7.7377775147190338E-4</v>
      </c>
      <c r="AX93" s="133">
        <v>4.5083590193579466E-3</v>
      </c>
      <c r="AY93" s="133"/>
      <c r="AZ93" s="133"/>
      <c r="BA93" s="134" cm="1">
        <f t="array" ref="BA93">INDEX(AO93:AZ93,0,MATCH('PV IN'!$E$7,LkUP!AO$66:AZ$66,0))</f>
        <v>4.5083590193579466E-3</v>
      </c>
      <c r="BB93" s="133">
        <v>-3.5682502439079596E-3</v>
      </c>
      <c r="BC93" s="133">
        <v>-4.7177072295035176E-3</v>
      </c>
      <c r="BD93" s="133">
        <v>3.0058033974337411E-4</v>
      </c>
      <c r="BE93" s="133">
        <v>3.5327893867946611E-3</v>
      </c>
      <c r="BF93" s="133">
        <v>1.3144075748037364E-3</v>
      </c>
      <c r="BG93" s="133">
        <v>-5.726954253771714E-3</v>
      </c>
      <c r="BH93" s="133">
        <v>-1.6680059345143976E-2</v>
      </c>
      <c r="BI93" s="133">
        <v>2.6628144070712178E-3</v>
      </c>
      <c r="BJ93" s="133">
        <v>-1.3635936491438972E-2</v>
      </c>
      <c r="BK93" s="133">
        <v>-1.0601175596637726E-2</v>
      </c>
      <c r="BL93" s="133"/>
      <c r="BM93" s="133"/>
      <c r="BN93" s="134" cm="1">
        <f t="array" ref="BN93">INDEX(BB93:BM93,0,MATCH('PV IN'!$E$7,LkUP!BB$66:BM$66,0))</f>
        <v>-1.0601175596637726E-2</v>
      </c>
      <c r="BO93" s="133">
        <v>9.9196246264864219E-3</v>
      </c>
      <c r="BP93" s="133">
        <v>-6.9231136631818307E-4</v>
      </c>
      <c r="BQ93" s="133">
        <v>7.6782625513955967E-3</v>
      </c>
      <c r="BR93" s="133">
        <v>6.1174952700270352E-3</v>
      </c>
      <c r="BS93" s="133">
        <v>1.6945862414031794E-2</v>
      </c>
      <c r="BT93" s="133">
        <v>6.0077078845730391E-3</v>
      </c>
      <c r="BU93" s="133">
        <v>1.4136773603171535E-2</v>
      </c>
      <c r="BV93" s="133">
        <v>6.8169228625428475E-3</v>
      </c>
      <c r="BW93" s="133">
        <v>3.8078689659185204E-3</v>
      </c>
      <c r="BX93" s="133">
        <v>-1.3502525583491392E-4</v>
      </c>
      <c r="BY93" s="133"/>
      <c r="BZ93" s="133"/>
      <c r="CA93" s="134" cm="1">
        <f t="array" ref="CA93">INDEX(BO93:BZ93,0,MATCH('PV IN'!$E$7,LkUP!BO$66:BZ$66,0))</f>
        <v>-1.3502525583491392E-4</v>
      </c>
      <c r="CB93" s="133">
        <v>4.6305191505386194E-3</v>
      </c>
      <c r="CC93" s="133">
        <v>-6.911955767564201E-4</v>
      </c>
      <c r="CD93" s="133">
        <v>1.1683849297982577E-3</v>
      </c>
      <c r="CE93" s="133">
        <v>1.0681884084137668E-2</v>
      </c>
      <c r="CF93" s="133">
        <v>-1.5805887177254506E-4</v>
      </c>
      <c r="CG93" s="133">
        <v>-2.0184366689255913E-3</v>
      </c>
      <c r="CH93" s="133">
        <v>1.0463928212353733E-3</v>
      </c>
      <c r="CI93" s="133">
        <v>2.9292873941720297E-3</v>
      </c>
      <c r="CJ93" s="133">
        <v>-3.9310411117240021E-3</v>
      </c>
      <c r="CK93" s="133">
        <v>-3.2176793948538818E-4</v>
      </c>
      <c r="CL93" s="133"/>
      <c r="CM93" s="133"/>
      <c r="CN93" s="134" cm="1">
        <f t="array" ref="CN93">INDEX(CB93:CM93,0,MATCH('PV IN'!$E$7,LkUP!CB$66:CM$66,0))</f>
        <v>-3.2176793948538818E-4</v>
      </c>
      <c r="CO93" s="133">
        <v>-2.7860542027685212E-3</v>
      </c>
      <c r="CP93" s="133">
        <v>-2.2291214844279016E-3</v>
      </c>
      <c r="CQ93" s="133">
        <v>-3.7049652507907148E-3</v>
      </c>
      <c r="CR93" s="133">
        <v>7.077769996674285E-4</v>
      </c>
      <c r="CS93" s="133">
        <v>4.0411014238015887E-5</v>
      </c>
      <c r="CT93" s="133">
        <v>-5.5727729426564366E-3</v>
      </c>
      <c r="CU93" s="133">
        <v>1.0481735269051717E-3</v>
      </c>
      <c r="CV93" s="133">
        <v>-5.642348122950906E-5</v>
      </c>
      <c r="CW93" s="133">
        <v>-3.5122018807193001E-4</v>
      </c>
      <c r="CX93" s="133">
        <v>-1.7276211495761175E-3</v>
      </c>
      <c r="CY93" s="133"/>
      <c r="CZ93" s="133"/>
      <c r="DA93" s="134" cm="1">
        <f t="array" ref="DA93">INDEX(CO93:CZ93,0,MATCH('PV IN'!$E$7,LkUP!CO$66:CZ$66,0))</f>
        <v>-1.7276211495761175E-3</v>
      </c>
      <c r="DB93" s="133">
        <v>-6.5970249089734555E-3</v>
      </c>
      <c r="DC93" s="133">
        <v>-3.2402574910579537E-3</v>
      </c>
      <c r="DD93" s="133">
        <v>-6.4094396124541536E-3</v>
      </c>
      <c r="DE93" s="133">
        <v>-4.1691154915780267E-3</v>
      </c>
      <c r="DF93" s="133">
        <v>-4.4590156106051335E-3</v>
      </c>
      <c r="DG93" s="133">
        <v>-1.1773249214651003E-2</v>
      </c>
      <c r="DH93" s="133">
        <v>-1.371548799185027E-3</v>
      </c>
      <c r="DI93" s="133">
        <v>1.2583740403523105E-3</v>
      </c>
      <c r="DJ93" s="133">
        <v>2.9452809083978229E-3</v>
      </c>
      <c r="DK93" s="133">
        <v>-1.8240473191835497E-4</v>
      </c>
      <c r="DL93" s="133"/>
      <c r="DM93" s="133"/>
      <c r="DN93" s="134" cm="1">
        <f t="array" ref="DN93">INDEX(DB93:DM93,0,MATCH('PV IN'!$E$7,LkUP!DB$66:DM$66,0))</f>
        <v>-1.8240473191835497E-4</v>
      </c>
    </row>
    <row r="94" spans="1:118" x14ac:dyDescent="0.25">
      <c r="A94">
        <v>2046</v>
      </c>
      <c r="B94" s="133">
        <v>-4.9198123117866312E-3</v>
      </c>
      <c r="C94" s="133">
        <v>1.5043931641685014E-3</v>
      </c>
      <c r="D94" s="133">
        <v>-2.4476997347599142E-3</v>
      </c>
      <c r="E94" s="133">
        <v>2.6654626611774106E-4</v>
      </c>
      <c r="F94" s="133">
        <v>3.5946372123178038E-4</v>
      </c>
      <c r="G94" s="133">
        <v>-3.4918221481706128E-3</v>
      </c>
      <c r="H94" s="133">
        <v>-3.5506036300751772E-3</v>
      </c>
      <c r="I94" s="133">
        <v>-5.9993366550793552E-4</v>
      </c>
      <c r="J94" s="133">
        <v>-1.323857728448451E-2</v>
      </c>
      <c r="K94" s="133">
        <v>-1.8580524186564303E-3</v>
      </c>
      <c r="L94" s="133"/>
      <c r="M94" s="133"/>
      <c r="N94" s="134" cm="1">
        <f t="array" ref="N94">INDEX(B94:M94,0,MATCH('PV IN'!$E$7,LkUP!B$66:M$66,0))</f>
        <v>-1.8580524186564303E-3</v>
      </c>
      <c r="O94" s="133">
        <v>-7.4117903595569941E-3</v>
      </c>
      <c r="P94" s="133">
        <v>2.5018813418243011E-3</v>
      </c>
      <c r="Q94" s="133">
        <v>3.1137492529715585E-3</v>
      </c>
      <c r="R94" s="133">
        <v>3.5385080414069479E-3</v>
      </c>
      <c r="S94" s="133">
        <v>-5.0506643927160811E-4</v>
      </c>
      <c r="T94" s="133">
        <v>-4.9233443696596003E-3</v>
      </c>
      <c r="U94" s="133">
        <v>6.4743954387057418E-3</v>
      </c>
      <c r="V94" s="133">
        <v>3.6405688938524259E-5</v>
      </c>
      <c r="W94" s="133">
        <v>-1.0561872877569572E-2</v>
      </c>
      <c r="X94" s="133">
        <v>-1.1618291002862126E-3</v>
      </c>
      <c r="Y94" s="133"/>
      <c r="Z94" s="133"/>
      <c r="AA94" s="134" cm="1">
        <f t="array" ref="AA94">INDEX(O94:Z94,0,MATCH('PV IN'!$E$7,LkUP!O$66:Z$66,0))</f>
        <v>-1.1618291002862126E-3</v>
      </c>
      <c r="AB94" s="133">
        <v>-3.1504214884182863E-3</v>
      </c>
      <c r="AC94" s="133">
        <v>-6.7427993048955175E-3</v>
      </c>
      <c r="AD94" s="133">
        <v>-5.6985800730999661E-3</v>
      </c>
      <c r="AE94" s="133">
        <v>-3.1665712273925314E-4</v>
      </c>
      <c r="AF94" s="133">
        <v>2.0046684786619124E-3</v>
      </c>
      <c r="AG94" s="133">
        <v>-3.2341640157754108E-3</v>
      </c>
      <c r="AH94" s="133">
        <v>1.1528323895364056E-3</v>
      </c>
      <c r="AI94" s="133">
        <v>2.0525787373315732E-3</v>
      </c>
      <c r="AJ94" s="133">
        <v>-6.0283277969037799E-3</v>
      </c>
      <c r="AK94" s="133">
        <v>-1.0890539705036683E-3</v>
      </c>
      <c r="AL94" s="133"/>
      <c r="AM94" s="133"/>
      <c r="AN94" s="134" cm="1">
        <f t="array" ref="AN94">INDEX(AB94:AM94,0,MATCH('PV IN'!$E$7,LkUP!AB$66:AM$66,0))</f>
        <v>-1.0890539705036683E-3</v>
      </c>
      <c r="AO94" s="133">
        <v>1.101435684529586E-3</v>
      </c>
      <c r="AP94" s="133">
        <v>-3.2240148372918022E-3</v>
      </c>
      <c r="AQ94" s="133">
        <v>4.7401474178759891E-3</v>
      </c>
      <c r="AR94" s="133">
        <v>5.3392710936913659E-3</v>
      </c>
      <c r="AS94" s="133">
        <v>5.4862455710815985E-3</v>
      </c>
      <c r="AT94" s="133">
        <v>-1.053523068169178E-3</v>
      </c>
      <c r="AU94" s="133">
        <v>5.4492119208551246E-3</v>
      </c>
      <c r="AV94" s="133">
        <v>9.1643648234574057E-4</v>
      </c>
      <c r="AW94" s="133">
        <v>1.0598229523195203E-3</v>
      </c>
      <c r="AX94" s="133">
        <v>3.0611619105860902E-3</v>
      </c>
      <c r="AY94" s="133"/>
      <c r="AZ94" s="133"/>
      <c r="BA94" s="134" cm="1">
        <f t="array" ref="BA94">INDEX(AO94:AZ94,0,MATCH('PV IN'!$E$7,LkUP!AO$66:AZ$66,0))</f>
        <v>3.0611619105860902E-3</v>
      </c>
      <c r="BB94" s="133">
        <v>1.0633119793267401E-3</v>
      </c>
      <c r="BC94" s="133">
        <v>-1.1323074474669948E-2</v>
      </c>
      <c r="BD94" s="133">
        <v>4.305264353583031E-4</v>
      </c>
      <c r="BE94" s="133">
        <v>-2.7617864674114059E-2</v>
      </c>
      <c r="BF94" s="133">
        <v>2.5753134404315646E-3</v>
      </c>
      <c r="BG94" s="133">
        <v>-1.2784063532314906E-2</v>
      </c>
      <c r="BH94" s="133">
        <v>1.9416979395414421E-2</v>
      </c>
      <c r="BI94" s="133">
        <v>-2.971292564527727E-3</v>
      </c>
      <c r="BJ94" s="133">
        <v>1.0260720611393282E-2</v>
      </c>
      <c r="BK94" s="133">
        <v>1.1389555744764589E-2</v>
      </c>
      <c r="BL94" s="133"/>
      <c r="BM94" s="133"/>
      <c r="BN94" s="134" cm="1">
        <f t="array" ref="BN94">INDEX(BB94:BM94,0,MATCH('PV IN'!$E$7,LkUP!BB$66:BM$66,0))</f>
        <v>1.1389555744764589E-2</v>
      </c>
      <c r="BO94" s="133">
        <v>6.1351890278233817E-3</v>
      </c>
      <c r="BP94" s="133">
        <v>5.054305126957097E-3</v>
      </c>
      <c r="BQ94" s="133">
        <v>5.5348263857554567E-3</v>
      </c>
      <c r="BR94" s="133">
        <v>2.7591732432693484E-3</v>
      </c>
      <c r="BS94" s="133">
        <v>1.2898646201486385E-2</v>
      </c>
      <c r="BT94" s="133">
        <v>-4.4206411370732411E-3</v>
      </c>
      <c r="BU94" s="133">
        <v>1.0151234742476818E-2</v>
      </c>
      <c r="BV94" s="133">
        <v>4.9042984336992628E-3</v>
      </c>
      <c r="BW94" s="133">
        <v>5.8371232354466956E-3</v>
      </c>
      <c r="BX94" s="133">
        <v>-2.0975740380804633E-3</v>
      </c>
      <c r="BY94" s="133"/>
      <c r="BZ94" s="133"/>
      <c r="CA94" s="134" cm="1">
        <f t="array" ref="CA94">INDEX(BO94:BZ94,0,MATCH('PV IN'!$E$7,LkUP!BO$66:BZ$66,0))</f>
        <v>-2.0975740380804633E-3</v>
      </c>
      <c r="CB94" s="133">
        <v>-5.3406040232810325E-5</v>
      </c>
      <c r="CC94" s="133">
        <v>3.993727915259225E-3</v>
      </c>
      <c r="CD94" s="133">
        <v>4.0143339773054845E-4</v>
      </c>
      <c r="CE94" s="133">
        <v>2.8372296362924438E-3</v>
      </c>
      <c r="CF94" s="133">
        <v>1.8931890684838256E-3</v>
      </c>
      <c r="CG94" s="133">
        <v>-4.1698620276074353E-3</v>
      </c>
      <c r="CH94" s="133">
        <v>5.3164946600845935E-3</v>
      </c>
      <c r="CI94" s="133">
        <v>-1.7938302341555934E-4</v>
      </c>
      <c r="CJ94" s="133">
        <v>-9.8066419163608757E-3</v>
      </c>
      <c r="CK94" s="133">
        <v>-2.3133482125621148E-3</v>
      </c>
      <c r="CL94" s="133"/>
      <c r="CM94" s="133"/>
      <c r="CN94" s="134" cm="1">
        <f t="array" ref="CN94">INDEX(CB94:CM94,0,MATCH('PV IN'!$E$7,LkUP!CB$66:CM$66,0))</f>
        <v>-2.3133482125621148E-3</v>
      </c>
      <c r="CO94" s="133">
        <v>-5.4146725880781241E-3</v>
      </c>
      <c r="CP94" s="133">
        <v>-2.8759898806534601E-3</v>
      </c>
      <c r="CQ94" s="133">
        <v>-6.3769626992873085E-3</v>
      </c>
      <c r="CR94" s="133">
        <v>-3.5365549989825428E-4</v>
      </c>
      <c r="CS94" s="133">
        <v>-3.3524231075844489E-3</v>
      </c>
      <c r="CT94" s="133">
        <v>-6.6563021503131944E-3</v>
      </c>
      <c r="CU94" s="133">
        <v>-4.3412064161757322E-4</v>
      </c>
      <c r="CV94" s="133">
        <v>-3.0371110554380312E-3</v>
      </c>
      <c r="CW94" s="133">
        <v>-7.3703248705998155E-3</v>
      </c>
      <c r="CX94" s="133">
        <v>-2.1788832285746943E-3</v>
      </c>
      <c r="CY94" s="133"/>
      <c r="CZ94" s="133"/>
      <c r="DA94" s="134" cm="1">
        <f t="array" ref="DA94">INDEX(CO94:CZ94,0,MATCH('PV IN'!$E$7,LkUP!CO$66:CZ$66,0))</f>
        <v>-2.1788832285746943E-3</v>
      </c>
      <c r="DB94" s="133">
        <v>-1.5516622006240587E-2</v>
      </c>
      <c r="DC94" s="133">
        <v>-5.1456142814249543E-3</v>
      </c>
      <c r="DD94" s="133">
        <v>-7.8935127487574606E-3</v>
      </c>
      <c r="DE94" s="133">
        <v>-1.6250403078444383E-2</v>
      </c>
      <c r="DF94" s="133">
        <v>5.5824063138812056E-3</v>
      </c>
      <c r="DG94" s="133">
        <v>-1.4498428002417688E-2</v>
      </c>
      <c r="DH94" s="133">
        <v>1.990172189076427E-4</v>
      </c>
      <c r="DI94" s="133">
        <v>-5.3103909518242468E-5</v>
      </c>
      <c r="DJ94" s="133">
        <v>-5.9474519966097499E-3</v>
      </c>
      <c r="DK94" s="133">
        <v>2.4680504862141642E-4</v>
      </c>
      <c r="DL94" s="133"/>
      <c r="DM94" s="133"/>
      <c r="DN94" s="134" cm="1">
        <f t="array" ref="DN94">INDEX(DB94:DM94,0,MATCH('PV IN'!$E$7,LkUP!DB$66:DM$66,0))</f>
        <v>2.4680504862141642E-4</v>
      </c>
    </row>
    <row r="95" spans="1:118" x14ac:dyDescent="0.25">
      <c r="A95">
        <v>2047</v>
      </c>
      <c r="B95" s="133">
        <v>-8.985921155930908E-3</v>
      </c>
      <c r="C95" s="133">
        <v>-4.2929444382436472E-4</v>
      </c>
      <c r="D95" s="133">
        <v>-1.2865588258018843E-3</v>
      </c>
      <c r="E95" s="133">
        <v>-3.3351280844174502E-3</v>
      </c>
      <c r="F95" s="133">
        <v>-8.2615514846957081E-4</v>
      </c>
      <c r="G95" s="133">
        <v>-6.5657127883440251E-3</v>
      </c>
      <c r="H95" s="133">
        <v>-1.0406636317787763E-2</v>
      </c>
      <c r="I95" s="133">
        <v>-5.3024089794424375E-3</v>
      </c>
      <c r="J95" s="133">
        <v>-4.7243933226013878E-3</v>
      </c>
      <c r="K95" s="133">
        <v>-2.2726165035137362E-3</v>
      </c>
      <c r="L95" s="133"/>
      <c r="M95" s="133"/>
      <c r="N95" s="134" cm="1">
        <f t="array" ref="N95">INDEX(B95:M95,0,MATCH('PV IN'!$E$7,LkUP!B$66:M$66,0))</f>
        <v>-2.2726165035137362E-3</v>
      </c>
      <c r="O95" s="133">
        <v>-5.7444129682091083E-3</v>
      </c>
      <c r="P95" s="133">
        <v>1.9869228467218552E-5</v>
      </c>
      <c r="Q95" s="133">
        <v>-4.4593652850078462E-3</v>
      </c>
      <c r="R95" s="133">
        <v>1.3869868283600132E-3</v>
      </c>
      <c r="S95" s="133">
        <v>4.7267414878083034E-4</v>
      </c>
      <c r="T95" s="133">
        <v>-5.0833570367724394E-3</v>
      </c>
      <c r="U95" s="133">
        <v>3.8060150106890671E-3</v>
      </c>
      <c r="V95" s="133">
        <v>-5.2631978972777597E-3</v>
      </c>
      <c r="W95" s="133">
        <v>2.6451934045389298E-3</v>
      </c>
      <c r="X95" s="133">
        <v>2.0042200941146728E-4</v>
      </c>
      <c r="Y95" s="133"/>
      <c r="Z95" s="133"/>
      <c r="AA95" s="134" cm="1">
        <f t="array" ref="AA95">INDEX(O95:Z95,0,MATCH('PV IN'!$E$7,LkUP!O$66:Z$66,0))</f>
        <v>2.0042200941146728E-4</v>
      </c>
      <c r="AB95" s="133">
        <v>-4.3894911488823688E-3</v>
      </c>
      <c r="AC95" s="133">
        <v>-8.4984732135038666E-4</v>
      </c>
      <c r="AD95" s="133">
        <v>9.4331219584132264E-3</v>
      </c>
      <c r="AE95" s="133">
        <v>1.156580971497858E-3</v>
      </c>
      <c r="AF95" s="133">
        <v>-2.3313255350015934E-3</v>
      </c>
      <c r="AG95" s="133">
        <v>-5.1052511673547627E-3</v>
      </c>
      <c r="AH95" s="133">
        <v>4.8479011068444074E-3</v>
      </c>
      <c r="AI95" s="133">
        <v>-6.7274623512843061E-4</v>
      </c>
      <c r="AJ95" s="133">
        <v>6.5541068463543795E-3</v>
      </c>
      <c r="AK95" s="133">
        <v>-1.3930742645129773E-3</v>
      </c>
      <c r="AL95" s="133"/>
      <c r="AM95" s="133"/>
      <c r="AN95" s="134" cm="1">
        <f t="array" ref="AN95">INDEX(AB95:AM95,0,MATCH('PV IN'!$E$7,LkUP!AB$66:AM$66,0))</f>
        <v>-1.3930742645129773E-3</v>
      </c>
      <c r="AO95" s="133">
        <v>-1.8087622389099708E-3</v>
      </c>
      <c r="AP95" s="133">
        <v>-7.4001636031871872E-3</v>
      </c>
      <c r="AQ95" s="133">
        <v>2.4111699600141956E-3</v>
      </c>
      <c r="AR95" s="133">
        <v>7.372883036416907E-3</v>
      </c>
      <c r="AS95" s="133">
        <v>1.1827552002038372E-3</v>
      </c>
      <c r="AT95" s="133">
        <v>-4.3291292478761607E-3</v>
      </c>
      <c r="AU95" s="133">
        <v>4.0439528367479383E-3</v>
      </c>
      <c r="AV95" s="133">
        <v>-3.0019461469659205E-3</v>
      </c>
      <c r="AW95" s="133">
        <v>-6.6151908101894146E-3</v>
      </c>
      <c r="AX95" s="133">
        <v>-1.5494254614178353E-3</v>
      </c>
      <c r="AY95" s="133"/>
      <c r="AZ95" s="133"/>
      <c r="BA95" s="134" cm="1">
        <f t="array" ref="BA95">INDEX(AO95:AZ95,0,MATCH('PV IN'!$E$7,LkUP!AO$66:AZ$66,0))</f>
        <v>-1.5494254614178353E-3</v>
      </c>
      <c r="BB95" s="133">
        <v>-6.4209765306973967E-3</v>
      </c>
      <c r="BC95" s="133">
        <v>-6.981969545566351E-3</v>
      </c>
      <c r="BD95" s="133">
        <v>-6.4374361414421735E-3</v>
      </c>
      <c r="BE95" s="133">
        <v>2.124961940272535E-2</v>
      </c>
      <c r="BF95" s="133">
        <v>-9.0738840981620904E-3</v>
      </c>
      <c r="BG95" s="133">
        <v>-2.9094403241929517E-3</v>
      </c>
      <c r="BH95" s="133">
        <v>-1.211243278471405E-2</v>
      </c>
      <c r="BI95" s="133">
        <v>4.249106202389093E-4</v>
      </c>
      <c r="BJ95" s="133">
        <v>8.4268565697242694E-3</v>
      </c>
      <c r="BK95" s="133">
        <v>-7.7473097958816522E-3</v>
      </c>
      <c r="BL95" s="133"/>
      <c r="BM95" s="133"/>
      <c r="BN95" s="134" cm="1">
        <f t="array" ref="BN95">INDEX(BB95:BM95,0,MATCH('PV IN'!$E$7,LkUP!BB$66:BM$66,0))</f>
        <v>-7.7473097958816522E-3</v>
      </c>
      <c r="BO95" s="133">
        <v>3.9791742317361385E-4</v>
      </c>
      <c r="BP95" s="133">
        <v>8.818485770279192E-3</v>
      </c>
      <c r="BQ95" s="133">
        <v>4.1226765927296341E-3</v>
      </c>
      <c r="BR95" s="133">
        <v>7.6808938146422203E-3</v>
      </c>
      <c r="BS95" s="133">
        <v>7.539876826915844E-3</v>
      </c>
      <c r="BT95" s="133">
        <v>8.2094947643658806E-5</v>
      </c>
      <c r="BU95" s="133">
        <v>1.031003943718959E-2</v>
      </c>
      <c r="BV95" s="133">
        <v>-4.9208379052478402E-4</v>
      </c>
      <c r="BW95" s="133">
        <v>1.1657803602676507E-2</v>
      </c>
      <c r="BX95" s="133">
        <v>8.0287645225587988E-4</v>
      </c>
      <c r="BY95" s="133"/>
      <c r="BZ95" s="133"/>
      <c r="CA95" s="134" cm="1">
        <f t="array" ref="CA95">INDEX(BO95:BZ95,0,MATCH('PV IN'!$E$7,LkUP!BO$66:BZ$66,0))</f>
        <v>8.0287645225587988E-4</v>
      </c>
      <c r="CB95" s="133">
        <v>-9.9426174729237531E-4</v>
      </c>
      <c r="CC95" s="133">
        <v>-2.265004403071954E-3</v>
      </c>
      <c r="CD95" s="133">
        <v>2.473333295639635E-3</v>
      </c>
      <c r="CE95" s="133">
        <v>3.8547042164410886E-3</v>
      </c>
      <c r="CF95" s="133">
        <v>1.0258710638767444E-4</v>
      </c>
      <c r="CG95" s="133">
        <v>-4.6536865953547618E-3</v>
      </c>
      <c r="CH95" s="133">
        <v>2.4181711646456862E-3</v>
      </c>
      <c r="CI95" s="133">
        <v>-5.0766846713073497E-3</v>
      </c>
      <c r="CJ95" s="133">
        <v>2.5675508248526771E-3</v>
      </c>
      <c r="CK95" s="133">
        <v>-2.0741434028970838E-3</v>
      </c>
      <c r="CL95" s="133"/>
      <c r="CM95" s="133"/>
      <c r="CN95" s="134" cm="1">
        <f t="array" ref="CN95">INDEX(CB95:CM95,0,MATCH('PV IN'!$E$7,LkUP!CB$66:CM$66,0))</f>
        <v>-2.0741434028970838E-3</v>
      </c>
      <c r="CO95" s="133">
        <v>-7.226037670020986E-3</v>
      </c>
      <c r="CP95" s="133">
        <v>-4.3758943065251733E-3</v>
      </c>
      <c r="CQ95" s="133">
        <v>-8.3060325556646043E-3</v>
      </c>
      <c r="CR95" s="133">
        <v>-2.5904922056313056E-3</v>
      </c>
      <c r="CS95" s="133">
        <v>-2.8932492377205564E-3</v>
      </c>
      <c r="CT95" s="133">
        <v>-7.093386640284337E-3</v>
      </c>
      <c r="CU95" s="133">
        <v>-2.2776191659837769E-3</v>
      </c>
      <c r="CV95" s="133">
        <v>-3.0949664241484856E-3</v>
      </c>
      <c r="CW95" s="133">
        <v>-1.3873111539667957E-2</v>
      </c>
      <c r="CX95" s="133">
        <v>-2.5057964989075397E-3</v>
      </c>
      <c r="CY95" s="133"/>
      <c r="CZ95" s="133"/>
      <c r="DA95" s="134" cm="1">
        <f t="array" ref="DA95">INDEX(CO95:CZ95,0,MATCH('PV IN'!$E$7,LkUP!CO$66:CZ$66,0))</f>
        <v>-2.5057964989075397E-3</v>
      </c>
      <c r="DB95" s="133">
        <v>-1.023071651754036E-2</v>
      </c>
      <c r="DC95" s="133">
        <v>-4.937082644157445E-3</v>
      </c>
      <c r="DD95" s="133">
        <v>-1.5559762586412323E-2</v>
      </c>
      <c r="DE95" s="133">
        <v>3.8017386536039854E-3</v>
      </c>
      <c r="DF95" s="133">
        <v>3.0788948801047651E-3</v>
      </c>
      <c r="DG95" s="133">
        <v>-6.34323293556548E-3</v>
      </c>
      <c r="DH95" s="133">
        <v>4.0252660783369311E-3</v>
      </c>
      <c r="DI95" s="133">
        <v>-3.6183944919015725E-3</v>
      </c>
      <c r="DJ95" s="133">
        <v>-5.6200506520783945E-5</v>
      </c>
      <c r="DK95" s="133">
        <v>-1.9492787922625525E-3</v>
      </c>
      <c r="DL95" s="133"/>
      <c r="DM95" s="133"/>
      <c r="DN95" s="134" cm="1">
        <f t="array" ref="DN95">INDEX(DB95:DM95,0,MATCH('PV IN'!$E$7,LkUP!DB$66:DM$66,0))</f>
        <v>-1.9492787922625525E-3</v>
      </c>
    </row>
    <row r="96" spans="1:118" x14ac:dyDescent="0.25">
      <c r="A96">
        <v>2048</v>
      </c>
      <c r="B96" s="133">
        <v>1.9600646365648726E-4</v>
      </c>
      <c r="C96" s="133">
        <v>-3.582091746609263E-3</v>
      </c>
      <c r="D96" s="133">
        <v>-5.6838192086883059E-3</v>
      </c>
      <c r="E96" s="133">
        <v>-2.4729071490562347E-4</v>
      </c>
      <c r="F96" s="133">
        <v>-1.6324339309378925E-3</v>
      </c>
      <c r="G96" s="133">
        <v>-7.4173677399552336E-3</v>
      </c>
      <c r="H96" s="133">
        <v>3.086407192102143E-3</v>
      </c>
      <c r="I96" s="133">
        <v>-1.6979301630675203E-3</v>
      </c>
      <c r="J96" s="133">
        <v>-6.3380162601510658E-3</v>
      </c>
      <c r="K96" s="133">
        <v>-2.764698362793461E-3</v>
      </c>
      <c r="L96" s="133"/>
      <c r="M96" s="133"/>
      <c r="N96" s="134" cm="1">
        <f t="array" ref="N96">INDEX(B96:M96,0,MATCH('PV IN'!$E$7,LkUP!B$66:M$66,0))</f>
        <v>-2.764698362793461E-3</v>
      </c>
      <c r="O96" s="133">
        <v>2.1057090465229026E-3</v>
      </c>
      <c r="P96" s="133">
        <v>-3.339057040767206E-4</v>
      </c>
      <c r="Q96" s="133">
        <v>5.3451452991554486E-3</v>
      </c>
      <c r="R96" s="133">
        <v>1.1577960719522542E-2</v>
      </c>
      <c r="S96" s="133">
        <v>4.2442953125880244E-3</v>
      </c>
      <c r="T96" s="133">
        <v>-1.9907257715905497E-3</v>
      </c>
      <c r="U96" s="133">
        <v>4.3910759819141901E-3</v>
      </c>
      <c r="V96" s="133">
        <v>-1.8236972973599815E-3</v>
      </c>
      <c r="W96" s="133">
        <v>1.3104645858166685E-2</v>
      </c>
      <c r="X96" s="133">
        <v>-4.1896611010130633E-3</v>
      </c>
      <c r="Y96" s="133"/>
      <c r="Z96" s="133"/>
      <c r="AA96" s="134" cm="1">
        <f t="array" ref="AA96">INDEX(O96:Z96,0,MATCH('PV IN'!$E$7,LkUP!O$66:Z$66,0))</f>
        <v>-4.1896611010130633E-3</v>
      </c>
      <c r="AB96" s="133">
        <v>-1.7325611367377846E-3</v>
      </c>
      <c r="AC96" s="133">
        <v>-1.4058580942395555E-3</v>
      </c>
      <c r="AD96" s="133">
        <v>-5.7910272476715411E-3</v>
      </c>
      <c r="AE96" s="133">
        <v>-2.1577716934041576E-3</v>
      </c>
      <c r="AF96" s="133">
        <v>7.2152562121714607E-3</v>
      </c>
      <c r="AG96" s="133">
        <v>-1.2140452256884321E-2</v>
      </c>
      <c r="AH96" s="133">
        <v>-9.9475649899960494E-4</v>
      </c>
      <c r="AI96" s="133">
        <v>4.7185688658656381E-4</v>
      </c>
      <c r="AJ96" s="133">
        <v>-7.8095983205846067E-3</v>
      </c>
      <c r="AK96" s="133">
        <v>-5.7265639066659182E-3</v>
      </c>
      <c r="AL96" s="133"/>
      <c r="AM96" s="133"/>
      <c r="AN96" s="134" cm="1">
        <f t="array" ref="AN96">INDEX(AB96:AM96,0,MATCH('PV IN'!$E$7,LkUP!AB$66:AM$66,0))</f>
        <v>-5.7265639066659182E-3</v>
      </c>
      <c r="AO96" s="133">
        <v>-8.3890231764539641E-4</v>
      </c>
      <c r="AP96" s="133">
        <v>-4.0925904993657607E-3</v>
      </c>
      <c r="AQ96" s="133">
        <v>-2.2611332648780997E-4</v>
      </c>
      <c r="AR96" s="133">
        <v>2.6063673461444998E-3</v>
      </c>
      <c r="AS96" s="133">
        <v>2.7430466166105997E-3</v>
      </c>
      <c r="AT96" s="133">
        <v>-4.8825193189544489E-3</v>
      </c>
      <c r="AU96" s="133">
        <v>7.4774157427050965E-3</v>
      </c>
      <c r="AV96" s="133">
        <v>-7.827287953857964E-4</v>
      </c>
      <c r="AW96" s="133">
        <v>-4.5075649306386247E-3</v>
      </c>
      <c r="AX96" s="133">
        <v>-1.4132903681481092E-3</v>
      </c>
      <c r="AY96" s="133"/>
      <c r="AZ96" s="133"/>
      <c r="BA96" s="134" cm="1">
        <f t="array" ref="BA96">INDEX(AO96:AZ96,0,MATCH('PV IN'!$E$7,LkUP!AO$66:AZ$66,0))</f>
        <v>-1.4132903681481092E-3</v>
      </c>
      <c r="BB96" s="133">
        <v>1.9785891638337875E-3</v>
      </c>
      <c r="BC96" s="133">
        <v>3.5728301083557635E-3</v>
      </c>
      <c r="BD96" s="133">
        <v>-7.2030714917524306E-3</v>
      </c>
      <c r="BE96" s="133">
        <v>-5.7493568524302667E-3</v>
      </c>
      <c r="BF96" s="133">
        <v>-5.9427527956954565E-3</v>
      </c>
      <c r="BG96" s="133">
        <v>7.1704041115206183E-3</v>
      </c>
      <c r="BH96" s="133">
        <v>7.7980006447653325E-4</v>
      </c>
      <c r="BI96" s="133">
        <v>-6.0523927173119184E-3</v>
      </c>
      <c r="BJ96" s="133">
        <v>-1.6990867061040148E-2</v>
      </c>
      <c r="BK96" s="133">
        <v>-1.1443335725421264E-2</v>
      </c>
      <c r="BL96" s="133"/>
      <c r="BM96" s="133"/>
      <c r="BN96" s="134" cm="1">
        <f t="array" ref="BN96">INDEX(BB96:BM96,0,MATCH('PV IN'!$E$7,LkUP!BB$66:BM$66,0))</f>
        <v>-1.1443335725421264E-2</v>
      </c>
      <c r="BO96" s="133">
        <v>4.9823161609433824E-3</v>
      </c>
      <c r="BP96" s="133">
        <v>8.4668305088867191E-3</v>
      </c>
      <c r="BQ96" s="133">
        <v>-3.6051423122826997E-3</v>
      </c>
      <c r="BR96" s="133">
        <v>4.6566044876563354E-3</v>
      </c>
      <c r="BS96" s="133">
        <v>1.7857028751766225E-3</v>
      </c>
      <c r="BT96" s="133">
        <v>1.5366647776051986E-3</v>
      </c>
      <c r="BU96" s="133">
        <v>1.0953933186476255E-2</v>
      </c>
      <c r="BV96" s="133">
        <v>-2.4548106814540507E-3</v>
      </c>
      <c r="BW96" s="133">
        <v>3.7410949082033718E-3</v>
      </c>
      <c r="BX96" s="133">
        <v>2.0160625388337483E-4</v>
      </c>
      <c r="BY96" s="133"/>
      <c r="BZ96" s="133"/>
      <c r="CA96" s="134" cm="1">
        <f t="array" ref="CA96">INDEX(BO96:BZ96,0,MATCH('PV IN'!$E$7,LkUP!BO$66:BZ$66,0))</f>
        <v>2.0160625388337483E-4</v>
      </c>
      <c r="CB96" s="133">
        <v>-4.8969495664046804E-3</v>
      </c>
      <c r="CC96" s="133">
        <v>3.9738467427531806E-3</v>
      </c>
      <c r="CD96" s="133">
        <v>-4.8171083338797655E-3</v>
      </c>
      <c r="CE96" s="133">
        <v>1.6540250595969924E-3</v>
      </c>
      <c r="CF96" s="133">
        <v>-4.4649779521739857E-3</v>
      </c>
      <c r="CG96" s="133">
        <v>-4.872157394060184E-3</v>
      </c>
      <c r="CH96" s="133">
        <v>7.8183914580982211E-4</v>
      </c>
      <c r="CI96" s="133">
        <v>-2.8271713481965821E-3</v>
      </c>
      <c r="CJ96" s="133">
        <v>3.9366287164869481E-3</v>
      </c>
      <c r="CK96" s="133">
        <v>-2.3699572730336601E-3</v>
      </c>
      <c r="CL96" s="133"/>
      <c r="CM96" s="133"/>
      <c r="CN96" s="134" cm="1">
        <f t="array" ref="CN96">INDEX(CB96:CM96,0,MATCH('PV IN'!$E$7,LkUP!CB$66:CM$66,0))</f>
        <v>-2.3699572730336601E-3</v>
      </c>
      <c r="CO96" s="133">
        <v>-7.5515434867829264E-3</v>
      </c>
      <c r="CP96" s="133">
        <v>-6.8447538492234228E-3</v>
      </c>
      <c r="CQ96" s="133">
        <v>-7.5025960920732755E-3</v>
      </c>
      <c r="CR96" s="133">
        <v>-6.7229478686163802E-3</v>
      </c>
      <c r="CS96" s="133">
        <v>-4.2494004736102972E-3</v>
      </c>
      <c r="CT96" s="133">
        <v>-8.5578795950755938E-3</v>
      </c>
      <c r="CU96" s="133">
        <v>-4.1718093582692149E-3</v>
      </c>
      <c r="CV96" s="133">
        <v>-3.3467626421608233E-3</v>
      </c>
      <c r="CW96" s="133">
        <v>-1.7663088965151275E-2</v>
      </c>
      <c r="CX96" s="133">
        <v>-1.6119798327234728E-3</v>
      </c>
      <c r="CY96" s="133"/>
      <c r="CZ96" s="133"/>
      <c r="DA96" s="134" cm="1">
        <f t="array" ref="DA96">INDEX(CO96:CZ96,0,MATCH('PV IN'!$E$7,LkUP!CO$66:CZ$66,0))</f>
        <v>-1.6119798327234728E-3</v>
      </c>
      <c r="DB96" s="133">
        <v>-5.3930656258316199E-3</v>
      </c>
      <c r="DC96" s="133">
        <v>-2.199066963491193E-3</v>
      </c>
      <c r="DD96" s="133">
        <v>-1.2921311006504626E-2</v>
      </c>
      <c r="DE96" s="133">
        <v>-7.960188426913279E-3</v>
      </c>
      <c r="DF96" s="133">
        <v>-1.3793923837584702E-3</v>
      </c>
      <c r="DG96" s="133">
        <v>-6.6538786428965045E-3</v>
      </c>
      <c r="DH96" s="133">
        <v>2.7692947439957559E-3</v>
      </c>
      <c r="DI96" s="133">
        <v>9.9541721850620403E-5</v>
      </c>
      <c r="DJ96" s="133">
        <v>-2.7981207695763198E-2</v>
      </c>
      <c r="DK96" s="133">
        <v>-6.0724946043530671E-3</v>
      </c>
      <c r="DL96" s="133"/>
      <c r="DM96" s="133"/>
      <c r="DN96" s="134" cm="1">
        <f t="array" ref="DN96">INDEX(DB96:DM96,0,MATCH('PV IN'!$E$7,LkUP!DB$66:DM$66,0))</f>
        <v>-6.0724946043530671E-3</v>
      </c>
    </row>
    <row r="97" spans="1:118" x14ac:dyDescent="0.25">
      <c r="A97">
        <v>2049</v>
      </c>
      <c r="B97" s="133">
        <v>-5.07468502109231E-3</v>
      </c>
      <c r="C97" s="133">
        <v>-6.4112727644083118E-3</v>
      </c>
      <c r="D97" s="133">
        <v>-5.4557637189504701E-3</v>
      </c>
      <c r="E97" s="133">
        <v>-3.0471083181464768E-3</v>
      </c>
      <c r="F97" s="133">
        <v>-1.6794118735286557E-3</v>
      </c>
      <c r="G97" s="133">
        <v>-7.6695071114262067E-3</v>
      </c>
      <c r="H97" s="133">
        <v>4.3540859560039016E-3</v>
      </c>
      <c r="I97" s="133">
        <v>-5.9326524165742743E-3</v>
      </c>
      <c r="J97" s="133">
        <v>-9.0369754282619997E-3</v>
      </c>
      <c r="K97" s="133">
        <v>-5.6247413940509784E-3</v>
      </c>
      <c r="L97" s="133"/>
      <c r="M97" s="133"/>
      <c r="N97" s="134" cm="1">
        <f t="array" ref="N97">INDEX(B97:M97,0,MATCH('PV IN'!$E$7,LkUP!B$66:M$66,0))</f>
        <v>-5.6247413940509784E-3</v>
      </c>
      <c r="O97" s="133">
        <v>-5.6329294761106336E-3</v>
      </c>
      <c r="P97" s="133">
        <v>-2.9601955246454296E-3</v>
      </c>
      <c r="Q97" s="133">
        <v>-4.5761508971422313E-3</v>
      </c>
      <c r="R97" s="133">
        <v>7.5511690607653484E-3</v>
      </c>
      <c r="S97" s="133">
        <v>-3.9645582025039806E-3</v>
      </c>
      <c r="T97" s="133">
        <v>-2.1847691168444044E-3</v>
      </c>
      <c r="U97" s="133">
        <v>-2.9175377038900925E-3</v>
      </c>
      <c r="V97" s="133">
        <v>-6.9379063641525195E-3</v>
      </c>
      <c r="W97" s="133">
        <v>-1.4053463831817058E-2</v>
      </c>
      <c r="X97" s="133">
        <v>-6.8595621262722986E-3</v>
      </c>
      <c r="Y97" s="133"/>
      <c r="Z97" s="133"/>
      <c r="AA97" s="134" cm="1">
        <f t="array" ref="AA97">INDEX(O97:Z97,0,MATCH('PV IN'!$E$7,LkUP!O$66:Z$66,0))</f>
        <v>-6.8595621262722986E-3</v>
      </c>
      <c r="AB97" s="133">
        <v>-1.2614672812912568E-2</v>
      </c>
      <c r="AC97" s="133">
        <v>-6.3125126080768642E-3</v>
      </c>
      <c r="AD97" s="133">
        <v>-5.4132257440060016E-3</v>
      </c>
      <c r="AE97" s="133">
        <v>-2.8949330655455323E-3</v>
      </c>
      <c r="AF97" s="133">
        <v>-4.6367013900351726E-3</v>
      </c>
      <c r="AG97" s="133">
        <v>-4.2481721917066728E-3</v>
      </c>
      <c r="AH97" s="133">
        <v>2.0425902081202827E-3</v>
      </c>
      <c r="AI97" s="133">
        <v>-3.788589446162199E-3</v>
      </c>
      <c r="AJ97" s="133">
        <v>-1.4044102410940305E-2</v>
      </c>
      <c r="AK97" s="133">
        <v>-8.9996319792430227E-3</v>
      </c>
      <c r="AL97" s="133"/>
      <c r="AM97" s="133"/>
      <c r="AN97" s="134" cm="1">
        <f t="array" ref="AN97">INDEX(AB97:AM97,0,MATCH('PV IN'!$E$7,LkUP!AB$66:AM$66,0))</f>
        <v>-8.9996319792430227E-3</v>
      </c>
      <c r="AO97" s="133">
        <v>1.1339309879606148E-3</v>
      </c>
      <c r="AP97" s="133">
        <v>-4.5639756772810017E-3</v>
      </c>
      <c r="AQ97" s="133">
        <v>-2.930152556478416E-3</v>
      </c>
      <c r="AR97" s="133">
        <v>3.8908640068996869E-3</v>
      </c>
      <c r="AS97" s="133">
        <v>1.3169243213468169E-3</v>
      </c>
      <c r="AT97" s="133">
        <v>-5.2386134169872508E-3</v>
      </c>
      <c r="AU97" s="133">
        <v>7.0909608687091692E-3</v>
      </c>
      <c r="AV97" s="133">
        <v>-1.1511181289915779E-3</v>
      </c>
      <c r="AW97" s="133">
        <v>-6.212926999030568E-3</v>
      </c>
      <c r="AX97" s="133">
        <v>-1.1527065922799808E-3</v>
      </c>
      <c r="AY97" s="133"/>
      <c r="AZ97" s="133"/>
      <c r="BA97" s="134" cm="1">
        <f t="array" ref="BA97">INDEX(AO97:AZ97,0,MATCH('PV IN'!$E$7,LkUP!AO$66:AZ$66,0))</f>
        <v>-1.1527065922799808E-3</v>
      </c>
      <c r="BB97" s="133">
        <v>-2.1913734050151488E-2</v>
      </c>
      <c r="BC97" s="133">
        <v>-2.2103887278891524E-2</v>
      </c>
      <c r="BD97" s="133">
        <v>-8.1638811720110866E-4</v>
      </c>
      <c r="BE97" s="133">
        <v>2.1880846643958121E-3</v>
      </c>
      <c r="BF97" s="133">
        <v>-1.8637931813460084E-2</v>
      </c>
      <c r="BG97" s="133">
        <v>-1.4405960634846074E-2</v>
      </c>
      <c r="BH97" s="133">
        <v>1.90181968711426E-2</v>
      </c>
      <c r="BI97" s="133">
        <v>1.7705615868794913E-3</v>
      </c>
      <c r="BJ97" s="133">
        <v>6.8814530246327967E-3</v>
      </c>
      <c r="BK97" s="133">
        <v>-1.6847565310409474E-2</v>
      </c>
      <c r="BL97" s="133"/>
      <c r="BM97" s="133"/>
      <c r="BN97" s="134" cm="1">
        <f t="array" ref="BN97">INDEX(BB97:BM97,0,MATCH('PV IN'!$E$7,LkUP!BB$66:BM$66,0))</f>
        <v>-1.6847565310409474E-2</v>
      </c>
      <c r="BO97" s="133">
        <v>-3.3411761831247098E-3</v>
      </c>
      <c r="BP97" s="133">
        <v>1.4005154638370026E-3</v>
      </c>
      <c r="BQ97" s="133">
        <v>2.2720793062090873E-4</v>
      </c>
      <c r="BR97" s="133">
        <v>3.3310600254326051E-3</v>
      </c>
      <c r="BS97" s="133">
        <v>6.0351892586401456E-3</v>
      </c>
      <c r="BT97" s="133">
        <v>5.3224700161831058E-5</v>
      </c>
      <c r="BU97" s="133">
        <v>6.8836193043650979E-3</v>
      </c>
      <c r="BV97" s="133">
        <v>-1.3951356821784717E-3</v>
      </c>
      <c r="BW97" s="133">
        <v>-9.4423109386537025E-4</v>
      </c>
      <c r="BX97" s="133">
        <v>-2.338560163806042E-3</v>
      </c>
      <c r="BY97" s="133"/>
      <c r="BZ97" s="133"/>
      <c r="CA97" s="134" cm="1">
        <f t="array" ref="CA97">INDEX(BO97:BZ97,0,MATCH('PV IN'!$E$7,LkUP!BO$66:BZ$66,0))</f>
        <v>-2.338560163806042E-3</v>
      </c>
      <c r="CB97" s="133">
        <v>-4.7308237854362242E-3</v>
      </c>
      <c r="CC97" s="133">
        <v>-1.0055242614756505E-4</v>
      </c>
      <c r="CD97" s="133">
        <v>-6.5304046498414047E-3</v>
      </c>
      <c r="CE97" s="133">
        <v>3.7206581235019387E-3</v>
      </c>
      <c r="CF97" s="133">
        <v>-3.7400592413239344E-3</v>
      </c>
      <c r="CG97" s="133">
        <v>-6.9116716298532315E-3</v>
      </c>
      <c r="CH97" s="133">
        <v>-1.5839228485500024E-3</v>
      </c>
      <c r="CI97" s="133">
        <v>-6.5771455728146095E-3</v>
      </c>
      <c r="CJ97" s="133">
        <v>6.4178900601272884E-3</v>
      </c>
      <c r="CK97" s="133">
        <v>-8.6339485925984172E-3</v>
      </c>
      <c r="CL97" s="133"/>
      <c r="CM97" s="133"/>
      <c r="CN97" s="134" cm="1">
        <f t="array" ref="CN97">INDEX(CB97:CM97,0,MATCH('PV IN'!$E$7,LkUP!CB$66:CM$66,0))</f>
        <v>-8.6339485925984172E-3</v>
      </c>
      <c r="CO97" s="133">
        <v>-8.6859681425106843E-3</v>
      </c>
      <c r="CP97" s="133">
        <v>-7.8133034710341706E-3</v>
      </c>
      <c r="CQ97" s="133">
        <v>-8.332705604259109E-3</v>
      </c>
      <c r="CR97" s="133">
        <v>-7.8592440352682619E-3</v>
      </c>
      <c r="CS97" s="133">
        <v>-3.801670641906891E-3</v>
      </c>
      <c r="CT97" s="133">
        <v>-9.3277352928318544E-3</v>
      </c>
      <c r="CU97" s="133">
        <v>-1.054155246761558E-3</v>
      </c>
      <c r="CV97" s="133">
        <v>-7.0037914850850178E-3</v>
      </c>
      <c r="CW97" s="133">
        <v>-1.7321983517628359E-2</v>
      </c>
      <c r="CX97" s="133">
        <v>-6.3097996859232354E-3</v>
      </c>
      <c r="CY97" s="133"/>
      <c r="CZ97" s="133"/>
      <c r="DA97" s="134" cm="1">
        <f t="array" ref="DA97">INDEX(CO97:CZ97,0,MATCH('PV IN'!$E$7,LkUP!CO$66:CZ$66,0))</f>
        <v>-6.3097996859232354E-3</v>
      </c>
      <c r="DB97" s="133">
        <v>-7.1675579882622079E-4</v>
      </c>
      <c r="DC97" s="133">
        <v>-1.0318883441321038E-2</v>
      </c>
      <c r="DD97" s="133">
        <v>-6.1832757339453847E-3</v>
      </c>
      <c r="DE97" s="133">
        <v>-2.8577656643859199E-3</v>
      </c>
      <c r="DF97" s="133">
        <v>-3.1545743560347098E-3</v>
      </c>
      <c r="DG97" s="133">
        <v>-3.9785919154573081E-3</v>
      </c>
      <c r="DH97" s="133">
        <v>1.3548090221560821E-3</v>
      </c>
      <c r="DI97" s="133">
        <v>-7.4519311366234775E-3</v>
      </c>
      <c r="DJ97" s="133">
        <v>-3.9267059664699192E-2</v>
      </c>
      <c r="DK97" s="133">
        <v>-1.2125638201316799E-2</v>
      </c>
      <c r="DL97" s="133"/>
      <c r="DM97" s="133"/>
      <c r="DN97" s="134" cm="1">
        <f t="array" ref="DN97">INDEX(DB97:DM97,0,MATCH('PV IN'!$E$7,LkUP!DB$66:DM$66,0))</f>
        <v>-1.2125638201316799E-2</v>
      </c>
    </row>
    <row r="98" spans="1:118" x14ac:dyDescent="0.25">
      <c r="A98">
        <v>2050</v>
      </c>
      <c r="B98" s="133">
        <v>-9.2451646607763956E-3</v>
      </c>
      <c r="C98" s="133">
        <v>-1.8601596465671298E-2</v>
      </c>
      <c r="D98" s="133">
        <v>-5.8576873274466743E-3</v>
      </c>
      <c r="E98" s="133">
        <v>-3.4707220546627005E-3</v>
      </c>
      <c r="F98" s="133">
        <v>-4.3727945836256783E-3</v>
      </c>
      <c r="G98" s="133">
        <v>-1.0498699116423751E-2</v>
      </c>
      <c r="H98" s="133">
        <v>4.2910473147823158E-3</v>
      </c>
      <c r="I98" s="133">
        <v>-6.1851203279251971E-3</v>
      </c>
      <c r="J98" s="133">
        <v>-1.4811203595315575E-2</v>
      </c>
      <c r="K98" s="133">
        <v>-6.9276873647360956E-3</v>
      </c>
      <c r="L98" s="133"/>
      <c r="M98" s="133"/>
      <c r="N98" s="134" cm="1">
        <f t="array" ref="N98">INDEX(B98:M98,0,MATCH('PV IN'!$E$7,LkUP!B$66:M$66,0))</f>
        <v>-6.9276873647360956E-3</v>
      </c>
      <c r="O98" s="133">
        <v>1.8910098186602565E-3</v>
      </c>
      <c r="P98" s="133">
        <v>-5.9430207544178687E-3</v>
      </c>
      <c r="Q98" s="133">
        <v>-9.2190262394091765E-3</v>
      </c>
      <c r="R98" s="133">
        <v>3.8622388786952173E-3</v>
      </c>
      <c r="S98" s="133">
        <v>-4.1843029877035379E-3</v>
      </c>
      <c r="T98" s="133">
        <v>1.4487172211627326E-3</v>
      </c>
      <c r="U98" s="133">
        <v>-2.7139271727820479E-4</v>
      </c>
      <c r="V98" s="133">
        <v>-1.0960968492819113E-3</v>
      </c>
      <c r="W98" s="133">
        <v>1.1873486172211314E-2</v>
      </c>
      <c r="X98" s="133">
        <v>-4.1982567721729723E-3</v>
      </c>
      <c r="Y98" s="133"/>
      <c r="Z98" s="133"/>
      <c r="AA98" s="134" cm="1">
        <f t="array" ref="AA98">INDEX(O98:Z98,0,MATCH('PV IN'!$E$7,LkUP!O$66:Z$66,0))</f>
        <v>-4.1982567721729723E-3</v>
      </c>
      <c r="AB98" s="133">
        <v>-1.0414391498827497E-2</v>
      </c>
      <c r="AC98" s="133">
        <v>-1.0420000464859386E-2</v>
      </c>
      <c r="AD98" s="133">
        <v>-3.9722314069424039E-3</v>
      </c>
      <c r="AE98" s="133">
        <v>-3.7279089569021333E-3</v>
      </c>
      <c r="AF98" s="133">
        <v>-5.2177674320684937E-3</v>
      </c>
      <c r="AG98" s="133">
        <v>-1.4055084789143208E-2</v>
      </c>
      <c r="AH98" s="133">
        <v>1.2940383272229161E-2</v>
      </c>
      <c r="AI98" s="133">
        <v>-6.2106628632307087E-3</v>
      </c>
      <c r="AJ98" s="133">
        <v>-1.6672528120458649E-2</v>
      </c>
      <c r="AK98" s="133">
        <v>-7.5633013389257734E-3</v>
      </c>
      <c r="AL98" s="133"/>
      <c r="AM98" s="133"/>
      <c r="AN98" s="134" cm="1">
        <f t="array" ref="AN98">INDEX(AB98:AM98,0,MATCH('PV IN'!$E$7,LkUP!AB$66:AM$66,0))</f>
        <v>-7.5633013389257734E-3</v>
      </c>
      <c r="AO98" s="133">
        <v>-1.3923476390519003E-3</v>
      </c>
      <c r="AP98" s="133">
        <v>-6.9844410023488642E-3</v>
      </c>
      <c r="AQ98" s="133">
        <v>-6.638202737305505E-3</v>
      </c>
      <c r="AR98" s="133">
        <v>8.2035485183405768E-3</v>
      </c>
      <c r="AS98" s="133">
        <v>1.46464524704784E-3</v>
      </c>
      <c r="AT98" s="133">
        <v>-5.2966339865274485E-3</v>
      </c>
      <c r="AU98" s="133">
        <v>4.3937389300770227E-3</v>
      </c>
      <c r="AV98" s="133">
        <v>1.7224736671701512E-4</v>
      </c>
      <c r="AW98" s="133">
        <v>4.6119966595145829E-3</v>
      </c>
      <c r="AX98" s="133">
        <v>-1.5126805393132743E-3</v>
      </c>
      <c r="AY98" s="133"/>
      <c r="AZ98" s="133"/>
      <c r="BA98" s="134" cm="1">
        <f t="array" ref="BA98">INDEX(AO98:AZ98,0,MATCH('PV IN'!$E$7,LkUP!AO$66:AZ$66,0))</f>
        <v>-1.5126805393132743E-3</v>
      </c>
      <c r="BB98" s="133">
        <v>-3.7799854873429932E-3</v>
      </c>
      <c r="BC98" s="133">
        <v>-1.5236987013113618E-2</v>
      </c>
      <c r="BD98" s="133">
        <v>-4.1180470563750007E-3</v>
      </c>
      <c r="BE98" s="133">
        <v>-1.6715624596998645E-3</v>
      </c>
      <c r="BF98" s="133">
        <v>9.5622314333799197E-3</v>
      </c>
      <c r="BG98" s="133">
        <v>-3.1955338136226925E-2</v>
      </c>
      <c r="BH98" s="133">
        <v>-2.6175915893424453E-3</v>
      </c>
      <c r="BI98" s="133">
        <v>-6.3644246668687595E-3</v>
      </c>
      <c r="BJ98" s="133">
        <v>-1.8980530849906623E-2</v>
      </c>
      <c r="BK98" s="133">
        <v>-9.5744479199747698E-3</v>
      </c>
      <c r="BL98" s="133"/>
      <c r="BM98" s="133"/>
      <c r="BN98" s="134" cm="1">
        <f t="array" ref="BN98">INDEX(BB98:BM98,0,MATCH('PV IN'!$E$7,LkUP!BB$66:BM$66,0))</f>
        <v>-9.5744479199747698E-3</v>
      </c>
      <c r="BO98" s="133">
        <v>-2.2995429668320939E-3</v>
      </c>
      <c r="BP98" s="133">
        <v>-3.4242004201646666E-3</v>
      </c>
      <c r="BQ98" s="133">
        <v>-2.4908010475762823E-3</v>
      </c>
      <c r="BR98" s="133">
        <v>5.2782577133355536E-3</v>
      </c>
      <c r="BS98" s="133">
        <v>1.574015186524172E-3</v>
      </c>
      <c r="BT98" s="133">
        <v>-3.2257079659463992E-3</v>
      </c>
      <c r="BU98" s="133">
        <v>5.262327173334652E-3</v>
      </c>
      <c r="BV98" s="133">
        <v>-2.6937849715851325E-3</v>
      </c>
      <c r="BW98" s="133">
        <v>-5.6714705875639034E-3</v>
      </c>
      <c r="BX98" s="133">
        <v>-8.9801125041224332E-3</v>
      </c>
      <c r="BY98" s="133"/>
      <c r="BZ98" s="133"/>
      <c r="CA98" s="134" cm="1">
        <f t="array" ref="CA98">INDEX(BO98:BZ98,0,MATCH('PV IN'!$E$7,LkUP!BO$66:BZ$66,0))</f>
        <v>-8.9801125041224332E-3</v>
      </c>
      <c r="CB98" s="133">
        <v>-9.8450492568081371E-3</v>
      </c>
      <c r="CC98" s="133">
        <v>-6.5618800791417912E-3</v>
      </c>
      <c r="CD98" s="133">
        <v>-7.5528972527813352E-3</v>
      </c>
      <c r="CE98" s="133">
        <v>3.9056274015156186E-3</v>
      </c>
      <c r="CF98" s="133">
        <v>-4.8380143713518207E-3</v>
      </c>
      <c r="CG98" s="133">
        <v>-7.4867493287195629E-3</v>
      </c>
      <c r="CH98" s="133">
        <v>1.9516598406784805E-3</v>
      </c>
      <c r="CI98" s="133">
        <v>-2.7619227252853643E-3</v>
      </c>
      <c r="CJ98" s="133">
        <v>-1.3007161338652665E-2</v>
      </c>
      <c r="CK98" s="133">
        <v>-6.7442526170192491E-3</v>
      </c>
      <c r="CL98" s="133"/>
      <c r="CM98" s="133"/>
      <c r="CN98" s="134" cm="1">
        <f t="array" ref="CN98">INDEX(CB98:CM98,0,MATCH('PV IN'!$E$7,LkUP!CB$66:CM$66,0))</f>
        <v>-6.7442526170192491E-3</v>
      </c>
      <c r="CO98" s="133">
        <v>-8.9413714549707243E-3</v>
      </c>
      <c r="CP98" s="133">
        <v>-8.0016766441323023E-3</v>
      </c>
      <c r="CQ98" s="133">
        <v>-8.8136659718145629E-3</v>
      </c>
      <c r="CR98" s="133">
        <v>-5.1210400768599207E-3</v>
      </c>
      <c r="CS98" s="133">
        <v>-4.0164763194461914E-3</v>
      </c>
      <c r="CT98" s="133">
        <v>-9.351067694451147E-3</v>
      </c>
      <c r="CU98" s="133">
        <v>1.9223983696462898E-4</v>
      </c>
      <c r="CV98" s="133">
        <v>-7.4216668085432388E-3</v>
      </c>
      <c r="CW98" s="133">
        <v>-1.2685450392901539E-2</v>
      </c>
      <c r="CX98" s="133">
        <v>-7.490290753511878E-3</v>
      </c>
      <c r="CY98" s="133"/>
      <c r="CZ98" s="133"/>
      <c r="DA98" s="134" cm="1">
        <f t="array" ref="DA98">INDEX(CO98:CZ98,0,MATCH('PV IN'!$E$7,LkUP!CO$66:CZ$66,0))</f>
        <v>-7.490290753511878E-3</v>
      </c>
      <c r="DB98" s="133">
        <v>-2.0086790327536148E-2</v>
      </c>
      <c r="DC98" s="133">
        <v>-9.0652302874708879E-3</v>
      </c>
      <c r="DD98" s="133">
        <v>-6.203378393105044E-3</v>
      </c>
      <c r="DE98" s="133">
        <v>1.5039152707589922E-3</v>
      </c>
      <c r="DF98" s="133">
        <v>2.3361770380529172E-3</v>
      </c>
      <c r="DG98" s="133">
        <v>-9.9040245000477332E-3</v>
      </c>
      <c r="DH98" s="133">
        <v>5.5868865758975381E-3</v>
      </c>
      <c r="DI98" s="133">
        <v>-1.0465458028355871E-3</v>
      </c>
      <c r="DJ98" s="133">
        <v>-2.1402158016959147E-2</v>
      </c>
      <c r="DK98" s="133">
        <v>-8.5769848217684425E-3</v>
      </c>
      <c r="DL98" s="133"/>
      <c r="DM98" s="133"/>
      <c r="DN98" s="134" cm="1">
        <f t="array" ref="DN98">INDEX(DB98:DM98,0,MATCH('PV IN'!$E$7,LkUP!DB$66:DM$66,0))</f>
        <v>-8.5769848217684425E-3</v>
      </c>
    </row>
    <row r="99" spans="1:118" x14ac:dyDescent="0.25">
      <c r="A99">
        <v>2051</v>
      </c>
      <c r="B99" s="133">
        <v>-9.2451646607763956E-3</v>
      </c>
      <c r="C99" s="133">
        <v>-1.8601596465671298E-2</v>
      </c>
      <c r="D99" s="133">
        <v>-5.8576873274466743E-3</v>
      </c>
      <c r="E99" s="133">
        <v>-3.4707220546627005E-3</v>
      </c>
      <c r="F99" s="133">
        <v>-4.3727945836256783E-3</v>
      </c>
      <c r="G99" s="133">
        <v>-1.0498699116423751E-2</v>
      </c>
      <c r="H99" s="133">
        <v>4.2910473147823158E-3</v>
      </c>
      <c r="I99" s="133">
        <v>-6.1851203279251971E-3</v>
      </c>
      <c r="J99" s="133">
        <v>-1.4811203595315575E-2</v>
      </c>
      <c r="K99" s="133">
        <v>-6.9276873647360956E-3</v>
      </c>
      <c r="L99" s="133"/>
      <c r="M99" s="133"/>
      <c r="N99" s="134" cm="1">
        <f t="array" ref="N99">INDEX(B99:M99,0,MATCH('PV IN'!$E$7,LkUP!B$66:M$66,0))</f>
        <v>-6.9276873647360956E-3</v>
      </c>
      <c r="O99" s="133">
        <v>1.8910098186602565E-3</v>
      </c>
      <c r="P99" s="133">
        <v>-5.9430207544178687E-3</v>
      </c>
      <c r="Q99" s="133">
        <v>-9.2190262394091765E-3</v>
      </c>
      <c r="R99" s="133">
        <v>3.8622388786952173E-3</v>
      </c>
      <c r="S99" s="133">
        <v>-4.1843029877035379E-3</v>
      </c>
      <c r="T99" s="133">
        <v>1.4487172211627326E-3</v>
      </c>
      <c r="U99" s="133">
        <v>-2.7139271727820479E-4</v>
      </c>
      <c r="V99" s="133">
        <v>-1.0960968492819113E-3</v>
      </c>
      <c r="W99" s="133">
        <v>1.1873486172211314E-2</v>
      </c>
      <c r="X99" s="133">
        <v>-4.1982567721729723E-3</v>
      </c>
      <c r="Y99" s="133"/>
      <c r="Z99" s="133"/>
      <c r="AA99" s="134" cm="1">
        <f t="array" ref="AA99">INDEX(O99:Z99,0,MATCH('PV IN'!$E$7,LkUP!O$66:Z$66,0))</f>
        <v>-4.1982567721729723E-3</v>
      </c>
      <c r="AB99" s="133">
        <v>-1.0414391498827497E-2</v>
      </c>
      <c r="AC99" s="133">
        <v>-1.0420000464859386E-2</v>
      </c>
      <c r="AD99" s="133">
        <v>-3.9722314069424039E-3</v>
      </c>
      <c r="AE99" s="133">
        <v>-3.7279089569021333E-3</v>
      </c>
      <c r="AF99" s="133">
        <v>-5.2177674320684937E-3</v>
      </c>
      <c r="AG99" s="133">
        <v>-1.4055084789143208E-2</v>
      </c>
      <c r="AH99" s="133">
        <v>1.2940383272229161E-2</v>
      </c>
      <c r="AI99" s="133">
        <v>-6.2106628632307087E-3</v>
      </c>
      <c r="AJ99" s="133">
        <v>-1.6672528120458649E-2</v>
      </c>
      <c r="AK99" s="133">
        <v>-7.5633013389257734E-3</v>
      </c>
      <c r="AL99" s="133"/>
      <c r="AM99" s="133"/>
      <c r="AN99" s="134" cm="1">
        <f t="array" ref="AN99">INDEX(AB99:AM99,0,MATCH('PV IN'!$E$7,LkUP!AB$66:AM$66,0))</f>
        <v>-7.5633013389257734E-3</v>
      </c>
      <c r="AO99" s="133">
        <v>-1.3923476390519003E-3</v>
      </c>
      <c r="AP99" s="133">
        <v>-6.9844410023488642E-3</v>
      </c>
      <c r="AQ99" s="133">
        <v>-6.638202737305505E-3</v>
      </c>
      <c r="AR99" s="133">
        <v>8.2035485183405768E-3</v>
      </c>
      <c r="AS99" s="133">
        <v>1.46464524704784E-3</v>
      </c>
      <c r="AT99" s="133">
        <v>-5.2966339865274485E-3</v>
      </c>
      <c r="AU99" s="133">
        <v>4.3937389300770227E-3</v>
      </c>
      <c r="AV99" s="133">
        <v>1.7224736671701512E-4</v>
      </c>
      <c r="AW99" s="133">
        <v>4.6119966595145829E-3</v>
      </c>
      <c r="AX99" s="133">
        <v>-1.5126805393132743E-3</v>
      </c>
      <c r="AY99" s="133"/>
      <c r="AZ99" s="133"/>
      <c r="BA99" s="134" cm="1">
        <f t="array" ref="BA99">INDEX(AO99:AZ99,0,MATCH('PV IN'!$E$7,LkUP!AO$66:AZ$66,0))</f>
        <v>-1.5126805393132743E-3</v>
      </c>
      <c r="BB99" s="133">
        <v>-3.7799854873429932E-3</v>
      </c>
      <c r="BC99" s="133">
        <v>-1.5236987013113618E-2</v>
      </c>
      <c r="BD99" s="133">
        <v>-4.1180470563750007E-3</v>
      </c>
      <c r="BE99" s="133">
        <v>-1.6715624596998645E-3</v>
      </c>
      <c r="BF99" s="133">
        <v>9.5622314333799197E-3</v>
      </c>
      <c r="BG99" s="133">
        <v>-3.1955338136226925E-2</v>
      </c>
      <c r="BH99" s="133">
        <v>-2.6175915893424453E-3</v>
      </c>
      <c r="BI99" s="133">
        <v>-6.3644246668687595E-3</v>
      </c>
      <c r="BJ99" s="133">
        <v>-1.8980530849906623E-2</v>
      </c>
      <c r="BK99" s="133">
        <v>-9.5744479199747698E-3</v>
      </c>
      <c r="BL99" s="133"/>
      <c r="BM99" s="133"/>
      <c r="BN99" s="134" cm="1">
        <f t="array" ref="BN99">INDEX(BB99:BM99,0,MATCH('PV IN'!$E$7,LkUP!BB$66:BM$66,0))</f>
        <v>-9.5744479199747698E-3</v>
      </c>
      <c r="BO99" s="133">
        <v>-2.2995429668320939E-3</v>
      </c>
      <c r="BP99" s="133">
        <v>-3.4242004201646666E-3</v>
      </c>
      <c r="BQ99" s="133">
        <v>-2.4908010475762823E-3</v>
      </c>
      <c r="BR99" s="133">
        <v>5.2782577133355536E-3</v>
      </c>
      <c r="BS99" s="133">
        <v>1.574015186524172E-3</v>
      </c>
      <c r="BT99" s="133">
        <v>-3.2257079659463992E-3</v>
      </c>
      <c r="BU99" s="133">
        <v>5.262327173334652E-3</v>
      </c>
      <c r="BV99" s="133">
        <v>-2.6937849715851325E-3</v>
      </c>
      <c r="BW99" s="133">
        <v>-5.6714705875639034E-3</v>
      </c>
      <c r="BX99" s="133">
        <v>-8.9801125041224332E-3</v>
      </c>
      <c r="BY99" s="133"/>
      <c r="BZ99" s="133"/>
      <c r="CA99" s="134" cm="1">
        <f t="array" ref="CA99">INDEX(BO99:BZ99,0,MATCH('PV IN'!$E$7,LkUP!BO$66:BZ$66,0))</f>
        <v>-8.9801125041224332E-3</v>
      </c>
      <c r="CB99" s="133">
        <v>-9.8450492568081371E-3</v>
      </c>
      <c r="CC99" s="133">
        <v>-6.5618800791417912E-3</v>
      </c>
      <c r="CD99" s="133">
        <v>-7.5528972527813352E-3</v>
      </c>
      <c r="CE99" s="133">
        <v>3.9056274015156186E-3</v>
      </c>
      <c r="CF99" s="133">
        <v>-4.8380143713518207E-3</v>
      </c>
      <c r="CG99" s="133">
        <v>-7.4867493287195629E-3</v>
      </c>
      <c r="CH99" s="133">
        <v>1.9516598406784805E-3</v>
      </c>
      <c r="CI99" s="133">
        <v>-2.7619227252853643E-3</v>
      </c>
      <c r="CJ99" s="133">
        <v>-1.3007161338652665E-2</v>
      </c>
      <c r="CK99" s="133">
        <v>-6.7442526170192491E-3</v>
      </c>
      <c r="CL99" s="133"/>
      <c r="CM99" s="133"/>
      <c r="CN99" s="134" cm="1">
        <f t="array" ref="CN99">INDEX(CB99:CM99,0,MATCH('PV IN'!$E$7,LkUP!CB$66:CM$66,0))</f>
        <v>-6.7442526170192491E-3</v>
      </c>
      <c r="CO99" s="133">
        <v>-8.9413714549707243E-3</v>
      </c>
      <c r="CP99" s="133">
        <v>-8.0016766441323023E-3</v>
      </c>
      <c r="CQ99" s="133">
        <v>-8.8136659718145629E-3</v>
      </c>
      <c r="CR99" s="133">
        <v>-5.1210400768599207E-3</v>
      </c>
      <c r="CS99" s="133">
        <v>-4.0164763194461914E-3</v>
      </c>
      <c r="CT99" s="133">
        <v>-9.351067694451147E-3</v>
      </c>
      <c r="CU99" s="133">
        <v>1.9223983696462898E-4</v>
      </c>
      <c r="CV99" s="133">
        <v>-7.4216668085432388E-3</v>
      </c>
      <c r="CW99" s="133">
        <v>-1.2685450392901539E-2</v>
      </c>
      <c r="CX99" s="133">
        <v>-7.490290753511878E-3</v>
      </c>
      <c r="CY99" s="133"/>
      <c r="CZ99" s="133"/>
      <c r="DA99" s="134" cm="1">
        <f t="array" ref="DA99">INDEX(CO99:CZ99,0,MATCH('PV IN'!$E$7,LkUP!CO$66:CZ$66,0))</f>
        <v>-7.490290753511878E-3</v>
      </c>
      <c r="DB99" s="133">
        <v>-2.0086790327536148E-2</v>
      </c>
      <c r="DC99" s="133">
        <v>-9.0652302874708879E-3</v>
      </c>
      <c r="DD99" s="133">
        <v>-6.203378393105044E-3</v>
      </c>
      <c r="DE99" s="133">
        <v>1.5039152707589922E-3</v>
      </c>
      <c r="DF99" s="133">
        <v>2.3361770380529172E-3</v>
      </c>
      <c r="DG99" s="133">
        <v>-9.9040245000477332E-3</v>
      </c>
      <c r="DH99" s="133">
        <v>5.5868865758975381E-3</v>
      </c>
      <c r="DI99" s="133">
        <v>-1.0465458028355871E-3</v>
      </c>
      <c r="DJ99" s="133">
        <v>-2.1402158016959147E-2</v>
      </c>
      <c r="DK99" s="133">
        <v>-8.5769848217684425E-3</v>
      </c>
      <c r="DL99" s="133"/>
      <c r="DM99" s="133"/>
      <c r="DN99" s="134" cm="1">
        <f t="array" ref="DN99">INDEX(DB99:DM99,0,MATCH('PV IN'!$E$7,LkUP!DB$66:DM$66,0))</f>
        <v>-8.5769848217684425E-3</v>
      </c>
    </row>
    <row r="100" spans="1:118" x14ac:dyDescent="0.25">
      <c r="A100">
        <v>2052</v>
      </c>
      <c r="B100" s="133">
        <v>-9.2451646607763956E-3</v>
      </c>
      <c r="C100" s="133">
        <v>-1.8601596465671298E-2</v>
      </c>
      <c r="D100" s="133">
        <v>-5.8576873274466743E-3</v>
      </c>
      <c r="E100" s="133">
        <v>-3.4707220546627005E-3</v>
      </c>
      <c r="F100" s="133">
        <v>-4.3727945836256783E-3</v>
      </c>
      <c r="G100" s="133">
        <v>-1.0498699116423751E-2</v>
      </c>
      <c r="H100" s="133">
        <v>4.2910473147823158E-3</v>
      </c>
      <c r="I100" s="133">
        <v>-6.1851203279251971E-3</v>
      </c>
      <c r="J100" s="133">
        <v>-1.4811203595315575E-2</v>
      </c>
      <c r="K100" s="133">
        <v>-6.9276873647360956E-3</v>
      </c>
      <c r="L100" s="133"/>
      <c r="M100" s="133"/>
      <c r="N100" s="134" cm="1">
        <f t="array" ref="N100">INDEX(B100:M100,0,MATCH('PV IN'!$E$7,LkUP!B$66:M$66,0))</f>
        <v>-6.9276873647360956E-3</v>
      </c>
      <c r="O100" s="133">
        <v>1.8910098186602565E-3</v>
      </c>
      <c r="P100" s="133">
        <v>-5.9430207544178687E-3</v>
      </c>
      <c r="Q100" s="133">
        <v>-9.2190262394091765E-3</v>
      </c>
      <c r="R100" s="133">
        <v>3.8622388786952173E-3</v>
      </c>
      <c r="S100" s="133">
        <v>-4.1843029877035379E-3</v>
      </c>
      <c r="T100" s="133">
        <v>1.4487172211627326E-3</v>
      </c>
      <c r="U100" s="133">
        <v>-2.7139271727820479E-4</v>
      </c>
      <c r="V100" s="133">
        <v>-1.0960968492819113E-3</v>
      </c>
      <c r="W100" s="133">
        <v>1.1873486172211314E-2</v>
      </c>
      <c r="X100" s="133">
        <v>-4.1982567721729723E-3</v>
      </c>
      <c r="Y100" s="133"/>
      <c r="Z100" s="133"/>
      <c r="AA100" s="134" cm="1">
        <f t="array" ref="AA100">INDEX(O100:Z100,0,MATCH('PV IN'!$E$7,LkUP!O$66:Z$66,0))</f>
        <v>-4.1982567721729723E-3</v>
      </c>
      <c r="AB100" s="133">
        <v>-1.0414391498827497E-2</v>
      </c>
      <c r="AC100" s="133">
        <v>-1.0420000464859386E-2</v>
      </c>
      <c r="AD100" s="133">
        <v>-3.9722314069424039E-3</v>
      </c>
      <c r="AE100" s="133">
        <v>-3.7279089569021333E-3</v>
      </c>
      <c r="AF100" s="133">
        <v>-5.2177674320684937E-3</v>
      </c>
      <c r="AG100" s="133">
        <v>-1.4055084789143208E-2</v>
      </c>
      <c r="AH100" s="133">
        <v>1.2940383272229161E-2</v>
      </c>
      <c r="AI100" s="133">
        <v>-6.2106628632307087E-3</v>
      </c>
      <c r="AJ100" s="133">
        <v>-1.6672528120458649E-2</v>
      </c>
      <c r="AK100" s="133">
        <v>-7.5633013389257734E-3</v>
      </c>
      <c r="AL100" s="133"/>
      <c r="AM100" s="133"/>
      <c r="AN100" s="134" cm="1">
        <f t="array" ref="AN100">INDEX(AB100:AM100,0,MATCH('PV IN'!$E$7,LkUP!AB$66:AM$66,0))</f>
        <v>-7.5633013389257734E-3</v>
      </c>
      <c r="AO100" s="133">
        <v>-1.3923476390519003E-3</v>
      </c>
      <c r="AP100" s="133">
        <v>-6.9844410023488642E-3</v>
      </c>
      <c r="AQ100" s="133">
        <v>-6.638202737305505E-3</v>
      </c>
      <c r="AR100" s="133">
        <v>8.2035485183405768E-3</v>
      </c>
      <c r="AS100" s="133">
        <v>1.46464524704784E-3</v>
      </c>
      <c r="AT100" s="133">
        <v>-5.2966339865274485E-3</v>
      </c>
      <c r="AU100" s="133">
        <v>4.3937389300770227E-3</v>
      </c>
      <c r="AV100" s="133">
        <v>1.7224736671701512E-4</v>
      </c>
      <c r="AW100" s="133">
        <v>4.6119966595145829E-3</v>
      </c>
      <c r="AX100" s="133">
        <v>-1.5126805393132743E-3</v>
      </c>
      <c r="AY100" s="133"/>
      <c r="AZ100" s="133"/>
      <c r="BA100" s="134" cm="1">
        <f t="array" ref="BA100">INDEX(AO100:AZ100,0,MATCH('PV IN'!$E$7,LkUP!AO$66:AZ$66,0))</f>
        <v>-1.5126805393132743E-3</v>
      </c>
      <c r="BB100" s="133">
        <v>-3.7799854873429932E-3</v>
      </c>
      <c r="BC100" s="133">
        <v>-1.5236987013113618E-2</v>
      </c>
      <c r="BD100" s="133">
        <v>-4.1180470563750007E-3</v>
      </c>
      <c r="BE100" s="133">
        <v>-1.6715624596998645E-3</v>
      </c>
      <c r="BF100" s="133">
        <v>9.5622314333799197E-3</v>
      </c>
      <c r="BG100" s="133">
        <v>-3.1955338136226925E-2</v>
      </c>
      <c r="BH100" s="133">
        <v>-2.6175915893424453E-3</v>
      </c>
      <c r="BI100" s="133">
        <v>-6.3644246668687595E-3</v>
      </c>
      <c r="BJ100" s="133">
        <v>-1.8980530849906623E-2</v>
      </c>
      <c r="BK100" s="133">
        <v>-9.5744479199747698E-3</v>
      </c>
      <c r="BL100" s="133"/>
      <c r="BM100" s="133"/>
      <c r="BN100" s="134" cm="1">
        <f t="array" ref="BN100">INDEX(BB100:BM100,0,MATCH('PV IN'!$E$7,LkUP!BB$66:BM$66,0))</f>
        <v>-9.5744479199747698E-3</v>
      </c>
      <c r="BO100" s="133">
        <v>-2.2995429668320939E-3</v>
      </c>
      <c r="BP100" s="133">
        <v>-3.4242004201646666E-3</v>
      </c>
      <c r="BQ100" s="133">
        <v>-2.4908010475762823E-3</v>
      </c>
      <c r="BR100" s="133">
        <v>5.2782577133355536E-3</v>
      </c>
      <c r="BS100" s="133">
        <v>1.574015186524172E-3</v>
      </c>
      <c r="BT100" s="133">
        <v>-3.2257079659463992E-3</v>
      </c>
      <c r="BU100" s="133">
        <v>5.262327173334652E-3</v>
      </c>
      <c r="BV100" s="133">
        <v>-2.6937849715851325E-3</v>
      </c>
      <c r="BW100" s="133">
        <v>-5.6714705875639034E-3</v>
      </c>
      <c r="BX100" s="133">
        <v>-8.9801125041224332E-3</v>
      </c>
      <c r="BY100" s="133"/>
      <c r="BZ100" s="133"/>
      <c r="CA100" s="134" cm="1">
        <f t="array" ref="CA100">INDEX(BO100:BZ100,0,MATCH('PV IN'!$E$7,LkUP!BO$66:BZ$66,0))</f>
        <v>-8.9801125041224332E-3</v>
      </c>
      <c r="CB100" s="133">
        <v>-9.8450492568081371E-3</v>
      </c>
      <c r="CC100" s="133">
        <v>-6.5618800791417912E-3</v>
      </c>
      <c r="CD100" s="133">
        <v>-7.5528972527813352E-3</v>
      </c>
      <c r="CE100" s="133">
        <v>3.9056274015156186E-3</v>
      </c>
      <c r="CF100" s="133">
        <v>-4.8380143713518207E-3</v>
      </c>
      <c r="CG100" s="133">
        <v>-7.4867493287195629E-3</v>
      </c>
      <c r="CH100" s="133">
        <v>1.9516598406784805E-3</v>
      </c>
      <c r="CI100" s="133">
        <v>-2.7619227252853643E-3</v>
      </c>
      <c r="CJ100" s="133">
        <v>-1.3007161338652665E-2</v>
      </c>
      <c r="CK100" s="133">
        <v>-6.7442526170192491E-3</v>
      </c>
      <c r="CL100" s="133"/>
      <c r="CM100" s="133"/>
      <c r="CN100" s="134" cm="1">
        <f t="array" ref="CN100">INDEX(CB100:CM100,0,MATCH('PV IN'!$E$7,LkUP!CB$66:CM$66,0))</f>
        <v>-6.7442526170192491E-3</v>
      </c>
      <c r="CO100" s="133">
        <v>-8.9413714549707243E-3</v>
      </c>
      <c r="CP100" s="133">
        <v>-8.0016766441323023E-3</v>
      </c>
      <c r="CQ100" s="133">
        <v>-8.8136659718145629E-3</v>
      </c>
      <c r="CR100" s="133">
        <v>-5.1210400768599207E-3</v>
      </c>
      <c r="CS100" s="133">
        <v>-4.0164763194461914E-3</v>
      </c>
      <c r="CT100" s="133">
        <v>-9.351067694451147E-3</v>
      </c>
      <c r="CU100" s="133">
        <v>1.9223983696462898E-4</v>
      </c>
      <c r="CV100" s="133">
        <v>-7.4216668085432388E-3</v>
      </c>
      <c r="CW100" s="133">
        <v>-1.2685450392901539E-2</v>
      </c>
      <c r="CX100" s="133">
        <v>-7.490290753511878E-3</v>
      </c>
      <c r="CY100" s="133"/>
      <c r="CZ100" s="133"/>
      <c r="DA100" s="134" cm="1">
        <f t="array" ref="DA100">INDEX(CO100:CZ100,0,MATCH('PV IN'!$E$7,LkUP!CO$66:CZ$66,0))</f>
        <v>-7.490290753511878E-3</v>
      </c>
      <c r="DB100" s="133">
        <v>-2.0086790327536148E-2</v>
      </c>
      <c r="DC100" s="133">
        <v>-9.0652302874708879E-3</v>
      </c>
      <c r="DD100" s="133">
        <v>-6.203378393105044E-3</v>
      </c>
      <c r="DE100" s="133">
        <v>1.5039152707589922E-3</v>
      </c>
      <c r="DF100" s="133">
        <v>2.3361770380529172E-3</v>
      </c>
      <c r="DG100" s="133">
        <v>-9.9040245000477332E-3</v>
      </c>
      <c r="DH100" s="133">
        <v>5.5868865758975381E-3</v>
      </c>
      <c r="DI100" s="133">
        <v>-1.0465458028355871E-3</v>
      </c>
      <c r="DJ100" s="133">
        <v>-2.1402158016959147E-2</v>
      </c>
      <c r="DK100" s="133">
        <v>-8.5769848217684425E-3</v>
      </c>
      <c r="DL100" s="133"/>
      <c r="DM100" s="133"/>
      <c r="DN100" s="134" cm="1">
        <f t="array" ref="DN100">INDEX(DB100:DM100,0,MATCH('PV IN'!$E$7,LkUP!DB$66:DM$66,0))</f>
        <v>-8.5769848217684425E-3</v>
      </c>
    </row>
    <row r="101" spans="1:118" x14ac:dyDescent="0.25">
      <c r="A101">
        <v>2053</v>
      </c>
      <c r="B101" s="133">
        <v>-9.2451646607763956E-3</v>
      </c>
      <c r="C101" s="133">
        <v>-1.8601596465671298E-2</v>
      </c>
      <c r="D101" s="133">
        <v>-5.8576873274466743E-3</v>
      </c>
      <c r="E101" s="133">
        <v>-3.4707220546627005E-3</v>
      </c>
      <c r="F101" s="133">
        <v>-4.3727945836256783E-3</v>
      </c>
      <c r="G101" s="133">
        <v>-1.0498699116423751E-2</v>
      </c>
      <c r="H101" s="133">
        <v>4.2910473147823158E-3</v>
      </c>
      <c r="I101" s="133">
        <v>-6.1851203279251971E-3</v>
      </c>
      <c r="J101" s="133">
        <v>-1.4811203595315575E-2</v>
      </c>
      <c r="K101" s="133">
        <v>-6.9276873647360956E-3</v>
      </c>
      <c r="L101" s="133"/>
      <c r="M101" s="133"/>
      <c r="N101" s="134" cm="1">
        <f t="array" ref="N101">INDEX(B101:M101,0,MATCH('PV IN'!$E$7,LkUP!B$66:M$66,0))</f>
        <v>-6.9276873647360956E-3</v>
      </c>
      <c r="O101" s="133">
        <v>1.8910098186602565E-3</v>
      </c>
      <c r="P101" s="133">
        <v>-5.9430207544178687E-3</v>
      </c>
      <c r="Q101" s="133">
        <v>-9.2190262394091765E-3</v>
      </c>
      <c r="R101" s="133">
        <v>3.8622388786952173E-3</v>
      </c>
      <c r="S101" s="133">
        <v>-4.1843029877035379E-3</v>
      </c>
      <c r="T101" s="133">
        <v>1.4487172211627326E-3</v>
      </c>
      <c r="U101" s="133">
        <v>-2.7139271727820479E-4</v>
      </c>
      <c r="V101" s="133">
        <v>-1.0960968492819113E-3</v>
      </c>
      <c r="W101" s="133">
        <v>1.1873486172211314E-2</v>
      </c>
      <c r="X101" s="133">
        <v>-4.1982567721729723E-3</v>
      </c>
      <c r="Y101" s="133"/>
      <c r="Z101" s="133"/>
      <c r="AA101" s="134" cm="1">
        <f t="array" ref="AA101">INDEX(O101:Z101,0,MATCH('PV IN'!$E$7,LkUP!O$66:Z$66,0))</f>
        <v>-4.1982567721729723E-3</v>
      </c>
      <c r="AB101" s="133">
        <v>-1.0414391498827497E-2</v>
      </c>
      <c r="AC101" s="133">
        <v>-1.0420000464859386E-2</v>
      </c>
      <c r="AD101" s="133">
        <v>-3.9722314069424039E-3</v>
      </c>
      <c r="AE101" s="133">
        <v>-3.7279089569021333E-3</v>
      </c>
      <c r="AF101" s="133">
        <v>-5.2177674320684937E-3</v>
      </c>
      <c r="AG101" s="133">
        <v>-1.4055084789143208E-2</v>
      </c>
      <c r="AH101" s="133">
        <v>1.2940383272229161E-2</v>
      </c>
      <c r="AI101" s="133">
        <v>-6.2106628632307087E-3</v>
      </c>
      <c r="AJ101" s="133">
        <v>-1.6672528120458649E-2</v>
      </c>
      <c r="AK101" s="133">
        <v>-7.5633013389257734E-3</v>
      </c>
      <c r="AL101" s="133"/>
      <c r="AM101" s="133"/>
      <c r="AN101" s="134" cm="1">
        <f t="array" ref="AN101">INDEX(AB101:AM101,0,MATCH('PV IN'!$E$7,LkUP!AB$66:AM$66,0))</f>
        <v>-7.5633013389257734E-3</v>
      </c>
      <c r="AO101" s="133">
        <v>-1.3923476390519003E-3</v>
      </c>
      <c r="AP101" s="133">
        <v>-6.9844410023488642E-3</v>
      </c>
      <c r="AQ101" s="133">
        <v>-6.638202737305505E-3</v>
      </c>
      <c r="AR101" s="133">
        <v>8.2035485183405768E-3</v>
      </c>
      <c r="AS101" s="133">
        <v>1.46464524704784E-3</v>
      </c>
      <c r="AT101" s="133">
        <v>-5.2966339865274485E-3</v>
      </c>
      <c r="AU101" s="133">
        <v>4.3937389300770227E-3</v>
      </c>
      <c r="AV101" s="133">
        <v>1.7224736671701512E-4</v>
      </c>
      <c r="AW101" s="133">
        <v>4.6119966595145829E-3</v>
      </c>
      <c r="AX101" s="133">
        <v>-1.5126805393132743E-3</v>
      </c>
      <c r="AY101" s="133"/>
      <c r="AZ101" s="133"/>
      <c r="BA101" s="134" cm="1">
        <f t="array" ref="BA101">INDEX(AO101:AZ101,0,MATCH('PV IN'!$E$7,LkUP!AO$66:AZ$66,0))</f>
        <v>-1.5126805393132743E-3</v>
      </c>
      <c r="BB101" s="133">
        <v>-3.7799854873429932E-3</v>
      </c>
      <c r="BC101" s="133">
        <v>-1.5236987013113618E-2</v>
      </c>
      <c r="BD101" s="133">
        <v>-4.1180470563750007E-3</v>
      </c>
      <c r="BE101" s="133">
        <v>-1.6715624596998645E-3</v>
      </c>
      <c r="BF101" s="133">
        <v>9.5622314333799197E-3</v>
      </c>
      <c r="BG101" s="133">
        <v>-3.1955338136226925E-2</v>
      </c>
      <c r="BH101" s="133">
        <v>-2.6175915893424453E-3</v>
      </c>
      <c r="BI101" s="133">
        <v>-6.3644246668687595E-3</v>
      </c>
      <c r="BJ101" s="133">
        <v>-1.8980530849906623E-2</v>
      </c>
      <c r="BK101" s="133">
        <v>-9.5744479199747698E-3</v>
      </c>
      <c r="BL101" s="133"/>
      <c r="BM101" s="133"/>
      <c r="BN101" s="134" cm="1">
        <f t="array" ref="BN101">INDEX(BB101:BM101,0,MATCH('PV IN'!$E$7,LkUP!BB$66:BM$66,0))</f>
        <v>-9.5744479199747698E-3</v>
      </c>
      <c r="BO101" s="133">
        <v>-2.2995429668320939E-3</v>
      </c>
      <c r="BP101" s="133">
        <v>-3.4242004201646666E-3</v>
      </c>
      <c r="BQ101" s="133">
        <v>-2.4908010475762823E-3</v>
      </c>
      <c r="BR101" s="133">
        <v>5.2782577133355536E-3</v>
      </c>
      <c r="BS101" s="133">
        <v>1.574015186524172E-3</v>
      </c>
      <c r="BT101" s="133">
        <v>-3.2257079659463992E-3</v>
      </c>
      <c r="BU101" s="133">
        <v>5.262327173334652E-3</v>
      </c>
      <c r="BV101" s="133">
        <v>-2.6937849715851325E-3</v>
      </c>
      <c r="BW101" s="133">
        <v>-5.6714705875639034E-3</v>
      </c>
      <c r="BX101" s="133">
        <v>-8.9801125041224332E-3</v>
      </c>
      <c r="BY101" s="133"/>
      <c r="BZ101" s="133"/>
      <c r="CA101" s="134" cm="1">
        <f t="array" ref="CA101">INDEX(BO101:BZ101,0,MATCH('PV IN'!$E$7,LkUP!BO$66:BZ$66,0))</f>
        <v>-8.9801125041224332E-3</v>
      </c>
      <c r="CB101" s="133">
        <v>-9.8450492568081371E-3</v>
      </c>
      <c r="CC101" s="133">
        <v>-6.5618800791417912E-3</v>
      </c>
      <c r="CD101" s="133">
        <v>-7.5528972527813352E-3</v>
      </c>
      <c r="CE101" s="133">
        <v>3.9056274015156186E-3</v>
      </c>
      <c r="CF101" s="133">
        <v>-4.8380143713518207E-3</v>
      </c>
      <c r="CG101" s="133">
        <v>-7.4867493287195629E-3</v>
      </c>
      <c r="CH101" s="133">
        <v>1.9516598406784805E-3</v>
      </c>
      <c r="CI101" s="133">
        <v>-2.7619227252853643E-3</v>
      </c>
      <c r="CJ101" s="133">
        <v>-1.3007161338652665E-2</v>
      </c>
      <c r="CK101" s="133">
        <v>-6.7442526170192491E-3</v>
      </c>
      <c r="CL101" s="133"/>
      <c r="CM101" s="133"/>
      <c r="CN101" s="134" cm="1">
        <f t="array" ref="CN101">INDEX(CB101:CM101,0,MATCH('PV IN'!$E$7,LkUP!CB$66:CM$66,0))</f>
        <v>-6.7442526170192491E-3</v>
      </c>
      <c r="CO101" s="133">
        <v>-8.9413714549707243E-3</v>
      </c>
      <c r="CP101" s="133">
        <v>-8.0016766441323023E-3</v>
      </c>
      <c r="CQ101" s="133">
        <v>-8.8136659718145629E-3</v>
      </c>
      <c r="CR101" s="133">
        <v>-5.1210400768599207E-3</v>
      </c>
      <c r="CS101" s="133">
        <v>-4.0164763194461914E-3</v>
      </c>
      <c r="CT101" s="133">
        <v>-9.351067694451147E-3</v>
      </c>
      <c r="CU101" s="133">
        <v>1.9223983696462898E-4</v>
      </c>
      <c r="CV101" s="133">
        <v>-7.4216668085432388E-3</v>
      </c>
      <c r="CW101" s="133">
        <v>-1.2685450392901539E-2</v>
      </c>
      <c r="CX101" s="133">
        <v>-7.490290753511878E-3</v>
      </c>
      <c r="CY101" s="133"/>
      <c r="CZ101" s="133"/>
      <c r="DA101" s="134" cm="1">
        <f t="array" ref="DA101">INDEX(CO101:CZ101,0,MATCH('PV IN'!$E$7,LkUP!CO$66:CZ$66,0))</f>
        <v>-7.490290753511878E-3</v>
      </c>
      <c r="DB101" s="133">
        <v>-2.0086790327536148E-2</v>
      </c>
      <c r="DC101" s="133">
        <v>-9.0652302874708879E-3</v>
      </c>
      <c r="DD101" s="133">
        <v>-6.203378393105044E-3</v>
      </c>
      <c r="DE101" s="133">
        <v>1.5039152707589922E-3</v>
      </c>
      <c r="DF101" s="133">
        <v>2.3361770380529172E-3</v>
      </c>
      <c r="DG101" s="133">
        <v>-9.9040245000477332E-3</v>
      </c>
      <c r="DH101" s="133">
        <v>5.5868865758975381E-3</v>
      </c>
      <c r="DI101" s="133">
        <v>-1.0465458028355871E-3</v>
      </c>
      <c r="DJ101" s="133">
        <v>-2.1402158016959147E-2</v>
      </c>
      <c r="DK101" s="133">
        <v>-8.5769848217684425E-3</v>
      </c>
      <c r="DL101" s="133"/>
      <c r="DM101" s="133"/>
      <c r="DN101" s="134" cm="1">
        <f t="array" ref="DN101">INDEX(DB101:DM101,0,MATCH('PV IN'!$E$7,LkUP!DB$66:DM$66,0))</f>
        <v>-8.5769848217684425E-3</v>
      </c>
    </row>
    <row r="102" spans="1:118" x14ac:dyDescent="0.25">
      <c r="A102">
        <v>2054</v>
      </c>
      <c r="B102" s="133">
        <v>-9.2451646607763956E-3</v>
      </c>
      <c r="C102" s="133">
        <v>-1.8601596465671298E-2</v>
      </c>
      <c r="D102" s="133">
        <v>-5.8576873274466743E-3</v>
      </c>
      <c r="E102" s="133">
        <v>-3.4707220546627005E-3</v>
      </c>
      <c r="F102" s="133">
        <v>-4.3727945836256783E-3</v>
      </c>
      <c r="G102" s="133">
        <v>-1.0498699116423751E-2</v>
      </c>
      <c r="H102" s="133">
        <v>4.2910473147823158E-3</v>
      </c>
      <c r="I102" s="133">
        <v>-6.1851203279251971E-3</v>
      </c>
      <c r="J102" s="133">
        <v>-1.4811203595315575E-2</v>
      </c>
      <c r="K102" s="133">
        <v>-6.9276873647360956E-3</v>
      </c>
      <c r="L102" s="133"/>
      <c r="M102" s="133"/>
      <c r="N102" s="134" cm="1">
        <f t="array" ref="N102">INDEX(B102:M102,0,MATCH('PV IN'!$E$7,LkUP!B$66:M$66,0))</f>
        <v>-6.9276873647360956E-3</v>
      </c>
      <c r="O102" s="133">
        <v>1.8910098186602565E-3</v>
      </c>
      <c r="P102" s="133">
        <v>-5.9430207544178687E-3</v>
      </c>
      <c r="Q102" s="133">
        <v>-9.2190262394091765E-3</v>
      </c>
      <c r="R102" s="133">
        <v>3.8622388786952173E-3</v>
      </c>
      <c r="S102" s="133">
        <v>-4.1843029877035379E-3</v>
      </c>
      <c r="T102" s="133">
        <v>1.4487172211627326E-3</v>
      </c>
      <c r="U102" s="133">
        <v>-2.7139271727820479E-4</v>
      </c>
      <c r="V102" s="133">
        <v>-1.0960968492819113E-3</v>
      </c>
      <c r="W102" s="133">
        <v>1.1873486172211314E-2</v>
      </c>
      <c r="X102" s="133">
        <v>-4.1982567721729723E-3</v>
      </c>
      <c r="Y102" s="133"/>
      <c r="Z102" s="133"/>
      <c r="AA102" s="134" cm="1">
        <f t="array" ref="AA102">INDEX(O102:Z102,0,MATCH('PV IN'!$E$7,LkUP!O$66:Z$66,0))</f>
        <v>-4.1982567721729723E-3</v>
      </c>
      <c r="AB102" s="133">
        <v>-1.0414391498827497E-2</v>
      </c>
      <c r="AC102" s="133">
        <v>-1.0420000464859386E-2</v>
      </c>
      <c r="AD102" s="133">
        <v>-3.9722314069424039E-3</v>
      </c>
      <c r="AE102" s="133">
        <v>-3.7279089569021333E-3</v>
      </c>
      <c r="AF102" s="133">
        <v>-5.2177674320684937E-3</v>
      </c>
      <c r="AG102" s="133">
        <v>-1.4055084789143208E-2</v>
      </c>
      <c r="AH102" s="133">
        <v>1.2940383272229161E-2</v>
      </c>
      <c r="AI102" s="133">
        <v>-6.2106628632307087E-3</v>
      </c>
      <c r="AJ102" s="133">
        <v>-1.6672528120458649E-2</v>
      </c>
      <c r="AK102" s="133">
        <v>-7.5633013389257734E-3</v>
      </c>
      <c r="AL102" s="133"/>
      <c r="AM102" s="133"/>
      <c r="AN102" s="134" cm="1">
        <f t="array" ref="AN102">INDEX(AB102:AM102,0,MATCH('PV IN'!$E$7,LkUP!AB$66:AM$66,0))</f>
        <v>-7.5633013389257734E-3</v>
      </c>
      <c r="AO102" s="133">
        <v>-1.3923476390519003E-3</v>
      </c>
      <c r="AP102" s="133">
        <v>-6.9844410023488642E-3</v>
      </c>
      <c r="AQ102" s="133">
        <v>-6.638202737305505E-3</v>
      </c>
      <c r="AR102" s="133">
        <v>8.2035485183405768E-3</v>
      </c>
      <c r="AS102" s="133">
        <v>1.46464524704784E-3</v>
      </c>
      <c r="AT102" s="133">
        <v>-5.2966339865274485E-3</v>
      </c>
      <c r="AU102" s="133">
        <v>4.3937389300770227E-3</v>
      </c>
      <c r="AV102" s="133">
        <v>1.7224736671701512E-4</v>
      </c>
      <c r="AW102" s="133">
        <v>4.6119966595145829E-3</v>
      </c>
      <c r="AX102" s="133">
        <v>-1.5126805393132743E-3</v>
      </c>
      <c r="AY102" s="133"/>
      <c r="AZ102" s="133"/>
      <c r="BA102" s="134" cm="1">
        <f t="array" ref="BA102">INDEX(AO102:AZ102,0,MATCH('PV IN'!$E$7,LkUP!AO$66:AZ$66,0))</f>
        <v>-1.5126805393132743E-3</v>
      </c>
      <c r="BB102" s="133">
        <v>-3.7799854873429932E-3</v>
      </c>
      <c r="BC102" s="133">
        <v>-1.5236987013113618E-2</v>
      </c>
      <c r="BD102" s="133">
        <v>-4.1180470563750007E-3</v>
      </c>
      <c r="BE102" s="133">
        <v>-1.6715624596998645E-3</v>
      </c>
      <c r="BF102" s="133">
        <v>9.5622314333799197E-3</v>
      </c>
      <c r="BG102" s="133">
        <v>-3.1955338136226925E-2</v>
      </c>
      <c r="BH102" s="133">
        <v>-2.6175915893424453E-3</v>
      </c>
      <c r="BI102" s="133">
        <v>-6.3644246668687595E-3</v>
      </c>
      <c r="BJ102" s="133">
        <v>-1.8980530849906623E-2</v>
      </c>
      <c r="BK102" s="133">
        <v>-9.5744479199747698E-3</v>
      </c>
      <c r="BL102" s="133"/>
      <c r="BM102" s="133"/>
      <c r="BN102" s="134" cm="1">
        <f t="array" ref="BN102">INDEX(BB102:BM102,0,MATCH('PV IN'!$E$7,LkUP!BB$66:BM$66,0))</f>
        <v>-9.5744479199747698E-3</v>
      </c>
      <c r="BO102" s="133">
        <v>-2.2995429668320939E-3</v>
      </c>
      <c r="BP102" s="133">
        <v>-3.4242004201646666E-3</v>
      </c>
      <c r="BQ102" s="133">
        <v>-2.4908010475762823E-3</v>
      </c>
      <c r="BR102" s="133">
        <v>5.2782577133355536E-3</v>
      </c>
      <c r="BS102" s="133">
        <v>1.574015186524172E-3</v>
      </c>
      <c r="BT102" s="133">
        <v>-3.2257079659463992E-3</v>
      </c>
      <c r="BU102" s="133">
        <v>5.262327173334652E-3</v>
      </c>
      <c r="BV102" s="133">
        <v>-2.6937849715851325E-3</v>
      </c>
      <c r="BW102" s="133">
        <v>-5.6714705875639034E-3</v>
      </c>
      <c r="BX102" s="133">
        <v>-8.9801125041224332E-3</v>
      </c>
      <c r="BY102" s="133"/>
      <c r="BZ102" s="133"/>
      <c r="CA102" s="134" cm="1">
        <f t="array" ref="CA102">INDEX(BO102:BZ102,0,MATCH('PV IN'!$E$7,LkUP!BO$66:BZ$66,0))</f>
        <v>-8.9801125041224332E-3</v>
      </c>
      <c r="CB102" s="133">
        <v>-9.8450492568081371E-3</v>
      </c>
      <c r="CC102" s="133">
        <v>-6.5618800791417912E-3</v>
      </c>
      <c r="CD102" s="133">
        <v>-7.5528972527813352E-3</v>
      </c>
      <c r="CE102" s="133">
        <v>3.9056274015156186E-3</v>
      </c>
      <c r="CF102" s="133">
        <v>-4.8380143713518207E-3</v>
      </c>
      <c r="CG102" s="133">
        <v>-7.4867493287195629E-3</v>
      </c>
      <c r="CH102" s="133">
        <v>1.9516598406784805E-3</v>
      </c>
      <c r="CI102" s="133">
        <v>-2.7619227252853643E-3</v>
      </c>
      <c r="CJ102" s="133">
        <v>-1.3007161338652665E-2</v>
      </c>
      <c r="CK102" s="133">
        <v>-6.7442526170192491E-3</v>
      </c>
      <c r="CL102" s="133"/>
      <c r="CM102" s="133"/>
      <c r="CN102" s="134" cm="1">
        <f t="array" ref="CN102">INDEX(CB102:CM102,0,MATCH('PV IN'!$E$7,LkUP!CB$66:CM$66,0))</f>
        <v>-6.7442526170192491E-3</v>
      </c>
      <c r="CO102" s="133">
        <v>-8.9413714549707243E-3</v>
      </c>
      <c r="CP102" s="133">
        <v>-8.0016766441323023E-3</v>
      </c>
      <c r="CQ102" s="133">
        <v>-8.8136659718145629E-3</v>
      </c>
      <c r="CR102" s="133">
        <v>-5.1210400768599207E-3</v>
      </c>
      <c r="CS102" s="133">
        <v>-4.0164763194461914E-3</v>
      </c>
      <c r="CT102" s="133">
        <v>-9.351067694451147E-3</v>
      </c>
      <c r="CU102" s="133">
        <v>1.9223983696462898E-4</v>
      </c>
      <c r="CV102" s="133">
        <v>-7.4216668085432388E-3</v>
      </c>
      <c r="CW102" s="133">
        <v>-1.2685450392901539E-2</v>
      </c>
      <c r="CX102" s="133">
        <v>-7.490290753511878E-3</v>
      </c>
      <c r="CY102" s="133"/>
      <c r="CZ102" s="133"/>
      <c r="DA102" s="134" cm="1">
        <f t="array" ref="DA102">INDEX(CO102:CZ102,0,MATCH('PV IN'!$E$7,LkUP!CO$66:CZ$66,0))</f>
        <v>-7.490290753511878E-3</v>
      </c>
      <c r="DB102" s="133">
        <v>-2.0086790327536148E-2</v>
      </c>
      <c r="DC102" s="133">
        <v>-9.0652302874708879E-3</v>
      </c>
      <c r="DD102" s="133">
        <v>-6.203378393105044E-3</v>
      </c>
      <c r="DE102" s="133">
        <v>1.5039152707589922E-3</v>
      </c>
      <c r="DF102" s="133">
        <v>2.3361770380529172E-3</v>
      </c>
      <c r="DG102" s="133">
        <v>-9.9040245000477332E-3</v>
      </c>
      <c r="DH102" s="133">
        <v>5.5868865758975381E-3</v>
      </c>
      <c r="DI102" s="133">
        <v>-1.0465458028355871E-3</v>
      </c>
      <c r="DJ102" s="133">
        <v>-2.1402158016959147E-2</v>
      </c>
      <c r="DK102" s="133">
        <v>-8.5769848217684425E-3</v>
      </c>
      <c r="DL102" s="133"/>
      <c r="DM102" s="133"/>
      <c r="DN102" s="134" cm="1">
        <f t="array" ref="DN102">INDEX(DB102:DM102,0,MATCH('PV IN'!$E$7,LkUP!DB$66:DM$66,0))</f>
        <v>-8.5769848217684425E-3</v>
      </c>
    </row>
    <row r="103" spans="1:118" x14ac:dyDescent="0.25">
      <c r="A103">
        <v>2055</v>
      </c>
      <c r="B103" s="133">
        <v>-9.2451646607763956E-3</v>
      </c>
      <c r="C103" s="133">
        <v>-1.8601596465671298E-2</v>
      </c>
      <c r="D103" s="133">
        <v>-5.8576873274466743E-3</v>
      </c>
      <c r="E103" s="133">
        <v>-3.4707220546627005E-3</v>
      </c>
      <c r="F103" s="133">
        <v>-4.3727945836256783E-3</v>
      </c>
      <c r="G103" s="133">
        <v>-1.0498699116423751E-2</v>
      </c>
      <c r="H103" s="133">
        <v>4.2910473147823158E-3</v>
      </c>
      <c r="I103" s="133">
        <v>-6.1851203279251971E-3</v>
      </c>
      <c r="J103" s="133">
        <v>-1.4811203595315575E-2</v>
      </c>
      <c r="K103" s="133">
        <v>-6.9276873647360956E-3</v>
      </c>
      <c r="L103" s="133"/>
      <c r="M103" s="133"/>
      <c r="N103" s="134" cm="1">
        <f t="array" ref="N103">INDEX(B103:M103,0,MATCH('PV IN'!$E$7,LkUP!B$66:M$66,0))</f>
        <v>-6.9276873647360956E-3</v>
      </c>
      <c r="O103" s="133">
        <v>1.8910098186602565E-3</v>
      </c>
      <c r="P103" s="133">
        <v>-5.9430207544178687E-3</v>
      </c>
      <c r="Q103" s="133">
        <v>-9.2190262394091765E-3</v>
      </c>
      <c r="R103" s="133">
        <v>3.8622388786952173E-3</v>
      </c>
      <c r="S103" s="133">
        <v>-4.1843029877035379E-3</v>
      </c>
      <c r="T103" s="133">
        <v>1.4487172211627326E-3</v>
      </c>
      <c r="U103" s="133">
        <v>-2.7139271727820479E-4</v>
      </c>
      <c r="V103" s="133">
        <v>-1.0960968492819113E-3</v>
      </c>
      <c r="W103" s="133">
        <v>1.1873486172211314E-2</v>
      </c>
      <c r="X103" s="133">
        <v>-4.1982567721729723E-3</v>
      </c>
      <c r="Y103" s="133"/>
      <c r="Z103" s="133"/>
      <c r="AA103" s="134" cm="1">
        <f t="array" ref="AA103">INDEX(O103:Z103,0,MATCH('PV IN'!$E$7,LkUP!O$66:Z$66,0))</f>
        <v>-4.1982567721729723E-3</v>
      </c>
      <c r="AB103" s="133">
        <v>-1.0414391498827497E-2</v>
      </c>
      <c r="AC103" s="133">
        <v>-1.0420000464859386E-2</v>
      </c>
      <c r="AD103" s="133">
        <v>-3.9722314069424039E-3</v>
      </c>
      <c r="AE103" s="133">
        <v>-3.7279089569021333E-3</v>
      </c>
      <c r="AF103" s="133">
        <v>-5.2177674320684937E-3</v>
      </c>
      <c r="AG103" s="133">
        <v>-1.4055084789143208E-2</v>
      </c>
      <c r="AH103" s="133">
        <v>1.2940383272229161E-2</v>
      </c>
      <c r="AI103" s="133">
        <v>-6.2106628632307087E-3</v>
      </c>
      <c r="AJ103" s="133">
        <v>-1.6672528120458649E-2</v>
      </c>
      <c r="AK103" s="133">
        <v>-7.5633013389257734E-3</v>
      </c>
      <c r="AL103" s="133"/>
      <c r="AM103" s="133"/>
      <c r="AN103" s="134" cm="1">
        <f t="array" ref="AN103">INDEX(AB103:AM103,0,MATCH('PV IN'!$E$7,LkUP!AB$66:AM$66,0))</f>
        <v>-7.5633013389257734E-3</v>
      </c>
      <c r="AO103" s="133">
        <v>-1.3923476390519003E-3</v>
      </c>
      <c r="AP103" s="133">
        <v>-6.9844410023488642E-3</v>
      </c>
      <c r="AQ103" s="133">
        <v>-6.638202737305505E-3</v>
      </c>
      <c r="AR103" s="133">
        <v>8.2035485183405768E-3</v>
      </c>
      <c r="AS103" s="133">
        <v>1.46464524704784E-3</v>
      </c>
      <c r="AT103" s="133">
        <v>-5.2966339865274485E-3</v>
      </c>
      <c r="AU103" s="133">
        <v>4.3937389300770227E-3</v>
      </c>
      <c r="AV103" s="133">
        <v>1.7224736671701512E-4</v>
      </c>
      <c r="AW103" s="133">
        <v>4.6119966595145829E-3</v>
      </c>
      <c r="AX103" s="133">
        <v>-1.5126805393132743E-3</v>
      </c>
      <c r="AY103" s="133"/>
      <c r="AZ103" s="133"/>
      <c r="BA103" s="134" cm="1">
        <f t="array" ref="BA103">INDEX(AO103:AZ103,0,MATCH('PV IN'!$E$7,LkUP!AO$66:AZ$66,0))</f>
        <v>-1.5126805393132743E-3</v>
      </c>
      <c r="BB103" s="133">
        <v>-3.7799854873429932E-3</v>
      </c>
      <c r="BC103" s="133">
        <v>-1.5236987013113618E-2</v>
      </c>
      <c r="BD103" s="133">
        <v>-4.1180470563750007E-3</v>
      </c>
      <c r="BE103" s="133">
        <v>-1.6715624596998645E-3</v>
      </c>
      <c r="BF103" s="133">
        <v>9.5622314333799197E-3</v>
      </c>
      <c r="BG103" s="133">
        <v>-3.1955338136226925E-2</v>
      </c>
      <c r="BH103" s="133">
        <v>-2.6175915893424453E-3</v>
      </c>
      <c r="BI103" s="133">
        <v>-6.3644246668687595E-3</v>
      </c>
      <c r="BJ103" s="133">
        <v>-1.8980530849906623E-2</v>
      </c>
      <c r="BK103" s="133">
        <v>-9.5744479199747698E-3</v>
      </c>
      <c r="BL103" s="133"/>
      <c r="BM103" s="133"/>
      <c r="BN103" s="134" cm="1">
        <f t="array" ref="BN103">INDEX(BB103:BM103,0,MATCH('PV IN'!$E$7,LkUP!BB$66:BM$66,0))</f>
        <v>-9.5744479199747698E-3</v>
      </c>
      <c r="BO103" s="133">
        <v>-2.2995429668320939E-3</v>
      </c>
      <c r="BP103" s="133">
        <v>-3.4242004201646666E-3</v>
      </c>
      <c r="BQ103" s="133">
        <v>-2.4908010475762823E-3</v>
      </c>
      <c r="BR103" s="133">
        <v>5.2782577133355536E-3</v>
      </c>
      <c r="BS103" s="133">
        <v>1.574015186524172E-3</v>
      </c>
      <c r="BT103" s="133">
        <v>-3.2257079659463992E-3</v>
      </c>
      <c r="BU103" s="133">
        <v>5.262327173334652E-3</v>
      </c>
      <c r="BV103" s="133">
        <v>-2.6937849715851325E-3</v>
      </c>
      <c r="BW103" s="133">
        <v>-5.6714705875639034E-3</v>
      </c>
      <c r="BX103" s="133">
        <v>-8.9801125041224332E-3</v>
      </c>
      <c r="BY103" s="133"/>
      <c r="BZ103" s="133"/>
      <c r="CA103" s="134" cm="1">
        <f t="array" ref="CA103">INDEX(BO103:BZ103,0,MATCH('PV IN'!$E$7,LkUP!BO$66:BZ$66,0))</f>
        <v>-8.9801125041224332E-3</v>
      </c>
      <c r="CB103" s="133">
        <v>-9.8450492568081371E-3</v>
      </c>
      <c r="CC103" s="133">
        <v>-6.5618800791417912E-3</v>
      </c>
      <c r="CD103" s="133">
        <v>-7.5528972527813352E-3</v>
      </c>
      <c r="CE103" s="133">
        <v>3.9056274015156186E-3</v>
      </c>
      <c r="CF103" s="133">
        <v>-4.8380143713518207E-3</v>
      </c>
      <c r="CG103" s="133">
        <v>-7.4867493287195629E-3</v>
      </c>
      <c r="CH103" s="133">
        <v>1.9516598406784805E-3</v>
      </c>
      <c r="CI103" s="133">
        <v>-2.7619227252853643E-3</v>
      </c>
      <c r="CJ103" s="133">
        <v>-1.3007161338652665E-2</v>
      </c>
      <c r="CK103" s="133">
        <v>-6.7442526170192491E-3</v>
      </c>
      <c r="CL103" s="133"/>
      <c r="CM103" s="133"/>
      <c r="CN103" s="134" cm="1">
        <f t="array" ref="CN103">INDEX(CB103:CM103,0,MATCH('PV IN'!$E$7,LkUP!CB$66:CM$66,0))</f>
        <v>-6.7442526170192491E-3</v>
      </c>
      <c r="CO103" s="133">
        <v>-8.9413714549707243E-3</v>
      </c>
      <c r="CP103" s="133">
        <v>-8.0016766441323023E-3</v>
      </c>
      <c r="CQ103" s="133">
        <v>-8.8136659718145629E-3</v>
      </c>
      <c r="CR103" s="133">
        <v>-5.1210400768599207E-3</v>
      </c>
      <c r="CS103" s="133">
        <v>-4.0164763194461914E-3</v>
      </c>
      <c r="CT103" s="133">
        <v>-9.351067694451147E-3</v>
      </c>
      <c r="CU103" s="133">
        <v>1.9223983696462898E-4</v>
      </c>
      <c r="CV103" s="133">
        <v>-7.4216668085432388E-3</v>
      </c>
      <c r="CW103" s="133">
        <v>-1.2685450392901539E-2</v>
      </c>
      <c r="CX103" s="133">
        <v>-7.490290753511878E-3</v>
      </c>
      <c r="CY103" s="133"/>
      <c r="CZ103" s="133"/>
      <c r="DA103" s="134" cm="1">
        <f t="array" ref="DA103">INDEX(CO103:CZ103,0,MATCH('PV IN'!$E$7,LkUP!CO$66:CZ$66,0))</f>
        <v>-7.490290753511878E-3</v>
      </c>
      <c r="DB103" s="133">
        <v>-2.0086790327536148E-2</v>
      </c>
      <c r="DC103" s="133">
        <v>-9.0652302874708879E-3</v>
      </c>
      <c r="DD103" s="133">
        <v>-6.203378393105044E-3</v>
      </c>
      <c r="DE103" s="133">
        <v>1.5039152707589922E-3</v>
      </c>
      <c r="DF103" s="133">
        <v>2.3361770380529172E-3</v>
      </c>
      <c r="DG103" s="133">
        <v>-9.9040245000477332E-3</v>
      </c>
      <c r="DH103" s="133">
        <v>5.5868865758975381E-3</v>
      </c>
      <c r="DI103" s="133">
        <v>-1.0465458028355871E-3</v>
      </c>
      <c r="DJ103" s="133">
        <v>-2.1402158016959147E-2</v>
      </c>
      <c r="DK103" s="133">
        <v>-8.5769848217684425E-3</v>
      </c>
      <c r="DL103" s="133"/>
      <c r="DM103" s="133"/>
      <c r="DN103" s="134" cm="1">
        <f t="array" ref="DN103">INDEX(DB103:DM103,0,MATCH('PV IN'!$E$7,LkUP!DB$66:DM$66,0))</f>
        <v>-8.5769848217684425E-3</v>
      </c>
    </row>
    <row r="104" spans="1:118" x14ac:dyDescent="0.25">
      <c r="A104">
        <v>2056</v>
      </c>
      <c r="B104" s="133">
        <v>-9.2451646607763956E-3</v>
      </c>
      <c r="C104" s="133">
        <v>-1.8601596465671298E-2</v>
      </c>
      <c r="D104" s="133">
        <v>-5.8576873274466743E-3</v>
      </c>
      <c r="E104" s="133">
        <v>-3.4707220546627005E-3</v>
      </c>
      <c r="F104" s="133">
        <v>-4.3727945836256783E-3</v>
      </c>
      <c r="G104" s="133">
        <v>-1.0498699116423751E-2</v>
      </c>
      <c r="H104" s="133">
        <v>4.2910473147823158E-3</v>
      </c>
      <c r="I104" s="133">
        <v>-6.1851203279251971E-3</v>
      </c>
      <c r="J104" s="133">
        <v>-1.4811203595315575E-2</v>
      </c>
      <c r="K104" s="133">
        <v>-6.9276873647360956E-3</v>
      </c>
      <c r="L104" s="133"/>
      <c r="M104" s="133"/>
      <c r="N104" s="134" cm="1">
        <f t="array" ref="N104">INDEX(B104:M104,0,MATCH('PV IN'!$E$7,LkUP!B$66:M$66,0))</f>
        <v>-6.9276873647360956E-3</v>
      </c>
      <c r="O104" s="133">
        <v>1.8910098186602565E-3</v>
      </c>
      <c r="P104" s="133">
        <v>-5.9430207544178687E-3</v>
      </c>
      <c r="Q104" s="133">
        <v>-9.2190262394091765E-3</v>
      </c>
      <c r="R104" s="133">
        <v>3.8622388786952173E-3</v>
      </c>
      <c r="S104" s="133">
        <v>-4.1843029877035379E-3</v>
      </c>
      <c r="T104" s="133">
        <v>1.4487172211627326E-3</v>
      </c>
      <c r="U104" s="133">
        <v>-2.7139271727820479E-4</v>
      </c>
      <c r="V104" s="133">
        <v>-1.0960968492819113E-3</v>
      </c>
      <c r="W104" s="133">
        <v>1.1873486172211314E-2</v>
      </c>
      <c r="X104" s="133">
        <v>-4.1982567721729723E-3</v>
      </c>
      <c r="Y104" s="133"/>
      <c r="Z104" s="133"/>
      <c r="AA104" s="134" cm="1">
        <f t="array" ref="AA104">INDEX(O104:Z104,0,MATCH('PV IN'!$E$7,LkUP!O$66:Z$66,0))</f>
        <v>-4.1982567721729723E-3</v>
      </c>
      <c r="AB104" s="133">
        <v>-1.0414391498827497E-2</v>
      </c>
      <c r="AC104" s="133">
        <v>-1.0420000464859386E-2</v>
      </c>
      <c r="AD104" s="133">
        <v>-3.9722314069424039E-3</v>
      </c>
      <c r="AE104" s="133">
        <v>-3.7279089569021333E-3</v>
      </c>
      <c r="AF104" s="133">
        <v>-5.2177674320684937E-3</v>
      </c>
      <c r="AG104" s="133">
        <v>-1.4055084789143208E-2</v>
      </c>
      <c r="AH104" s="133">
        <v>1.2940383272229161E-2</v>
      </c>
      <c r="AI104" s="133">
        <v>-6.2106628632307087E-3</v>
      </c>
      <c r="AJ104" s="133">
        <v>-1.6672528120458649E-2</v>
      </c>
      <c r="AK104" s="133">
        <v>-7.5633013389257734E-3</v>
      </c>
      <c r="AL104" s="133"/>
      <c r="AM104" s="133"/>
      <c r="AN104" s="134" cm="1">
        <f t="array" ref="AN104">INDEX(AB104:AM104,0,MATCH('PV IN'!$E$7,LkUP!AB$66:AM$66,0))</f>
        <v>-7.5633013389257734E-3</v>
      </c>
      <c r="AO104" s="133">
        <v>-1.3923476390519003E-3</v>
      </c>
      <c r="AP104" s="133">
        <v>-6.9844410023488642E-3</v>
      </c>
      <c r="AQ104" s="133">
        <v>-6.638202737305505E-3</v>
      </c>
      <c r="AR104" s="133">
        <v>8.2035485183405768E-3</v>
      </c>
      <c r="AS104" s="133">
        <v>1.46464524704784E-3</v>
      </c>
      <c r="AT104" s="133">
        <v>-5.2966339865274485E-3</v>
      </c>
      <c r="AU104" s="133">
        <v>4.3937389300770227E-3</v>
      </c>
      <c r="AV104" s="133">
        <v>1.7224736671701512E-4</v>
      </c>
      <c r="AW104" s="133">
        <v>4.6119966595145829E-3</v>
      </c>
      <c r="AX104" s="133">
        <v>-1.5126805393132743E-3</v>
      </c>
      <c r="AY104" s="133"/>
      <c r="AZ104" s="133"/>
      <c r="BA104" s="134" cm="1">
        <f t="array" ref="BA104">INDEX(AO104:AZ104,0,MATCH('PV IN'!$E$7,LkUP!AO$66:AZ$66,0))</f>
        <v>-1.5126805393132743E-3</v>
      </c>
      <c r="BB104" s="133">
        <v>-3.7799854873429932E-3</v>
      </c>
      <c r="BC104" s="133">
        <v>-1.5236987013113618E-2</v>
      </c>
      <c r="BD104" s="133">
        <v>-4.1180470563750007E-3</v>
      </c>
      <c r="BE104" s="133">
        <v>-1.6715624596998645E-3</v>
      </c>
      <c r="BF104" s="133">
        <v>9.5622314333799197E-3</v>
      </c>
      <c r="BG104" s="133">
        <v>-3.1955338136226925E-2</v>
      </c>
      <c r="BH104" s="133">
        <v>-2.6175915893424453E-3</v>
      </c>
      <c r="BI104" s="133">
        <v>-6.3644246668687595E-3</v>
      </c>
      <c r="BJ104" s="133">
        <v>-1.8980530849906623E-2</v>
      </c>
      <c r="BK104" s="133">
        <v>-9.5744479199747698E-3</v>
      </c>
      <c r="BL104" s="133"/>
      <c r="BM104" s="133"/>
      <c r="BN104" s="134" cm="1">
        <f t="array" ref="BN104">INDEX(BB104:BM104,0,MATCH('PV IN'!$E$7,LkUP!BB$66:BM$66,0))</f>
        <v>-9.5744479199747698E-3</v>
      </c>
      <c r="BO104" s="133">
        <v>-2.2995429668320939E-3</v>
      </c>
      <c r="BP104" s="133">
        <v>-3.4242004201646666E-3</v>
      </c>
      <c r="BQ104" s="133">
        <v>-2.4908010475762823E-3</v>
      </c>
      <c r="BR104" s="133">
        <v>5.2782577133355536E-3</v>
      </c>
      <c r="BS104" s="133">
        <v>1.574015186524172E-3</v>
      </c>
      <c r="BT104" s="133">
        <v>-3.2257079659463992E-3</v>
      </c>
      <c r="BU104" s="133">
        <v>5.262327173334652E-3</v>
      </c>
      <c r="BV104" s="133">
        <v>-2.6937849715851325E-3</v>
      </c>
      <c r="BW104" s="133">
        <v>-5.6714705875639034E-3</v>
      </c>
      <c r="BX104" s="133">
        <v>-8.9801125041224332E-3</v>
      </c>
      <c r="BY104" s="133"/>
      <c r="BZ104" s="133"/>
      <c r="CA104" s="134" cm="1">
        <f t="array" ref="CA104">INDEX(BO104:BZ104,0,MATCH('PV IN'!$E$7,LkUP!BO$66:BZ$66,0))</f>
        <v>-8.9801125041224332E-3</v>
      </c>
      <c r="CB104" s="133">
        <v>-9.8450492568081371E-3</v>
      </c>
      <c r="CC104" s="133">
        <v>-6.5618800791417912E-3</v>
      </c>
      <c r="CD104" s="133">
        <v>-7.5528972527813352E-3</v>
      </c>
      <c r="CE104" s="133">
        <v>3.9056274015156186E-3</v>
      </c>
      <c r="CF104" s="133">
        <v>-4.8380143713518207E-3</v>
      </c>
      <c r="CG104" s="133">
        <v>-7.4867493287195629E-3</v>
      </c>
      <c r="CH104" s="133">
        <v>1.9516598406784805E-3</v>
      </c>
      <c r="CI104" s="133">
        <v>-2.7619227252853643E-3</v>
      </c>
      <c r="CJ104" s="133">
        <v>-1.3007161338652665E-2</v>
      </c>
      <c r="CK104" s="133">
        <v>-6.7442526170192491E-3</v>
      </c>
      <c r="CL104" s="133"/>
      <c r="CM104" s="133"/>
      <c r="CN104" s="134" cm="1">
        <f t="array" ref="CN104">INDEX(CB104:CM104,0,MATCH('PV IN'!$E$7,LkUP!CB$66:CM$66,0))</f>
        <v>-6.7442526170192491E-3</v>
      </c>
      <c r="CO104" s="133">
        <v>-8.9413714549707243E-3</v>
      </c>
      <c r="CP104" s="133">
        <v>-8.0016766441323023E-3</v>
      </c>
      <c r="CQ104" s="133">
        <v>-8.8136659718145629E-3</v>
      </c>
      <c r="CR104" s="133">
        <v>-5.1210400768599207E-3</v>
      </c>
      <c r="CS104" s="133">
        <v>-4.0164763194461914E-3</v>
      </c>
      <c r="CT104" s="133">
        <v>-9.351067694451147E-3</v>
      </c>
      <c r="CU104" s="133">
        <v>1.9223983696462898E-4</v>
      </c>
      <c r="CV104" s="133">
        <v>-7.4216668085432388E-3</v>
      </c>
      <c r="CW104" s="133">
        <v>-1.2685450392901539E-2</v>
      </c>
      <c r="CX104" s="133">
        <v>-7.490290753511878E-3</v>
      </c>
      <c r="CY104" s="133"/>
      <c r="CZ104" s="133"/>
      <c r="DA104" s="134" cm="1">
        <f t="array" ref="DA104">INDEX(CO104:CZ104,0,MATCH('PV IN'!$E$7,LkUP!CO$66:CZ$66,0))</f>
        <v>-7.490290753511878E-3</v>
      </c>
      <c r="DB104" s="133">
        <v>-2.0086790327536148E-2</v>
      </c>
      <c r="DC104" s="133">
        <v>-9.0652302874708879E-3</v>
      </c>
      <c r="DD104" s="133">
        <v>-6.203378393105044E-3</v>
      </c>
      <c r="DE104" s="133">
        <v>1.5039152707589922E-3</v>
      </c>
      <c r="DF104" s="133">
        <v>2.3361770380529172E-3</v>
      </c>
      <c r="DG104" s="133">
        <v>-9.9040245000477332E-3</v>
      </c>
      <c r="DH104" s="133">
        <v>5.5868865758975381E-3</v>
      </c>
      <c r="DI104" s="133">
        <v>-1.0465458028355871E-3</v>
      </c>
      <c r="DJ104" s="133">
        <v>-2.1402158016959147E-2</v>
      </c>
      <c r="DK104" s="133">
        <v>-8.5769848217684425E-3</v>
      </c>
      <c r="DL104" s="133"/>
      <c r="DM104" s="133"/>
      <c r="DN104" s="134" cm="1">
        <f t="array" ref="DN104">INDEX(DB104:DM104,0,MATCH('PV IN'!$E$7,LkUP!DB$66:DM$66,0))</f>
        <v>-8.5769848217684425E-3</v>
      </c>
    </row>
    <row r="105" spans="1:118" x14ac:dyDescent="0.25">
      <c r="A105">
        <v>2057</v>
      </c>
      <c r="B105" s="133">
        <v>-9.2451646607763956E-3</v>
      </c>
      <c r="C105" s="133">
        <v>-1.8601596465671298E-2</v>
      </c>
      <c r="D105" s="133">
        <v>-5.8576873274466743E-3</v>
      </c>
      <c r="E105" s="133">
        <v>-3.4707220546627005E-3</v>
      </c>
      <c r="F105" s="133">
        <v>-4.3727945836256783E-3</v>
      </c>
      <c r="G105" s="133">
        <v>-1.0498699116423751E-2</v>
      </c>
      <c r="H105" s="133">
        <v>4.2910473147823158E-3</v>
      </c>
      <c r="I105" s="133">
        <v>-6.1851203279251971E-3</v>
      </c>
      <c r="J105" s="133">
        <v>-1.4811203595315575E-2</v>
      </c>
      <c r="K105" s="133">
        <v>-6.9276873647360956E-3</v>
      </c>
      <c r="L105" s="133"/>
      <c r="M105" s="133"/>
      <c r="N105" s="134" cm="1">
        <f t="array" ref="N105">INDEX(B105:M105,0,MATCH('PV IN'!$E$7,LkUP!B$66:M$66,0))</f>
        <v>-6.9276873647360956E-3</v>
      </c>
      <c r="O105" s="133">
        <v>1.8910098186602565E-3</v>
      </c>
      <c r="P105" s="133">
        <v>-5.9430207544178687E-3</v>
      </c>
      <c r="Q105" s="133">
        <v>-9.2190262394091765E-3</v>
      </c>
      <c r="R105" s="133">
        <v>3.8622388786952173E-3</v>
      </c>
      <c r="S105" s="133">
        <v>-4.1843029877035379E-3</v>
      </c>
      <c r="T105" s="133">
        <v>1.4487172211627326E-3</v>
      </c>
      <c r="U105" s="133">
        <v>-2.7139271727820479E-4</v>
      </c>
      <c r="V105" s="133">
        <v>-1.0960968492819113E-3</v>
      </c>
      <c r="W105" s="133">
        <v>1.1873486172211314E-2</v>
      </c>
      <c r="X105" s="133">
        <v>-4.1982567721729723E-3</v>
      </c>
      <c r="Y105" s="133"/>
      <c r="Z105" s="133"/>
      <c r="AA105" s="134" cm="1">
        <f t="array" ref="AA105">INDEX(O105:Z105,0,MATCH('PV IN'!$E$7,LkUP!O$66:Z$66,0))</f>
        <v>-4.1982567721729723E-3</v>
      </c>
      <c r="AB105" s="133">
        <v>-1.0414391498827497E-2</v>
      </c>
      <c r="AC105" s="133">
        <v>-1.0420000464859386E-2</v>
      </c>
      <c r="AD105" s="133">
        <v>-3.9722314069424039E-3</v>
      </c>
      <c r="AE105" s="133">
        <v>-3.7279089569021333E-3</v>
      </c>
      <c r="AF105" s="133">
        <v>-5.2177674320684937E-3</v>
      </c>
      <c r="AG105" s="133">
        <v>-1.4055084789143208E-2</v>
      </c>
      <c r="AH105" s="133">
        <v>1.2940383272229161E-2</v>
      </c>
      <c r="AI105" s="133">
        <v>-6.2106628632307087E-3</v>
      </c>
      <c r="AJ105" s="133">
        <v>-1.6672528120458649E-2</v>
      </c>
      <c r="AK105" s="133">
        <v>-7.5633013389257734E-3</v>
      </c>
      <c r="AL105" s="133"/>
      <c r="AM105" s="133"/>
      <c r="AN105" s="134" cm="1">
        <f t="array" ref="AN105">INDEX(AB105:AM105,0,MATCH('PV IN'!$E$7,LkUP!AB$66:AM$66,0))</f>
        <v>-7.5633013389257734E-3</v>
      </c>
      <c r="AO105" s="133">
        <v>-1.3923476390519003E-3</v>
      </c>
      <c r="AP105" s="133">
        <v>-6.9844410023488642E-3</v>
      </c>
      <c r="AQ105" s="133">
        <v>-6.638202737305505E-3</v>
      </c>
      <c r="AR105" s="133">
        <v>8.2035485183405768E-3</v>
      </c>
      <c r="AS105" s="133">
        <v>1.46464524704784E-3</v>
      </c>
      <c r="AT105" s="133">
        <v>-5.2966339865274485E-3</v>
      </c>
      <c r="AU105" s="133">
        <v>4.3937389300770227E-3</v>
      </c>
      <c r="AV105" s="133">
        <v>1.7224736671701512E-4</v>
      </c>
      <c r="AW105" s="133">
        <v>4.6119966595145829E-3</v>
      </c>
      <c r="AX105" s="133">
        <v>-1.5126805393132743E-3</v>
      </c>
      <c r="AY105" s="133"/>
      <c r="AZ105" s="133"/>
      <c r="BA105" s="134" cm="1">
        <f t="array" ref="BA105">INDEX(AO105:AZ105,0,MATCH('PV IN'!$E$7,LkUP!AO$66:AZ$66,0))</f>
        <v>-1.5126805393132743E-3</v>
      </c>
      <c r="BB105" s="133">
        <v>-3.7799854873429932E-3</v>
      </c>
      <c r="BC105" s="133">
        <v>-1.5236987013113618E-2</v>
      </c>
      <c r="BD105" s="133">
        <v>-4.1180470563750007E-3</v>
      </c>
      <c r="BE105" s="133">
        <v>-1.6715624596998645E-3</v>
      </c>
      <c r="BF105" s="133">
        <v>9.5622314333799197E-3</v>
      </c>
      <c r="BG105" s="133">
        <v>-3.1955338136226925E-2</v>
      </c>
      <c r="BH105" s="133">
        <v>-2.6175915893424453E-3</v>
      </c>
      <c r="BI105" s="133">
        <v>-6.3644246668687595E-3</v>
      </c>
      <c r="BJ105" s="133">
        <v>-1.8980530849906623E-2</v>
      </c>
      <c r="BK105" s="133">
        <v>-9.5744479199747698E-3</v>
      </c>
      <c r="BL105" s="133"/>
      <c r="BM105" s="133"/>
      <c r="BN105" s="134" cm="1">
        <f t="array" ref="BN105">INDEX(BB105:BM105,0,MATCH('PV IN'!$E$7,LkUP!BB$66:BM$66,0))</f>
        <v>-9.5744479199747698E-3</v>
      </c>
      <c r="BO105" s="133">
        <v>-2.2995429668320939E-3</v>
      </c>
      <c r="BP105" s="133">
        <v>-3.4242004201646666E-3</v>
      </c>
      <c r="BQ105" s="133">
        <v>-2.4908010475762823E-3</v>
      </c>
      <c r="BR105" s="133">
        <v>5.2782577133355536E-3</v>
      </c>
      <c r="BS105" s="133">
        <v>1.574015186524172E-3</v>
      </c>
      <c r="BT105" s="133">
        <v>-3.2257079659463992E-3</v>
      </c>
      <c r="BU105" s="133">
        <v>5.262327173334652E-3</v>
      </c>
      <c r="BV105" s="133">
        <v>-2.6937849715851325E-3</v>
      </c>
      <c r="BW105" s="133">
        <v>-5.6714705875639034E-3</v>
      </c>
      <c r="BX105" s="133">
        <v>-8.9801125041224332E-3</v>
      </c>
      <c r="BY105" s="133"/>
      <c r="BZ105" s="133"/>
      <c r="CA105" s="134" cm="1">
        <f t="array" ref="CA105">INDEX(BO105:BZ105,0,MATCH('PV IN'!$E$7,LkUP!BO$66:BZ$66,0))</f>
        <v>-8.9801125041224332E-3</v>
      </c>
      <c r="CB105" s="133">
        <v>-9.8450492568081371E-3</v>
      </c>
      <c r="CC105" s="133">
        <v>-6.5618800791417912E-3</v>
      </c>
      <c r="CD105" s="133">
        <v>-7.5528972527813352E-3</v>
      </c>
      <c r="CE105" s="133">
        <v>3.9056274015156186E-3</v>
      </c>
      <c r="CF105" s="133">
        <v>-4.8380143713518207E-3</v>
      </c>
      <c r="CG105" s="133">
        <v>-7.4867493287195629E-3</v>
      </c>
      <c r="CH105" s="133">
        <v>1.9516598406784805E-3</v>
      </c>
      <c r="CI105" s="133">
        <v>-2.7619227252853643E-3</v>
      </c>
      <c r="CJ105" s="133">
        <v>-1.3007161338652665E-2</v>
      </c>
      <c r="CK105" s="133">
        <v>-6.7442526170192491E-3</v>
      </c>
      <c r="CL105" s="133"/>
      <c r="CM105" s="133"/>
      <c r="CN105" s="134" cm="1">
        <f t="array" ref="CN105">INDEX(CB105:CM105,0,MATCH('PV IN'!$E$7,LkUP!CB$66:CM$66,0))</f>
        <v>-6.7442526170192491E-3</v>
      </c>
      <c r="CO105" s="133">
        <v>-8.9413714549707243E-3</v>
      </c>
      <c r="CP105" s="133">
        <v>-8.0016766441323023E-3</v>
      </c>
      <c r="CQ105" s="133">
        <v>-8.8136659718145629E-3</v>
      </c>
      <c r="CR105" s="133">
        <v>-5.1210400768599207E-3</v>
      </c>
      <c r="CS105" s="133">
        <v>-4.0164763194461914E-3</v>
      </c>
      <c r="CT105" s="133">
        <v>-9.351067694451147E-3</v>
      </c>
      <c r="CU105" s="133">
        <v>1.9223983696462898E-4</v>
      </c>
      <c r="CV105" s="133">
        <v>-7.4216668085432388E-3</v>
      </c>
      <c r="CW105" s="133">
        <v>-1.2685450392901539E-2</v>
      </c>
      <c r="CX105" s="133">
        <v>-7.490290753511878E-3</v>
      </c>
      <c r="CY105" s="133"/>
      <c r="CZ105" s="133"/>
      <c r="DA105" s="134" cm="1">
        <f t="array" ref="DA105">INDEX(CO105:CZ105,0,MATCH('PV IN'!$E$7,LkUP!CO$66:CZ$66,0))</f>
        <v>-7.490290753511878E-3</v>
      </c>
      <c r="DB105" s="133">
        <v>-2.0086790327536148E-2</v>
      </c>
      <c r="DC105" s="133">
        <v>-9.0652302874708879E-3</v>
      </c>
      <c r="DD105" s="133">
        <v>-6.203378393105044E-3</v>
      </c>
      <c r="DE105" s="133">
        <v>1.5039152707589922E-3</v>
      </c>
      <c r="DF105" s="133">
        <v>2.3361770380529172E-3</v>
      </c>
      <c r="DG105" s="133">
        <v>-9.9040245000477332E-3</v>
      </c>
      <c r="DH105" s="133">
        <v>5.5868865758975381E-3</v>
      </c>
      <c r="DI105" s="133">
        <v>-1.0465458028355871E-3</v>
      </c>
      <c r="DJ105" s="133">
        <v>-2.1402158016959147E-2</v>
      </c>
      <c r="DK105" s="133">
        <v>-8.5769848217684425E-3</v>
      </c>
      <c r="DL105" s="133"/>
      <c r="DM105" s="133"/>
      <c r="DN105" s="134" cm="1">
        <f t="array" ref="DN105">INDEX(DB105:DM105,0,MATCH('PV IN'!$E$7,LkUP!DB$66:DM$66,0))</f>
        <v>-8.5769848217684425E-3</v>
      </c>
    </row>
    <row r="106" spans="1:118" x14ac:dyDescent="0.25">
      <c r="A106">
        <v>2058</v>
      </c>
      <c r="B106" s="133">
        <v>-9.2451646607763956E-3</v>
      </c>
      <c r="C106" s="133">
        <v>-1.8601596465671298E-2</v>
      </c>
      <c r="D106" s="133">
        <v>-5.8576873274466743E-3</v>
      </c>
      <c r="E106" s="133">
        <v>-3.4707220546627005E-3</v>
      </c>
      <c r="F106" s="133">
        <v>-4.3727945836256783E-3</v>
      </c>
      <c r="G106" s="133">
        <v>-1.0498699116423751E-2</v>
      </c>
      <c r="H106" s="133">
        <v>4.2910473147823158E-3</v>
      </c>
      <c r="I106" s="133">
        <v>-6.1851203279251971E-3</v>
      </c>
      <c r="J106" s="133">
        <v>-1.4811203595315575E-2</v>
      </c>
      <c r="K106" s="133">
        <v>-6.9276873647360956E-3</v>
      </c>
      <c r="L106" s="133"/>
      <c r="M106" s="133"/>
      <c r="N106" s="134" cm="1">
        <f t="array" ref="N106">INDEX(B106:M106,0,MATCH('PV IN'!$E$7,LkUP!B$66:M$66,0))</f>
        <v>-6.9276873647360956E-3</v>
      </c>
      <c r="O106" s="133">
        <v>1.8910098186602565E-3</v>
      </c>
      <c r="P106" s="133">
        <v>-5.9430207544178687E-3</v>
      </c>
      <c r="Q106" s="133">
        <v>-9.2190262394091765E-3</v>
      </c>
      <c r="R106" s="133">
        <v>3.8622388786952173E-3</v>
      </c>
      <c r="S106" s="133">
        <v>-4.1843029877035379E-3</v>
      </c>
      <c r="T106" s="133">
        <v>1.4487172211627326E-3</v>
      </c>
      <c r="U106" s="133">
        <v>-2.7139271727820479E-4</v>
      </c>
      <c r="V106" s="133">
        <v>-1.0960968492819113E-3</v>
      </c>
      <c r="W106" s="133">
        <v>1.1873486172211314E-2</v>
      </c>
      <c r="X106" s="133">
        <v>-4.1982567721729723E-3</v>
      </c>
      <c r="Y106" s="133"/>
      <c r="Z106" s="133"/>
      <c r="AA106" s="134" cm="1">
        <f t="array" ref="AA106">INDEX(O106:Z106,0,MATCH('PV IN'!$E$7,LkUP!O$66:Z$66,0))</f>
        <v>-4.1982567721729723E-3</v>
      </c>
      <c r="AB106" s="133">
        <v>-1.0414391498827497E-2</v>
      </c>
      <c r="AC106" s="133">
        <v>-1.0420000464859386E-2</v>
      </c>
      <c r="AD106" s="133">
        <v>-3.9722314069424039E-3</v>
      </c>
      <c r="AE106" s="133">
        <v>-3.7279089569021333E-3</v>
      </c>
      <c r="AF106" s="133">
        <v>-5.2177674320684937E-3</v>
      </c>
      <c r="AG106" s="133">
        <v>-1.4055084789143208E-2</v>
      </c>
      <c r="AH106" s="133">
        <v>1.2940383272229161E-2</v>
      </c>
      <c r="AI106" s="133">
        <v>-6.2106628632307087E-3</v>
      </c>
      <c r="AJ106" s="133">
        <v>-1.6672528120458649E-2</v>
      </c>
      <c r="AK106" s="133">
        <v>-7.5633013389257734E-3</v>
      </c>
      <c r="AL106" s="133"/>
      <c r="AM106" s="133"/>
      <c r="AN106" s="134" cm="1">
        <f t="array" ref="AN106">INDEX(AB106:AM106,0,MATCH('PV IN'!$E$7,LkUP!AB$66:AM$66,0))</f>
        <v>-7.5633013389257734E-3</v>
      </c>
      <c r="AO106" s="133">
        <v>-1.3923476390519003E-3</v>
      </c>
      <c r="AP106" s="133">
        <v>-6.9844410023488642E-3</v>
      </c>
      <c r="AQ106" s="133">
        <v>-6.638202737305505E-3</v>
      </c>
      <c r="AR106" s="133">
        <v>8.2035485183405768E-3</v>
      </c>
      <c r="AS106" s="133">
        <v>1.46464524704784E-3</v>
      </c>
      <c r="AT106" s="133">
        <v>-5.2966339865274485E-3</v>
      </c>
      <c r="AU106" s="133">
        <v>4.3937389300770227E-3</v>
      </c>
      <c r="AV106" s="133">
        <v>1.7224736671701512E-4</v>
      </c>
      <c r="AW106" s="133">
        <v>4.6119966595145829E-3</v>
      </c>
      <c r="AX106" s="133">
        <v>-1.5126805393132743E-3</v>
      </c>
      <c r="AY106" s="133"/>
      <c r="AZ106" s="133"/>
      <c r="BA106" s="134" cm="1">
        <f t="array" ref="BA106">INDEX(AO106:AZ106,0,MATCH('PV IN'!$E$7,LkUP!AO$66:AZ$66,0))</f>
        <v>-1.5126805393132743E-3</v>
      </c>
      <c r="BB106" s="133">
        <v>-3.7799854873429932E-3</v>
      </c>
      <c r="BC106" s="133">
        <v>-1.5236987013113618E-2</v>
      </c>
      <c r="BD106" s="133">
        <v>-4.1180470563750007E-3</v>
      </c>
      <c r="BE106" s="133">
        <v>-1.6715624596998645E-3</v>
      </c>
      <c r="BF106" s="133">
        <v>9.5622314333799197E-3</v>
      </c>
      <c r="BG106" s="133">
        <v>-3.1955338136226925E-2</v>
      </c>
      <c r="BH106" s="133">
        <v>-2.6175915893424453E-3</v>
      </c>
      <c r="BI106" s="133">
        <v>-6.3644246668687595E-3</v>
      </c>
      <c r="BJ106" s="133">
        <v>-1.8980530849906623E-2</v>
      </c>
      <c r="BK106" s="133">
        <v>-9.5744479199747698E-3</v>
      </c>
      <c r="BL106" s="133"/>
      <c r="BM106" s="133"/>
      <c r="BN106" s="134" cm="1">
        <f t="array" ref="BN106">INDEX(BB106:BM106,0,MATCH('PV IN'!$E$7,LkUP!BB$66:BM$66,0))</f>
        <v>-9.5744479199747698E-3</v>
      </c>
      <c r="BO106" s="133">
        <v>-2.2995429668320939E-3</v>
      </c>
      <c r="BP106" s="133">
        <v>-3.4242004201646666E-3</v>
      </c>
      <c r="BQ106" s="133">
        <v>-2.4908010475762823E-3</v>
      </c>
      <c r="BR106" s="133">
        <v>5.2782577133355536E-3</v>
      </c>
      <c r="BS106" s="133">
        <v>1.574015186524172E-3</v>
      </c>
      <c r="BT106" s="133">
        <v>-3.2257079659463992E-3</v>
      </c>
      <c r="BU106" s="133">
        <v>5.262327173334652E-3</v>
      </c>
      <c r="BV106" s="133">
        <v>-2.6937849715851325E-3</v>
      </c>
      <c r="BW106" s="133">
        <v>-5.6714705875639034E-3</v>
      </c>
      <c r="BX106" s="133">
        <v>-8.9801125041224332E-3</v>
      </c>
      <c r="BY106" s="133"/>
      <c r="BZ106" s="133"/>
      <c r="CA106" s="134" cm="1">
        <f t="array" ref="CA106">INDEX(BO106:BZ106,0,MATCH('PV IN'!$E$7,LkUP!BO$66:BZ$66,0))</f>
        <v>-8.9801125041224332E-3</v>
      </c>
      <c r="CB106" s="133">
        <v>-9.8450492568081371E-3</v>
      </c>
      <c r="CC106" s="133">
        <v>-6.5618800791417912E-3</v>
      </c>
      <c r="CD106" s="133">
        <v>-7.5528972527813352E-3</v>
      </c>
      <c r="CE106" s="133">
        <v>3.9056274015156186E-3</v>
      </c>
      <c r="CF106" s="133">
        <v>-4.8380143713518207E-3</v>
      </c>
      <c r="CG106" s="133">
        <v>-7.4867493287195629E-3</v>
      </c>
      <c r="CH106" s="133">
        <v>1.9516598406784805E-3</v>
      </c>
      <c r="CI106" s="133">
        <v>-2.7619227252853643E-3</v>
      </c>
      <c r="CJ106" s="133">
        <v>-1.3007161338652665E-2</v>
      </c>
      <c r="CK106" s="133">
        <v>-6.7442526170192491E-3</v>
      </c>
      <c r="CL106" s="133"/>
      <c r="CM106" s="133"/>
      <c r="CN106" s="134" cm="1">
        <f t="array" ref="CN106">INDEX(CB106:CM106,0,MATCH('PV IN'!$E$7,LkUP!CB$66:CM$66,0))</f>
        <v>-6.7442526170192491E-3</v>
      </c>
      <c r="CO106" s="133">
        <v>-8.9413714549707243E-3</v>
      </c>
      <c r="CP106" s="133">
        <v>-8.0016766441323023E-3</v>
      </c>
      <c r="CQ106" s="133">
        <v>-8.8136659718145629E-3</v>
      </c>
      <c r="CR106" s="133">
        <v>-5.1210400768599207E-3</v>
      </c>
      <c r="CS106" s="133">
        <v>-4.0164763194461914E-3</v>
      </c>
      <c r="CT106" s="133">
        <v>-9.351067694451147E-3</v>
      </c>
      <c r="CU106" s="133">
        <v>1.9223983696462898E-4</v>
      </c>
      <c r="CV106" s="133">
        <v>-7.4216668085432388E-3</v>
      </c>
      <c r="CW106" s="133">
        <v>-1.2685450392901539E-2</v>
      </c>
      <c r="CX106" s="133">
        <v>-7.490290753511878E-3</v>
      </c>
      <c r="CY106" s="133"/>
      <c r="CZ106" s="133"/>
      <c r="DA106" s="134" cm="1">
        <f t="array" ref="DA106">INDEX(CO106:CZ106,0,MATCH('PV IN'!$E$7,LkUP!CO$66:CZ$66,0))</f>
        <v>-7.490290753511878E-3</v>
      </c>
      <c r="DB106" s="133">
        <v>-2.0086790327536148E-2</v>
      </c>
      <c r="DC106" s="133">
        <v>-9.0652302874708879E-3</v>
      </c>
      <c r="DD106" s="133">
        <v>-6.203378393105044E-3</v>
      </c>
      <c r="DE106" s="133">
        <v>1.5039152707589922E-3</v>
      </c>
      <c r="DF106" s="133">
        <v>2.3361770380529172E-3</v>
      </c>
      <c r="DG106" s="133">
        <v>-9.9040245000477332E-3</v>
      </c>
      <c r="DH106" s="133">
        <v>5.5868865758975381E-3</v>
      </c>
      <c r="DI106" s="133">
        <v>-1.0465458028355871E-3</v>
      </c>
      <c r="DJ106" s="133">
        <v>-2.1402158016959147E-2</v>
      </c>
      <c r="DK106" s="133">
        <v>-8.5769848217684425E-3</v>
      </c>
      <c r="DL106" s="133"/>
      <c r="DM106" s="133"/>
      <c r="DN106" s="134" cm="1">
        <f t="array" ref="DN106">INDEX(DB106:DM106,0,MATCH('PV IN'!$E$7,LkUP!DB$66:DM$66,0))</f>
        <v>-8.5769848217684425E-3</v>
      </c>
    </row>
    <row r="107" spans="1:118" x14ac:dyDescent="0.25">
      <c r="A107">
        <v>2059</v>
      </c>
      <c r="B107" s="133">
        <v>-9.2451646607763956E-3</v>
      </c>
      <c r="C107" s="133">
        <v>-1.8601596465671298E-2</v>
      </c>
      <c r="D107" s="133">
        <v>-5.8576873274466743E-3</v>
      </c>
      <c r="E107" s="133">
        <v>-3.4707220546627005E-3</v>
      </c>
      <c r="F107" s="133">
        <v>-4.3727945836256783E-3</v>
      </c>
      <c r="G107" s="133">
        <v>-1.0498699116423751E-2</v>
      </c>
      <c r="H107" s="133">
        <v>4.2910473147823158E-3</v>
      </c>
      <c r="I107" s="133">
        <v>-6.1851203279251971E-3</v>
      </c>
      <c r="J107" s="133">
        <v>-1.4811203595315575E-2</v>
      </c>
      <c r="K107" s="133">
        <v>-6.9276873647360956E-3</v>
      </c>
      <c r="L107" s="133"/>
      <c r="M107" s="133"/>
      <c r="N107" s="134" cm="1">
        <f t="array" ref="N107">INDEX(B107:M107,0,MATCH('PV IN'!$E$7,LkUP!B$66:M$66,0))</f>
        <v>-6.9276873647360956E-3</v>
      </c>
      <c r="O107" s="133">
        <v>1.8910098186602565E-3</v>
      </c>
      <c r="P107" s="133">
        <v>-5.9430207544178687E-3</v>
      </c>
      <c r="Q107" s="133">
        <v>-9.2190262394091765E-3</v>
      </c>
      <c r="R107" s="133">
        <v>3.8622388786952173E-3</v>
      </c>
      <c r="S107" s="133">
        <v>-4.1843029877035379E-3</v>
      </c>
      <c r="T107" s="133">
        <v>1.4487172211627326E-3</v>
      </c>
      <c r="U107" s="133">
        <v>-2.7139271727820479E-4</v>
      </c>
      <c r="V107" s="133">
        <v>-1.0960968492819113E-3</v>
      </c>
      <c r="W107" s="133">
        <v>1.1873486172211314E-2</v>
      </c>
      <c r="X107" s="133">
        <v>-4.1982567721729723E-3</v>
      </c>
      <c r="Y107" s="133"/>
      <c r="Z107" s="133"/>
      <c r="AA107" s="134" cm="1">
        <f t="array" ref="AA107">INDEX(O107:Z107,0,MATCH('PV IN'!$E$7,LkUP!O$66:Z$66,0))</f>
        <v>-4.1982567721729723E-3</v>
      </c>
      <c r="AB107" s="133">
        <v>-1.0414391498827497E-2</v>
      </c>
      <c r="AC107" s="133">
        <v>-1.0420000464859386E-2</v>
      </c>
      <c r="AD107" s="133">
        <v>-3.9722314069424039E-3</v>
      </c>
      <c r="AE107" s="133">
        <v>-3.7279089569021333E-3</v>
      </c>
      <c r="AF107" s="133">
        <v>-5.2177674320684937E-3</v>
      </c>
      <c r="AG107" s="133">
        <v>-1.4055084789143208E-2</v>
      </c>
      <c r="AH107" s="133">
        <v>1.2940383272229161E-2</v>
      </c>
      <c r="AI107" s="133">
        <v>-6.2106628632307087E-3</v>
      </c>
      <c r="AJ107" s="133">
        <v>-1.6672528120458649E-2</v>
      </c>
      <c r="AK107" s="133">
        <v>-7.5633013389257734E-3</v>
      </c>
      <c r="AL107" s="133"/>
      <c r="AM107" s="133"/>
      <c r="AN107" s="134" cm="1">
        <f t="array" ref="AN107">INDEX(AB107:AM107,0,MATCH('PV IN'!$E$7,LkUP!AB$66:AM$66,0))</f>
        <v>-7.5633013389257734E-3</v>
      </c>
      <c r="AO107" s="133">
        <v>-1.3923476390519003E-3</v>
      </c>
      <c r="AP107" s="133">
        <v>-6.9844410023488642E-3</v>
      </c>
      <c r="AQ107" s="133">
        <v>-6.638202737305505E-3</v>
      </c>
      <c r="AR107" s="133">
        <v>8.2035485183405768E-3</v>
      </c>
      <c r="AS107" s="133">
        <v>1.46464524704784E-3</v>
      </c>
      <c r="AT107" s="133">
        <v>-5.2966339865274485E-3</v>
      </c>
      <c r="AU107" s="133">
        <v>4.3937389300770227E-3</v>
      </c>
      <c r="AV107" s="133">
        <v>1.7224736671701512E-4</v>
      </c>
      <c r="AW107" s="133">
        <v>4.6119966595145829E-3</v>
      </c>
      <c r="AX107" s="133">
        <v>-1.5126805393132743E-3</v>
      </c>
      <c r="AY107" s="133"/>
      <c r="AZ107" s="133"/>
      <c r="BA107" s="134" cm="1">
        <f t="array" ref="BA107">INDEX(AO107:AZ107,0,MATCH('PV IN'!$E$7,LkUP!AO$66:AZ$66,0))</f>
        <v>-1.5126805393132743E-3</v>
      </c>
      <c r="BB107" s="133">
        <v>-3.7799854873429932E-3</v>
      </c>
      <c r="BC107" s="133">
        <v>-1.5236987013113618E-2</v>
      </c>
      <c r="BD107" s="133">
        <v>-4.1180470563750007E-3</v>
      </c>
      <c r="BE107" s="133">
        <v>-1.6715624596998645E-3</v>
      </c>
      <c r="BF107" s="133">
        <v>9.5622314333799197E-3</v>
      </c>
      <c r="BG107" s="133">
        <v>-3.1955338136226925E-2</v>
      </c>
      <c r="BH107" s="133">
        <v>-2.6175915893424453E-3</v>
      </c>
      <c r="BI107" s="133">
        <v>-6.3644246668687595E-3</v>
      </c>
      <c r="BJ107" s="133">
        <v>-1.8980530849906623E-2</v>
      </c>
      <c r="BK107" s="133">
        <v>-9.5744479199747698E-3</v>
      </c>
      <c r="BL107" s="133"/>
      <c r="BM107" s="133"/>
      <c r="BN107" s="134" cm="1">
        <f t="array" ref="BN107">INDEX(BB107:BM107,0,MATCH('PV IN'!$E$7,LkUP!BB$66:BM$66,0))</f>
        <v>-9.5744479199747698E-3</v>
      </c>
      <c r="BO107" s="133">
        <v>-2.2995429668320939E-3</v>
      </c>
      <c r="BP107" s="133">
        <v>-3.4242004201646666E-3</v>
      </c>
      <c r="BQ107" s="133">
        <v>-2.4908010475762823E-3</v>
      </c>
      <c r="BR107" s="133">
        <v>5.2782577133355536E-3</v>
      </c>
      <c r="BS107" s="133">
        <v>1.574015186524172E-3</v>
      </c>
      <c r="BT107" s="133">
        <v>-3.2257079659463992E-3</v>
      </c>
      <c r="BU107" s="133">
        <v>5.262327173334652E-3</v>
      </c>
      <c r="BV107" s="133">
        <v>-2.6937849715851325E-3</v>
      </c>
      <c r="BW107" s="133">
        <v>-5.6714705875639034E-3</v>
      </c>
      <c r="BX107" s="133">
        <v>-8.9801125041224332E-3</v>
      </c>
      <c r="BY107" s="133"/>
      <c r="BZ107" s="133"/>
      <c r="CA107" s="134" cm="1">
        <f t="array" ref="CA107">INDEX(BO107:BZ107,0,MATCH('PV IN'!$E$7,LkUP!BO$66:BZ$66,0))</f>
        <v>-8.9801125041224332E-3</v>
      </c>
      <c r="CB107" s="133">
        <v>-9.8450492568081371E-3</v>
      </c>
      <c r="CC107" s="133">
        <v>-6.5618800791417912E-3</v>
      </c>
      <c r="CD107" s="133">
        <v>-7.5528972527813352E-3</v>
      </c>
      <c r="CE107" s="133">
        <v>3.9056274015156186E-3</v>
      </c>
      <c r="CF107" s="133">
        <v>-4.8380143713518207E-3</v>
      </c>
      <c r="CG107" s="133">
        <v>-7.4867493287195629E-3</v>
      </c>
      <c r="CH107" s="133">
        <v>1.9516598406784805E-3</v>
      </c>
      <c r="CI107" s="133">
        <v>-2.7619227252853643E-3</v>
      </c>
      <c r="CJ107" s="133">
        <v>-1.3007161338652665E-2</v>
      </c>
      <c r="CK107" s="133">
        <v>-6.7442526170192491E-3</v>
      </c>
      <c r="CL107" s="133"/>
      <c r="CM107" s="133"/>
      <c r="CN107" s="134" cm="1">
        <f t="array" ref="CN107">INDEX(CB107:CM107,0,MATCH('PV IN'!$E$7,LkUP!CB$66:CM$66,0))</f>
        <v>-6.7442526170192491E-3</v>
      </c>
      <c r="CO107" s="133">
        <v>-8.9413714549707243E-3</v>
      </c>
      <c r="CP107" s="133">
        <v>-8.0016766441323023E-3</v>
      </c>
      <c r="CQ107" s="133">
        <v>-8.8136659718145629E-3</v>
      </c>
      <c r="CR107" s="133">
        <v>-5.1210400768599207E-3</v>
      </c>
      <c r="CS107" s="133">
        <v>-4.0164763194461914E-3</v>
      </c>
      <c r="CT107" s="133">
        <v>-9.351067694451147E-3</v>
      </c>
      <c r="CU107" s="133">
        <v>1.9223983696462898E-4</v>
      </c>
      <c r="CV107" s="133">
        <v>-7.4216668085432388E-3</v>
      </c>
      <c r="CW107" s="133">
        <v>-1.2685450392901539E-2</v>
      </c>
      <c r="CX107" s="133">
        <v>-7.490290753511878E-3</v>
      </c>
      <c r="CY107" s="133"/>
      <c r="CZ107" s="133"/>
      <c r="DA107" s="134" cm="1">
        <f t="array" ref="DA107">INDEX(CO107:CZ107,0,MATCH('PV IN'!$E$7,LkUP!CO$66:CZ$66,0))</f>
        <v>-7.490290753511878E-3</v>
      </c>
      <c r="DB107" s="133">
        <v>-2.0086790327536148E-2</v>
      </c>
      <c r="DC107" s="133">
        <v>-9.0652302874708879E-3</v>
      </c>
      <c r="DD107" s="133">
        <v>-6.203378393105044E-3</v>
      </c>
      <c r="DE107" s="133">
        <v>1.5039152707589922E-3</v>
      </c>
      <c r="DF107" s="133">
        <v>2.3361770380529172E-3</v>
      </c>
      <c r="DG107" s="133">
        <v>-9.9040245000477332E-3</v>
      </c>
      <c r="DH107" s="133">
        <v>5.5868865758975381E-3</v>
      </c>
      <c r="DI107" s="133">
        <v>-1.0465458028355871E-3</v>
      </c>
      <c r="DJ107" s="133">
        <v>-2.1402158016959147E-2</v>
      </c>
      <c r="DK107" s="133">
        <v>-8.5769848217684425E-3</v>
      </c>
      <c r="DL107" s="133"/>
      <c r="DM107" s="133"/>
      <c r="DN107" s="134" cm="1">
        <f t="array" ref="DN107">INDEX(DB107:DM107,0,MATCH('PV IN'!$E$7,LkUP!DB$66:DM$66,0))</f>
        <v>-8.5769848217684425E-3</v>
      </c>
    </row>
    <row r="108" spans="1:118" x14ac:dyDescent="0.25">
      <c r="A108">
        <v>2060</v>
      </c>
      <c r="B108" s="133">
        <v>-9.2451646607763956E-3</v>
      </c>
      <c r="C108" s="133">
        <v>-1.8601596465671298E-2</v>
      </c>
      <c r="D108" s="133">
        <v>-5.8576873274466743E-3</v>
      </c>
      <c r="E108" s="133">
        <v>-3.4707220546627005E-3</v>
      </c>
      <c r="F108" s="133">
        <v>-4.3727945836256783E-3</v>
      </c>
      <c r="G108" s="133">
        <v>-1.0498699116423751E-2</v>
      </c>
      <c r="H108" s="133">
        <v>4.2910473147823158E-3</v>
      </c>
      <c r="I108" s="133">
        <v>-6.1851203279251971E-3</v>
      </c>
      <c r="J108" s="133">
        <v>-1.4811203595315575E-2</v>
      </c>
      <c r="K108" s="133">
        <v>-6.9276873647360956E-3</v>
      </c>
      <c r="L108" s="133"/>
      <c r="M108" s="133"/>
      <c r="N108" s="134" cm="1">
        <f t="array" ref="N108">INDEX(B108:M108,0,MATCH('PV IN'!$E$7,LkUP!B$66:M$66,0))</f>
        <v>-6.9276873647360956E-3</v>
      </c>
      <c r="O108" s="133">
        <v>1.8910098186602565E-3</v>
      </c>
      <c r="P108" s="133">
        <v>-5.9430207544178687E-3</v>
      </c>
      <c r="Q108" s="133">
        <v>-9.2190262394091765E-3</v>
      </c>
      <c r="R108" s="133">
        <v>3.8622388786952173E-3</v>
      </c>
      <c r="S108" s="133">
        <v>-4.1843029877035379E-3</v>
      </c>
      <c r="T108" s="133">
        <v>1.4487172211627326E-3</v>
      </c>
      <c r="U108" s="133">
        <v>-2.7139271727820479E-4</v>
      </c>
      <c r="V108" s="133">
        <v>-1.0960968492819113E-3</v>
      </c>
      <c r="W108" s="133">
        <v>1.1873486172211314E-2</v>
      </c>
      <c r="X108" s="133">
        <v>-4.1982567721729723E-3</v>
      </c>
      <c r="Y108" s="133"/>
      <c r="Z108" s="133"/>
      <c r="AA108" s="134" cm="1">
        <f t="array" ref="AA108">INDEX(O108:Z108,0,MATCH('PV IN'!$E$7,LkUP!O$66:Z$66,0))</f>
        <v>-4.1982567721729723E-3</v>
      </c>
      <c r="AB108" s="133">
        <v>-1.0414391498827497E-2</v>
      </c>
      <c r="AC108" s="133">
        <v>-1.0420000464859386E-2</v>
      </c>
      <c r="AD108" s="133">
        <v>-3.9722314069424039E-3</v>
      </c>
      <c r="AE108" s="133">
        <v>-3.7279089569021333E-3</v>
      </c>
      <c r="AF108" s="133">
        <v>-5.2177674320684937E-3</v>
      </c>
      <c r="AG108" s="133">
        <v>-1.4055084789143208E-2</v>
      </c>
      <c r="AH108" s="133">
        <v>1.2940383272229161E-2</v>
      </c>
      <c r="AI108" s="133">
        <v>-6.2106628632307087E-3</v>
      </c>
      <c r="AJ108" s="133">
        <v>-1.6672528120458649E-2</v>
      </c>
      <c r="AK108" s="133">
        <v>-7.5633013389257734E-3</v>
      </c>
      <c r="AL108" s="133"/>
      <c r="AM108" s="133"/>
      <c r="AN108" s="134" cm="1">
        <f t="array" ref="AN108">INDEX(AB108:AM108,0,MATCH('PV IN'!$E$7,LkUP!AB$66:AM$66,0))</f>
        <v>-7.5633013389257734E-3</v>
      </c>
      <c r="AO108" s="133">
        <v>-1.3923476390519003E-3</v>
      </c>
      <c r="AP108" s="133">
        <v>-6.9844410023488642E-3</v>
      </c>
      <c r="AQ108" s="133">
        <v>-6.638202737305505E-3</v>
      </c>
      <c r="AR108" s="133">
        <v>8.2035485183405768E-3</v>
      </c>
      <c r="AS108" s="133">
        <v>1.46464524704784E-3</v>
      </c>
      <c r="AT108" s="133">
        <v>-5.2966339865274485E-3</v>
      </c>
      <c r="AU108" s="133">
        <v>4.3937389300770227E-3</v>
      </c>
      <c r="AV108" s="133">
        <v>1.7224736671701512E-4</v>
      </c>
      <c r="AW108" s="133">
        <v>4.6119966595145829E-3</v>
      </c>
      <c r="AX108" s="133">
        <v>-1.5126805393132743E-3</v>
      </c>
      <c r="AY108" s="133"/>
      <c r="AZ108" s="133"/>
      <c r="BA108" s="134" cm="1">
        <f t="array" ref="BA108">INDEX(AO108:AZ108,0,MATCH('PV IN'!$E$7,LkUP!AO$66:AZ$66,0))</f>
        <v>-1.5126805393132743E-3</v>
      </c>
      <c r="BB108" s="133">
        <v>-3.7799854873429932E-3</v>
      </c>
      <c r="BC108" s="133">
        <v>-1.5236987013113618E-2</v>
      </c>
      <c r="BD108" s="133">
        <v>-4.1180470563750007E-3</v>
      </c>
      <c r="BE108" s="133">
        <v>-1.6715624596998645E-3</v>
      </c>
      <c r="BF108" s="133">
        <v>9.5622314333799197E-3</v>
      </c>
      <c r="BG108" s="133">
        <v>-3.1955338136226925E-2</v>
      </c>
      <c r="BH108" s="133">
        <v>-2.6175915893424453E-3</v>
      </c>
      <c r="BI108" s="133">
        <v>-6.3644246668687595E-3</v>
      </c>
      <c r="BJ108" s="133">
        <v>-1.8980530849906623E-2</v>
      </c>
      <c r="BK108" s="133">
        <v>-9.5744479199747698E-3</v>
      </c>
      <c r="BL108" s="133"/>
      <c r="BM108" s="133"/>
      <c r="BN108" s="134" cm="1">
        <f t="array" ref="BN108">INDEX(BB108:BM108,0,MATCH('PV IN'!$E$7,LkUP!BB$66:BM$66,0))</f>
        <v>-9.5744479199747698E-3</v>
      </c>
      <c r="BO108" s="133">
        <v>-2.2995429668320939E-3</v>
      </c>
      <c r="BP108" s="133">
        <v>-3.4242004201646666E-3</v>
      </c>
      <c r="BQ108" s="133">
        <v>-2.4908010475762823E-3</v>
      </c>
      <c r="BR108" s="133">
        <v>5.2782577133355536E-3</v>
      </c>
      <c r="BS108" s="133">
        <v>1.574015186524172E-3</v>
      </c>
      <c r="BT108" s="133">
        <v>-3.2257079659463992E-3</v>
      </c>
      <c r="BU108" s="133">
        <v>5.262327173334652E-3</v>
      </c>
      <c r="BV108" s="133">
        <v>-2.6937849715851325E-3</v>
      </c>
      <c r="BW108" s="133">
        <v>-5.6714705875639034E-3</v>
      </c>
      <c r="BX108" s="133">
        <v>-8.9801125041224332E-3</v>
      </c>
      <c r="BY108" s="133"/>
      <c r="BZ108" s="133"/>
      <c r="CA108" s="134" cm="1">
        <f t="array" ref="CA108">INDEX(BO108:BZ108,0,MATCH('PV IN'!$E$7,LkUP!BO$66:BZ$66,0))</f>
        <v>-8.9801125041224332E-3</v>
      </c>
      <c r="CB108" s="133">
        <v>-9.8450492568081371E-3</v>
      </c>
      <c r="CC108" s="133">
        <v>-6.5618800791417912E-3</v>
      </c>
      <c r="CD108" s="133">
        <v>-7.5528972527813352E-3</v>
      </c>
      <c r="CE108" s="133">
        <v>3.9056274015156186E-3</v>
      </c>
      <c r="CF108" s="133">
        <v>-4.8380143713518207E-3</v>
      </c>
      <c r="CG108" s="133">
        <v>-7.4867493287195629E-3</v>
      </c>
      <c r="CH108" s="133">
        <v>1.9516598406784805E-3</v>
      </c>
      <c r="CI108" s="133">
        <v>-2.7619227252853643E-3</v>
      </c>
      <c r="CJ108" s="133">
        <v>-1.3007161338652665E-2</v>
      </c>
      <c r="CK108" s="133">
        <v>-6.7442526170192491E-3</v>
      </c>
      <c r="CL108" s="133"/>
      <c r="CM108" s="133"/>
      <c r="CN108" s="134" cm="1">
        <f t="array" ref="CN108">INDEX(CB108:CM108,0,MATCH('PV IN'!$E$7,LkUP!CB$66:CM$66,0))</f>
        <v>-6.7442526170192491E-3</v>
      </c>
      <c r="CO108" s="133">
        <v>-8.9413714549707243E-3</v>
      </c>
      <c r="CP108" s="133">
        <v>-8.0016766441323023E-3</v>
      </c>
      <c r="CQ108" s="133">
        <v>-8.8136659718145629E-3</v>
      </c>
      <c r="CR108" s="133">
        <v>-5.1210400768599207E-3</v>
      </c>
      <c r="CS108" s="133">
        <v>-4.0164763194461914E-3</v>
      </c>
      <c r="CT108" s="133">
        <v>-9.351067694451147E-3</v>
      </c>
      <c r="CU108" s="133">
        <v>1.9223983696462898E-4</v>
      </c>
      <c r="CV108" s="133">
        <v>-7.4216668085432388E-3</v>
      </c>
      <c r="CW108" s="133">
        <v>-1.2685450392901539E-2</v>
      </c>
      <c r="CX108" s="133">
        <v>-7.490290753511878E-3</v>
      </c>
      <c r="CY108" s="133"/>
      <c r="CZ108" s="133"/>
      <c r="DA108" s="134" cm="1">
        <f t="array" ref="DA108">INDEX(CO108:CZ108,0,MATCH('PV IN'!$E$7,LkUP!CO$66:CZ$66,0))</f>
        <v>-7.490290753511878E-3</v>
      </c>
      <c r="DB108" s="133">
        <v>-2.0086790327536148E-2</v>
      </c>
      <c r="DC108" s="133">
        <v>-9.0652302874708879E-3</v>
      </c>
      <c r="DD108" s="133">
        <v>-6.203378393105044E-3</v>
      </c>
      <c r="DE108" s="133">
        <v>1.5039152707589922E-3</v>
      </c>
      <c r="DF108" s="133">
        <v>2.3361770380529172E-3</v>
      </c>
      <c r="DG108" s="133">
        <v>-9.9040245000477332E-3</v>
      </c>
      <c r="DH108" s="133">
        <v>5.5868865758975381E-3</v>
      </c>
      <c r="DI108" s="133">
        <v>-1.0465458028355871E-3</v>
      </c>
      <c r="DJ108" s="133">
        <v>-2.1402158016959147E-2</v>
      </c>
      <c r="DK108" s="133">
        <v>-8.5769848217684425E-3</v>
      </c>
      <c r="DL108" s="133"/>
      <c r="DM108" s="133"/>
      <c r="DN108" s="134" cm="1">
        <f t="array" ref="DN108">INDEX(DB108:DM108,0,MATCH('PV IN'!$E$7,LkUP!DB$66:DM$66,0))</f>
        <v>-8.5769848217684425E-3</v>
      </c>
    </row>
  </sheetData>
  <phoneticPr fontId="26" type="noConversion"/>
  <conditionalFormatting sqref="T19:U62">
    <cfRule type="expression" dxfId="2" priority="2">
      <formula>$E$4="Battery Only"</formula>
    </cfRule>
    <cfRule type="expression" dxfId="1" priority="3">
      <formula>$C$7="Stnd. w/ Esc."</formula>
    </cfRule>
  </conditionalFormatting>
  <conditionalFormatting sqref="X11:X15">
    <cfRule type="expression" dxfId="0" priority="1">
      <formula>$E$4="Battery Only"</formula>
    </cfRule>
  </conditionalFormatting>
  <pageMargins left="0.7" right="0.7" top="0.75" bottom="0.75" header="0.3" footer="0.3"/>
  <pageSetup orientation="portrait" horizontalDpi="4294967293" verticalDpi="0" r:id="rId1"/>
  <ignoredErrors>
    <ignoredError sqref="N67:N98" formulaRange="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S302"/>
  <sheetViews>
    <sheetView workbookViewId="0"/>
  </sheetViews>
  <sheetFormatPr defaultRowHeight="15" x14ac:dyDescent="0.25"/>
  <cols>
    <col min="2" max="2" width="12.85546875" bestFit="1" customWidth="1"/>
    <col min="3" max="3" width="12.5703125" bestFit="1" customWidth="1"/>
    <col min="4" max="4" width="11.5703125" bestFit="1" customWidth="1"/>
    <col min="5" max="7" width="10.5703125" bestFit="1" customWidth="1"/>
    <col min="8" max="8" width="14.28515625" bestFit="1" customWidth="1"/>
    <col min="9" max="9" width="10.5703125" bestFit="1" customWidth="1"/>
    <col min="10" max="11" width="11.5703125" bestFit="1" customWidth="1"/>
    <col min="12" max="13" width="14.28515625" bestFit="1" customWidth="1"/>
    <col min="14" max="14" width="14.85546875" customWidth="1"/>
    <col min="15" max="16" width="13.42578125" bestFit="1" customWidth="1"/>
    <col min="17" max="17" width="12.28515625" bestFit="1" customWidth="1"/>
    <col min="18" max="19" width="13.42578125" bestFit="1" customWidth="1"/>
  </cols>
  <sheetData>
    <row r="1" spans="1:19" x14ac:dyDescent="0.25">
      <c r="B1" s="337" t="s">
        <v>346</v>
      </c>
      <c r="C1" s="337"/>
      <c r="D1" s="337"/>
      <c r="E1" s="337"/>
      <c r="F1" s="337"/>
      <c r="G1" s="337"/>
      <c r="H1" s="337"/>
      <c r="I1" s="337"/>
      <c r="J1" s="337"/>
      <c r="K1" s="337" t="s">
        <v>347</v>
      </c>
      <c r="L1" s="337"/>
      <c r="M1" s="337"/>
      <c r="N1" s="337" t="s">
        <v>86</v>
      </c>
      <c r="O1" s="337"/>
      <c r="P1" s="337"/>
      <c r="Q1" s="337"/>
      <c r="R1" s="337"/>
      <c r="S1" s="337"/>
    </row>
    <row r="2" spans="1:19" s="9" customFormat="1" ht="45" x14ac:dyDescent="0.25">
      <c r="A2" s="9" t="s">
        <v>37</v>
      </c>
      <c r="B2" s="9" t="str">
        <f>IF('PV IN'!$F$4="Battery Only",NA(),"PV Electricity Savings")</f>
        <v>PV Electricity Savings</v>
      </c>
      <c r="C2" s="9" t="e">
        <f>IF('PV IN'!$F$4="PV Only",NA(),"Real-Time Market")</f>
        <v>#N/A</v>
      </c>
      <c r="D2" s="9" t="e">
        <f>IF('PV IN'!$F$4="PV Only",NA(),"Sync. Res.")</f>
        <v>#N/A</v>
      </c>
      <c r="E2" s="9" t="e">
        <f>IF('PV IN'!$F$4="PV Only",NA(),"Utility Call Hr.")</f>
        <v>#N/A</v>
      </c>
      <c r="F2" s="9" t="e">
        <f>IF('PV IN'!$F$4="PV Only",NA(),"Load Shift")</f>
        <v>#N/A</v>
      </c>
      <c r="G2" s="9" t="e">
        <f>IF('PV IN'!$F$4="PV Only",NA(),"Peak (Demand) Shaving")</f>
        <v>#N/A</v>
      </c>
      <c r="H2" s="9" t="e">
        <f>IF('PV IN'!$F$4="PV Only",NA(),"Peak (Capacity) Shaving")</f>
        <v>#N/A</v>
      </c>
      <c r="I2" s="9" t="e">
        <f>IF('PV IN'!$F$4="PV Only",NA(),"PtP Standard")</f>
        <v>#N/A</v>
      </c>
      <c r="J2" s="9" t="e">
        <f>IF('PV IN'!$F$4="PV Only",NA(),"PtP Premium")</f>
        <v>#N/A</v>
      </c>
      <c r="K2" s="9" t="str">
        <f>IF('PV IN'!$F$4="Battery Only",NA(),"SRECs")</f>
        <v>SRECs</v>
      </c>
      <c r="L2" s="9" t="s">
        <v>345</v>
      </c>
      <c r="M2" s="9" t="str">
        <f>IF('PV IN'!$E$4="Residential",NA(),"Depreciation")</f>
        <v>Depreciation</v>
      </c>
      <c r="N2" s="9" t="s">
        <v>349</v>
      </c>
      <c r="O2" s="9" t="s">
        <v>352</v>
      </c>
      <c r="P2" s="9" t="s">
        <v>348</v>
      </c>
      <c r="Q2" s="9" t="s">
        <v>350</v>
      </c>
      <c r="R2" s="9" t="s">
        <v>351</v>
      </c>
      <c r="S2" s="9" t="e">
        <f>IF('PV IN'!$F$4="PV Only",NA(),"Network &amp; CSP")</f>
        <v>#N/A</v>
      </c>
    </row>
    <row r="3" spans="1:19" hidden="1" x14ac:dyDescent="0.25"/>
    <row r="4" spans="1:19" hidden="1" x14ac:dyDescent="0.25"/>
    <row r="5" spans="1:19" hidden="1" x14ac:dyDescent="0.25"/>
    <row r="6" spans="1:19" hidden="1" x14ac:dyDescent="0.25"/>
    <row r="7" spans="1:19" hidden="1" x14ac:dyDescent="0.25"/>
    <row r="8" spans="1:19" hidden="1" x14ac:dyDescent="0.25"/>
    <row r="9" spans="1:19" hidden="1" x14ac:dyDescent="0.25"/>
    <row r="10" spans="1:19" hidden="1" x14ac:dyDescent="0.25"/>
    <row r="11" spans="1:19" hidden="1" x14ac:dyDescent="0.25"/>
    <row r="12" spans="1:19" hidden="1" x14ac:dyDescent="0.25"/>
    <row r="13" spans="1:19" hidden="1" x14ac:dyDescent="0.25"/>
    <row r="14" spans="1:19" x14ac:dyDescent="0.25">
      <c r="A14">
        <v>1</v>
      </c>
      <c r="B14" s="10">
        <f>IF('PV IN'!$F$4="Battery Only",NA(),IF(A14&lt;='Batt IN'!$O$30,SUM(PVCalcs!U5:U16),NA()))</f>
        <v>138507.90385354718</v>
      </c>
      <c r="C14" s="10" t="e">
        <f>IF('PV IN'!$F$4="PV Only",NA(),IF(A14&lt;='Batt IN'!$O$30,SUM(BattCalcs!AX5:BC16),NA()))</f>
        <v>#N/A</v>
      </c>
      <c r="D14" s="10" t="e">
        <f>IF('PV IN'!$F$4="PV Only",NA(),IF(A14&lt;='Batt IN'!$O$30,SUM(BattCalcs!BD5:BD16),NA()))</f>
        <v>#N/A</v>
      </c>
      <c r="E14" s="10" t="e">
        <f>IF('PV IN'!$F$4="PV Only",NA(),IF(A14&lt;='Batt IN'!$O$30,SUM(BattCalcs!BE5:BE16),NA()))</f>
        <v>#N/A</v>
      </c>
      <c r="F14" s="10" t="e">
        <f>IF('PV IN'!$F$4="PV Only",NA(),IF(A14&lt;='Batt IN'!$O$30,SUM(BattCalcs!AS5:AS16),NA()))</f>
        <v>#N/A</v>
      </c>
      <c r="G14" s="10" t="e">
        <f>IF('PV IN'!$F$4="PV Only",NA(),IF(A14&lt;='Batt IN'!$O$30,SUM(BattCalcs!AT5:AT16),NA()))</f>
        <v>#N/A</v>
      </c>
      <c r="H14" s="10" t="e">
        <f>IF('PV IN'!$F$4="PV Only",NA(),IF(A14&lt;='Batt IN'!$O$30,SUM(BattCalcs!AU5:AU16),NA()))</f>
        <v>#N/A</v>
      </c>
      <c r="I14" s="10" t="e">
        <f>IF('PV IN'!$F$4="PV Only",NA(),IF(A14&lt;='Batt IN'!$O$30,SUM(BattCalcs!BF5:BF16),NA()))</f>
        <v>#N/A</v>
      </c>
      <c r="J14" s="10" t="e">
        <f>IF('PV IN'!$F$4="PV Only",NA(),IF(A14&lt;='Batt IN'!$O$30,SUM(BattCalcs!BG5:BG16),NA()))</f>
        <v>#N/A</v>
      </c>
      <c r="K14" s="10">
        <f>IF('PV IN'!$F$4="Battery Only",NA(),IF(A14&lt;='Batt IN'!$O$30,SUM(PVCalcs!Y5:Y16,PVCalcs!Z5:Z16),NA()))</f>
        <v>27349.573331524247</v>
      </c>
      <c r="L14" s="10">
        <f>IF(A14&lt;='Batt IN'!$O$30,IF('PV IN'!$F$4="Battery Only",0,SUM(PVCalcs!W5:W16,PVCalcs!AA5:AA16))+IF('PV IN'!$F$4="PV Only",0,SUM(BattCalcs!AV5:AV16,BattCalcs!BH5:BH16)),NA())</f>
        <v>0</v>
      </c>
      <c r="M14" s="2">
        <f>Depr.!G7+Depr.!G20</f>
        <v>249007.50000000003</v>
      </c>
      <c r="N14" s="10">
        <f>IF(A14&lt;='Batt IN'!$O$30,IF('PV IN'!$F$4="Battery Only",0,SUM(PVCalcs!AD5:AD16))+IF('PV IN'!$F$4="PV Only",0,SUM(BattCalcs!BU5:BU16)),NA())</f>
        <v>0</v>
      </c>
      <c r="O14" s="10">
        <f>IF(A14&lt;='Batt IN'!$O$30,IF('PV IN'!$F$4="Battery Only",0,SUM(PVCalcs!AE5:AF16))+IF('PV IN'!$F$4="PV Only",0,SUM(BattCalcs!BK5:BL16)),NA())</f>
        <v>0</v>
      </c>
      <c r="P14" s="10">
        <f>IF(A14&lt;='Batt IN'!$O$30,IF('PV IN'!$F$4="Battery Only",0,SUM(PVCalcs!R5:R16)+SUM(PVCalcs!AG5:AG16))+IF('PV IN'!$F$4="PV Only",0,SUM(BattCalcs!AO5:AO16)+SUM(BattCalcs!BM5:BM16)),NA())</f>
        <v>-9000</v>
      </c>
      <c r="Q14" s="10">
        <f>IF(A14&lt;='Batt IN'!$O$30,IF('PV IN'!$F$4="Battery Only",0,SUM(PVCalcs!S5:S16)+SUM(PVCalcs!AH5:AH16))+IF('PV IN'!$F$4="PV Only",0,SUM(BattCalcs!AP5:AP16)+SUM(BattCalcs!BN5:BN16)),NA())</f>
        <v>-7500</v>
      </c>
      <c r="R14" s="10">
        <f>IF(A14&lt;='Batt IN'!$O$30,IF('PV IN'!$F$4="Battery Only",0,SUM(PVCalcs!AI5:AI16))+IF('PV IN'!$F$4="PV Only",0,SUM(BattCalcs!BP5:BT16)+SUM(BattCalcs!BO5:BO16)),NA())</f>
        <v>0</v>
      </c>
      <c r="S14" s="10">
        <f>IF(A14&lt;='Batt IN'!$O$30,IF('PV IN'!$F$4="PV Only",0,SUM(BattCalcs!BV5:BX16)),NA())</f>
        <v>0</v>
      </c>
    </row>
    <row r="15" spans="1:19" hidden="1" x14ac:dyDescent="0.25">
      <c r="M15" s="2"/>
    </row>
    <row r="16" spans="1:19" hidden="1" x14ac:dyDescent="0.25">
      <c r="M16" s="2"/>
    </row>
    <row r="17" spans="1:19" hidden="1" x14ac:dyDescent="0.25">
      <c r="M17" s="2"/>
    </row>
    <row r="18" spans="1:19" hidden="1" x14ac:dyDescent="0.25">
      <c r="M18" s="2"/>
    </row>
    <row r="19" spans="1:19" hidden="1" x14ac:dyDescent="0.25">
      <c r="M19" s="2"/>
    </row>
    <row r="20" spans="1:19" hidden="1" x14ac:dyDescent="0.25">
      <c r="M20" s="2"/>
    </row>
    <row r="21" spans="1:19" hidden="1" x14ac:dyDescent="0.25">
      <c r="M21" s="2"/>
    </row>
    <row r="22" spans="1:19" hidden="1" x14ac:dyDescent="0.25">
      <c r="M22" s="2"/>
    </row>
    <row r="23" spans="1:19" hidden="1" x14ac:dyDescent="0.25">
      <c r="M23" s="2"/>
    </row>
    <row r="24" spans="1:19" hidden="1" x14ac:dyDescent="0.25">
      <c r="M24" s="2"/>
    </row>
    <row r="25" spans="1:19" hidden="1" x14ac:dyDescent="0.25">
      <c r="M25" s="2"/>
    </row>
    <row r="26" spans="1:19" x14ac:dyDescent="0.25">
      <c r="A26">
        <v>2</v>
      </c>
      <c r="B26" s="10">
        <f>IF('PV IN'!$F$4="Battery Only",NA(),IF(A26&lt;='Batt IN'!$O$30,SUM(PVCalcs!U17:U28),NA()))</f>
        <v>135708.94219943791</v>
      </c>
      <c r="C26" s="10" t="e">
        <f>IF('PV IN'!$F$4="PV Only",NA(),IF(A26&lt;='Batt IN'!$O$30,SUM(BattCalcs!AX17:BC28),NA()))</f>
        <v>#N/A</v>
      </c>
      <c r="D26" s="10" t="e">
        <f>IF('PV IN'!$F$4="PV Only",NA(),IF(A26&lt;='Batt IN'!$O$30,SUM(BattCalcs!BD17:BD28),NA()))</f>
        <v>#N/A</v>
      </c>
      <c r="E26" s="10" t="e">
        <f>IF('PV IN'!$F$4="PV Only",NA(),IF(A26&lt;='Batt IN'!$O$30,SUM(BattCalcs!BE17:BE28),NA()))</f>
        <v>#N/A</v>
      </c>
      <c r="F26" s="10" t="e">
        <f>IF('PV IN'!$F$4="PV Only",NA(),IF(A26&lt;='Batt IN'!$O$30,SUM(BattCalcs!AS17:AS28),NA()))</f>
        <v>#N/A</v>
      </c>
      <c r="G26" s="10" t="e">
        <f>IF('PV IN'!$F$4="PV Only",NA(),IF(A26&lt;='Batt IN'!$O$30,SUM(BattCalcs!AT17:AT28),NA()))</f>
        <v>#N/A</v>
      </c>
      <c r="H26" s="10" t="e">
        <f>IF('PV IN'!$F$4="PV Only",NA(),IF(A26&lt;='Batt IN'!$O$30,SUM(BattCalcs!AU17:AU28),NA()))</f>
        <v>#N/A</v>
      </c>
      <c r="I26" s="10" t="e">
        <f>IF('PV IN'!$F$4="PV Only",NA(),IF(A26&lt;='Batt IN'!$O$30,SUM(BattCalcs!BF17:BF28),NA()))</f>
        <v>#N/A</v>
      </c>
      <c r="J26" s="10" t="e">
        <f>IF('PV IN'!$F$4="PV Only",NA(),IF(A26&lt;='Batt IN'!$O$30,SUM(BattCalcs!BG17:BG28),NA()))</f>
        <v>#N/A</v>
      </c>
      <c r="K26" s="10">
        <f>IF('PV IN'!$F$4="Battery Only",NA(),IF(A26&lt;='Batt IN'!$O$30,SUM(PVCalcs!Y17:Y28,PVCalcs!Z17:Z28),NA()))</f>
        <v>27131.577218907431</v>
      </c>
      <c r="L26" s="10">
        <f>IF(A26&lt;='Batt IN'!$O$30,IF('PV IN'!$F$4="Battery Only",0,SUM(PVCalcs!W17:W28,PVCalcs!AA17:AA28))+IF('PV IN'!$F$4="PV Only",0,SUM(BattCalcs!AV17:AV28,BattCalcs!BH17:BH28)),NA())</f>
        <v>0</v>
      </c>
      <c r="M26" s="2">
        <f>Depr.!G8+Depr.!G21</f>
        <v>132804</v>
      </c>
      <c r="N26" s="10">
        <f>IF(A26&lt;='Batt IN'!$O$30,IF('PV IN'!$F$4="Battery Only",0,SUM(PVCalcs!AD17:AD28))+IF('PV IN'!$F$4="PV Only",0,SUM(BattCalcs!BU17:BU28)),NA())</f>
        <v>0</v>
      </c>
      <c r="O26" s="10">
        <f>IF(A26&lt;='Batt IN'!$O$30,IF('PV IN'!$F$4="Battery Only",0,SUM(PVCalcs!AE17:AF28))+IF('PV IN'!$F$4="PV Only",0,SUM(BattCalcs!BK17:BL28)),NA())</f>
        <v>0</v>
      </c>
      <c r="P26" s="10">
        <f>IF(A26&lt;='Batt IN'!$O$30,IF('PV IN'!$F$4="Battery Only",0,SUM(PVCalcs!R17:R28)+SUM(PVCalcs!AG17:AG28))+IF('PV IN'!$F$4="PV Only",0,SUM(BattCalcs!AO17:AO28)+SUM(BattCalcs!BM17:BM28)),NA())</f>
        <v>-9000</v>
      </c>
      <c r="Q26" s="10">
        <f>IF(A26&lt;='Batt IN'!$O$30,IF('PV IN'!$F$4="Battery Only",0,SUM(PVCalcs!S17:S28)+SUM(PVCalcs!AH17:AH28))+IF('PV IN'!$F$4="PV Only",0,SUM(BattCalcs!AP17:AP28)+SUM(BattCalcs!BN17:BN28)),NA())</f>
        <v>-7500</v>
      </c>
      <c r="R26" s="10">
        <f>IF(A26&lt;='Batt IN'!$O$30,IF('PV IN'!$F$4="Battery Only",0,SUM(PVCalcs!AI17:AI28))+IF('PV IN'!$F$4="PV Only",0,SUM(BattCalcs!BP17:BT28)+SUM(BattCalcs!BO17:BO28)),NA())</f>
        <v>0</v>
      </c>
      <c r="S26" s="10">
        <f>IF(A26&lt;='Batt IN'!$O$30,IF('PV IN'!$F$4="PV Only",0,SUM(BattCalcs!BV17:BX28)),NA())</f>
        <v>0</v>
      </c>
    </row>
    <row r="27" spans="1:19" hidden="1" x14ac:dyDescent="0.25">
      <c r="M27" s="2"/>
    </row>
    <row r="28" spans="1:19" hidden="1" x14ac:dyDescent="0.25">
      <c r="M28" s="2"/>
    </row>
    <row r="29" spans="1:19" hidden="1" x14ac:dyDescent="0.25">
      <c r="M29" s="2"/>
    </row>
    <row r="30" spans="1:19" hidden="1" x14ac:dyDescent="0.25">
      <c r="M30" s="2"/>
    </row>
    <row r="31" spans="1:19" hidden="1" x14ac:dyDescent="0.25">
      <c r="M31" s="2"/>
    </row>
    <row r="32" spans="1:19" hidden="1" x14ac:dyDescent="0.25">
      <c r="M32" s="2"/>
    </row>
    <row r="33" spans="1:19" hidden="1" x14ac:dyDescent="0.25">
      <c r="M33" s="2"/>
    </row>
    <row r="34" spans="1:19" hidden="1" x14ac:dyDescent="0.25">
      <c r="M34" s="2"/>
    </row>
    <row r="35" spans="1:19" hidden="1" x14ac:dyDescent="0.25">
      <c r="M35" s="2"/>
    </row>
    <row r="36" spans="1:19" hidden="1" x14ac:dyDescent="0.25">
      <c r="M36" s="2"/>
    </row>
    <row r="37" spans="1:19" hidden="1" x14ac:dyDescent="0.25">
      <c r="M37" s="2"/>
    </row>
    <row r="38" spans="1:19" x14ac:dyDescent="0.25">
      <c r="A38">
        <v>3</v>
      </c>
      <c r="B38" s="10">
        <f>IF('PV IN'!$F$4="Battery Only",NA(),IF(A38&lt;='Batt IN'!$O$30,SUM(PVCalcs!U29:U40),NA()))</f>
        <v>134805.7166784271</v>
      </c>
      <c r="C38" s="10" t="e">
        <f>IF('PV IN'!$F$4="PV Only",NA(),IF(A38&lt;='Batt IN'!$O$30,SUM(BattCalcs!AX29:BC40),NA()))</f>
        <v>#N/A</v>
      </c>
      <c r="D38" s="10" t="e">
        <f>IF('PV IN'!$F$4="PV Only",NA(),IF(A38&lt;='Batt IN'!$O$30,SUM(BattCalcs!BD29:BD40),NA()))</f>
        <v>#N/A</v>
      </c>
      <c r="E38" s="10" t="e">
        <f>IF('PV IN'!$F$4="PV Only",NA(),IF(A38&lt;='Batt IN'!$O$30,SUM(BattCalcs!BE29:BE40),NA()))</f>
        <v>#N/A</v>
      </c>
      <c r="F38" s="10" t="e">
        <f>IF('PV IN'!$F$4="PV Only",NA(),IF(A38&lt;='Batt IN'!$O$30,SUM(BattCalcs!AS29:AS40),NA()))</f>
        <v>#N/A</v>
      </c>
      <c r="G38" s="10" t="e">
        <f>IF('PV IN'!$F$4="PV Only",NA(),IF(A38&lt;='Batt IN'!$O$30,SUM(BattCalcs!AT29:AT40),NA()))</f>
        <v>#N/A</v>
      </c>
      <c r="H38" s="10" t="e">
        <f>IF('PV IN'!$F$4="PV Only",NA(),IF(A38&lt;='Batt IN'!$O$30,SUM(BattCalcs!AU29:AU40),NA()))</f>
        <v>#N/A</v>
      </c>
      <c r="I38" s="10" t="e">
        <f>IF('PV IN'!$F$4="PV Only",NA(),IF(A38&lt;='Batt IN'!$O$30,SUM(BattCalcs!BF29:BF40),NA()))</f>
        <v>#N/A</v>
      </c>
      <c r="J38" s="10" t="e">
        <f>IF('PV IN'!$F$4="PV Only",NA(),IF(A38&lt;='Batt IN'!$O$30,SUM(BattCalcs!BG29:BG40),NA()))</f>
        <v>#N/A</v>
      </c>
      <c r="K38" s="10">
        <f>IF('PV IN'!$F$4="Battery Only",NA(),IF(A38&lt;='Batt IN'!$O$30,SUM(PVCalcs!Y29:Y40,PVCalcs!Z29:Z40),NA()))</f>
        <v>23326.609535517375</v>
      </c>
      <c r="L38" s="10">
        <f>IF(A38&lt;='Batt IN'!$O$30,IF('PV IN'!$F$4="Battery Only",0,SUM(PVCalcs!W29:W40,PVCalcs!AA29:AA40))+IF('PV IN'!$F$4="PV Only",0,SUM(BattCalcs!AV29:AV40,BattCalcs!BH29:BH40)),NA())</f>
        <v>0</v>
      </c>
      <c r="M38" s="2">
        <f>Depr.!G9+Depr.!G22</f>
        <v>33200.999999999935</v>
      </c>
      <c r="N38" s="10">
        <f>IF(A38&lt;='Batt IN'!$O$30,IF('PV IN'!$F$4="Battery Only",0,SUM(PVCalcs!AD29:AD40))+IF('PV IN'!$F$4="PV Only",0,SUM(BattCalcs!BU29:BU40)),NA())</f>
        <v>0</v>
      </c>
      <c r="O38" s="10">
        <f>IF(A38&lt;='Batt IN'!$O$30,IF('PV IN'!$F$4="Battery Only",0,SUM(PVCalcs!AE29:AF40))+IF('PV IN'!$F$4="PV Only",0,SUM(BattCalcs!BK29:BL40)),NA())</f>
        <v>0</v>
      </c>
      <c r="P38" s="10">
        <f>IF(A38&lt;='Batt IN'!$O$30,IF('PV IN'!$F$4="Battery Only",0,SUM(PVCalcs!R29:R40)+SUM(PVCalcs!AG29:AG40))+IF('PV IN'!$F$4="PV Only",0,SUM(BattCalcs!AO29:AO40)+SUM(BattCalcs!BM29:BM40)),NA())</f>
        <v>-9000</v>
      </c>
      <c r="Q38" s="10">
        <f>IF(A38&lt;='Batt IN'!$O$30,IF('PV IN'!$F$4="Battery Only",0,SUM(PVCalcs!S29:S40)+SUM(PVCalcs!AH29:AH40))+IF('PV IN'!$F$4="PV Only",0,SUM(BattCalcs!AP29:AP40)+SUM(BattCalcs!BN29:BN40)),NA())</f>
        <v>-7500</v>
      </c>
      <c r="R38" s="10">
        <f>IF(A38&lt;='Batt IN'!$O$30,IF('PV IN'!$F$4="Battery Only",0,SUM(PVCalcs!AI29:AI40))+IF('PV IN'!$F$4="PV Only",0,SUM(BattCalcs!BP29:BT40)+SUM(BattCalcs!BO29:BO40)),NA())</f>
        <v>0</v>
      </c>
      <c r="S38" s="10">
        <f>IF(A38&lt;='Batt IN'!$O$30,IF('PV IN'!$F$4="PV Only",0,SUM(BattCalcs!BV29:BX40)),NA())</f>
        <v>0</v>
      </c>
    </row>
    <row r="39" spans="1:19" hidden="1" x14ac:dyDescent="0.25">
      <c r="M39" s="2"/>
    </row>
    <row r="40" spans="1:19" hidden="1" x14ac:dyDescent="0.25">
      <c r="M40" s="2"/>
    </row>
    <row r="41" spans="1:19" hidden="1" x14ac:dyDescent="0.25">
      <c r="M41" s="2"/>
    </row>
    <row r="42" spans="1:19" hidden="1" x14ac:dyDescent="0.25">
      <c r="M42" s="2"/>
    </row>
    <row r="43" spans="1:19" hidden="1" x14ac:dyDescent="0.25">
      <c r="M43" s="2"/>
    </row>
    <row r="44" spans="1:19" hidden="1" x14ac:dyDescent="0.25">
      <c r="M44" s="2"/>
    </row>
    <row r="45" spans="1:19" hidden="1" x14ac:dyDescent="0.25">
      <c r="M45" s="2"/>
    </row>
    <row r="46" spans="1:19" hidden="1" x14ac:dyDescent="0.25">
      <c r="M46" s="2"/>
    </row>
    <row r="47" spans="1:19" hidden="1" x14ac:dyDescent="0.25">
      <c r="M47" s="2"/>
    </row>
    <row r="48" spans="1:19" hidden="1" x14ac:dyDescent="0.25">
      <c r="M48" s="2"/>
    </row>
    <row r="49" spans="1:19" hidden="1" x14ac:dyDescent="0.25">
      <c r="M49" s="2"/>
    </row>
    <row r="50" spans="1:19" x14ac:dyDescent="0.25">
      <c r="A50">
        <v>4</v>
      </c>
      <c r="B50" s="10">
        <f>IF('PV IN'!$F$4="Battery Only",NA(),IF(A50&lt;='Batt IN'!$O$30,SUM(PVCalcs!U41:U52),NA()))</f>
        <v>135067.01191479585</v>
      </c>
      <c r="C50" s="10" t="e">
        <f>IF('PV IN'!$F$4="PV Only",NA(),IF(A50&lt;='Batt IN'!$O$30,SUM(BattCalcs!AX41:BC52),NA()))</f>
        <v>#N/A</v>
      </c>
      <c r="D50" s="10" t="e">
        <f>IF('PV IN'!$F$4="PV Only",NA(),IF(A50&lt;='Batt IN'!$O$30,SUM(BattCalcs!BD41:BD52),NA()))</f>
        <v>#N/A</v>
      </c>
      <c r="E50" s="10" t="e">
        <f>IF('PV IN'!$F$4="PV Only",NA(),IF(A50&lt;='Batt IN'!$O$30,SUM(BattCalcs!BE41:BE52),NA()))</f>
        <v>#N/A</v>
      </c>
      <c r="F50" s="10" t="e">
        <f>IF('PV IN'!$F$4="PV Only",NA(),IF(A50&lt;='Batt IN'!$O$30,SUM(BattCalcs!AS41:AS52),NA()))</f>
        <v>#N/A</v>
      </c>
      <c r="G50" s="10" t="e">
        <f>IF('PV IN'!$F$4="PV Only",NA(),IF(A50&lt;='Batt IN'!$O$30,SUM(BattCalcs!AT41:AT52),NA()))</f>
        <v>#N/A</v>
      </c>
      <c r="H50" s="10" t="e">
        <f>IF('PV IN'!$F$4="PV Only",NA(),IF(A50&lt;='Batt IN'!$O$30,SUM(BattCalcs!AU41:AU52),NA()))</f>
        <v>#N/A</v>
      </c>
      <c r="I50" s="10" t="e">
        <f>IF('PV IN'!$F$4="PV Only",NA(),IF(A50&lt;='Batt IN'!$O$30,SUM(BattCalcs!BF41:BF52),NA()))</f>
        <v>#N/A</v>
      </c>
      <c r="J50" s="10" t="e">
        <f>IF('PV IN'!$F$4="PV Only",NA(),IF(A50&lt;='Batt IN'!$O$30,SUM(BattCalcs!BG41:BG52),NA()))</f>
        <v>#N/A</v>
      </c>
      <c r="K50" s="10">
        <f>IF('PV IN'!$F$4="Battery Only",NA(),IF(A50&lt;='Batt IN'!$O$30,SUM(PVCalcs!Y41:Y52,PVCalcs!Z41:Z52),NA()))</f>
        <v>23140.679388175293</v>
      </c>
      <c r="L50" s="10">
        <f>IF(A50&lt;='Batt IN'!$O$30,IF('PV IN'!$F$4="Battery Only",0,SUM(PVCalcs!W41:W52,PVCalcs!AA41:AA52))+IF('PV IN'!$F$4="PV Only",0,SUM(BattCalcs!AV41:AV52,BattCalcs!BH41:BH52)),NA())</f>
        <v>0</v>
      </c>
      <c r="M50" s="2">
        <f>Depr.!G10+Depr.!G23</f>
        <v>0</v>
      </c>
      <c r="N50" s="10">
        <f>IF(A50&lt;='Batt IN'!$O$30,IF('PV IN'!$F$4="Battery Only",0,SUM(PVCalcs!AD41:AD52))+IF('PV IN'!$F$4="PV Only",0,SUM(BattCalcs!BU41:BU52)),NA())</f>
        <v>0</v>
      </c>
      <c r="O50" s="10">
        <f>IF(A50&lt;='Batt IN'!$O$30,IF('PV IN'!$F$4="Battery Only",0,SUM(PVCalcs!AE41:AF52))+IF('PV IN'!$F$4="PV Only",0,SUM(BattCalcs!BK41:BL52)),NA())</f>
        <v>0</v>
      </c>
      <c r="P50" s="10">
        <f>IF(A50&lt;='Batt IN'!$O$30,IF('PV IN'!$F$4="Battery Only",0,SUM(PVCalcs!R41:R52)+SUM(PVCalcs!AG41:AG52))+IF('PV IN'!$F$4="PV Only",0,SUM(BattCalcs!AO41:AO52)+SUM(BattCalcs!BM41:BM52)),NA())</f>
        <v>-9000</v>
      </c>
      <c r="Q50" s="10">
        <f>IF(A50&lt;='Batt IN'!$O$30,IF('PV IN'!$F$4="Battery Only",0,SUM(PVCalcs!S41:S52)+SUM(PVCalcs!AH41:AH52))+IF('PV IN'!$F$4="PV Only",0,SUM(BattCalcs!AP41:AP52)+SUM(BattCalcs!BN41:BN52)),NA())</f>
        <v>-7500</v>
      </c>
      <c r="R50" s="10">
        <f>IF(A50&lt;='Batt IN'!$O$30,IF('PV IN'!$F$4="Battery Only",0,SUM(PVCalcs!AI41:AI52))+IF('PV IN'!$F$4="PV Only",0,SUM(BattCalcs!BP41:BT52)+SUM(BattCalcs!BO41:BO52)),NA())</f>
        <v>0</v>
      </c>
      <c r="S50" s="10">
        <f>IF(A50&lt;='Batt IN'!$O$30,IF('PV IN'!$F$4="PV Only",0,SUM(BattCalcs!BV41:BX52)),NA())</f>
        <v>0</v>
      </c>
    </row>
    <row r="51" spans="1:19" hidden="1" x14ac:dyDescent="0.25">
      <c r="M51" s="2"/>
    </row>
    <row r="52" spans="1:19" hidden="1" x14ac:dyDescent="0.25">
      <c r="M52" s="2"/>
    </row>
    <row r="53" spans="1:19" hidden="1" x14ac:dyDescent="0.25">
      <c r="M53" s="2"/>
    </row>
    <row r="54" spans="1:19" hidden="1" x14ac:dyDescent="0.25">
      <c r="M54" s="2"/>
    </row>
    <row r="55" spans="1:19" hidden="1" x14ac:dyDescent="0.25">
      <c r="M55" s="2"/>
    </row>
    <row r="56" spans="1:19" hidden="1" x14ac:dyDescent="0.25">
      <c r="M56" s="2"/>
    </row>
    <row r="57" spans="1:19" hidden="1" x14ac:dyDescent="0.25">
      <c r="M57" s="2"/>
    </row>
    <row r="58" spans="1:19" hidden="1" x14ac:dyDescent="0.25">
      <c r="M58" s="2"/>
    </row>
    <row r="59" spans="1:19" hidden="1" x14ac:dyDescent="0.25">
      <c r="M59" s="2"/>
    </row>
    <row r="60" spans="1:19" hidden="1" x14ac:dyDescent="0.25">
      <c r="M60" s="2"/>
    </row>
    <row r="61" spans="1:19" hidden="1" x14ac:dyDescent="0.25">
      <c r="M61" s="2"/>
    </row>
    <row r="62" spans="1:19" x14ac:dyDescent="0.25">
      <c r="A62">
        <v>5</v>
      </c>
      <c r="B62" s="10">
        <f>IF('PV IN'!$F$4="Battery Only",NA(),IF(A62&lt;='Batt IN'!$O$30,SUM(PVCalcs!U53:U64),NA()))</f>
        <v>134118.01344327218</v>
      </c>
      <c r="C62" s="10" t="e">
        <f>IF('PV IN'!$F$4="PV Only",NA(),IF(A62&lt;='Batt IN'!$O$30,SUM(BattCalcs!AX53:BC64),NA()))</f>
        <v>#N/A</v>
      </c>
      <c r="D62" s="10" t="e">
        <f>IF('PV IN'!$F$4="PV Only",NA(),IF(A62&lt;='Batt IN'!$O$30,SUM(BattCalcs!BD53:BD64),NA()))</f>
        <v>#N/A</v>
      </c>
      <c r="E62" s="10" t="e">
        <f>IF('PV IN'!$F$4="PV Only",NA(),IF(A62&lt;='Batt IN'!$O$30,SUM(BattCalcs!BE53:BE64),NA()))</f>
        <v>#N/A</v>
      </c>
      <c r="F62" s="10" t="e">
        <f>IF('PV IN'!$F$4="PV Only",NA(),IF(A62&lt;='Batt IN'!$O$30,SUM(BattCalcs!AS53:AS64),NA()))</f>
        <v>#N/A</v>
      </c>
      <c r="G62" s="10" t="e">
        <f>IF('PV IN'!$F$4="PV Only",NA(),IF(A62&lt;='Batt IN'!$O$30,SUM(BattCalcs!AT53:AT64),NA()))</f>
        <v>#N/A</v>
      </c>
      <c r="H62" s="10" t="e">
        <f>IF('PV IN'!$F$4="PV Only",NA(),IF(A62&lt;='Batt IN'!$O$30,SUM(BattCalcs!AU53:AU64),NA()))</f>
        <v>#N/A</v>
      </c>
      <c r="I62" s="10" t="e">
        <f>IF('PV IN'!$F$4="PV Only",NA(),IF(A62&lt;='Batt IN'!$O$30,SUM(BattCalcs!BF53:BF64),NA()))</f>
        <v>#N/A</v>
      </c>
      <c r="J62" s="10" t="e">
        <f>IF('PV IN'!$F$4="PV Only",NA(),IF(A62&lt;='Batt IN'!$O$30,SUM(BattCalcs!BG53:BG64),NA()))</f>
        <v>#N/A</v>
      </c>
      <c r="K62" s="10">
        <f>IF('PV IN'!$F$4="Battery Only",NA(),IF(A62&lt;='Batt IN'!$O$30,SUM(PVCalcs!Y53:Y64,PVCalcs!Z53:Z64),NA()))</f>
        <v>22956.231240162699</v>
      </c>
      <c r="L62" s="10">
        <f>IF(A62&lt;='Batt IN'!$O$30,IF('PV IN'!$F$4="Battery Only",0,SUM(PVCalcs!W53:W64,PVCalcs!AA53:AA64))+IF('PV IN'!$F$4="PV Only",0,SUM(BattCalcs!AV53:AV64,BattCalcs!BH53:BH64)),NA())</f>
        <v>0</v>
      </c>
      <c r="M62" s="2">
        <f>Depr.!G11+Depr.!G24</f>
        <v>0</v>
      </c>
      <c r="N62" s="10">
        <f>IF(A62&lt;='Batt IN'!$O$30,IF('PV IN'!$F$4="Battery Only",0,SUM(PVCalcs!AD53:AD64))+IF('PV IN'!$F$4="PV Only",0,SUM(BattCalcs!BU53:BU64)),NA())</f>
        <v>0</v>
      </c>
      <c r="O62" s="10">
        <f>IF(A62&lt;='Batt IN'!$O$30,IF('PV IN'!$F$4="Battery Only",0,SUM(PVCalcs!AE53:AF64))+IF('PV IN'!$F$4="PV Only",0,SUM(BattCalcs!BK53:BL64)),NA())</f>
        <v>0</v>
      </c>
      <c r="P62" s="10">
        <f>IF(A62&lt;='Batt IN'!$O$30,IF('PV IN'!$F$4="Battery Only",0,SUM(PVCalcs!R53:R64)+SUM(PVCalcs!AG53:AG64))+IF('PV IN'!$F$4="PV Only",0,SUM(BattCalcs!AO53:AO64)+SUM(BattCalcs!BM53:BM64)),NA())</f>
        <v>-9000</v>
      </c>
      <c r="Q62" s="10">
        <f>IF(A62&lt;='Batt IN'!$O$30,IF('PV IN'!$F$4="Battery Only",0,SUM(PVCalcs!S53:S64)+SUM(PVCalcs!AH53:AH64))+IF('PV IN'!$F$4="PV Only",0,SUM(BattCalcs!AP53:AP64)+SUM(BattCalcs!BN53:BN64)),NA())</f>
        <v>-7500</v>
      </c>
      <c r="R62" s="10">
        <f>IF(A62&lt;='Batt IN'!$O$30,IF('PV IN'!$F$4="Battery Only",0,SUM(PVCalcs!AI53:AI64))+IF('PV IN'!$F$4="PV Only",0,SUM(BattCalcs!BP53:BT64)+SUM(BattCalcs!BO53:BO64)),NA())</f>
        <v>0</v>
      </c>
      <c r="S62" s="10">
        <f>IF(A62&lt;='Batt IN'!$O$30,IF('PV IN'!$F$4="PV Only",0,SUM(BattCalcs!BV53:BX64)),NA())</f>
        <v>0</v>
      </c>
    </row>
    <row r="63" spans="1:19" hidden="1" x14ac:dyDescent="0.25">
      <c r="M63" s="2"/>
    </row>
    <row r="64" spans="1:19" hidden="1" x14ac:dyDescent="0.25">
      <c r="M64" s="2"/>
    </row>
    <row r="65" spans="1:19" hidden="1" x14ac:dyDescent="0.25">
      <c r="M65" s="2"/>
    </row>
    <row r="66" spans="1:19" hidden="1" x14ac:dyDescent="0.25">
      <c r="M66" s="2"/>
    </row>
    <row r="67" spans="1:19" hidden="1" x14ac:dyDescent="0.25">
      <c r="M67" s="2"/>
    </row>
    <row r="68" spans="1:19" hidden="1" x14ac:dyDescent="0.25">
      <c r="M68" s="2"/>
    </row>
    <row r="69" spans="1:19" hidden="1" x14ac:dyDescent="0.25">
      <c r="M69" s="2"/>
    </row>
    <row r="70" spans="1:19" hidden="1" x14ac:dyDescent="0.25">
      <c r="M70" s="2"/>
    </row>
    <row r="71" spans="1:19" hidden="1" x14ac:dyDescent="0.25">
      <c r="M71" s="2"/>
    </row>
    <row r="72" spans="1:19" hidden="1" x14ac:dyDescent="0.25">
      <c r="M72" s="2"/>
    </row>
    <row r="73" spans="1:19" hidden="1" x14ac:dyDescent="0.25">
      <c r="M73" s="2"/>
    </row>
    <row r="74" spans="1:19" x14ac:dyDescent="0.25">
      <c r="A74">
        <v>6</v>
      </c>
      <c r="B74" s="10">
        <f>IF('PV IN'!$F$4="Battery Only",NA(),IF(A74&lt;='Batt IN'!$O$30,SUM(PVCalcs!U65:U76),NA()))</f>
        <v>133288.88264988482</v>
      </c>
      <c r="C74" s="10" t="e">
        <f>IF('PV IN'!$F$4="PV Only",NA(),IF(A74&lt;='Batt IN'!$O$30,SUM(BattCalcs!AX65:BC76),NA()))</f>
        <v>#N/A</v>
      </c>
      <c r="D74" s="10" t="e">
        <f>IF('PV IN'!$F$4="PV Only",NA(),IF(A74&lt;='Batt IN'!$O$30,SUM(BattCalcs!BD65:BD76),NA()))</f>
        <v>#N/A</v>
      </c>
      <c r="E74" s="10" t="e">
        <f>IF('PV IN'!$F$4="PV Only",NA(),IF(A74&lt;='Batt IN'!$O$30,SUM(BattCalcs!BE65:BE76),NA()))</f>
        <v>#N/A</v>
      </c>
      <c r="F74" s="10" t="e">
        <f>IF('PV IN'!$F$4="PV Only",NA(),IF(A74&lt;='Batt IN'!$O$30,SUM(BattCalcs!AS65:AS76),NA()))</f>
        <v>#N/A</v>
      </c>
      <c r="G74" s="10" t="e">
        <f>IF('PV IN'!$F$4="PV Only",NA(),IF(A74&lt;='Batt IN'!$O$30,SUM(BattCalcs!AT65:AT76),NA()))</f>
        <v>#N/A</v>
      </c>
      <c r="H74" s="10" t="e">
        <f>IF('PV IN'!$F$4="PV Only",NA(),IF(A74&lt;='Batt IN'!$O$30,SUM(BattCalcs!AU65:AU76),NA()))</f>
        <v>#N/A</v>
      </c>
      <c r="I74" s="10" t="e">
        <f>IF('PV IN'!$F$4="PV Only",NA(),IF(A74&lt;='Batt IN'!$O$30,SUM(BattCalcs!BF65:BF76),NA()))</f>
        <v>#N/A</v>
      </c>
      <c r="J74" s="10" t="e">
        <f>IF('PV IN'!$F$4="PV Only",NA(),IF(A74&lt;='Batt IN'!$O$30,SUM(BattCalcs!BG65:BG76),NA()))</f>
        <v>#N/A</v>
      </c>
      <c r="K74" s="10">
        <f>IF('PV IN'!$F$4="Battery Only",NA(),IF(A74&lt;='Batt IN'!$O$30,SUM(PVCalcs!Y65:Y76,PVCalcs!Z65:Z76),NA()))</f>
        <v>22773.253278860462</v>
      </c>
      <c r="L74" s="10">
        <f>IF(A74&lt;='Batt IN'!$O$30,IF('PV IN'!$F$4="Battery Only",0,SUM(PVCalcs!W65:W76,PVCalcs!AA65:AA76))+IF('PV IN'!$F$4="PV Only",0,SUM(BattCalcs!AV65:AV76,BattCalcs!BH65:BH76)),NA())</f>
        <v>0</v>
      </c>
      <c r="M74" s="2">
        <f>Depr.!G12+Depr.!G25</f>
        <v>0</v>
      </c>
      <c r="N74" s="10">
        <f>IF(A74&lt;='Batt IN'!$O$30,IF('PV IN'!$F$4="Battery Only",0,SUM(PVCalcs!AD65:AD76))+IF('PV IN'!$F$4="PV Only",0,SUM(BattCalcs!BU65:BU76)),NA())</f>
        <v>0</v>
      </c>
      <c r="O74" s="10">
        <f>IF(A74&lt;='Batt IN'!$O$30,IF('PV IN'!$F$4="Battery Only",0,SUM(PVCalcs!AE65:AF76))+IF('PV IN'!$F$4="PV Only",0,SUM(BattCalcs!BK65:BL76)),NA())</f>
        <v>0</v>
      </c>
      <c r="P74" s="10">
        <f>IF(A74&lt;='Batt IN'!$O$30,IF('PV IN'!$F$4="Battery Only",0,SUM(PVCalcs!R65:R76)+SUM(PVCalcs!AG65:AG76))+IF('PV IN'!$F$4="PV Only",0,SUM(BattCalcs!AO65:AO76)+SUM(BattCalcs!BM65:BM76)),NA())</f>
        <v>-9000</v>
      </c>
      <c r="Q74" s="10">
        <f>IF(A74&lt;='Batt IN'!$O$30,IF('PV IN'!$F$4="Battery Only",0,SUM(PVCalcs!S65:S76)+SUM(PVCalcs!AH65:AH76))+IF('PV IN'!$F$4="PV Only",0,SUM(BattCalcs!AP65:AP76)+SUM(BattCalcs!BN65:BN76)),NA())</f>
        <v>-7500</v>
      </c>
      <c r="R74" s="10">
        <f>IF(A74&lt;='Batt IN'!$O$30,IF('PV IN'!$F$4="Battery Only",0,SUM(PVCalcs!AI65:AI76))+IF('PV IN'!$F$4="PV Only",0,SUM(BattCalcs!BP65:BT76)+SUM(BattCalcs!BO65:BO76)),NA())</f>
        <v>0</v>
      </c>
      <c r="S74" s="10">
        <f>IF(A74&lt;='Batt IN'!$O$30,IF('PV IN'!$F$4="PV Only",0,SUM(BattCalcs!BV65:BX76)),NA())</f>
        <v>0</v>
      </c>
    </row>
    <row r="75" spans="1:19" hidden="1" x14ac:dyDescent="0.25"/>
    <row r="76" spans="1:19" hidden="1" x14ac:dyDescent="0.25"/>
    <row r="77" spans="1:19" hidden="1" x14ac:dyDescent="0.25"/>
    <row r="78" spans="1:19" hidden="1" x14ac:dyDescent="0.25"/>
    <row r="79" spans="1:19" hidden="1" x14ac:dyDescent="0.25"/>
    <row r="80" spans="1:19" hidden="1" x14ac:dyDescent="0.25"/>
    <row r="81" spans="1:19" hidden="1" x14ac:dyDescent="0.25"/>
    <row r="82" spans="1:19" hidden="1" x14ac:dyDescent="0.25"/>
    <row r="83" spans="1:19" hidden="1" x14ac:dyDescent="0.25"/>
    <row r="84" spans="1:19" hidden="1" x14ac:dyDescent="0.25"/>
    <row r="85" spans="1:19" hidden="1" x14ac:dyDescent="0.25"/>
    <row r="86" spans="1:19" x14ac:dyDescent="0.25">
      <c r="A86">
        <v>7</v>
      </c>
      <c r="B86" s="10">
        <f>IF('PV IN'!$F$4="Battery Only",NA(),IF(A86&lt;='Batt IN'!$O$30,SUM(PVCalcs!U77:U88),NA()))</f>
        <v>133005.99052441888</v>
      </c>
      <c r="C86" s="10" t="e">
        <f>IF('PV IN'!$F$4="PV Only",NA(),IF(A86&lt;='Batt IN'!$O$30,SUM(BattCalcs!AX77:BC88),NA()))</f>
        <v>#N/A</v>
      </c>
      <c r="D86" s="10" t="e">
        <f>IF('PV IN'!$F$4="PV Only",NA(),IF(A86&lt;='Batt IN'!$O$30,SUM(BattCalcs!BD77:BD88),NA()))</f>
        <v>#N/A</v>
      </c>
      <c r="E86" s="10" t="e">
        <f>IF('PV IN'!$F$4="PV Only",NA(),IF(A86&lt;='Batt IN'!$O$30,SUM(BattCalcs!BE77:BE88),NA()))</f>
        <v>#N/A</v>
      </c>
      <c r="F86" s="10" t="e">
        <f>IF('PV IN'!$F$4="PV Only",NA(),IF(A86&lt;='Batt IN'!$O$30,SUM(BattCalcs!AS77:AS88),NA()))</f>
        <v>#N/A</v>
      </c>
      <c r="G86" s="10" t="e">
        <f>IF('PV IN'!$F$4="PV Only",NA(),IF(A86&lt;='Batt IN'!$O$30,SUM(BattCalcs!AT77:AT88),NA()))</f>
        <v>#N/A</v>
      </c>
      <c r="H86" s="10" t="e">
        <f>IF('PV IN'!$F$4="PV Only",NA(),IF(A86&lt;='Batt IN'!$O$30,SUM(BattCalcs!AU77:AU88),NA()))</f>
        <v>#N/A</v>
      </c>
      <c r="I86" s="10" t="e">
        <f>IF('PV IN'!$F$4="PV Only",NA(),IF(A86&lt;='Batt IN'!$O$30,SUM(BattCalcs!BF77:BF88),NA()))</f>
        <v>#N/A</v>
      </c>
      <c r="J86" s="10" t="e">
        <f>IF('PV IN'!$F$4="PV Only",NA(),IF(A86&lt;='Batt IN'!$O$30,SUM(BattCalcs!BG77:BG88),NA()))</f>
        <v>#N/A</v>
      </c>
      <c r="K86" s="10">
        <f>IF('PV IN'!$F$4="Battery Only",NA(),IF(A86&lt;='Batt IN'!$O$30,SUM(PVCalcs!Y77:Y88,PVCalcs!Z77:Z88),NA()))</f>
        <v>22591.733785804692</v>
      </c>
      <c r="L86" s="10">
        <f>IF(A86&lt;='Batt IN'!$O$30,IF('PV IN'!$F$4="Battery Only",0,SUM(PVCalcs!W77:W88,PVCalcs!AA77:AA88))+IF('PV IN'!$F$4="PV Only",0,SUM(BattCalcs!AV77:AV88,BattCalcs!BH77:BH88)),NA())</f>
        <v>0</v>
      </c>
      <c r="M86" s="2"/>
      <c r="N86" s="10">
        <f>IF(A86&lt;='Batt IN'!$O$30,IF('PV IN'!$F$4="Battery Only",0,SUM(PVCalcs!AD77:AD88))+IF('PV IN'!$F$4="PV Only",0,SUM(BattCalcs!BU77:BU88)),NA())</f>
        <v>0</v>
      </c>
      <c r="O86" s="10">
        <f>IF(A86&lt;='Batt IN'!$O$30,IF('PV IN'!$F$4="Battery Only",0,SUM(PVCalcs!AE77:AF88))+IF('PV IN'!$F$4="PV Only",0,SUM(BattCalcs!BK77:BL88)),NA())</f>
        <v>0</v>
      </c>
      <c r="P86" s="10">
        <f>IF(A86&lt;='Batt IN'!$O$30,IF('PV IN'!$F$4="Battery Only",0,SUM(PVCalcs!R77:R88)+SUM(PVCalcs!AG77:AG88))+IF('PV IN'!$F$4="PV Only",0,SUM(BattCalcs!AO77:AO88)+SUM(BattCalcs!BM77:BM88)),NA())</f>
        <v>-9000</v>
      </c>
      <c r="Q86" s="10">
        <f>IF(A86&lt;='Batt IN'!$O$30,IF('PV IN'!$F$4="Battery Only",0,SUM(PVCalcs!S77:S88)+SUM(PVCalcs!AH77:AH88))+IF('PV IN'!$F$4="PV Only",0,SUM(BattCalcs!AP77:AP88)+SUM(BattCalcs!BN77:BN88)),NA())</f>
        <v>-7500</v>
      </c>
      <c r="R86" s="10">
        <f>IF(A86&lt;='Batt IN'!$O$30,IF('PV IN'!$F$4="Battery Only",0,SUM(PVCalcs!AI77:AI88))+IF('PV IN'!$F$4="PV Only",0,SUM(BattCalcs!BP77:BT88)+SUM(BattCalcs!BO77:BO88)),NA())</f>
        <v>0</v>
      </c>
      <c r="S86" s="10">
        <f>IF(A86&lt;='Batt IN'!$O$30,IF('PV IN'!$F$4="PV Only",0,SUM(BattCalcs!BV77:BX88)),NA())</f>
        <v>0</v>
      </c>
    </row>
    <row r="87" spans="1:19" hidden="1" x14ac:dyDescent="0.25"/>
    <row r="88" spans="1:19" hidden="1" x14ac:dyDescent="0.25"/>
    <row r="89" spans="1:19" hidden="1" x14ac:dyDescent="0.25"/>
    <row r="90" spans="1:19" hidden="1" x14ac:dyDescent="0.25"/>
    <row r="91" spans="1:19" hidden="1" x14ac:dyDescent="0.25"/>
    <row r="92" spans="1:19" hidden="1" x14ac:dyDescent="0.25"/>
    <row r="93" spans="1:19" hidden="1" x14ac:dyDescent="0.25"/>
    <row r="94" spans="1:19" hidden="1" x14ac:dyDescent="0.25"/>
    <row r="95" spans="1:19" hidden="1" x14ac:dyDescent="0.25"/>
    <row r="96" spans="1:19" hidden="1" x14ac:dyDescent="0.25"/>
    <row r="97" spans="1:19" hidden="1" x14ac:dyDescent="0.25"/>
    <row r="98" spans="1:19" x14ac:dyDescent="0.25">
      <c r="A98">
        <v>8</v>
      </c>
      <c r="B98" s="10">
        <f>IF('PV IN'!$F$4="Battery Only",NA(),IF(A98&lt;='Batt IN'!$O$30,SUM(PVCalcs!U89:U100),NA()))</f>
        <v>132716.66664752521</v>
      </c>
      <c r="C98" s="10" t="e">
        <f>IF('PV IN'!$F$4="PV Only",NA(),IF(A98&lt;='Batt IN'!$O$30,SUM(BattCalcs!AX89:BC100),NA()))</f>
        <v>#N/A</v>
      </c>
      <c r="D98" s="10" t="e">
        <f>IF('PV IN'!$F$4="PV Only",NA(),IF(A98&lt;='Batt IN'!$O$30,SUM(BattCalcs!BD89:BD100),NA()))</f>
        <v>#N/A</v>
      </c>
      <c r="E98" s="10" t="e">
        <f>IF('PV IN'!$F$4="PV Only",NA(),IF(A98&lt;='Batt IN'!$O$30,SUM(BattCalcs!BE89:BE100),NA()))</f>
        <v>#N/A</v>
      </c>
      <c r="F98" s="10" t="e">
        <f>IF('PV IN'!$F$4="PV Only",NA(),IF(A98&lt;='Batt IN'!$O$30,SUM(BattCalcs!AS89:AS100),NA()))</f>
        <v>#N/A</v>
      </c>
      <c r="G98" s="10" t="e">
        <f>IF('PV IN'!$F$4="PV Only",NA(),IF(A98&lt;='Batt IN'!$O$30,SUM(BattCalcs!AT89:AT100),NA()))</f>
        <v>#N/A</v>
      </c>
      <c r="H98" s="10" t="e">
        <f>IF('PV IN'!$F$4="PV Only",NA(),IF(A98&lt;='Batt IN'!$O$30,SUM(BattCalcs!AU89:AU100),NA()))</f>
        <v>#N/A</v>
      </c>
      <c r="I98" s="10" t="e">
        <f>IF('PV IN'!$F$4="PV Only",NA(),IF(A98&lt;='Batt IN'!$O$30,SUM(BattCalcs!BF89:BF100),NA()))</f>
        <v>#N/A</v>
      </c>
      <c r="J98" s="10" t="e">
        <f>IF('PV IN'!$F$4="PV Only",NA(),IF(A98&lt;='Batt IN'!$O$30,SUM(BattCalcs!BG89:BG100),NA()))</f>
        <v>#N/A</v>
      </c>
      <c r="K98" s="10">
        <f>IF('PV IN'!$F$4="Battery Only",NA(),IF(A98&lt;='Batt IN'!$O$30,SUM(PVCalcs!Y89:Y100,PVCalcs!Z89:Z100),NA()))</f>
        <v>22411.661135936229</v>
      </c>
      <c r="L98" s="10">
        <f>IF(A98&lt;='Batt IN'!$O$30,IF('PV IN'!$F$4="Battery Only",0,SUM(PVCalcs!W89:W100,PVCalcs!AA89:AA100))+IF('PV IN'!$F$4="PV Only",0,SUM(BattCalcs!AV89:AV100,BattCalcs!BH89:BH100)),NA())</f>
        <v>0</v>
      </c>
      <c r="M98" s="2"/>
      <c r="N98" s="10">
        <f>IF(A98&lt;='Batt IN'!$O$30,IF('PV IN'!$F$4="Battery Only",0,SUM(PVCalcs!AD89:AD100))+IF('PV IN'!$F$4="PV Only",0,SUM(BattCalcs!BU89:BU100)),NA())</f>
        <v>0</v>
      </c>
      <c r="O98" s="10">
        <f>IF(A98&lt;='Batt IN'!$O$30,IF('PV IN'!$F$4="Battery Only",0,SUM(PVCalcs!AE89:AF100))+IF('PV IN'!$F$4="PV Only",0,SUM(BattCalcs!BK89:BL100)),NA())</f>
        <v>0</v>
      </c>
      <c r="P98" s="10">
        <f>IF(A98&lt;='Batt IN'!$O$30,IF('PV IN'!$F$4="Battery Only",0,SUM(PVCalcs!R89:R100)+SUM(PVCalcs!AG89:AG100))+IF('PV IN'!$F$4="PV Only",0,SUM(BattCalcs!AO89:AO100)+SUM(BattCalcs!BM89:BM100)),NA())</f>
        <v>-9000</v>
      </c>
      <c r="Q98" s="10">
        <f>IF(A98&lt;='Batt IN'!$O$30,IF('PV IN'!$F$4="Battery Only",0,SUM(PVCalcs!S89:S100)+SUM(PVCalcs!AH89:AH100))+IF('PV IN'!$F$4="PV Only",0,SUM(BattCalcs!AP89:AP100)+SUM(BattCalcs!BN89:BN100)),NA())</f>
        <v>-7500</v>
      </c>
      <c r="R98" s="10">
        <f>IF(A98&lt;='Batt IN'!$O$30,IF('PV IN'!$F$4="Battery Only",0,SUM(PVCalcs!AI89:AI100))+IF('PV IN'!$F$4="PV Only",0,SUM(BattCalcs!BP89:BT100)+SUM(BattCalcs!BO89:BO100)),NA())</f>
        <v>0</v>
      </c>
      <c r="S98" s="10">
        <f>IF(A98&lt;='Batt IN'!$O$30,IF('PV IN'!$F$4="PV Only",0,SUM(BattCalcs!BV89:BX100)),NA())</f>
        <v>0</v>
      </c>
    </row>
    <row r="99" spans="1:19" hidden="1" x14ac:dyDescent="0.25"/>
    <row r="100" spans="1:19" hidden="1" x14ac:dyDescent="0.25"/>
    <row r="101" spans="1:19" hidden="1" x14ac:dyDescent="0.25"/>
    <row r="102" spans="1:19" hidden="1" x14ac:dyDescent="0.25"/>
    <row r="103" spans="1:19" hidden="1" x14ac:dyDescent="0.25"/>
    <row r="104" spans="1:19" hidden="1" x14ac:dyDescent="0.25"/>
    <row r="105" spans="1:19" hidden="1" x14ac:dyDescent="0.25"/>
    <row r="106" spans="1:19" hidden="1" x14ac:dyDescent="0.25"/>
    <row r="107" spans="1:19" hidden="1" x14ac:dyDescent="0.25"/>
    <row r="108" spans="1:19" hidden="1" x14ac:dyDescent="0.25"/>
    <row r="109" spans="1:19" hidden="1" x14ac:dyDescent="0.25"/>
    <row r="110" spans="1:19" x14ac:dyDescent="0.25">
      <c r="A110">
        <v>9</v>
      </c>
      <c r="B110" s="10">
        <f>IF('PV IN'!$F$4="Battery Only",NA(),IF(A110&lt;='Batt IN'!$O$30,SUM(PVCalcs!U101:U112),NA()))</f>
        <v>135880.18969193147</v>
      </c>
      <c r="C110" s="10" t="e">
        <f>IF('PV IN'!$F$4="PV Only",NA(),IF(A110&lt;='Batt IN'!$O$30,SUM(BattCalcs!AX101:BC112),NA()))</f>
        <v>#N/A</v>
      </c>
      <c r="D110" s="10" t="e">
        <f>IF('PV IN'!$F$4="PV Only",NA(),IF(A110&lt;='Batt IN'!$O$30,SUM(BattCalcs!BD101:BD112),NA()))</f>
        <v>#N/A</v>
      </c>
      <c r="E110" s="10" t="e">
        <f>IF('PV IN'!$F$4="PV Only",NA(),IF(A110&lt;='Batt IN'!$O$30,SUM(BattCalcs!BE101:BE112),NA()))</f>
        <v>#N/A</v>
      </c>
      <c r="F110" s="10" t="e">
        <f>IF('PV IN'!$F$4="PV Only",NA(),IF(A110&lt;='Batt IN'!$O$30,SUM(BattCalcs!AS101:AS112),NA()))</f>
        <v>#N/A</v>
      </c>
      <c r="G110" s="10" t="e">
        <f>IF('PV IN'!$F$4="PV Only",NA(),IF(A110&lt;='Batt IN'!$O$30,SUM(BattCalcs!AT101:AT112),NA()))</f>
        <v>#N/A</v>
      </c>
      <c r="H110" s="10" t="e">
        <f>IF('PV IN'!$F$4="PV Only",NA(),IF(A110&lt;='Batt IN'!$O$30,SUM(BattCalcs!AU101:AU112),NA()))</f>
        <v>#N/A</v>
      </c>
      <c r="I110" s="10" t="e">
        <f>IF('PV IN'!$F$4="PV Only",NA(),IF(A110&lt;='Batt IN'!$O$30,SUM(BattCalcs!BF101:BF112),NA()))</f>
        <v>#N/A</v>
      </c>
      <c r="J110" s="10" t="e">
        <f>IF('PV IN'!$F$4="PV Only",NA(),IF(A110&lt;='Batt IN'!$O$30,SUM(BattCalcs!BG101:BG112),NA()))</f>
        <v>#N/A</v>
      </c>
      <c r="K110" s="10">
        <f>IF('PV IN'!$F$4="Battery Only",NA(),IF(A110&lt;='Batt IN'!$O$30,SUM(PVCalcs!Y101:Y112,PVCalcs!Z101:Z112),NA()))</f>
        <v>22233.023796856134</v>
      </c>
      <c r="L110" s="10">
        <f>IF(A110&lt;='Batt IN'!$O$30,IF('PV IN'!$F$4="Battery Only",0,SUM(PVCalcs!W101:W112,PVCalcs!AA101:AA112))+IF('PV IN'!$F$4="PV Only",0,SUM(BattCalcs!AV101:AV112,BattCalcs!BH101:BH112)),NA())</f>
        <v>0</v>
      </c>
      <c r="M110" s="2"/>
      <c r="N110" s="10">
        <f>IF(A110&lt;='Batt IN'!$O$30,IF('PV IN'!$F$4="Battery Only",0,SUM(PVCalcs!AD101:AD112))+IF('PV IN'!$F$4="PV Only",0,SUM(BattCalcs!BU101:BU112)),NA())</f>
        <v>0</v>
      </c>
      <c r="O110" s="10">
        <f>IF(A110&lt;='Batt IN'!$O$30,IF('PV IN'!$F$4="Battery Only",0,SUM(PVCalcs!AE101:AF112))+IF('PV IN'!$F$4="PV Only",0,SUM(BattCalcs!BK101:BL112)),NA())</f>
        <v>0</v>
      </c>
      <c r="P110" s="10">
        <f>IF(A110&lt;='Batt IN'!$O$30,IF('PV IN'!$F$4="Battery Only",0,SUM(PVCalcs!R101:R112)+SUM(PVCalcs!AG101:AG112))+IF('PV IN'!$F$4="PV Only",0,SUM(BattCalcs!AO101:AO112)+SUM(BattCalcs!BM101:BM112)),NA())</f>
        <v>-9000</v>
      </c>
      <c r="Q110" s="10">
        <f>IF(A110&lt;='Batt IN'!$O$30,IF('PV IN'!$F$4="Battery Only",0,SUM(PVCalcs!S101:S112)+SUM(PVCalcs!AH101:AH112))+IF('PV IN'!$F$4="PV Only",0,SUM(BattCalcs!AP101:AP112)+SUM(BattCalcs!BN101:BN112)),NA())</f>
        <v>-7500</v>
      </c>
      <c r="R110" s="10">
        <f>IF(A110&lt;='Batt IN'!$O$30,IF('PV IN'!$F$4="Battery Only",0,SUM(PVCalcs!AI101:AI112))+IF('PV IN'!$F$4="PV Only",0,SUM(BattCalcs!BP101:BT112)+SUM(BattCalcs!BO101:BO112)),NA())</f>
        <v>0</v>
      </c>
      <c r="S110" s="10">
        <f>IF(A110&lt;='Batt IN'!$O$30,IF('PV IN'!$F$4="PV Only",0,SUM(BattCalcs!BV101:BX112)),NA())</f>
        <v>0</v>
      </c>
    </row>
    <row r="111" spans="1:19" hidden="1" x14ac:dyDescent="0.25"/>
    <row r="112" spans="1:19" hidden="1" x14ac:dyDescent="0.25"/>
    <row r="113" spans="1:19" hidden="1" x14ac:dyDescent="0.25"/>
    <row r="114" spans="1:19" hidden="1" x14ac:dyDescent="0.25"/>
    <row r="115" spans="1:19" hidden="1" x14ac:dyDescent="0.25"/>
    <row r="116" spans="1:19" hidden="1" x14ac:dyDescent="0.25"/>
    <row r="117" spans="1:19" hidden="1" x14ac:dyDescent="0.25"/>
    <row r="118" spans="1:19" hidden="1" x14ac:dyDescent="0.25"/>
    <row r="119" spans="1:19" hidden="1" x14ac:dyDescent="0.25"/>
    <row r="120" spans="1:19" hidden="1" x14ac:dyDescent="0.25"/>
    <row r="121" spans="1:19" hidden="1" x14ac:dyDescent="0.25"/>
    <row r="122" spans="1:19" x14ac:dyDescent="0.25">
      <c r="A122">
        <v>10</v>
      </c>
      <c r="B122" s="10">
        <f>IF('PV IN'!$F$4="Battery Only",NA(),IF(A122&lt;='Batt IN'!$O$30,SUM(PVCalcs!U113:U124),NA()))</f>
        <v>135964.43815667994</v>
      </c>
      <c r="C122" s="10" t="e">
        <f>IF('PV IN'!$F$4="PV Only",NA(),IF(A122&lt;='Batt IN'!$O$30,SUM(BattCalcs!AX113:BC124),NA()))</f>
        <v>#N/A</v>
      </c>
      <c r="D122" s="10" t="e">
        <f>IF('PV IN'!$F$4="PV Only",NA(),IF(A122&lt;='Batt IN'!$O$30,SUM(BattCalcs!BD113:BD124),NA()))</f>
        <v>#N/A</v>
      </c>
      <c r="E122" s="10" t="e">
        <f>IF('PV IN'!$F$4="PV Only",NA(),IF(A122&lt;='Batt IN'!$O$30,SUM(BattCalcs!BE113:BE124),NA()))</f>
        <v>#N/A</v>
      </c>
      <c r="F122" s="10" t="e">
        <f>IF('PV IN'!$F$4="PV Only",NA(),IF(A122&lt;='Batt IN'!$O$30,SUM(BattCalcs!AS113:AS124),NA()))</f>
        <v>#N/A</v>
      </c>
      <c r="G122" s="10" t="e">
        <f>IF('PV IN'!$F$4="PV Only",NA(),IF(A122&lt;='Batt IN'!$O$30,SUM(BattCalcs!AT113:AT124),NA()))</f>
        <v>#N/A</v>
      </c>
      <c r="H122" s="10" t="e">
        <f>IF('PV IN'!$F$4="PV Only",NA(),IF(A122&lt;='Batt IN'!$O$30,SUM(BattCalcs!AU113:AU124),NA()))</f>
        <v>#N/A</v>
      </c>
      <c r="I122" s="10" t="e">
        <f>IF('PV IN'!$F$4="PV Only",NA(),IF(A122&lt;='Batt IN'!$O$30,SUM(BattCalcs!BF113:BF124),NA()))</f>
        <v>#N/A</v>
      </c>
      <c r="J122" s="10" t="e">
        <f>IF('PV IN'!$F$4="PV Only",NA(),IF(A122&lt;='Batt IN'!$O$30,SUM(BattCalcs!BG113:BG124),NA()))</f>
        <v>#N/A</v>
      </c>
      <c r="K122" s="10">
        <f>IF('PV IN'!$F$4="Battery Only",NA(),IF(A122&lt;='Batt IN'!$O$30,SUM(PVCalcs!Y113:Y124,PVCalcs!Z113:Z124),NA()))</f>
        <v>22055.810328087118</v>
      </c>
      <c r="L122" s="10">
        <f>IF(A122&lt;='Batt IN'!$O$30,IF('PV IN'!$F$4="Battery Only",0,SUM(PVCalcs!W113:W124,PVCalcs!AA113:AA124))+IF('PV IN'!$F$4="PV Only",0,SUM(BattCalcs!AV113:AV124,BattCalcs!BH113:BH124)),NA())</f>
        <v>0</v>
      </c>
      <c r="M122" s="2"/>
      <c r="N122" s="10">
        <f>IF(A122&lt;='Batt IN'!$O$30,IF('PV IN'!$F$4="Battery Only",0,SUM(PVCalcs!AD113:AD124))+IF('PV IN'!$F$4="PV Only",0,SUM(BattCalcs!BU113:BU124)),NA())</f>
        <v>0</v>
      </c>
      <c r="O122" s="10">
        <f>IF(A122&lt;='Batt IN'!$O$30,IF('PV IN'!$F$4="Battery Only",0,SUM(PVCalcs!AE113:AF124))+IF('PV IN'!$F$4="PV Only",0,SUM(BattCalcs!BK113:BL124)),NA())</f>
        <v>0</v>
      </c>
      <c r="P122" s="10">
        <f>IF(A122&lt;='Batt IN'!$O$30,IF('PV IN'!$F$4="Battery Only",0,SUM(PVCalcs!R113:R124)+SUM(PVCalcs!AG113:AG124))+IF('PV IN'!$F$4="PV Only",0,SUM(BattCalcs!AO113:AO124)+SUM(BattCalcs!BM113:BM124)),NA())</f>
        <v>-9000</v>
      </c>
      <c r="Q122" s="10">
        <f>IF(A122&lt;='Batt IN'!$O$30,IF('PV IN'!$F$4="Battery Only",0,SUM(PVCalcs!S113:S124)+SUM(PVCalcs!AH113:AH124))+IF('PV IN'!$F$4="PV Only",0,SUM(BattCalcs!AP113:AP124)+SUM(BattCalcs!BN113:BN124)),NA())</f>
        <v>-7500</v>
      </c>
      <c r="R122" s="10">
        <f>IF(A122&lt;='Batt IN'!$O$30,IF('PV IN'!$F$4="Battery Only",0,SUM(PVCalcs!AI113:AI124))+IF('PV IN'!$F$4="PV Only",0,SUM(BattCalcs!BP113:BT124)+SUM(BattCalcs!BO113:BO124)),NA())</f>
        <v>0</v>
      </c>
      <c r="S122" s="10">
        <f>IF(A122&lt;='Batt IN'!$O$30,IF('PV IN'!$F$4="PV Only",0,SUM(BattCalcs!BV113:BX124)),NA())</f>
        <v>0</v>
      </c>
    </row>
    <row r="123" spans="1:19" hidden="1" x14ac:dyDescent="0.25"/>
    <row r="124" spans="1:19" hidden="1" x14ac:dyDescent="0.25"/>
    <row r="125" spans="1:19" hidden="1" x14ac:dyDescent="0.25"/>
    <row r="126" spans="1:19" hidden="1" x14ac:dyDescent="0.25"/>
    <row r="127" spans="1:19" hidden="1" x14ac:dyDescent="0.25"/>
    <row r="128" spans="1:19" hidden="1" x14ac:dyDescent="0.25"/>
    <row r="129" spans="1:19" hidden="1" x14ac:dyDescent="0.25"/>
    <row r="130" spans="1:19" hidden="1" x14ac:dyDescent="0.25"/>
    <row r="131" spans="1:19" hidden="1" x14ac:dyDescent="0.25"/>
    <row r="132" spans="1:19" hidden="1" x14ac:dyDescent="0.25"/>
    <row r="133" spans="1:19" hidden="1" x14ac:dyDescent="0.25"/>
    <row r="134" spans="1:19" x14ac:dyDescent="0.25">
      <c r="A134">
        <v>11</v>
      </c>
      <c r="B134" s="10">
        <f>IF('PV IN'!$F$4="Battery Only",NA(),IF(A134&lt;='Batt IN'!$O$30,SUM(PVCalcs!U125:U136),NA()))</f>
        <v>135922.53754181997</v>
      </c>
      <c r="C134" s="10" t="e">
        <f>IF('PV IN'!$F$4="PV Only",NA(),IF(A134&lt;='Batt IN'!$O$30,SUM(BattCalcs!AX125:BC136),NA()))</f>
        <v>#N/A</v>
      </c>
      <c r="D134" s="10" t="e">
        <f>IF('PV IN'!$F$4="PV Only",NA(),IF(A134&lt;='Batt IN'!$O$30,SUM(BattCalcs!BD125:BD136),NA()))</f>
        <v>#N/A</v>
      </c>
      <c r="E134" s="10" t="e">
        <f>IF('PV IN'!$F$4="PV Only",NA(),IF(A134&lt;='Batt IN'!$O$30,SUM(BattCalcs!BE125:BE136),NA()))</f>
        <v>#N/A</v>
      </c>
      <c r="F134" s="10" t="e">
        <f>IF('PV IN'!$F$4="PV Only",NA(),IF(A134&lt;='Batt IN'!$O$30,SUM(BattCalcs!AS125:AS136),NA()))</f>
        <v>#N/A</v>
      </c>
      <c r="G134" s="10" t="e">
        <f>IF('PV IN'!$F$4="PV Only",NA(),IF(A134&lt;='Batt IN'!$O$30,SUM(BattCalcs!AT125:AT136),NA()))</f>
        <v>#N/A</v>
      </c>
      <c r="H134" s="10" t="e">
        <f>IF('PV IN'!$F$4="PV Only",NA(),IF(A134&lt;='Batt IN'!$O$30,SUM(BattCalcs!AU125:AU136),NA()))</f>
        <v>#N/A</v>
      </c>
      <c r="I134" s="10" t="e">
        <f>IF('PV IN'!$F$4="PV Only",NA(),IF(A134&lt;='Batt IN'!$O$30,SUM(BattCalcs!BF125:BF136),NA()))</f>
        <v>#N/A</v>
      </c>
      <c r="J134" s="10" t="e">
        <f>IF('PV IN'!$F$4="PV Only",NA(),IF(A134&lt;='Batt IN'!$O$30,SUM(BattCalcs!BG125:BG136),NA()))</f>
        <v>#N/A</v>
      </c>
      <c r="K134" s="10">
        <f>IF('PV IN'!$F$4="Battery Only",NA(),IF(A134&lt;='Batt IN'!$O$30,SUM(PVCalcs!Y125:Y136,PVCalcs!Z125:Z136),NA()))</f>
        <v>21880.009380340896</v>
      </c>
      <c r="L134" s="10">
        <f>IF(A134&lt;='Batt IN'!$O$30,IF('PV IN'!$F$4="Battery Only",0,SUM(PVCalcs!W125:W136,PVCalcs!AA125:AA136))+IF('PV IN'!$F$4="PV Only",0,SUM(BattCalcs!AV125:AV136,BattCalcs!BH125:BH136)),NA())</f>
        <v>0</v>
      </c>
      <c r="M134" s="2"/>
      <c r="N134" s="10">
        <f>IF(A134&lt;='Batt IN'!$O$30,IF('PV IN'!$F$4="Battery Only",0,SUM(PVCalcs!AD125:AD136))+IF('PV IN'!$F$4="PV Only",0,SUM(BattCalcs!BU125:BU136)),NA())</f>
        <v>0</v>
      </c>
      <c r="O134" s="10">
        <f>IF(A134&lt;='Batt IN'!$O$30,IF('PV IN'!$F$4="Battery Only",0,SUM(PVCalcs!AE125:AF136))+IF('PV IN'!$F$4="PV Only",0,SUM(BattCalcs!BK125:BL136)),NA())</f>
        <v>0</v>
      </c>
      <c r="P134" s="10">
        <f>IF(A134&lt;='Batt IN'!$O$30,IF('PV IN'!$F$4="Battery Only",0,SUM(PVCalcs!R125:R136)+SUM(PVCalcs!AG125:AG136))+IF('PV IN'!$F$4="PV Only",0,SUM(BattCalcs!AO125:AO136)+SUM(BattCalcs!BM125:BM136)),NA())</f>
        <v>-9000</v>
      </c>
      <c r="Q134" s="10">
        <f>IF(A134&lt;='Batt IN'!$O$30,IF('PV IN'!$F$4="Battery Only",0,SUM(PVCalcs!S125:S136)+SUM(PVCalcs!AH125:AH136))+IF('PV IN'!$F$4="PV Only",0,SUM(BattCalcs!AP125:AP136)+SUM(BattCalcs!BN125:BN136)),NA())</f>
        <v>-7500</v>
      </c>
      <c r="R134" s="10">
        <f>IF(A134&lt;='Batt IN'!$O$30,IF('PV IN'!$F$4="Battery Only",0,SUM(PVCalcs!AI125:AI136))+IF('PV IN'!$F$4="PV Only",0,SUM(BattCalcs!BP125:BT136)+SUM(BattCalcs!BO125:BO136)),NA())</f>
        <v>0</v>
      </c>
      <c r="S134" s="10">
        <f>IF(A134&lt;='Batt IN'!$O$30,IF('PV IN'!$F$4="PV Only",0,SUM(BattCalcs!BV125:BX136)),NA())</f>
        <v>0</v>
      </c>
    </row>
    <row r="135" spans="1:19" hidden="1" x14ac:dyDescent="0.25"/>
    <row r="136" spans="1:19" hidden="1" x14ac:dyDescent="0.25"/>
    <row r="137" spans="1:19" hidden="1" x14ac:dyDescent="0.25"/>
    <row r="138" spans="1:19" hidden="1" x14ac:dyDescent="0.25"/>
    <row r="139" spans="1:19" hidden="1" x14ac:dyDescent="0.25"/>
    <row r="140" spans="1:19" hidden="1" x14ac:dyDescent="0.25"/>
    <row r="141" spans="1:19" hidden="1" x14ac:dyDescent="0.25"/>
    <row r="142" spans="1:19" hidden="1" x14ac:dyDescent="0.25"/>
    <row r="143" spans="1:19" hidden="1" x14ac:dyDescent="0.25"/>
    <row r="144" spans="1:19" hidden="1" x14ac:dyDescent="0.25"/>
    <row r="145" spans="1:19" hidden="1" x14ac:dyDescent="0.25"/>
    <row r="146" spans="1:19" x14ac:dyDescent="0.25">
      <c r="A146">
        <v>12</v>
      </c>
      <c r="B146" s="10">
        <f>IF('PV IN'!$F$4="Battery Only",NA(),IF(A146&lt;='Batt IN'!$O$30,SUM(PVCalcs!U137:U148),NA()))</f>
        <v>134171.77763766883</v>
      </c>
      <c r="C146" s="10" t="e">
        <f>IF('PV IN'!$F$4="PV Only",NA(),IF(A146&lt;='Batt IN'!$O$30,SUM(BattCalcs!AX137:BC148),NA()))</f>
        <v>#N/A</v>
      </c>
      <c r="D146" s="10" t="e">
        <f>IF('PV IN'!$F$4="PV Only",NA(),IF(A146&lt;='Batt IN'!$O$30,SUM(BattCalcs!BD137:BD148),NA()))</f>
        <v>#N/A</v>
      </c>
      <c r="E146" s="10" t="e">
        <f>IF('PV IN'!$F$4="PV Only",NA(),IF(A146&lt;='Batt IN'!$O$30,SUM(BattCalcs!BE137:BE148),NA()))</f>
        <v>#N/A</v>
      </c>
      <c r="F146" s="10" t="e">
        <f>IF('PV IN'!$F$4="PV Only",NA(),IF(A146&lt;='Batt IN'!$O$30,SUM(BattCalcs!AS137:AS148),NA()))</f>
        <v>#N/A</v>
      </c>
      <c r="G146" s="10" t="e">
        <f>IF('PV IN'!$F$4="PV Only",NA(),IF(A146&lt;='Batt IN'!$O$30,SUM(BattCalcs!AT137:AT148),NA()))</f>
        <v>#N/A</v>
      </c>
      <c r="H146" s="10" t="e">
        <f>IF('PV IN'!$F$4="PV Only",NA(),IF(A146&lt;='Batt IN'!$O$30,SUM(BattCalcs!AU137:AU148),NA()))</f>
        <v>#N/A</v>
      </c>
      <c r="I146" s="10" t="e">
        <f>IF('PV IN'!$F$4="PV Only",NA(),IF(A146&lt;='Batt IN'!$O$30,SUM(BattCalcs!BF137:BF148),NA()))</f>
        <v>#N/A</v>
      </c>
      <c r="J146" s="10" t="e">
        <f>IF('PV IN'!$F$4="PV Only",NA(),IF(A146&lt;='Batt IN'!$O$30,SUM(BattCalcs!BG137:BG148),NA()))</f>
        <v>#N/A</v>
      </c>
      <c r="K146" s="10">
        <f>IF('PV IN'!$F$4="Battery Only",NA(),IF(A146&lt;='Batt IN'!$O$30,SUM(PVCalcs!Y137:Y148,PVCalcs!Z137:Z148),NA()))</f>
        <v>21705.609694791281</v>
      </c>
      <c r="L146" s="10">
        <f>IF(A146&lt;='Batt IN'!$O$30,IF('PV IN'!$F$4="Battery Only",0,SUM(PVCalcs!W137:W148,PVCalcs!AA137:AA148))+IF('PV IN'!$F$4="PV Only",0,SUM(BattCalcs!AV137:AV148,BattCalcs!BH137:BH148)),NA())</f>
        <v>0</v>
      </c>
      <c r="M146" s="2"/>
      <c r="N146" s="10">
        <f>IF(A146&lt;='Batt IN'!$O$30,IF('PV IN'!$F$4="Battery Only",0,SUM(PVCalcs!AD137:AD148))+IF('PV IN'!$F$4="PV Only",0,SUM(BattCalcs!BU137:BU148)),NA())</f>
        <v>0</v>
      </c>
      <c r="O146" s="10">
        <f>IF(A146&lt;='Batt IN'!$O$30,IF('PV IN'!$F$4="Battery Only",0,SUM(PVCalcs!AE137:AF148))+IF('PV IN'!$F$4="PV Only",0,SUM(BattCalcs!BK137:BL148)),NA())</f>
        <v>0</v>
      </c>
      <c r="P146" s="10">
        <f>IF(A146&lt;='Batt IN'!$O$30,IF('PV IN'!$F$4="Battery Only",0,SUM(PVCalcs!R137:R148)+SUM(PVCalcs!AG137:AG148))+IF('PV IN'!$F$4="PV Only",0,SUM(BattCalcs!AO137:AO148)+SUM(BattCalcs!BM137:BM148)),NA())</f>
        <v>-9000</v>
      </c>
      <c r="Q146" s="10">
        <f>IF(A146&lt;='Batt IN'!$O$30,IF('PV IN'!$F$4="Battery Only",0,SUM(PVCalcs!S137:S148)+SUM(PVCalcs!AH137:AH148))+IF('PV IN'!$F$4="PV Only",0,SUM(BattCalcs!AP137:AP148)+SUM(BattCalcs!BN137:BN148)),NA())</f>
        <v>-7500</v>
      </c>
      <c r="R146" s="10">
        <f>IF(A146&lt;='Batt IN'!$O$30,IF('PV IN'!$F$4="Battery Only",0,SUM(PVCalcs!AI137:AI148))+IF('PV IN'!$F$4="PV Only",0,SUM(BattCalcs!BP137:BT148)+SUM(BattCalcs!BO137:BO148)),NA())</f>
        <v>0</v>
      </c>
      <c r="S146" s="10">
        <f>IF(A146&lt;='Batt IN'!$O$30,IF('PV IN'!$F$4="PV Only",0,SUM(BattCalcs!BV137:BX148)),NA())</f>
        <v>0</v>
      </c>
    </row>
    <row r="147" spans="1:19" hidden="1" x14ac:dyDescent="0.25"/>
    <row r="148" spans="1:19" hidden="1" x14ac:dyDescent="0.25"/>
    <row r="149" spans="1:19" hidden="1" x14ac:dyDescent="0.25"/>
    <row r="150" spans="1:19" hidden="1" x14ac:dyDescent="0.25"/>
    <row r="151" spans="1:19" hidden="1" x14ac:dyDescent="0.25"/>
    <row r="152" spans="1:19" hidden="1" x14ac:dyDescent="0.25"/>
    <row r="153" spans="1:19" hidden="1" x14ac:dyDescent="0.25"/>
    <row r="154" spans="1:19" hidden="1" x14ac:dyDescent="0.25"/>
    <row r="155" spans="1:19" hidden="1" x14ac:dyDescent="0.25"/>
    <row r="156" spans="1:19" hidden="1" x14ac:dyDescent="0.25"/>
    <row r="157" spans="1:19" hidden="1" x14ac:dyDescent="0.25"/>
    <row r="158" spans="1:19" x14ac:dyDescent="0.25">
      <c r="A158">
        <v>13</v>
      </c>
      <c r="B158" s="10">
        <f>IF('PV IN'!$F$4="Battery Only",NA(),IF(A158&lt;='Batt IN'!$O$30,SUM(PVCalcs!U149:U160),NA()))</f>
        <v>133508.31392223004</v>
      </c>
      <c r="C158" s="10" t="e">
        <f>IF('PV IN'!$F$4="PV Only",NA(),IF(A158&lt;='Batt IN'!$O$30,SUM(BattCalcs!AX149:BC160),NA()))</f>
        <v>#N/A</v>
      </c>
      <c r="D158" s="10" t="e">
        <f>IF('PV IN'!$F$4="PV Only",NA(),IF(A158&lt;='Batt IN'!$O$30,SUM(BattCalcs!BD149:BD160),NA()))</f>
        <v>#N/A</v>
      </c>
      <c r="E158" s="10" t="e">
        <f>IF('PV IN'!$F$4="PV Only",NA(),IF(A158&lt;='Batt IN'!$O$30,SUM(BattCalcs!BE149:BE160),NA()))</f>
        <v>#N/A</v>
      </c>
      <c r="F158" s="10" t="e">
        <f>IF('PV IN'!$F$4="PV Only",NA(),IF(A158&lt;='Batt IN'!$O$30,SUM(BattCalcs!AS149:AS160),NA()))</f>
        <v>#N/A</v>
      </c>
      <c r="G158" s="10" t="e">
        <f>IF('PV IN'!$F$4="PV Only",NA(),IF(A158&lt;='Batt IN'!$O$30,SUM(BattCalcs!AT149:AT160),NA()))</f>
        <v>#N/A</v>
      </c>
      <c r="H158" s="10" t="e">
        <f>IF('PV IN'!$F$4="PV Only",NA(),IF(A158&lt;='Batt IN'!$O$30,SUM(BattCalcs!AU149:AU160),NA()))</f>
        <v>#N/A</v>
      </c>
      <c r="I158" s="10" t="e">
        <f>IF('PV IN'!$F$4="PV Only",NA(),IF(A158&lt;='Batt IN'!$O$30,SUM(BattCalcs!BF149:BF160),NA()))</f>
        <v>#N/A</v>
      </c>
      <c r="J158" s="10" t="e">
        <f>IF('PV IN'!$F$4="PV Only",NA(),IF(A158&lt;='Batt IN'!$O$30,SUM(BattCalcs!BG149:BG160),NA()))</f>
        <v>#N/A</v>
      </c>
      <c r="K158" s="10">
        <f>IF('PV IN'!$F$4="Battery Only",NA(),IF(A158&lt;='Batt IN'!$O$30,SUM(PVCalcs!Y149:Y160,PVCalcs!Z149:Z160),NA()))</f>
        <v>21532.600102353197</v>
      </c>
      <c r="L158" s="10">
        <f>IF(A158&lt;='Batt IN'!$O$30,IF('PV IN'!$F$4="Battery Only",0,SUM(PVCalcs!W149:W160,PVCalcs!AA149:AA160))+IF('PV IN'!$F$4="PV Only",0,SUM(BattCalcs!AV149:AV160,BattCalcs!BH149:BH160)),NA())</f>
        <v>0</v>
      </c>
      <c r="M158" s="2"/>
      <c r="N158" s="10">
        <f>IF(A158&lt;='Batt IN'!$O$30,IF('PV IN'!$F$4="Battery Only",0,SUM(PVCalcs!AD149:AD160))+IF('PV IN'!$F$4="PV Only",0,SUM(BattCalcs!BU149:BU160)),NA())</f>
        <v>0</v>
      </c>
      <c r="O158" s="10">
        <f>IF(A158&lt;='Batt IN'!$O$30,IF('PV IN'!$F$4="Battery Only",0,SUM(PVCalcs!AE149:AF160))+IF('PV IN'!$F$4="PV Only",0,SUM(BattCalcs!BK149:BL160)),NA())</f>
        <v>0</v>
      </c>
      <c r="P158" s="10">
        <f>IF(A158&lt;='Batt IN'!$O$30,IF('PV IN'!$F$4="Battery Only",0,SUM(PVCalcs!R149:R160)+SUM(PVCalcs!AG149:AG160))+IF('PV IN'!$F$4="PV Only",0,SUM(BattCalcs!AO149:AO160)+SUM(BattCalcs!BM149:BM160)),NA())</f>
        <v>-9000</v>
      </c>
      <c r="Q158" s="10">
        <f>IF(A158&lt;='Batt IN'!$O$30,IF('PV IN'!$F$4="Battery Only",0,SUM(PVCalcs!S149:S160)+SUM(PVCalcs!AH149:AH160))+IF('PV IN'!$F$4="PV Only",0,SUM(BattCalcs!AP149:AP160)+SUM(BattCalcs!BN149:BN160)),NA())</f>
        <v>-7500</v>
      </c>
      <c r="R158" s="10">
        <f>IF(A158&lt;='Batt IN'!$O$30,IF('PV IN'!$F$4="Battery Only",0,SUM(PVCalcs!AI149:AI160))+IF('PV IN'!$F$4="PV Only",0,SUM(BattCalcs!BP149:BT160)+SUM(BattCalcs!BO149:BO160)),NA())</f>
        <v>0</v>
      </c>
      <c r="S158" s="10">
        <f>IF(A158&lt;='Batt IN'!$O$30,IF('PV IN'!$F$4="PV Only",0,SUM(BattCalcs!BV149:BX160)),NA())</f>
        <v>0</v>
      </c>
    </row>
    <row r="159" spans="1:19" hidden="1" x14ac:dyDescent="0.25"/>
    <row r="160" spans="1:19" hidden="1" x14ac:dyDescent="0.25"/>
    <row r="161" spans="1:19" hidden="1" x14ac:dyDescent="0.25"/>
    <row r="162" spans="1:19" hidden="1" x14ac:dyDescent="0.25"/>
    <row r="163" spans="1:19" hidden="1" x14ac:dyDescent="0.25"/>
    <row r="164" spans="1:19" hidden="1" x14ac:dyDescent="0.25"/>
    <row r="165" spans="1:19" hidden="1" x14ac:dyDescent="0.25"/>
    <row r="166" spans="1:19" hidden="1" x14ac:dyDescent="0.25"/>
    <row r="167" spans="1:19" hidden="1" x14ac:dyDescent="0.25"/>
    <row r="168" spans="1:19" hidden="1" x14ac:dyDescent="0.25"/>
    <row r="169" spans="1:19" hidden="1" x14ac:dyDescent="0.25"/>
    <row r="170" spans="1:19" x14ac:dyDescent="0.25">
      <c r="A170">
        <v>14</v>
      </c>
      <c r="B170" s="10">
        <f>IF('PV IN'!$F$4="Battery Only",NA(),IF(A170&lt;='Batt IN'!$O$30,SUM(PVCalcs!U161:U172),NA()))</f>
        <v>133574.20601110774</v>
      </c>
      <c r="C170" s="10" t="e">
        <f>IF('PV IN'!$F$4="PV Only",NA(),IF(A170&lt;='Batt IN'!$O$30,SUM(BattCalcs!AX161:BC172),NA()))</f>
        <v>#N/A</v>
      </c>
      <c r="D170" s="10" t="e">
        <f>IF('PV IN'!$F$4="PV Only",NA(),IF(A170&lt;='Batt IN'!$O$30,SUM(BattCalcs!BD161:BD172),NA()))</f>
        <v>#N/A</v>
      </c>
      <c r="E170" s="10" t="e">
        <f>IF('PV IN'!$F$4="PV Only",NA(),IF(A170&lt;='Batt IN'!$O$30,SUM(BattCalcs!BE161:BE172),NA()))</f>
        <v>#N/A</v>
      </c>
      <c r="F170" s="10" t="e">
        <f>IF('PV IN'!$F$4="PV Only",NA(),IF(A170&lt;='Batt IN'!$O$30,SUM(BattCalcs!AS161:AS172),NA()))</f>
        <v>#N/A</v>
      </c>
      <c r="G170" s="10" t="e">
        <f>IF('PV IN'!$F$4="PV Only",NA(),IF(A170&lt;='Batt IN'!$O$30,SUM(BattCalcs!AT161:AT172),NA()))</f>
        <v>#N/A</v>
      </c>
      <c r="H170" s="10" t="e">
        <f>IF('PV IN'!$F$4="PV Only",NA(),IF(A170&lt;='Batt IN'!$O$30,SUM(BattCalcs!AU161:AU172),NA()))</f>
        <v>#N/A</v>
      </c>
      <c r="I170" s="10" t="e">
        <f>IF('PV IN'!$F$4="PV Only",NA(),IF(A170&lt;='Batt IN'!$O$30,SUM(BattCalcs!BF161:BF172),NA()))</f>
        <v>#N/A</v>
      </c>
      <c r="J170" s="10" t="e">
        <f>IF('PV IN'!$F$4="PV Only",NA(),IF(A170&lt;='Batt IN'!$O$30,SUM(BattCalcs!BG161:BG172),NA()))</f>
        <v>#N/A</v>
      </c>
      <c r="K170" s="10">
        <f>IF('PV IN'!$F$4="Battery Only",NA(),IF(A170&lt;='Batt IN'!$O$30,SUM(PVCalcs!Y161:Y172,PVCalcs!Z161:Z172),NA()))</f>
        <v>21360.969522967342</v>
      </c>
      <c r="L170" s="10">
        <f>IF(A170&lt;='Batt IN'!$O$30,IF('PV IN'!$F$4="Battery Only",0,SUM(PVCalcs!W161:W172,PVCalcs!AA161:AA172))+IF('PV IN'!$F$4="PV Only",0,SUM(BattCalcs!AV161:AV172,BattCalcs!BH161:BH172)),NA())</f>
        <v>0</v>
      </c>
      <c r="M170" s="2"/>
      <c r="N170" s="10">
        <f>IF(A170&lt;='Batt IN'!$O$30,IF('PV IN'!$F$4="Battery Only",0,SUM(PVCalcs!AD161:AD172))+IF('PV IN'!$F$4="PV Only",0,SUM(BattCalcs!BU161:BU172)),NA())</f>
        <v>0</v>
      </c>
      <c r="O170" s="10">
        <f>IF(A170&lt;='Batt IN'!$O$30,IF('PV IN'!$F$4="Battery Only",0,SUM(PVCalcs!AE161:AF172))+IF('PV IN'!$F$4="PV Only",0,SUM(BattCalcs!BK161:BL172)),NA())</f>
        <v>0</v>
      </c>
      <c r="P170" s="10">
        <f>IF(A170&lt;='Batt IN'!$O$30,IF('PV IN'!$F$4="Battery Only",0,SUM(PVCalcs!R161:R172)+SUM(PVCalcs!AG161:AG172))+IF('PV IN'!$F$4="PV Only",0,SUM(BattCalcs!AO161:AO172)+SUM(BattCalcs!BM161:BM172)),NA())</f>
        <v>-9000</v>
      </c>
      <c r="Q170" s="10">
        <f>IF(A170&lt;='Batt IN'!$O$30,IF('PV IN'!$F$4="Battery Only",0,SUM(PVCalcs!S161:S172)+SUM(PVCalcs!AH161:AH172))+IF('PV IN'!$F$4="PV Only",0,SUM(BattCalcs!AP161:AP172)+SUM(BattCalcs!BN161:BN172)),NA())</f>
        <v>-7500</v>
      </c>
      <c r="R170" s="10">
        <f>IF(A170&lt;='Batt IN'!$O$30,IF('PV IN'!$F$4="Battery Only",0,SUM(PVCalcs!AI161:AI172))+IF('PV IN'!$F$4="PV Only",0,SUM(BattCalcs!BP161:BT172)+SUM(BattCalcs!BO161:BO172)),NA())</f>
        <v>0</v>
      </c>
      <c r="S170" s="10">
        <f>IF(A170&lt;='Batt IN'!$O$30,IF('PV IN'!$F$4="PV Only",0,SUM(BattCalcs!BV161:BX172)),NA())</f>
        <v>0</v>
      </c>
    </row>
    <row r="171" spans="1:19" hidden="1" x14ac:dyDescent="0.25"/>
    <row r="172" spans="1:19" hidden="1" x14ac:dyDescent="0.25"/>
    <row r="173" spans="1:19" hidden="1" x14ac:dyDescent="0.25"/>
    <row r="174" spans="1:19" hidden="1" x14ac:dyDescent="0.25"/>
    <row r="175" spans="1:19" hidden="1" x14ac:dyDescent="0.25"/>
    <row r="176" spans="1:19" hidden="1" x14ac:dyDescent="0.25"/>
    <row r="177" spans="1:19" hidden="1" x14ac:dyDescent="0.25"/>
    <row r="178" spans="1:19" hidden="1" x14ac:dyDescent="0.25"/>
    <row r="179" spans="1:19" hidden="1" x14ac:dyDescent="0.25"/>
    <row r="180" spans="1:19" hidden="1" x14ac:dyDescent="0.25"/>
    <row r="181" spans="1:19" hidden="1" x14ac:dyDescent="0.25"/>
    <row r="182" spans="1:19" x14ac:dyDescent="0.25">
      <c r="A182">
        <v>15</v>
      </c>
      <c r="B182" s="10">
        <f>IF('PV IN'!$F$4="Battery Only",NA(),IF(A182&lt;='Batt IN'!$O$30,SUM(PVCalcs!U173:U184),NA()))</f>
        <v>132867.88872909275</v>
      </c>
      <c r="C182" s="10" t="e">
        <f>IF('PV IN'!$F$4="PV Only",NA(),IF(A182&lt;='Batt IN'!$O$30,SUM(BattCalcs!AX173:BC184),NA()))</f>
        <v>#N/A</v>
      </c>
      <c r="D182" s="10" t="e">
        <f>IF('PV IN'!$F$4="PV Only",NA(),IF(A182&lt;='Batt IN'!$O$30,SUM(BattCalcs!BD173:BD184),NA()))</f>
        <v>#N/A</v>
      </c>
      <c r="E182" s="10" t="e">
        <f>IF('PV IN'!$F$4="PV Only",NA(),IF(A182&lt;='Batt IN'!$O$30,SUM(BattCalcs!BE173:BE184),NA()))</f>
        <v>#N/A</v>
      </c>
      <c r="F182" s="10" t="e">
        <f>IF('PV IN'!$F$4="PV Only",NA(),IF(A182&lt;='Batt IN'!$O$30,SUM(BattCalcs!AS173:AS184),NA()))</f>
        <v>#N/A</v>
      </c>
      <c r="G182" s="10" t="e">
        <f>IF('PV IN'!$F$4="PV Only",NA(),IF(A182&lt;='Batt IN'!$O$30,SUM(BattCalcs!AT173:AT184),NA()))</f>
        <v>#N/A</v>
      </c>
      <c r="H182" s="10" t="e">
        <f>IF('PV IN'!$F$4="PV Only",NA(),IF(A182&lt;='Batt IN'!$O$30,SUM(BattCalcs!AU173:AU184),NA()))</f>
        <v>#N/A</v>
      </c>
      <c r="I182" s="10" t="e">
        <f>IF('PV IN'!$F$4="PV Only",NA(),IF(A182&lt;='Batt IN'!$O$30,SUM(BattCalcs!BF173:BF184),NA()))</f>
        <v>#N/A</v>
      </c>
      <c r="J182" s="10" t="e">
        <f>IF('PV IN'!$F$4="PV Only",NA(),IF(A182&lt;='Batt IN'!$O$30,SUM(BattCalcs!BG173:BG184),NA()))</f>
        <v>#N/A</v>
      </c>
      <c r="K182" s="10">
        <f>IF('PV IN'!$F$4="Battery Only",NA(),IF(A182&lt;='Batt IN'!$O$30,SUM(PVCalcs!Y173:Y184,PVCalcs!Z173:Z184),NA()))</f>
        <v>21190.706964890582</v>
      </c>
      <c r="L182" s="10">
        <f>IF(A182&lt;='Batt IN'!$O$30,IF('PV IN'!$F$4="Battery Only",0,SUM(PVCalcs!W173:W184,PVCalcs!AA173:AA184))+IF('PV IN'!$F$4="PV Only",0,SUM(BattCalcs!AV173:AV184,BattCalcs!BH173:BH184)),NA())</f>
        <v>0</v>
      </c>
      <c r="M182" s="2"/>
      <c r="N182" s="10">
        <f>IF(A182&lt;='Batt IN'!$O$30,IF('PV IN'!$F$4="Battery Only",0,SUM(PVCalcs!AD173:AD184))+IF('PV IN'!$F$4="PV Only",0,SUM(BattCalcs!BU173:BU184)),NA())</f>
        <v>0</v>
      </c>
      <c r="O182" s="10">
        <f>IF(A182&lt;='Batt IN'!$O$30,IF('PV IN'!$F$4="Battery Only",0,SUM(PVCalcs!AE173:AF184))+IF('PV IN'!$F$4="PV Only",0,SUM(BattCalcs!BK173:BL184)),NA())</f>
        <v>0</v>
      </c>
      <c r="P182" s="10">
        <f>IF(A182&lt;='Batt IN'!$O$30,IF('PV IN'!$F$4="Battery Only",0,SUM(PVCalcs!R173:R184)+SUM(PVCalcs!AG173:AG184))+IF('PV IN'!$F$4="PV Only",0,SUM(BattCalcs!AO173:AO184)+SUM(BattCalcs!BM173:BM184)),NA())</f>
        <v>-9000</v>
      </c>
      <c r="Q182" s="10">
        <f>IF(A182&lt;='Batt IN'!$O$30,IF('PV IN'!$F$4="Battery Only",0,SUM(PVCalcs!S173:S184)+SUM(PVCalcs!AH173:AH184))+IF('PV IN'!$F$4="PV Only",0,SUM(BattCalcs!AP173:AP184)+SUM(BattCalcs!BN173:BN184)),NA())</f>
        <v>-7500</v>
      </c>
      <c r="R182" s="10">
        <f>IF(A182&lt;='Batt IN'!$O$30,IF('PV IN'!$F$4="Battery Only",0,SUM(PVCalcs!AI173:AI184))+IF('PV IN'!$F$4="PV Only",0,SUM(BattCalcs!BP173:BT184)+SUM(BattCalcs!BO173:BO184)),NA())</f>
        <v>-225000</v>
      </c>
      <c r="S182" s="10">
        <f>IF(A182&lt;='Batt IN'!$O$30,IF('PV IN'!$F$4="PV Only",0,SUM(BattCalcs!BV173:BX184)),NA())</f>
        <v>0</v>
      </c>
    </row>
    <row r="183" spans="1:19" hidden="1" x14ac:dyDescent="0.25"/>
    <row r="184" spans="1:19" hidden="1" x14ac:dyDescent="0.25"/>
    <row r="185" spans="1:19" hidden="1" x14ac:dyDescent="0.25"/>
    <row r="186" spans="1:19" hidden="1" x14ac:dyDescent="0.25"/>
    <row r="187" spans="1:19" hidden="1" x14ac:dyDescent="0.25"/>
    <row r="188" spans="1:19" hidden="1" x14ac:dyDescent="0.25"/>
    <row r="189" spans="1:19" hidden="1" x14ac:dyDescent="0.25"/>
    <row r="190" spans="1:19" hidden="1" x14ac:dyDescent="0.25"/>
    <row r="191" spans="1:19" hidden="1" x14ac:dyDescent="0.25"/>
    <row r="192" spans="1:19" hidden="1" x14ac:dyDescent="0.25"/>
    <row r="193" spans="1:19" hidden="1" x14ac:dyDescent="0.25"/>
    <row r="194" spans="1:19" x14ac:dyDescent="0.25">
      <c r="A194">
        <v>16</v>
      </c>
      <c r="B194" s="10">
        <f>IF('PV IN'!$F$4="Battery Only",NA(),IF(A194&lt;='Batt IN'!$O$30,SUM(PVCalcs!U185:U196),NA()))</f>
        <v>132230.45629596664</v>
      </c>
      <c r="C194" s="10" t="e">
        <f>IF('PV IN'!$F$4="PV Only",NA(),IF(A194&lt;='Batt IN'!$O$30,SUM(BattCalcs!AX185:BC196),NA()))</f>
        <v>#N/A</v>
      </c>
      <c r="D194" s="10" t="e">
        <f>IF('PV IN'!$F$4="PV Only",NA(),IF(A194&lt;='Batt IN'!$O$30,SUM(BattCalcs!BD185:BD196),NA()))</f>
        <v>#N/A</v>
      </c>
      <c r="E194" s="10" t="e">
        <f>IF('PV IN'!$F$4="PV Only",NA(),IF(A194&lt;='Batt IN'!$O$30,SUM(BattCalcs!BE185:BE196),NA()))</f>
        <v>#N/A</v>
      </c>
      <c r="F194" s="10" t="e">
        <f>IF('PV IN'!$F$4="PV Only",NA(),IF(A194&lt;='Batt IN'!$O$30,SUM(BattCalcs!AS185:AS196),NA()))</f>
        <v>#N/A</v>
      </c>
      <c r="G194" s="10" t="e">
        <f>IF('PV IN'!$F$4="PV Only",NA(),IF(A194&lt;='Batt IN'!$O$30,SUM(BattCalcs!AT185:AT196),NA()))</f>
        <v>#N/A</v>
      </c>
      <c r="H194" s="10" t="e">
        <f>IF('PV IN'!$F$4="PV Only",NA(),IF(A194&lt;='Batt IN'!$O$30,SUM(BattCalcs!AU185:AU196),NA()))</f>
        <v>#N/A</v>
      </c>
      <c r="I194" s="10" t="e">
        <f>IF('PV IN'!$F$4="PV Only",NA(),IF(A194&lt;='Batt IN'!$O$30,SUM(BattCalcs!BF185:BF196),NA()))</f>
        <v>#N/A</v>
      </c>
      <c r="J194" s="10" t="e">
        <f>IF('PV IN'!$F$4="PV Only",NA(),IF(A194&lt;='Batt IN'!$O$30,SUM(BattCalcs!BG185:BG196),NA()))</f>
        <v>#N/A</v>
      </c>
      <c r="K194" s="10">
        <f>IF('PV IN'!$F$4="Battery Only",NA(),IF(A194&lt;='Batt IN'!$O$30,SUM(PVCalcs!Y185:Y196,PVCalcs!Z185:Z196),NA()))</f>
        <v>0</v>
      </c>
      <c r="L194" s="10">
        <f>IF(A194&lt;='Batt IN'!$O$30,IF('PV IN'!$F$4="Battery Only",0,SUM(PVCalcs!W185:W196,PVCalcs!AA185:AA196))+IF('PV IN'!$F$4="PV Only",0,SUM(BattCalcs!AV185:AV196,BattCalcs!BH185:BH196)),NA())</f>
        <v>0</v>
      </c>
      <c r="M194" s="2"/>
      <c r="N194" s="10">
        <f>IF(A194&lt;='Batt IN'!$O$30,IF('PV IN'!$F$4="Battery Only",0,SUM(PVCalcs!AD185:AD196))+IF('PV IN'!$F$4="PV Only",0,SUM(BattCalcs!BU185:BU196)),NA())</f>
        <v>0</v>
      </c>
      <c r="O194" s="10">
        <f>IF(A194&lt;='Batt IN'!$O$30,IF('PV IN'!$F$4="Battery Only",0,SUM(PVCalcs!AE185:AF196))+IF('PV IN'!$F$4="PV Only",0,SUM(BattCalcs!BK185:BL196)),NA())</f>
        <v>0</v>
      </c>
      <c r="P194" s="10">
        <f>IF(A194&lt;='Batt IN'!$O$30,IF('PV IN'!$F$4="Battery Only",0,SUM(PVCalcs!R185:R196)+SUM(PVCalcs!AG185:AG196))+IF('PV IN'!$F$4="PV Only",0,SUM(BattCalcs!AO185:AO196)+SUM(BattCalcs!BM185:BM196)),NA())</f>
        <v>-9000</v>
      </c>
      <c r="Q194" s="10">
        <f>IF(A194&lt;='Batt IN'!$O$30,IF('PV IN'!$F$4="Battery Only",0,SUM(PVCalcs!S185:S196)+SUM(PVCalcs!AH185:AH196))+IF('PV IN'!$F$4="PV Only",0,SUM(BattCalcs!AP185:AP196)+SUM(BattCalcs!BN185:BN196)),NA())</f>
        <v>-7500</v>
      </c>
      <c r="R194" s="10">
        <f>IF(A194&lt;='Batt IN'!$O$30,IF('PV IN'!$F$4="Battery Only",0,SUM(PVCalcs!AI185:AI196))+IF('PV IN'!$F$4="PV Only",0,SUM(BattCalcs!BP185:BT196)+SUM(BattCalcs!BO185:BO196)),NA())</f>
        <v>0</v>
      </c>
      <c r="S194" s="10">
        <f>IF(A194&lt;='Batt IN'!$O$30,IF('PV IN'!$F$4="PV Only",0,SUM(BattCalcs!BV185:BX196)),NA())</f>
        <v>0</v>
      </c>
    </row>
    <row r="195" spans="1:19" hidden="1" x14ac:dyDescent="0.25"/>
    <row r="196" spans="1:19" hidden="1" x14ac:dyDescent="0.25"/>
    <row r="197" spans="1:19" hidden="1" x14ac:dyDescent="0.25"/>
    <row r="198" spans="1:19" hidden="1" x14ac:dyDescent="0.25"/>
    <row r="199" spans="1:19" hidden="1" x14ac:dyDescent="0.25"/>
    <row r="200" spans="1:19" hidden="1" x14ac:dyDescent="0.25"/>
    <row r="201" spans="1:19" hidden="1" x14ac:dyDescent="0.25"/>
    <row r="202" spans="1:19" hidden="1" x14ac:dyDescent="0.25"/>
    <row r="203" spans="1:19" hidden="1" x14ac:dyDescent="0.25"/>
    <row r="204" spans="1:19" hidden="1" x14ac:dyDescent="0.25"/>
    <row r="205" spans="1:19" hidden="1" x14ac:dyDescent="0.25"/>
    <row r="206" spans="1:19" x14ac:dyDescent="0.25">
      <c r="A206">
        <v>17</v>
      </c>
      <c r="B206" s="10">
        <f>IF('PV IN'!$F$4="Battery Only",NA(),IF(A206&lt;='Batt IN'!$O$30,SUM(PVCalcs!U197:U208),NA()))</f>
        <v>131757.34088813225</v>
      </c>
      <c r="C206" s="10" t="e">
        <f>IF('PV IN'!$F$4="PV Only",NA(),IF(A206&lt;='Batt IN'!$O$30,SUM(BattCalcs!AX197:BC208),NA()))</f>
        <v>#N/A</v>
      </c>
      <c r="D206" s="10" t="e">
        <f>IF('PV IN'!$F$4="PV Only",NA(),IF(A206&lt;='Batt IN'!$O$30,SUM(BattCalcs!BD197:BD208),NA()))</f>
        <v>#N/A</v>
      </c>
      <c r="E206" s="10" t="e">
        <f>IF('PV IN'!$F$4="PV Only",NA(),IF(A206&lt;='Batt IN'!$O$30,SUM(BattCalcs!BE197:BE208),NA()))</f>
        <v>#N/A</v>
      </c>
      <c r="F206" s="10" t="e">
        <f>IF('PV IN'!$F$4="PV Only",NA(),IF(A206&lt;='Batt IN'!$O$30,SUM(BattCalcs!AS197:AS208),NA()))</f>
        <v>#N/A</v>
      </c>
      <c r="G206" s="10" t="e">
        <f>IF('PV IN'!$F$4="PV Only",NA(),IF(A206&lt;='Batt IN'!$O$30,SUM(BattCalcs!AT197:AT208),NA()))</f>
        <v>#N/A</v>
      </c>
      <c r="H206" s="10" t="e">
        <f>IF('PV IN'!$F$4="PV Only",NA(),IF(A206&lt;='Batt IN'!$O$30,SUM(BattCalcs!AU197:AU208),NA()))</f>
        <v>#N/A</v>
      </c>
      <c r="I206" s="10" t="e">
        <f>IF('PV IN'!$F$4="PV Only",NA(),IF(A206&lt;='Batt IN'!$O$30,SUM(BattCalcs!BF197:BF208),NA()))</f>
        <v>#N/A</v>
      </c>
      <c r="J206" s="10" t="e">
        <f>IF('PV IN'!$F$4="PV Only",NA(),IF(A206&lt;='Batt IN'!$O$30,SUM(BattCalcs!BG197:BG208),NA()))</f>
        <v>#N/A</v>
      </c>
      <c r="K206" s="10">
        <f>IF('PV IN'!$F$4="Battery Only",NA(),IF(A206&lt;='Batt IN'!$O$30,SUM(PVCalcs!Y197:Y208,PVCalcs!Z197:Z208),NA()))</f>
        <v>0</v>
      </c>
      <c r="L206" s="10">
        <f>IF(A206&lt;='Batt IN'!$O$30,IF('PV IN'!$F$4="Battery Only",0,SUM(PVCalcs!W197:W208,PVCalcs!AA197:AA208))+IF('PV IN'!$F$4="PV Only",0,SUM(BattCalcs!AV197:AV208,BattCalcs!BH197:BH208)),NA())</f>
        <v>0</v>
      </c>
      <c r="M206" s="2"/>
      <c r="N206" s="10">
        <f>IF(A206&lt;='Batt IN'!$O$30,IF('PV IN'!$F$4="Battery Only",0,SUM(PVCalcs!AD197:AD208))+IF('PV IN'!$F$4="PV Only",0,SUM(BattCalcs!BU197:BU208)),NA())</f>
        <v>0</v>
      </c>
      <c r="O206" s="10">
        <f>IF(A206&lt;='Batt IN'!$O$30,IF('PV IN'!$F$4="Battery Only",0,SUM(PVCalcs!AE197:AF208))+IF('PV IN'!$F$4="PV Only",0,SUM(BattCalcs!BK197:BL208)),NA())</f>
        <v>0</v>
      </c>
      <c r="P206" s="10">
        <f>IF(A206&lt;='Batt IN'!$O$30,IF('PV IN'!$F$4="Battery Only",0,SUM(PVCalcs!R197:R208)+SUM(PVCalcs!AG197:AG208))+IF('PV IN'!$F$4="PV Only",0,SUM(BattCalcs!AO197:AO208)+SUM(BattCalcs!BM197:BM208)),NA())</f>
        <v>-9000</v>
      </c>
      <c r="Q206" s="10">
        <f>IF(A206&lt;='Batt IN'!$O$30,IF('PV IN'!$F$4="Battery Only",0,SUM(PVCalcs!S197:S208)+SUM(PVCalcs!AH197:AH208))+IF('PV IN'!$F$4="PV Only",0,SUM(BattCalcs!AP197:AP208)+SUM(BattCalcs!BN197:BN208)),NA())</f>
        <v>-7500</v>
      </c>
      <c r="R206" s="10">
        <f>IF(A206&lt;='Batt IN'!$O$30,IF('PV IN'!$F$4="Battery Only",0,SUM(PVCalcs!AI197:AI208))+IF('PV IN'!$F$4="PV Only",0,SUM(BattCalcs!BP197:BT208)+SUM(BattCalcs!BO197:BO208)),NA())</f>
        <v>0</v>
      </c>
      <c r="S206" s="10">
        <f>IF(A206&lt;='Batt IN'!$O$30,IF('PV IN'!$F$4="PV Only",0,SUM(BattCalcs!BV197:BX208)),NA())</f>
        <v>0</v>
      </c>
    </row>
    <row r="207" spans="1:19" hidden="1" x14ac:dyDescent="0.25"/>
    <row r="208" spans="1:19" hidden="1" x14ac:dyDescent="0.25"/>
    <row r="209" spans="1:19" hidden="1" x14ac:dyDescent="0.25"/>
    <row r="210" spans="1:19" hidden="1" x14ac:dyDescent="0.25"/>
    <row r="211" spans="1:19" hidden="1" x14ac:dyDescent="0.25"/>
    <row r="212" spans="1:19" hidden="1" x14ac:dyDescent="0.25"/>
    <row r="213" spans="1:19" hidden="1" x14ac:dyDescent="0.25"/>
    <row r="214" spans="1:19" hidden="1" x14ac:dyDescent="0.25"/>
    <row r="215" spans="1:19" hidden="1" x14ac:dyDescent="0.25"/>
    <row r="216" spans="1:19" hidden="1" x14ac:dyDescent="0.25"/>
    <row r="217" spans="1:19" hidden="1" x14ac:dyDescent="0.25"/>
    <row r="218" spans="1:19" x14ac:dyDescent="0.25">
      <c r="A218">
        <v>18</v>
      </c>
      <c r="B218" s="10">
        <f>IF('PV IN'!$F$4="Battery Only",NA(),IF(A218&lt;='Batt IN'!$O$30,SUM(PVCalcs!U209:U220),NA()))</f>
        <v>132639.78453255908</v>
      </c>
      <c r="C218" s="10" t="e">
        <f>IF('PV IN'!$F$4="PV Only",NA(),IF(A218&lt;='Batt IN'!$O$30,SUM(BattCalcs!AX209:BC220),NA()))</f>
        <v>#N/A</v>
      </c>
      <c r="D218" s="10" t="e">
        <f>IF('PV IN'!$F$4="PV Only",NA(),IF(A218&lt;='Batt IN'!$O$30,SUM(BattCalcs!BD209:BD220),NA()))</f>
        <v>#N/A</v>
      </c>
      <c r="E218" s="10" t="e">
        <f>IF('PV IN'!$F$4="PV Only",NA(),IF(A218&lt;='Batt IN'!$O$30,SUM(BattCalcs!BE209:BE220),NA()))</f>
        <v>#N/A</v>
      </c>
      <c r="F218" s="10" t="e">
        <f>IF('PV IN'!$F$4="PV Only",NA(),IF(A218&lt;='Batt IN'!$O$30,SUM(BattCalcs!AS209:AS220),NA()))</f>
        <v>#N/A</v>
      </c>
      <c r="G218" s="10" t="e">
        <f>IF('PV IN'!$F$4="PV Only",NA(),IF(A218&lt;='Batt IN'!$O$30,SUM(BattCalcs!AT209:AT220),NA()))</f>
        <v>#N/A</v>
      </c>
      <c r="H218" s="10" t="e">
        <f>IF('PV IN'!$F$4="PV Only",NA(),IF(A218&lt;='Batt IN'!$O$30,SUM(BattCalcs!AU209:AU220),NA()))</f>
        <v>#N/A</v>
      </c>
      <c r="I218" s="10" t="e">
        <f>IF('PV IN'!$F$4="PV Only",NA(),IF(A218&lt;='Batt IN'!$O$30,SUM(BattCalcs!BF209:BF220),NA()))</f>
        <v>#N/A</v>
      </c>
      <c r="J218" s="10" t="e">
        <f>IF('PV IN'!$F$4="PV Only",NA(),IF(A218&lt;='Batt IN'!$O$30,SUM(BattCalcs!BG209:BG220),NA()))</f>
        <v>#N/A</v>
      </c>
      <c r="K218" s="10">
        <f>IF('PV IN'!$F$4="Battery Only",NA(),IF(A218&lt;='Batt IN'!$O$30,SUM(PVCalcs!Y209:Y220,PVCalcs!Z209:Z220),NA()))</f>
        <v>0</v>
      </c>
      <c r="L218" s="10">
        <f>IF(A218&lt;='Batt IN'!$O$30,IF('PV IN'!$F$4="Battery Only",0,SUM(PVCalcs!W209:W220,PVCalcs!AA209:AA220))+IF('PV IN'!$F$4="PV Only",0,SUM(BattCalcs!AV209:AV220,BattCalcs!BH209:BH220)),NA())</f>
        <v>0</v>
      </c>
      <c r="M218" s="2"/>
      <c r="N218" s="10">
        <f>IF(A218&lt;='Batt IN'!$O$30,IF('PV IN'!$F$4="Battery Only",0,SUM(PVCalcs!AD209:AD220))+IF('PV IN'!$F$4="PV Only",0,SUM(BattCalcs!BU209:BU220)),NA())</f>
        <v>0</v>
      </c>
      <c r="O218" s="10">
        <f>IF(A218&lt;='Batt IN'!$O$30,IF('PV IN'!$F$4="Battery Only",0,SUM(PVCalcs!AE209:AF220))+IF('PV IN'!$F$4="PV Only",0,SUM(BattCalcs!BK209:BL220)),NA())</f>
        <v>0</v>
      </c>
      <c r="P218" s="10">
        <f>IF(A218&lt;='Batt IN'!$O$30,IF('PV IN'!$F$4="Battery Only",0,SUM(PVCalcs!R209:R220)+SUM(PVCalcs!AG209:AG220))+IF('PV IN'!$F$4="PV Only",0,SUM(BattCalcs!AO209:AO220)+SUM(BattCalcs!BM209:BM220)),NA())</f>
        <v>-9000</v>
      </c>
      <c r="Q218" s="10">
        <f>IF(A218&lt;='Batt IN'!$O$30,IF('PV IN'!$F$4="Battery Only",0,SUM(PVCalcs!S209:S220)+SUM(PVCalcs!AH209:AH220))+IF('PV IN'!$F$4="PV Only",0,SUM(BattCalcs!AP209:AP220)+SUM(BattCalcs!BN209:BN220)),NA())</f>
        <v>-7500</v>
      </c>
      <c r="R218" s="10">
        <f>IF(A218&lt;='Batt IN'!$O$30,IF('PV IN'!$F$4="Battery Only",0,SUM(PVCalcs!AI209:AI220))+IF('PV IN'!$F$4="PV Only",0,SUM(BattCalcs!BP209:BT220)+SUM(BattCalcs!BO209:BO220)),NA())</f>
        <v>0</v>
      </c>
      <c r="S218" s="10">
        <f>IF(A218&lt;='Batt IN'!$O$30,IF('PV IN'!$F$4="PV Only",0,SUM(BattCalcs!BV209:BX220)),NA())</f>
        <v>0</v>
      </c>
    </row>
    <row r="219" spans="1:19" hidden="1" x14ac:dyDescent="0.25"/>
    <row r="220" spans="1:19" hidden="1" x14ac:dyDescent="0.25"/>
    <row r="221" spans="1:19" hidden="1" x14ac:dyDescent="0.25"/>
    <row r="222" spans="1:19" hidden="1" x14ac:dyDescent="0.25"/>
    <row r="223" spans="1:19" hidden="1" x14ac:dyDescent="0.25"/>
    <row r="224" spans="1:19" hidden="1" x14ac:dyDescent="0.25"/>
    <row r="225" spans="1:19" hidden="1" x14ac:dyDescent="0.25"/>
    <row r="226" spans="1:19" hidden="1" x14ac:dyDescent="0.25"/>
    <row r="227" spans="1:19" hidden="1" x14ac:dyDescent="0.25"/>
    <row r="228" spans="1:19" hidden="1" x14ac:dyDescent="0.25"/>
    <row r="229" spans="1:19" hidden="1" x14ac:dyDescent="0.25"/>
    <row r="230" spans="1:19" x14ac:dyDescent="0.25">
      <c r="A230">
        <v>19</v>
      </c>
      <c r="B230" s="10">
        <f>IF('PV IN'!$F$4="Battery Only",NA(),IF(A230&lt;='Batt IN'!$O$30,SUM(PVCalcs!U221:U232),NA()))</f>
        <v>132010.42060763796</v>
      </c>
      <c r="C230" s="10" t="e">
        <f>IF('PV IN'!$F$4="PV Only",NA(),IF(A230&lt;='Batt IN'!$O$30,SUM(BattCalcs!AX221:BC232),NA()))</f>
        <v>#N/A</v>
      </c>
      <c r="D230" s="10" t="e">
        <f>IF('PV IN'!$F$4="PV Only",NA(),IF(A230&lt;='Batt IN'!$O$30,SUM(BattCalcs!BD221:BD232),NA()))</f>
        <v>#N/A</v>
      </c>
      <c r="E230" s="10" t="e">
        <f>IF('PV IN'!$F$4="PV Only",NA(),IF(A230&lt;='Batt IN'!$O$30,SUM(BattCalcs!BE221:BE232),NA()))</f>
        <v>#N/A</v>
      </c>
      <c r="F230" s="10" t="e">
        <f>IF('PV IN'!$F$4="PV Only",NA(),IF(A230&lt;='Batt IN'!$O$30,SUM(BattCalcs!AS221:AS232),NA()))</f>
        <v>#N/A</v>
      </c>
      <c r="G230" s="10" t="e">
        <f>IF('PV IN'!$F$4="PV Only",NA(),IF(A230&lt;='Batt IN'!$O$30,SUM(BattCalcs!AT221:AT232),NA()))</f>
        <v>#N/A</v>
      </c>
      <c r="H230" s="10" t="e">
        <f>IF('PV IN'!$F$4="PV Only",NA(),IF(A230&lt;='Batt IN'!$O$30,SUM(BattCalcs!AU221:AU232),NA()))</f>
        <v>#N/A</v>
      </c>
      <c r="I230" s="10" t="e">
        <f>IF('PV IN'!$F$4="PV Only",NA(),IF(A230&lt;='Batt IN'!$O$30,SUM(BattCalcs!BF221:BF232),NA()))</f>
        <v>#N/A</v>
      </c>
      <c r="J230" s="10" t="e">
        <f>IF('PV IN'!$F$4="PV Only",NA(),IF(A230&lt;='Batt IN'!$O$30,SUM(BattCalcs!BG221:BG232),NA()))</f>
        <v>#N/A</v>
      </c>
      <c r="K230" s="10">
        <f>IF('PV IN'!$F$4="Battery Only",NA(),IF(A230&lt;='Batt IN'!$O$30,SUM(PVCalcs!Y221:Y232,PVCalcs!Z221:Z232),NA()))</f>
        <v>0</v>
      </c>
      <c r="L230" s="10">
        <f>IF(A230&lt;='Batt IN'!$O$30,IF('PV IN'!$F$4="Battery Only",0,SUM(PVCalcs!W221:W232,PVCalcs!AA221:AA232))+IF('PV IN'!$F$4="PV Only",0,SUM(BattCalcs!AV221:AV232,BattCalcs!BH221:BH232)),NA())</f>
        <v>0</v>
      </c>
      <c r="M230" s="2"/>
      <c r="N230" s="10">
        <f>IF(A230&lt;='Batt IN'!$O$30,IF('PV IN'!$F$4="Battery Only",0,SUM(PVCalcs!AD221:AD232))+IF('PV IN'!$F$4="PV Only",0,SUM(BattCalcs!BU221:BU232)),NA())</f>
        <v>0</v>
      </c>
      <c r="O230" s="10">
        <f>IF(A230&lt;='Batt IN'!$O$30,IF('PV IN'!$F$4="Battery Only",0,SUM(PVCalcs!AE221:AF232))+IF('PV IN'!$F$4="PV Only",0,SUM(BattCalcs!BK221:BL232)),NA())</f>
        <v>0</v>
      </c>
      <c r="P230" s="10">
        <f>IF(A230&lt;='Batt IN'!$O$30,IF('PV IN'!$F$4="Battery Only",0,SUM(PVCalcs!R221:R232)+SUM(PVCalcs!AG221:AG232))+IF('PV IN'!$F$4="PV Only",0,SUM(BattCalcs!AO221:AO232)+SUM(BattCalcs!BM221:BM232)),NA())</f>
        <v>-9000</v>
      </c>
      <c r="Q230" s="10">
        <f>IF(A230&lt;='Batt IN'!$O$30,IF('PV IN'!$F$4="Battery Only",0,SUM(PVCalcs!S221:S232)+SUM(PVCalcs!AH221:AH232))+IF('PV IN'!$F$4="PV Only",0,SUM(BattCalcs!AP221:AP232)+SUM(BattCalcs!BN221:BN232)),NA())</f>
        <v>-7500</v>
      </c>
      <c r="R230" s="10">
        <f>IF(A230&lt;='Batt IN'!$O$30,IF('PV IN'!$F$4="Battery Only",0,SUM(PVCalcs!AI221:AI232))+IF('PV IN'!$F$4="PV Only",0,SUM(BattCalcs!BP221:BT232)+SUM(BattCalcs!BO221:BO232)),NA())</f>
        <v>0</v>
      </c>
      <c r="S230" s="10">
        <f>IF(A230&lt;='Batt IN'!$O$30,IF('PV IN'!$F$4="PV Only",0,SUM(BattCalcs!BV221:BX232)),NA())</f>
        <v>0</v>
      </c>
    </row>
    <row r="231" spans="1:19" hidden="1" x14ac:dyDescent="0.25"/>
    <row r="232" spans="1:19" hidden="1" x14ac:dyDescent="0.25"/>
    <row r="233" spans="1:19" hidden="1" x14ac:dyDescent="0.25"/>
    <row r="234" spans="1:19" hidden="1" x14ac:dyDescent="0.25"/>
    <row r="235" spans="1:19" hidden="1" x14ac:dyDescent="0.25"/>
    <row r="236" spans="1:19" hidden="1" x14ac:dyDescent="0.25"/>
    <row r="237" spans="1:19" hidden="1" x14ac:dyDescent="0.25"/>
    <row r="238" spans="1:19" hidden="1" x14ac:dyDescent="0.25"/>
    <row r="239" spans="1:19" hidden="1" x14ac:dyDescent="0.25"/>
    <row r="240" spans="1:19" hidden="1" x14ac:dyDescent="0.25"/>
    <row r="241" spans="1:19" hidden="1" x14ac:dyDescent="0.25"/>
    <row r="242" spans="1:19" x14ac:dyDescent="0.25">
      <c r="A242">
        <v>20</v>
      </c>
      <c r="B242" s="10">
        <f>IF('PV IN'!$F$4="Battery Only",NA(),IF(A242&lt;='Batt IN'!$O$30,SUM(PVCalcs!U233:U244),NA()))</f>
        <v>130742.33707474016</v>
      </c>
      <c r="C242" s="10" t="e">
        <f>IF('PV IN'!$F$4="PV Only",NA(),IF(A242&lt;='Batt IN'!$O$30,SUM(BattCalcs!AX233:BC244),NA()))</f>
        <v>#N/A</v>
      </c>
      <c r="D242" s="10" t="e">
        <f>IF('PV IN'!$F$4="PV Only",NA(),IF(A242&lt;='Batt IN'!$O$30,SUM(BattCalcs!BD233:BD244),NA()))</f>
        <v>#N/A</v>
      </c>
      <c r="E242" s="10" t="e">
        <f>IF('PV IN'!$F$4="PV Only",NA(),IF(A242&lt;='Batt IN'!$O$30,SUM(BattCalcs!BE233:BE244),NA()))</f>
        <v>#N/A</v>
      </c>
      <c r="F242" s="10" t="e">
        <f>IF('PV IN'!$F$4="PV Only",NA(),IF(A242&lt;='Batt IN'!$O$30,SUM(BattCalcs!AS233:AS244),NA()))</f>
        <v>#N/A</v>
      </c>
      <c r="G242" s="10" t="e">
        <f>IF('PV IN'!$F$4="PV Only",NA(),IF(A242&lt;='Batt IN'!$O$30,SUM(BattCalcs!AT233:AT244),NA()))</f>
        <v>#N/A</v>
      </c>
      <c r="H242" s="10" t="e">
        <f>IF('PV IN'!$F$4="PV Only",NA(),IF(A242&lt;='Batt IN'!$O$30,SUM(BattCalcs!AU233:AU244),NA()))</f>
        <v>#N/A</v>
      </c>
      <c r="I242" s="10" t="e">
        <f>IF('PV IN'!$F$4="PV Only",NA(),IF(A242&lt;='Batt IN'!$O$30,SUM(BattCalcs!BF233:BF244),NA()))</f>
        <v>#N/A</v>
      </c>
      <c r="J242" s="10" t="e">
        <f>IF('PV IN'!$F$4="PV Only",NA(),IF(A242&lt;='Batt IN'!$O$30,SUM(BattCalcs!BG233:BG244),NA()))</f>
        <v>#N/A</v>
      </c>
      <c r="K242" s="10">
        <f>IF('PV IN'!$F$4="Battery Only",NA(),IF(A242&lt;='Batt IN'!$O$30,SUM(PVCalcs!Y233:Y244,PVCalcs!Z233:Z244),NA()))</f>
        <v>0</v>
      </c>
      <c r="L242" s="10">
        <f>IF(A242&lt;='Batt IN'!$O$30,IF('PV IN'!$F$4="Battery Only",0,SUM(PVCalcs!W233:W244,PVCalcs!AA233:AA244))+IF('PV IN'!$F$4="PV Only",0,SUM(BattCalcs!AV233:AV244,BattCalcs!BH233:BH244)),NA())</f>
        <v>0</v>
      </c>
      <c r="M242" s="2"/>
      <c r="N242" s="10">
        <f>IF(A242&lt;='Batt IN'!$O$30,IF('PV IN'!$F$4="Battery Only",0,SUM(PVCalcs!AD233:AD244))+IF('PV IN'!$F$4="PV Only",0,SUM(BattCalcs!BU233:BU244)),NA())</f>
        <v>0</v>
      </c>
      <c r="O242" s="10">
        <f>IF(A242&lt;='Batt IN'!$O$30,IF('PV IN'!$F$4="Battery Only",0,SUM(PVCalcs!AE233:AF244))+IF('PV IN'!$F$4="PV Only",0,SUM(BattCalcs!BK233:BL244)),NA())</f>
        <v>0</v>
      </c>
      <c r="P242" s="10">
        <f>IF(A242&lt;='Batt IN'!$O$30,IF('PV IN'!$F$4="Battery Only",0,SUM(PVCalcs!R233:R244)+SUM(PVCalcs!AG233:AG244))+IF('PV IN'!$F$4="PV Only",0,SUM(BattCalcs!AO233:AO244)+SUM(BattCalcs!BM233:BM244)),NA())</f>
        <v>-9000</v>
      </c>
      <c r="Q242" s="10">
        <f>IF(A242&lt;='Batt IN'!$O$30,IF('PV IN'!$F$4="Battery Only",0,SUM(PVCalcs!S233:S244)+SUM(PVCalcs!AH233:AH244))+IF('PV IN'!$F$4="PV Only",0,SUM(BattCalcs!AP233:AP244)+SUM(BattCalcs!BN233:BN244)),NA())</f>
        <v>-7500</v>
      </c>
      <c r="R242" s="10">
        <f>IF(A242&lt;='Batt IN'!$O$30,IF('PV IN'!$F$4="Battery Only",0,SUM(PVCalcs!AI233:AI244))+IF('PV IN'!$F$4="PV Only",0,SUM(BattCalcs!BP233:BT244)+SUM(BattCalcs!BO233:BO244)),NA())</f>
        <v>0</v>
      </c>
      <c r="S242" s="10">
        <f>IF(A242&lt;='Batt IN'!$O$30,IF('PV IN'!$F$4="PV Only",0,SUM(BattCalcs!BV233:BX244)),NA())</f>
        <v>0</v>
      </c>
    </row>
    <row r="243" spans="1:19" hidden="1" x14ac:dyDescent="0.25"/>
    <row r="244" spans="1:19" hidden="1" x14ac:dyDescent="0.25"/>
    <row r="245" spans="1:19" hidden="1" x14ac:dyDescent="0.25"/>
    <row r="246" spans="1:19" hidden="1" x14ac:dyDescent="0.25"/>
    <row r="247" spans="1:19" hidden="1" x14ac:dyDescent="0.25"/>
    <row r="248" spans="1:19" hidden="1" x14ac:dyDescent="0.25"/>
    <row r="249" spans="1:19" hidden="1" x14ac:dyDescent="0.25"/>
    <row r="250" spans="1:19" hidden="1" x14ac:dyDescent="0.25"/>
    <row r="251" spans="1:19" hidden="1" x14ac:dyDescent="0.25"/>
    <row r="252" spans="1:19" hidden="1" x14ac:dyDescent="0.25"/>
    <row r="253" spans="1:19" hidden="1" x14ac:dyDescent="0.25"/>
    <row r="254" spans="1:19" x14ac:dyDescent="0.25">
      <c r="A254">
        <v>21</v>
      </c>
      <c r="B254" s="10" t="e">
        <f>IF('PV IN'!$F$4="Battery Only",NA(),IF(A254&lt;='Batt IN'!$O$30,SUM(PVCalcs!U245:U256),NA()))</f>
        <v>#N/A</v>
      </c>
      <c r="C254" s="10" t="e">
        <f>IF('PV IN'!$F$4="PV Only",NA(),IF(A254&lt;='Batt IN'!$O$30,SUM(BattCalcs!AX245:BC256),NA()))</f>
        <v>#N/A</v>
      </c>
      <c r="D254" s="10" t="e">
        <f>IF('PV IN'!$F$4="PV Only",NA(),IF(A254&lt;='Batt IN'!$O$30,SUM(BattCalcs!BD245:BD256),NA()))</f>
        <v>#N/A</v>
      </c>
      <c r="E254" s="10" t="e">
        <f>IF('PV IN'!$F$4="PV Only",NA(),IF(A254&lt;='Batt IN'!$O$30,SUM(BattCalcs!BE245:BE256),NA()))</f>
        <v>#N/A</v>
      </c>
      <c r="F254" s="10" t="e">
        <f>IF('PV IN'!$F$4="PV Only",NA(),IF(A254&lt;='Batt IN'!$O$30,SUM(BattCalcs!AS245:AS256),NA()))</f>
        <v>#N/A</v>
      </c>
      <c r="G254" s="10" t="e">
        <f>IF('PV IN'!$F$4="PV Only",NA(),IF(A254&lt;='Batt IN'!$O$30,SUM(BattCalcs!AT245:AT256),NA()))</f>
        <v>#N/A</v>
      </c>
      <c r="H254" s="10" t="e">
        <f>IF('PV IN'!$F$4="PV Only",NA(),IF(A254&lt;='Batt IN'!$O$30,SUM(BattCalcs!AU245:AU256),NA()))</f>
        <v>#N/A</v>
      </c>
      <c r="I254" s="10" t="e">
        <f>IF('PV IN'!$F$4="PV Only",NA(),IF(A254&lt;='Batt IN'!$O$30,SUM(BattCalcs!BF245:BF256),NA()))</f>
        <v>#N/A</v>
      </c>
      <c r="J254" s="10" t="e">
        <f>IF('PV IN'!$F$4="PV Only",NA(),IF(A254&lt;='Batt IN'!$O$30,SUM(BattCalcs!BG245:BG256),NA()))</f>
        <v>#N/A</v>
      </c>
      <c r="K254" s="10" t="e">
        <f>IF('PV IN'!$F$4="Battery Only",NA(),IF(A254&lt;='Batt IN'!$O$30,SUM(PVCalcs!Y245:Y256,PVCalcs!Z245:Z256),NA()))</f>
        <v>#N/A</v>
      </c>
      <c r="L254" s="10" t="e">
        <f>IF(A254&lt;='Batt IN'!$O$30,IF('PV IN'!$F$4="Battery Only",0,SUM(PVCalcs!W245:W256,PVCalcs!AA245:AA256))+IF('PV IN'!$F$4="PV Only",0,SUM(BattCalcs!AV245:AV256,BattCalcs!BH245:BH256)),NA())</f>
        <v>#N/A</v>
      </c>
      <c r="M254" s="2"/>
      <c r="N254" s="10" t="e">
        <f>IF(A254&lt;='Batt IN'!$O$30,IF('PV IN'!$F$4="Battery Only",0,SUM(PVCalcs!AD245:AD256))+IF('PV IN'!$F$4="PV Only",0,SUM(BattCalcs!BU245:BU256)),NA())</f>
        <v>#N/A</v>
      </c>
      <c r="O254" s="10" t="e">
        <f>IF(A254&lt;='Batt IN'!$O$30,IF('PV IN'!$F$4="Battery Only",0,SUM(PVCalcs!AE245:AF256))+IF('PV IN'!$F$4="PV Only",0,SUM(BattCalcs!BK245:BL256)),NA())</f>
        <v>#N/A</v>
      </c>
      <c r="P254" s="10" t="e">
        <f>IF(A254&lt;='Batt IN'!$O$30,IF('PV IN'!$F$4="Battery Only",0,SUM(PVCalcs!R245:R256)+SUM(PVCalcs!AG245:AG256))+IF('PV IN'!$F$4="PV Only",0,SUM(BattCalcs!AO245:AO256)+SUM(BattCalcs!BM245:BM256)),NA())</f>
        <v>#N/A</v>
      </c>
      <c r="Q254" s="10" t="e">
        <f>IF(A254&lt;='Batt IN'!$O$30,IF('PV IN'!$F$4="Battery Only",0,SUM(PVCalcs!S245:S256)+SUM(PVCalcs!AH245:AH256))+IF('PV IN'!$F$4="PV Only",0,SUM(BattCalcs!AP245:AP256)+SUM(BattCalcs!BN245:BN256)),NA())</f>
        <v>#N/A</v>
      </c>
      <c r="R254" s="10" t="e">
        <f>IF(A254&lt;='Batt IN'!$O$30,IF('PV IN'!$F$4="Battery Only",0,SUM(PVCalcs!AI245:AI256))+IF('PV IN'!$F$4="PV Only",0,SUM(BattCalcs!BP245:BT256)+SUM(BattCalcs!BO245:BO256)),NA())</f>
        <v>#N/A</v>
      </c>
      <c r="S254" s="10" t="e">
        <f>IF(A254&lt;='Batt IN'!$O$30,IF('PV IN'!$F$4="PV Only",0,SUM(BattCalcs!BV245:BX256)),NA())</f>
        <v>#N/A</v>
      </c>
    </row>
    <row r="255" spans="1:19" hidden="1" x14ac:dyDescent="0.25"/>
    <row r="256" spans="1:19" hidden="1" x14ac:dyDescent="0.25"/>
    <row r="257" spans="1:19" hidden="1" x14ac:dyDescent="0.25"/>
    <row r="258" spans="1:19" hidden="1" x14ac:dyDescent="0.25"/>
    <row r="259" spans="1:19" hidden="1" x14ac:dyDescent="0.25"/>
    <row r="260" spans="1:19" hidden="1" x14ac:dyDescent="0.25"/>
    <row r="261" spans="1:19" hidden="1" x14ac:dyDescent="0.25"/>
    <row r="262" spans="1:19" hidden="1" x14ac:dyDescent="0.25"/>
    <row r="263" spans="1:19" hidden="1" x14ac:dyDescent="0.25"/>
    <row r="264" spans="1:19" hidden="1" x14ac:dyDescent="0.25"/>
    <row r="265" spans="1:19" hidden="1" x14ac:dyDescent="0.25"/>
    <row r="266" spans="1:19" x14ac:dyDescent="0.25">
      <c r="A266">
        <v>22</v>
      </c>
      <c r="B266" s="10" t="e">
        <f>IF('PV IN'!$F$4="Battery Only",NA(),IF(A266&lt;='Batt IN'!$O$30,SUM(PVCalcs!U257:U268),NA()))</f>
        <v>#N/A</v>
      </c>
      <c r="C266" s="10" t="e">
        <f>IF('PV IN'!$F$4="PV Only",NA(),IF(A266&lt;='Batt IN'!$O$30,SUM(BattCalcs!AX257:BC268),NA()))</f>
        <v>#N/A</v>
      </c>
      <c r="D266" s="10" t="e">
        <f>IF('PV IN'!$F$4="PV Only",NA(),IF(A266&lt;='Batt IN'!$O$30,SUM(BattCalcs!BD257:BD268),NA()))</f>
        <v>#N/A</v>
      </c>
      <c r="E266" s="10" t="e">
        <f>IF('PV IN'!$F$4="PV Only",NA(),IF(A266&lt;='Batt IN'!$O$30,SUM(BattCalcs!BE257:BE268),NA()))</f>
        <v>#N/A</v>
      </c>
      <c r="F266" s="10" t="e">
        <f>IF('PV IN'!$F$4="PV Only",NA(),IF(A266&lt;='Batt IN'!$O$30,SUM(BattCalcs!AS257:AS268),NA()))</f>
        <v>#N/A</v>
      </c>
      <c r="G266" s="10" t="e">
        <f>IF('PV IN'!$F$4="PV Only",NA(),IF(A266&lt;='Batt IN'!$O$30,SUM(BattCalcs!AT257:AT268),NA()))</f>
        <v>#N/A</v>
      </c>
      <c r="H266" s="10" t="e">
        <f>IF('PV IN'!$F$4="PV Only",NA(),IF(A266&lt;='Batt IN'!$O$30,SUM(BattCalcs!AU257:AU268),NA()))</f>
        <v>#N/A</v>
      </c>
      <c r="I266" s="10" t="e">
        <f>IF('PV IN'!$F$4="PV Only",NA(),IF(A266&lt;='Batt IN'!$O$30,SUM(BattCalcs!BF257:BF268),NA()))</f>
        <v>#N/A</v>
      </c>
      <c r="J266" s="10" t="e">
        <f>IF('PV IN'!$F$4="PV Only",NA(),IF(A266&lt;='Batt IN'!$O$30,SUM(BattCalcs!BG257:BG268),NA()))</f>
        <v>#N/A</v>
      </c>
      <c r="K266" s="10" t="e">
        <f>IF('PV IN'!$F$4="Battery Only",NA(),IF(A266&lt;='Batt IN'!$O$30,SUM(PVCalcs!Y257:Y268,PVCalcs!Z257:Z268),NA()))</f>
        <v>#N/A</v>
      </c>
      <c r="L266" s="10" t="e">
        <f>IF(A266&lt;='Batt IN'!$O$30,IF('PV IN'!$F$4="Battery Only",0,SUM(PVCalcs!W257:W268,PVCalcs!AA257:AA268))+IF('PV IN'!$F$4="PV Only",0,SUM(BattCalcs!AV257:AV268,BattCalcs!BH257:BH268)),NA())</f>
        <v>#N/A</v>
      </c>
      <c r="M266" s="2"/>
      <c r="N266" s="10" t="e">
        <f>IF(A266&lt;='Batt IN'!$O$30,IF('PV IN'!$F$4="Battery Only",0,SUM(PVCalcs!AD257:AD268))+IF('PV IN'!$F$4="PV Only",0,SUM(BattCalcs!BU257:BU268)),NA())</f>
        <v>#N/A</v>
      </c>
      <c r="O266" s="10" t="e">
        <f>IF(A266&lt;='Batt IN'!$O$30,IF('PV IN'!$F$4="Battery Only",0,SUM(PVCalcs!AE257:AF268))+IF('PV IN'!$F$4="PV Only",0,SUM(BattCalcs!BK257:BL268)),NA())</f>
        <v>#N/A</v>
      </c>
      <c r="P266" s="10" t="e">
        <f>IF(A266&lt;='Batt IN'!$O$30,IF('PV IN'!$F$4="Battery Only",0,SUM(PVCalcs!R257:R268)+SUM(PVCalcs!AG257:AG268))+IF('PV IN'!$F$4="PV Only",0,SUM(BattCalcs!AO257:AO268)+SUM(BattCalcs!BM257:BM268)),NA())</f>
        <v>#N/A</v>
      </c>
      <c r="Q266" s="10" t="e">
        <f>IF(A266&lt;='Batt IN'!$O$30,IF('PV IN'!$F$4="Battery Only",0,SUM(PVCalcs!S257:S268)+SUM(PVCalcs!AH257:AH268))+IF('PV IN'!$F$4="PV Only",0,SUM(BattCalcs!AP257:AP268)+SUM(BattCalcs!BN257:BN268)),NA())</f>
        <v>#N/A</v>
      </c>
      <c r="R266" s="10" t="e">
        <f>IF(A266&lt;='Batt IN'!$O$30,IF('PV IN'!$F$4="Battery Only",0,SUM(PVCalcs!AI257:AI268))+IF('PV IN'!$F$4="PV Only",0,SUM(BattCalcs!BP257:BT268)+SUM(BattCalcs!BO257:BO268)),NA())</f>
        <v>#N/A</v>
      </c>
      <c r="S266" s="10" t="e">
        <f>IF(A266&lt;='Batt IN'!$O$30,IF('PV IN'!$F$4="PV Only",0,SUM(BattCalcs!BV257:BX268)),NA())</f>
        <v>#N/A</v>
      </c>
    </row>
    <row r="267" spans="1:19" hidden="1" x14ac:dyDescent="0.25"/>
    <row r="268" spans="1:19" hidden="1" x14ac:dyDescent="0.25"/>
    <row r="269" spans="1:19" hidden="1" x14ac:dyDescent="0.25"/>
    <row r="270" spans="1:19" hidden="1" x14ac:dyDescent="0.25"/>
    <row r="271" spans="1:19" hidden="1" x14ac:dyDescent="0.25"/>
    <row r="272" spans="1:19" hidden="1" x14ac:dyDescent="0.25"/>
    <row r="273" spans="1:19" hidden="1" x14ac:dyDescent="0.25"/>
    <row r="274" spans="1:19" hidden="1" x14ac:dyDescent="0.25"/>
    <row r="275" spans="1:19" hidden="1" x14ac:dyDescent="0.25"/>
    <row r="276" spans="1:19" hidden="1" x14ac:dyDescent="0.25"/>
    <row r="277" spans="1:19" hidden="1" x14ac:dyDescent="0.25"/>
    <row r="278" spans="1:19" x14ac:dyDescent="0.25">
      <c r="A278">
        <v>23</v>
      </c>
      <c r="B278" s="10" t="e">
        <f>IF('PV IN'!$F$4="Battery Only",NA(),IF(A278&lt;='Batt IN'!$O$30,SUM(PVCalcs!U269:U280),NA()))</f>
        <v>#N/A</v>
      </c>
      <c r="C278" s="10" t="e">
        <f>IF('PV IN'!$F$4="PV Only",NA(),IF(A278&lt;='Batt IN'!$O$30,SUM(BattCalcs!AX269:BC280),NA()))</f>
        <v>#N/A</v>
      </c>
      <c r="D278" s="10" t="e">
        <f>IF('PV IN'!$F$4="PV Only",NA(),IF(A278&lt;='Batt IN'!$O$30,SUM(BattCalcs!BD269:BD280),NA()))</f>
        <v>#N/A</v>
      </c>
      <c r="E278" s="10" t="e">
        <f>IF('PV IN'!$F$4="PV Only",NA(),IF(A278&lt;='Batt IN'!$O$30,SUM(BattCalcs!BE269:BE280),NA()))</f>
        <v>#N/A</v>
      </c>
      <c r="F278" s="10" t="e">
        <f>IF('PV IN'!$F$4="PV Only",NA(),IF(A278&lt;='Batt IN'!$O$30,SUM(BattCalcs!AS269:AS280),NA()))</f>
        <v>#N/A</v>
      </c>
      <c r="G278" s="10" t="e">
        <f>IF('PV IN'!$F$4="PV Only",NA(),IF(A278&lt;='Batt IN'!$O$30,SUM(BattCalcs!AT269:AT280),NA()))</f>
        <v>#N/A</v>
      </c>
      <c r="H278" s="10" t="e">
        <f>IF('PV IN'!$F$4="PV Only",NA(),IF(A278&lt;='Batt IN'!$O$30,SUM(BattCalcs!AU269:AU280),NA()))</f>
        <v>#N/A</v>
      </c>
      <c r="I278" s="10" t="e">
        <f>IF('PV IN'!$F$4="PV Only",NA(),IF(A278&lt;='Batt IN'!$O$30,SUM(BattCalcs!BF269:BF280),NA()))</f>
        <v>#N/A</v>
      </c>
      <c r="J278" s="10" t="e">
        <f>IF('PV IN'!$F$4="PV Only",NA(),IF(A278&lt;='Batt IN'!$O$30,SUM(BattCalcs!BG269:BG280),NA()))</f>
        <v>#N/A</v>
      </c>
      <c r="K278" s="10" t="e">
        <f>IF('PV IN'!$F$4="Battery Only",NA(),IF(A278&lt;='Batt IN'!$O$30,SUM(PVCalcs!Y269:Y280,PVCalcs!Z269:Z280),NA()))</f>
        <v>#N/A</v>
      </c>
      <c r="L278" s="10" t="e">
        <f>IF(A278&lt;='Batt IN'!$O$30,IF('PV IN'!$F$4="Battery Only",0,SUM(PVCalcs!W269:W280,PVCalcs!AA269:AA280))+IF('PV IN'!$F$4="PV Only",0,SUM(BattCalcs!AV269:AV280,BattCalcs!BH269:BH280)),NA())</f>
        <v>#N/A</v>
      </c>
      <c r="M278" s="2"/>
      <c r="N278" s="10" t="e">
        <f>IF(A278&lt;='Batt IN'!$O$30,IF('PV IN'!$F$4="Battery Only",0,SUM(PVCalcs!AD269:AD280))+IF('PV IN'!$F$4="PV Only",0,SUM(BattCalcs!BU269:BU280)),NA())</f>
        <v>#N/A</v>
      </c>
      <c r="O278" s="10" t="e">
        <f>IF(A278&lt;='Batt IN'!$O$30,IF('PV IN'!$F$4="Battery Only",0,SUM(PVCalcs!AE269:AF280))+IF('PV IN'!$F$4="PV Only",0,SUM(BattCalcs!BK269:BL280)),NA())</f>
        <v>#N/A</v>
      </c>
      <c r="P278" s="10" t="e">
        <f>IF(A278&lt;='Batt IN'!$O$30,IF('PV IN'!$F$4="Battery Only",0,SUM(PVCalcs!R269:R280)+SUM(PVCalcs!AG269:AG280))+IF('PV IN'!$F$4="PV Only",0,SUM(BattCalcs!AO269:AO280)+SUM(BattCalcs!BM269:BM280)),NA())</f>
        <v>#N/A</v>
      </c>
      <c r="Q278" s="10" t="e">
        <f>IF(A278&lt;='Batt IN'!$O$30,IF('PV IN'!$F$4="Battery Only",0,SUM(PVCalcs!S269:S280)+SUM(PVCalcs!AH269:AH280))+IF('PV IN'!$F$4="PV Only",0,SUM(BattCalcs!AP269:AP280)+SUM(BattCalcs!BN269:BN280)),NA())</f>
        <v>#N/A</v>
      </c>
      <c r="R278" s="10" t="e">
        <f>IF(A278&lt;='Batt IN'!$O$30,IF('PV IN'!$F$4="Battery Only",0,SUM(PVCalcs!AI269:AI280))+IF('PV IN'!$F$4="PV Only",0,SUM(BattCalcs!BP269:BT280)+SUM(BattCalcs!BO269:BO280)),NA())</f>
        <v>#N/A</v>
      </c>
      <c r="S278" s="10" t="e">
        <f>IF(A278&lt;='Batt IN'!$O$30,IF('PV IN'!$F$4="PV Only",0,SUM(BattCalcs!BV269:BX280)),NA())</f>
        <v>#N/A</v>
      </c>
    </row>
    <row r="279" spans="1:19" hidden="1" x14ac:dyDescent="0.25"/>
    <row r="280" spans="1:19" hidden="1" x14ac:dyDescent="0.25"/>
    <row r="281" spans="1:19" hidden="1" x14ac:dyDescent="0.25"/>
    <row r="282" spans="1:19" hidden="1" x14ac:dyDescent="0.25"/>
    <row r="283" spans="1:19" hidden="1" x14ac:dyDescent="0.25"/>
    <row r="284" spans="1:19" hidden="1" x14ac:dyDescent="0.25"/>
    <row r="285" spans="1:19" hidden="1" x14ac:dyDescent="0.25"/>
    <row r="286" spans="1:19" hidden="1" x14ac:dyDescent="0.25"/>
    <row r="287" spans="1:19" hidden="1" x14ac:dyDescent="0.25"/>
    <row r="288" spans="1:19" hidden="1" x14ac:dyDescent="0.25"/>
    <row r="289" spans="1:19" hidden="1" x14ac:dyDescent="0.25"/>
    <row r="290" spans="1:19" x14ac:dyDescent="0.25">
      <c r="A290">
        <v>24</v>
      </c>
      <c r="B290" s="10" t="e">
        <f>IF('PV IN'!$F$4="Battery Only",NA(),IF(A290&lt;='Batt IN'!$O$30,SUM(PVCalcs!U281:U292),NA()))</f>
        <v>#N/A</v>
      </c>
      <c r="C290" s="10" t="e">
        <f>IF('PV IN'!$F$4="PV Only",NA(),IF(A290&lt;='Batt IN'!$O$30,SUM(BattCalcs!AX281:BC292),NA()))</f>
        <v>#N/A</v>
      </c>
      <c r="D290" s="10" t="e">
        <f>IF('PV IN'!$F$4="PV Only",NA(),IF(A290&lt;='Batt IN'!$O$30,SUM(BattCalcs!BD281:BD292),NA()))</f>
        <v>#N/A</v>
      </c>
      <c r="E290" s="10" t="e">
        <f>IF('PV IN'!$F$4="PV Only",NA(),IF(A290&lt;='Batt IN'!$O$30,SUM(BattCalcs!BE281:BE292),NA()))</f>
        <v>#N/A</v>
      </c>
      <c r="F290" s="10" t="e">
        <f>IF('PV IN'!$F$4="PV Only",NA(),IF(A290&lt;='Batt IN'!$O$30,SUM(BattCalcs!AS281:AS292),NA()))</f>
        <v>#N/A</v>
      </c>
      <c r="G290" s="10" t="e">
        <f>IF('PV IN'!$F$4="PV Only",NA(),IF(A290&lt;='Batt IN'!$O$30,SUM(BattCalcs!AT281:AT292),NA()))</f>
        <v>#N/A</v>
      </c>
      <c r="H290" s="10" t="e">
        <f>IF('PV IN'!$F$4="PV Only",NA(),IF(A290&lt;='Batt IN'!$O$30,SUM(BattCalcs!AU281:AU292),NA()))</f>
        <v>#N/A</v>
      </c>
      <c r="I290" s="10" t="e">
        <f>IF('PV IN'!$F$4="PV Only",NA(),IF(A290&lt;='Batt IN'!$O$30,SUM(BattCalcs!BF281:BF292),NA()))</f>
        <v>#N/A</v>
      </c>
      <c r="J290" s="10" t="e">
        <f>IF('PV IN'!$F$4="PV Only",NA(),IF(A290&lt;='Batt IN'!$O$30,SUM(BattCalcs!BG281:BG292),NA()))</f>
        <v>#N/A</v>
      </c>
      <c r="K290" s="10" t="e">
        <f>IF('PV IN'!$F$4="Battery Only",NA(),IF(A290&lt;='Batt IN'!$O$30,SUM(PVCalcs!Y281:Y292,PVCalcs!Z281:Z292),NA()))</f>
        <v>#N/A</v>
      </c>
      <c r="L290" s="10" t="e">
        <f>IF(A290&lt;='Batt IN'!$O$30,IF('PV IN'!$F$4="Battery Only",0,SUM(PVCalcs!W281:W292,PVCalcs!AA281:AA292))+IF('PV IN'!$F$4="PV Only",0,SUM(BattCalcs!AV281:AV292,BattCalcs!BH281:BH292)),NA())</f>
        <v>#N/A</v>
      </c>
      <c r="M290" s="2"/>
      <c r="N290" s="10" t="e">
        <f>IF(A290&lt;='Batt IN'!$O$30,IF('PV IN'!$F$4="Battery Only",0,SUM(PVCalcs!AD281:AD292))+IF('PV IN'!$F$4="PV Only",0,SUM(BattCalcs!BU281:BU292)),NA())</f>
        <v>#N/A</v>
      </c>
      <c r="O290" s="10" t="e">
        <f>IF(A290&lt;='Batt IN'!$O$30,IF('PV IN'!$F$4="Battery Only",0,SUM(PVCalcs!AE281:AF292))+IF('PV IN'!$F$4="PV Only",0,SUM(BattCalcs!BK281:BL292)),NA())</f>
        <v>#N/A</v>
      </c>
      <c r="P290" s="10" t="e">
        <f>IF(A290&lt;='Batt IN'!$O$30,IF('PV IN'!$F$4="Battery Only",0,SUM(PVCalcs!R281:R292)+SUM(PVCalcs!AG281:AG292))+IF('PV IN'!$F$4="PV Only",0,SUM(BattCalcs!AO281:AO292)+SUM(BattCalcs!BM281:BM292)),NA())</f>
        <v>#N/A</v>
      </c>
      <c r="Q290" s="10" t="e">
        <f>IF(A290&lt;='Batt IN'!$O$30,IF('PV IN'!$F$4="Battery Only",0,SUM(PVCalcs!S281:S292)+SUM(PVCalcs!AH281:AH292))+IF('PV IN'!$F$4="PV Only",0,SUM(BattCalcs!AP281:AP292)+SUM(BattCalcs!BN281:BN292)),NA())</f>
        <v>#N/A</v>
      </c>
      <c r="R290" s="10" t="e">
        <f>IF(A290&lt;='Batt IN'!$O$30,IF('PV IN'!$F$4="Battery Only",0,SUM(PVCalcs!AI281:AI292))+IF('PV IN'!$F$4="PV Only",0,SUM(BattCalcs!BP281:BT292)+SUM(BattCalcs!BO281:BO292)),NA())</f>
        <v>#N/A</v>
      </c>
      <c r="S290" s="10" t="e">
        <f>IF(A290&lt;='Batt IN'!$O$30,IF('PV IN'!$F$4="PV Only",0,SUM(BattCalcs!BV281:BX292)),NA())</f>
        <v>#N/A</v>
      </c>
    </row>
    <row r="291" spans="1:19" hidden="1" x14ac:dyDescent="0.25"/>
    <row r="292" spans="1:19" hidden="1" x14ac:dyDescent="0.25"/>
    <row r="293" spans="1:19" hidden="1" x14ac:dyDescent="0.25"/>
    <row r="294" spans="1:19" hidden="1" x14ac:dyDescent="0.25"/>
    <row r="295" spans="1:19" hidden="1" x14ac:dyDescent="0.25"/>
    <row r="296" spans="1:19" hidden="1" x14ac:dyDescent="0.25"/>
    <row r="297" spans="1:19" hidden="1" x14ac:dyDescent="0.25"/>
    <row r="298" spans="1:19" hidden="1" x14ac:dyDescent="0.25"/>
    <row r="299" spans="1:19" hidden="1" x14ac:dyDescent="0.25"/>
    <row r="300" spans="1:19" hidden="1" x14ac:dyDescent="0.25"/>
    <row r="301" spans="1:19" hidden="1" x14ac:dyDescent="0.25"/>
    <row r="302" spans="1:19" x14ac:dyDescent="0.25">
      <c r="A302">
        <v>25</v>
      </c>
      <c r="B302" s="10" t="e">
        <f>IF('PV IN'!$F$4="Battery Only",NA(),IF(A302&lt;='Batt IN'!$O$30,SUM(PVCalcs!U293:U304),NA()))</f>
        <v>#N/A</v>
      </c>
      <c r="C302" s="10" t="e">
        <f>IF('PV IN'!$F$4="PV Only",NA(),IF(A302&lt;='Batt IN'!$O$30,SUM(BattCalcs!AX293:BC304),NA()))</f>
        <v>#N/A</v>
      </c>
      <c r="D302" s="10" t="e">
        <f>IF('PV IN'!$F$4="PV Only",NA(),IF(A302&lt;='Batt IN'!$O$30,SUM(BattCalcs!BD293:BD304),NA()))</f>
        <v>#N/A</v>
      </c>
      <c r="E302" s="10" t="e">
        <f>IF('PV IN'!$F$4="PV Only",NA(),IF(A302&lt;='Batt IN'!$O$30,SUM(BattCalcs!BE293:BE304),NA()))</f>
        <v>#N/A</v>
      </c>
      <c r="F302" s="10" t="e">
        <f>IF('PV IN'!$F$4="PV Only",NA(),IF(A302&lt;='Batt IN'!$O$30,SUM(BattCalcs!AS293:AS304),NA()))</f>
        <v>#N/A</v>
      </c>
      <c r="G302" s="10" t="e">
        <f>IF('PV IN'!$F$4="PV Only",NA(),IF(A302&lt;='Batt IN'!$O$30,SUM(BattCalcs!AT293:AT304),NA()))</f>
        <v>#N/A</v>
      </c>
      <c r="H302" s="10" t="e">
        <f>IF('PV IN'!$F$4="PV Only",NA(),IF(A302&lt;='Batt IN'!$O$30,SUM(BattCalcs!AU293:AU304),NA()))</f>
        <v>#N/A</v>
      </c>
      <c r="I302" s="10" t="e">
        <f>IF('PV IN'!$F$4="PV Only",NA(),IF(A302&lt;='Batt IN'!$O$30,SUM(BattCalcs!BF293:BF304),NA()))</f>
        <v>#N/A</v>
      </c>
      <c r="J302" s="10" t="e">
        <f>IF('PV IN'!$F$4="PV Only",NA(),IF(A302&lt;='Batt IN'!$O$30,SUM(BattCalcs!BG293:BG304),NA()))</f>
        <v>#N/A</v>
      </c>
      <c r="K302" s="10" t="e">
        <f>IF('PV IN'!$F$4="Battery Only",NA(),IF(A302&lt;='Batt IN'!$O$30,SUM(PVCalcs!Y293:Y304,PVCalcs!Z293:Z304),NA()))</f>
        <v>#N/A</v>
      </c>
      <c r="L302" s="10" t="e">
        <f>IF(A302&lt;='Batt IN'!$O$30,IF('PV IN'!$F$4="Battery Only",0,SUM(PVCalcs!W293:W304,PVCalcs!AA293:AA304))+IF('PV IN'!$F$4="PV Only",0,SUM(BattCalcs!AV293:AV304,BattCalcs!BH293:BH304)),NA())</f>
        <v>#N/A</v>
      </c>
      <c r="M302" s="2"/>
      <c r="N302" s="10" t="e">
        <f>IF(A302&lt;='Batt IN'!$O$30,IF('PV IN'!$F$4="Battery Only",0,SUM(PVCalcs!AD293:AD304))+IF('PV IN'!$F$4="PV Only",0,SUM(BattCalcs!BU293:BU304)),NA())</f>
        <v>#N/A</v>
      </c>
      <c r="O302" s="10" t="e">
        <f>IF(A302&lt;='Batt IN'!$O$30,IF('PV IN'!$F$4="Battery Only",0,SUM(PVCalcs!AE293:AF304))+IF('PV IN'!$F$4="PV Only",0,SUM(BattCalcs!BK293:BL304)),NA())</f>
        <v>#N/A</v>
      </c>
      <c r="P302" s="10" t="e">
        <f>IF(A302&lt;='Batt IN'!$O$30,IF('PV IN'!$F$4="Battery Only",0,SUM(PVCalcs!R293:R304)+SUM(PVCalcs!AG293:AG304))+IF('PV IN'!$F$4="PV Only",0,SUM(BattCalcs!AO293:AO304)+SUM(BattCalcs!BM293:BM304)),NA())</f>
        <v>#N/A</v>
      </c>
      <c r="Q302" s="10" t="e">
        <f>IF(A302&lt;='Batt IN'!$O$30,IF('PV IN'!$F$4="Battery Only",0,SUM(PVCalcs!S293:S304)+SUM(PVCalcs!AH293:AH304))+IF('PV IN'!$F$4="PV Only",0,SUM(BattCalcs!AP293:AP304)+SUM(BattCalcs!BN293:BN304)),NA())</f>
        <v>#N/A</v>
      </c>
      <c r="R302" s="10" t="e">
        <f>IF(A302&lt;='Batt IN'!$O$30,IF('PV IN'!$F$4="Battery Only",0,SUM(PVCalcs!AI293:AI304))+IF('PV IN'!$F$4="PV Only",0,SUM(BattCalcs!BP293:BT304)+SUM(BattCalcs!BO293:BO304)),NA())</f>
        <v>#N/A</v>
      </c>
      <c r="S302" s="10" t="e">
        <f>IF(A302&lt;='Batt IN'!$O$30,IF('PV IN'!$F$4="PV Only",0,SUM(BattCalcs!BV293:BX304)),NA())</f>
        <v>#N/A</v>
      </c>
    </row>
  </sheetData>
  <autoFilter ref="A1:A302" xr:uid="{00000000-0009-0000-0000-00000E000000}">
    <filterColumn colId="0">
      <customFilters>
        <customFilter operator="notEqual" val=" "/>
      </customFilters>
    </filterColumn>
  </autoFilter>
  <mergeCells count="3">
    <mergeCell ref="B1:J1"/>
    <mergeCell ref="K1:M1"/>
    <mergeCell ref="N1:S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N11"/>
  <sheetViews>
    <sheetView showGridLines="0" workbookViewId="0"/>
  </sheetViews>
  <sheetFormatPr defaultRowHeight="15" x14ac:dyDescent="0.25"/>
  <sheetData>
    <row r="11" spans="14:14" x14ac:dyDescent="0.25">
      <c r="N11" t="s">
        <v>251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1A659"/>
    <pageSetUpPr fitToPage="1"/>
  </sheetPr>
  <dimension ref="A1:AQ76"/>
  <sheetViews>
    <sheetView showGridLines="0" tabSelected="1" zoomScale="85" zoomScaleNormal="85" workbookViewId="0">
      <selection activeCell="E7" sqref="E7:F7"/>
    </sheetView>
  </sheetViews>
  <sheetFormatPr defaultRowHeight="15" x14ac:dyDescent="0.25"/>
  <cols>
    <col min="1" max="1" width="1.5703125" customWidth="1"/>
    <col min="2" max="2" width="2.85546875" customWidth="1"/>
    <col min="3" max="3" width="31.42578125" customWidth="1"/>
    <col min="4" max="4" width="9.85546875" bestFit="1" customWidth="1"/>
    <col min="5" max="5" width="21.42578125" customWidth="1"/>
    <col min="6" max="6" width="20.28515625" customWidth="1"/>
    <col min="7" max="7" width="8.28515625" bestFit="1" customWidth="1"/>
    <col min="8" max="8" width="11.85546875" customWidth="1"/>
    <col min="9" max="9" width="4.42578125" customWidth="1"/>
    <col min="10" max="10" width="5.28515625" bestFit="1" customWidth="1"/>
    <col min="11" max="11" width="2.7109375" customWidth="1"/>
    <col min="12" max="12" width="2.85546875" customWidth="1"/>
    <col min="13" max="13" width="31.42578125" customWidth="1"/>
    <col min="14" max="14" width="9.7109375" bestFit="1" customWidth="1"/>
    <col min="15" max="15" width="19.7109375" bestFit="1" customWidth="1"/>
    <col min="16" max="16" width="20.85546875" customWidth="1"/>
    <col min="17" max="17" width="18.42578125" customWidth="1"/>
    <col min="18" max="18" width="1.42578125" customWidth="1"/>
    <col min="24" max="24" width="10.7109375" customWidth="1"/>
    <col min="25" max="25" width="6.28515625" customWidth="1"/>
    <col min="26" max="26" width="0.7109375" customWidth="1"/>
  </cols>
  <sheetData>
    <row r="1" spans="1:43" ht="36.75" customHeight="1" thickBot="1" x14ac:dyDescent="0.3">
      <c r="A1" s="171"/>
      <c r="B1" s="171"/>
      <c r="C1" s="315" t="s">
        <v>516</v>
      </c>
      <c r="D1" s="315"/>
      <c r="E1" s="315"/>
      <c r="F1" s="315"/>
      <c r="G1" s="212" t="s">
        <v>256</v>
      </c>
      <c r="H1" s="213"/>
      <c r="I1" s="214"/>
      <c r="J1" s="214"/>
      <c r="K1" s="215"/>
      <c r="L1" s="212" t="s">
        <v>257</v>
      </c>
      <c r="M1" s="213"/>
      <c r="N1" s="171"/>
      <c r="O1" s="216"/>
      <c r="P1" s="217"/>
      <c r="Q1" s="217"/>
      <c r="R1" s="171"/>
      <c r="S1" s="171"/>
      <c r="T1" s="171"/>
      <c r="U1" s="171"/>
      <c r="V1" s="171"/>
      <c r="W1" s="171"/>
      <c r="X1" s="171"/>
      <c r="Y1" s="171"/>
      <c r="Z1" s="171"/>
      <c r="AA1" s="171"/>
      <c r="AB1" s="171"/>
      <c r="AC1" s="171"/>
      <c r="AD1" s="171"/>
      <c r="AE1" s="171"/>
      <c r="AF1" s="171"/>
      <c r="AG1" s="171"/>
      <c r="AH1" s="28"/>
      <c r="AI1" s="28"/>
      <c r="AJ1" s="28"/>
      <c r="AK1" s="28"/>
      <c r="AL1" s="28"/>
      <c r="AM1" s="28"/>
      <c r="AN1" s="28"/>
      <c r="AO1" s="28"/>
      <c r="AP1" s="28"/>
      <c r="AQ1" s="28"/>
    </row>
    <row r="2" spans="1:43" ht="6.75" customHeight="1" x14ac:dyDescent="0.2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row>
    <row r="3" spans="1:43" ht="18.75" x14ac:dyDescent="0.3">
      <c r="A3" s="36"/>
      <c r="B3" s="82" t="s">
        <v>0</v>
      </c>
      <c r="C3" s="17"/>
      <c r="D3" s="17"/>
      <c r="E3" s="17"/>
      <c r="F3" s="17"/>
      <c r="G3" s="17"/>
      <c r="H3" s="17"/>
      <c r="I3" s="17"/>
      <c r="J3" s="167">
        <v>1</v>
      </c>
      <c r="K3" s="36"/>
      <c r="L3" s="82" t="s">
        <v>15</v>
      </c>
      <c r="M3" s="17"/>
      <c r="N3" s="17"/>
      <c r="O3" s="17"/>
      <c r="P3" s="167">
        <v>6</v>
      </c>
      <c r="Q3" s="36"/>
      <c r="R3" s="36"/>
      <c r="S3" s="36"/>
      <c r="T3" s="36"/>
      <c r="U3" s="165"/>
      <c r="V3" s="165"/>
      <c r="W3" s="36"/>
      <c r="X3" s="36"/>
      <c r="Y3" s="36"/>
      <c r="Z3" s="36"/>
      <c r="AA3" s="36"/>
      <c r="AB3" s="36"/>
      <c r="AC3" s="36"/>
      <c r="AD3" s="36"/>
      <c r="AE3" s="36"/>
      <c r="AF3" s="36"/>
      <c r="AG3" s="36"/>
    </row>
    <row r="4" spans="1:43" x14ac:dyDescent="0.25">
      <c r="A4" s="36"/>
      <c r="B4" s="30"/>
      <c r="C4" t="s">
        <v>1</v>
      </c>
      <c r="E4" s="7" t="s">
        <v>9</v>
      </c>
      <c r="F4" s="7" t="s">
        <v>253</v>
      </c>
      <c r="J4" s="168"/>
      <c r="K4" s="36"/>
      <c r="L4" s="30"/>
      <c r="M4" t="s">
        <v>16</v>
      </c>
      <c r="O4" s="5">
        <v>0</v>
      </c>
      <c r="P4" s="168"/>
      <c r="Q4" s="36"/>
      <c r="R4" s="36"/>
      <c r="S4" s="36"/>
      <c r="T4" s="36"/>
      <c r="U4" s="165"/>
      <c r="V4" s="165"/>
      <c r="W4" s="36"/>
      <c r="X4" s="36"/>
      <c r="Y4" s="36"/>
      <c r="Z4" s="36"/>
      <c r="AA4" s="36"/>
      <c r="AB4" s="36"/>
      <c r="AC4" s="36"/>
      <c r="AD4" s="36"/>
      <c r="AE4" s="36"/>
      <c r="AF4" s="36"/>
      <c r="AG4" s="36"/>
    </row>
    <row r="5" spans="1:43" x14ac:dyDescent="0.25">
      <c r="A5" s="36"/>
      <c r="B5" s="30"/>
      <c r="C5" t="s">
        <v>368</v>
      </c>
      <c r="E5" s="7">
        <v>2025</v>
      </c>
      <c r="J5" s="168"/>
      <c r="K5" s="36"/>
      <c r="L5" s="30"/>
      <c r="M5" t="s">
        <v>25</v>
      </c>
      <c r="O5" s="93">
        <f>O16*(1-$O$4)</f>
        <v>2325000</v>
      </c>
      <c r="P5" s="168"/>
      <c r="Q5" s="36"/>
      <c r="R5" s="36"/>
      <c r="S5" s="36"/>
      <c r="T5" s="36"/>
      <c r="U5" s="165"/>
      <c r="V5" s="165"/>
      <c r="W5" s="36"/>
      <c r="X5" s="36"/>
      <c r="Y5" s="36"/>
      <c r="Z5" s="36"/>
      <c r="AA5" s="36"/>
      <c r="AB5" s="36"/>
      <c r="AC5" s="36"/>
      <c r="AD5" s="36"/>
      <c r="AE5" s="36"/>
      <c r="AF5" s="36"/>
      <c r="AG5" s="36"/>
    </row>
    <row r="6" spans="1:43" x14ac:dyDescent="0.25">
      <c r="A6" s="36"/>
      <c r="B6" s="30"/>
      <c r="C6" t="str">
        <f>IF(D7="Table","Starting Retail Cost of Electricity","Retail Cost of Electricity")</f>
        <v>Starting Retail Cost of Electricity</v>
      </c>
      <c r="D6" s="7">
        <v>2024</v>
      </c>
      <c r="E6" s="58">
        <v>7.5999999999999998E-2</v>
      </c>
      <c r="F6" s="14" t="str">
        <f>IF(D7="Table","/kWh","/kWh @")</f>
        <v>/kWh</v>
      </c>
      <c r="G6" s="35">
        <v>0</v>
      </c>
      <c r="H6" s="87" t="s">
        <v>164</v>
      </c>
      <c r="J6" s="168"/>
      <c r="K6" s="36"/>
      <c r="L6" s="30"/>
      <c r="M6" t="s">
        <v>26</v>
      </c>
      <c r="O6" s="93">
        <f>O4*O16</f>
        <v>0</v>
      </c>
      <c r="P6" s="168"/>
      <c r="Q6" s="36"/>
      <c r="R6" s="36"/>
      <c r="S6" s="36"/>
      <c r="T6" s="36"/>
      <c r="U6" s="165"/>
      <c r="V6" s="165"/>
      <c r="W6" s="36"/>
      <c r="X6" s="36"/>
      <c r="Y6" s="36"/>
      <c r="Z6" s="36"/>
      <c r="AA6" s="36"/>
      <c r="AB6" s="36"/>
      <c r="AC6" s="36"/>
      <c r="AD6" s="36"/>
      <c r="AE6" s="36"/>
      <c r="AF6" s="36"/>
      <c r="AG6" s="36"/>
    </row>
    <row r="7" spans="1:43" x14ac:dyDescent="0.25">
      <c r="A7" s="36"/>
      <c r="B7" s="30"/>
      <c r="C7" t="s">
        <v>386</v>
      </c>
      <c r="D7" s="7" t="s">
        <v>374</v>
      </c>
      <c r="E7" s="316" t="s">
        <v>534</v>
      </c>
      <c r="F7" s="316"/>
      <c r="G7" s="316" t="s">
        <v>378</v>
      </c>
      <c r="H7" s="316"/>
      <c r="J7" s="168"/>
      <c r="K7" s="36"/>
      <c r="L7" s="30"/>
      <c r="M7" t="s">
        <v>17</v>
      </c>
      <c r="O7" s="76">
        <v>4.4999999999999998E-2</v>
      </c>
      <c r="P7" s="168"/>
      <c r="Q7" s="36"/>
      <c r="R7" s="36"/>
      <c r="S7" s="36"/>
      <c r="T7" s="36"/>
      <c r="U7" s="36"/>
      <c r="V7" s="36"/>
      <c r="W7" s="36"/>
      <c r="X7" s="36"/>
      <c r="Y7" s="36"/>
      <c r="Z7" s="36"/>
      <c r="AA7" s="36"/>
      <c r="AB7" s="36"/>
      <c r="AC7" s="36"/>
      <c r="AD7" s="36"/>
      <c r="AE7" s="36"/>
      <c r="AF7" s="36"/>
      <c r="AG7" s="36"/>
    </row>
    <row r="8" spans="1:43" x14ac:dyDescent="0.25">
      <c r="A8" s="36"/>
      <c r="B8" s="30"/>
      <c r="C8" t="s">
        <v>3</v>
      </c>
      <c r="E8" s="5">
        <v>0.21</v>
      </c>
      <c r="J8" s="168"/>
      <c r="K8" s="36"/>
      <c r="L8" s="30"/>
      <c r="M8" t="s">
        <v>18</v>
      </c>
      <c r="O8" s="7">
        <v>20</v>
      </c>
      <c r="P8" s="168" t="s">
        <v>45</v>
      </c>
      <c r="Q8" s="36"/>
      <c r="R8" s="36"/>
      <c r="S8" s="36"/>
      <c r="T8" s="36"/>
      <c r="U8" s="36"/>
      <c r="V8" s="36"/>
      <c r="W8" s="36"/>
      <c r="X8" s="36"/>
      <c r="Y8" s="36"/>
      <c r="Z8" s="36"/>
      <c r="AA8" s="36"/>
      <c r="AB8" s="36"/>
      <c r="AC8" s="36"/>
      <c r="AD8" s="36"/>
      <c r="AE8" s="36"/>
      <c r="AF8" s="36"/>
      <c r="AG8" s="36"/>
    </row>
    <row r="9" spans="1:43" x14ac:dyDescent="0.25">
      <c r="A9" s="36"/>
      <c r="B9" s="30"/>
      <c r="C9" t="s">
        <v>91</v>
      </c>
      <c r="E9" s="25">
        <v>0.05</v>
      </c>
      <c r="F9" s="14" t="s">
        <v>138</v>
      </c>
      <c r="G9" s="88">
        <f>'Batt IN'!G8</f>
        <v>4.0741237836483535E-3</v>
      </c>
      <c r="H9" s="14" t="s">
        <v>153</v>
      </c>
      <c r="J9" s="168"/>
      <c r="K9" s="36"/>
      <c r="L9" s="30"/>
      <c r="M9" t="s">
        <v>208</v>
      </c>
      <c r="O9" s="93">
        <f>LOOKUP($O$8*12,PVCalcs!C4:C304,PVCalcs!AX4:AX304)</f>
        <v>432284.97661087348</v>
      </c>
      <c r="P9" s="168"/>
      <c r="Q9" s="36"/>
      <c r="R9" s="36"/>
      <c r="S9" s="36"/>
      <c r="T9" s="36"/>
      <c r="U9" s="36"/>
      <c r="V9" s="36"/>
      <c r="W9" s="36"/>
      <c r="X9" s="36"/>
      <c r="Y9" s="36"/>
      <c r="Z9" s="36"/>
      <c r="AA9" s="36"/>
      <c r="AB9" s="36"/>
      <c r="AC9" s="36"/>
      <c r="AD9" s="36"/>
      <c r="AE9" s="36"/>
      <c r="AF9" s="36"/>
      <c r="AG9" s="36"/>
    </row>
    <row r="10" spans="1:43" x14ac:dyDescent="0.25">
      <c r="A10" s="36"/>
      <c r="B10" s="30"/>
      <c r="C10" t="s">
        <v>148</v>
      </c>
      <c r="E10" s="25">
        <v>0.06</v>
      </c>
      <c r="F10" s="14" t="s">
        <v>138</v>
      </c>
      <c r="G10" s="88">
        <f>(1+E10)^(1/12)-1</f>
        <v>4.8675505653430484E-3</v>
      </c>
      <c r="H10" s="14" t="s">
        <v>153</v>
      </c>
      <c r="J10" s="168"/>
      <c r="K10" s="36"/>
      <c r="L10" s="30"/>
      <c r="M10" t="s">
        <v>19</v>
      </c>
      <c r="N10" s="7" t="s">
        <v>22</v>
      </c>
      <c r="P10" s="168"/>
      <c r="Q10" s="36"/>
      <c r="R10" s="36"/>
      <c r="S10" s="36"/>
      <c r="T10" s="36"/>
      <c r="U10" s="36"/>
      <c r="V10" s="36"/>
      <c r="W10" s="36"/>
      <c r="X10" s="36"/>
      <c r="Y10" s="36"/>
      <c r="Z10" s="36"/>
      <c r="AA10" s="36"/>
      <c r="AB10" s="36"/>
      <c r="AC10" s="36"/>
      <c r="AD10" s="36"/>
      <c r="AE10" s="36"/>
      <c r="AF10" s="36"/>
      <c r="AG10" s="36"/>
    </row>
    <row r="11" spans="1:43" ht="15.75" thickBot="1" x14ac:dyDescent="0.3">
      <c r="A11" s="36"/>
      <c r="B11" s="34" t="s">
        <v>283</v>
      </c>
      <c r="J11" s="168"/>
      <c r="K11" s="36"/>
      <c r="L11" s="169"/>
      <c r="M11" s="170" t="s">
        <v>20</v>
      </c>
      <c r="N11" s="171" t="s">
        <v>22</v>
      </c>
      <c r="O11" s="170"/>
      <c r="P11" s="172"/>
      <c r="Q11" s="36"/>
      <c r="R11" s="36"/>
      <c r="S11" s="36"/>
      <c r="T11" s="36"/>
      <c r="U11" s="36"/>
      <c r="V11" s="36"/>
      <c r="W11" s="36"/>
      <c r="X11" s="36"/>
      <c r="Y11" s="36"/>
      <c r="Z11" s="36"/>
      <c r="AA11" s="36"/>
      <c r="AB11" s="36"/>
      <c r="AC11" s="36"/>
      <c r="AD11" s="36"/>
      <c r="AE11" s="36"/>
      <c r="AF11" s="36"/>
      <c r="AG11" s="36"/>
    </row>
    <row r="12" spans="1:43" x14ac:dyDescent="0.25">
      <c r="A12" s="36"/>
      <c r="B12" s="30"/>
      <c r="C12" t="s">
        <v>4</v>
      </c>
      <c r="E12" s="8">
        <v>15</v>
      </c>
      <c r="F12" t="s">
        <v>299</v>
      </c>
      <c r="H12" t="s">
        <v>7</v>
      </c>
      <c r="I12" s="7">
        <v>2</v>
      </c>
      <c r="J12" s="168" t="s">
        <v>8</v>
      </c>
      <c r="K12" s="36"/>
      <c r="L12" s="36"/>
      <c r="M12" s="36"/>
      <c r="N12" s="36"/>
      <c r="O12" s="36"/>
      <c r="P12" s="36"/>
      <c r="Q12" s="36"/>
      <c r="R12" s="36"/>
      <c r="S12" s="36"/>
      <c r="T12" s="36"/>
      <c r="U12" s="36"/>
      <c r="V12" s="36"/>
      <c r="W12" s="36"/>
      <c r="X12" s="36"/>
      <c r="Y12" s="36"/>
      <c r="Z12" s="36"/>
      <c r="AA12" s="36"/>
      <c r="AB12" s="36"/>
      <c r="AC12" s="36"/>
      <c r="AD12" s="36"/>
      <c r="AE12" s="36"/>
      <c r="AF12" s="36"/>
      <c r="AG12" s="36"/>
    </row>
    <row r="13" spans="1:43" ht="18.75" x14ac:dyDescent="0.3">
      <c r="A13" s="36"/>
      <c r="B13" s="30"/>
      <c r="C13" t="s">
        <v>5</v>
      </c>
      <c r="E13" s="8">
        <v>13</v>
      </c>
      <c r="F13" t="s">
        <v>299</v>
      </c>
      <c r="H13" t="s">
        <v>7</v>
      </c>
      <c r="I13" s="7">
        <v>8</v>
      </c>
      <c r="J13" s="168" t="s">
        <v>8</v>
      </c>
      <c r="K13" s="36"/>
      <c r="L13" s="82" t="s">
        <v>50</v>
      </c>
      <c r="M13" s="17"/>
      <c r="N13" s="17"/>
      <c r="O13" s="235" t="s">
        <v>122</v>
      </c>
      <c r="P13" s="229" t="str">
        <f>IF($F$4="Battery Only","Battery System","Hybrid System")</f>
        <v>Hybrid System</v>
      </c>
      <c r="Q13" s="36"/>
      <c r="R13" s="36"/>
      <c r="S13" s="36"/>
      <c r="T13" s="36"/>
      <c r="U13" s="36"/>
      <c r="V13" s="36"/>
      <c r="W13" s="36"/>
      <c r="X13" s="36"/>
      <c r="Y13" s="36"/>
      <c r="Z13" s="36"/>
      <c r="AA13" s="36"/>
      <c r="AB13" s="36"/>
      <c r="AC13" s="36"/>
      <c r="AD13" s="36"/>
      <c r="AE13" s="36"/>
      <c r="AF13" s="36"/>
      <c r="AG13" s="36"/>
    </row>
    <row r="14" spans="1:43" x14ac:dyDescent="0.25">
      <c r="A14" s="36"/>
      <c r="B14" s="30"/>
      <c r="C14" t="s">
        <v>6</v>
      </c>
      <c r="E14" s="8">
        <v>13</v>
      </c>
      <c r="F14" t="s">
        <v>299</v>
      </c>
      <c r="H14" t="s">
        <v>7</v>
      </c>
      <c r="I14" s="7">
        <v>5</v>
      </c>
      <c r="J14" s="168" t="s">
        <v>8</v>
      </c>
      <c r="K14" s="36"/>
      <c r="L14" s="30"/>
      <c r="M14" t="s">
        <v>33</v>
      </c>
      <c r="O14" s="236">
        <f>IF($F$4="Battery Only",0,IF($D$30="Simple",E18*(E32)*1000,Adv.!K26))</f>
        <v>2325000</v>
      </c>
      <c r="P14" s="230">
        <f>O14+'Batt IN'!O22</f>
        <v>2325000</v>
      </c>
      <c r="Q14" s="36"/>
      <c r="R14" s="36"/>
      <c r="S14" s="36"/>
      <c r="T14" s="36"/>
      <c r="U14" s="36"/>
      <c r="V14" s="36"/>
      <c r="W14" s="36"/>
      <c r="X14" s="36"/>
      <c r="Y14" s="36"/>
      <c r="Z14" s="36"/>
      <c r="AA14" s="36"/>
      <c r="AB14" s="36"/>
      <c r="AC14" s="36"/>
      <c r="AD14" s="36"/>
      <c r="AE14" s="36"/>
      <c r="AF14" s="36"/>
      <c r="AG14" s="36"/>
    </row>
    <row r="15" spans="1:43" ht="15.75" thickBot="1" x14ac:dyDescent="0.3">
      <c r="A15" s="36"/>
      <c r="B15" s="169"/>
      <c r="C15" s="170" t="s">
        <v>213</v>
      </c>
      <c r="D15" s="170"/>
      <c r="E15" s="173" t="s">
        <v>53</v>
      </c>
      <c r="F15" s="170"/>
      <c r="G15" s="170"/>
      <c r="H15" s="170"/>
      <c r="I15" s="170"/>
      <c r="J15" s="172"/>
      <c r="K15" s="36"/>
      <c r="L15" s="30"/>
      <c r="M15" t="s">
        <v>51</v>
      </c>
      <c r="O15" s="236">
        <f>IF($F$4="Battery Only",0,G35+G37)</f>
        <v>0</v>
      </c>
      <c r="P15" s="230">
        <f>O15+'Batt IN'!O23</f>
        <v>0</v>
      </c>
      <c r="Q15" s="36"/>
      <c r="R15" s="36"/>
      <c r="S15" s="36"/>
      <c r="T15" s="36"/>
      <c r="U15" s="36"/>
      <c r="V15" s="36"/>
      <c r="W15" s="36"/>
      <c r="X15" s="36"/>
      <c r="Y15" s="36"/>
      <c r="Z15" s="36"/>
      <c r="AA15" s="36"/>
      <c r="AB15" s="36"/>
      <c r="AC15" s="36"/>
      <c r="AD15" s="36"/>
      <c r="AE15" s="36"/>
      <c r="AF15" s="36"/>
      <c r="AG15" s="36"/>
    </row>
    <row r="16" spans="1:43" ht="15.75" thickBot="1" x14ac:dyDescent="0.3">
      <c r="A16" s="36"/>
      <c r="B16" s="36"/>
      <c r="C16" s="36"/>
      <c r="D16" s="36"/>
      <c r="E16" s="36"/>
      <c r="F16" s="36"/>
      <c r="G16" s="36"/>
      <c r="H16" s="36"/>
      <c r="I16" s="36"/>
      <c r="J16" s="36"/>
      <c r="K16" s="36"/>
      <c r="L16" s="30"/>
      <c r="M16" t="s">
        <v>235</v>
      </c>
      <c r="O16" s="237">
        <f>IF($F$4="Battery Only",0,SUM(O14:O15)-PVCalcs!$W$4-PVCalcs!$AA$4)</f>
        <v>2325000</v>
      </c>
      <c r="P16" s="231">
        <f>O16+'Batt IN'!O24</f>
        <v>2325000</v>
      </c>
      <c r="Q16" s="36"/>
      <c r="R16" s="36"/>
      <c r="S16" s="36"/>
      <c r="T16" s="36"/>
      <c r="U16" s="36"/>
      <c r="V16" s="36"/>
      <c r="W16" s="36"/>
      <c r="X16" s="36"/>
      <c r="Y16" s="36"/>
      <c r="Z16" s="36"/>
      <c r="AA16" s="36"/>
      <c r="AB16" s="36"/>
      <c r="AC16" s="36"/>
      <c r="AD16" s="36"/>
      <c r="AE16" s="36"/>
      <c r="AF16" s="36"/>
      <c r="AG16" s="36"/>
    </row>
    <row r="17" spans="1:33" ht="19.5" thickTop="1" x14ac:dyDescent="0.3">
      <c r="A17" s="36"/>
      <c r="B17" s="82" t="s">
        <v>280</v>
      </c>
      <c r="C17" s="17"/>
      <c r="D17" s="17"/>
      <c r="E17" s="17"/>
      <c r="F17" s="17"/>
      <c r="G17" s="17"/>
      <c r="H17" s="17"/>
      <c r="I17" s="17"/>
      <c r="J17" s="167">
        <v>2</v>
      </c>
      <c r="K17" s="36"/>
      <c r="L17" s="30"/>
      <c r="M17" t="s">
        <v>132</v>
      </c>
      <c r="O17" s="238">
        <f>O5</f>
        <v>2325000</v>
      </c>
      <c r="P17" s="232">
        <f>O17+'Batt IN'!O25</f>
        <v>2325000</v>
      </c>
      <c r="Q17" s="36"/>
      <c r="R17" s="36"/>
      <c r="S17" s="36"/>
      <c r="T17" s="36"/>
      <c r="U17" s="36"/>
      <c r="V17" s="36"/>
      <c r="W17" s="36"/>
      <c r="X17" s="36"/>
      <c r="Y17" s="36"/>
      <c r="Z17" s="36"/>
      <c r="AA17" s="36"/>
      <c r="AB17" s="36"/>
      <c r="AC17" s="36"/>
      <c r="AD17" s="36"/>
      <c r="AE17" s="36"/>
      <c r="AF17" s="36"/>
      <c r="AG17" s="36"/>
    </row>
    <row r="18" spans="1:33" ht="18" x14ac:dyDescent="0.35">
      <c r="A18" s="36"/>
      <c r="B18" s="30"/>
      <c r="C18" t="s">
        <v>30</v>
      </c>
      <c r="E18" s="6">
        <v>1500</v>
      </c>
      <c r="F18" t="s">
        <v>98</v>
      </c>
      <c r="G18" s="89">
        <f>E18/'Batt IN'!E27</f>
        <v>1.5</v>
      </c>
      <c r="H18" t="s">
        <v>155</v>
      </c>
      <c r="J18" s="168"/>
      <c r="K18" s="36"/>
      <c r="L18" s="30"/>
      <c r="M18" s="27" t="s">
        <v>509</v>
      </c>
      <c r="O18" s="239">
        <f>IF($G$40="Non-Taxable",$F$40,0)+IF($G$41="Non-Taxable",$F$41,0)</f>
        <v>0</v>
      </c>
      <c r="P18" s="233">
        <f>O18+'Batt IN'!O26</f>
        <v>0</v>
      </c>
      <c r="Q18" s="36"/>
      <c r="R18" s="36"/>
      <c r="S18" s="36"/>
      <c r="T18" s="36"/>
      <c r="U18" s="36"/>
      <c r="V18" s="36"/>
      <c r="W18" s="36"/>
      <c r="X18" s="36"/>
      <c r="Y18" s="36"/>
      <c r="Z18" s="36"/>
      <c r="AA18" s="36"/>
      <c r="AB18" s="36"/>
      <c r="AC18" s="36"/>
      <c r="AD18" s="36"/>
      <c r="AE18" s="36"/>
      <c r="AF18" s="36"/>
      <c r="AG18" s="36"/>
    </row>
    <row r="19" spans="1:33" x14ac:dyDescent="0.25">
      <c r="A19" s="36"/>
      <c r="B19" s="30"/>
      <c r="C19" s="90" t="s">
        <v>282</v>
      </c>
      <c r="D19" s="7" t="s">
        <v>22</v>
      </c>
      <c r="J19" s="168"/>
      <c r="K19" s="36"/>
      <c r="L19" s="30"/>
      <c r="M19" s="27" t="s">
        <v>54</v>
      </c>
      <c r="O19" s="239">
        <f>$O$16-$O$18</f>
        <v>2325000</v>
      </c>
      <c r="P19" s="233">
        <f>O19+'Batt IN'!O27</f>
        <v>2325000</v>
      </c>
      <c r="Q19" s="36"/>
      <c r="R19" s="36"/>
      <c r="S19" s="36"/>
      <c r="T19" s="36"/>
      <c r="U19" s="36"/>
      <c r="V19" s="36"/>
      <c r="W19" s="36"/>
      <c r="X19" s="36"/>
      <c r="Y19" s="36"/>
      <c r="Z19" s="36"/>
      <c r="AA19" s="36"/>
      <c r="AB19" s="36"/>
      <c r="AC19" s="36"/>
      <c r="AD19" s="36"/>
      <c r="AE19" s="36"/>
      <c r="AF19" s="36"/>
      <c r="AG19" s="36"/>
    </row>
    <row r="20" spans="1:33" ht="15.75" thickBot="1" x14ac:dyDescent="0.3">
      <c r="A20" s="36"/>
      <c r="B20" s="34" t="s">
        <v>115</v>
      </c>
      <c r="J20" s="168"/>
      <c r="K20" s="36"/>
      <c r="L20" s="169"/>
      <c r="M20" s="174" t="s">
        <v>392</v>
      </c>
      <c r="N20" s="170"/>
      <c r="O20" s="240">
        <f>$O$16-$O$18*0.5-$F$45*0.5</f>
        <v>1976250</v>
      </c>
      <c r="P20" s="234">
        <f>O20+'Batt IN'!O28</f>
        <v>1976250</v>
      </c>
      <c r="Q20" s="36"/>
      <c r="R20" s="36"/>
      <c r="S20" s="36"/>
      <c r="T20" s="36"/>
      <c r="U20" s="36"/>
      <c r="V20" s="36"/>
      <c r="W20" s="36"/>
      <c r="X20" s="36"/>
      <c r="Y20" s="36"/>
      <c r="Z20" s="36"/>
      <c r="AA20" s="36"/>
      <c r="AB20" s="36"/>
      <c r="AC20" s="36"/>
      <c r="AD20" s="36"/>
      <c r="AE20" s="36"/>
      <c r="AF20" s="36"/>
      <c r="AG20" s="36"/>
    </row>
    <row r="21" spans="1:33" x14ac:dyDescent="0.25">
      <c r="A21" s="36"/>
      <c r="B21" s="30"/>
      <c r="C21" s="90" t="s">
        <v>241</v>
      </c>
      <c r="E21" s="25">
        <v>0.03</v>
      </c>
      <c r="F21" t="s">
        <v>255</v>
      </c>
      <c r="J21" s="168"/>
      <c r="K21" s="36"/>
      <c r="L21" s="36"/>
      <c r="M21" s="36"/>
      <c r="N21" s="36"/>
      <c r="O21" s="36"/>
      <c r="P21" s="36"/>
      <c r="Q21" s="36"/>
      <c r="R21" s="36"/>
      <c r="S21" s="36"/>
      <c r="T21" s="36"/>
      <c r="U21" s="36"/>
      <c r="V21" s="36"/>
      <c r="W21" s="36"/>
      <c r="X21" s="36"/>
      <c r="Y21" s="36"/>
      <c r="Z21" s="36"/>
      <c r="AA21" s="36"/>
      <c r="AB21" s="36"/>
      <c r="AC21" s="36"/>
      <c r="AD21" s="36"/>
      <c r="AE21" s="36"/>
      <c r="AF21" s="36"/>
      <c r="AG21" s="36"/>
    </row>
    <row r="22" spans="1:33" ht="18.75" x14ac:dyDescent="0.3">
      <c r="A22" s="36"/>
      <c r="B22" s="30"/>
      <c r="C22" s="90" t="s">
        <v>246</v>
      </c>
      <c r="E22" s="5">
        <v>0.02</v>
      </c>
      <c r="J22" s="168"/>
      <c r="K22" s="36"/>
      <c r="L22" s="82" t="s">
        <v>402</v>
      </c>
      <c r="M22" s="17"/>
      <c r="N22" s="17"/>
      <c r="O22" s="94">
        <v>20</v>
      </c>
      <c r="P22" s="105" t="s">
        <v>403</v>
      </c>
      <c r="Q22" s="177"/>
      <c r="R22" s="36"/>
      <c r="S22" s="36"/>
      <c r="T22" s="36"/>
      <c r="U22" s="36"/>
      <c r="V22" s="36"/>
      <c r="W22" s="36"/>
      <c r="X22" s="36"/>
      <c r="Y22" s="36"/>
      <c r="Z22" s="36"/>
      <c r="AA22" s="36"/>
      <c r="AB22" s="36"/>
      <c r="AC22" s="36"/>
      <c r="AD22" s="36"/>
      <c r="AE22" s="36"/>
      <c r="AF22" s="36"/>
      <c r="AG22" s="36"/>
    </row>
    <row r="23" spans="1:33" ht="15.75" x14ac:dyDescent="0.25">
      <c r="A23" s="36"/>
      <c r="B23" s="30"/>
      <c r="C23" s="90" t="s">
        <v>143</v>
      </c>
      <c r="E23" s="5">
        <v>0.02</v>
      </c>
      <c r="J23" s="168"/>
      <c r="K23" s="36"/>
      <c r="L23" s="30"/>
      <c r="N23" s="95"/>
      <c r="O23" s="226" t="s">
        <v>122</v>
      </c>
      <c r="P23" s="227" t="s">
        <v>127</v>
      </c>
      <c r="Q23" s="228" t="s">
        <v>123</v>
      </c>
      <c r="R23" s="36"/>
      <c r="S23" s="36"/>
      <c r="T23" s="36"/>
      <c r="U23" s="36"/>
      <c r="V23" s="36"/>
      <c r="W23" s="36"/>
      <c r="X23" s="36"/>
      <c r="Y23" s="36"/>
      <c r="Z23" s="36"/>
      <c r="AA23" s="36"/>
      <c r="AB23" s="36"/>
      <c r="AC23" s="36"/>
      <c r="AD23" s="36"/>
      <c r="AE23" s="36"/>
      <c r="AF23" s="36"/>
      <c r="AG23" s="36"/>
    </row>
    <row r="24" spans="1:33" ht="18.75" x14ac:dyDescent="0.3">
      <c r="A24" s="36"/>
      <c r="B24" s="34" t="s">
        <v>157</v>
      </c>
      <c r="J24" s="168"/>
      <c r="K24" s="36"/>
      <c r="L24" s="30"/>
      <c r="M24" s="104" t="str">
        <f>$O$22&amp;"-Year Discounted Cash ROI"</f>
        <v>20-Year Discounted Cash ROI</v>
      </c>
      <c r="N24" s="96"/>
      <c r="O24" s="220">
        <f ca="1">SUM(PV_DCF)/$O$17</f>
        <v>0.18592902219822516</v>
      </c>
      <c r="P24" s="205" t="e">
        <f ca="1">'Batt IN'!O32</f>
        <v>#DIV/0!</v>
      </c>
      <c r="Q24" s="209">
        <f ca="1">'Batt IN'!Q32</f>
        <v>0.18592902219822516</v>
      </c>
      <c r="R24" s="36"/>
      <c r="S24" s="36"/>
      <c r="T24" s="36"/>
      <c r="U24" s="36"/>
      <c r="V24" s="36"/>
      <c r="W24" s="36"/>
      <c r="X24" s="36"/>
      <c r="Y24" s="36"/>
      <c r="Z24" s="36"/>
      <c r="AA24" s="36"/>
      <c r="AB24" s="36"/>
      <c r="AC24" s="36"/>
      <c r="AD24" s="36"/>
      <c r="AE24" s="36"/>
      <c r="AF24" s="36"/>
      <c r="AG24" s="36"/>
    </row>
    <row r="25" spans="1:33" ht="19.5" x14ac:dyDescent="0.35">
      <c r="A25" s="36"/>
      <c r="B25" s="30"/>
      <c r="C25" t="s">
        <v>134</v>
      </c>
      <c r="E25" s="19">
        <v>1220</v>
      </c>
      <c r="F25" t="s">
        <v>249</v>
      </c>
      <c r="J25" s="168"/>
      <c r="K25" s="36"/>
      <c r="M25" s="104" t="str">
        <f>$O$22&amp;"-Year Discounted Investment ROI"</f>
        <v>20-Year Discounted Investment ROI</v>
      </c>
      <c r="O25" s="220">
        <f ca="1">SUM(PV_DCF)/$O$16</f>
        <v>0.18592902219822516</v>
      </c>
      <c r="P25" s="205" t="e">
        <f ca="1">'Batt IN'!O34</f>
        <v>#DIV/0!</v>
      </c>
      <c r="Q25" s="209">
        <f ca="1">'Batt IN'!Q34</f>
        <v>0.89709173777367868</v>
      </c>
      <c r="R25" s="36"/>
      <c r="S25" s="36"/>
      <c r="T25" s="36"/>
      <c r="U25" s="36"/>
      <c r="V25" s="36"/>
      <c r="W25" s="36"/>
      <c r="X25" s="36"/>
      <c r="Y25" s="36"/>
      <c r="Z25" s="36"/>
      <c r="AA25" s="36"/>
      <c r="AB25" s="36"/>
      <c r="AC25" s="36"/>
      <c r="AD25" s="36"/>
      <c r="AE25" s="36"/>
      <c r="AF25" s="36"/>
      <c r="AG25" s="36"/>
    </row>
    <row r="26" spans="1:33" ht="19.5" x14ac:dyDescent="0.35">
      <c r="A26" s="36"/>
      <c r="B26" s="30"/>
      <c r="C26" s="90" t="s">
        <v>135</v>
      </c>
      <c r="E26" s="91">
        <f>SUM(PVCalcs!M5:M16)</f>
        <v>1823304.8887682834</v>
      </c>
      <c r="F26" t="s">
        <v>339</v>
      </c>
      <c r="J26" s="168"/>
      <c r="K26" s="36"/>
      <c r="L26" s="30"/>
      <c r="M26" s="104" t="str">
        <f>'Batt IN'!M34</f>
        <v>20-Yr. Annualized Mod.IRR</v>
      </c>
      <c r="O26" s="220">
        <f ca="1">((1+MIRR(PV_AfterTax_CF,$E$9,$E$10))^12)-1</f>
        <v>0.89709173777367868</v>
      </c>
      <c r="P26" s="205" t="e">
        <f ca="1">'Batt IN'!O34</f>
        <v>#DIV/0!</v>
      </c>
      <c r="Q26" s="209">
        <f ca="1">'Batt IN'!Q34</f>
        <v>0.89709173777367868</v>
      </c>
      <c r="R26" s="36"/>
      <c r="S26" s="36"/>
      <c r="T26" s="36"/>
      <c r="U26" s="36"/>
      <c r="V26" s="36"/>
      <c r="W26" s="36"/>
      <c r="X26" s="36"/>
      <c r="Y26" s="36"/>
      <c r="Z26" s="36"/>
      <c r="AA26" s="36"/>
      <c r="AB26" s="36"/>
      <c r="AC26" s="36"/>
      <c r="AD26" s="36"/>
      <c r="AE26" s="36"/>
      <c r="AF26" s="36"/>
      <c r="AG26" s="36"/>
    </row>
    <row r="27" spans="1:33" ht="20.25" thickBot="1" x14ac:dyDescent="0.4">
      <c r="A27" s="36"/>
      <c r="B27" s="169"/>
      <c r="C27" s="170" t="s">
        <v>34</v>
      </c>
      <c r="D27" s="170"/>
      <c r="E27" s="175">
        <v>0.8</v>
      </c>
      <c r="F27" s="170" t="s">
        <v>40</v>
      </c>
      <c r="G27" s="170"/>
      <c r="H27" s="170"/>
      <c r="I27" s="170"/>
      <c r="J27" s="172"/>
      <c r="K27" s="36"/>
      <c r="L27" s="30"/>
      <c r="M27" s="104" t="str">
        <f>'Batt IN'!M35</f>
        <v>20-Yr. Annualized IRR</v>
      </c>
      <c r="N27" s="95"/>
      <c r="O27" s="220">
        <f ca="1">((1+IRR(PV_AfterTax_CF))^12)-1</f>
        <v>8.8207966961473483E-2</v>
      </c>
      <c r="P27" s="205" t="e">
        <f ca="1">'Batt IN'!O35</f>
        <v>#NUM!</v>
      </c>
      <c r="Q27" s="209">
        <f ca="1">'Batt IN'!Q35</f>
        <v>8.8207966961473483E-2</v>
      </c>
      <c r="R27" s="36"/>
      <c r="S27" s="36"/>
      <c r="T27" s="36"/>
      <c r="U27" s="36"/>
      <c r="V27" s="36"/>
      <c r="W27" s="36"/>
      <c r="X27" s="36"/>
      <c r="Y27" s="36"/>
      <c r="Z27" s="36"/>
      <c r="AA27" s="36"/>
      <c r="AB27" s="36"/>
      <c r="AC27" s="36"/>
      <c r="AD27" s="36"/>
      <c r="AE27" s="36"/>
      <c r="AF27" s="36"/>
      <c r="AG27" s="36"/>
    </row>
    <row r="28" spans="1:33" ht="18.75" x14ac:dyDescent="0.3">
      <c r="A28" s="36"/>
      <c r="B28" s="36"/>
      <c r="C28" s="36"/>
      <c r="D28" s="36"/>
      <c r="E28" s="36"/>
      <c r="F28" s="36"/>
      <c r="G28" s="36"/>
      <c r="H28" s="36"/>
      <c r="I28" s="36"/>
      <c r="J28" s="36"/>
      <c r="K28" s="36"/>
      <c r="L28" s="30"/>
      <c r="M28" s="104" t="str">
        <f>O22&amp;"-Yr NPV"</f>
        <v>20-Yr NPV</v>
      </c>
      <c r="O28" s="221">
        <f ca="1">SUM(PV_DCF)</f>
        <v>432284.97661087348</v>
      </c>
      <c r="P28" s="206">
        <f ca="1">'Batt IN'!O36</f>
        <v>0</v>
      </c>
      <c r="Q28" s="210">
        <f ca="1">'Batt IN'!Q36</f>
        <v>432284.97661087348</v>
      </c>
      <c r="R28" s="36"/>
      <c r="S28" s="36"/>
      <c r="T28" s="36"/>
      <c r="U28" s="36"/>
      <c r="V28" s="36"/>
      <c r="W28" s="36"/>
      <c r="X28" s="36"/>
      <c r="Y28" s="36"/>
      <c r="Z28" s="36"/>
      <c r="AA28" s="36"/>
      <c r="AB28" s="36"/>
      <c r="AC28" s="36"/>
      <c r="AD28" s="36"/>
      <c r="AE28" s="36"/>
      <c r="AF28" s="36"/>
      <c r="AG28" s="36"/>
    </row>
    <row r="29" spans="1:33" ht="18.75" x14ac:dyDescent="0.3">
      <c r="A29" s="36"/>
      <c r="B29" s="82" t="s">
        <v>278</v>
      </c>
      <c r="C29" s="17"/>
      <c r="D29" s="17"/>
      <c r="E29" s="17"/>
      <c r="F29" s="17"/>
      <c r="G29" s="17"/>
      <c r="H29" s="17"/>
      <c r="I29" s="17"/>
      <c r="J29" s="167">
        <v>3</v>
      </c>
      <c r="K29" s="36"/>
      <c r="L29" s="30"/>
      <c r="M29" s="104" t="s">
        <v>250</v>
      </c>
      <c r="N29" s="104"/>
      <c r="O29" s="222">
        <f>HybridCalcs!$G$2</f>
        <v>11.5</v>
      </c>
      <c r="P29" s="207">
        <f>HybridCalcs!$J$2</f>
        <v>8.3333333333333329E-2</v>
      </c>
      <c r="Q29" s="211">
        <f>HybridCalcs!$M$2</f>
        <v>11.5</v>
      </c>
      <c r="R29" s="36"/>
      <c r="S29" s="36"/>
      <c r="T29" s="36"/>
      <c r="U29" s="36"/>
      <c r="V29" s="36"/>
      <c r="W29" s="36"/>
      <c r="X29" s="36"/>
      <c r="Y29" s="36"/>
      <c r="Z29" s="36"/>
      <c r="AA29" s="36"/>
      <c r="AB29" s="36"/>
      <c r="AC29" s="36"/>
      <c r="AD29" s="36"/>
      <c r="AE29" s="36"/>
      <c r="AF29" s="36"/>
      <c r="AG29" s="36"/>
    </row>
    <row r="30" spans="1:33" ht="19.5" thickBot="1" x14ac:dyDescent="0.35">
      <c r="A30" s="36"/>
      <c r="B30" s="30"/>
      <c r="C30" s="87" t="s">
        <v>279</v>
      </c>
      <c r="D30" s="7" t="s">
        <v>207</v>
      </c>
      <c r="J30" s="168"/>
      <c r="K30" s="36"/>
      <c r="L30" s="169"/>
      <c r="M30" s="178" t="s">
        <v>491</v>
      </c>
      <c r="N30" s="170"/>
      <c r="O30" s="225">
        <f ca="1">-SUM(PV_LCOE_DCF)/SUM(PV_kWh)</f>
        <v>3.7814918021218731E-2</v>
      </c>
      <c r="P30" s="208">
        <f ca="1">'Batt IN'!O38</f>
        <v>5.4460015582727228E-2</v>
      </c>
      <c r="Q30" s="310">
        <f ca="1">-SUM(PV_LCOE_DCF,Batt_LCOE_DCF)/SUM(PV_kWh,Batt_kWh)</f>
        <v>4.141045069439505E-2</v>
      </c>
      <c r="R30" s="36"/>
      <c r="S30" s="36"/>
      <c r="T30" s="36"/>
      <c r="U30" s="36"/>
      <c r="V30" s="36"/>
      <c r="W30" s="36"/>
      <c r="X30" s="36"/>
      <c r="Y30" s="36"/>
      <c r="Z30" s="36"/>
      <c r="AA30" s="36"/>
      <c r="AB30" s="36"/>
      <c r="AC30" s="36"/>
      <c r="AD30" s="36"/>
      <c r="AE30" s="36"/>
      <c r="AF30" s="36"/>
      <c r="AG30" s="36"/>
    </row>
    <row r="31" spans="1:33" ht="18" x14ac:dyDescent="0.35">
      <c r="A31" s="36"/>
      <c r="B31" s="30"/>
      <c r="C31" t="s">
        <v>133</v>
      </c>
      <c r="D31" s="8">
        <v>1.55</v>
      </c>
      <c r="E31" s="92">
        <f>IF($D$30="Simple",D31,Adv.!J26)</f>
        <v>1.55</v>
      </c>
      <c r="F31" s="14" t="s">
        <v>294</v>
      </c>
      <c r="G31" s="318">
        <f>E18*E31*1000</f>
        <v>2325000</v>
      </c>
      <c r="H31" s="318"/>
      <c r="J31" s="168"/>
      <c r="K31" s="36"/>
      <c r="L31" s="36"/>
      <c r="M31" s="36"/>
      <c r="N31" s="36"/>
      <c r="O31" s="36"/>
      <c r="P31" s="36"/>
      <c r="Q31" s="36"/>
      <c r="R31" s="36"/>
      <c r="S31" s="36"/>
      <c r="T31" s="36"/>
      <c r="U31" s="36"/>
      <c r="V31" s="36"/>
      <c r="W31" s="36"/>
      <c r="X31" s="36"/>
      <c r="Y31" s="36"/>
      <c r="Z31" s="36"/>
      <c r="AA31" s="36"/>
      <c r="AB31" s="36"/>
      <c r="AC31" s="36"/>
      <c r="AD31" s="36"/>
      <c r="AE31" s="36"/>
      <c r="AF31" s="36"/>
      <c r="AG31" s="36"/>
    </row>
    <row r="32" spans="1:33" ht="18" x14ac:dyDescent="0.35">
      <c r="A32" s="36"/>
      <c r="B32" s="30"/>
      <c r="C32" s="90" t="s">
        <v>281</v>
      </c>
      <c r="E32" s="92">
        <f>IF($D$19="YES",E31-'Batt IN'!E39,E31)</f>
        <v>1.55</v>
      </c>
      <c r="F32" s="14" t="s">
        <v>294</v>
      </c>
      <c r="G32" s="318">
        <f>E32*E18*1000</f>
        <v>2325000</v>
      </c>
      <c r="H32" s="318"/>
      <c r="J32" s="168"/>
      <c r="K32" s="36"/>
      <c r="L32" s="36"/>
      <c r="M32" s="36"/>
      <c r="N32" s="36"/>
      <c r="O32" s="36"/>
      <c r="P32" s="36"/>
      <c r="Q32" s="36"/>
      <c r="R32" s="36"/>
      <c r="S32" s="36"/>
      <c r="T32" s="36"/>
      <c r="U32" s="36"/>
      <c r="V32" s="36"/>
      <c r="W32" s="36"/>
      <c r="X32" s="36"/>
      <c r="Y32" s="36"/>
      <c r="Z32" s="36"/>
      <c r="AA32" s="36"/>
      <c r="AB32" s="36"/>
      <c r="AC32" s="36"/>
      <c r="AD32" s="36"/>
      <c r="AE32" s="36"/>
      <c r="AF32" s="36"/>
      <c r="AG32" s="36"/>
    </row>
    <row r="33" spans="1:33" ht="18" x14ac:dyDescent="0.35">
      <c r="A33" s="36"/>
      <c r="B33" s="30"/>
      <c r="C33" t="s">
        <v>36</v>
      </c>
      <c r="D33" s="7" t="s">
        <v>21</v>
      </c>
      <c r="E33" s="8">
        <v>150</v>
      </c>
      <c r="F33" t="s">
        <v>340</v>
      </c>
      <c r="G33" t="s">
        <v>93</v>
      </c>
      <c r="H33" s="7">
        <v>15</v>
      </c>
      <c r="J33" s="168"/>
      <c r="K33" s="36"/>
      <c r="L33" s="36"/>
      <c r="M33" s="36"/>
      <c r="N33" s="36"/>
      <c r="O33" s="36"/>
      <c r="P33" s="36"/>
      <c r="Q33" s="36"/>
      <c r="R33" s="36"/>
      <c r="S33" s="36"/>
      <c r="T33" s="36"/>
      <c r="U33" s="36"/>
      <c r="V33" s="36"/>
      <c r="W33" s="36"/>
      <c r="X33" s="36"/>
      <c r="Y33" s="36"/>
      <c r="Z33" s="36"/>
      <c r="AA33" s="36"/>
      <c r="AB33" s="36"/>
      <c r="AC33" s="36"/>
      <c r="AD33" s="36"/>
      <c r="AE33" s="36"/>
      <c r="AF33" s="36"/>
      <c r="AG33" s="36"/>
    </row>
    <row r="34" spans="1:33" ht="18" x14ac:dyDescent="0.35">
      <c r="A34" s="36"/>
      <c r="B34" s="30"/>
      <c r="C34" t="s">
        <v>31</v>
      </c>
      <c r="D34" s="8">
        <v>6</v>
      </c>
      <c r="E34" s="93">
        <f>IF($D$30="Simple",D34,Adv.!T11)</f>
        <v>6</v>
      </c>
      <c r="F34" s="14" t="s">
        <v>341</v>
      </c>
      <c r="G34" s="318">
        <f>E18*E34</f>
        <v>9000</v>
      </c>
      <c r="H34" s="318"/>
      <c r="I34" s="14" t="s">
        <v>138</v>
      </c>
      <c r="J34" s="168"/>
      <c r="K34" s="36"/>
      <c r="L34" s="36"/>
      <c r="M34" s="36"/>
      <c r="N34" s="36"/>
      <c r="O34" s="36"/>
      <c r="P34" s="36"/>
      <c r="Q34" s="36"/>
      <c r="R34" s="36"/>
      <c r="S34" s="36"/>
      <c r="T34" s="36"/>
      <c r="U34" s="36"/>
      <c r="V34" s="36"/>
      <c r="W34" s="36"/>
      <c r="X34" s="36"/>
      <c r="Y34" s="36"/>
      <c r="Z34" s="36"/>
      <c r="AA34" s="36"/>
      <c r="AB34" s="36"/>
      <c r="AC34" s="36"/>
      <c r="AD34" s="36"/>
      <c r="AE34" s="36"/>
      <c r="AF34" s="36"/>
      <c r="AG34" s="36"/>
    </row>
    <row r="35" spans="1:33" x14ac:dyDescent="0.25">
      <c r="A35" s="36"/>
      <c r="B35" s="30"/>
      <c r="C35" t="s">
        <v>44</v>
      </c>
      <c r="D35" s="7" t="s">
        <v>22</v>
      </c>
      <c r="E35" s="7">
        <v>5</v>
      </c>
      <c r="F35" t="s">
        <v>45</v>
      </c>
      <c r="G35" s="318">
        <f>-SUM(PVCalcs!R5:R244)</f>
        <v>0</v>
      </c>
      <c r="H35" s="318"/>
      <c r="J35" s="168"/>
      <c r="K35" s="36"/>
      <c r="L35" s="36"/>
      <c r="M35" s="36"/>
      <c r="N35" s="36"/>
      <c r="O35" s="36"/>
      <c r="P35" s="36"/>
      <c r="Q35" s="36"/>
      <c r="R35" s="36"/>
      <c r="S35" s="36"/>
      <c r="T35" s="36"/>
      <c r="U35" s="36"/>
      <c r="V35" s="36"/>
      <c r="W35" s="36"/>
      <c r="X35" s="36"/>
      <c r="Y35" s="36"/>
      <c r="Z35" s="36"/>
      <c r="AA35" s="36"/>
      <c r="AB35" s="36"/>
      <c r="AC35" s="36"/>
      <c r="AD35" s="36"/>
      <c r="AE35" s="36"/>
      <c r="AF35" s="36"/>
      <c r="AG35" s="36"/>
    </row>
    <row r="36" spans="1:33" ht="18" x14ac:dyDescent="0.35">
      <c r="A36" s="36"/>
      <c r="B36" s="30"/>
      <c r="C36" t="s">
        <v>32</v>
      </c>
      <c r="E36" s="8">
        <v>5</v>
      </c>
      <c r="F36" s="14" t="s">
        <v>341</v>
      </c>
      <c r="G36" s="318">
        <f>E18*E36</f>
        <v>7500</v>
      </c>
      <c r="H36" s="318"/>
      <c r="I36" s="14" t="s">
        <v>138</v>
      </c>
      <c r="J36" s="168"/>
      <c r="K36" s="36"/>
      <c r="L36" s="36"/>
      <c r="M36" s="36"/>
      <c r="N36" s="36"/>
      <c r="O36" s="36"/>
      <c r="P36" s="36"/>
      <c r="Q36" s="36"/>
      <c r="R36" s="36"/>
      <c r="S36" s="36"/>
      <c r="T36" s="36"/>
      <c r="U36" s="36"/>
      <c r="V36" s="36"/>
      <c r="W36" s="36"/>
      <c r="X36" s="36"/>
      <c r="Y36" s="36"/>
      <c r="Z36" s="36"/>
      <c r="AA36" s="36"/>
      <c r="AB36" s="36"/>
      <c r="AC36" s="36"/>
      <c r="AD36" s="36"/>
      <c r="AE36" s="36"/>
      <c r="AF36" s="36"/>
      <c r="AG36" s="36"/>
    </row>
    <row r="37" spans="1:33" ht="15.75" thickBot="1" x14ac:dyDescent="0.3">
      <c r="A37" s="36"/>
      <c r="B37" s="169"/>
      <c r="C37" s="170" t="s">
        <v>46</v>
      </c>
      <c r="D37" s="171" t="s">
        <v>22</v>
      </c>
      <c r="E37" s="171">
        <v>5</v>
      </c>
      <c r="F37" s="170" t="s">
        <v>45</v>
      </c>
      <c r="G37" s="317">
        <f>-SUM(PVCalcs!S5:S244)</f>
        <v>0</v>
      </c>
      <c r="H37" s="317"/>
      <c r="I37" s="170"/>
      <c r="J37" s="172"/>
      <c r="K37" s="36"/>
      <c r="L37" s="36"/>
      <c r="M37" s="36"/>
      <c r="N37" s="36"/>
      <c r="O37" s="36"/>
      <c r="P37" s="36"/>
      <c r="Q37" s="36"/>
      <c r="R37" s="36"/>
      <c r="S37" s="36"/>
      <c r="T37" s="36"/>
      <c r="U37" s="36"/>
      <c r="V37" s="36"/>
      <c r="W37" s="36"/>
      <c r="X37" s="36"/>
      <c r="Y37" s="36"/>
      <c r="Z37" s="36"/>
      <c r="AA37" s="36"/>
      <c r="AB37" s="36"/>
      <c r="AC37" s="36"/>
      <c r="AD37" s="36"/>
      <c r="AE37" s="36"/>
      <c r="AF37" s="36"/>
      <c r="AG37" s="36"/>
    </row>
    <row r="38" spans="1:33"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row>
    <row r="39" spans="1:33" ht="18.75" x14ac:dyDescent="0.3">
      <c r="A39" s="36"/>
      <c r="B39" s="82" t="s">
        <v>23</v>
      </c>
      <c r="C39" s="17"/>
      <c r="D39" s="17"/>
      <c r="E39" s="97" t="s">
        <v>229</v>
      </c>
      <c r="F39" s="97" t="s">
        <v>230</v>
      </c>
      <c r="G39" s="97"/>
      <c r="H39" s="311"/>
      <c r="I39" s="97" t="s">
        <v>523</v>
      </c>
      <c r="J39" s="167">
        <v>4</v>
      </c>
      <c r="K39" s="36"/>
      <c r="L39" s="36"/>
      <c r="M39" s="36"/>
      <c r="N39" s="36"/>
      <c r="O39" s="36"/>
      <c r="P39" s="36"/>
      <c r="Q39" s="36"/>
      <c r="R39" s="36"/>
      <c r="S39" s="36"/>
      <c r="T39" s="36"/>
      <c r="U39" s="36"/>
      <c r="V39" s="36"/>
      <c r="W39" s="36"/>
      <c r="X39" s="36"/>
      <c r="Y39" s="36"/>
      <c r="Z39" s="36"/>
      <c r="AA39" s="36"/>
      <c r="AB39" s="36"/>
      <c r="AC39" s="36"/>
      <c r="AD39" s="36"/>
      <c r="AE39" s="36"/>
      <c r="AF39" s="36"/>
      <c r="AG39" s="36"/>
    </row>
    <row r="40" spans="1:33" x14ac:dyDescent="0.25">
      <c r="A40" s="36"/>
      <c r="B40" s="30"/>
      <c r="C40" t="s">
        <v>27</v>
      </c>
      <c r="D40" s="5" t="s">
        <v>232</v>
      </c>
      <c r="E40" s="98">
        <v>0.3</v>
      </c>
      <c r="F40" s="93">
        <f>IF($D$40="None",0,IF($D$40="$/W",$E$40*$E$18*1000,$E$40*O14))</f>
        <v>0</v>
      </c>
      <c r="G40" s="316" t="s">
        <v>53</v>
      </c>
      <c r="H40" s="316"/>
      <c r="I40" s="313">
        <v>12</v>
      </c>
      <c r="J40" s="314"/>
      <c r="K40" s="36"/>
      <c r="L40" s="36"/>
      <c r="M40" s="36"/>
      <c r="N40" s="36"/>
      <c r="O40" s="36"/>
      <c r="P40" s="36"/>
      <c r="Q40" s="36"/>
      <c r="R40" s="36"/>
      <c r="S40" s="36"/>
      <c r="T40" s="36"/>
      <c r="U40" s="36"/>
      <c r="V40" s="36"/>
      <c r="W40" s="36"/>
      <c r="X40" s="36"/>
      <c r="Y40" s="36"/>
      <c r="Z40" s="36"/>
      <c r="AA40" s="36"/>
      <c r="AB40" s="36"/>
      <c r="AC40" s="36"/>
      <c r="AD40" s="36"/>
      <c r="AE40" s="36"/>
      <c r="AF40" s="36"/>
      <c r="AG40" s="36"/>
    </row>
    <row r="41" spans="1:33" x14ac:dyDescent="0.25">
      <c r="A41" s="36"/>
      <c r="B41" s="30"/>
      <c r="C41" t="s">
        <v>228</v>
      </c>
      <c r="F41" s="8">
        <v>0</v>
      </c>
      <c r="G41" s="316" t="s">
        <v>52</v>
      </c>
      <c r="H41" s="316"/>
      <c r="I41" s="313">
        <v>12</v>
      </c>
      <c r="J41" s="314"/>
      <c r="K41" s="36"/>
      <c r="L41" s="36"/>
      <c r="M41" s="36"/>
      <c r="N41" s="36"/>
      <c r="O41" s="36"/>
      <c r="P41" s="36"/>
      <c r="Q41" s="36"/>
      <c r="R41" s="36"/>
      <c r="S41" s="36"/>
      <c r="T41" s="36"/>
      <c r="U41" s="36"/>
      <c r="V41" s="36"/>
      <c r="W41" s="36"/>
      <c r="X41" s="36"/>
      <c r="Y41" s="36"/>
      <c r="Z41" s="36"/>
      <c r="AA41" s="36"/>
      <c r="AB41" s="36"/>
      <c r="AC41" s="36"/>
      <c r="AD41" s="36"/>
      <c r="AE41" s="36"/>
      <c r="AF41" s="36"/>
      <c r="AG41" s="36"/>
    </row>
    <row r="42" spans="1:33" ht="15.75" thickBot="1" x14ac:dyDescent="0.3">
      <c r="A42" s="36"/>
      <c r="B42" s="169"/>
      <c r="C42" s="176" t="s">
        <v>82</v>
      </c>
      <c r="D42" s="170"/>
      <c r="E42" s="170"/>
      <c r="F42" s="204">
        <f>SUM(F40:F41)</f>
        <v>0</v>
      </c>
      <c r="G42" s="170"/>
      <c r="H42" s="170"/>
      <c r="I42" s="170"/>
      <c r="J42" s="172"/>
      <c r="K42" s="36"/>
      <c r="L42" s="36"/>
      <c r="M42" s="36"/>
      <c r="N42" s="36"/>
      <c r="O42" s="36"/>
      <c r="P42" s="36"/>
      <c r="Q42" s="36"/>
      <c r="R42" s="36"/>
      <c r="S42" s="36"/>
      <c r="T42" s="36"/>
      <c r="U42" s="36"/>
      <c r="V42" s="36"/>
      <c r="W42" s="36"/>
      <c r="X42" s="36"/>
      <c r="Y42" s="36"/>
      <c r="Z42" s="36"/>
      <c r="AA42" s="36"/>
      <c r="AB42" s="36"/>
      <c r="AC42" s="36"/>
      <c r="AD42" s="36"/>
      <c r="AE42" s="36"/>
      <c r="AF42" s="36"/>
      <c r="AG42" s="36"/>
    </row>
    <row r="43" spans="1:33" x14ac:dyDescent="0.25">
      <c r="A43" s="36"/>
      <c r="B43" s="36"/>
      <c r="C43" s="36"/>
      <c r="D43" s="36"/>
      <c r="E43" s="36"/>
      <c r="F43" s="36"/>
      <c r="G43" s="36"/>
      <c r="H43" s="16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row>
    <row r="44" spans="1:33" ht="18.75" x14ac:dyDescent="0.3">
      <c r="A44" s="36"/>
      <c r="B44" s="82" t="s">
        <v>11</v>
      </c>
      <c r="C44" s="17"/>
      <c r="D44" s="17"/>
      <c r="E44" s="17"/>
      <c r="F44" s="167">
        <v>5</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row>
    <row r="45" spans="1:33" x14ac:dyDescent="0.25">
      <c r="A45" s="36"/>
      <c r="B45" s="30"/>
      <c r="C45" s="90" t="s">
        <v>24</v>
      </c>
      <c r="D45" s="7" t="s">
        <v>21</v>
      </c>
      <c r="E45" s="99">
        <f>IF($D$45="NO",0,IF($E$4="Residential",VLOOKUP($E$5,LkUP!A2:C38,3),VLOOKUP($E$5,LkUP!A2:C38,2)))</f>
        <v>0.3</v>
      </c>
      <c r="F45" s="274">
        <f>E45*O19</f>
        <v>697500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row>
    <row r="46" spans="1:33" x14ac:dyDescent="0.25">
      <c r="A46" s="36"/>
      <c r="B46" s="30"/>
      <c r="C46" t="s">
        <v>28</v>
      </c>
      <c r="D46" s="7" t="s">
        <v>29</v>
      </c>
      <c r="F46" s="274">
        <f>Depr.!$G$13</f>
        <v>415012.49999999994</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row>
    <row r="47" spans="1:33" x14ac:dyDescent="0.25">
      <c r="A47" s="36"/>
      <c r="B47" s="30"/>
      <c r="C47" t="s">
        <v>233</v>
      </c>
      <c r="D47" s="7" t="s">
        <v>21</v>
      </c>
      <c r="F47" s="274">
        <f>IF($D$47="Yes",Depr.!$G$7,0)</f>
        <v>249007.50000000003</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row>
    <row r="48" spans="1:33" ht="15.75" thickBot="1" x14ac:dyDescent="0.3">
      <c r="A48" s="36"/>
      <c r="B48" s="169"/>
      <c r="C48" s="170" t="s">
        <v>12</v>
      </c>
      <c r="D48" s="171" t="s">
        <v>22</v>
      </c>
      <c r="E48" s="170"/>
      <c r="F48" s="172"/>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row>
    <row r="49" spans="1:33"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row>
    <row r="50" spans="1:33"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row>
    <row r="51" spans="1:33"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row>
    <row r="52" spans="1:33" x14ac:dyDescent="0.2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row>
    <row r="53" spans="1:33"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row>
    <row r="54" spans="1:33" x14ac:dyDescent="0.2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row>
    <row r="55" spans="1:33" x14ac:dyDescent="0.2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row>
    <row r="56" spans="1:33"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row>
    <row r="57" spans="1:33"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row>
    <row r="58" spans="1:33"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row>
    <row r="59" spans="1:33"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row>
    <row r="60" spans="1:33"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row>
    <row r="61" spans="1:33"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row>
    <row r="62" spans="1:33"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row>
    <row r="63" spans="1:33"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row>
    <row r="64" spans="1:33"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row>
    <row r="65" spans="1:33"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row>
    <row r="66" spans="1:33"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row>
    <row r="67" spans="1:33"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row>
    <row r="68" spans="1:33"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row>
    <row r="69" spans="1:33"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row>
    <row r="70" spans="1:33"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row>
    <row r="71" spans="1:33"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row>
    <row r="72" spans="1:33"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row>
    <row r="76" spans="1:33" x14ac:dyDescent="0.25">
      <c r="O76" s="49"/>
    </row>
  </sheetData>
  <sheetProtection formatCells="0" formatColumns="0" formatRows="0"/>
  <mergeCells count="13">
    <mergeCell ref="I40:J40"/>
    <mergeCell ref="I41:J41"/>
    <mergeCell ref="C1:F1"/>
    <mergeCell ref="G40:H40"/>
    <mergeCell ref="G41:H41"/>
    <mergeCell ref="G37:H37"/>
    <mergeCell ref="G35:H35"/>
    <mergeCell ref="G31:H31"/>
    <mergeCell ref="G32:H32"/>
    <mergeCell ref="G34:H34"/>
    <mergeCell ref="G36:H36"/>
    <mergeCell ref="E7:F7"/>
    <mergeCell ref="G7:H7"/>
  </mergeCells>
  <conditionalFormatting sqref="B20:F23">
    <cfRule type="expression" dxfId="43" priority="51">
      <formula>$D$19="NO"</formula>
    </cfRule>
  </conditionalFormatting>
  <conditionalFormatting sqref="B44:F48 L3:P11 B11:J15 O13:O20 B17:J18 E19:J19 B20:J27 O23:O30 Q23:Q30 B29:J37 B39:H42">
    <cfRule type="expression" dxfId="42" priority="8">
      <formula>$F$4="Battery Only"</formula>
    </cfRule>
  </conditionalFormatting>
  <conditionalFormatting sqref="C46:F48">
    <cfRule type="expression" dxfId="41" priority="25">
      <formula>$E$4="Residential"</formula>
    </cfRule>
  </conditionalFormatting>
  <conditionalFormatting sqref="D6">
    <cfRule type="expression" dxfId="40" priority="18">
      <formula>D7="Stnd. w/ Esc."</formula>
    </cfRule>
  </conditionalFormatting>
  <conditionalFormatting sqref="D31 D34">
    <cfRule type="expression" dxfId="39" priority="48">
      <formula>$D$30="Advanced"</formula>
    </cfRule>
  </conditionalFormatting>
  <conditionalFormatting sqref="E31 E34">
    <cfRule type="expression" dxfId="38" priority="50">
      <formula>$D$30="Simple"</formula>
    </cfRule>
  </conditionalFormatting>
  <conditionalFormatting sqref="E40">
    <cfRule type="expression" dxfId="37" priority="26">
      <formula>$D$40="None"</formula>
    </cfRule>
    <cfRule type="expression" dxfId="36" priority="27">
      <formula>$D$40="% of Cost"</formula>
    </cfRule>
  </conditionalFormatting>
  <conditionalFormatting sqref="E46:F47 C47:D47">
    <cfRule type="expression" dxfId="35" priority="5">
      <formula>$D$46="OFF"</formula>
    </cfRule>
  </conditionalFormatting>
  <conditionalFormatting sqref="E35:G35">
    <cfRule type="expression" dxfId="34" priority="35">
      <formula>$D$35="No"</formula>
    </cfRule>
  </conditionalFormatting>
  <conditionalFormatting sqref="E37:G37">
    <cfRule type="expression" dxfId="33" priority="34">
      <formula>$D$37="No"</formula>
    </cfRule>
  </conditionalFormatting>
  <conditionalFormatting sqref="E7:H7">
    <cfRule type="expression" dxfId="32" priority="17">
      <formula>$D$7="Stnd. w/ Esc."</formula>
    </cfRule>
  </conditionalFormatting>
  <conditionalFormatting sqref="E33:H33">
    <cfRule type="expression" dxfId="31" priority="38">
      <formula>$D$33="NO"</formula>
    </cfRule>
  </conditionalFormatting>
  <conditionalFormatting sqref="G6:H6">
    <cfRule type="expression" dxfId="30" priority="96">
      <formula>$D$7="Table"</formula>
    </cfRule>
  </conditionalFormatting>
  <conditionalFormatting sqref="I39:J39">
    <cfRule type="expression" dxfId="29" priority="3">
      <formula>$F$4="Battery Only"</formula>
    </cfRule>
  </conditionalFormatting>
  <conditionalFormatting sqref="I42:J42">
    <cfRule type="expression" dxfId="28" priority="1">
      <formula>$F$4="Battery Only"</formula>
    </cfRule>
  </conditionalFormatting>
  <conditionalFormatting sqref="M5:P11">
    <cfRule type="expression" dxfId="27" priority="36">
      <formula>$O$4=0</formula>
    </cfRule>
  </conditionalFormatting>
  <conditionalFormatting sqref="P13:P20 P23:Q30">
    <cfRule type="expression" dxfId="26" priority="7">
      <formula>$F$4="PV Only"</formula>
    </cfRule>
  </conditionalFormatting>
  <dataValidations xWindow="593" yWindow="274" count="15">
    <dataValidation allowBlank="1" showInputMessage="1" showErrorMessage="1" prompt="This value is used to account for the increase (or decrease) of the electricity rate as a percentage per year." sqref="G6" xr:uid="{00000000-0002-0000-0200-000000000000}"/>
    <dataValidation allowBlank="1" showInputMessage="1" showErrorMessage="1" prompt="The contract lenghts are in series i.e. if the values are 1, 2, and 3, the first $/MW is for year 1, the second value is for years 2 and 3, and the period three values are for years 5-6. " sqref="I12:I14" xr:uid="{00000000-0002-0000-0200-000001000000}"/>
    <dataValidation allowBlank="1" showInputMessage="1" showErrorMessage="1" prompt="Enter the price of electricity pruchased from &quot;the grid&quot;. It should only include the cost components that are billed on a per kilowatt-hour basis such as generation and distribution charges." sqref="E6" xr:uid="{00000000-0002-0000-0200-000002000000}"/>
    <dataValidation allowBlank="1" showInputMessage="1" showErrorMessage="1" prompt="This is the effective tax rate of the system owner. It is used to calculate the values of depreciation and the effects of income and expenses generated by the system." sqref="E8" xr:uid="{00000000-0002-0000-0200-000004000000}"/>
    <dataValidation allowBlank="1" showInputMessage="1" showErrorMessage="1" prompt="This is the interest rate used for the discounted cash flows to account for the time-value of money." sqref="E9" xr:uid="{00000000-0002-0000-0200-000005000000}"/>
    <dataValidation allowBlank="1" showInputMessage="1" showErrorMessage="1" prompt="This is the expected interest rate on the reinvestment of project cash flows. It is used for the MIRR calculations. It is the interest rate that would be earned on cash generated by the system." sqref="E10" xr:uid="{00000000-0002-0000-0200-000006000000}"/>
    <dataValidation allowBlank="1" showInputMessage="1" showErrorMessage="1" prompt="This is the loss associated with running all PV generation through a battery coupled inverter." sqref="E21" xr:uid="{00000000-0002-0000-0200-000007000000}"/>
    <dataValidation allowBlank="1" showInputMessage="1" showErrorMessage="1" prompt="If the inverter is too small to handle all battery system needs and all of the PV production, some PV energy will be clipped._x000a__x000a_This is only likely to occure when there is a strong critical mode requirement during peak sun." sqref="E22" xr:uid="{00000000-0002-0000-0200-000008000000}"/>
    <dataValidation allowBlank="1" showInputMessage="1" showErrorMessage="1" prompt="If the inverter is too small to handle all battery system needs and all of the PV production, some PV energy will be clipped._x000a__x000a_This is only likely to occure when there is a strong utility call requirement during peak sun." sqref="E23" xr:uid="{00000000-0002-0000-0200-000009000000}"/>
    <dataValidation allowBlank="1" showInputMessage="1" showErrorMessage="1" prompt="This value is derived from a PV production calculator such as PV Watts. It is the amount of kWh generated for each kW of PV DC capacity installed.  _x000a__x000a_I.e. annual AC energy production divided by DC system size." sqref="E25" xr:uid="{00000000-0002-0000-0200-00000A000000}"/>
    <dataValidation allowBlank="1" showInputMessage="1" showErrorMessage="1" prompt="This is the module performance guaranteed energy production after 25 years." sqref="E27" xr:uid="{00000000-0002-0000-0200-00000B000000}"/>
    <dataValidation allowBlank="1" showInputMessage="1" showErrorMessage="1" prompt="In 'Simple' pricing mode, this value represents the total installed cost per Watt of the PV system." sqref="D31" xr:uid="{00000000-0002-0000-0200-00000C000000}"/>
    <dataValidation allowBlank="1" showInputMessage="1" showErrorMessage="1" prompt="This is the expense associated with operating and maintaining the PV system; calculated on a $/kW basis per year._x000a__x000a_NOTE: If the O&amp;M is combined with the battery system, adjust them both accordingly." sqref="D34" xr:uid="{00000000-0002-0000-0200-00000D000000}"/>
    <dataValidation allowBlank="1" showInputMessage="1" showErrorMessage="1" prompt="Input the number of years to be used for the generation of charts and the financial analysis metrics." sqref="O22" xr:uid="{00000000-0002-0000-0200-00000E000000}"/>
    <dataValidation allowBlank="1" showInputMessage="1" showErrorMessage="1" prompt="Enter either the $/W value based on the installed capacity, or the percentage of total price that is applied as a rebate." sqref="E40" xr:uid="{00000000-0002-0000-0200-00000F000000}"/>
  </dataValidations>
  <hyperlinks>
    <hyperlink ref="G1" r:id="rId1" xr:uid="{00000000-0004-0000-0200-000000000000}"/>
    <hyperlink ref="L1" r:id="rId2" xr:uid="{00000000-0004-0000-0200-000001000000}"/>
  </hyperlinks>
  <pageMargins left="0.25" right="0.25" top="0.25" bottom="0.25" header="0" footer="0"/>
  <pageSetup paperSize="3" scale="59" orientation="landscape" horizontalDpi="4294967294" r:id="rId3"/>
  <drawing r:id="rId4"/>
  <legacyDrawing r:id="rId5"/>
  <extLst>
    <ext xmlns:x14="http://schemas.microsoft.com/office/spreadsheetml/2009/9/main" uri="{CCE6A557-97BC-4b89-ADB6-D9C93CAAB3DF}">
      <x14:dataValidations xmlns:xm="http://schemas.microsoft.com/office/excel/2006/main" xWindow="593" yWindow="274" count="21">
        <x14:dataValidation type="list" allowBlank="1" showInputMessage="1" showErrorMessage="1" prompt="Select &quot;YES&quot; to apply the federal Investment Tax Credit incentive." xr:uid="{00000000-0002-0000-0200-000010000000}">
          <x14:formula1>
            <xm:f>LkUP!$F$3:$F$4</xm:f>
          </x14:formula1>
          <xm:sqref>D45</xm:sqref>
        </x14:dataValidation>
        <x14:dataValidation type="list" allowBlank="1" showInputMessage="1" showErrorMessage="1" prompt="Select &quot;MACRS&quot; to utilize the 5-year modified accelerated cost recovery system depreciation method. _x000a__x000a_&quot;OFF&quot; turns of ALL depreciation calculations." xr:uid="{00000000-0002-0000-0200-000011000000}">
          <x14:formula1>
            <xm:f>LkUP!$G$3:$G$4</xm:f>
          </x14:formula1>
          <xm:sqref>D46</xm:sqref>
        </x14:dataValidation>
        <x14:dataValidation type="list" allowBlank="1" showInputMessage="1" showErrorMessage="1" xr:uid="{00000000-0002-0000-0200-000012000000}">
          <x14:formula1>
            <xm:f>LkUP!$I$3:$I$4</xm:f>
          </x14:formula1>
          <xm:sqref>G40:G41</xm:sqref>
        </x14:dataValidation>
        <x14:dataValidation type="list" allowBlank="1" showInputMessage="1" showErrorMessage="1" prompt="Select &quot;Commercial&quot; for systems where the owner will be able to access commercial tax opportunities such as depreciation._x000a__x000a_Select &quot;Residential&quot; for systems owned by the customer._x000a__x000a_Select &quot;PPA&quot; for systems with a Power Purchase Agreement." xr:uid="{00000000-0002-0000-0200-000013000000}">
          <x14:formula1>
            <xm:f>LkUP!$O$2:$O$3</xm:f>
          </x14:formula1>
          <xm:sqref>E4</xm:sqref>
        </x14:dataValidation>
        <x14:dataValidation type="list" allowBlank="1" showInputMessage="1" showErrorMessage="1" prompt="In 'Simple' mode, pricing is based on the cells on this sheet. For 'Advanced' mode, use the pricing calculator on the 'Adv.' tab/sheet." xr:uid="{00000000-0002-0000-0200-000014000000}">
          <x14:formula1>
            <xm:f>LkUP!$E$7:$E$8</xm:f>
          </x14:formula1>
          <xm:sqref>D30</xm:sqref>
        </x14:dataValidation>
        <x14:dataValidation type="list" allowBlank="1" showInputMessage="1" showErrorMessage="1" prompt="This input is used to determine if the value recieved from selling SRECs is taxed and therefore decreased proportionally to the income tax basis of the customer." xr:uid="{00000000-0002-0000-0200-000015000000}">
          <x14:formula1>
            <xm:f>LkUP!$I$3:$I$4</xm:f>
          </x14:formula1>
          <xm:sqref>E15</xm:sqref>
        </x14:dataValidation>
        <x14:dataValidation type="list" allowBlank="1" showInputMessage="1" showErrorMessage="1" prompt="Select if there is a local rebate being offered; either in a '$/W' or '% of cost' pricing methodology. " xr:uid="{00000000-0002-0000-0200-000016000000}">
          <x14:formula1>
            <xm:f>LkUP!$O$6:$O$8</xm:f>
          </x14:formula1>
          <xm:sqref>D40</xm:sqref>
        </x14:dataValidation>
        <x14:dataValidation type="list" allowBlank="1" showInputMessage="1" showErrorMessage="1" prompt="This is the year the system will be considered &quot;installed&quot; from a tax and incentive perspective." xr:uid="{00000000-0002-0000-0200-000017000000}">
          <x14:formula1>
            <xm:f>LkUP!$A$2:$A$38</xm:f>
          </x14:formula1>
          <xm:sqref>E5</xm:sqref>
        </x14:dataValidation>
        <x14:dataValidation type="list" allowBlank="1" showInputMessage="1" showErrorMessage="1" prompt="Select &quot;Hybrid&quot; for systems with both energy storage and PV." xr:uid="{00000000-0002-0000-0200-000018000000}">
          <x14:formula1>
            <xm:f>LkUP!$Q$2:$Q$4</xm:f>
          </x14:formula1>
          <xm:sqref>F4</xm:sqref>
        </x14:dataValidation>
        <x14:dataValidation type="list" allowBlank="1" showInputMessage="1" showErrorMessage="1" prompt="Are electricity expenses calculated in the system owner's taxes? I.e. a commercial entity? If so, that write-off can potentially be a lost opportunity cost when electricity comes from renewables." xr:uid="{00000000-0002-0000-0200-000019000000}">
          <x14:formula1>
            <xm:f>LkUP!$F$3:$F$4</xm:f>
          </x14:formula1>
          <xm:sqref>D48</xm:sqref>
        </x14:dataValidation>
        <x14:dataValidation type="list" allowBlank="1" showInputMessage="1" showErrorMessage="1" prompt="Apply cash-based incentives received to loan principal.  Does not include ITC." xr:uid="{00000000-0002-0000-0200-00001B000000}">
          <x14:formula1>
            <xm:f>LkUP!$F$3:$F$4</xm:f>
          </x14:formula1>
          <xm:sqref>N11</xm:sqref>
        </x14:dataValidation>
        <x14:dataValidation type="list" allowBlank="1" showInputMessage="1" showErrorMessage="1" prompt="Select &quot;YES&quot; if the system will share a common, DC-coupled, inverter between the PV and energy storage systems._x000a__x000a_NOTE: Select &quot;NO&quot; for Battery Only systems." xr:uid="{00000000-0002-0000-0200-00001C000000}">
          <x14:formula1>
            <xm:f>LkUP!$F$3:$F$4</xm:f>
          </x14:formula1>
          <xm:sqref>D19</xm:sqref>
        </x14:dataValidation>
        <x14:dataValidation type="list" allowBlank="1" showInputMessage="1" showErrorMessage="1" prompt="Select &quot;YES&quot; if there is an anticipated equipment replacement." xr:uid="{00000000-0002-0000-0200-00001D000000}">
          <x14:formula1>
            <xm:f>LkUP!$F$3:$F$4</xm:f>
          </x14:formula1>
          <xm:sqref>D33</xm:sqref>
        </x14:dataValidation>
        <x14:dataValidation type="list" allowBlank="1" showInputMessage="1" showErrorMessage="1" prompt="Select &quot;YES&quot; to include a number of years' O&amp;M costs in the up-front installation price. _x000a__x000a_This will include these costs in the ITC and depreciable basis." xr:uid="{00000000-0002-0000-0200-00001E000000}">
          <x14:formula1>
            <xm:f>LkUP!$F$3:$F$4</xm:f>
          </x14:formula1>
          <xm:sqref>D35</xm:sqref>
        </x14:dataValidation>
        <x14:dataValidation type="list" allowBlank="1" showInputMessage="1" showErrorMessage="1" prompt="Select &quot;YES&quot; to include a number of years' insurance costs in the up-front installation price. _x000a__x000a_This will include these costs in the ITC and depreciable basis" xr:uid="{00000000-0002-0000-0200-00001F000000}">
          <x14:formula1>
            <xm:f>LkUP!$F$3:$F$4</xm:f>
          </x14:formula1>
          <xm:sqref>D37</xm:sqref>
        </x14:dataValidation>
        <x14:dataValidation type="list" allowBlank="1" showInputMessage="1" showErrorMessage="1" prompt="Select &quot;YES&quot; if the interest expenses of the loan are tax deductible such as a mortgages or business loans." xr:uid="{00000000-0002-0000-0200-000020000000}">
          <x14:formula1>
            <xm:f>LkUP!$F$3:$F$4</xm:f>
          </x14:formula1>
          <xm:sqref>N10</xm:sqref>
        </x14:dataValidation>
        <x14:dataValidation type="list" allowBlank="1" showInputMessage="1" showErrorMessage="1" xr:uid="{601EBAA4-DD84-4275-A5BE-DB9E74321811}">
          <x14:formula1>
            <xm:f>LkUP!$Q$6:$Q$7</xm:f>
          </x14:formula1>
          <xm:sqref>D7</xm:sqref>
        </x14:dataValidation>
        <x14:dataValidation type="list" allowBlank="1" showInputMessage="1" showErrorMessage="1" xr:uid="{3E2ED6CB-212C-4666-920A-6D815A92254C}">
          <x14:formula1>
            <xm:f>LkUP!$A$5:$A$38</xm:f>
          </x14:formula1>
          <xm:sqref>D6</xm:sqref>
        </x14:dataValidation>
        <x14:dataValidation type="list" allowBlank="1" showInputMessage="1" showErrorMessage="1" prompt="Use the map below to select the appropriate geographical region." xr:uid="{924AC203-501F-4951-B0E6-1B9F2D86CA2B}">
          <x14:formula1>
            <xm:f>LkUP!$F$19:$N$19</xm:f>
          </x14:formula1>
          <xm:sqref>G7:H7</xm:sqref>
        </x14:dataValidation>
        <x14:dataValidation type="list" allowBlank="1" showInputMessage="1" showErrorMessage="1" prompt="Select &quot;YES&quot; if the system is qualified for bonus depreciation; this value is decreases for systems installed through 2019." xr:uid="{00000000-0002-0000-0200-000021000000}">
          <x14:formula1>
            <xm:f>LkUP!$F$3:$F$4</xm:f>
          </x14:formula1>
          <xm:sqref>D45 D47:D48</xm:sqref>
        </x14:dataValidation>
        <x14:dataValidation type="list" allowBlank="1" showInputMessage="1" showErrorMessage="1" xr:uid="{D365FAC5-175A-46D0-937E-34EA0F6F5687}">
          <x14:formula1>
            <xm:f>LkUP!$G$5:$G$16</xm:f>
          </x14:formula1>
          <xm:sqref>E7:F7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31A659"/>
    <pageSetUpPr fitToPage="1"/>
  </sheetPr>
  <dimension ref="A1:AE69"/>
  <sheetViews>
    <sheetView showGridLines="0" zoomScale="85" zoomScaleNormal="85" workbookViewId="0">
      <selection activeCell="P25" sqref="P25"/>
    </sheetView>
  </sheetViews>
  <sheetFormatPr defaultRowHeight="15" x14ac:dyDescent="0.25"/>
  <cols>
    <col min="1" max="1" width="1.5703125" customWidth="1"/>
    <col min="2" max="2" width="2.85546875" customWidth="1"/>
    <col min="3" max="3" width="31.28515625" customWidth="1"/>
    <col min="4" max="4" width="10.42578125" customWidth="1"/>
    <col min="5" max="5" width="21.42578125" customWidth="1"/>
    <col min="6" max="6" width="14" customWidth="1"/>
    <col min="7" max="7" width="12.5703125" bestFit="1" customWidth="1"/>
    <col min="9" max="9" width="3.42578125" bestFit="1" customWidth="1"/>
    <col min="10" max="10" width="11.5703125" customWidth="1"/>
    <col min="11" max="12" width="2.85546875" customWidth="1"/>
    <col min="13" max="13" width="31.42578125" customWidth="1"/>
    <col min="14" max="14" width="9.5703125" bestFit="1" customWidth="1"/>
    <col min="15" max="16" width="19.7109375" bestFit="1" customWidth="1"/>
    <col min="17" max="17" width="10.85546875" customWidth="1"/>
    <col min="18" max="18" width="7.85546875" customWidth="1"/>
    <col min="19" max="19" width="1.42578125" customWidth="1"/>
    <col min="20" max="20" width="4.140625" customWidth="1"/>
    <col min="21" max="21" width="32.85546875" bestFit="1" customWidth="1"/>
    <col min="22" max="22" width="11.42578125" customWidth="1"/>
    <col min="23" max="23" width="13.85546875" customWidth="1"/>
    <col min="24" max="24" width="0.7109375" customWidth="1"/>
  </cols>
  <sheetData>
    <row r="1" spans="1:31" s="28" customFormat="1" ht="37.5" customHeight="1" thickBot="1" x14ac:dyDescent="0.3">
      <c r="A1" s="264"/>
      <c r="B1" s="264"/>
      <c r="C1" s="323" t="str">
        <f>'PV IN'!$C$1</f>
        <v>Project Name</v>
      </c>
      <c r="D1" s="323"/>
      <c r="E1" s="323"/>
      <c r="F1" s="323"/>
      <c r="G1" s="212" t="s">
        <v>256</v>
      </c>
      <c r="H1" s="214"/>
      <c r="I1" s="214"/>
      <c r="J1" s="214"/>
      <c r="K1" s="215"/>
      <c r="L1" s="212" t="s">
        <v>257</v>
      </c>
      <c r="M1" s="215"/>
      <c r="N1" s="171"/>
      <c r="O1" s="171"/>
      <c r="P1" s="171"/>
      <c r="Q1" s="171"/>
      <c r="R1" s="171"/>
      <c r="S1" s="171"/>
      <c r="T1" s="171"/>
      <c r="U1" s="171"/>
      <c r="V1" s="171"/>
      <c r="W1" s="171"/>
      <c r="X1" s="171"/>
      <c r="Y1" s="171"/>
      <c r="Z1" s="171"/>
      <c r="AA1" s="171"/>
      <c r="AB1" s="171"/>
      <c r="AC1" s="171"/>
      <c r="AD1" s="171"/>
      <c r="AE1" s="171"/>
    </row>
    <row r="2" spans="1:31" ht="6.75" customHeight="1" x14ac:dyDescent="0.2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row>
    <row r="3" spans="1:31" ht="18.75" x14ac:dyDescent="0.3">
      <c r="A3" s="36"/>
      <c r="B3" s="82" t="s">
        <v>0</v>
      </c>
      <c r="C3" s="17"/>
      <c r="D3" s="17"/>
      <c r="E3" s="17"/>
      <c r="F3" s="17"/>
      <c r="G3" s="17"/>
      <c r="H3" s="17"/>
      <c r="I3" s="17"/>
      <c r="J3" s="167">
        <v>1</v>
      </c>
      <c r="K3" s="36"/>
      <c r="L3" s="82" t="s">
        <v>517</v>
      </c>
      <c r="M3" s="17"/>
      <c r="N3" s="17"/>
      <c r="O3" s="17"/>
      <c r="P3" s="17"/>
      <c r="Q3" s="17"/>
      <c r="R3" s="167">
        <v>6</v>
      </c>
      <c r="S3" s="36"/>
      <c r="T3" s="36"/>
      <c r="U3" s="36"/>
      <c r="V3" s="36"/>
      <c r="W3" s="36"/>
      <c r="X3" s="36"/>
      <c r="Y3" s="36"/>
      <c r="Z3" s="36"/>
      <c r="AA3" s="165"/>
      <c r="AB3" s="165"/>
      <c r="AC3" s="36"/>
      <c r="AD3" s="36"/>
      <c r="AE3" s="36"/>
    </row>
    <row r="4" spans="1:31" x14ac:dyDescent="0.25">
      <c r="A4" s="36"/>
      <c r="B4" s="30"/>
      <c r="C4" s="100" t="s">
        <v>1</v>
      </c>
      <c r="E4" s="101" t="str">
        <f>'PV IN'!E4</f>
        <v>Commercial</v>
      </c>
      <c r="F4" s="101" t="str">
        <f>'PV IN'!$F$4</f>
        <v>PV Only</v>
      </c>
      <c r="J4" s="168"/>
      <c r="K4" s="36"/>
      <c r="L4" s="30"/>
      <c r="M4" t="s">
        <v>27</v>
      </c>
      <c r="N4" s="5" t="s">
        <v>232</v>
      </c>
      <c r="O4" s="98">
        <v>0.3</v>
      </c>
      <c r="P4" s="93">
        <f>IF($N$4="None",0,IF($N$4="$/W",$O$4*$E$27*1000,$O$4*O24))</f>
        <v>0</v>
      </c>
      <c r="Q4" s="139" t="s">
        <v>52</v>
      </c>
      <c r="R4" s="183"/>
      <c r="S4" s="36"/>
      <c r="T4" s="36"/>
      <c r="U4" s="36"/>
      <c r="V4" s="36"/>
      <c r="W4" s="36"/>
      <c r="X4" s="36"/>
      <c r="Y4" s="36"/>
      <c r="Z4" s="36"/>
      <c r="AA4" s="165"/>
      <c r="AB4" s="165"/>
      <c r="AC4" s="36"/>
      <c r="AD4" s="36"/>
      <c r="AE4" s="36"/>
    </row>
    <row r="5" spans="1:31" x14ac:dyDescent="0.25">
      <c r="A5" s="36"/>
      <c r="B5" s="30"/>
      <c r="C5" s="100" t="s">
        <v>368</v>
      </c>
      <c r="E5" s="101">
        <f>'PV IN'!$E$5</f>
        <v>2025</v>
      </c>
      <c r="J5" s="168"/>
      <c r="K5" s="36"/>
      <c r="L5" s="30"/>
      <c r="M5" t="s">
        <v>237</v>
      </c>
      <c r="P5" s="8">
        <v>0</v>
      </c>
      <c r="Q5" s="139" t="s">
        <v>52</v>
      </c>
      <c r="R5" s="183"/>
      <c r="S5" s="36"/>
      <c r="T5" s="36"/>
      <c r="U5" s="36"/>
      <c r="V5" s="36"/>
      <c r="W5" s="36"/>
      <c r="X5" s="36"/>
      <c r="Y5" s="36"/>
      <c r="Z5" s="36"/>
      <c r="AA5" s="165"/>
      <c r="AB5" s="165"/>
      <c r="AC5" s="36"/>
      <c r="AD5" s="36"/>
      <c r="AE5" s="36"/>
    </row>
    <row r="6" spans="1:31" x14ac:dyDescent="0.25">
      <c r="A6" s="36"/>
      <c r="B6" s="30"/>
      <c r="C6" s="100" t="s">
        <v>2</v>
      </c>
      <c r="D6" t="str">
        <f>'PV IN'!D7</f>
        <v>Table</v>
      </c>
      <c r="E6" s="92">
        <f>'PV IN'!E6</f>
        <v>7.5999999999999998E-2</v>
      </c>
      <c r="F6" t="str">
        <f>'PV IN'!F6</f>
        <v>/kWh</v>
      </c>
      <c r="G6" s="95">
        <f>'PV IN'!G6</f>
        <v>0</v>
      </c>
      <c r="H6" t="str">
        <f>'PV IN'!H6</f>
        <v>Escalation/Year</v>
      </c>
      <c r="J6" s="168"/>
      <c r="K6" s="36"/>
      <c r="L6" s="30"/>
      <c r="M6" t="s">
        <v>24</v>
      </c>
      <c r="N6" s="7" t="s">
        <v>22</v>
      </c>
      <c r="O6" s="99">
        <f>IF($N$6="NO",0,IF($E$4="Residential",VLOOKUP($E$5,LkUP!A2:C38,3),VLOOKUP($E$5,LkUP!A2:C38,2)))</f>
        <v>0</v>
      </c>
      <c r="P6" s="93">
        <f>O6*O27</f>
        <v>0</v>
      </c>
      <c r="R6" s="168"/>
      <c r="S6" s="36"/>
      <c r="T6" s="36"/>
      <c r="U6" s="36"/>
      <c r="V6" s="36"/>
      <c r="W6" s="36"/>
      <c r="X6" s="36"/>
      <c r="Y6" s="36"/>
      <c r="Z6" s="36"/>
      <c r="AA6" s="36"/>
      <c r="AB6" s="36"/>
      <c r="AC6" s="36"/>
      <c r="AD6" s="36"/>
      <c r="AE6" s="36"/>
    </row>
    <row r="7" spans="1:31" x14ac:dyDescent="0.25">
      <c r="A7" s="36"/>
      <c r="B7" s="30"/>
      <c r="C7" s="100" t="s">
        <v>3</v>
      </c>
      <c r="E7" s="99">
        <f>'PV IN'!E8</f>
        <v>0.21</v>
      </c>
      <c r="J7" s="168"/>
      <c r="K7" s="36"/>
      <c r="L7" s="30"/>
      <c r="M7" t="s">
        <v>28</v>
      </c>
      <c r="N7" s="7" t="s">
        <v>29</v>
      </c>
      <c r="P7" s="93">
        <f>Depr.!$G$26</f>
        <v>0</v>
      </c>
      <c r="R7" s="168"/>
      <c r="S7" s="36"/>
      <c r="T7" s="36"/>
      <c r="U7" s="36"/>
      <c r="V7" s="36"/>
      <c r="W7" s="36"/>
      <c r="X7" s="36"/>
      <c r="Y7" s="36"/>
      <c r="Z7" s="36"/>
      <c r="AA7" s="36"/>
      <c r="AB7" s="36"/>
      <c r="AC7" s="36"/>
      <c r="AD7" s="36"/>
      <c r="AE7" s="36"/>
    </row>
    <row r="8" spans="1:31" x14ac:dyDescent="0.25">
      <c r="A8" s="36"/>
      <c r="B8" s="30"/>
      <c r="C8" s="100" t="s">
        <v>151</v>
      </c>
      <c r="E8" s="99">
        <f>'PV IN'!E9</f>
        <v>0.05</v>
      </c>
      <c r="F8" s="14" t="s">
        <v>138</v>
      </c>
      <c r="G8" s="88">
        <f>(1+E8)^(1/12)-1</f>
        <v>4.0741237836483535E-3</v>
      </c>
      <c r="H8" s="14" t="s">
        <v>153</v>
      </c>
      <c r="J8" s="168"/>
      <c r="K8" s="36"/>
      <c r="L8" s="30"/>
      <c r="M8" t="s">
        <v>233</v>
      </c>
      <c r="N8" s="7" t="s">
        <v>21</v>
      </c>
      <c r="P8" s="93">
        <f>IF($N$8="Yes",Depr.!$G$20,0)</f>
        <v>0</v>
      </c>
      <c r="R8" s="168"/>
      <c r="S8" s="36"/>
      <c r="T8" s="36"/>
      <c r="U8" s="36"/>
      <c r="V8" s="36"/>
      <c r="W8" s="36"/>
      <c r="X8" s="36"/>
      <c r="Y8" s="36"/>
      <c r="Z8" s="36"/>
      <c r="AA8" s="36"/>
      <c r="AB8" s="36"/>
      <c r="AC8" s="36"/>
      <c r="AD8" s="36"/>
      <c r="AE8" s="36"/>
    </row>
    <row r="9" spans="1:31" ht="15.75" thickBot="1" x14ac:dyDescent="0.3">
      <c r="A9" s="36"/>
      <c r="B9" s="169"/>
      <c r="C9" s="179" t="s">
        <v>148</v>
      </c>
      <c r="D9" s="170"/>
      <c r="E9" s="180">
        <f>'PV IN'!E10</f>
        <v>0.06</v>
      </c>
      <c r="F9" s="181" t="s">
        <v>156</v>
      </c>
      <c r="G9" s="182">
        <f>(1+E9)^(1/12)-1</f>
        <v>4.8675505653430484E-3</v>
      </c>
      <c r="H9" s="181" t="s">
        <v>153</v>
      </c>
      <c r="I9" s="170"/>
      <c r="J9" s="172"/>
      <c r="K9" s="36"/>
      <c r="L9" s="169"/>
      <c r="M9" s="170" t="s">
        <v>82</v>
      </c>
      <c r="N9" s="170"/>
      <c r="O9" s="170"/>
      <c r="P9" s="204">
        <f>SUM(P4:P7)</f>
        <v>0</v>
      </c>
      <c r="Q9" s="170"/>
      <c r="R9" s="172"/>
      <c r="S9" s="36"/>
      <c r="T9" s="36"/>
      <c r="U9" s="36"/>
      <c r="V9" s="36"/>
      <c r="W9" s="36"/>
      <c r="X9" s="36"/>
      <c r="Y9" s="36"/>
      <c r="Z9" s="36"/>
      <c r="AA9" s="36"/>
      <c r="AB9" s="36"/>
      <c r="AC9" s="36"/>
      <c r="AD9" s="36"/>
      <c r="AE9" s="36"/>
    </row>
    <row r="10" spans="1:31" x14ac:dyDescent="0.25">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18.75" x14ac:dyDescent="0.3">
      <c r="A11" s="36"/>
      <c r="B11" s="82" t="s">
        <v>259</v>
      </c>
      <c r="C11" s="17"/>
      <c r="D11" s="17"/>
      <c r="E11" s="147" t="s">
        <v>53</v>
      </c>
      <c r="F11" s="17"/>
      <c r="G11" s="17"/>
      <c r="H11" s="17"/>
      <c r="I11" s="17"/>
      <c r="J11" s="167">
        <v>2</v>
      </c>
      <c r="K11" s="36"/>
      <c r="L11" s="82" t="s">
        <v>15</v>
      </c>
      <c r="M11" s="17"/>
      <c r="N11" s="17"/>
      <c r="O11" s="17"/>
      <c r="P11" s="167">
        <v>7</v>
      </c>
      <c r="Q11" s="36"/>
      <c r="R11" s="36"/>
      <c r="S11" s="36"/>
      <c r="T11" s="36"/>
      <c r="U11" s="36"/>
      <c r="V11" s="36"/>
      <c r="W11" s="36"/>
      <c r="X11" s="36"/>
      <c r="Y11" s="36"/>
      <c r="Z11" s="36"/>
      <c r="AA11" s="36"/>
      <c r="AB11" s="36"/>
      <c r="AC11" s="36"/>
      <c r="AD11" s="36"/>
      <c r="AE11" s="36"/>
    </row>
    <row r="12" spans="1:31" ht="18" x14ac:dyDescent="0.35">
      <c r="A12" s="36"/>
      <c r="B12" s="106"/>
      <c r="C12" s="107" t="s">
        <v>303</v>
      </c>
      <c r="D12" s="107"/>
      <c r="E12" s="108">
        <v>92.09</v>
      </c>
      <c r="F12" s="109" t="s">
        <v>300</v>
      </c>
      <c r="G12" s="107"/>
      <c r="H12" s="107"/>
      <c r="I12" s="107"/>
      <c r="J12" s="189"/>
      <c r="K12" s="36"/>
      <c r="L12" s="30"/>
      <c r="M12" t="s">
        <v>16</v>
      </c>
      <c r="O12" s="5">
        <v>0</v>
      </c>
      <c r="P12" s="168"/>
      <c r="Q12" s="36"/>
      <c r="R12" s="36"/>
      <c r="S12" s="36"/>
      <c r="T12" s="36"/>
      <c r="U12" s="36"/>
      <c r="V12" s="36"/>
      <c r="W12" s="36"/>
      <c r="X12" s="36"/>
      <c r="Y12" s="36"/>
      <c r="Z12" s="36"/>
      <c r="AA12" s="36"/>
      <c r="AB12" s="36"/>
      <c r="AC12" s="36"/>
      <c r="AD12" s="36"/>
      <c r="AE12" s="36"/>
    </row>
    <row r="13" spans="1:31" x14ac:dyDescent="0.25">
      <c r="A13" s="36"/>
      <c r="B13" s="111"/>
      <c r="C13" s="112" t="s">
        <v>305</v>
      </c>
      <c r="D13" s="112"/>
      <c r="E13" s="113">
        <v>49</v>
      </c>
      <c r="F13" s="112" t="s">
        <v>102</v>
      </c>
      <c r="G13" s="114">
        <v>0.65</v>
      </c>
      <c r="H13" s="112" t="s">
        <v>362</v>
      </c>
      <c r="I13" s="112"/>
      <c r="J13" s="190"/>
      <c r="K13" s="36"/>
      <c r="L13" s="30"/>
      <c r="M13" t="s">
        <v>25</v>
      </c>
      <c r="O13" s="93">
        <f>$O$24*(1-$O$12)</f>
        <v>0</v>
      </c>
      <c r="P13" s="168"/>
      <c r="Q13" s="36"/>
      <c r="R13" s="36"/>
      <c r="S13" s="36"/>
      <c r="T13" s="36"/>
      <c r="U13" s="36"/>
      <c r="V13" s="36"/>
      <c r="W13" s="36"/>
      <c r="X13" s="36"/>
      <c r="Y13" s="36"/>
      <c r="Z13" s="36"/>
      <c r="AA13" s="36"/>
      <c r="AB13" s="36"/>
      <c r="AC13" s="36"/>
      <c r="AD13" s="36"/>
      <c r="AE13" s="36"/>
    </row>
    <row r="14" spans="1:31" ht="18" x14ac:dyDescent="0.35">
      <c r="A14" s="36"/>
      <c r="B14" s="129"/>
      <c r="C14" s="123" t="s">
        <v>258</v>
      </c>
      <c r="D14" s="123"/>
      <c r="E14" s="108">
        <v>95</v>
      </c>
      <c r="F14" s="126" t="s">
        <v>300</v>
      </c>
      <c r="G14" s="110">
        <v>3</v>
      </c>
      <c r="H14" s="123" t="s">
        <v>130</v>
      </c>
      <c r="I14" s="123"/>
      <c r="J14" s="191"/>
      <c r="K14" s="36"/>
      <c r="L14" s="30"/>
      <c r="M14" t="s">
        <v>26</v>
      </c>
      <c r="O14" s="93">
        <f>O12*O24</f>
        <v>0</v>
      </c>
      <c r="P14" s="168"/>
      <c r="Q14" s="36"/>
      <c r="R14" s="36"/>
      <c r="S14" s="36"/>
      <c r="T14" s="36"/>
      <c r="U14" s="36"/>
      <c r="V14" s="36"/>
      <c r="W14" s="36"/>
      <c r="X14" s="36"/>
      <c r="Y14" s="36"/>
      <c r="Z14" s="36"/>
      <c r="AA14" s="36"/>
      <c r="AB14" s="36"/>
      <c r="AC14" s="36"/>
      <c r="AD14" s="36"/>
      <c r="AE14" s="36"/>
    </row>
    <row r="15" spans="1:31" x14ac:dyDescent="0.25">
      <c r="A15" s="36"/>
      <c r="B15" s="130"/>
      <c r="C15" s="124" t="s">
        <v>103</v>
      </c>
      <c r="D15" s="124"/>
      <c r="E15" s="115">
        <v>100</v>
      </c>
      <c r="F15" s="124" t="s">
        <v>102</v>
      </c>
      <c r="G15" s="114">
        <v>0.6</v>
      </c>
      <c r="H15" s="124" t="s">
        <v>362</v>
      </c>
      <c r="I15" s="124"/>
      <c r="J15" s="192"/>
      <c r="K15" s="36"/>
      <c r="L15" s="30"/>
      <c r="M15" t="s">
        <v>17</v>
      </c>
      <c r="O15" s="76">
        <v>4.2500000000000003E-2</v>
      </c>
      <c r="P15" s="168"/>
      <c r="Q15" s="36"/>
      <c r="R15" s="36"/>
      <c r="S15" s="36"/>
      <c r="T15" s="36"/>
      <c r="U15" s="36"/>
      <c r="V15" s="36"/>
      <c r="W15" s="36"/>
      <c r="X15" s="36"/>
      <c r="Y15" s="36"/>
      <c r="Z15" s="36"/>
      <c r="AA15" s="36"/>
      <c r="AB15" s="36"/>
      <c r="AC15" s="36"/>
      <c r="AD15" s="36"/>
      <c r="AE15" s="36"/>
    </row>
    <row r="16" spans="1:31" ht="18" x14ac:dyDescent="0.35">
      <c r="A16" s="36"/>
      <c r="B16" s="116"/>
      <c r="C16" s="117" t="s">
        <v>260</v>
      </c>
      <c r="D16" s="117"/>
      <c r="E16" s="118">
        <v>0.05</v>
      </c>
      <c r="F16" s="119" t="s">
        <v>324</v>
      </c>
      <c r="G16" s="120">
        <v>50</v>
      </c>
      <c r="H16" s="117" t="s">
        <v>315</v>
      </c>
      <c r="I16" s="117"/>
      <c r="J16" s="193"/>
      <c r="K16" s="36"/>
      <c r="L16" s="30"/>
      <c r="M16" t="s">
        <v>18</v>
      </c>
      <c r="O16" s="7">
        <v>10</v>
      </c>
      <c r="P16" s="168" t="s">
        <v>45</v>
      </c>
      <c r="Q16" s="36"/>
      <c r="R16" s="36"/>
      <c r="S16" s="36"/>
      <c r="T16" s="36"/>
      <c r="U16" s="36"/>
      <c r="V16" s="36"/>
      <c r="W16" s="36"/>
      <c r="X16" s="36"/>
      <c r="Y16" s="36"/>
      <c r="Z16" s="36"/>
      <c r="AA16" s="36"/>
      <c r="AB16" s="36"/>
      <c r="AC16" s="36"/>
      <c r="AD16" s="36"/>
      <c r="AE16" s="36"/>
    </row>
    <row r="17" spans="1:31" ht="18" x14ac:dyDescent="0.35">
      <c r="A17" s="36"/>
      <c r="B17" s="129"/>
      <c r="C17" s="123" t="s">
        <v>287</v>
      </c>
      <c r="D17" s="123"/>
      <c r="E17" s="108">
        <v>7.9630799999999997</v>
      </c>
      <c r="F17" s="126" t="s">
        <v>302</v>
      </c>
      <c r="G17" s="110">
        <v>15</v>
      </c>
      <c r="H17" s="123" t="s">
        <v>261</v>
      </c>
      <c r="I17" s="123"/>
      <c r="J17" s="194"/>
      <c r="K17" s="36"/>
      <c r="L17" s="30"/>
      <c r="M17" t="s">
        <v>208</v>
      </c>
      <c r="O17" s="93">
        <f>LOOKUP($O$16*12,BattCalcs!C4:C304,BattCalcs!CO4:CO304)</f>
        <v>0</v>
      </c>
      <c r="P17" s="168"/>
      <c r="Q17" s="36"/>
      <c r="R17" s="36"/>
      <c r="S17" s="36"/>
      <c r="T17" s="36"/>
      <c r="U17" s="36"/>
      <c r="V17" s="36"/>
      <c r="W17" s="36"/>
      <c r="X17" s="36"/>
      <c r="Y17" s="36"/>
      <c r="Z17" s="36"/>
      <c r="AA17" s="36"/>
      <c r="AB17" s="36"/>
      <c r="AC17" s="36"/>
      <c r="AD17" s="36"/>
      <c r="AE17" s="36"/>
    </row>
    <row r="18" spans="1:31" x14ac:dyDescent="0.25">
      <c r="A18" s="36"/>
      <c r="B18" s="130"/>
      <c r="C18" s="124" t="s">
        <v>353</v>
      </c>
      <c r="D18" s="124"/>
      <c r="E18" s="113">
        <v>260</v>
      </c>
      <c r="F18" s="127" t="s">
        <v>313</v>
      </c>
      <c r="G18" s="115">
        <v>3</v>
      </c>
      <c r="H18" s="124" t="s">
        <v>314</v>
      </c>
      <c r="I18" s="124"/>
      <c r="J18" s="195"/>
      <c r="K18" s="36"/>
      <c r="L18" s="30"/>
      <c r="M18" t="s">
        <v>19</v>
      </c>
      <c r="N18" s="7" t="s">
        <v>21</v>
      </c>
      <c r="P18" s="168"/>
      <c r="Q18" s="36"/>
      <c r="R18" s="36"/>
      <c r="S18" s="36"/>
      <c r="T18" s="36"/>
      <c r="U18" s="36"/>
      <c r="V18" s="36"/>
      <c r="W18" s="36"/>
      <c r="X18" s="36"/>
      <c r="Y18" s="36"/>
      <c r="Z18" s="36"/>
      <c r="AA18" s="36"/>
      <c r="AB18" s="36"/>
      <c r="AC18" s="36"/>
      <c r="AD18" s="36"/>
      <c r="AE18" s="36"/>
    </row>
    <row r="19" spans="1:31" ht="18.75" thickBot="1" x14ac:dyDescent="0.4">
      <c r="A19" s="36"/>
      <c r="B19" s="106"/>
      <c r="C19" s="107" t="s">
        <v>354</v>
      </c>
      <c r="D19" s="107"/>
      <c r="E19" s="108">
        <v>1.54</v>
      </c>
      <c r="F19" s="126" t="s">
        <v>302</v>
      </c>
      <c r="G19" s="110">
        <v>150</v>
      </c>
      <c r="H19" s="123" t="s">
        <v>261</v>
      </c>
      <c r="I19" s="123"/>
      <c r="J19" s="194"/>
      <c r="K19" s="36"/>
      <c r="L19" s="169"/>
      <c r="M19" s="170" t="s">
        <v>20</v>
      </c>
      <c r="N19" s="171" t="s">
        <v>22</v>
      </c>
      <c r="O19" s="170"/>
      <c r="P19" s="172"/>
      <c r="Q19" s="36"/>
      <c r="R19" s="36"/>
      <c r="S19" s="36"/>
      <c r="T19" s="36"/>
      <c r="U19" s="36"/>
      <c r="V19" s="36"/>
      <c r="W19" s="36"/>
      <c r="X19" s="36"/>
      <c r="Y19" s="36"/>
      <c r="Z19" s="36"/>
      <c r="AA19" s="36"/>
      <c r="AB19" s="36"/>
      <c r="AC19" s="36"/>
      <c r="AD19" s="36"/>
      <c r="AE19" s="36"/>
    </row>
    <row r="20" spans="1:31" x14ac:dyDescent="0.25">
      <c r="A20" s="36"/>
      <c r="B20" s="111"/>
      <c r="C20" s="112" t="s">
        <v>355</v>
      </c>
      <c r="D20" s="112"/>
      <c r="E20" s="113">
        <v>5</v>
      </c>
      <c r="F20" s="127" t="s">
        <v>313</v>
      </c>
      <c r="G20" s="115">
        <v>2</v>
      </c>
      <c r="H20" s="124" t="s">
        <v>314</v>
      </c>
      <c r="I20" s="124"/>
      <c r="J20" s="195"/>
      <c r="K20" s="36"/>
      <c r="L20" s="36"/>
      <c r="M20" s="36"/>
      <c r="N20" s="36"/>
      <c r="O20" s="36"/>
      <c r="P20" s="36"/>
      <c r="Q20" s="36"/>
      <c r="R20" s="36"/>
      <c r="S20" s="36"/>
      <c r="T20" s="36"/>
      <c r="U20" s="36"/>
      <c r="V20" s="36"/>
      <c r="W20" s="36"/>
      <c r="X20" s="36"/>
      <c r="Y20" s="36"/>
      <c r="Z20" s="36"/>
      <c r="AA20" s="36"/>
      <c r="AB20" s="36"/>
      <c r="AC20" s="36"/>
      <c r="AD20" s="36"/>
      <c r="AE20" s="36"/>
    </row>
    <row r="21" spans="1:31" ht="19.5" x14ac:dyDescent="0.35">
      <c r="A21" s="36"/>
      <c r="B21" s="131"/>
      <c r="C21" s="125" t="s">
        <v>286</v>
      </c>
      <c r="D21" s="125"/>
      <c r="E21" s="121">
        <v>0.15</v>
      </c>
      <c r="F21" s="128" t="s">
        <v>301</v>
      </c>
      <c r="G21" s="122">
        <v>35000</v>
      </c>
      <c r="H21" s="125" t="s">
        <v>316</v>
      </c>
      <c r="I21" s="125"/>
      <c r="J21" s="196"/>
      <c r="K21" s="36"/>
      <c r="L21" s="82" t="s">
        <v>50</v>
      </c>
      <c r="M21" s="17"/>
      <c r="N21" s="17"/>
      <c r="O21" s="235" t="s">
        <v>127</v>
      </c>
      <c r="P21" s="229" t="s">
        <v>128</v>
      </c>
      <c r="Q21" s="36"/>
      <c r="R21" s="36"/>
      <c r="S21" s="36"/>
      <c r="T21" s="36"/>
      <c r="U21" s="36"/>
      <c r="V21" s="36"/>
      <c r="W21" s="36"/>
      <c r="X21" s="36"/>
      <c r="Y21" s="36"/>
      <c r="Z21" s="36"/>
      <c r="AA21" s="36"/>
      <c r="AB21" s="36"/>
      <c r="AC21" s="36"/>
      <c r="AD21" s="36"/>
      <c r="AE21" s="36"/>
    </row>
    <row r="22" spans="1:31" ht="18" x14ac:dyDescent="0.35">
      <c r="A22" s="36"/>
      <c r="B22" s="30"/>
      <c r="C22" t="s">
        <v>285</v>
      </c>
      <c r="E22" s="8">
        <v>0.55000000000000004</v>
      </c>
      <c r="F22" s="136" t="s">
        <v>301</v>
      </c>
      <c r="G22" s="7">
        <v>25000</v>
      </c>
      <c r="H22" s="41" t="s">
        <v>316</v>
      </c>
      <c r="I22" s="41"/>
      <c r="J22" s="197"/>
      <c r="K22" s="36"/>
      <c r="L22" s="30"/>
      <c r="M22" t="s">
        <v>33</v>
      </c>
      <c r="O22" s="236">
        <f>IF($F$4="PV Only",0,IF(D38="Simple",(E28*E40*1000)+(E27*1000*E39)+E48,Adv.!$K$54))</f>
        <v>0</v>
      </c>
      <c r="P22" s="230">
        <f>O22+'PV IN'!O14</f>
        <v>2325000</v>
      </c>
      <c r="Q22" s="36"/>
      <c r="R22" s="36"/>
      <c r="S22" s="36"/>
      <c r="T22" s="36"/>
      <c r="U22" s="36"/>
      <c r="V22" s="36"/>
      <c r="W22" s="36"/>
      <c r="X22" s="36"/>
      <c r="Y22" s="36"/>
      <c r="Z22" s="36"/>
      <c r="AA22" s="36"/>
      <c r="AB22" s="36"/>
      <c r="AC22" s="36"/>
      <c r="AD22" s="36"/>
      <c r="AE22" s="36"/>
    </row>
    <row r="23" spans="1:31" ht="18" x14ac:dyDescent="0.35">
      <c r="A23" s="36"/>
      <c r="B23" s="129"/>
      <c r="C23" s="123" t="s">
        <v>426</v>
      </c>
      <c r="D23" s="123"/>
      <c r="E23" s="108">
        <v>16</v>
      </c>
      <c r="F23" s="126" t="s">
        <v>321</v>
      </c>
      <c r="G23" s="146">
        <f>SUM(BattCalcs!$Q$5:$Q$16)</f>
        <v>133056.95999999999</v>
      </c>
      <c r="H23" s="126" t="s">
        <v>138</v>
      </c>
      <c r="I23" s="126"/>
      <c r="J23" s="198"/>
      <c r="K23" s="36"/>
      <c r="L23" s="30"/>
      <c r="M23" t="s">
        <v>51</v>
      </c>
      <c r="O23" s="236">
        <f>IF($F$4="PV Only",0,SUM(BattCalcs!AJ487:AP487))</f>
        <v>0</v>
      </c>
      <c r="P23" s="230">
        <f>O23+'PV IN'!O15</f>
        <v>0</v>
      </c>
      <c r="Q23" s="36"/>
      <c r="R23" s="36"/>
      <c r="S23" s="36"/>
      <c r="T23" s="36"/>
      <c r="U23" s="36"/>
      <c r="V23" s="36"/>
      <c r="W23" s="36"/>
      <c r="X23" s="36"/>
      <c r="Y23" s="36"/>
      <c r="Z23" s="36"/>
      <c r="AA23" s="36"/>
      <c r="AB23" s="36"/>
      <c r="AC23" s="36"/>
      <c r="AD23" s="36"/>
      <c r="AE23" s="36"/>
    </row>
    <row r="24" spans="1:31" ht="15.75" thickBot="1" x14ac:dyDescent="0.3">
      <c r="A24" s="36"/>
      <c r="B24" s="199"/>
      <c r="C24" s="200" t="s">
        <v>411</v>
      </c>
      <c r="D24" s="200"/>
      <c r="E24" s="201">
        <v>1</v>
      </c>
      <c r="F24" s="202" t="s">
        <v>323</v>
      </c>
      <c r="G24" s="201">
        <v>2.8</v>
      </c>
      <c r="H24" s="200" t="s">
        <v>325</v>
      </c>
      <c r="I24" s="200"/>
      <c r="J24" s="203"/>
      <c r="K24" s="36"/>
      <c r="L24" s="30"/>
      <c r="M24" t="s">
        <v>235</v>
      </c>
      <c r="O24" s="237">
        <f>IF($F$4="PV Only",0,SUM(O22:O23))</f>
        <v>0</v>
      </c>
      <c r="P24" s="231">
        <f>O24+'PV IN'!O16</f>
        <v>2325000</v>
      </c>
      <c r="Q24" s="36"/>
      <c r="R24" s="36"/>
      <c r="S24" s="36"/>
      <c r="T24" s="36"/>
      <c r="U24" s="36"/>
      <c r="V24" s="36"/>
      <c r="W24" s="36"/>
      <c r="X24" s="36"/>
      <c r="Y24" s="36"/>
      <c r="Z24" s="36"/>
      <c r="AA24" s="36"/>
      <c r="AB24" s="36"/>
      <c r="AC24" s="36"/>
      <c r="AD24" s="36"/>
      <c r="AE24" s="36"/>
    </row>
    <row r="25" spans="1:31" ht="15.75" thickTop="1" x14ac:dyDescent="0.25">
      <c r="A25" s="36"/>
      <c r="B25" s="36"/>
      <c r="C25" s="36"/>
      <c r="D25" s="36"/>
      <c r="E25" s="36"/>
      <c r="F25" s="36"/>
      <c r="G25" s="36"/>
      <c r="H25" s="36"/>
      <c r="I25" s="36"/>
      <c r="J25" s="36"/>
      <c r="K25" s="36"/>
      <c r="L25" s="30"/>
      <c r="M25" t="s">
        <v>132</v>
      </c>
      <c r="O25" s="238">
        <f>O13</f>
        <v>0</v>
      </c>
      <c r="P25" s="232">
        <f>O25+'PV IN'!O17</f>
        <v>2325000</v>
      </c>
      <c r="Q25" s="36"/>
      <c r="R25" s="36"/>
      <c r="S25" s="36"/>
      <c r="T25" s="36"/>
      <c r="U25" s="36"/>
      <c r="V25" s="36"/>
      <c r="W25" s="36"/>
      <c r="X25" s="36"/>
      <c r="Y25" s="36"/>
      <c r="Z25" s="36"/>
      <c r="AA25" s="36"/>
      <c r="AB25" s="36"/>
      <c r="AC25" s="36"/>
      <c r="AD25" s="36"/>
      <c r="AE25" s="36"/>
    </row>
    <row r="26" spans="1:31" ht="18.75" x14ac:dyDescent="0.3">
      <c r="A26" s="36"/>
      <c r="B26" s="82" t="s">
        <v>280</v>
      </c>
      <c r="C26" s="17"/>
      <c r="D26" s="17"/>
      <c r="E26" s="329" t="str">
        <f>IF(OR($G$35&lt;SUM(BattCalcs!U5:AD16),$G$16&gt;0.5*$E$28,$G$17*$G$18&gt;$E$28*$E$34,$G$19*$G$20&gt;$E$28*$E$34),"Maximum Battery Capacity Exceeded!",IF($G$17&gt;$E$27,"Inverter Power Exceeded",""))</f>
        <v/>
      </c>
      <c r="F26" s="329"/>
      <c r="G26" s="329"/>
      <c r="H26" s="329"/>
      <c r="I26" s="17"/>
      <c r="J26" s="167">
        <v>3</v>
      </c>
      <c r="K26" s="36"/>
      <c r="L26" s="30"/>
      <c r="M26" s="27" t="s">
        <v>131</v>
      </c>
      <c r="O26" s="239">
        <f>IF($Q$4="Non-Taxable",$P$4,0)+IF($Q$5="Non-Taxable",$P$5,0)</f>
        <v>0</v>
      </c>
      <c r="P26" s="233">
        <f>O26+'PV IN'!O18</f>
        <v>0</v>
      </c>
      <c r="Q26" s="36"/>
      <c r="R26" s="36"/>
      <c r="S26" s="36"/>
      <c r="T26" s="36"/>
      <c r="U26" s="36"/>
      <c r="V26" s="36"/>
      <c r="W26" s="36"/>
      <c r="X26" s="36"/>
      <c r="Y26" s="36"/>
      <c r="Z26" s="36"/>
      <c r="AA26" s="36"/>
      <c r="AB26" s="36"/>
      <c r="AC26" s="36"/>
      <c r="AD26" s="36"/>
      <c r="AE26" s="36"/>
    </row>
    <row r="27" spans="1:31" ht="18" x14ac:dyDescent="0.35">
      <c r="A27" s="36"/>
      <c r="B27" s="34"/>
      <c r="C27" s="90" t="s">
        <v>99</v>
      </c>
      <c r="E27" s="6">
        <v>1000</v>
      </c>
      <c r="F27" t="s">
        <v>322</v>
      </c>
      <c r="G27" s="89">
        <f>E27/E28</f>
        <v>1</v>
      </c>
      <c r="H27" t="s">
        <v>141</v>
      </c>
      <c r="J27" s="168"/>
      <c r="K27" s="36"/>
      <c r="L27" s="30"/>
      <c r="M27" s="27" t="s">
        <v>54</v>
      </c>
      <c r="O27" s="239">
        <f>$O$24-$O$26</f>
        <v>0</v>
      </c>
      <c r="P27" s="233">
        <f>O27+'PV IN'!O19</f>
        <v>2325000</v>
      </c>
      <c r="Q27" s="36"/>
      <c r="R27" s="36"/>
      <c r="S27" s="36"/>
      <c r="T27" s="36"/>
      <c r="U27" s="36"/>
      <c r="V27" s="36"/>
      <c r="W27" s="36"/>
      <c r="X27" s="36"/>
      <c r="Y27" s="36"/>
      <c r="Z27" s="36"/>
      <c r="AA27" s="36"/>
      <c r="AB27" s="36"/>
      <c r="AC27" s="36"/>
      <c r="AD27" s="36"/>
      <c r="AE27" s="36"/>
    </row>
    <row r="28" spans="1:31" ht="18.75" thickBot="1" x14ac:dyDescent="0.4">
      <c r="A28" s="36"/>
      <c r="B28" s="30"/>
      <c r="C28" t="s">
        <v>101</v>
      </c>
      <c r="E28" s="6">
        <v>1000</v>
      </c>
      <c r="F28" t="s">
        <v>100</v>
      </c>
      <c r="G28" s="7" t="s">
        <v>332</v>
      </c>
      <c r="H28" s="101">
        <f>VLOOKUP($G$28,LkUP!S2:T4,2)</f>
        <v>1</v>
      </c>
      <c r="I28" s="14" t="s">
        <v>334</v>
      </c>
      <c r="J28" s="168"/>
      <c r="K28" s="36"/>
      <c r="L28" s="169"/>
      <c r="M28" s="174" t="s">
        <v>392</v>
      </c>
      <c r="N28" s="170"/>
      <c r="O28" s="240">
        <f>$O$24-$O$26*0.5-$P$6*0.5</f>
        <v>0</v>
      </c>
      <c r="P28" s="234">
        <f>O28+'PV IN'!O20</f>
        <v>1976250</v>
      </c>
      <c r="Q28" s="36"/>
      <c r="R28" s="36"/>
      <c r="S28" s="36"/>
      <c r="T28" s="36"/>
      <c r="U28" s="36"/>
      <c r="V28" s="36"/>
      <c r="W28" s="36"/>
      <c r="X28" s="36"/>
      <c r="Y28" s="36"/>
      <c r="Z28" s="36"/>
      <c r="AA28" s="36"/>
      <c r="AB28" s="36"/>
      <c r="AC28" s="36"/>
      <c r="AD28" s="36"/>
      <c r="AE28" s="36"/>
    </row>
    <row r="29" spans="1:31" ht="18" x14ac:dyDescent="0.35">
      <c r="A29" s="36"/>
      <c r="B29" s="30"/>
      <c r="C29" t="s">
        <v>247</v>
      </c>
      <c r="E29" s="5">
        <v>0.85</v>
      </c>
      <c r="G29" s="91">
        <f>SUM(BattCalcs!AF5:AF16)</f>
        <v>369751.19000000012</v>
      </c>
      <c r="H29" t="s">
        <v>248</v>
      </c>
      <c r="J29" s="168"/>
      <c r="K29" s="36"/>
      <c r="L29" s="36"/>
      <c r="M29" s="36"/>
      <c r="N29" s="36"/>
      <c r="O29" s="36"/>
      <c r="P29" s="36"/>
      <c r="Q29" s="36"/>
      <c r="R29" s="36"/>
      <c r="S29" s="36"/>
      <c r="T29" s="36"/>
      <c r="U29" s="36"/>
      <c r="V29" s="36"/>
      <c r="W29" s="36"/>
      <c r="X29" s="36"/>
      <c r="Y29" s="36"/>
      <c r="Z29" s="36"/>
      <c r="AA29" s="36"/>
      <c r="AB29" s="36"/>
      <c r="AC29" s="36"/>
      <c r="AD29" s="36"/>
      <c r="AE29" s="36"/>
    </row>
    <row r="30" spans="1:31" ht="18.75" x14ac:dyDescent="0.3">
      <c r="A30" s="36"/>
      <c r="B30" s="30"/>
      <c r="C30" t="s">
        <v>107</v>
      </c>
      <c r="E30" s="5">
        <v>0.2</v>
      </c>
      <c r="F30" s="99">
        <f>IF('PV IN'!$D$19="YES",E30-G30,E30)</f>
        <v>0.2</v>
      </c>
      <c r="G30" s="5">
        <v>0.05</v>
      </c>
      <c r="H30" t="s">
        <v>364</v>
      </c>
      <c r="J30" s="168"/>
      <c r="K30" s="36"/>
      <c r="L30" s="82" t="s">
        <v>402</v>
      </c>
      <c r="M30" s="17"/>
      <c r="N30" s="17"/>
      <c r="O30" s="61">
        <f>'PV IN'!O22</f>
        <v>20</v>
      </c>
      <c r="P30" s="83" t="s">
        <v>403</v>
      </c>
      <c r="Q30" s="17"/>
      <c r="R30" s="177"/>
      <c r="S30" s="36"/>
      <c r="T30" s="36"/>
      <c r="U30" s="36"/>
      <c r="V30" s="36"/>
      <c r="W30" s="36"/>
      <c r="X30" s="36"/>
      <c r="Y30" s="36"/>
      <c r="Z30" s="36"/>
      <c r="AA30" s="36"/>
      <c r="AB30" s="36"/>
      <c r="AC30" s="36"/>
      <c r="AD30" s="36"/>
      <c r="AE30" s="36"/>
    </row>
    <row r="31" spans="1:31" ht="18.75" x14ac:dyDescent="0.3">
      <c r="A31" s="36"/>
      <c r="B31" s="30"/>
      <c r="C31" t="s">
        <v>106</v>
      </c>
      <c r="E31" s="5">
        <v>0.98</v>
      </c>
      <c r="J31" s="168"/>
      <c r="K31" s="36"/>
      <c r="L31" s="30"/>
      <c r="O31" s="219" t="s">
        <v>124</v>
      </c>
      <c r="P31" s="218" t="s">
        <v>122</v>
      </c>
      <c r="Q31" s="326" t="s">
        <v>125</v>
      </c>
      <c r="R31" s="327"/>
      <c r="S31" s="36"/>
      <c r="T31" s="36"/>
      <c r="U31" s="36"/>
      <c r="V31" s="36"/>
      <c r="W31" s="36"/>
      <c r="X31" s="36"/>
      <c r="Y31" s="36"/>
      <c r="Z31" s="36"/>
      <c r="AA31" s="36"/>
      <c r="AB31" s="36"/>
      <c r="AC31" s="36"/>
      <c r="AD31" s="36"/>
      <c r="AE31" s="36"/>
    </row>
    <row r="32" spans="1:31" ht="18.75" x14ac:dyDescent="0.3">
      <c r="A32" s="36"/>
      <c r="B32" s="30"/>
      <c r="C32" t="s">
        <v>236</v>
      </c>
      <c r="E32" s="7">
        <v>50</v>
      </c>
      <c r="F32" t="s">
        <v>102</v>
      </c>
      <c r="G32" s="5">
        <v>0.35</v>
      </c>
      <c r="H32" t="s">
        <v>363</v>
      </c>
      <c r="J32" s="168"/>
      <c r="K32" s="36"/>
      <c r="L32" s="30"/>
      <c r="M32" s="104" t="str">
        <f>$O$30&amp;"-Year Discounted Cash ROI"</f>
        <v>20-Year Discounted Cash ROI</v>
      </c>
      <c r="N32" s="95"/>
      <c r="O32" s="220" t="e">
        <f ca="1">SUM(Batt_DCF)/$O$25</f>
        <v>#DIV/0!</v>
      </c>
      <c r="P32" s="205">
        <f ca="1">'PV IN'!O24</f>
        <v>0.18592902219822516</v>
      </c>
      <c r="Q32" s="321">
        <f ca="1">Q36/P25</f>
        <v>0.18592902219822516</v>
      </c>
      <c r="R32" s="322"/>
      <c r="S32" s="36"/>
      <c r="T32" s="36"/>
      <c r="U32" s="36"/>
      <c r="V32" s="36"/>
      <c r="W32" s="36"/>
      <c r="X32" s="36"/>
      <c r="Y32" s="36"/>
      <c r="Z32" s="36"/>
      <c r="AA32" s="36"/>
      <c r="AB32" s="36"/>
      <c r="AC32" s="36"/>
      <c r="AD32" s="36"/>
      <c r="AE32" s="36"/>
    </row>
    <row r="33" spans="1:31" ht="18.75" x14ac:dyDescent="0.3">
      <c r="A33" s="36"/>
      <c r="B33" s="30"/>
      <c r="C33" t="s">
        <v>105</v>
      </c>
      <c r="E33" s="7">
        <v>0</v>
      </c>
      <c r="F33" t="s">
        <v>104</v>
      </c>
      <c r="J33" s="168"/>
      <c r="K33" s="36"/>
      <c r="M33" s="104" t="str">
        <f>$O$30&amp;"-Year Discounted Investment ROI"</f>
        <v>20-Year Discounted Investment ROI</v>
      </c>
      <c r="O33" s="220" t="e">
        <f ca="1">SUM(Batt_DCF)/$O$24</f>
        <v>#DIV/0!</v>
      </c>
      <c r="P33" s="205">
        <f ca="1">'PV IN'!O25</f>
        <v>0.18592902219822516</v>
      </c>
      <c r="Q33" s="321">
        <f ca="1">Q36/P24</f>
        <v>0.18592902219822516</v>
      </c>
      <c r="R33" s="322"/>
      <c r="S33" s="36"/>
      <c r="T33" s="36"/>
      <c r="U33" s="36"/>
      <c r="V33" s="36"/>
      <c r="W33" s="36"/>
      <c r="X33" s="36"/>
      <c r="Y33" s="36"/>
      <c r="Z33" s="36"/>
      <c r="AA33" s="36"/>
      <c r="AB33" s="36"/>
      <c r="AC33" s="36"/>
      <c r="AD33" s="36"/>
      <c r="AE33" s="36"/>
    </row>
    <row r="34" spans="1:31" ht="18.75" x14ac:dyDescent="0.3">
      <c r="A34" s="36"/>
      <c r="B34" s="30"/>
      <c r="C34" t="s">
        <v>335</v>
      </c>
      <c r="E34" s="5">
        <v>0.75</v>
      </c>
      <c r="J34" s="168"/>
      <c r="K34" s="36"/>
      <c r="L34" s="30"/>
      <c r="M34" s="104" t="str">
        <f>O30&amp;"-Yr. Annualized Mod.IRR"</f>
        <v>20-Yr. Annualized Mod.IRR</v>
      </c>
      <c r="N34" s="95"/>
      <c r="O34" s="220" t="e">
        <f ca="1">((1+MIRR(Batt_AfterTax_CF,$E$8,$E$9))^12)-1</f>
        <v>#DIV/0!</v>
      </c>
      <c r="P34" s="205">
        <f ca="1">'PV IN'!O26</f>
        <v>0.89709173777367868</v>
      </c>
      <c r="Q34" s="321">
        <f ca="1">((1+MIRR(Hybrid_AfterTax_CF,$E$8,$E$9))^12)-1</f>
        <v>0.89709173777367868</v>
      </c>
      <c r="R34" s="322"/>
      <c r="S34" s="36"/>
      <c r="T34" s="36"/>
      <c r="U34" s="36"/>
      <c r="V34" s="36"/>
      <c r="W34" s="36"/>
      <c r="X34" s="36"/>
      <c r="Y34" s="36"/>
      <c r="Z34" s="36"/>
      <c r="AA34" s="36"/>
      <c r="AB34" s="36"/>
      <c r="AC34" s="36"/>
      <c r="AD34" s="36"/>
      <c r="AE34" s="36"/>
    </row>
    <row r="35" spans="1:31" ht="20.25" thickBot="1" x14ac:dyDescent="0.4">
      <c r="A35" s="36"/>
      <c r="B35" s="169"/>
      <c r="C35" s="170" t="s">
        <v>336</v>
      </c>
      <c r="D35" s="170"/>
      <c r="E35" s="184">
        <f>IF(E27*12&lt;=E28*E34*H28*12,E27*12,E28*E34*H28*12)</f>
        <v>9000</v>
      </c>
      <c r="F35" s="170" t="s">
        <v>337</v>
      </c>
      <c r="G35" s="185">
        <f>E35*365</f>
        <v>3285000</v>
      </c>
      <c r="H35" s="170" t="s">
        <v>316</v>
      </c>
      <c r="I35" s="170"/>
      <c r="J35" s="172"/>
      <c r="K35" s="36"/>
      <c r="L35" s="30"/>
      <c r="M35" s="104" t="str">
        <f>O30&amp;"-Yr. Annualized IRR"</f>
        <v>20-Yr. Annualized IRR</v>
      </c>
      <c r="O35" s="220" t="e">
        <f ca="1">((1+IRR(Batt_AfterTax_CF))^12)-1</f>
        <v>#NUM!</v>
      </c>
      <c r="P35" s="205">
        <f ca="1">'PV IN'!O27</f>
        <v>8.8207966961473483E-2</v>
      </c>
      <c r="Q35" s="321">
        <f ca="1">((1+IRR(Hybrid_AfterTax_CF))^12)-1</f>
        <v>8.8207966961473483E-2</v>
      </c>
      <c r="R35" s="322"/>
      <c r="S35" s="36"/>
      <c r="T35" s="36"/>
      <c r="U35" s="36"/>
      <c r="V35" s="36"/>
      <c r="W35" s="36"/>
      <c r="X35" s="36"/>
      <c r="Y35" s="36"/>
      <c r="Z35" s="36"/>
      <c r="AA35" s="36"/>
      <c r="AB35" s="36"/>
      <c r="AC35" s="36"/>
      <c r="AD35" s="36"/>
      <c r="AE35" s="36"/>
    </row>
    <row r="36" spans="1:31" ht="18.75" x14ac:dyDescent="0.3">
      <c r="A36" s="36"/>
      <c r="B36" s="36"/>
      <c r="C36" s="36"/>
      <c r="D36" s="36"/>
      <c r="E36" s="36"/>
      <c r="F36" s="36"/>
      <c r="G36" s="36"/>
      <c r="H36" s="36"/>
      <c r="I36" s="36"/>
      <c r="J36" s="36"/>
      <c r="K36" s="36"/>
      <c r="L36" s="30"/>
      <c r="M36" s="104" t="str">
        <f>O30&amp;"-Year NPV"</f>
        <v>20-Year NPV</v>
      </c>
      <c r="O36" s="221">
        <f ca="1">SUM(Batt_DCF)</f>
        <v>0</v>
      </c>
      <c r="P36" s="206">
        <f ca="1">'PV IN'!O28</f>
        <v>432284.97661087348</v>
      </c>
      <c r="Q36" s="324">
        <f ca="1">SUM(Hybrid_DCF)</f>
        <v>432284.97661087348</v>
      </c>
      <c r="R36" s="325"/>
      <c r="S36" s="36"/>
      <c r="T36" s="36"/>
      <c r="U36" s="36"/>
      <c r="V36" s="36"/>
      <c r="W36" s="36"/>
      <c r="X36" s="36"/>
      <c r="Y36" s="36"/>
      <c r="Z36" s="36"/>
      <c r="AA36" s="36"/>
      <c r="AB36" s="36"/>
      <c r="AC36" s="36"/>
      <c r="AD36" s="36"/>
      <c r="AE36" s="36"/>
    </row>
    <row r="37" spans="1:31" ht="18.75" x14ac:dyDescent="0.3">
      <c r="A37" s="36"/>
      <c r="B37" s="82" t="s">
        <v>278</v>
      </c>
      <c r="C37" s="17"/>
      <c r="D37" s="17"/>
      <c r="E37" s="17"/>
      <c r="F37" s="17"/>
      <c r="G37" s="17"/>
      <c r="H37" s="17"/>
      <c r="I37" s="17"/>
      <c r="J37" s="167">
        <v>4</v>
      </c>
      <c r="K37" s="36"/>
      <c r="L37" s="30"/>
      <c r="M37" s="104" t="s">
        <v>250</v>
      </c>
      <c r="N37" s="104"/>
      <c r="O37" s="222">
        <f>HybridCalcs!$J$2</f>
        <v>8.3333333333333329E-2</v>
      </c>
      <c r="P37" s="207">
        <f>HybridCalcs!$G$2</f>
        <v>11.5</v>
      </c>
      <c r="Q37" s="330">
        <f>HybridCalcs!$M$2</f>
        <v>11.5</v>
      </c>
      <c r="R37" s="331"/>
      <c r="S37" s="36"/>
      <c r="T37" s="36"/>
      <c r="U37" s="36"/>
      <c r="V37" s="36"/>
      <c r="W37" s="36"/>
      <c r="X37" s="36"/>
      <c r="Y37" s="36"/>
      <c r="Z37" s="36"/>
      <c r="AA37" s="36"/>
      <c r="AB37" s="36"/>
      <c r="AC37" s="36"/>
      <c r="AD37" s="36"/>
      <c r="AE37" s="36"/>
    </row>
    <row r="38" spans="1:31" ht="19.5" thickBot="1" x14ac:dyDescent="0.35">
      <c r="A38" s="36"/>
      <c r="B38" s="30"/>
      <c r="C38" s="87" t="s">
        <v>279</v>
      </c>
      <c r="D38" s="7" t="s">
        <v>207</v>
      </c>
      <c r="J38" s="168"/>
      <c r="K38" s="36"/>
      <c r="L38" s="169"/>
      <c r="M38" s="178" t="s">
        <v>491</v>
      </c>
      <c r="N38" s="178"/>
      <c r="O38" s="223">
        <f ca="1">-SUM(Batt_LCOE_DCF)/SUM(Batt_kWh)</f>
        <v>5.4460015582727228E-2</v>
      </c>
      <c r="P38" s="224">
        <f ca="1">'PV IN'!O30</f>
        <v>3.7814918021218731E-2</v>
      </c>
      <c r="Q38" s="319">
        <f ca="1">'PV IN'!Q30</f>
        <v>4.141045069439505E-2</v>
      </c>
      <c r="R38" s="320"/>
      <c r="S38" s="36"/>
      <c r="T38" s="36"/>
      <c r="U38" s="36"/>
      <c r="V38" s="36"/>
      <c r="W38" s="36"/>
      <c r="X38" s="36"/>
      <c r="Y38" s="36"/>
      <c r="Z38" s="36"/>
      <c r="AA38" s="36"/>
      <c r="AB38" s="36"/>
      <c r="AC38" s="36"/>
      <c r="AD38" s="36"/>
      <c r="AE38" s="36"/>
    </row>
    <row r="39" spans="1:31" ht="18" x14ac:dyDescent="0.35">
      <c r="A39" s="36"/>
      <c r="B39" s="30"/>
      <c r="C39" t="s">
        <v>97</v>
      </c>
      <c r="D39" s="58">
        <v>0.14000000000000001</v>
      </c>
      <c r="E39" s="102">
        <f>IF($D$38="Simple",D39,Adv.!J41)</f>
        <v>0.14000000000000001</v>
      </c>
      <c r="F39" t="s">
        <v>294</v>
      </c>
      <c r="G39" s="318">
        <f>E27*E39*1000</f>
        <v>140000</v>
      </c>
      <c r="H39" s="318"/>
      <c r="J39" s="168"/>
      <c r="K39" s="36"/>
      <c r="L39" s="36"/>
      <c r="M39" s="36"/>
      <c r="N39" s="36"/>
      <c r="O39" s="36"/>
      <c r="P39" s="36"/>
      <c r="Q39" s="36"/>
      <c r="R39" s="36"/>
      <c r="S39" s="36"/>
      <c r="T39" s="36"/>
      <c r="U39" s="36"/>
      <c r="V39" s="36"/>
      <c r="W39" s="36"/>
      <c r="X39" s="36"/>
      <c r="Y39" s="36"/>
      <c r="Z39" s="36"/>
      <c r="AA39" s="36"/>
      <c r="AB39" s="36"/>
      <c r="AC39" s="36"/>
      <c r="AD39" s="36"/>
      <c r="AE39" s="36"/>
    </row>
    <row r="40" spans="1:31" ht="18" x14ac:dyDescent="0.35">
      <c r="A40" s="36"/>
      <c r="B40" s="30"/>
      <c r="C40" t="s">
        <v>344</v>
      </c>
      <c r="D40" s="58">
        <v>0.74</v>
      </c>
      <c r="E40" s="102">
        <f>IF($D$38="Simple",D40,Adv.!J35)</f>
        <v>0.74</v>
      </c>
      <c r="F40" t="s">
        <v>295</v>
      </c>
      <c r="G40" s="328">
        <f>E28*E40*1000</f>
        <v>740000</v>
      </c>
      <c r="H40" s="328"/>
      <c r="J40" s="168"/>
      <c r="K40" s="36"/>
      <c r="L40" s="36"/>
      <c r="M40" s="36"/>
      <c r="N40" s="36"/>
      <c r="O40" s="36"/>
      <c r="P40" s="36"/>
      <c r="Q40" s="36"/>
      <c r="R40" s="36"/>
      <c r="S40" s="36"/>
      <c r="T40" s="36"/>
      <c r="U40" s="36"/>
      <c r="V40" s="36"/>
      <c r="W40" s="36"/>
      <c r="X40" s="36"/>
      <c r="Y40" s="36"/>
      <c r="Z40" s="36"/>
      <c r="AA40" s="36"/>
      <c r="AB40" s="36"/>
      <c r="AC40" s="36"/>
      <c r="AD40" s="36"/>
      <c r="AE40" s="36"/>
    </row>
    <row r="41" spans="1:31" ht="18" x14ac:dyDescent="0.35">
      <c r="A41" s="36"/>
      <c r="B41" s="30"/>
      <c r="C41" t="s">
        <v>36</v>
      </c>
      <c r="D41" s="7" t="s">
        <v>22</v>
      </c>
      <c r="E41" s="8">
        <v>280</v>
      </c>
      <c r="F41" t="s">
        <v>296</v>
      </c>
      <c r="G41" t="s">
        <v>93</v>
      </c>
      <c r="H41" s="7">
        <v>7</v>
      </c>
      <c r="J41" s="168"/>
      <c r="K41" s="36"/>
      <c r="L41" s="36"/>
      <c r="M41" s="36"/>
      <c r="N41" s="36"/>
      <c r="O41" s="36"/>
      <c r="P41" s="36"/>
      <c r="Q41" s="36"/>
      <c r="R41" s="36"/>
      <c r="S41" s="36"/>
      <c r="T41" s="36"/>
      <c r="U41" s="36"/>
      <c r="V41" s="36"/>
      <c r="W41" s="36"/>
      <c r="X41" s="36"/>
      <c r="Y41" s="36"/>
      <c r="Z41" s="36"/>
      <c r="AA41" s="36"/>
      <c r="AB41" s="36"/>
      <c r="AC41" s="36"/>
      <c r="AD41" s="36"/>
      <c r="AE41" s="36"/>
    </row>
    <row r="42" spans="1:31" ht="18" x14ac:dyDescent="0.35">
      <c r="A42" s="36"/>
      <c r="B42" s="30"/>
      <c r="C42" t="s">
        <v>96</v>
      </c>
      <c r="D42" s="8">
        <v>1</v>
      </c>
      <c r="E42" s="93">
        <f>IF($D$38="Simple",D42,Adv.!T7)</f>
        <v>1</v>
      </c>
      <c r="F42" t="s">
        <v>297</v>
      </c>
      <c r="G42" s="318">
        <f>E42*E28</f>
        <v>1000</v>
      </c>
      <c r="H42" s="318"/>
      <c r="I42" s="14" t="s">
        <v>138</v>
      </c>
      <c r="J42" s="168"/>
      <c r="K42" s="36"/>
      <c r="L42" s="36"/>
      <c r="M42" s="36"/>
      <c r="N42" s="36"/>
      <c r="O42" s="36"/>
      <c r="P42" s="36"/>
      <c r="Q42" s="36"/>
      <c r="R42" s="36"/>
      <c r="S42" s="36"/>
      <c r="T42" s="36"/>
      <c r="U42" s="36"/>
      <c r="V42" s="36"/>
      <c r="W42" s="36"/>
      <c r="X42" s="36"/>
      <c r="Y42" s="36"/>
      <c r="Z42" s="36"/>
      <c r="AA42" s="36"/>
      <c r="AB42" s="36"/>
      <c r="AC42" s="36"/>
      <c r="AD42" s="36"/>
      <c r="AE42" s="36"/>
    </row>
    <row r="43" spans="1:31" ht="18" x14ac:dyDescent="0.35">
      <c r="A43" s="36"/>
      <c r="B43" s="30"/>
      <c r="C43" t="s">
        <v>415</v>
      </c>
      <c r="D43" s="8">
        <v>15</v>
      </c>
      <c r="E43" s="137">
        <f>$D$43*$E$28</f>
        <v>15000</v>
      </c>
      <c r="F43" t="s">
        <v>297</v>
      </c>
      <c r="G43" t="s">
        <v>419</v>
      </c>
      <c r="H43" s="138">
        <v>25</v>
      </c>
      <c r="I43" s="14" t="s">
        <v>420</v>
      </c>
      <c r="J43" s="168"/>
      <c r="K43" s="36"/>
      <c r="L43" s="36"/>
      <c r="M43" s="36"/>
      <c r="N43" s="36"/>
      <c r="O43" s="36"/>
      <c r="P43" s="36"/>
      <c r="Q43" s="36"/>
      <c r="R43" s="36"/>
      <c r="S43" s="36"/>
      <c r="T43" s="36"/>
      <c r="U43" s="36"/>
      <c r="V43" s="36"/>
      <c r="W43" s="36"/>
      <c r="X43" s="36"/>
      <c r="Y43" s="36"/>
      <c r="Z43" s="36"/>
      <c r="AA43" s="36"/>
      <c r="AB43" s="36"/>
      <c r="AC43" s="36"/>
      <c r="AD43" s="36"/>
      <c r="AE43" s="36"/>
    </row>
    <row r="44" spans="1:31" x14ac:dyDescent="0.25">
      <c r="A44" s="36"/>
      <c r="B44" s="30"/>
      <c r="C44" t="s">
        <v>44</v>
      </c>
      <c r="D44" s="7" t="s">
        <v>22</v>
      </c>
      <c r="E44" s="7">
        <v>5</v>
      </c>
      <c r="F44" t="s">
        <v>45</v>
      </c>
      <c r="G44" s="318">
        <f>-SUM(BattCalcs!AO5:AO244)</f>
        <v>0</v>
      </c>
      <c r="H44" s="318"/>
      <c r="I44" t="s">
        <v>139</v>
      </c>
      <c r="J44" s="168"/>
      <c r="K44" s="36"/>
      <c r="L44" s="36"/>
      <c r="M44" s="36"/>
      <c r="N44" s="36"/>
      <c r="O44" s="36"/>
      <c r="P44" s="36"/>
      <c r="Q44" s="36"/>
      <c r="R44" s="36"/>
      <c r="S44" s="36"/>
      <c r="T44" s="36"/>
      <c r="U44" s="36"/>
      <c r="V44" s="36"/>
      <c r="W44" s="36"/>
      <c r="X44" s="36"/>
      <c r="Y44" s="36"/>
      <c r="Z44" s="36"/>
      <c r="AA44" s="36"/>
      <c r="AB44" s="36"/>
      <c r="AC44" s="36"/>
      <c r="AD44" s="36"/>
      <c r="AE44" s="36"/>
    </row>
    <row r="45" spans="1:31" ht="18" x14ac:dyDescent="0.35">
      <c r="A45" s="36"/>
      <c r="B45" s="30"/>
      <c r="C45" t="s">
        <v>32</v>
      </c>
      <c r="E45" s="8">
        <v>2</v>
      </c>
      <c r="F45" t="s">
        <v>297</v>
      </c>
      <c r="G45" s="318">
        <f>E45*E28</f>
        <v>2000</v>
      </c>
      <c r="H45" s="318"/>
      <c r="I45" s="14" t="s">
        <v>138</v>
      </c>
      <c r="J45" s="168"/>
      <c r="K45" s="36"/>
      <c r="L45" s="36"/>
      <c r="M45" s="36"/>
      <c r="N45" s="36"/>
      <c r="O45" s="36"/>
      <c r="P45" s="36"/>
      <c r="Q45" s="36"/>
      <c r="R45" s="36"/>
      <c r="S45" s="36"/>
      <c r="T45" s="36"/>
      <c r="U45" s="36"/>
      <c r="V45" s="36"/>
      <c r="W45" s="36"/>
      <c r="X45" s="36"/>
      <c r="Y45" s="36"/>
      <c r="Z45" s="36"/>
      <c r="AA45" s="36"/>
      <c r="AB45" s="36"/>
      <c r="AC45" s="36"/>
      <c r="AD45" s="36"/>
      <c r="AE45" s="36"/>
    </row>
    <row r="46" spans="1:31" x14ac:dyDescent="0.25">
      <c r="A46" s="36"/>
      <c r="B46" s="30"/>
      <c r="C46" t="s">
        <v>46</v>
      </c>
      <c r="D46" s="7" t="s">
        <v>22</v>
      </c>
      <c r="E46" s="7">
        <v>5</v>
      </c>
      <c r="F46" t="s">
        <v>45</v>
      </c>
      <c r="G46" s="318">
        <f>-SUM(BattCalcs!AP5:AP244)</f>
        <v>0</v>
      </c>
      <c r="H46" s="318"/>
      <c r="I46" t="s">
        <v>139</v>
      </c>
      <c r="J46" s="168"/>
      <c r="K46" s="36"/>
      <c r="L46" s="36"/>
      <c r="M46" s="36"/>
      <c r="N46" s="36"/>
      <c r="O46" s="36"/>
      <c r="P46" s="36"/>
      <c r="Q46" s="36"/>
      <c r="R46" s="36"/>
      <c r="S46" s="36"/>
      <c r="T46" s="36"/>
      <c r="U46" s="36"/>
      <c r="V46" s="36"/>
      <c r="W46" s="36"/>
      <c r="X46" s="36"/>
      <c r="Y46" s="36"/>
      <c r="Z46" s="36"/>
      <c r="AA46" s="36"/>
      <c r="AB46" s="36"/>
      <c r="AC46" s="36"/>
      <c r="AD46" s="36"/>
      <c r="AE46" s="36"/>
    </row>
    <row r="47" spans="1:31" x14ac:dyDescent="0.25">
      <c r="A47" s="36"/>
      <c r="B47" s="30"/>
      <c r="C47" t="s">
        <v>95</v>
      </c>
      <c r="E47" s="8">
        <v>150</v>
      </c>
      <c r="F47" t="s">
        <v>298</v>
      </c>
      <c r="J47" s="168"/>
      <c r="K47" s="36"/>
      <c r="L47" s="36"/>
      <c r="M47" s="36"/>
      <c r="N47" s="36"/>
      <c r="O47" s="36"/>
      <c r="P47" s="36"/>
      <c r="Q47" s="36"/>
      <c r="R47" s="36"/>
      <c r="S47" s="36"/>
      <c r="T47" s="36"/>
      <c r="U47" s="36"/>
      <c r="V47" s="36"/>
      <c r="W47" s="36"/>
      <c r="X47" s="36"/>
      <c r="Y47" s="36"/>
      <c r="Z47" s="36"/>
      <c r="AA47" s="36"/>
      <c r="AB47" s="36"/>
      <c r="AC47" s="36"/>
      <c r="AD47" s="36"/>
      <c r="AE47" s="36"/>
    </row>
    <row r="48" spans="1:31" x14ac:dyDescent="0.25">
      <c r="A48" s="36"/>
      <c r="B48" s="30"/>
      <c r="C48" t="s">
        <v>238</v>
      </c>
      <c r="E48" s="8">
        <v>0</v>
      </c>
      <c r="J48" s="168"/>
      <c r="K48" s="36"/>
      <c r="L48" s="36"/>
      <c r="M48" s="36"/>
      <c r="N48" s="36"/>
      <c r="O48" s="36"/>
      <c r="P48" s="36"/>
      <c r="Q48" s="36"/>
      <c r="R48" s="36"/>
      <c r="S48" s="36"/>
      <c r="T48" s="36"/>
      <c r="U48" s="36"/>
      <c r="V48" s="36"/>
      <c r="W48" s="36"/>
      <c r="X48" s="36"/>
      <c r="Y48" s="36"/>
      <c r="Z48" s="36"/>
      <c r="AA48" s="36"/>
      <c r="AB48" s="36"/>
      <c r="AC48" s="36"/>
      <c r="AD48" s="36"/>
      <c r="AE48" s="36"/>
    </row>
    <row r="49" spans="1:31" x14ac:dyDescent="0.25">
      <c r="A49" s="36"/>
      <c r="B49" s="30"/>
      <c r="C49" t="s">
        <v>239</v>
      </c>
      <c r="E49" s="8">
        <v>2250</v>
      </c>
      <c r="F49" t="s">
        <v>298</v>
      </c>
      <c r="J49" s="168"/>
      <c r="K49" s="36"/>
      <c r="L49" s="36"/>
      <c r="M49" s="36"/>
      <c r="N49" s="36"/>
      <c r="O49" s="36"/>
      <c r="P49" s="36"/>
      <c r="Q49" s="36"/>
      <c r="R49" s="36"/>
      <c r="S49" s="36"/>
      <c r="T49" s="36"/>
      <c r="U49" s="36"/>
      <c r="V49" s="36"/>
      <c r="W49" s="36"/>
      <c r="X49" s="36"/>
      <c r="Y49" s="36"/>
      <c r="Z49" s="36"/>
      <c r="AA49" s="36"/>
      <c r="AB49" s="36"/>
      <c r="AC49" s="36"/>
      <c r="AD49" s="36"/>
      <c r="AE49" s="36"/>
    </row>
    <row r="50" spans="1:31" ht="15.75" thickBot="1" x14ac:dyDescent="0.3">
      <c r="A50" s="36"/>
      <c r="B50" s="169"/>
      <c r="C50" s="170" t="s">
        <v>240</v>
      </c>
      <c r="D50" s="170"/>
      <c r="E50" s="175">
        <v>0</v>
      </c>
      <c r="F50" s="186" t="s">
        <v>137</v>
      </c>
      <c r="G50" s="170" t="s">
        <v>136</v>
      </c>
      <c r="H50" s="171" t="s">
        <v>22</v>
      </c>
      <c r="I50" s="170"/>
      <c r="J50" s="172"/>
      <c r="K50" s="36"/>
      <c r="L50" s="36"/>
      <c r="M50" s="36"/>
      <c r="N50" s="36"/>
      <c r="O50" s="36"/>
      <c r="P50" s="36"/>
      <c r="Q50" s="36"/>
      <c r="R50" s="36"/>
      <c r="S50" s="36"/>
      <c r="T50" s="36"/>
      <c r="U50" s="36"/>
      <c r="V50" s="36"/>
      <c r="W50" s="36"/>
      <c r="X50" s="36"/>
      <c r="Y50" s="36"/>
      <c r="Z50" s="36"/>
      <c r="AA50" s="36"/>
      <c r="AB50" s="36"/>
      <c r="AC50" s="36"/>
      <c r="AD50" s="36"/>
      <c r="AE50" s="36"/>
    </row>
    <row r="51" spans="1:31"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row>
    <row r="52" spans="1:31" ht="18.75" x14ac:dyDescent="0.3">
      <c r="A52" s="36"/>
      <c r="B52" s="82" t="s">
        <v>262</v>
      </c>
      <c r="C52" s="17"/>
      <c r="D52" s="17"/>
      <c r="E52" s="17"/>
      <c r="F52" s="17"/>
      <c r="G52" s="17"/>
      <c r="H52" s="167">
        <v>5</v>
      </c>
      <c r="I52" s="36"/>
      <c r="J52" s="36"/>
      <c r="K52" s="36"/>
      <c r="L52" s="36"/>
      <c r="M52" s="36"/>
      <c r="N52" s="36"/>
      <c r="O52" s="36"/>
      <c r="P52" s="36"/>
      <c r="Q52" s="36"/>
      <c r="R52" s="36"/>
      <c r="S52" s="36"/>
      <c r="T52" s="36"/>
      <c r="U52" s="36"/>
      <c r="V52" s="36"/>
      <c r="W52" s="36"/>
      <c r="X52" s="36"/>
      <c r="Y52" s="36"/>
      <c r="Z52" s="36"/>
      <c r="AA52" s="36"/>
      <c r="AB52" s="36"/>
      <c r="AC52" s="36"/>
      <c r="AD52" s="36"/>
      <c r="AE52" s="36"/>
    </row>
    <row r="53" spans="1:31" x14ac:dyDescent="0.25">
      <c r="A53" s="36"/>
      <c r="B53" s="30"/>
      <c r="C53" t="s">
        <v>284</v>
      </c>
      <c r="D53" s="7" t="s">
        <v>22</v>
      </c>
      <c r="E53" s="316" t="s">
        <v>263</v>
      </c>
      <c r="F53" s="316"/>
      <c r="G53" s="316"/>
      <c r="H53" s="168"/>
      <c r="I53" s="36"/>
      <c r="J53" s="36"/>
      <c r="K53" s="36"/>
      <c r="L53" s="36"/>
      <c r="M53" s="36"/>
      <c r="N53" s="36"/>
      <c r="O53" s="36"/>
      <c r="P53" s="36"/>
      <c r="Q53" s="36"/>
      <c r="R53" s="36"/>
      <c r="S53" s="36"/>
      <c r="T53" s="36"/>
      <c r="U53" s="36"/>
      <c r="V53" s="36"/>
      <c r="W53" s="36"/>
      <c r="X53" s="36"/>
      <c r="Y53" s="36"/>
      <c r="Z53" s="36"/>
      <c r="AA53" s="36"/>
      <c r="AB53" s="36"/>
      <c r="AC53" s="36"/>
      <c r="AD53" s="36"/>
      <c r="AE53" s="36"/>
    </row>
    <row r="54" spans="1:31" x14ac:dyDescent="0.25">
      <c r="A54" s="36"/>
      <c r="B54" s="30"/>
      <c r="C54" t="s">
        <v>263</v>
      </c>
      <c r="D54" s="8">
        <v>60</v>
      </c>
      <c r="E54" t="s">
        <v>10</v>
      </c>
      <c r="F54" s="93">
        <f>D54*$E$28</f>
        <v>60000</v>
      </c>
      <c r="G54" t="s">
        <v>414</v>
      </c>
      <c r="H54" s="187">
        <v>5</v>
      </c>
      <c r="I54" s="36"/>
      <c r="J54" s="36"/>
      <c r="K54" s="36"/>
      <c r="L54" s="36"/>
      <c r="M54" s="36"/>
      <c r="N54" s="36"/>
      <c r="O54" s="36"/>
      <c r="P54" s="36"/>
      <c r="Q54" s="36"/>
      <c r="R54" s="36"/>
      <c r="S54" s="36"/>
      <c r="T54" s="36"/>
      <c r="U54" s="36"/>
      <c r="V54" s="36"/>
      <c r="W54" s="36"/>
      <c r="X54" s="36"/>
      <c r="Y54" s="36"/>
      <c r="Z54" s="36"/>
      <c r="AA54" s="36"/>
      <c r="AB54" s="36"/>
      <c r="AC54" s="36"/>
      <c r="AD54" s="36"/>
      <c r="AE54" s="36"/>
    </row>
    <row r="55" spans="1:31" x14ac:dyDescent="0.25">
      <c r="A55" s="36"/>
      <c r="B55" s="30"/>
      <c r="C55" t="s">
        <v>264</v>
      </c>
      <c r="D55" s="8">
        <v>50</v>
      </c>
      <c r="E55" t="s">
        <v>10</v>
      </c>
      <c r="F55" s="93">
        <f>D55*$E$28</f>
        <v>50000</v>
      </c>
      <c r="G55" t="s">
        <v>414</v>
      </c>
      <c r="H55" s="187">
        <v>10</v>
      </c>
      <c r="I55" s="36"/>
      <c r="J55" s="36"/>
      <c r="K55" s="36"/>
      <c r="L55" s="36"/>
      <c r="M55" s="36"/>
      <c r="N55" s="36"/>
      <c r="O55" s="36"/>
      <c r="P55" s="36"/>
      <c r="Q55" s="36"/>
      <c r="R55" s="36"/>
      <c r="S55" s="36"/>
      <c r="T55" s="36"/>
      <c r="U55" s="36"/>
      <c r="V55" s="36"/>
      <c r="W55" s="36"/>
      <c r="X55" s="36"/>
      <c r="Y55" s="36"/>
      <c r="Z55" s="36"/>
      <c r="AA55" s="36"/>
      <c r="AB55" s="36"/>
      <c r="AC55" s="36"/>
      <c r="AD55" s="36"/>
      <c r="AE55" s="36"/>
    </row>
    <row r="56" spans="1:31" x14ac:dyDescent="0.25">
      <c r="A56" s="36"/>
      <c r="B56" s="30"/>
      <c r="C56" t="s">
        <v>265</v>
      </c>
      <c r="D56" s="8">
        <v>40</v>
      </c>
      <c r="E56" t="s">
        <v>10</v>
      </c>
      <c r="F56" s="93">
        <f>D56*$E$28</f>
        <v>40000</v>
      </c>
      <c r="G56" t="s">
        <v>414</v>
      </c>
      <c r="H56" s="187">
        <v>15</v>
      </c>
      <c r="I56" s="36"/>
      <c r="J56" s="36"/>
      <c r="K56" s="36"/>
      <c r="L56" s="36"/>
      <c r="M56" s="36"/>
      <c r="N56" s="36"/>
      <c r="O56" s="36"/>
      <c r="P56" s="36"/>
      <c r="Q56" s="36"/>
      <c r="R56" s="36"/>
      <c r="S56" s="36"/>
      <c r="T56" s="36"/>
      <c r="U56" s="36"/>
      <c r="V56" s="36"/>
      <c r="W56" s="36"/>
      <c r="X56" s="36"/>
      <c r="Y56" s="36"/>
      <c r="Z56" s="36"/>
      <c r="AA56" s="36"/>
      <c r="AB56" s="36"/>
      <c r="AC56" s="36"/>
      <c r="AD56" s="36"/>
      <c r="AE56" s="36"/>
    </row>
    <row r="57" spans="1:31" x14ac:dyDescent="0.25">
      <c r="A57" s="36"/>
      <c r="B57" s="30"/>
      <c r="C57" t="s">
        <v>266</v>
      </c>
      <c r="D57" s="8">
        <v>30</v>
      </c>
      <c r="E57" t="s">
        <v>10</v>
      </c>
      <c r="F57" s="93">
        <f>D57*$E$28</f>
        <v>30000</v>
      </c>
      <c r="G57" t="s">
        <v>414</v>
      </c>
      <c r="H57" s="187">
        <v>20</v>
      </c>
      <c r="I57" s="36"/>
      <c r="J57" s="36"/>
      <c r="K57" s="36"/>
      <c r="L57" s="36"/>
      <c r="M57" s="36"/>
      <c r="N57" s="36"/>
      <c r="O57" s="36"/>
      <c r="P57" s="36"/>
      <c r="Q57" s="36"/>
      <c r="R57" s="36"/>
      <c r="S57" s="36"/>
      <c r="T57" s="36"/>
      <c r="U57" s="36"/>
      <c r="V57" s="36"/>
      <c r="W57" s="36"/>
      <c r="X57" s="36"/>
      <c r="Y57" s="36"/>
      <c r="Z57" s="36"/>
      <c r="AA57" s="36"/>
      <c r="AB57" s="36"/>
      <c r="AC57" s="36"/>
      <c r="AD57" s="36"/>
      <c r="AE57" s="36"/>
    </row>
    <row r="58" spans="1:31" x14ac:dyDescent="0.25">
      <c r="A58" s="36"/>
      <c r="B58" s="30"/>
      <c r="C58" t="s">
        <v>267</v>
      </c>
      <c r="D58" s="8">
        <v>20</v>
      </c>
      <c r="E58" t="s">
        <v>10</v>
      </c>
      <c r="F58" s="93">
        <f>D58*$E$28</f>
        <v>20000</v>
      </c>
      <c r="G58" t="s">
        <v>414</v>
      </c>
      <c r="H58" s="187">
        <v>25</v>
      </c>
      <c r="I58" s="36"/>
      <c r="J58" s="36"/>
      <c r="K58" s="36"/>
      <c r="L58" s="36"/>
      <c r="M58" s="36"/>
      <c r="N58" s="36"/>
      <c r="O58" s="36"/>
      <c r="P58" s="36"/>
      <c r="Q58" s="36"/>
      <c r="R58" s="36"/>
      <c r="S58" s="36"/>
      <c r="T58" s="36"/>
      <c r="U58" s="36"/>
      <c r="V58" s="36"/>
      <c r="W58" s="36"/>
      <c r="X58" s="36"/>
      <c r="Y58" s="36"/>
      <c r="Z58" s="36"/>
      <c r="AA58" s="36"/>
      <c r="AB58" s="36"/>
      <c r="AC58" s="36"/>
      <c r="AD58" s="36"/>
      <c r="AE58" s="36"/>
    </row>
    <row r="59" spans="1:31" ht="15.75" thickBot="1" x14ac:dyDescent="0.3">
      <c r="A59" s="36"/>
      <c r="B59" s="169"/>
      <c r="C59" s="170"/>
      <c r="D59" s="170"/>
      <c r="E59" s="188" t="s">
        <v>126</v>
      </c>
      <c r="F59" s="204">
        <f>SUM(F54:F58)</f>
        <v>200000</v>
      </c>
      <c r="G59" s="170"/>
      <c r="H59" s="172"/>
      <c r="I59" s="36"/>
      <c r="J59" s="36"/>
      <c r="K59" s="36"/>
      <c r="L59" s="36"/>
      <c r="M59" s="36"/>
      <c r="N59" s="36"/>
      <c r="O59" s="36"/>
      <c r="P59" s="36"/>
      <c r="Q59" s="36"/>
      <c r="R59" s="36"/>
      <c r="S59" s="36"/>
      <c r="T59" s="36"/>
      <c r="U59" s="36"/>
      <c r="V59" s="36"/>
      <c r="W59" s="36"/>
      <c r="X59" s="36"/>
      <c r="Y59" s="36"/>
      <c r="Z59" s="36"/>
      <c r="AA59" s="36"/>
      <c r="AB59" s="36"/>
      <c r="AC59" s="36"/>
      <c r="AD59" s="36"/>
      <c r="AE59" s="36"/>
    </row>
    <row r="60" spans="1:3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row>
    <row r="61" spans="1:3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row>
    <row r="62" spans="1:3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row>
    <row r="63" spans="1:3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row>
    <row r="64" spans="1:3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row>
    <row r="65" spans="1:3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row>
    <row r="66" spans="1:3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row>
    <row r="67" spans="1:3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row>
    <row r="68" spans="1:3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row>
    <row r="69" spans="1:3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row>
  </sheetData>
  <sheetProtection formatCells="0" formatColumns="0"/>
  <mergeCells count="17">
    <mergeCell ref="Q37:R37"/>
    <mergeCell ref="Q38:R38"/>
    <mergeCell ref="Q33:R33"/>
    <mergeCell ref="C1:F1"/>
    <mergeCell ref="E53:G53"/>
    <mergeCell ref="Q36:R36"/>
    <mergeCell ref="Q35:R35"/>
    <mergeCell ref="G42:H42"/>
    <mergeCell ref="G39:H39"/>
    <mergeCell ref="Q31:R31"/>
    <mergeCell ref="Q32:R32"/>
    <mergeCell ref="Q34:R34"/>
    <mergeCell ref="G40:H40"/>
    <mergeCell ref="E26:H26"/>
    <mergeCell ref="G44:H44"/>
    <mergeCell ref="G45:H45"/>
    <mergeCell ref="G46:H46"/>
  </mergeCells>
  <conditionalFormatting sqref="B15:J24 M32:Q32 O33:Q33 M34:Q38">
    <cfRule type="expression" dxfId="25" priority="3">
      <formula>$F$4="PV Only"</formula>
    </cfRule>
  </conditionalFormatting>
  <conditionalFormatting sqref="B2:S2 B3:K6 L3:R9 S3:S61 B7:J11 K7:K61 B12:F12 I12:J12 L12:P19 B13:J13 B14:I14 L19:R19 L21:R28 B24:I32 J24:J62 N30:R30 L30:L31 N31:Q31 B33:F33 H33:I33 B34:I42 B43:F43 I43 B44:I51 B52:H52 I52:I61 B53:E53 H53 B54:H59 L55:R62 G60:H68">
    <cfRule type="expression" dxfId="24" priority="19">
      <formula>$F$4="PV Only"</formula>
    </cfRule>
  </conditionalFormatting>
  <conditionalFormatting sqref="D39:D40 D42:D43">
    <cfRule type="expression" dxfId="23" priority="39">
      <formula>$D$38="Advanced"</formula>
    </cfRule>
  </conditionalFormatting>
  <conditionalFormatting sqref="E39:E40 E42">
    <cfRule type="expression" dxfId="22" priority="42">
      <formula>$D$38="Simple"</formula>
    </cfRule>
  </conditionalFormatting>
  <conditionalFormatting sqref="E53">
    <cfRule type="expression" dxfId="21" priority="29">
      <formula>$D$53="No"</formula>
    </cfRule>
  </conditionalFormatting>
  <conditionalFormatting sqref="E26:F26">
    <cfRule type="expression" dxfId="20" priority="68">
      <formula>$E$26&lt;&gt;""</formula>
    </cfRule>
  </conditionalFormatting>
  <conditionalFormatting sqref="E44:G44">
    <cfRule type="expression" dxfId="19" priority="31">
      <formula>$D$44="No"</formula>
    </cfRule>
  </conditionalFormatting>
  <conditionalFormatting sqref="E46:G46">
    <cfRule type="expression" dxfId="18" priority="30">
      <formula>$D$46="No"</formula>
    </cfRule>
  </conditionalFormatting>
  <conditionalFormatting sqref="E6:H6">
    <cfRule type="expression" dxfId="17" priority="9">
      <formula>$D$6="Table"</formula>
    </cfRule>
  </conditionalFormatting>
  <conditionalFormatting sqref="E41:H41">
    <cfRule type="expression" dxfId="16" priority="33">
      <formula>$D$41="NO"</formula>
    </cfRule>
  </conditionalFormatting>
  <conditionalFormatting sqref="L11:R11">
    <cfRule type="expression" dxfId="14" priority="6">
      <formula>$F$4="PV Only"</formula>
    </cfRule>
  </conditionalFormatting>
  <conditionalFormatting sqref="M33">
    <cfRule type="expression" dxfId="13" priority="1">
      <formula>$F$4="PV Only"</formula>
    </cfRule>
  </conditionalFormatting>
  <conditionalFormatting sqref="M7:O7 M8:N8 P8">
    <cfRule type="expression" dxfId="12" priority="25">
      <formula>$E$4="Residential"</formula>
    </cfRule>
  </conditionalFormatting>
  <conditionalFormatting sqref="M13:P19">
    <cfRule type="expression" dxfId="11" priority="32">
      <formula>$O$12=0</formula>
    </cfRule>
  </conditionalFormatting>
  <conditionalFormatting sqref="O4">
    <cfRule type="expression" dxfId="10" priority="20">
      <formula>$N$4="% of Cost"</formula>
    </cfRule>
    <cfRule type="expression" dxfId="9" priority="21">
      <formula>$N$4="None"</formula>
    </cfRule>
  </conditionalFormatting>
  <conditionalFormatting sqref="O7:P7 M8:P8">
    <cfRule type="expression" dxfId="8" priority="2">
      <formula>$N$7="OFF"</formula>
    </cfRule>
  </conditionalFormatting>
  <dataValidations xWindow="283" yWindow="1022" count="41">
    <dataValidation allowBlank="1" showInputMessage="1" showErrorMessage="1" prompt="This is the yearly average dollars per megawatt-hour value paid to the customer for participation in a Real-Time Market, such as regulation services." sqref="E23" xr:uid="{00000000-0002-0000-0300-000000000000}"/>
    <dataValidation allowBlank="1" showInputMessage="1" showErrorMessage="1" prompt="This value represents the percent of inverter power that is being offered to the real-time market. For instance, if 50% of inverter power was reserved for critical loads, the real-time market would only be allowed to utilize the other 50% of the inverter." sqref="E24" xr:uid="{00000000-0002-0000-0300-000002000000}"/>
    <dataValidation allowBlank="1" showInputMessage="1" showErrorMessage="1" prompt="This percentage represents the average daily energy delivered. E.g. if the market required 5 discharges of 50% battery capacity, the turnover would be 5*50% = 250%._x000a__x000a_This is a one-way value, calculated as the gross battery discharge per day." sqref="G24" xr:uid="{00000000-0002-0000-0300-000003000000}"/>
    <dataValidation allowBlank="1" showInputMessage="1" showErrorMessage="1" prompt="This is the value offered by the market for reserving each megawatt-hour of the customer's battery capacity." sqref="E12" xr:uid="{00000000-0002-0000-0300-000004000000}"/>
    <dataValidation allowBlank="1" showInputMessage="1" showErrorMessage="1" prompt="The number of hours entered into Sync. Reserve market per year." sqref="E13" xr:uid="{00000000-0002-0000-0300-000005000000}"/>
    <dataValidation allowBlank="1" showInputMessage="1" showErrorMessage="1" prompt="This depth of discharge (D.o.D.) value is the amount of battery capacity that is offered to the synchronous generation reserve market._x000a__x000a_E.g. 65% D.o.D. of a 2 MWh battery is 2*65% = 1.3 MWh or 1,300 kilowatt-hours." sqref="G13" xr:uid="{00000000-0002-0000-0300-000006000000}"/>
    <dataValidation allowBlank="1" showInputMessage="1" showErrorMessage="1" prompt="This is the value offered by the utility for reserving each megawatt-hour of the customer's battery capacity." sqref="E14" xr:uid="{00000000-0002-0000-0300-000007000000}"/>
    <dataValidation allowBlank="1" showInputMessage="1" showErrorMessage="1" prompt="The duration of a utility call hour contract. Only one contract considered in this calculator. I.e. to show utility call hours for life of system, match contract years to 'Period of Analysis' years." sqref="G14" xr:uid="{00000000-0002-0000-0300-000008000000}"/>
    <dataValidation allowBlank="1" showInputMessage="1" showErrorMessage="1" prompt="This depth of discharge (D.o.D.) value is the amount of battery capacity that is offered per each utility call hour._x000a__x000a_E.g. 65% D.o.D. of a 2 MWh battery is 2*65% = 1.3 MWh or 1,300 kilowatt-hours." sqref="G15" xr:uid="{00000000-0002-0000-0300-000009000000}"/>
    <dataValidation allowBlank="1" showInputMessage="1" showErrorMessage="1" prompt="The number of hours per year offered for utility call use." sqref="E15" xr:uid="{00000000-0002-0000-0300-00000A000000}"/>
    <dataValidation allowBlank="1" showInputMessage="1" showErrorMessage="1" prompt="Enter the difference (delta) between the high time of use rate and low time of use rate for electricity purchased from the grid._x000a__x000a_E.g. If the high time of use rate is $0.15/kWh and the low time of use rate is $0.10/kWh, the delta is 0.15-0.10 = $0.05/kWh." sqref="E16" xr:uid="{00000000-0002-0000-0300-00000B000000}"/>
    <dataValidation allowBlank="1" showInputMessage="1" showErrorMessage="1" prompt="This is the yearly average of the energy shifted from high time of use rate to low time of use rate." sqref="G16" xr:uid="{00000000-0002-0000-0300-00000C000000}"/>
    <dataValidation allowBlank="1" showInputMessage="1" showErrorMessage="1" prompt="This is the rate per kilowatt (kW) passed through by the utility company as a Capacity or Transmission charge. _x000a__x000a_If both charges appear on bill with kW values, enter the sum." sqref="E19" xr:uid="{00000000-0002-0000-0300-00000D000000}"/>
    <dataValidation allowBlank="1" showInputMessage="1" showErrorMessage="1" prompt="This power value is calculated as the reduction possible from shaving power peaks during monthly non-coincident demand peaks." sqref="G17" xr:uid="{00000000-0002-0000-0300-00000E000000}"/>
    <dataValidation allowBlank="1" showInputMessage="1" showErrorMessage="1" prompt="The price charged to a customer purchasing energy directly from this system's generation or storage." sqref="E21" xr:uid="{00000000-0002-0000-0300-000011000000}"/>
    <dataValidation allowBlank="1" showInputMessage="1" showErrorMessage="1" prompt="The price charged to a customer purchasing energy directly from this system's generation or storage._x000a__x000a_Typically, this field is intended for emergency or critical services when 'grid' power is not sufficient." sqref="E22:E24" xr:uid="{00000000-0002-0000-0300-000012000000}"/>
    <dataValidation allowBlank="1" showInputMessage="1" showErrorMessage="1" prompt="The number of kilowatt-hours purchased by standard contract customer per year." sqref="G21" xr:uid="{00000000-0002-0000-0300-000013000000}"/>
    <dataValidation allowBlank="1" showInputMessage="1" showErrorMessage="1" prompt="The number of kilowatt-hours purchased by premium services contract customer per year." sqref="G22 G24" xr:uid="{00000000-0002-0000-0300-000014000000}"/>
    <dataValidation allowBlank="1" showInputMessage="1" showErrorMessage="1" prompt="Enter the percent of battery recharging that is performed by the PV system. This value is used to calculate ITC as well as opportunity costs and electricity purchase expenses. " sqref="E29" xr:uid="{00000000-0002-0000-0300-000015000000}"/>
    <dataValidation allowBlank="1" showInputMessage="1" showErrorMessage="1" prompt="Enter the loss of efficiency, in percentage, of energy conversion from AC-DC-AC." sqref="E30" xr:uid="{00000000-0002-0000-0300-000016000000}"/>
    <dataValidation allowBlank="1" showInputMessage="1" showErrorMessage="1" prompt="For DC-coupled systems utilizing hybrid inverters, there are opportunities to increase efficiency by reducing the number of energy conversions._x000a__x000a_This cell accounts for those reductions." sqref="G30" xr:uid="{00000000-0002-0000-0300-000017000000}"/>
    <dataValidation allowBlank="1" showInputMessage="1" showErrorMessage="1" prompt="Enter the expected operational up-time. _x000a__x000a_E.g. 98% represents the system being down for approximated 7 days per year due to maintenance or other issues." sqref="E31" xr:uid="{00000000-0002-0000-0300-000018000000}"/>
    <dataValidation allowBlank="1" showInputMessage="1" showErrorMessage="1" prompt="Enter the number of hours per year that the system will be running in 'Critical Mode'. This mode removes the battery system from all other revenue streams and prioritizes serving the load as a UPS." sqref="E32" xr:uid="{00000000-0002-0000-0300-000019000000}"/>
    <dataValidation allowBlank="1" showInputMessage="1" showErrorMessage="1" prompt="Enter the depth of discharge reserved for critical mode hours. This value is represented as D.o.D./hr meaning in an islanded mode; a value of 25% would mean the system could run for 4 hours continuously to a complete discharge." sqref="G32" xr:uid="{00000000-0002-0000-0300-00001A000000}"/>
    <dataValidation allowBlank="1" showInputMessage="1" showErrorMessage="1" prompt="For a multiport system with a PV system large enough to overwhelm the charging/discharging capability of the inverter, there may be peak sun hours when the inverter cannot also participate in real-time markets without clipping." sqref="E33" xr:uid="{00000000-0002-0000-0300-00001B000000}"/>
    <dataValidation allowBlank="1" showInputMessage="1" showErrorMessage="1" prompt="Enter the expected maximum depth of discharge to maintain the health of the battery system. This value controls the sizing alarms and some of the energy percentage based revenue streams." sqref="E34" xr:uid="{00000000-0002-0000-0300-00001C000000}"/>
    <dataValidation allowBlank="1" showInputMessage="1" showErrorMessage="1" prompt="In 'Simple' pricing method mode, 'Inverter Cost' and 'Battery Cost' should sum together to represent the total installed pricing, including all development, installation, balance of systems, etc. costs." sqref="D39:D40" xr:uid="{00000000-0002-0000-0300-00001D000000}"/>
    <dataValidation allowBlank="1" showInputMessage="1" showErrorMessage="1" prompt="This is the expense associated with operating and maintaining the PV system; calculated on a $/kW basis per year._x000a__x000a_NOTE: If the O&amp;M is combined with the PV system, adjust them both accordingly." sqref="D42:D43" xr:uid="{00000000-0002-0000-0300-00001E000000}"/>
    <dataValidation allowBlank="1" showInputMessage="1" showErrorMessage="1" prompt="Enter any additional IT infrastructure costs associated with market signals and participation." sqref="E47" xr:uid="{00000000-0002-0000-0300-00001F000000}"/>
    <dataValidation allowBlank="1" showInputMessage="1" showErrorMessage="1" prompt="Insert the up-front costs associated with setting up an agreement and equipment with a Curtailment Services Provider (CSP)." sqref="E48" xr:uid="{00000000-0002-0000-0300-000020000000}"/>
    <dataValidation allowBlank="1" showInputMessage="1" showErrorMessage="1" prompt="Enter the Curtailment Services Provider's monthly subscription fee is applicable." sqref="E49" xr:uid="{00000000-0002-0000-0300-000021000000}"/>
    <dataValidation allowBlank="1" showInputMessage="1" showErrorMessage="1" prompt="Enter the Curtailment Services Provider's revenue share as payment if applicable. " sqref="E50" xr:uid="{00000000-0002-0000-0300-000022000000}"/>
    <dataValidation allowBlank="1" showInputMessage="1" showErrorMessage="1" prompt="Enter either the $/W value based on the installed capacity, or the percentage of total price that is applied as a rebate." sqref="O4" xr:uid="{00000000-0002-0000-0300-000023000000}"/>
    <dataValidation allowBlank="1" showInputMessage="1" showErrorMessage="1" prompt="Refresh payments (which are not front-loaded) are evenly distributed as monthly payments as if the system owner was setting the payment aside in escrow out of the revenue generated._x000a__x000a_They can be seen in columns BI:BM on the 'Batt Calcs' sheet. " sqref="D54:D58" xr:uid="{00000000-0002-0000-0300-000024000000}"/>
    <dataValidation allowBlank="1" showInputMessage="1" showErrorMessage="1" prompt="Enter the number of annual coincident Capacity/transmission peaks per year." sqref="E20" xr:uid="{00000000-0002-0000-0300-00000F000000}"/>
    <dataValidation allowBlank="1" showInputMessage="1" showErrorMessage="1" prompt="Enter the duration of the demand peak (where the power was calculated for in cell F21)." sqref="G18" xr:uid="{00000000-0002-0000-0300-000010000000}"/>
    <dataValidation allowBlank="1" showInputMessage="1" showErrorMessage="1" prompt="This is the rate per kilowatt (kW) charged by the utility company as a demand charge. It can typically be found on the electricity bill listed as &quot;Distribution Charges&quot;." sqref="E17" xr:uid="{7E4DA626-94D6-489F-9F52-B2E2FC8E1294}"/>
    <dataValidation allowBlank="1" showInputMessage="1" showErrorMessage="1" prompt="This power value is calculated as the reduction possible from shaving power peaks during annual coincident peak measurment periods." sqref="G19" xr:uid="{8ACE6261-DF59-43E4-94BD-F2804B4F72E4}"/>
    <dataValidation allowBlank="1" showInputMessage="1" showErrorMessage="1" prompt="Enter the number of non-coincident demand peaks per year." sqref="E18" xr:uid="{612A72E5-03BE-4297-86D0-B0F84AD18549}"/>
    <dataValidation allowBlank="1" showInputMessage="1" showErrorMessage="1" prompt="Enter the duration of the Capacity/transmission peak (where the power was calculated for in cell F23)." sqref="G20" xr:uid="{49DB17F6-0858-4ADA-BF95-546623123C0F}"/>
    <dataValidation type="whole" operator="greaterThanOrEqual" allowBlank="1" showInputMessage="1" showErrorMessage="1" sqref="H54:H58" xr:uid="{E73E2878-62AA-4215-B683-E17878E35A48}">
      <formula1>0</formula1>
    </dataValidation>
  </dataValidations>
  <hyperlinks>
    <hyperlink ref="G1" r:id="rId1" xr:uid="{00000000-0004-0000-0300-000000000000}"/>
    <hyperlink ref="L1" r:id="rId2" xr:uid="{00000000-0004-0000-0300-000001000000}"/>
  </hyperlinks>
  <pageMargins left="0.25" right="0.25" top="0.25" bottom="0.25" header="0" footer="0"/>
  <pageSetup paperSize="3" scale="59" orientation="landscape" horizontalDpi="4294967294"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85" id="{58C9C865-7914-4586-9643-62991C557421}">
            <xm:f>'PV IN'!$D$19="NO"</xm:f>
            <x14:dxf>
              <font>
                <color theme="0" tint="-0.24994659260841701"/>
              </font>
              <fill>
                <patternFill patternType="none">
                  <bgColor auto="1"/>
                </patternFill>
              </fill>
            </x14:dxf>
          </x14:cfRule>
          <xm:sqref>G30:H30</xm:sqref>
        </x14:conditionalFormatting>
      </x14:conditionalFormattings>
    </ext>
    <ext xmlns:x14="http://schemas.microsoft.com/office/spreadsheetml/2009/9/main" uri="{CCE6A557-97BC-4b89-ADB6-D9C93CAAB3DF}">
      <x14:dataValidations xmlns:xm="http://schemas.microsoft.com/office/excel/2006/main" xWindow="283" yWindow="1022" count="18">
        <x14:dataValidation type="list" allowBlank="1" showInputMessage="1" showErrorMessage="1" xr:uid="{00000000-0002-0000-0300-000025000000}">
          <x14:formula1>
            <xm:f>LkUP!$I$3:$I$4</xm:f>
          </x14:formula1>
          <xm:sqref>Q4:Q5 E11</xm:sqref>
        </x14:dataValidation>
        <x14:dataValidation type="list" allowBlank="1" showInputMessage="1" showErrorMessage="1" prompt="Select &quot;MACRS&quot; to utilize the 5-year modified accelerated cost recovery system depreciation method. _x000a__x000a_&quot;OFF&quot; turns of ALL depreciation calculations." xr:uid="{00000000-0002-0000-0300-000026000000}">
          <x14:formula1>
            <xm:f>LkUP!$G$3:$G$4</xm:f>
          </x14:formula1>
          <xm:sqref>N7</xm:sqref>
        </x14:dataValidation>
        <x14:dataValidation type="list" allowBlank="1" showInputMessage="1" showErrorMessage="1" xr:uid="{00000000-0002-0000-0300-000027000000}">
          <x14:formula1>
            <xm:f>LkUP!$F$3:$F$4</xm:f>
          </x14:formula1>
          <xm:sqref>N18:N19</xm:sqref>
        </x14:dataValidation>
        <x14:dataValidation type="list" allowBlank="1" showInputMessage="1" showErrorMessage="1" prompt="In 'Simple' mode, pricing is based on the cells on this sheet. For 'Advanced' mode, use the pricing calculator on the 'Adv.' tab/sheet." xr:uid="{00000000-0002-0000-0300-000028000000}">
          <x14:formula1>
            <xm:f>LkUP!$E$7:$E$8</xm:f>
          </x14:formula1>
          <xm:sqref>D38</xm:sqref>
        </x14:dataValidation>
        <x14:dataValidation type="list" allowBlank="1" showInputMessage="1" showErrorMessage="1" prompt="Select if there is a local rebate being offered; either in a '$/W' or '% of cost' pricing methodology. " xr:uid="{00000000-0002-0000-0300-000029000000}">
          <x14:formula1>
            <xm:f>LkUP!$O$6:$O$8</xm:f>
          </x14:formula1>
          <xm:sqref>N4</xm:sqref>
        </x14:dataValidation>
        <x14:dataValidation type="list" allowBlank="1" showInputMessage="1" showErrorMessage="1" xr:uid="{00000000-0002-0000-0300-00002A000000}">
          <x14:formula1>
            <xm:f>LkUP!$Q$2:$Q$4</xm:f>
          </x14:formula1>
          <xm:sqref>F4</xm:sqref>
        </x14:dataValidation>
        <x14:dataValidation type="list" allowBlank="1" showInputMessage="1" showErrorMessage="1" xr:uid="{00000000-0002-0000-0300-00002B000000}">
          <x14:formula1>
            <xm:f>LkUP!$O$2:$O$4</xm:f>
          </x14:formula1>
          <xm:sqref>E4</xm:sqref>
        </x14:dataValidation>
        <x14:dataValidation type="list" allowBlank="1" showInputMessage="1" showErrorMessage="1" xr:uid="{00000000-0002-0000-0300-00002C000000}">
          <x14:formula1>
            <xm:f>LkUP!$A$2:$A$38</xm:f>
          </x14:formula1>
          <xm:sqref>E5</xm:sqref>
        </x14:dataValidation>
        <x14:dataValidation type="list" allowBlank="1" showInputMessage="1" showErrorMessage="1" prompt="Select the chemistry chosen for the energy storage system. 'Mixed Chem.' is used when the characteristics of lithium and lead-acid are combined such as with advanced lead-acid. This selection effects the C-rate." xr:uid="{00000000-0002-0000-0300-00002D000000}">
          <x14:formula1>
            <xm:f>LkUP!$S$2:$S$4</xm:f>
          </x14:formula1>
          <xm:sqref>G28</xm:sqref>
        </x14:dataValidation>
        <x14:dataValidation type="list" allowBlank="1" showInputMessage="1" showErrorMessage="1" prompt="Select &quot;YES&quot; is there is an expected equipment replacement." xr:uid="{00000000-0002-0000-0300-00002E000000}">
          <x14:formula1>
            <xm:f>LkUP!$F$3:$F$4</xm:f>
          </x14:formula1>
          <xm:sqref>D41</xm:sqref>
        </x14:dataValidation>
        <x14:dataValidation type="list" allowBlank="1" showInputMessage="1" showErrorMessage="1" prompt="Select &quot;YES&quot; to include a number of years' O&amp;M costs in the up-front installation price. _x000a__x000a_This will include these costs in the ITC and depreciable basis." xr:uid="{00000000-0002-0000-0300-00002F000000}">
          <x14:formula1>
            <xm:f>LkUP!$F$3:$F$4</xm:f>
          </x14:formula1>
          <xm:sqref>D44</xm:sqref>
        </x14:dataValidation>
        <x14:dataValidation type="list" allowBlank="1" showInputMessage="1" showErrorMessage="1" prompt="Select &quot;YES&quot; if the CSP also collects a share of revenue from utility call hours." xr:uid="{00000000-0002-0000-0300-000030000000}">
          <x14:formula1>
            <xm:f>LkUP!$F$3:$F$4</xm:f>
          </x14:formula1>
          <xm:sqref>H50</xm:sqref>
        </x14:dataValidation>
        <x14:dataValidation type="list" allowBlank="1" showInputMessage="1" showErrorMessage="1" prompt="Select &quot;YES&quot; if the system is qualified for bonus depreciation; this value is decreases for systems installed through 2019." xr:uid="{00000000-0002-0000-0300-000031000000}">
          <x14:formula1>
            <xm:f>LkUP!$F$3:$F$4</xm:f>
          </x14:formula1>
          <xm:sqref>N8</xm:sqref>
        </x14:dataValidation>
        <x14:dataValidation type="list" allowBlank="1" showInputMessage="1" showErrorMessage="1" prompt="Select &quot;YES&quot; to apply the federal Investment Tax Credit incentive." xr:uid="{00000000-0002-0000-0300-000032000000}">
          <x14:formula1>
            <xm:f>LkUP!$F$3:$F$4</xm:f>
          </x14:formula1>
          <xm:sqref>N6</xm:sqref>
        </x14:dataValidation>
        <x14:dataValidation type="list" allowBlank="1" showInputMessage="1" showErrorMessage="1" prompt="Select &quot;YES&quot; if some of the future battery refresh payments are to be paid up-front to the integrator. _x000a__x000a_This value is then applied to the total capital requirement which is used to calculated the ITC and depreciable basis." xr:uid="{00000000-0002-0000-0300-000033000000}">
          <x14:formula1>
            <xm:f>LkUP!$F$3:$F$4</xm:f>
          </x14:formula1>
          <xm:sqref>D53</xm:sqref>
        </x14:dataValidation>
        <x14:dataValidation type="list" allowBlank="1" showInputMessage="1" showErrorMessage="1" prompt="Select which refresh periods are to be paid for up-front." xr:uid="{00000000-0002-0000-0300-000034000000}">
          <x14:formula1>
            <xm:f>LkUP!$K$3:$K$7</xm:f>
          </x14:formula1>
          <xm:sqref>E53</xm:sqref>
        </x14:dataValidation>
        <x14:dataValidation type="list" allowBlank="1" showInputMessage="1" showErrorMessage="1" prompt="Select &quot;YES&quot; to include a number of years' insurance costs in the up-front installation price. _x000a__x000a_This will include these costs in the ITC and depreciable basis." xr:uid="{00000000-0002-0000-0300-000035000000}">
          <x14:formula1>
            <xm:f>LkUP!$F$3:$F$4</xm:f>
          </x14:formula1>
          <xm:sqref>D46</xm:sqref>
        </x14:dataValidation>
        <x14:dataValidation type="list" allowBlank="1" showInputMessage="1" showErrorMessage="1" prompt="The number of kilowatt-hours purchased by premium services contract customer per year." xr:uid="{325F1049-9E87-4F51-AF22-DACFDD060D12}">
          <x14:formula1>
            <xm:f>LkUP!$I$3:$I$4</xm:f>
          </x14:formula1>
          <xm:sqref>E11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5DFAC-B899-41ED-883E-401E0A492A69}">
  <sheetPr>
    <tabColor rgb="FF00CD3B"/>
    <pageSetUpPr fitToPage="1"/>
  </sheetPr>
  <dimension ref="A1:AU83"/>
  <sheetViews>
    <sheetView showGridLines="0" zoomScale="85" zoomScaleNormal="85" zoomScaleSheetLayoutView="115" zoomScalePageLayoutView="55" workbookViewId="0">
      <pane xSplit="5" ySplit="3" topLeftCell="F9" activePane="bottomRight" state="frozen"/>
      <selection pane="topRight" activeCell="F1" sqref="F1"/>
      <selection pane="bottomLeft" activeCell="A4" sqref="A4"/>
      <selection pane="bottomRight" activeCell="G23" sqref="G23"/>
    </sheetView>
  </sheetViews>
  <sheetFormatPr defaultRowHeight="15" x14ac:dyDescent="0.25"/>
  <cols>
    <col min="1" max="4" width="1.42578125" customWidth="1"/>
    <col min="5" max="5" width="33.42578125" customWidth="1"/>
    <col min="6" max="6" width="2.85546875" bestFit="1" customWidth="1"/>
    <col min="7" max="7" width="20.5703125" bestFit="1" customWidth="1"/>
    <col min="8" max="47" width="19.7109375" bestFit="1" customWidth="1"/>
  </cols>
  <sheetData>
    <row r="1" spans="1:47" s="3" customFormat="1" ht="45" customHeight="1" x14ac:dyDescent="0.25"/>
    <row r="3" spans="1:47" ht="21" x14ac:dyDescent="0.35">
      <c r="A3" s="159" t="s">
        <v>508</v>
      </c>
      <c r="B3" s="159"/>
      <c r="C3" s="3"/>
      <c r="D3" s="3"/>
      <c r="F3" s="3" t="s">
        <v>506</v>
      </c>
      <c r="G3" s="3">
        <f>HybridCalcs!B4</f>
        <v>2025</v>
      </c>
      <c r="H3" s="3">
        <f>HybridCalcs!B16</f>
        <v>2026</v>
      </c>
      <c r="I3" s="3">
        <f>HybridCalcs!B28</f>
        <v>2027</v>
      </c>
      <c r="J3" s="3">
        <f>HybridCalcs!B40</f>
        <v>2028</v>
      </c>
      <c r="K3" s="3">
        <f>HybridCalcs!B52</f>
        <v>2029</v>
      </c>
      <c r="L3" s="3">
        <f>HybridCalcs!B64</f>
        <v>2030</v>
      </c>
      <c r="M3" s="3">
        <f>HybridCalcs!B76</f>
        <v>2031</v>
      </c>
      <c r="N3" s="3">
        <f>HybridCalcs!B88</f>
        <v>2032</v>
      </c>
      <c r="O3" s="3">
        <f>HybridCalcs!B100</f>
        <v>2033</v>
      </c>
      <c r="P3" s="3">
        <f>HybridCalcs!B112</f>
        <v>2034</v>
      </c>
      <c r="Q3" s="3">
        <f>HybridCalcs!B124</f>
        <v>2035</v>
      </c>
      <c r="R3" s="3">
        <f>HybridCalcs!B136</f>
        <v>2036</v>
      </c>
      <c r="S3" s="3">
        <f>HybridCalcs!B148</f>
        <v>2037</v>
      </c>
      <c r="T3" s="3">
        <f>HybridCalcs!B160</f>
        <v>2038</v>
      </c>
      <c r="U3" s="3">
        <f>HybridCalcs!B172</f>
        <v>2039</v>
      </c>
      <c r="V3" s="3">
        <f>HybridCalcs!B184</f>
        <v>2040</v>
      </c>
      <c r="W3" s="3">
        <f>HybridCalcs!B196</f>
        <v>2041</v>
      </c>
      <c r="X3" s="3">
        <f>HybridCalcs!B208</f>
        <v>2042</v>
      </c>
      <c r="Y3" s="3">
        <f>HybridCalcs!B220</f>
        <v>2043</v>
      </c>
      <c r="Z3" s="3">
        <f>HybridCalcs!B232</f>
        <v>2044</v>
      </c>
      <c r="AA3" s="3">
        <f>HybridCalcs!B244</f>
        <v>2045</v>
      </c>
      <c r="AB3" s="3">
        <f>HybridCalcs!B256</f>
        <v>2046</v>
      </c>
      <c r="AC3" s="3">
        <f>HybridCalcs!B268</f>
        <v>2047</v>
      </c>
      <c r="AD3" s="3">
        <f>HybridCalcs!B280</f>
        <v>2048</v>
      </c>
      <c r="AE3" s="3">
        <f>HybridCalcs!B292</f>
        <v>2049</v>
      </c>
      <c r="AF3" s="3">
        <f>HybridCalcs!B304</f>
        <v>2050</v>
      </c>
      <c r="AG3" s="3">
        <f>HybridCalcs!B316</f>
        <v>2051</v>
      </c>
      <c r="AH3" s="3">
        <f>HybridCalcs!B328</f>
        <v>2052</v>
      </c>
      <c r="AI3" s="3">
        <f>HybridCalcs!B340</f>
        <v>2053</v>
      </c>
      <c r="AJ3" s="3">
        <f>HybridCalcs!B352</f>
        <v>2054</v>
      </c>
      <c r="AK3" s="3">
        <f>HybridCalcs!B364</f>
        <v>2055</v>
      </c>
      <c r="AL3" s="3">
        <f>HybridCalcs!B376</f>
        <v>2056</v>
      </c>
      <c r="AM3" s="3">
        <f>HybridCalcs!B388</f>
        <v>2057</v>
      </c>
      <c r="AN3" s="3">
        <f>HybridCalcs!B400</f>
        <v>2058</v>
      </c>
      <c r="AO3" s="3">
        <f>HybridCalcs!B412</f>
        <v>2059</v>
      </c>
      <c r="AP3" s="3">
        <f>HybridCalcs!B424</f>
        <v>2060</v>
      </c>
      <c r="AQ3" s="3">
        <f>HybridCalcs!B436</f>
        <v>2061</v>
      </c>
      <c r="AR3" s="3">
        <f>HybridCalcs!B448</f>
        <v>2062</v>
      </c>
      <c r="AS3" s="3">
        <f>HybridCalcs!B460</f>
        <v>2063</v>
      </c>
      <c r="AT3" s="3">
        <f>HybridCalcs!B472</f>
        <v>2064</v>
      </c>
      <c r="AU3" s="3">
        <f>HybridCalcs!B484</f>
        <v>2065</v>
      </c>
    </row>
    <row r="4" spans="1:47" ht="15.75" x14ac:dyDescent="0.25">
      <c r="A4" s="3"/>
      <c r="B4" s="46"/>
      <c r="C4" s="246" t="s">
        <v>433</v>
      </c>
      <c r="D4" s="46"/>
      <c r="E4" s="41"/>
      <c r="F4" s="41"/>
      <c r="G4" s="41">
        <v>0</v>
      </c>
      <c r="H4" s="41">
        <v>1</v>
      </c>
      <c r="I4" s="41">
        <v>2</v>
      </c>
      <c r="J4" s="41">
        <v>3</v>
      </c>
      <c r="K4" s="41">
        <v>4</v>
      </c>
      <c r="L4" s="41">
        <v>5</v>
      </c>
      <c r="M4" s="41">
        <v>6</v>
      </c>
      <c r="N4" s="41">
        <v>7</v>
      </c>
      <c r="O4" s="41">
        <v>8</v>
      </c>
      <c r="P4" s="41">
        <v>9</v>
      </c>
      <c r="Q4" s="41">
        <v>10</v>
      </c>
      <c r="R4" s="41">
        <v>11</v>
      </c>
      <c r="S4" s="41">
        <v>12</v>
      </c>
      <c r="T4" s="41">
        <v>13</v>
      </c>
      <c r="U4" s="41">
        <v>14</v>
      </c>
      <c r="V4" s="41">
        <v>15</v>
      </c>
      <c r="W4" s="41">
        <v>16</v>
      </c>
      <c r="X4" s="41">
        <v>17</v>
      </c>
      <c r="Y4" s="41">
        <v>18</v>
      </c>
      <c r="Z4" s="41">
        <v>19</v>
      </c>
      <c r="AA4" s="41">
        <v>20</v>
      </c>
      <c r="AB4" s="41">
        <v>21</v>
      </c>
      <c r="AC4" s="41">
        <v>22</v>
      </c>
      <c r="AD4" s="41">
        <v>23</v>
      </c>
      <c r="AE4" s="41">
        <v>24</v>
      </c>
      <c r="AF4" s="41">
        <v>25</v>
      </c>
      <c r="AG4" s="41">
        <v>26</v>
      </c>
      <c r="AH4" s="41">
        <v>27</v>
      </c>
      <c r="AI4" s="41">
        <v>28</v>
      </c>
      <c r="AJ4" s="41">
        <v>29</v>
      </c>
      <c r="AK4" s="41">
        <v>30</v>
      </c>
      <c r="AL4" s="41">
        <v>31</v>
      </c>
      <c r="AM4" s="41">
        <v>32</v>
      </c>
      <c r="AN4" s="41">
        <v>33</v>
      </c>
      <c r="AO4" s="41">
        <v>34</v>
      </c>
      <c r="AP4" s="41">
        <v>35</v>
      </c>
      <c r="AQ4" s="41">
        <v>36</v>
      </c>
      <c r="AR4" s="41">
        <v>37</v>
      </c>
      <c r="AS4" s="41">
        <v>38</v>
      </c>
      <c r="AT4" s="41">
        <v>39</v>
      </c>
      <c r="AU4" s="41">
        <v>40</v>
      </c>
    </row>
    <row r="5" spans="1:47" x14ac:dyDescent="0.25">
      <c r="A5" s="3"/>
      <c r="B5" s="3"/>
      <c r="C5" s="3"/>
      <c r="D5" s="3" t="s">
        <v>137</v>
      </c>
    </row>
    <row r="6" spans="1:47" x14ac:dyDescent="0.25">
      <c r="A6" s="3"/>
      <c r="B6" s="46"/>
      <c r="C6" s="46"/>
      <c r="D6" s="46"/>
      <c r="E6" s="247" t="s">
        <v>434</v>
      </c>
      <c r="F6" s="41"/>
      <c r="G6" s="41"/>
      <c r="H6" s="248">
        <f>HybridCalcs!BG16</f>
        <v>27349.573331524247</v>
      </c>
      <c r="I6" s="248">
        <f>HybridCalcs!BG28</f>
        <v>27131.577218907431</v>
      </c>
      <c r="J6" s="248">
        <f>HybridCalcs!BG40</f>
        <v>23326.609535517375</v>
      </c>
      <c r="K6" s="248">
        <f>HybridCalcs!BG52</f>
        <v>23140.679388175293</v>
      </c>
      <c r="L6" s="248">
        <f>HybridCalcs!BG64</f>
        <v>22956.231240162699</v>
      </c>
      <c r="M6" s="248">
        <f>HybridCalcs!BG76</f>
        <v>22773.253278860462</v>
      </c>
      <c r="N6" s="248">
        <f>HybridCalcs!BG88</f>
        <v>22591.733785804692</v>
      </c>
      <c r="O6" s="248">
        <f>HybridCalcs!BG100</f>
        <v>22411.661135936229</v>
      </c>
      <c r="P6" s="248">
        <f>HybridCalcs!BG112</f>
        <v>22233.023796856134</v>
      </c>
      <c r="Q6" s="248">
        <f>HybridCalcs!BG124</f>
        <v>22055.810328087118</v>
      </c>
      <c r="R6" s="248">
        <f>HybridCalcs!BG136</f>
        <v>21880.009380340896</v>
      </c>
      <c r="S6" s="248">
        <f>HybridCalcs!BG148</f>
        <v>21705.609694791281</v>
      </c>
      <c r="T6" s="248">
        <f>HybridCalcs!BG160</f>
        <v>21532.600102353197</v>
      </c>
      <c r="U6" s="248">
        <f>HybridCalcs!BG172</f>
        <v>21360.969522967342</v>
      </c>
      <c r="V6" s="248">
        <f>HybridCalcs!BG184</f>
        <v>21190.706964890582</v>
      </c>
      <c r="W6" s="248">
        <f>HybridCalcs!BG196</f>
        <v>0</v>
      </c>
      <c r="X6" s="248">
        <f>HybridCalcs!BG208</f>
        <v>0</v>
      </c>
      <c r="Y6" s="248">
        <f>HybridCalcs!BG220</f>
        <v>0</v>
      </c>
      <c r="Z6" s="248">
        <f>HybridCalcs!BG232</f>
        <v>0</v>
      </c>
      <c r="AA6" s="248">
        <f>HybridCalcs!BG244</f>
        <v>0</v>
      </c>
      <c r="AB6" s="248">
        <f>HybridCalcs!BG256</f>
        <v>0</v>
      </c>
      <c r="AC6" s="248">
        <f>HybridCalcs!BG268</f>
        <v>0</v>
      </c>
      <c r="AD6" s="248">
        <f>HybridCalcs!BG280</f>
        <v>0</v>
      </c>
      <c r="AE6" s="248">
        <f>HybridCalcs!BG292</f>
        <v>0</v>
      </c>
      <c r="AF6" s="248">
        <f>HybridCalcs!BG304</f>
        <v>0</v>
      </c>
      <c r="AG6" s="248">
        <f>HybridCalcs!BG316</f>
        <v>0</v>
      </c>
      <c r="AH6" s="248">
        <f>HybridCalcs!BG328</f>
        <v>0</v>
      </c>
      <c r="AI6" s="248">
        <f>HybridCalcs!BG340</f>
        <v>0</v>
      </c>
      <c r="AJ6" s="248">
        <f>HybridCalcs!BG352</f>
        <v>0</v>
      </c>
      <c r="AK6" s="248">
        <f>HybridCalcs!BG364</f>
        <v>0</v>
      </c>
      <c r="AL6" s="248">
        <f>HybridCalcs!BG376</f>
        <v>0</v>
      </c>
      <c r="AM6" s="248">
        <f>HybridCalcs!BG388</f>
        <v>0</v>
      </c>
      <c r="AN6" s="248">
        <f>HybridCalcs!BG400</f>
        <v>0</v>
      </c>
      <c r="AO6" s="248">
        <f>HybridCalcs!BG412</f>
        <v>0</v>
      </c>
      <c r="AP6" s="248">
        <f>HybridCalcs!BG424</f>
        <v>0</v>
      </c>
      <c r="AQ6" s="248">
        <f>HybridCalcs!BG436</f>
        <v>0</v>
      </c>
      <c r="AR6" s="248">
        <f>HybridCalcs!BG448</f>
        <v>0</v>
      </c>
      <c r="AS6" s="248">
        <f>HybridCalcs!BG460</f>
        <v>0</v>
      </c>
      <c r="AT6" s="248">
        <f>HybridCalcs!BG472</f>
        <v>0</v>
      </c>
      <c r="AU6" s="248">
        <f>HybridCalcs!BG484</f>
        <v>0</v>
      </c>
    </row>
    <row r="7" spans="1:47" x14ac:dyDescent="0.25">
      <c r="A7" s="3"/>
      <c r="B7" s="3"/>
      <c r="C7" s="3"/>
      <c r="D7" s="3"/>
      <c r="E7" t="str">
        <f>HybridCalcs!$BH$3</f>
        <v>Real Time Market Revenue</v>
      </c>
      <c r="F7" s="10"/>
      <c r="H7" s="10">
        <f>HybridCalcs!BH16</f>
        <v>0</v>
      </c>
      <c r="I7" s="10">
        <f>HybridCalcs!BH28</f>
        <v>0</v>
      </c>
      <c r="J7" s="10">
        <f>HybridCalcs!BH40</f>
        <v>0</v>
      </c>
      <c r="K7" s="10">
        <f>HybridCalcs!BH52</f>
        <v>0</v>
      </c>
      <c r="L7" s="10">
        <f>HybridCalcs!BH64</f>
        <v>0</v>
      </c>
      <c r="M7" s="10">
        <f>HybridCalcs!BH76</f>
        <v>0</v>
      </c>
      <c r="N7" s="10">
        <f>HybridCalcs!BH88</f>
        <v>0</v>
      </c>
      <c r="O7" s="10">
        <f>HybridCalcs!BH100</f>
        <v>0</v>
      </c>
      <c r="P7" s="10">
        <f>HybridCalcs!BH112</f>
        <v>0</v>
      </c>
      <c r="Q7" s="10">
        <f>HybridCalcs!BH124</f>
        <v>0</v>
      </c>
      <c r="R7" s="10">
        <f>HybridCalcs!BH136</f>
        <v>0</v>
      </c>
      <c r="S7" s="10">
        <f>HybridCalcs!BH148</f>
        <v>0</v>
      </c>
      <c r="T7" s="10">
        <f>HybridCalcs!BH160</f>
        <v>0</v>
      </c>
      <c r="U7" s="10">
        <f>HybridCalcs!BH172</f>
        <v>0</v>
      </c>
      <c r="V7" s="10">
        <f>HybridCalcs!BH184</f>
        <v>0</v>
      </c>
      <c r="W7" s="10">
        <f>HybridCalcs!BH196</f>
        <v>0</v>
      </c>
      <c r="X7" s="10">
        <f>HybridCalcs!BH208</f>
        <v>0</v>
      </c>
      <c r="Y7" s="10">
        <f>HybridCalcs!BH220</f>
        <v>0</v>
      </c>
      <c r="Z7" s="10">
        <f>HybridCalcs!BH232</f>
        <v>0</v>
      </c>
      <c r="AA7" s="10">
        <f>HybridCalcs!BH244</f>
        <v>0</v>
      </c>
      <c r="AB7" s="10">
        <f>HybridCalcs!BH256</f>
        <v>0</v>
      </c>
      <c r="AC7" s="10">
        <f>HybridCalcs!BH268</f>
        <v>0</v>
      </c>
      <c r="AD7" s="10">
        <f>HybridCalcs!BH280</f>
        <v>0</v>
      </c>
      <c r="AE7" s="10">
        <f>HybridCalcs!BH292</f>
        <v>0</v>
      </c>
      <c r="AF7" s="10">
        <f>HybridCalcs!BH304</f>
        <v>0</v>
      </c>
      <c r="AG7" s="10">
        <f>HybridCalcs!BH316</f>
        <v>0</v>
      </c>
      <c r="AH7" s="10">
        <f>HybridCalcs!BH328</f>
        <v>0</v>
      </c>
      <c r="AI7" s="10">
        <f>HybridCalcs!BH340</f>
        <v>0</v>
      </c>
      <c r="AJ7" s="10">
        <f>HybridCalcs!BH352</f>
        <v>0</v>
      </c>
      <c r="AK7" s="10">
        <f>HybridCalcs!BH364</f>
        <v>0</v>
      </c>
      <c r="AL7" s="10">
        <f>HybridCalcs!BH376</f>
        <v>0</v>
      </c>
      <c r="AM7" s="10">
        <f>HybridCalcs!BH388</f>
        <v>0</v>
      </c>
      <c r="AN7" s="10">
        <f>HybridCalcs!BH400</f>
        <v>0</v>
      </c>
      <c r="AO7" s="10">
        <f>HybridCalcs!BH412</f>
        <v>0</v>
      </c>
      <c r="AP7" s="10">
        <f>HybridCalcs!BH424</f>
        <v>0</v>
      </c>
      <c r="AQ7" s="10">
        <f>HybridCalcs!BH436</f>
        <v>0</v>
      </c>
      <c r="AR7" s="10">
        <f>HybridCalcs!BH448</f>
        <v>0</v>
      </c>
      <c r="AS7" s="10">
        <f>HybridCalcs!BH460</f>
        <v>0</v>
      </c>
      <c r="AT7" s="10">
        <f>HybridCalcs!BH472</f>
        <v>0</v>
      </c>
      <c r="AU7" s="10">
        <f>HybridCalcs!BH484</f>
        <v>0</v>
      </c>
    </row>
    <row r="8" spans="1:47" x14ac:dyDescent="0.25">
      <c r="A8" s="160"/>
      <c r="B8" s="249"/>
      <c r="C8" s="250"/>
      <c r="D8" s="250"/>
      <c r="E8" s="41" t="str">
        <f>HybridCalcs!$BI$3</f>
        <v>Sync. Reserve Revenue</v>
      </c>
      <c r="F8" s="41"/>
      <c r="G8" s="41"/>
      <c r="H8" s="248">
        <f>HybridCalcs!BI16</f>
        <v>0</v>
      </c>
      <c r="I8" s="248">
        <f>HybridCalcs!BI28</f>
        <v>0</v>
      </c>
      <c r="J8" s="248">
        <f>HybridCalcs!BI40</f>
        <v>0</v>
      </c>
      <c r="K8" s="248">
        <f>HybridCalcs!BI52</f>
        <v>0</v>
      </c>
      <c r="L8" s="248">
        <f>HybridCalcs!BI64</f>
        <v>0</v>
      </c>
      <c r="M8" s="248">
        <f>HybridCalcs!BI76</f>
        <v>0</v>
      </c>
      <c r="N8" s="248">
        <f>HybridCalcs!BI88</f>
        <v>0</v>
      </c>
      <c r="O8" s="248">
        <f>HybridCalcs!BI100</f>
        <v>0</v>
      </c>
      <c r="P8" s="248">
        <f>HybridCalcs!BI112</f>
        <v>0</v>
      </c>
      <c r="Q8" s="248">
        <f>HybridCalcs!BI124</f>
        <v>0</v>
      </c>
      <c r="R8" s="248">
        <f>HybridCalcs!BI136</f>
        <v>0</v>
      </c>
      <c r="S8" s="248">
        <f>HybridCalcs!BI148</f>
        <v>0</v>
      </c>
      <c r="T8" s="248">
        <f>HybridCalcs!BI160</f>
        <v>0</v>
      </c>
      <c r="U8" s="248">
        <f>HybridCalcs!BI172</f>
        <v>0</v>
      </c>
      <c r="V8" s="248">
        <f>HybridCalcs!BI184</f>
        <v>0</v>
      </c>
      <c r="W8" s="248">
        <f>HybridCalcs!BI196</f>
        <v>0</v>
      </c>
      <c r="X8" s="248">
        <f>HybridCalcs!BI208</f>
        <v>0</v>
      </c>
      <c r="Y8" s="248">
        <f>HybridCalcs!BI220</f>
        <v>0</v>
      </c>
      <c r="Z8" s="248">
        <f>HybridCalcs!BI232</f>
        <v>0</v>
      </c>
      <c r="AA8" s="248">
        <f>HybridCalcs!BI244</f>
        <v>0</v>
      </c>
      <c r="AB8" s="248">
        <f>HybridCalcs!BI256</f>
        <v>0</v>
      </c>
      <c r="AC8" s="248">
        <f>HybridCalcs!BI268</f>
        <v>0</v>
      </c>
      <c r="AD8" s="248">
        <f>HybridCalcs!BI280</f>
        <v>0</v>
      </c>
      <c r="AE8" s="248">
        <f>HybridCalcs!BI292</f>
        <v>0</v>
      </c>
      <c r="AF8" s="248">
        <f>HybridCalcs!BI304</f>
        <v>0</v>
      </c>
      <c r="AG8" s="248">
        <f>HybridCalcs!BI316</f>
        <v>0</v>
      </c>
      <c r="AH8" s="248">
        <f>HybridCalcs!BI328</f>
        <v>0</v>
      </c>
      <c r="AI8" s="248">
        <f>HybridCalcs!BI340</f>
        <v>0</v>
      </c>
      <c r="AJ8" s="248">
        <f>HybridCalcs!BI352</f>
        <v>0</v>
      </c>
      <c r="AK8" s="248">
        <f>HybridCalcs!BI364</f>
        <v>0</v>
      </c>
      <c r="AL8" s="248">
        <f>HybridCalcs!BI376</f>
        <v>0</v>
      </c>
      <c r="AM8" s="248">
        <f>HybridCalcs!BI388</f>
        <v>0</v>
      </c>
      <c r="AN8" s="248">
        <f>HybridCalcs!BI400</f>
        <v>0</v>
      </c>
      <c r="AO8" s="248">
        <f>HybridCalcs!BI412</f>
        <v>0</v>
      </c>
      <c r="AP8" s="248">
        <f>HybridCalcs!BI424</f>
        <v>0</v>
      </c>
      <c r="AQ8" s="248">
        <f>HybridCalcs!BI436</f>
        <v>0</v>
      </c>
      <c r="AR8" s="248">
        <f>HybridCalcs!BI448</f>
        <v>0</v>
      </c>
      <c r="AS8" s="248">
        <f>HybridCalcs!BI460</f>
        <v>0</v>
      </c>
      <c r="AT8" s="248">
        <f>HybridCalcs!BI472</f>
        <v>0</v>
      </c>
      <c r="AU8" s="248">
        <f>HybridCalcs!BI484</f>
        <v>0</v>
      </c>
    </row>
    <row r="9" spans="1:47" x14ac:dyDescent="0.25">
      <c r="A9" s="160"/>
      <c r="B9" s="160"/>
      <c r="C9" s="161"/>
      <c r="D9" s="161"/>
      <c r="E9" t="str">
        <f>HybridCalcs!$BJ$3</f>
        <v>Utility Call Hours Income</v>
      </c>
      <c r="H9" s="10">
        <f>HybridCalcs!BJ16</f>
        <v>0</v>
      </c>
      <c r="I9" s="10">
        <f>HybridCalcs!BJ28</f>
        <v>0</v>
      </c>
      <c r="J9" s="10">
        <f>HybridCalcs!BJ40</f>
        <v>0</v>
      </c>
      <c r="K9" s="10">
        <f>HybridCalcs!BJ52</f>
        <v>0</v>
      </c>
      <c r="L9" s="10">
        <f>HybridCalcs!BJ64</f>
        <v>0</v>
      </c>
      <c r="M9" s="10">
        <f>HybridCalcs!BJ76</f>
        <v>0</v>
      </c>
      <c r="N9" s="10">
        <f>HybridCalcs!BJ88</f>
        <v>0</v>
      </c>
      <c r="O9" s="10">
        <f>HybridCalcs!BJ100</f>
        <v>0</v>
      </c>
      <c r="P9" s="10">
        <f>HybridCalcs!BJ112</f>
        <v>0</v>
      </c>
      <c r="Q9" s="10">
        <f>HybridCalcs!BJ124</f>
        <v>0</v>
      </c>
      <c r="R9" s="10">
        <f>HybridCalcs!BJ136</f>
        <v>0</v>
      </c>
      <c r="S9" s="10">
        <f>HybridCalcs!BJ148</f>
        <v>0</v>
      </c>
      <c r="T9" s="10">
        <f>HybridCalcs!BJ160</f>
        <v>0</v>
      </c>
      <c r="U9" s="10">
        <f>HybridCalcs!BJ172</f>
        <v>0</v>
      </c>
      <c r="V9" s="10">
        <f>HybridCalcs!BJ184</f>
        <v>0</v>
      </c>
      <c r="W9" s="10">
        <f>HybridCalcs!BJ196</f>
        <v>0</v>
      </c>
      <c r="X9" s="10">
        <f>HybridCalcs!BJ208</f>
        <v>0</v>
      </c>
      <c r="Y9" s="10">
        <f>HybridCalcs!BJ220</f>
        <v>0</v>
      </c>
      <c r="Z9" s="10">
        <f>HybridCalcs!BJ232</f>
        <v>0</v>
      </c>
      <c r="AA9" s="10">
        <f>HybridCalcs!BJ244</f>
        <v>0</v>
      </c>
      <c r="AB9" s="10">
        <f>HybridCalcs!BJ256</f>
        <v>0</v>
      </c>
      <c r="AC9" s="10">
        <f>HybridCalcs!BJ268</f>
        <v>0</v>
      </c>
      <c r="AD9" s="10">
        <f>HybridCalcs!BJ280</f>
        <v>0</v>
      </c>
      <c r="AE9" s="10">
        <f>HybridCalcs!BJ292</f>
        <v>0</v>
      </c>
      <c r="AF9" s="10">
        <f>HybridCalcs!BJ304</f>
        <v>0</v>
      </c>
      <c r="AG9" s="10">
        <f>HybridCalcs!BJ316</f>
        <v>0</v>
      </c>
      <c r="AH9" s="10">
        <f>HybridCalcs!BJ328</f>
        <v>0</v>
      </c>
      <c r="AI9" s="10">
        <f>HybridCalcs!BJ340</f>
        <v>0</v>
      </c>
      <c r="AJ9" s="10">
        <f>HybridCalcs!BJ352</f>
        <v>0</v>
      </c>
      <c r="AK9" s="10">
        <f>HybridCalcs!BJ364</f>
        <v>0</v>
      </c>
      <c r="AL9" s="10">
        <f>HybridCalcs!BJ376</f>
        <v>0</v>
      </c>
      <c r="AM9" s="10">
        <f>HybridCalcs!BJ388</f>
        <v>0</v>
      </c>
      <c r="AN9" s="10">
        <f>HybridCalcs!BJ400</f>
        <v>0</v>
      </c>
      <c r="AO9" s="10">
        <f>HybridCalcs!BJ412</f>
        <v>0</v>
      </c>
      <c r="AP9" s="10">
        <f>HybridCalcs!BJ424</f>
        <v>0</v>
      </c>
      <c r="AQ9" s="10">
        <f>HybridCalcs!BJ436</f>
        <v>0</v>
      </c>
      <c r="AR9" s="10">
        <f>HybridCalcs!BJ448</f>
        <v>0</v>
      </c>
      <c r="AS9" s="10">
        <f>HybridCalcs!BJ460</f>
        <v>0</v>
      </c>
      <c r="AT9" s="10">
        <f>HybridCalcs!BJ472</f>
        <v>0</v>
      </c>
      <c r="AU9" s="10">
        <f>HybridCalcs!BJ484</f>
        <v>0</v>
      </c>
    </row>
    <row r="10" spans="1:47" x14ac:dyDescent="0.25">
      <c r="A10" s="160"/>
      <c r="B10" s="249"/>
      <c r="C10" s="250"/>
      <c r="D10" s="250"/>
      <c r="E10" s="41" t="str">
        <f>HybridCalcs!$BK$3</f>
        <v>Peer-to-Peer Standard</v>
      </c>
      <c r="F10" s="41"/>
      <c r="G10" s="41"/>
      <c r="H10" s="248">
        <f>HybridCalcs!BK16</f>
        <v>0</v>
      </c>
      <c r="I10" s="248">
        <f>HybridCalcs!BK28</f>
        <v>0</v>
      </c>
      <c r="J10" s="248">
        <f>HybridCalcs!BK40</f>
        <v>0</v>
      </c>
      <c r="K10" s="248">
        <f>HybridCalcs!BK52</f>
        <v>0</v>
      </c>
      <c r="L10" s="248">
        <f>HybridCalcs!BK64</f>
        <v>0</v>
      </c>
      <c r="M10" s="248">
        <f>HybridCalcs!BK76</f>
        <v>0</v>
      </c>
      <c r="N10" s="248">
        <f>HybridCalcs!BK88</f>
        <v>0</v>
      </c>
      <c r="O10" s="248">
        <f>HybridCalcs!BK100</f>
        <v>0</v>
      </c>
      <c r="P10" s="248">
        <f>HybridCalcs!BK112</f>
        <v>0</v>
      </c>
      <c r="Q10" s="248">
        <f>HybridCalcs!BK124</f>
        <v>0</v>
      </c>
      <c r="R10" s="248">
        <f>HybridCalcs!BK136</f>
        <v>0</v>
      </c>
      <c r="S10" s="248">
        <f>HybridCalcs!BK148</f>
        <v>0</v>
      </c>
      <c r="T10" s="248">
        <f>HybridCalcs!BK160</f>
        <v>0</v>
      </c>
      <c r="U10" s="248">
        <f>HybridCalcs!BK172</f>
        <v>0</v>
      </c>
      <c r="V10" s="248">
        <f>HybridCalcs!BK184</f>
        <v>0</v>
      </c>
      <c r="W10" s="248">
        <f>HybridCalcs!BK196</f>
        <v>0</v>
      </c>
      <c r="X10" s="248">
        <f>HybridCalcs!BK208</f>
        <v>0</v>
      </c>
      <c r="Y10" s="248">
        <f>HybridCalcs!BK220</f>
        <v>0</v>
      </c>
      <c r="Z10" s="248">
        <f>HybridCalcs!BK232</f>
        <v>0</v>
      </c>
      <c r="AA10" s="248">
        <f>HybridCalcs!BK244</f>
        <v>0</v>
      </c>
      <c r="AB10" s="248">
        <f>HybridCalcs!BK256</f>
        <v>0</v>
      </c>
      <c r="AC10" s="248">
        <f>HybridCalcs!BK268</f>
        <v>0</v>
      </c>
      <c r="AD10" s="248">
        <f>HybridCalcs!BK280</f>
        <v>0</v>
      </c>
      <c r="AE10" s="248">
        <f>HybridCalcs!BK292</f>
        <v>0</v>
      </c>
      <c r="AF10" s="248">
        <f>HybridCalcs!BK304</f>
        <v>0</v>
      </c>
      <c r="AG10" s="248">
        <f>HybridCalcs!BK316</f>
        <v>0</v>
      </c>
      <c r="AH10" s="248">
        <f>HybridCalcs!BK328</f>
        <v>0</v>
      </c>
      <c r="AI10" s="248">
        <f>HybridCalcs!BK340</f>
        <v>0</v>
      </c>
      <c r="AJ10" s="248">
        <f>HybridCalcs!BK352</f>
        <v>0</v>
      </c>
      <c r="AK10" s="248">
        <f>HybridCalcs!BK364</f>
        <v>0</v>
      </c>
      <c r="AL10" s="248">
        <f>HybridCalcs!BK376</f>
        <v>0</v>
      </c>
      <c r="AM10" s="248">
        <f>HybridCalcs!BK388</f>
        <v>0</v>
      </c>
      <c r="AN10" s="248">
        <f>HybridCalcs!BK400</f>
        <v>0</v>
      </c>
      <c r="AO10" s="248">
        <f>HybridCalcs!BK412</f>
        <v>0</v>
      </c>
      <c r="AP10" s="248">
        <f>HybridCalcs!BK424</f>
        <v>0</v>
      </c>
      <c r="AQ10" s="248">
        <f>HybridCalcs!BK436</f>
        <v>0</v>
      </c>
      <c r="AR10" s="248">
        <f>HybridCalcs!BK448</f>
        <v>0</v>
      </c>
      <c r="AS10" s="248">
        <f>HybridCalcs!BK460</f>
        <v>0</v>
      </c>
      <c r="AT10" s="248">
        <f>HybridCalcs!BK472</f>
        <v>0</v>
      </c>
      <c r="AU10" s="248">
        <f>HybridCalcs!BK484</f>
        <v>0</v>
      </c>
    </row>
    <row r="11" spans="1:47" x14ac:dyDescent="0.25">
      <c r="A11" s="160"/>
      <c r="B11" s="160"/>
      <c r="C11" s="161"/>
      <c r="D11" s="161"/>
      <c r="E11" t="str">
        <f>HybridCalcs!$BL$3</f>
        <v>Peer-to-Peer Premium</v>
      </c>
      <c r="H11" s="10">
        <f>HybridCalcs!BL16</f>
        <v>0</v>
      </c>
      <c r="I11" s="10">
        <f>HybridCalcs!BL28</f>
        <v>0</v>
      </c>
      <c r="J11" s="10">
        <f>HybridCalcs!BL40</f>
        <v>0</v>
      </c>
      <c r="K11" s="10">
        <f>HybridCalcs!BL52</f>
        <v>0</v>
      </c>
      <c r="L11" s="10">
        <f>HybridCalcs!BL64</f>
        <v>0</v>
      </c>
      <c r="M11" s="10">
        <f>HybridCalcs!BL76</f>
        <v>0</v>
      </c>
      <c r="N11" s="10">
        <f>HybridCalcs!BL88</f>
        <v>0</v>
      </c>
      <c r="O11" s="10">
        <f>HybridCalcs!BL100</f>
        <v>0</v>
      </c>
      <c r="P11" s="10">
        <f>HybridCalcs!BL112</f>
        <v>0</v>
      </c>
      <c r="Q11" s="10">
        <f>HybridCalcs!BL124</f>
        <v>0</v>
      </c>
      <c r="R11" s="10">
        <f>HybridCalcs!BL136</f>
        <v>0</v>
      </c>
      <c r="S11" s="10">
        <f>HybridCalcs!BL148</f>
        <v>0</v>
      </c>
      <c r="T11" s="10">
        <f>HybridCalcs!BL160</f>
        <v>0</v>
      </c>
      <c r="U11" s="10">
        <f>HybridCalcs!BL172</f>
        <v>0</v>
      </c>
      <c r="V11" s="10">
        <f>HybridCalcs!BL184</f>
        <v>0</v>
      </c>
      <c r="W11" s="10">
        <f>HybridCalcs!BL196</f>
        <v>0</v>
      </c>
      <c r="X11" s="10">
        <f>HybridCalcs!BL208</f>
        <v>0</v>
      </c>
      <c r="Y11" s="10">
        <f>HybridCalcs!BL220</f>
        <v>0</v>
      </c>
      <c r="Z11" s="10">
        <f>HybridCalcs!BL232</f>
        <v>0</v>
      </c>
      <c r="AA11" s="10">
        <f>HybridCalcs!BL244</f>
        <v>0</v>
      </c>
      <c r="AB11" s="10">
        <f>HybridCalcs!BL256</f>
        <v>0</v>
      </c>
      <c r="AC11" s="10">
        <f>HybridCalcs!BL268</f>
        <v>0</v>
      </c>
      <c r="AD11" s="10">
        <f>HybridCalcs!BL280</f>
        <v>0</v>
      </c>
      <c r="AE11" s="10">
        <f>HybridCalcs!BL292</f>
        <v>0</v>
      </c>
      <c r="AF11" s="10">
        <f>HybridCalcs!BL304</f>
        <v>0</v>
      </c>
      <c r="AG11" s="10">
        <f>HybridCalcs!BL316</f>
        <v>0</v>
      </c>
      <c r="AH11" s="10">
        <f>HybridCalcs!BL328</f>
        <v>0</v>
      </c>
      <c r="AI11" s="10">
        <f>HybridCalcs!BL340</f>
        <v>0</v>
      </c>
      <c r="AJ11" s="10">
        <f>HybridCalcs!BL352</f>
        <v>0</v>
      </c>
      <c r="AK11" s="10">
        <f>HybridCalcs!BL364</f>
        <v>0</v>
      </c>
      <c r="AL11" s="10">
        <f>HybridCalcs!BL376</f>
        <v>0</v>
      </c>
      <c r="AM11" s="10">
        <f>HybridCalcs!BL388</f>
        <v>0</v>
      </c>
      <c r="AN11" s="10">
        <f>HybridCalcs!BL400</f>
        <v>0</v>
      </c>
      <c r="AO11" s="10">
        <f>HybridCalcs!BL412</f>
        <v>0</v>
      </c>
      <c r="AP11" s="10">
        <f>HybridCalcs!BL424</f>
        <v>0</v>
      </c>
      <c r="AQ11" s="10">
        <f>HybridCalcs!BL436</f>
        <v>0</v>
      </c>
      <c r="AR11" s="10">
        <f>HybridCalcs!BL448</f>
        <v>0</v>
      </c>
      <c r="AS11" s="10">
        <f>HybridCalcs!BL460</f>
        <v>0</v>
      </c>
      <c r="AT11" s="10">
        <f>HybridCalcs!BL472</f>
        <v>0</v>
      </c>
      <c r="AU11" s="10">
        <f>HybridCalcs!BL484</f>
        <v>0</v>
      </c>
    </row>
    <row r="12" spans="1:47" s="3" customFormat="1" x14ac:dyDescent="0.25">
      <c r="B12" s="46"/>
      <c r="C12" s="46"/>
      <c r="D12" s="46" t="s">
        <v>435</v>
      </c>
      <c r="E12" s="46"/>
      <c r="F12" s="46"/>
      <c r="G12" s="46"/>
      <c r="H12" s="251">
        <f>SUM(H6:H11)</f>
        <v>27349.573331524247</v>
      </c>
      <c r="I12" s="251">
        <f t="shared" ref="I12:AU12" si="0">SUM(I6:I11)</f>
        <v>27131.577218907431</v>
      </c>
      <c r="J12" s="251">
        <f t="shared" si="0"/>
        <v>23326.609535517375</v>
      </c>
      <c r="K12" s="251">
        <f t="shared" si="0"/>
        <v>23140.679388175293</v>
      </c>
      <c r="L12" s="251">
        <f t="shared" si="0"/>
        <v>22956.231240162699</v>
      </c>
      <c r="M12" s="251">
        <f t="shared" si="0"/>
        <v>22773.253278860462</v>
      </c>
      <c r="N12" s="251">
        <f t="shared" si="0"/>
        <v>22591.733785804692</v>
      </c>
      <c r="O12" s="251">
        <f t="shared" si="0"/>
        <v>22411.661135936229</v>
      </c>
      <c r="P12" s="251">
        <f t="shared" si="0"/>
        <v>22233.023796856134</v>
      </c>
      <c r="Q12" s="251">
        <f t="shared" si="0"/>
        <v>22055.810328087118</v>
      </c>
      <c r="R12" s="251">
        <f t="shared" si="0"/>
        <v>21880.009380340896</v>
      </c>
      <c r="S12" s="251">
        <f t="shared" si="0"/>
        <v>21705.609694791281</v>
      </c>
      <c r="T12" s="251">
        <f t="shared" si="0"/>
        <v>21532.600102353197</v>
      </c>
      <c r="U12" s="251">
        <f t="shared" si="0"/>
        <v>21360.969522967342</v>
      </c>
      <c r="V12" s="251">
        <f t="shared" si="0"/>
        <v>21190.706964890582</v>
      </c>
      <c r="W12" s="251">
        <f t="shared" si="0"/>
        <v>0</v>
      </c>
      <c r="X12" s="251">
        <f t="shared" si="0"/>
        <v>0</v>
      </c>
      <c r="Y12" s="251">
        <f t="shared" si="0"/>
        <v>0</v>
      </c>
      <c r="Z12" s="251">
        <f t="shared" si="0"/>
        <v>0</v>
      </c>
      <c r="AA12" s="251">
        <f t="shared" si="0"/>
        <v>0</v>
      </c>
      <c r="AB12" s="251">
        <f t="shared" si="0"/>
        <v>0</v>
      </c>
      <c r="AC12" s="251">
        <f t="shared" si="0"/>
        <v>0</v>
      </c>
      <c r="AD12" s="251">
        <f t="shared" si="0"/>
        <v>0</v>
      </c>
      <c r="AE12" s="251">
        <f t="shared" si="0"/>
        <v>0</v>
      </c>
      <c r="AF12" s="251">
        <f t="shared" si="0"/>
        <v>0</v>
      </c>
      <c r="AG12" s="251">
        <f t="shared" si="0"/>
        <v>0</v>
      </c>
      <c r="AH12" s="251">
        <f t="shared" si="0"/>
        <v>0</v>
      </c>
      <c r="AI12" s="251">
        <f t="shared" si="0"/>
        <v>0</v>
      </c>
      <c r="AJ12" s="251">
        <f t="shared" si="0"/>
        <v>0</v>
      </c>
      <c r="AK12" s="251">
        <f t="shared" si="0"/>
        <v>0</v>
      </c>
      <c r="AL12" s="251">
        <f t="shared" si="0"/>
        <v>0</v>
      </c>
      <c r="AM12" s="251">
        <f t="shared" si="0"/>
        <v>0</v>
      </c>
      <c r="AN12" s="251">
        <f t="shared" si="0"/>
        <v>0</v>
      </c>
      <c r="AO12" s="251">
        <f t="shared" si="0"/>
        <v>0</v>
      </c>
      <c r="AP12" s="251">
        <f t="shared" si="0"/>
        <v>0</v>
      </c>
      <c r="AQ12" s="251">
        <f t="shared" si="0"/>
        <v>0</v>
      </c>
      <c r="AR12" s="251">
        <f t="shared" si="0"/>
        <v>0</v>
      </c>
      <c r="AS12" s="251">
        <f t="shared" si="0"/>
        <v>0</v>
      </c>
      <c r="AT12" s="251">
        <f t="shared" si="0"/>
        <v>0</v>
      </c>
      <c r="AU12" s="251">
        <f t="shared" si="0"/>
        <v>0</v>
      </c>
    </row>
    <row r="13" spans="1:47" s="3" customFormat="1" x14ac:dyDescent="0.25">
      <c r="D13" s="3" t="s">
        <v>436</v>
      </c>
    </row>
    <row r="14" spans="1:47" x14ac:dyDescent="0.25">
      <c r="B14" s="41"/>
      <c r="C14" s="46"/>
      <c r="D14" s="46"/>
      <c r="E14" s="41" t="str">
        <f>HybridCalcs!AD3</f>
        <v>Battery Services Energy purchases</v>
      </c>
      <c r="F14" s="41"/>
      <c r="G14" s="41"/>
      <c r="H14" s="248">
        <f>HybridCalcs!BM16</f>
        <v>0</v>
      </c>
      <c r="I14" s="248">
        <f>HybridCalcs!BM28</f>
        <v>0</v>
      </c>
      <c r="J14" s="248">
        <f>HybridCalcs!BM40</f>
        <v>0</v>
      </c>
      <c r="K14" s="248">
        <f>HybridCalcs!BM52</f>
        <v>0</v>
      </c>
      <c r="L14" s="248">
        <f>HybridCalcs!BM64</f>
        <v>0</v>
      </c>
      <c r="M14" s="248">
        <f>HybridCalcs!BM76</f>
        <v>0</v>
      </c>
      <c r="N14" s="248">
        <f>HybridCalcs!BM88</f>
        <v>0</v>
      </c>
      <c r="O14" s="248">
        <f>HybridCalcs!BM100</f>
        <v>0</v>
      </c>
      <c r="P14" s="248">
        <f>HybridCalcs!BM112</f>
        <v>0</v>
      </c>
      <c r="Q14" s="248">
        <f>HybridCalcs!BM124</f>
        <v>0</v>
      </c>
      <c r="R14" s="248">
        <f>HybridCalcs!BM136</f>
        <v>0</v>
      </c>
      <c r="S14" s="248">
        <f>HybridCalcs!BM148</f>
        <v>0</v>
      </c>
      <c r="T14" s="248">
        <f>HybridCalcs!BM160</f>
        <v>0</v>
      </c>
      <c r="U14" s="248">
        <f>HybridCalcs!BM172</f>
        <v>0</v>
      </c>
      <c r="V14" s="248">
        <f>HybridCalcs!BM184</f>
        <v>0</v>
      </c>
      <c r="W14" s="248">
        <f>HybridCalcs!BM196</f>
        <v>0</v>
      </c>
      <c r="X14" s="248">
        <f>HybridCalcs!BM208</f>
        <v>0</v>
      </c>
      <c r="Y14" s="248">
        <f>HybridCalcs!BM220</f>
        <v>0</v>
      </c>
      <c r="Z14" s="248">
        <f>HybridCalcs!BM232</f>
        <v>0</v>
      </c>
      <c r="AA14" s="248">
        <f>HybridCalcs!BM244</f>
        <v>0</v>
      </c>
      <c r="AB14" s="248">
        <f>HybridCalcs!BM256</f>
        <v>0</v>
      </c>
      <c r="AC14" s="248">
        <f>HybridCalcs!BM268</f>
        <v>0</v>
      </c>
      <c r="AD14" s="248">
        <f>HybridCalcs!BM280</f>
        <v>0</v>
      </c>
      <c r="AE14" s="248">
        <f>HybridCalcs!BM292</f>
        <v>0</v>
      </c>
      <c r="AF14" s="248">
        <f>HybridCalcs!BM304</f>
        <v>0</v>
      </c>
      <c r="AG14" s="248">
        <f>HybridCalcs!BM316</f>
        <v>0</v>
      </c>
      <c r="AH14" s="248">
        <f>HybridCalcs!BM328</f>
        <v>0</v>
      </c>
      <c r="AI14" s="248">
        <f>HybridCalcs!BM340</f>
        <v>0</v>
      </c>
      <c r="AJ14" s="248">
        <f>HybridCalcs!BM352</f>
        <v>0</v>
      </c>
      <c r="AK14" s="248">
        <f>HybridCalcs!BM364</f>
        <v>0</v>
      </c>
      <c r="AL14" s="248">
        <f>HybridCalcs!BM376</f>
        <v>0</v>
      </c>
      <c r="AM14" s="248">
        <f>HybridCalcs!BM388</f>
        <v>0</v>
      </c>
      <c r="AN14" s="248">
        <f>HybridCalcs!BM400</f>
        <v>0</v>
      </c>
      <c r="AO14" s="248">
        <f>HybridCalcs!BM412</f>
        <v>0</v>
      </c>
      <c r="AP14" s="248">
        <f>HybridCalcs!BM424</f>
        <v>0</v>
      </c>
      <c r="AQ14" s="248">
        <f>HybridCalcs!BM436</f>
        <v>0</v>
      </c>
      <c r="AR14" s="248">
        <f>HybridCalcs!BM448</f>
        <v>0</v>
      </c>
      <c r="AS14" s="248">
        <f>HybridCalcs!BM460</f>
        <v>0</v>
      </c>
      <c r="AT14" s="248">
        <f>HybridCalcs!BM472</f>
        <v>0</v>
      </c>
      <c r="AU14" s="248">
        <f>HybridCalcs!BM484</f>
        <v>0</v>
      </c>
    </row>
    <row r="15" spans="1:47" s="3" customFormat="1" x14ac:dyDescent="0.25">
      <c r="D15" s="3" t="s">
        <v>437</v>
      </c>
      <c r="H15" s="153">
        <f>SUM(H14)</f>
        <v>0</v>
      </c>
      <c r="I15" s="153">
        <f t="shared" ref="I15:AU15" si="1">SUM(I14)</f>
        <v>0</v>
      </c>
      <c r="J15" s="153">
        <f t="shared" si="1"/>
        <v>0</v>
      </c>
      <c r="K15" s="153">
        <f t="shared" si="1"/>
        <v>0</v>
      </c>
      <c r="L15" s="153">
        <f t="shared" si="1"/>
        <v>0</v>
      </c>
      <c r="M15" s="153">
        <f t="shared" si="1"/>
        <v>0</v>
      </c>
      <c r="N15" s="153">
        <f t="shared" si="1"/>
        <v>0</v>
      </c>
      <c r="O15" s="153">
        <f t="shared" si="1"/>
        <v>0</v>
      </c>
      <c r="P15" s="153">
        <f t="shared" si="1"/>
        <v>0</v>
      </c>
      <c r="Q15" s="153">
        <f t="shared" si="1"/>
        <v>0</v>
      </c>
      <c r="R15" s="153">
        <f t="shared" si="1"/>
        <v>0</v>
      </c>
      <c r="S15" s="153">
        <f t="shared" si="1"/>
        <v>0</v>
      </c>
      <c r="T15" s="153">
        <f t="shared" si="1"/>
        <v>0</v>
      </c>
      <c r="U15" s="153">
        <f t="shared" si="1"/>
        <v>0</v>
      </c>
      <c r="V15" s="153">
        <f t="shared" si="1"/>
        <v>0</v>
      </c>
      <c r="W15" s="153">
        <f t="shared" si="1"/>
        <v>0</v>
      </c>
      <c r="X15" s="153">
        <f t="shared" si="1"/>
        <v>0</v>
      </c>
      <c r="Y15" s="153">
        <f t="shared" si="1"/>
        <v>0</v>
      </c>
      <c r="Z15" s="153">
        <f t="shared" si="1"/>
        <v>0</v>
      </c>
      <c r="AA15" s="153">
        <f t="shared" si="1"/>
        <v>0</v>
      </c>
      <c r="AB15" s="153">
        <f t="shared" si="1"/>
        <v>0</v>
      </c>
      <c r="AC15" s="153">
        <f t="shared" si="1"/>
        <v>0</v>
      </c>
      <c r="AD15" s="153">
        <f t="shared" si="1"/>
        <v>0</v>
      </c>
      <c r="AE15" s="153">
        <f t="shared" si="1"/>
        <v>0</v>
      </c>
      <c r="AF15" s="153">
        <f t="shared" si="1"/>
        <v>0</v>
      </c>
      <c r="AG15" s="153">
        <f t="shared" si="1"/>
        <v>0</v>
      </c>
      <c r="AH15" s="153">
        <f t="shared" si="1"/>
        <v>0</v>
      </c>
      <c r="AI15" s="153">
        <f t="shared" si="1"/>
        <v>0</v>
      </c>
      <c r="AJ15" s="153">
        <f t="shared" si="1"/>
        <v>0</v>
      </c>
      <c r="AK15" s="153">
        <f t="shared" si="1"/>
        <v>0</v>
      </c>
      <c r="AL15" s="153">
        <f t="shared" si="1"/>
        <v>0</v>
      </c>
      <c r="AM15" s="153">
        <f t="shared" si="1"/>
        <v>0</v>
      </c>
      <c r="AN15" s="153">
        <f t="shared" si="1"/>
        <v>0</v>
      </c>
      <c r="AO15" s="153">
        <f t="shared" si="1"/>
        <v>0</v>
      </c>
      <c r="AP15" s="153">
        <f t="shared" si="1"/>
        <v>0</v>
      </c>
      <c r="AQ15" s="153">
        <f t="shared" si="1"/>
        <v>0</v>
      </c>
      <c r="AR15" s="153">
        <f t="shared" si="1"/>
        <v>0</v>
      </c>
      <c r="AS15" s="153">
        <f t="shared" si="1"/>
        <v>0</v>
      </c>
      <c r="AT15" s="153">
        <f t="shared" si="1"/>
        <v>0</v>
      </c>
      <c r="AU15" s="153">
        <f t="shared" si="1"/>
        <v>0</v>
      </c>
    </row>
    <row r="16" spans="1:47" x14ac:dyDescent="0.25">
      <c r="A16" s="3"/>
      <c r="B16" s="46"/>
      <c r="C16" s="46"/>
      <c r="D16" s="46" t="s">
        <v>438</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row>
    <row r="17" spans="1:47" x14ac:dyDescent="0.25">
      <c r="A17" s="160"/>
      <c r="B17" s="160"/>
      <c r="C17" s="162"/>
      <c r="D17" s="162"/>
      <c r="E17" s="141" t="s">
        <v>439</v>
      </c>
      <c r="H17" s="10">
        <f>HybridCalcs!BN16</f>
        <v>0</v>
      </c>
      <c r="I17" s="10">
        <f>HybridCalcs!BN28</f>
        <v>0</v>
      </c>
      <c r="J17" s="10">
        <f>HybridCalcs!BN40</f>
        <v>0</v>
      </c>
      <c r="K17" s="10">
        <f>HybridCalcs!BN52</f>
        <v>0</v>
      </c>
      <c r="L17" s="10">
        <f>HybridCalcs!BN64</f>
        <v>0</v>
      </c>
      <c r="M17" s="10">
        <f>HybridCalcs!BN76</f>
        <v>0</v>
      </c>
      <c r="N17" s="10">
        <f>HybridCalcs!BN88</f>
        <v>0</v>
      </c>
      <c r="O17" s="10">
        <f>HybridCalcs!BN100</f>
        <v>0</v>
      </c>
      <c r="P17" s="10">
        <f>HybridCalcs!BN112</f>
        <v>0</v>
      </c>
      <c r="Q17" s="10">
        <f>HybridCalcs!BN124</f>
        <v>0</v>
      </c>
      <c r="R17" s="10">
        <f>HybridCalcs!BN136</f>
        <v>0</v>
      </c>
      <c r="S17" s="10">
        <f>HybridCalcs!BN148</f>
        <v>0</v>
      </c>
      <c r="T17" s="10">
        <f>HybridCalcs!BN160</f>
        <v>0</v>
      </c>
      <c r="U17" s="10">
        <f>HybridCalcs!BN172</f>
        <v>0</v>
      </c>
      <c r="V17" s="10">
        <f>HybridCalcs!BN184</f>
        <v>0</v>
      </c>
      <c r="W17" s="10">
        <f>HybridCalcs!BN196</f>
        <v>0</v>
      </c>
      <c r="X17" s="10">
        <f>HybridCalcs!BN208</f>
        <v>0</v>
      </c>
      <c r="Y17" s="10">
        <f>HybridCalcs!BN220</f>
        <v>0</v>
      </c>
      <c r="Z17" s="10">
        <f>HybridCalcs!BN232</f>
        <v>0</v>
      </c>
      <c r="AA17" s="10">
        <f>HybridCalcs!BN244</f>
        <v>0</v>
      </c>
      <c r="AB17" s="10">
        <f>HybridCalcs!BN256</f>
        <v>0</v>
      </c>
      <c r="AC17" s="10">
        <f>HybridCalcs!BN268</f>
        <v>0</v>
      </c>
      <c r="AD17" s="10">
        <f>HybridCalcs!BN280</f>
        <v>0</v>
      </c>
      <c r="AE17" s="10">
        <f>HybridCalcs!BN292</f>
        <v>0</v>
      </c>
      <c r="AF17" s="10">
        <f>HybridCalcs!BN304</f>
        <v>0</v>
      </c>
      <c r="AG17" s="10">
        <f>HybridCalcs!BN316</f>
        <v>0</v>
      </c>
      <c r="AH17" s="10">
        <f>HybridCalcs!BN328</f>
        <v>0</v>
      </c>
      <c r="AI17" s="10">
        <f>HybridCalcs!BN340</f>
        <v>0</v>
      </c>
      <c r="AJ17" s="10">
        <f>HybridCalcs!BN352</f>
        <v>0</v>
      </c>
      <c r="AK17" s="10">
        <f>HybridCalcs!BN364</f>
        <v>0</v>
      </c>
      <c r="AL17" s="10">
        <f>HybridCalcs!BN376</f>
        <v>0</v>
      </c>
      <c r="AM17" s="10">
        <f>HybridCalcs!BN388</f>
        <v>0</v>
      </c>
      <c r="AN17" s="10">
        <f>HybridCalcs!BN400</f>
        <v>0</v>
      </c>
      <c r="AO17" s="10">
        <f>HybridCalcs!BN412</f>
        <v>0</v>
      </c>
      <c r="AP17" s="10">
        <f>HybridCalcs!BN424</f>
        <v>0</v>
      </c>
      <c r="AQ17" s="10">
        <f>HybridCalcs!BN436</f>
        <v>0</v>
      </c>
      <c r="AR17" s="10">
        <f>HybridCalcs!BN448</f>
        <v>0</v>
      </c>
      <c r="AS17" s="10">
        <f>HybridCalcs!BN460</f>
        <v>0</v>
      </c>
      <c r="AT17" s="10">
        <f>HybridCalcs!BN472</f>
        <v>0</v>
      </c>
      <c r="AU17" s="10">
        <f>HybridCalcs!BN484</f>
        <v>0</v>
      </c>
    </row>
    <row r="18" spans="1:47" s="3" customFormat="1" ht="15.75" thickBot="1" x14ac:dyDescent="0.3">
      <c r="B18" s="46"/>
      <c r="C18" s="46"/>
      <c r="D18" s="46" t="s">
        <v>440</v>
      </c>
      <c r="E18" s="46"/>
      <c r="F18" s="46"/>
      <c r="G18" s="46"/>
      <c r="H18" s="251">
        <f>SUM(H17)</f>
        <v>0</v>
      </c>
      <c r="I18" s="251">
        <f t="shared" ref="I18:AU18" si="2">SUM(I17)</f>
        <v>0</v>
      </c>
      <c r="J18" s="251">
        <f t="shared" si="2"/>
        <v>0</v>
      </c>
      <c r="K18" s="251">
        <f t="shared" si="2"/>
        <v>0</v>
      </c>
      <c r="L18" s="251">
        <f t="shared" si="2"/>
        <v>0</v>
      </c>
      <c r="M18" s="251">
        <f t="shared" si="2"/>
        <v>0</v>
      </c>
      <c r="N18" s="251">
        <f t="shared" si="2"/>
        <v>0</v>
      </c>
      <c r="O18" s="251">
        <f t="shared" si="2"/>
        <v>0</v>
      </c>
      <c r="P18" s="251">
        <f t="shared" si="2"/>
        <v>0</v>
      </c>
      <c r="Q18" s="251">
        <f t="shared" si="2"/>
        <v>0</v>
      </c>
      <c r="R18" s="251">
        <f t="shared" si="2"/>
        <v>0</v>
      </c>
      <c r="S18" s="251">
        <f t="shared" si="2"/>
        <v>0</v>
      </c>
      <c r="T18" s="251">
        <f t="shared" si="2"/>
        <v>0</v>
      </c>
      <c r="U18" s="251">
        <f t="shared" si="2"/>
        <v>0</v>
      </c>
      <c r="V18" s="251">
        <f t="shared" si="2"/>
        <v>0</v>
      </c>
      <c r="W18" s="251">
        <f t="shared" si="2"/>
        <v>0</v>
      </c>
      <c r="X18" s="251">
        <f t="shared" si="2"/>
        <v>0</v>
      </c>
      <c r="Y18" s="251">
        <f t="shared" si="2"/>
        <v>0</v>
      </c>
      <c r="Z18" s="251">
        <f t="shared" si="2"/>
        <v>0</v>
      </c>
      <c r="AA18" s="251">
        <f t="shared" si="2"/>
        <v>0</v>
      </c>
      <c r="AB18" s="251">
        <f t="shared" si="2"/>
        <v>0</v>
      </c>
      <c r="AC18" s="251">
        <f t="shared" si="2"/>
        <v>0</v>
      </c>
      <c r="AD18" s="251">
        <f t="shared" si="2"/>
        <v>0</v>
      </c>
      <c r="AE18" s="251">
        <f t="shared" si="2"/>
        <v>0</v>
      </c>
      <c r="AF18" s="251">
        <f t="shared" si="2"/>
        <v>0</v>
      </c>
      <c r="AG18" s="251">
        <f t="shared" si="2"/>
        <v>0</v>
      </c>
      <c r="AH18" s="251">
        <f t="shared" si="2"/>
        <v>0</v>
      </c>
      <c r="AI18" s="251">
        <f t="shared" si="2"/>
        <v>0</v>
      </c>
      <c r="AJ18" s="251">
        <f t="shared" si="2"/>
        <v>0</v>
      </c>
      <c r="AK18" s="251">
        <f t="shared" si="2"/>
        <v>0</v>
      </c>
      <c r="AL18" s="251">
        <f t="shared" si="2"/>
        <v>0</v>
      </c>
      <c r="AM18" s="251">
        <f t="shared" si="2"/>
        <v>0</v>
      </c>
      <c r="AN18" s="251">
        <f t="shared" si="2"/>
        <v>0</v>
      </c>
      <c r="AO18" s="251">
        <f t="shared" si="2"/>
        <v>0</v>
      </c>
      <c r="AP18" s="251">
        <f t="shared" si="2"/>
        <v>0</v>
      </c>
      <c r="AQ18" s="251">
        <f t="shared" si="2"/>
        <v>0</v>
      </c>
      <c r="AR18" s="251">
        <f t="shared" si="2"/>
        <v>0</v>
      </c>
      <c r="AS18" s="251">
        <f t="shared" si="2"/>
        <v>0</v>
      </c>
      <c r="AT18" s="251">
        <f t="shared" si="2"/>
        <v>0</v>
      </c>
      <c r="AU18" s="251">
        <f t="shared" si="2"/>
        <v>0</v>
      </c>
    </row>
    <row r="19" spans="1:47" ht="16.5" thickTop="1" x14ac:dyDescent="0.25">
      <c r="A19" s="52"/>
      <c r="B19" s="52"/>
      <c r="C19" s="52" t="s">
        <v>441</v>
      </c>
      <c r="D19" s="52"/>
      <c r="E19" s="142"/>
      <c r="H19" s="154">
        <f>H12+H15+H18</f>
        <v>27349.573331524247</v>
      </c>
      <c r="I19" s="154">
        <f t="shared" ref="I19:AU19" si="3">I12+I15+I18</f>
        <v>27131.577218907431</v>
      </c>
      <c r="J19" s="154">
        <f t="shared" si="3"/>
        <v>23326.609535517375</v>
      </c>
      <c r="K19" s="154">
        <f t="shared" si="3"/>
        <v>23140.679388175293</v>
      </c>
      <c r="L19" s="154">
        <f t="shared" si="3"/>
        <v>22956.231240162699</v>
      </c>
      <c r="M19" s="154">
        <f t="shared" si="3"/>
        <v>22773.253278860462</v>
      </c>
      <c r="N19" s="154">
        <f t="shared" si="3"/>
        <v>22591.733785804692</v>
      </c>
      <c r="O19" s="154">
        <f t="shared" si="3"/>
        <v>22411.661135936229</v>
      </c>
      <c r="P19" s="154">
        <f t="shared" si="3"/>
        <v>22233.023796856134</v>
      </c>
      <c r="Q19" s="154">
        <f t="shared" si="3"/>
        <v>22055.810328087118</v>
      </c>
      <c r="R19" s="154">
        <f t="shared" si="3"/>
        <v>21880.009380340896</v>
      </c>
      <c r="S19" s="154">
        <f t="shared" si="3"/>
        <v>21705.609694791281</v>
      </c>
      <c r="T19" s="154">
        <f t="shared" si="3"/>
        <v>21532.600102353197</v>
      </c>
      <c r="U19" s="154">
        <f t="shared" si="3"/>
        <v>21360.969522967342</v>
      </c>
      <c r="V19" s="154">
        <f t="shared" si="3"/>
        <v>21190.706964890582</v>
      </c>
      <c r="W19" s="154">
        <f t="shared" si="3"/>
        <v>0</v>
      </c>
      <c r="X19" s="154">
        <f t="shared" si="3"/>
        <v>0</v>
      </c>
      <c r="Y19" s="154">
        <f t="shared" si="3"/>
        <v>0</v>
      </c>
      <c r="Z19" s="154">
        <f t="shared" si="3"/>
        <v>0</v>
      </c>
      <c r="AA19" s="154">
        <f t="shared" si="3"/>
        <v>0</v>
      </c>
      <c r="AB19" s="154">
        <f t="shared" si="3"/>
        <v>0</v>
      </c>
      <c r="AC19" s="154">
        <f t="shared" si="3"/>
        <v>0</v>
      </c>
      <c r="AD19" s="154">
        <f t="shared" si="3"/>
        <v>0</v>
      </c>
      <c r="AE19" s="154">
        <f t="shared" si="3"/>
        <v>0</v>
      </c>
      <c r="AF19" s="154">
        <f t="shared" si="3"/>
        <v>0</v>
      </c>
      <c r="AG19" s="154">
        <f t="shared" si="3"/>
        <v>0</v>
      </c>
      <c r="AH19" s="154">
        <f t="shared" si="3"/>
        <v>0</v>
      </c>
      <c r="AI19" s="154">
        <f t="shared" si="3"/>
        <v>0</v>
      </c>
      <c r="AJ19" s="154">
        <f t="shared" si="3"/>
        <v>0</v>
      </c>
      <c r="AK19" s="154">
        <f t="shared" si="3"/>
        <v>0</v>
      </c>
      <c r="AL19" s="154">
        <f t="shared" si="3"/>
        <v>0</v>
      </c>
      <c r="AM19" s="154">
        <f t="shared" si="3"/>
        <v>0</v>
      </c>
      <c r="AN19" s="154">
        <f t="shared" si="3"/>
        <v>0</v>
      </c>
      <c r="AO19" s="154">
        <f t="shared" si="3"/>
        <v>0</v>
      </c>
      <c r="AP19" s="154">
        <f t="shared" si="3"/>
        <v>0</v>
      </c>
      <c r="AQ19" s="154">
        <f t="shared" si="3"/>
        <v>0</v>
      </c>
      <c r="AR19" s="154">
        <f t="shared" si="3"/>
        <v>0</v>
      </c>
      <c r="AS19" s="154">
        <f t="shared" si="3"/>
        <v>0</v>
      </c>
      <c r="AT19" s="154">
        <f t="shared" si="3"/>
        <v>0</v>
      </c>
      <c r="AU19" s="154">
        <f t="shared" si="3"/>
        <v>0</v>
      </c>
    </row>
    <row r="20" spans="1:47" ht="15.75" x14ac:dyDescent="0.25">
      <c r="A20" s="142"/>
      <c r="B20" s="252"/>
      <c r="C20" s="246" t="s">
        <v>86</v>
      </c>
      <c r="D20" s="246"/>
      <c r="E20" s="252"/>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row>
    <row r="21" spans="1:47" x14ac:dyDescent="0.25">
      <c r="A21" s="3"/>
      <c r="B21" s="3"/>
      <c r="C21" s="3"/>
      <c r="D21" s="3" t="s">
        <v>442</v>
      </c>
    </row>
    <row r="22" spans="1:47" x14ac:dyDescent="0.25">
      <c r="A22" s="3"/>
      <c r="B22" s="46"/>
      <c r="C22" s="46"/>
      <c r="D22" s="46"/>
      <c r="E22" s="41" t="s">
        <v>443</v>
      </c>
      <c r="F22" s="41"/>
      <c r="G22" s="248">
        <f>HybridCalcs!$BO$4</f>
        <v>-2325000</v>
      </c>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row>
    <row r="23" spans="1:47" x14ac:dyDescent="0.25">
      <c r="A23" s="3"/>
      <c r="B23" s="3"/>
      <c r="C23" s="3"/>
      <c r="D23" s="3"/>
      <c r="E23" t="s">
        <v>444</v>
      </c>
      <c r="H23" s="10">
        <f>HybridCalcs!BP16</f>
        <v>-9000</v>
      </c>
      <c r="I23" s="10">
        <f>HybridCalcs!BP28</f>
        <v>-9000</v>
      </c>
      <c r="J23" s="10">
        <f>HybridCalcs!BP40</f>
        <v>-9000</v>
      </c>
      <c r="K23" s="10">
        <f>HybridCalcs!BP52</f>
        <v>-9000</v>
      </c>
      <c r="L23" s="10">
        <f>HybridCalcs!BP64</f>
        <v>-9000</v>
      </c>
      <c r="M23" s="10">
        <f>HybridCalcs!BP76</f>
        <v>-9000</v>
      </c>
      <c r="N23" s="10">
        <f>HybridCalcs!BP88</f>
        <v>-9000</v>
      </c>
      <c r="O23" s="10">
        <f>HybridCalcs!BP100</f>
        <v>-9000</v>
      </c>
      <c r="P23" s="10">
        <f>HybridCalcs!BP112</f>
        <v>-9000</v>
      </c>
      <c r="Q23" s="10">
        <f>HybridCalcs!BP124</f>
        <v>-9000</v>
      </c>
      <c r="R23" s="10">
        <f>HybridCalcs!BP136</f>
        <v>-9000</v>
      </c>
      <c r="S23" s="10">
        <f>HybridCalcs!BP148</f>
        <v>-9000</v>
      </c>
      <c r="T23" s="10">
        <f>HybridCalcs!BP160</f>
        <v>-9000</v>
      </c>
      <c r="U23" s="10">
        <f>HybridCalcs!BP172</f>
        <v>-9000</v>
      </c>
      <c r="V23" s="10">
        <f>HybridCalcs!BP184</f>
        <v>-9000</v>
      </c>
      <c r="W23" s="10">
        <f>HybridCalcs!BP196</f>
        <v>-9000</v>
      </c>
      <c r="X23" s="10">
        <f>HybridCalcs!BP208</f>
        <v>-9000</v>
      </c>
      <c r="Y23" s="10">
        <f>HybridCalcs!BP220</f>
        <v>-9000</v>
      </c>
      <c r="Z23" s="10">
        <f>HybridCalcs!BP232</f>
        <v>-9000</v>
      </c>
      <c r="AA23" s="10">
        <f>HybridCalcs!BP244</f>
        <v>-9000</v>
      </c>
      <c r="AB23" s="10">
        <f>HybridCalcs!BP256</f>
        <v>-9000</v>
      </c>
      <c r="AC23" s="10">
        <f>HybridCalcs!BP268</f>
        <v>-9000</v>
      </c>
      <c r="AD23" s="10">
        <f>HybridCalcs!BP280</f>
        <v>-9000</v>
      </c>
      <c r="AE23" s="10">
        <f>HybridCalcs!BP292</f>
        <v>-9000</v>
      </c>
      <c r="AF23" s="10">
        <f>HybridCalcs!BP304</f>
        <v>-9000</v>
      </c>
      <c r="AG23" s="10">
        <f>HybridCalcs!BP316</f>
        <v>-9000</v>
      </c>
      <c r="AH23" s="10">
        <f>HybridCalcs!BP328</f>
        <v>-9000</v>
      </c>
      <c r="AI23" s="10">
        <f>HybridCalcs!BP340</f>
        <v>-9000</v>
      </c>
      <c r="AJ23" s="10">
        <f>HybridCalcs!BP352</f>
        <v>-9000</v>
      </c>
      <c r="AK23" s="10">
        <f>HybridCalcs!BP364</f>
        <v>-9000</v>
      </c>
      <c r="AL23" s="10">
        <f>HybridCalcs!BP376</f>
        <v>-9000</v>
      </c>
      <c r="AM23" s="10">
        <f>HybridCalcs!BP388</f>
        <v>-9000</v>
      </c>
      <c r="AN23" s="10">
        <f>HybridCalcs!BP400</f>
        <v>-9000</v>
      </c>
      <c r="AO23" s="10">
        <f>HybridCalcs!BP412</f>
        <v>-9000</v>
      </c>
      <c r="AP23" s="10">
        <f>HybridCalcs!BP424</f>
        <v>-9000</v>
      </c>
      <c r="AQ23" s="10">
        <f>HybridCalcs!BP436</f>
        <v>-9000</v>
      </c>
      <c r="AR23" s="10">
        <f>HybridCalcs!BP448</f>
        <v>-9000</v>
      </c>
      <c r="AS23" s="10">
        <f>HybridCalcs!BP460</f>
        <v>-9000</v>
      </c>
      <c r="AT23" s="10">
        <f>HybridCalcs!BP472</f>
        <v>-9000</v>
      </c>
      <c r="AU23" s="10">
        <f>HybridCalcs!BP484</f>
        <v>-9000</v>
      </c>
    </row>
    <row r="24" spans="1:47" x14ac:dyDescent="0.25">
      <c r="A24" s="3"/>
      <c r="B24" s="46"/>
      <c r="C24" s="46"/>
      <c r="D24" s="46"/>
      <c r="E24" s="41" t="s">
        <v>445</v>
      </c>
      <c r="F24" s="248"/>
      <c r="G24" s="41"/>
      <c r="H24" s="248">
        <f>HybridCalcs!BQ16</f>
        <v>0</v>
      </c>
      <c r="I24" s="248">
        <f>HybridCalcs!BQ28</f>
        <v>0</v>
      </c>
      <c r="J24" s="248">
        <f>HybridCalcs!BQ40</f>
        <v>0</v>
      </c>
      <c r="K24" s="248">
        <f>HybridCalcs!BQ52</f>
        <v>0</v>
      </c>
      <c r="L24" s="248">
        <f>HybridCalcs!BQ64</f>
        <v>0</v>
      </c>
      <c r="M24" s="248">
        <f>HybridCalcs!BQ76</f>
        <v>0</v>
      </c>
      <c r="N24" s="248">
        <f>HybridCalcs!BQ88</f>
        <v>0</v>
      </c>
      <c r="O24" s="248">
        <f>HybridCalcs!BQ100</f>
        <v>0</v>
      </c>
      <c r="P24" s="248">
        <f>HybridCalcs!BQ112</f>
        <v>0</v>
      </c>
      <c r="Q24" s="248">
        <f>HybridCalcs!BQ124</f>
        <v>0</v>
      </c>
      <c r="R24" s="248">
        <f>HybridCalcs!BQ136</f>
        <v>0</v>
      </c>
      <c r="S24" s="248">
        <f>HybridCalcs!BQ148</f>
        <v>0</v>
      </c>
      <c r="T24" s="248">
        <f>HybridCalcs!BQ160</f>
        <v>0</v>
      </c>
      <c r="U24" s="248">
        <f>HybridCalcs!BQ172</f>
        <v>0</v>
      </c>
      <c r="V24" s="248">
        <f>HybridCalcs!BQ184</f>
        <v>-225000</v>
      </c>
      <c r="W24" s="248">
        <f>HybridCalcs!BQ196</f>
        <v>0</v>
      </c>
      <c r="X24" s="248">
        <f>HybridCalcs!BQ208</f>
        <v>0</v>
      </c>
      <c r="Y24" s="248">
        <f>HybridCalcs!BQ220</f>
        <v>0</v>
      </c>
      <c r="Z24" s="248">
        <f>HybridCalcs!BQ232</f>
        <v>0</v>
      </c>
      <c r="AA24" s="248">
        <f>HybridCalcs!BQ244</f>
        <v>0</v>
      </c>
      <c r="AB24" s="248">
        <f>HybridCalcs!BQ256</f>
        <v>0</v>
      </c>
      <c r="AC24" s="248">
        <f>HybridCalcs!BQ268</f>
        <v>0</v>
      </c>
      <c r="AD24" s="248">
        <f>HybridCalcs!BQ280</f>
        <v>0</v>
      </c>
      <c r="AE24" s="248">
        <f>HybridCalcs!BQ292</f>
        <v>0</v>
      </c>
      <c r="AF24" s="248">
        <f>HybridCalcs!BQ304</f>
        <v>0</v>
      </c>
      <c r="AG24" s="248">
        <f>HybridCalcs!BQ316</f>
        <v>0</v>
      </c>
      <c r="AH24" s="248">
        <f>HybridCalcs!BQ328</f>
        <v>0</v>
      </c>
      <c r="AI24" s="248">
        <f>HybridCalcs!BQ340</f>
        <v>0</v>
      </c>
      <c r="AJ24" s="248">
        <f>HybridCalcs!BQ352</f>
        <v>0</v>
      </c>
      <c r="AK24" s="248">
        <f>HybridCalcs!BQ364</f>
        <v>0</v>
      </c>
      <c r="AL24" s="248">
        <f>HybridCalcs!BQ376</f>
        <v>0</v>
      </c>
      <c r="AM24" s="248">
        <f>HybridCalcs!BQ388</f>
        <v>0</v>
      </c>
      <c r="AN24" s="248">
        <f>HybridCalcs!BQ400</f>
        <v>0</v>
      </c>
      <c r="AO24" s="248">
        <f>HybridCalcs!BQ412</f>
        <v>0</v>
      </c>
      <c r="AP24" s="248">
        <f>HybridCalcs!BQ424</f>
        <v>0</v>
      </c>
      <c r="AQ24" s="248">
        <f>HybridCalcs!BQ436</f>
        <v>0</v>
      </c>
      <c r="AR24" s="248">
        <f>HybridCalcs!BQ448</f>
        <v>0</v>
      </c>
      <c r="AS24" s="248">
        <f>HybridCalcs!BQ460</f>
        <v>0</v>
      </c>
      <c r="AT24" s="248">
        <f>HybridCalcs!BQ472</f>
        <v>0</v>
      </c>
      <c r="AU24" s="248">
        <f>HybridCalcs!BQ484</f>
        <v>0</v>
      </c>
    </row>
    <row r="25" spans="1:47" x14ac:dyDescent="0.25">
      <c r="A25" s="3"/>
      <c r="B25" s="3"/>
      <c r="C25" s="3"/>
      <c r="D25" s="3"/>
      <c r="E25" t="s">
        <v>486</v>
      </c>
      <c r="F25" s="10"/>
      <c r="H25" s="10">
        <f>HybridCalcs!BR16</f>
        <v>0</v>
      </c>
      <c r="I25" s="10">
        <f>HybridCalcs!BR28</f>
        <v>0</v>
      </c>
      <c r="J25" s="10">
        <f>HybridCalcs!BR40</f>
        <v>0</v>
      </c>
      <c r="K25" s="10">
        <f>HybridCalcs!BR52</f>
        <v>0</v>
      </c>
      <c r="L25" s="10">
        <f>HybridCalcs!BR64</f>
        <v>0</v>
      </c>
      <c r="M25" s="10">
        <f>HybridCalcs!BR76</f>
        <v>0</v>
      </c>
      <c r="N25" s="10">
        <f>HybridCalcs!BR88</f>
        <v>0</v>
      </c>
      <c r="O25" s="10">
        <f>HybridCalcs!BR100</f>
        <v>0</v>
      </c>
      <c r="P25" s="10">
        <f>HybridCalcs!BR112</f>
        <v>0</v>
      </c>
      <c r="Q25" s="10">
        <f>HybridCalcs!BR124</f>
        <v>0</v>
      </c>
      <c r="R25" s="10">
        <f>HybridCalcs!BR136</f>
        <v>0</v>
      </c>
      <c r="S25" s="10">
        <f>HybridCalcs!BR148</f>
        <v>0</v>
      </c>
      <c r="T25" s="10">
        <f>HybridCalcs!BR160</f>
        <v>0</v>
      </c>
      <c r="U25" s="10">
        <f>HybridCalcs!BR172</f>
        <v>0</v>
      </c>
      <c r="V25" s="10">
        <f>HybridCalcs!BR184</f>
        <v>0</v>
      </c>
      <c r="W25" s="10">
        <f>HybridCalcs!BR196</f>
        <v>0</v>
      </c>
      <c r="X25" s="10">
        <f>HybridCalcs!BR208</f>
        <v>0</v>
      </c>
      <c r="Y25" s="10">
        <f>HybridCalcs!BR220</f>
        <v>0</v>
      </c>
      <c r="Z25" s="10">
        <f>HybridCalcs!BR232</f>
        <v>0</v>
      </c>
      <c r="AA25" s="10">
        <f>HybridCalcs!BR244</f>
        <v>0</v>
      </c>
      <c r="AB25" s="10">
        <f>HybridCalcs!BR256</f>
        <v>0</v>
      </c>
      <c r="AC25" s="10">
        <f>HybridCalcs!BR268</f>
        <v>0</v>
      </c>
      <c r="AD25" s="10">
        <f>HybridCalcs!BR280</f>
        <v>0</v>
      </c>
      <c r="AE25" s="10">
        <f>HybridCalcs!BR292</f>
        <v>0</v>
      </c>
      <c r="AF25" s="10">
        <f>HybridCalcs!BR304</f>
        <v>0</v>
      </c>
      <c r="AG25" s="10">
        <f>HybridCalcs!BR316</f>
        <v>0</v>
      </c>
      <c r="AH25" s="10">
        <f>HybridCalcs!BR328</f>
        <v>0</v>
      </c>
      <c r="AI25" s="10">
        <f>HybridCalcs!BR340</f>
        <v>0</v>
      </c>
      <c r="AJ25" s="10">
        <f>HybridCalcs!BR352</f>
        <v>0</v>
      </c>
      <c r="AK25" s="10">
        <f>HybridCalcs!BR364</f>
        <v>0</v>
      </c>
      <c r="AL25" s="10">
        <f>HybridCalcs!BR376</f>
        <v>0</v>
      </c>
      <c r="AM25" s="10">
        <f>HybridCalcs!BR388</f>
        <v>0</v>
      </c>
      <c r="AN25" s="10">
        <f>HybridCalcs!BR400</f>
        <v>0</v>
      </c>
      <c r="AO25" s="10">
        <f>HybridCalcs!BR412</f>
        <v>0</v>
      </c>
      <c r="AP25" s="10">
        <f>HybridCalcs!BR424</f>
        <v>0</v>
      </c>
      <c r="AQ25" s="10">
        <f>HybridCalcs!BR436</f>
        <v>0</v>
      </c>
      <c r="AR25" s="10">
        <f>HybridCalcs!BR448</f>
        <v>0</v>
      </c>
      <c r="AS25" s="10">
        <f>HybridCalcs!BR460</f>
        <v>0</v>
      </c>
      <c r="AT25" s="10">
        <f>HybridCalcs!BR472</f>
        <v>0</v>
      </c>
      <c r="AU25" s="10">
        <f>HybridCalcs!BR484</f>
        <v>0</v>
      </c>
    </row>
    <row r="26" spans="1:47" x14ac:dyDescent="0.25">
      <c r="A26" s="3"/>
      <c r="B26" s="46"/>
      <c r="C26" s="46"/>
      <c r="D26" s="46"/>
      <c r="E26" s="41" t="s">
        <v>487</v>
      </c>
      <c r="F26" s="248"/>
      <c r="G26" s="41"/>
      <c r="H26" s="248">
        <f>HybridCalcs!BS16</f>
        <v>0</v>
      </c>
      <c r="I26" s="248">
        <f>HybridCalcs!BS28</f>
        <v>0</v>
      </c>
      <c r="J26" s="248">
        <f>HybridCalcs!BS40</f>
        <v>0</v>
      </c>
      <c r="K26" s="248">
        <f>HybridCalcs!BS52</f>
        <v>0</v>
      </c>
      <c r="L26" s="248">
        <f>HybridCalcs!BS64</f>
        <v>0</v>
      </c>
      <c r="M26" s="248">
        <f>HybridCalcs!BS76</f>
        <v>0</v>
      </c>
      <c r="N26" s="248">
        <f>HybridCalcs!BS88</f>
        <v>0</v>
      </c>
      <c r="O26" s="248">
        <f>HybridCalcs!BS100</f>
        <v>0</v>
      </c>
      <c r="P26" s="248">
        <f>HybridCalcs!BS112</f>
        <v>0</v>
      </c>
      <c r="Q26" s="248">
        <f>HybridCalcs!BS124</f>
        <v>0</v>
      </c>
      <c r="R26" s="248">
        <f>HybridCalcs!BS136</f>
        <v>0</v>
      </c>
      <c r="S26" s="248">
        <f>HybridCalcs!BS148</f>
        <v>0</v>
      </c>
      <c r="T26" s="248">
        <f>HybridCalcs!BS160</f>
        <v>0</v>
      </c>
      <c r="U26" s="248">
        <f>HybridCalcs!BS172</f>
        <v>0</v>
      </c>
      <c r="V26" s="248">
        <f>HybridCalcs!BS184</f>
        <v>0</v>
      </c>
      <c r="W26" s="248">
        <f>HybridCalcs!BS196</f>
        <v>0</v>
      </c>
      <c r="X26" s="248">
        <f>HybridCalcs!BS208</f>
        <v>0</v>
      </c>
      <c r="Y26" s="248">
        <f>HybridCalcs!BS220</f>
        <v>0</v>
      </c>
      <c r="Z26" s="248">
        <f>HybridCalcs!BS232</f>
        <v>0</v>
      </c>
      <c r="AA26" s="248">
        <f>HybridCalcs!BS244</f>
        <v>0</v>
      </c>
      <c r="AB26" s="248">
        <f>HybridCalcs!BS256</f>
        <v>0</v>
      </c>
      <c r="AC26" s="248">
        <f>HybridCalcs!BS268</f>
        <v>0</v>
      </c>
      <c r="AD26" s="248">
        <f>HybridCalcs!BS280</f>
        <v>0</v>
      </c>
      <c r="AE26" s="248">
        <f>HybridCalcs!BS292</f>
        <v>0</v>
      </c>
      <c r="AF26" s="248">
        <f>HybridCalcs!BS304</f>
        <v>0</v>
      </c>
      <c r="AG26" s="248">
        <f>HybridCalcs!BS316</f>
        <v>0</v>
      </c>
      <c r="AH26" s="248">
        <f>HybridCalcs!BS328</f>
        <v>0</v>
      </c>
      <c r="AI26" s="248">
        <f>HybridCalcs!BS340</f>
        <v>0</v>
      </c>
      <c r="AJ26" s="248">
        <f>HybridCalcs!BS352</f>
        <v>0</v>
      </c>
      <c r="AK26" s="248">
        <f>HybridCalcs!BS364</f>
        <v>0</v>
      </c>
      <c r="AL26" s="248">
        <f>HybridCalcs!BS376</f>
        <v>0</v>
      </c>
      <c r="AM26" s="248">
        <f>HybridCalcs!BS388</f>
        <v>0</v>
      </c>
      <c r="AN26" s="248">
        <f>HybridCalcs!BS400</f>
        <v>0</v>
      </c>
      <c r="AO26" s="248">
        <f>HybridCalcs!BS412</f>
        <v>0</v>
      </c>
      <c r="AP26" s="248">
        <f>HybridCalcs!BS424</f>
        <v>0</v>
      </c>
      <c r="AQ26" s="248">
        <f>HybridCalcs!BS436</f>
        <v>0</v>
      </c>
      <c r="AR26" s="248">
        <f>HybridCalcs!BS448</f>
        <v>0</v>
      </c>
      <c r="AS26" s="248">
        <f>HybridCalcs!BS460</f>
        <v>0</v>
      </c>
      <c r="AT26" s="248">
        <f>HybridCalcs!BS472</f>
        <v>0</v>
      </c>
      <c r="AU26" s="248">
        <f>HybridCalcs!BS484</f>
        <v>0</v>
      </c>
    </row>
    <row r="27" spans="1:47" x14ac:dyDescent="0.25">
      <c r="A27" s="3"/>
      <c r="B27" s="3"/>
      <c r="C27" s="3"/>
      <c r="D27" s="3"/>
      <c r="E27" t="s">
        <v>446</v>
      </c>
      <c r="F27" s="10"/>
      <c r="H27" s="10">
        <f>HybridCalcs!BT16</f>
        <v>-7500</v>
      </c>
      <c r="I27" s="10">
        <f>HybridCalcs!BT28</f>
        <v>-7500</v>
      </c>
      <c r="J27" s="10">
        <f>HybridCalcs!BT40</f>
        <v>-7500</v>
      </c>
      <c r="K27" s="10">
        <f>HybridCalcs!BT52</f>
        <v>-7500</v>
      </c>
      <c r="L27" s="10">
        <f>HybridCalcs!BT64</f>
        <v>-7500</v>
      </c>
      <c r="M27" s="10">
        <f>HybridCalcs!BT76</f>
        <v>-7500</v>
      </c>
      <c r="N27" s="10">
        <f>HybridCalcs!BT88</f>
        <v>-7500</v>
      </c>
      <c r="O27" s="10">
        <f>HybridCalcs!BT100</f>
        <v>-7500</v>
      </c>
      <c r="P27" s="10">
        <f>HybridCalcs!BT112</f>
        <v>-7500</v>
      </c>
      <c r="Q27" s="10">
        <f>HybridCalcs!BT124</f>
        <v>-7500</v>
      </c>
      <c r="R27" s="10">
        <f>HybridCalcs!BT136</f>
        <v>-7500</v>
      </c>
      <c r="S27" s="10">
        <f>HybridCalcs!BT148</f>
        <v>-7500</v>
      </c>
      <c r="T27" s="10">
        <f>HybridCalcs!BT160</f>
        <v>-7500</v>
      </c>
      <c r="U27" s="10">
        <f>HybridCalcs!BT172</f>
        <v>-7500</v>
      </c>
      <c r="V27" s="10">
        <f>HybridCalcs!BT184</f>
        <v>-7500</v>
      </c>
      <c r="W27" s="10">
        <f>HybridCalcs!BT196</f>
        <v>-7500</v>
      </c>
      <c r="X27" s="10">
        <f>HybridCalcs!BT208</f>
        <v>-7500</v>
      </c>
      <c r="Y27" s="10">
        <f>HybridCalcs!BT220</f>
        <v>-7500</v>
      </c>
      <c r="Z27" s="10">
        <f>HybridCalcs!BT232</f>
        <v>-7500</v>
      </c>
      <c r="AA27" s="10">
        <f>HybridCalcs!BT244</f>
        <v>-7500</v>
      </c>
      <c r="AB27" s="10">
        <f>HybridCalcs!BT256</f>
        <v>-7500</v>
      </c>
      <c r="AC27" s="10">
        <f>HybridCalcs!BT268</f>
        <v>-7500</v>
      </c>
      <c r="AD27" s="10">
        <f>HybridCalcs!BT280</f>
        <v>-7500</v>
      </c>
      <c r="AE27" s="10">
        <f>HybridCalcs!BT292</f>
        <v>-7500</v>
      </c>
      <c r="AF27" s="10">
        <f>HybridCalcs!BT304</f>
        <v>-7500</v>
      </c>
      <c r="AG27" s="10">
        <f>HybridCalcs!BT316</f>
        <v>-7500</v>
      </c>
      <c r="AH27" s="10">
        <f>HybridCalcs!BT328</f>
        <v>-7500</v>
      </c>
      <c r="AI27" s="10">
        <f>HybridCalcs!BT340</f>
        <v>-7500</v>
      </c>
      <c r="AJ27" s="10">
        <f>HybridCalcs!BT352</f>
        <v>-7500</v>
      </c>
      <c r="AK27" s="10">
        <f>HybridCalcs!BT364</f>
        <v>-7500</v>
      </c>
      <c r="AL27" s="10">
        <f>HybridCalcs!BT376</f>
        <v>-7500</v>
      </c>
      <c r="AM27" s="10">
        <f>HybridCalcs!BT388</f>
        <v>-7500</v>
      </c>
      <c r="AN27" s="10">
        <f>HybridCalcs!BT400</f>
        <v>-7500</v>
      </c>
      <c r="AO27" s="10">
        <f>HybridCalcs!BT412</f>
        <v>-7500</v>
      </c>
      <c r="AP27" s="10">
        <f>HybridCalcs!BT424</f>
        <v>-7500</v>
      </c>
      <c r="AQ27" s="10">
        <f>HybridCalcs!BT436</f>
        <v>-7500</v>
      </c>
      <c r="AR27" s="10">
        <f>HybridCalcs!BT448</f>
        <v>-7500</v>
      </c>
      <c r="AS27" s="10">
        <f>HybridCalcs!BT460</f>
        <v>-7500</v>
      </c>
      <c r="AT27" s="10">
        <f>HybridCalcs!BT472</f>
        <v>-7500</v>
      </c>
      <c r="AU27" s="10">
        <f>HybridCalcs!BT484</f>
        <v>-7500</v>
      </c>
    </row>
    <row r="28" spans="1:47" x14ac:dyDescent="0.25">
      <c r="A28" s="3"/>
      <c r="B28" s="46"/>
      <c r="C28" s="46"/>
      <c r="D28" s="46"/>
      <c r="E28" s="42" t="s">
        <v>488</v>
      </c>
      <c r="F28" s="248"/>
      <c r="G28" s="41"/>
      <c r="H28" s="248">
        <f>HybridCalcs!BU16</f>
        <v>0</v>
      </c>
      <c r="I28" s="248">
        <f>HybridCalcs!BU28</f>
        <v>0</v>
      </c>
      <c r="J28" s="248">
        <f>HybridCalcs!BU40</f>
        <v>0</v>
      </c>
      <c r="K28" s="248">
        <f>HybridCalcs!BU52</f>
        <v>0</v>
      </c>
      <c r="L28" s="248">
        <f>HybridCalcs!BU64</f>
        <v>0</v>
      </c>
      <c r="M28" s="248">
        <f>HybridCalcs!BU76</f>
        <v>0</v>
      </c>
      <c r="N28" s="248">
        <f>HybridCalcs!BU88</f>
        <v>0</v>
      </c>
      <c r="O28" s="248">
        <f>HybridCalcs!BU100</f>
        <v>0</v>
      </c>
      <c r="P28" s="248">
        <f>HybridCalcs!BU112</f>
        <v>0</v>
      </c>
      <c r="Q28" s="248">
        <f>HybridCalcs!BU124</f>
        <v>0</v>
      </c>
      <c r="R28" s="248">
        <f>HybridCalcs!BU136</f>
        <v>0</v>
      </c>
      <c r="S28" s="248">
        <f>HybridCalcs!BU148</f>
        <v>0</v>
      </c>
      <c r="T28" s="248">
        <f>HybridCalcs!BU160</f>
        <v>0</v>
      </c>
      <c r="U28" s="248">
        <f>HybridCalcs!BU172</f>
        <v>0</v>
      </c>
      <c r="V28" s="248">
        <f>HybridCalcs!BU184</f>
        <v>0</v>
      </c>
      <c r="W28" s="248">
        <f>HybridCalcs!BU196</f>
        <v>0</v>
      </c>
      <c r="X28" s="248">
        <f>HybridCalcs!BU208</f>
        <v>0</v>
      </c>
      <c r="Y28" s="248">
        <f>HybridCalcs!BU220</f>
        <v>0</v>
      </c>
      <c r="Z28" s="248">
        <f>HybridCalcs!BU232</f>
        <v>0</v>
      </c>
      <c r="AA28" s="248">
        <f>HybridCalcs!BU244</f>
        <v>0</v>
      </c>
      <c r="AB28" s="248">
        <f>HybridCalcs!BU256</f>
        <v>0</v>
      </c>
      <c r="AC28" s="248">
        <f>HybridCalcs!BU268</f>
        <v>0</v>
      </c>
      <c r="AD28" s="248">
        <f>HybridCalcs!BU280</f>
        <v>0</v>
      </c>
      <c r="AE28" s="248">
        <f>HybridCalcs!BU292</f>
        <v>0</v>
      </c>
      <c r="AF28" s="248">
        <f>HybridCalcs!BU304</f>
        <v>0</v>
      </c>
      <c r="AG28" s="248">
        <f>HybridCalcs!BU316</f>
        <v>0</v>
      </c>
      <c r="AH28" s="248">
        <f>HybridCalcs!BU328</f>
        <v>0</v>
      </c>
      <c r="AI28" s="248">
        <f>HybridCalcs!BU340</f>
        <v>0</v>
      </c>
      <c r="AJ28" s="248">
        <f>HybridCalcs!BU352</f>
        <v>0</v>
      </c>
      <c r="AK28" s="248">
        <f>HybridCalcs!BU364</f>
        <v>0</v>
      </c>
      <c r="AL28" s="248">
        <f>HybridCalcs!BU376</f>
        <v>0</v>
      </c>
      <c r="AM28" s="248">
        <f>HybridCalcs!BU388</f>
        <v>0</v>
      </c>
      <c r="AN28" s="248">
        <f>HybridCalcs!BU400</f>
        <v>0</v>
      </c>
      <c r="AO28" s="248">
        <f>HybridCalcs!BU412</f>
        <v>0</v>
      </c>
      <c r="AP28" s="248">
        <f>HybridCalcs!BU424</f>
        <v>0</v>
      </c>
      <c r="AQ28" s="248">
        <f>HybridCalcs!BU436</f>
        <v>0</v>
      </c>
      <c r="AR28" s="248">
        <f>HybridCalcs!BU448</f>
        <v>0</v>
      </c>
      <c r="AS28" s="248">
        <f>HybridCalcs!BU460</f>
        <v>0</v>
      </c>
      <c r="AT28" s="248">
        <f>HybridCalcs!BU472</f>
        <v>0</v>
      </c>
      <c r="AU28" s="248">
        <f>HybridCalcs!BU484</f>
        <v>0</v>
      </c>
    </row>
    <row r="29" spans="1:47" x14ac:dyDescent="0.25">
      <c r="A29" s="3"/>
      <c r="B29" s="3"/>
      <c r="C29" s="3"/>
      <c r="D29" s="3"/>
      <c r="E29" s="9" t="s">
        <v>489</v>
      </c>
      <c r="F29" s="10"/>
      <c r="H29" s="10">
        <f>HybridCalcs!BV16</f>
        <v>0</v>
      </c>
      <c r="I29" s="10">
        <f>HybridCalcs!BV28</f>
        <v>0</v>
      </c>
      <c r="J29" s="10">
        <f>HybridCalcs!BV40</f>
        <v>0</v>
      </c>
      <c r="K29" s="10">
        <f>HybridCalcs!BV52</f>
        <v>0</v>
      </c>
      <c r="L29" s="10">
        <f>HybridCalcs!BV64</f>
        <v>0</v>
      </c>
      <c r="M29" s="10">
        <f>HybridCalcs!BV76</f>
        <v>0</v>
      </c>
      <c r="N29" s="10">
        <f>HybridCalcs!BV88</f>
        <v>0</v>
      </c>
      <c r="O29" s="10">
        <f>HybridCalcs!BV100</f>
        <v>0</v>
      </c>
      <c r="P29" s="10">
        <f>HybridCalcs!BV112</f>
        <v>0</v>
      </c>
      <c r="Q29" s="10">
        <f>HybridCalcs!BV124</f>
        <v>0</v>
      </c>
      <c r="R29" s="10">
        <f>HybridCalcs!BV136</f>
        <v>0</v>
      </c>
      <c r="S29" s="10">
        <f>HybridCalcs!BV148</f>
        <v>0</v>
      </c>
      <c r="T29" s="10">
        <f>HybridCalcs!BV160</f>
        <v>0</v>
      </c>
      <c r="U29" s="10">
        <f>HybridCalcs!BV172</f>
        <v>0</v>
      </c>
      <c r="V29" s="10">
        <f>HybridCalcs!BV184</f>
        <v>0</v>
      </c>
      <c r="W29" s="10">
        <f>HybridCalcs!BV196</f>
        <v>0</v>
      </c>
      <c r="X29" s="10">
        <f>HybridCalcs!BV208</f>
        <v>0</v>
      </c>
      <c r="Y29" s="10">
        <f>HybridCalcs!BV220</f>
        <v>0</v>
      </c>
      <c r="Z29" s="10">
        <f>HybridCalcs!BV232</f>
        <v>0</v>
      </c>
      <c r="AA29" s="10">
        <f>HybridCalcs!BV244</f>
        <v>0</v>
      </c>
      <c r="AB29" s="10">
        <f>HybridCalcs!BV256</f>
        <v>0</v>
      </c>
      <c r="AC29" s="10">
        <f>HybridCalcs!BV268</f>
        <v>0</v>
      </c>
      <c r="AD29" s="10">
        <f>HybridCalcs!BV280</f>
        <v>0</v>
      </c>
      <c r="AE29" s="10">
        <f>HybridCalcs!BV292</f>
        <v>0</v>
      </c>
      <c r="AF29" s="10">
        <f>HybridCalcs!BV304</f>
        <v>0</v>
      </c>
      <c r="AG29" s="10">
        <f>HybridCalcs!BV316</f>
        <v>0</v>
      </c>
      <c r="AH29" s="10">
        <f>HybridCalcs!BV328</f>
        <v>0</v>
      </c>
      <c r="AI29" s="10">
        <f>HybridCalcs!BV340</f>
        <v>0</v>
      </c>
      <c r="AJ29" s="10">
        <f>HybridCalcs!BV352</f>
        <v>0</v>
      </c>
      <c r="AK29" s="10">
        <f>HybridCalcs!BV364</f>
        <v>0</v>
      </c>
      <c r="AL29" s="10">
        <f>HybridCalcs!BV376</f>
        <v>0</v>
      </c>
      <c r="AM29" s="10">
        <f>HybridCalcs!BV388</f>
        <v>0</v>
      </c>
      <c r="AN29" s="10">
        <f>HybridCalcs!BV400</f>
        <v>0</v>
      </c>
      <c r="AO29" s="10">
        <f>HybridCalcs!BV412</f>
        <v>0</v>
      </c>
      <c r="AP29" s="10">
        <f>HybridCalcs!BV424</f>
        <v>0</v>
      </c>
      <c r="AQ29" s="10">
        <f>HybridCalcs!BV436</f>
        <v>0</v>
      </c>
      <c r="AR29" s="10">
        <f>HybridCalcs!BV448</f>
        <v>0</v>
      </c>
      <c r="AS29" s="10">
        <f>HybridCalcs!BV460</f>
        <v>0</v>
      </c>
      <c r="AT29" s="10">
        <f>HybridCalcs!BV472</f>
        <v>0</v>
      </c>
      <c r="AU29" s="10">
        <f>HybridCalcs!BV484</f>
        <v>0</v>
      </c>
    </row>
    <row r="30" spans="1:47" x14ac:dyDescent="0.25">
      <c r="A30" s="3"/>
      <c r="B30" s="46"/>
      <c r="C30" s="46"/>
      <c r="D30" s="46"/>
      <c r="E30" s="42" t="s">
        <v>490</v>
      </c>
      <c r="F30" s="41"/>
      <c r="G30" s="41"/>
      <c r="H30" s="248">
        <f>HybridCalcs!BW16</f>
        <v>0</v>
      </c>
      <c r="I30" s="248">
        <f>HybridCalcs!BW28</f>
        <v>0</v>
      </c>
      <c r="J30" s="248">
        <f>HybridCalcs!BW40</f>
        <v>0</v>
      </c>
      <c r="K30" s="248">
        <f>HybridCalcs!BW52</f>
        <v>0</v>
      </c>
      <c r="L30" s="248">
        <f>HybridCalcs!BW64</f>
        <v>0</v>
      </c>
      <c r="M30" s="248">
        <f>HybridCalcs!BW76</f>
        <v>0</v>
      </c>
      <c r="N30" s="248">
        <f>HybridCalcs!BW88</f>
        <v>0</v>
      </c>
      <c r="O30" s="248">
        <f>HybridCalcs!BW100</f>
        <v>0</v>
      </c>
      <c r="P30" s="248">
        <f>HybridCalcs!BW112</f>
        <v>0</v>
      </c>
      <c r="Q30" s="248">
        <f>HybridCalcs!BW124</f>
        <v>0</v>
      </c>
      <c r="R30" s="248">
        <f>HybridCalcs!BW136</f>
        <v>0</v>
      </c>
      <c r="S30" s="248">
        <f>HybridCalcs!BW148</f>
        <v>0</v>
      </c>
      <c r="T30" s="248">
        <f>HybridCalcs!BW160</f>
        <v>0</v>
      </c>
      <c r="U30" s="248">
        <f>HybridCalcs!BW172</f>
        <v>0</v>
      </c>
      <c r="V30" s="248">
        <f>HybridCalcs!BW184</f>
        <v>0</v>
      </c>
      <c r="W30" s="248">
        <f>HybridCalcs!BW196</f>
        <v>0</v>
      </c>
      <c r="X30" s="248">
        <f>HybridCalcs!BW208</f>
        <v>0</v>
      </c>
      <c r="Y30" s="248">
        <f>HybridCalcs!BW220</f>
        <v>0</v>
      </c>
      <c r="Z30" s="248">
        <f>HybridCalcs!BW232</f>
        <v>0</v>
      </c>
      <c r="AA30" s="248">
        <f>HybridCalcs!BW244</f>
        <v>0</v>
      </c>
      <c r="AB30" s="248">
        <f>HybridCalcs!BW256</f>
        <v>0</v>
      </c>
      <c r="AC30" s="248">
        <f>HybridCalcs!BW268</f>
        <v>0</v>
      </c>
      <c r="AD30" s="248">
        <f>HybridCalcs!BW280</f>
        <v>0</v>
      </c>
      <c r="AE30" s="248">
        <f>HybridCalcs!BW292</f>
        <v>0</v>
      </c>
      <c r="AF30" s="248">
        <f>HybridCalcs!BW304</f>
        <v>0</v>
      </c>
      <c r="AG30" s="248">
        <f>HybridCalcs!BW316</f>
        <v>0</v>
      </c>
      <c r="AH30" s="248">
        <f>HybridCalcs!BW328</f>
        <v>0</v>
      </c>
      <c r="AI30" s="248">
        <f>HybridCalcs!BW340</f>
        <v>0</v>
      </c>
      <c r="AJ30" s="248">
        <f>HybridCalcs!BW352</f>
        <v>0</v>
      </c>
      <c r="AK30" s="248">
        <f>HybridCalcs!BW364</f>
        <v>0</v>
      </c>
      <c r="AL30" s="248">
        <f>HybridCalcs!BW376</f>
        <v>0</v>
      </c>
      <c r="AM30" s="248">
        <f>HybridCalcs!BW388</f>
        <v>0</v>
      </c>
      <c r="AN30" s="248">
        <f>HybridCalcs!BW400</f>
        <v>0</v>
      </c>
      <c r="AO30" s="248">
        <f>HybridCalcs!BW412</f>
        <v>0</v>
      </c>
      <c r="AP30" s="248">
        <f>HybridCalcs!BW424</f>
        <v>0</v>
      </c>
      <c r="AQ30" s="248">
        <f>HybridCalcs!BW436</f>
        <v>0</v>
      </c>
      <c r="AR30" s="248">
        <f>HybridCalcs!BW448</f>
        <v>0</v>
      </c>
      <c r="AS30" s="248">
        <f>HybridCalcs!BW460</f>
        <v>0</v>
      </c>
      <c r="AT30" s="248">
        <f>HybridCalcs!BW472</f>
        <v>0</v>
      </c>
      <c r="AU30" s="248">
        <f>HybridCalcs!BW484</f>
        <v>0</v>
      </c>
    </row>
    <row r="31" spans="1:47" s="3" customFormat="1" x14ac:dyDescent="0.25">
      <c r="D31" s="3" t="s">
        <v>447</v>
      </c>
      <c r="G31" s="153">
        <f>SUM(G22:G30)</f>
        <v>-2325000</v>
      </c>
      <c r="H31" s="153">
        <f t="shared" ref="H31:AU31" si="4">SUM(H22:H30)</f>
        <v>-16500</v>
      </c>
      <c r="I31" s="153">
        <f t="shared" si="4"/>
        <v>-16500</v>
      </c>
      <c r="J31" s="153">
        <f t="shared" si="4"/>
        <v>-16500</v>
      </c>
      <c r="K31" s="153">
        <f t="shared" si="4"/>
        <v>-16500</v>
      </c>
      <c r="L31" s="153">
        <f t="shared" si="4"/>
        <v>-16500</v>
      </c>
      <c r="M31" s="153">
        <f t="shared" si="4"/>
        <v>-16500</v>
      </c>
      <c r="N31" s="153">
        <f t="shared" si="4"/>
        <v>-16500</v>
      </c>
      <c r="O31" s="153">
        <f t="shared" si="4"/>
        <v>-16500</v>
      </c>
      <c r="P31" s="153">
        <f t="shared" si="4"/>
        <v>-16500</v>
      </c>
      <c r="Q31" s="153">
        <f t="shared" si="4"/>
        <v>-16500</v>
      </c>
      <c r="R31" s="153">
        <f t="shared" si="4"/>
        <v>-16500</v>
      </c>
      <c r="S31" s="153">
        <f t="shared" si="4"/>
        <v>-16500</v>
      </c>
      <c r="T31" s="153">
        <f t="shared" si="4"/>
        <v>-16500</v>
      </c>
      <c r="U31" s="153">
        <f t="shared" si="4"/>
        <v>-16500</v>
      </c>
      <c r="V31" s="153">
        <f t="shared" si="4"/>
        <v>-241500</v>
      </c>
      <c r="W31" s="153">
        <f t="shared" si="4"/>
        <v>-16500</v>
      </c>
      <c r="X31" s="153">
        <f t="shared" si="4"/>
        <v>-16500</v>
      </c>
      <c r="Y31" s="153">
        <f t="shared" si="4"/>
        <v>-16500</v>
      </c>
      <c r="Z31" s="153">
        <f t="shared" si="4"/>
        <v>-16500</v>
      </c>
      <c r="AA31" s="153">
        <f t="shared" si="4"/>
        <v>-16500</v>
      </c>
      <c r="AB31" s="153">
        <f t="shared" si="4"/>
        <v>-16500</v>
      </c>
      <c r="AC31" s="153">
        <f t="shared" si="4"/>
        <v>-16500</v>
      </c>
      <c r="AD31" s="153">
        <f t="shared" si="4"/>
        <v>-16500</v>
      </c>
      <c r="AE31" s="153">
        <f t="shared" si="4"/>
        <v>-16500</v>
      </c>
      <c r="AF31" s="153">
        <f t="shared" si="4"/>
        <v>-16500</v>
      </c>
      <c r="AG31" s="153">
        <f t="shared" si="4"/>
        <v>-16500</v>
      </c>
      <c r="AH31" s="153">
        <f t="shared" si="4"/>
        <v>-16500</v>
      </c>
      <c r="AI31" s="153">
        <f t="shared" si="4"/>
        <v>-16500</v>
      </c>
      <c r="AJ31" s="153">
        <f t="shared" si="4"/>
        <v>-16500</v>
      </c>
      <c r="AK31" s="153">
        <f t="shared" si="4"/>
        <v>-16500</v>
      </c>
      <c r="AL31" s="153">
        <f t="shared" si="4"/>
        <v>-16500</v>
      </c>
      <c r="AM31" s="153">
        <f t="shared" si="4"/>
        <v>-16500</v>
      </c>
      <c r="AN31" s="153">
        <f t="shared" si="4"/>
        <v>-16500</v>
      </c>
      <c r="AO31" s="153">
        <f t="shared" si="4"/>
        <v>-16500</v>
      </c>
      <c r="AP31" s="153">
        <f t="shared" si="4"/>
        <v>-16500</v>
      </c>
      <c r="AQ31" s="153">
        <f t="shared" si="4"/>
        <v>-16500</v>
      </c>
      <c r="AR31" s="153">
        <f t="shared" si="4"/>
        <v>-16500</v>
      </c>
      <c r="AS31" s="153">
        <f t="shared" si="4"/>
        <v>-16500</v>
      </c>
      <c r="AT31" s="153">
        <f t="shared" si="4"/>
        <v>-16500</v>
      </c>
      <c r="AU31" s="153">
        <f t="shared" si="4"/>
        <v>-16500</v>
      </c>
    </row>
    <row r="32" spans="1:47" x14ac:dyDescent="0.25">
      <c r="A32" s="3"/>
      <c r="B32" s="46"/>
      <c r="C32" s="46"/>
      <c r="D32" s="46" t="s">
        <v>448</v>
      </c>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x14ac:dyDescent="0.25">
      <c r="A33" s="3"/>
      <c r="B33" s="3"/>
      <c r="C33" s="3"/>
      <c r="D33" s="3"/>
      <c r="E33" t="s">
        <v>449</v>
      </c>
      <c r="H33" s="150">
        <f>HybridCalcs!BC16</f>
        <v>1823304.8887682834</v>
      </c>
      <c r="I33" s="150">
        <f>HybridCalcs!BC28</f>
        <v>1808771.8145938287</v>
      </c>
      <c r="J33" s="150">
        <f>HybridCalcs!BC40</f>
        <v>1794354.5796551821</v>
      </c>
      <c r="K33" s="150">
        <f>HybridCalcs!BC52</f>
        <v>1780052.2606288688</v>
      </c>
      <c r="L33" s="150">
        <f>HybridCalcs!BC64</f>
        <v>1765863.9415509766</v>
      </c>
      <c r="M33" s="150">
        <f>HybridCalcs!BC76</f>
        <v>1751788.713758497</v>
      </c>
      <c r="N33" s="150">
        <f>HybridCalcs!BC88</f>
        <v>1737825.6758311305</v>
      </c>
      <c r="O33" s="150">
        <f>HybridCalcs!BC100</f>
        <v>1723973.9335335563</v>
      </c>
      <c r="P33" s="150">
        <f>HybridCalcs!BC112</f>
        <v>1710232.5997581643</v>
      </c>
      <c r="Q33" s="150">
        <f>HybridCalcs!BC124</f>
        <v>1696600.7944682399</v>
      </c>
      <c r="R33" s="150">
        <f>HybridCalcs!BC136</f>
        <v>1683077.6446416075</v>
      </c>
      <c r="S33" s="150">
        <f>HybridCalcs!BC148</f>
        <v>1669662.2842147138</v>
      </c>
      <c r="T33" s="150">
        <f>HybridCalcs!BC160</f>
        <v>1656353.8540271693</v>
      </c>
      <c r="U33" s="150">
        <f>HybridCalcs!BC172</f>
        <v>1643151.5017667187</v>
      </c>
      <c r="V33" s="150">
        <f>HybridCalcs!BC184</f>
        <v>1630054.3819146603</v>
      </c>
      <c r="W33" s="150">
        <f>HybridCalcs!BC196</f>
        <v>1617061.6556916947</v>
      </c>
      <c r="X33" s="150">
        <f>HybridCalcs!BC208</f>
        <v>1604172.4910042083</v>
      </c>
      <c r="Y33" s="150">
        <f>HybridCalcs!BC220</f>
        <v>1591386.0623909812</v>
      </c>
      <c r="Z33" s="150">
        <f>HybridCalcs!BC232</f>
        <v>1578701.5509703238</v>
      </c>
      <c r="AA33" s="150">
        <f>HybridCalcs!BC244</f>
        <v>1566118.144387634</v>
      </c>
      <c r="AB33" s="150">
        <f>HybridCalcs!BC256</f>
        <v>1553635.0367633677</v>
      </c>
      <c r="AC33" s="150">
        <f>HybridCalcs!BC268</f>
        <v>1541251.4286414334</v>
      </c>
      <c r="AD33" s="150">
        <f>HybridCalcs!BC280</f>
        <v>1528966.5269379881</v>
      </c>
      <c r="AE33" s="150">
        <f>HybridCalcs!BC292</f>
        <v>1516779.5448906471</v>
      </c>
      <c r="AF33" s="150">
        <f>HybridCalcs!BC304</f>
        <v>1504689.7020080981</v>
      </c>
      <c r="AG33" s="150">
        <f>HybridCalcs!BC316</f>
        <v>1492696.2240201167</v>
      </c>
      <c r="AH33" s="150">
        <f>HybridCalcs!BC328</f>
        <v>1480798.3428279769</v>
      </c>
      <c r="AI33" s="150">
        <f>HybridCalcs!BC340</f>
        <v>1468995.2964552627</v>
      </c>
      <c r="AJ33" s="150">
        <f>HybridCalcs!BC352</f>
        <v>1457286.3289990677</v>
      </c>
      <c r="AK33" s="150">
        <f>HybridCalcs!BC364</f>
        <v>1445670.6905815843</v>
      </c>
      <c r="AL33" s="150">
        <f>HybridCalcs!BC376</f>
        <v>1434147.6373020804</v>
      </c>
      <c r="AM33" s="150">
        <f>HybridCalcs!BC388</f>
        <v>1422716.4311892563</v>
      </c>
      <c r="AN33" s="150">
        <f>HybridCalcs!BC400</f>
        <v>1411376.3401539843</v>
      </c>
      <c r="AO33" s="150">
        <f>HybridCalcs!BC412</f>
        <v>1400126.6379424222</v>
      </c>
      <c r="AP33" s="150">
        <f>HybridCalcs!BC424</f>
        <v>1388966.6040895032</v>
      </c>
      <c r="AQ33" s="150">
        <f>HybridCalcs!BC436</f>
        <v>1377895.523872793</v>
      </c>
      <c r="AR33" s="150">
        <f>HybridCalcs!BC448</f>
        <v>1366912.6882667197</v>
      </c>
      <c r="AS33" s="150">
        <f>HybridCalcs!BC460</f>
        <v>1356017.3938971623</v>
      </c>
      <c r="AT33" s="150">
        <f>HybridCalcs!BC472</f>
        <v>1345208.9429964076</v>
      </c>
      <c r="AU33" s="150">
        <f>HybridCalcs!BC484</f>
        <v>1334486.6433584609</v>
      </c>
    </row>
    <row r="34" spans="1:47" x14ac:dyDescent="0.25">
      <c r="A34" s="3"/>
      <c r="B34" s="46"/>
      <c r="C34" s="46"/>
      <c r="D34" s="46"/>
      <c r="E34" s="41" t="s">
        <v>450</v>
      </c>
      <c r="F34" s="253"/>
      <c r="G34" s="41"/>
      <c r="H34" s="254">
        <f>HybridCalcs!BD16</f>
        <v>1823304.8887682834</v>
      </c>
      <c r="I34" s="254">
        <f>HybridCalcs!BD28</f>
        <v>1808771.8145938287</v>
      </c>
      <c r="J34" s="254">
        <f>HybridCalcs!BD40</f>
        <v>1794354.5796551821</v>
      </c>
      <c r="K34" s="254">
        <f>HybridCalcs!BD52</f>
        <v>1780052.2606288688</v>
      </c>
      <c r="L34" s="254">
        <f>HybridCalcs!BD64</f>
        <v>1765863.9415509766</v>
      </c>
      <c r="M34" s="254">
        <f>HybridCalcs!BD76</f>
        <v>1751788.713758497</v>
      </c>
      <c r="N34" s="254">
        <f>HybridCalcs!BD88</f>
        <v>1737825.6758311305</v>
      </c>
      <c r="O34" s="254">
        <f>HybridCalcs!BD100</f>
        <v>1723973.9335335563</v>
      </c>
      <c r="P34" s="254">
        <f>HybridCalcs!BD112</f>
        <v>1710232.5997581643</v>
      </c>
      <c r="Q34" s="254">
        <f>HybridCalcs!BD124</f>
        <v>1696600.7944682399</v>
      </c>
      <c r="R34" s="254">
        <f>HybridCalcs!BD136</f>
        <v>1683077.6446416075</v>
      </c>
      <c r="S34" s="254">
        <f>HybridCalcs!BD148</f>
        <v>1669662.2842147138</v>
      </c>
      <c r="T34" s="254">
        <f>HybridCalcs!BD160</f>
        <v>1656353.8540271693</v>
      </c>
      <c r="U34" s="254">
        <f>HybridCalcs!BD172</f>
        <v>1643151.5017667187</v>
      </c>
      <c r="V34" s="254">
        <f>HybridCalcs!BD184</f>
        <v>1630054.3819146603</v>
      </c>
      <c r="W34" s="254">
        <f>HybridCalcs!BD196</f>
        <v>1617061.6556916947</v>
      </c>
      <c r="X34" s="254">
        <f>HybridCalcs!BD208</f>
        <v>1604172.4910042083</v>
      </c>
      <c r="Y34" s="254">
        <f>HybridCalcs!BD220</f>
        <v>1591386.0623909812</v>
      </c>
      <c r="Z34" s="254">
        <f>HybridCalcs!BD232</f>
        <v>1578701.5509703238</v>
      </c>
      <c r="AA34" s="254">
        <f>HybridCalcs!BD244</f>
        <v>1566118.144387634</v>
      </c>
      <c r="AB34" s="254">
        <f>HybridCalcs!BD256</f>
        <v>1553635.0367633677</v>
      </c>
      <c r="AC34" s="254">
        <f>HybridCalcs!BD268</f>
        <v>1541251.4286414334</v>
      </c>
      <c r="AD34" s="254">
        <f>HybridCalcs!BD280</f>
        <v>1528966.5269379881</v>
      </c>
      <c r="AE34" s="254">
        <f>HybridCalcs!BD292</f>
        <v>1516779.5448906471</v>
      </c>
      <c r="AF34" s="254">
        <f>HybridCalcs!BD304</f>
        <v>1504689.7020080981</v>
      </c>
      <c r="AG34" s="254">
        <f>HybridCalcs!BD316</f>
        <v>1492696.2240201167</v>
      </c>
      <c r="AH34" s="254">
        <f>HybridCalcs!BD328</f>
        <v>1480798.3428279769</v>
      </c>
      <c r="AI34" s="254">
        <f>HybridCalcs!BD340</f>
        <v>1468995.2964552627</v>
      </c>
      <c r="AJ34" s="254">
        <f>HybridCalcs!BD352</f>
        <v>1457286.3289990677</v>
      </c>
      <c r="AK34" s="254">
        <f>HybridCalcs!BD364</f>
        <v>1445670.6905815843</v>
      </c>
      <c r="AL34" s="254">
        <f>HybridCalcs!BD376</f>
        <v>1434147.6373020804</v>
      </c>
      <c r="AM34" s="254">
        <f>HybridCalcs!BD388</f>
        <v>1422716.4311892563</v>
      </c>
      <c r="AN34" s="254">
        <f>HybridCalcs!BD400</f>
        <v>1411376.3401539843</v>
      </c>
      <c r="AO34" s="254">
        <f>HybridCalcs!BD412</f>
        <v>1400126.6379424222</v>
      </c>
      <c r="AP34" s="254">
        <f>HybridCalcs!BD424</f>
        <v>1388966.6040895032</v>
      </c>
      <c r="AQ34" s="254">
        <f>HybridCalcs!BD436</f>
        <v>1377895.523872793</v>
      </c>
      <c r="AR34" s="254">
        <f>HybridCalcs!BD448</f>
        <v>1366912.6882667197</v>
      </c>
      <c r="AS34" s="254">
        <f>HybridCalcs!BD460</f>
        <v>1356017.3938971623</v>
      </c>
      <c r="AT34" s="254">
        <f>HybridCalcs!BD472</f>
        <v>1345208.9429964076</v>
      </c>
      <c r="AU34" s="254">
        <f>HybridCalcs!BD484</f>
        <v>1334486.6433584609</v>
      </c>
    </row>
    <row r="35" spans="1:47" x14ac:dyDescent="0.25">
      <c r="A35" s="3"/>
      <c r="B35" s="3"/>
      <c r="C35" s="3"/>
      <c r="D35" s="3"/>
      <c r="E35" s="140" t="s">
        <v>451</v>
      </c>
      <c r="F35" s="10"/>
      <c r="H35" s="151">
        <f>HybridCalcs!BF16</f>
        <v>7.5965300541213879E-2</v>
      </c>
      <c r="I35" s="151">
        <f>HybridCalcs!BF28</f>
        <v>7.5028226946311755E-2</v>
      </c>
      <c r="J35" s="151">
        <f>HybridCalcs!BF40</f>
        <v>7.5127691152510362E-2</v>
      </c>
      <c r="K35" s="151">
        <f>HybridCalcs!BF52</f>
        <v>7.5878115998166518E-2</v>
      </c>
      <c r="L35" s="151">
        <f>HybridCalcs!BF64</f>
        <v>7.5950366439599487E-2</v>
      </c>
      <c r="M35" s="151">
        <f>HybridCalcs!BF76</f>
        <v>7.6087305280047673E-2</v>
      </c>
      <c r="N35" s="151">
        <f>HybridCalcs!BF88</f>
        <v>7.6535864542804394E-2</v>
      </c>
      <c r="O35" s="151">
        <f>HybridCalcs!BF100</f>
        <v>7.6982989165910107E-2</v>
      </c>
      <c r="P35" s="151">
        <f>HybridCalcs!BF112</f>
        <v>7.9451292012060609E-2</v>
      </c>
      <c r="Q35" s="151">
        <f>HybridCalcs!BF124</f>
        <v>8.0139322461707824E-2</v>
      </c>
      <c r="R35" s="151">
        <f>HybridCalcs!BF136</f>
        <v>8.0758328633592641E-2</v>
      </c>
      <c r="S35" s="151">
        <f>HybridCalcs!BF148</f>
        <v>8.0358632345087277E-2</v>
      </c>
      <c r="T35" s="151">
        <f>HybridCalcs!BF160</f>
        <v>8.0603739109022604E-2</v>
      </c>
      <c r="U35" s="151">
        <f>HybridCalcs!BF172</f>
        <v>8.1291473042801335E-2</v>
      </c>
      <c r="V35" s="151">
        <f>HybridCalcs!BF184</f>
        <v>8.1511322691594043E-2</v>
      </c>
      <c r="W35" s="151">
        <f>HybridCalcs!BF196</f>
        <v>8.1772056019351544E-2</v>
      </c>
      <c r="X35" s="151">
        <f>HybridCalcs!BF208</f>
        <v>8.2134148058886372E-2</v>
      </c>
      <c r="Y35" s="151">
        <f>HybridCalcs!BF220</f>
        <v>8.3348590054429766E-2</v>
      </c>
      <c r="Z35" s="151">
        <f>HybridCalcs!BF232</f>
        <v>8.3619617987009537E-2</v>
      </c>
      <c r="AA35" s="151">
        <f>HybridCalcs!BF244</f>
        <v>8.3481784272323598E-2</v>
      </c>
      <c r="AB35" s="151">
        <f>HybridCalcs!BF256</f>
        <v>8.3376332931343902E-2</v>
      </c>
      <c r="AC35" s="151">
        <f>HybridCalcs!BF268</f>
        <v>8.3285531604918986E-2</v>
      </c>
      <c r="AD35" s="151">
        <f>HybridCalcs!BF280</f>
        <v>8.3169508674233894E-2</v>
      </c>
      <c r="AE35" s="151">
        <f>HybridCalcs!BF292</f>
        <v>8.2693233167724894E-2</v>
      </c>
      <c r="AF35" s="151">
        <f>HybridCalcs!BF304</f>
        <v>8.194902450204164E-2</v>
      </c>
      <c r="AG35" s="151">
        <f>HybridCalcs!BF316</f>
        <v>8.1329219335301683E-2</v>
      </c>
      <c r="AH35" s="151">
        <f>HybridCalcs!BF328</f>
        <v>8.071410194180921E-2</v>
      </c>
      <c r="AI35" s="151">
        <f>HybridCalcs!BF340</f>
        <v>8.0103636866522526E-2</v>
      </c>
      <c r="AJ35" s="151">
        <f>HybridCalcs!BF352</f>
        <v>7.9497788922557128E-2</v>
      </c>
      <c r="AK35" s="151">
        <f>HybridCalcs!BF364</f>
        <v>7.8896523189157505E-2</v>
      </c>
      <c r="AL35" s="151">
        <f>HybridCalcs!BF376</f>
        <v>7.8896523189157505E-2</v>
      </c>
      <c r="AM35" s="151">
        <f>HybridCalcs!BF388</f>
        <v>7.8896523189157505E-2</v>
      </c>
      <c r="AN35" s="151">
        <f>HybridCalcs!BF400</f>
        <v>7.8896523189157505E-2</v>
      </c>
      <c r="AO35" s="151">
        <f>HybridCalcs!BF412</f>
        <v>7.8896523189157505E-2</v>
      </c>
      <c r="AP35" s="151">
        <f>HybridCalcs!BF424</f>
        <v>7.8896523189157505E-2</v>
      </c>
      <c r="AQ35" s="151">
        <f>HybridCalcs!BF436</f>
        <v>7.8896523189157505E-2</v>
      </c>
      <c r="AR35" s="151">
        <f>HybridCalcs!BF448</f>
        <v>7.8896523189157505E-2</v>
      </c>
      <c r="AS35" s="151">
        <f>HybridCalcs!BF460</f>
        <v>7.8896523189157505E-2</v>
      </c>
      <c r="AT35" s="151">
        <f>HybridCalcs!BF472</f>
        <v>7.8896523189157505E-2</v>
      </c>
      <c r="AU35" s="151">
        <f>HybridCalcs!BF484</f>
        <v>7.8896523189157505E-2</v>
      </c>
    </row>
    <row r="36" spans="1:47" x14ac:dyDescent="0.25">
      <c r="A36" s="3"/>
      <c r="B36" s="46"/>
      <c r="C36" s="46"/>
      <c r="D36" s="46"/>
      <c r="E36" s="41" t="s">
        <v>431</v>
      </c>
      <c r="F36" s="248"/>
      <c r="G36" s="41"/>
      <c r="H36" s="248">
        <f>HybridCalcs!BX16</f>
        <v>138507.90385354718</v>
      </c>
      <c r="I36" s="248">
        <f>HybridCalcs!BX28</f>
        <v>135708.94219943791</v>
      </c>
      <c r="J36" s="248">
        <f>HybridCalcs!BX40</f>
        <v>134805.7166784271</v>
      </c>
      <c r="K36" s="248">
        <f>HybridCalcs!BX52</f>
        <v>135067.01191479585</v>
      </c>
      <c r="L36" s="248">
        <f>HybridCalcs!BX64</f>
        <v>134118.01344327218</v>
      </c>
      <c r="M36" s="248">
        <f>HybridCalcs!BX76</f>
        <v>133288.88264988482</v>
      </c>
      <c r="N36" s="248">
        <f>HybridCalcs!BX88</f>
        <v>133005.99052441888</v>
      </c>
      <c r="O36" s="248">
        <f>HybridCalcs!BX100</f>
        <v>132716.66664752521</v>
      </c>
      <c r="P36" s="248">
        <f>HybridCalcs!BX112</f>
        <v>135880.18969193147</v>
      </c>
      <c r="Q36" s="248">
        <f>HybridCalcs!BX124</f>
        <v>135964.43815667994</v>
      </c>
      <c r="R36" s="248">
        <f>HybridCalcs!BX136</f>
        <v>135922.53754181997</v>
      </c>
      <c r="S36" s="248">
        <f>HybridCalcs!BX148</f>
        <v>134171.77763766883</v>
      </c>
      <c r="T36" s="248">
        <f>HybridCalcs!BX160</f>
        <v>133508.31392223004</v>
      </c>
      <c r="U36" s="248">
        <f>HybridCalcs!BX172</f>
        <v>133574.20601110774</v>
      </c>
      <c r="V36" s="248">
        <f>HybridCalcs!BX184</f>
        <v>132867.88872909275</v>
      </c>
      <c r="W36" s="248">
        <f>HybridCalcs!BX196</f>
        <v>132230.45629596664</v>
      </c>
      <c r="X36" s="248">
        <f>HybridCalcs!BX208</f>
        <v>131757.34088813225</v>
      </c>
      <c r="Y36" s="248">
        <f>HybridCalcs!BX220</f>
        <v>132639.78453255908</v>
      </c>
      <c r="Z36" s="248">
        <f>HybridCalcs!BX232</f>
        <v>132010.42060763796</v>
      </c>
      <c r="AA36" s="248">
        <f>HybridCalcs!BX244</f>
        <v>130742.33707474016</v>
      </c>
      <c r="AB36" s="248">
        <f>HybridCalcs!BX256</f>
        <v>129536.39207898329</v>
      </c>
      <c r="AC36" s="248">
        <f>HybridCalcs!BX268</f>
        <v>128363.94457124261</v>
      </c>
      <c r="AD36" s="248">
        <f>HybridCalcs!BX280</f>
        <v>127163.39482478228</v>
      </c>
      <c r="AE36" s="248">
        <f>HybridCalcs!BX292</f>
        <v>125427.40456967791</v>
      </c>
      <c r="AF36" s="248">
        <f>HybridCalcs!BX304</f>
        <v>123307.85325783138</v>
      </c>
      <c r="AG36" s="248">
        <f>HybridCalcs!BX316</f>
        <v>121399.81860430868</v>
      </c>
      <c r="AH36" s="248">
        <f>HybridCalcs!BX328</f>
        <v>119521.30839827948</v>
      </c>
      <c r="AI36" s="248">
        <f>HybridCalcs!BX340</f>
        <v>117671.86578588198</v>
      </c>
      <c r="AJ36" s="248">
        <f>HybridCalcs!BX352</f>
        <v>115851.04098249602</v>
      </c>
      <c r="AK36" s="248">
        <f>HybridCalcs!BX364</f>
        <v>114058.39116335531</v>
      </c>
      <c r="AL36" s="248">
        <f>HybridCalcs!BX376</f>
        <v>113149.26232307903</v>
      </c>
      <c r="AM36" s="248">
        <f>HybridCalcs!BX388</f>
        <v>112247.37990491856</v>
      </c>
      <c r="AN36" s="248">
        <f>HybridCalcs!BX400</f>
        <v>111352.68614958707</v>
      </c>
      <c r="AO36" s="248">
        <f>HybridCalcs!BX412</f>
        <v>110465.12375818148</v>
      </c>
      <c r="AP36" s="248">
        <f>HybridCalcs!BX424</f>
        <v>109584.63588851283</v>
      </c>
      <c r="AQ36" s="248">
        <f>HybridCalcs!BX436</f>
        <v>108711.16615146615</v>
      </c>
      <c r="AR36" s="248">
        <f>HybridCalcs!BX448</f>
        <v>107844.65860738888</v>
      </c>
      <c r="AS36" s="248">
        <f>HybridCalcs!BX460</f>
        <v>106985.0577625084</v>
      </c>
      <c r="AT36" s="248">
        <f>HybridCalcs!BX472</f>
        <v>106132.30856537815</v>
      </c>
      <c r="AU36" s="248">
        <f>HybridCalcs!BX484</f>
        <v>105286.35640335179</v>
      </c>
    </row>
    <row r="37" spans="1:47" x14ac:dyDescent="0.25">
      <c r="A37" s="3"/>
      <c r="B37" s="3"/>
      <c r="C37" s="3"/>
      <c r="D37" s="3"/>
      <c r="E37" t="str">
        <f>BattCalcs!$AS$3</f>
        <v>Load Shift Energy Savings</v>
      </c>
      <c r="F37" s="10"/>
      <c r="H37" s="10">
        <f>HybridCalcs!BY16</f>
        <v>0</v>
      </c>
      <c r="I37" s="10">
        <f>HybridCalcs!BY28</f>
        <v>0</v>
      </c>
      <c r="J37" s="10">
        <f>HybridCalcs!BY40</f>
        <v>0</v>
      </c>
      <c r="K37" s="10">
        <f>HybridCalcs!BY52</f>
        <v>0</v>
      </c>
      <c r="L37" s="10">
        <f>HybridCalcs!BY64</f>
        <v>0</v>
      </c>
      <c r="M37" s="10">
        <f>HybridCalcs!BY76</f>
        <v>0</v>
      </c>
      <c r="N37" s="10">
        <f>HybridCalcs!BY88</f>
        <v>0</v>
      </c>
      <c r="O37" s="10">
        <f>HybridCalcs!BY100</f>
        <v>0</v>
      </c>
      <c r="P37" s="10">
        <f>HybridCalcs!BY112</f>
        <v>0</v>
      </c>
      <c r="Q37" s="10">
        <f>HybridCalcs!BY124</f>
        <v>0</v>
      </c>
      <c r="R37" s="10">
        <f>HybridCalcs!BY136</f>
        <v>0</v>
      </c>
      <c r="S37" s="10">
        <f>HybridCalcs!BY148</f>
        <v>0</v>
      </c>
      <c r="T37" s="10">
        <f>HybridCalcs!BY160</f>
        <v>0</v>
      </c>
      <c r="U37" s="10">
        <f>HybridCalcs!BY172</f>
        <v>0</v>
      </c>
      <c r="V37" s="10">
        <f>HybridCalcs!BY184</f>
        <v>0</v>
      </c>
      <c r="W37" s="10">
        <f>HybridCalcs!BY196</f>
        <v>0</v>
      </c>
      <c r="X37" s="10">
        <f>HybridCalcs!BY208</f>
        <v>0</v>
      </c>
      <c r="Y37" s="10">
        <f>HybridCalcs!BY220</f>
        <v>0</v>
      </c>
      <c r="Z37" s="10">
        <f>HybridCalcs!BY232</f>
        <v>0</v>
      </c>
      <c r="AA37" s="10">
        <f>HybridCalcs!BY244</f>
        <v>0</v>
      </c>
      <c r="AB37" s="10">
        <f>HybridCalcs!BY256</f>
        <v>0</v>
      </c>
      <c r="AC37" s="10">
        <f>HybridCalcs!BY268</f>
        <v>0</v>
      </c>
      <c r="AD37" s="10">
        <f>HybridCalcs!BY280</f>
        <v>0</v>
      </c>
      <c r="AE37" s="10">
        <f>HybridCalcs!BY292</f>
        <v>0</v>
      </c>
      <c r="AF37" s="10">
        <f>HybridCalcs!BY304</f>
        <v>0</v>
      </c>
      <c r="AG37" s="10">
        <f>HybridCalcs!BY316</f>
        <v>0</v>
      </c>
      <c r="AH37" s="10">
        <f>HybridCalcs!BY328</f>
        <v>0</v>
      </c>
      <c r="AI37" s="10">
        <f>HybridCalcs!BY340</f>
        <v>0</v>
      </c>
      <c r="AJ37" s="10">
        <f>HybridCalcs!BY352</f>
        <v>0</v>
      </c>
      <c r="AK37" s="10">
        <f>HybridCalcs!BY364</f>
        <v>0</v>
      </c>
      <c r="AL37" s="10">
        <f>HybridCalcs!BY376</f>
        <v>0</v>
      </c>
      <c r="AM37" s="10">
        <f>HybridCalcs!BY388</f>
        <v>0</v>
      </c>
      <c r="AN37" s="10">
        <f>HybridCalcs!BY400</f>
        <v>0</v>
      </c>
      <c r="AO37" s="10">
        <f>HybridCalcs!BY412</f>
        <v>0</v>
      </c>
      <c r="AP37" s="10">
        <f>HybridCalcs!BY424</f>
        <v>0</v>
      </c>
      <c r="AQ37" s="10">
        <f>HybridCalcs!BY436</f>
        <v>0</v>
      </c>
      <c r="AR37" s="10">
        <f>HybridCalcs!BY448</f>
        <v>0</v>
      </c>
      <c r="AS37" s="10">
        <f>HybridCalcs!BY460</f>
        <v>0</v>
      </c>
      <c r="AT37" s="10">
        <f>HybridCalcs!BY472</f>
        <v>0</v>
      </c>
      <c r="AU37" s="10">
        <f>HybridCalcs!BY484</f>
        <v>0</v>
      </c>
    </row>
    <row r="38" spans="1:47" x14ac:dyDescent="0.25">
      <c r="A38" s="160"/>
      <c r="B38" s="249"/>
      <c r="C38" s="249"/>
      <c r="D38" s="255"/>
      <c r="E38" s="41" t="str">
        <f>BattCalcs!$AT$3</f>
        <v>Peak (Demand) Shaving Savings</v>
      </c>
      <c r="F38" s="248"/>
      <c r="G38" s="41"/>
      <c r="H38" s="248">
        <f>HybridCalcs!BZ16</f>
        <v>0</v>
      </c>
      <c r="I38" s="248">
        <f>HybridCalcs!BZ28</f>
        <v>0</v>
      </c>
      <c r="J38" s="248">
        <f>HybridCalcs!BZ40</f>
        <v>0</v>
      </c>
      <c r="K38" s="248">
        <f>HybridCalcs!BZ52</f>
        <v>0</v>
      </c>
      <c r="L38" s="248">
        <f>HybridCalcs!BZ64</f>
        <v>0</v>
      </c>
      <c r="M38" s="248">
        <f>HybridCalcs!BZ76</f>
        <v>0</v>
      </c>
      <c r="N38" s="248">
        <f>HybridCalcs!BZ88</f>
        <v>0</v>
      </c>
      <c r="O38" s="248">
        <f>HybridCalcs!BZ100</f>
        <v>0</v>
      </c>
      <c r="P38" s="248">
        <f>HybridCalcs!BZ112</f>
        <v>0</v>
      </c>
      <c r="Q38" s="248">
        <f>HybridCalcs!BZ124</f>
        <v>0</v>
      </c>
      <c r="R38" s="248">
        <f>HybridCalcs!BZ136</f>
        <v>0</v>
      </c>
      <c r="S38" s="248">
        <f>HybridCalcs!BZ148</f>
        <v>0</v>
      </c>
      <c r="T38" s="248">
        <f>HybridCalcs!BZ160</f>
        <v>0</v>
      </c>
      <c r="U38" s="248">
        <f>HybridCalcs!BZ172</f>
        <v>0</v>
      </c>
      <c r="V38" s="248">
        <f>HybridCalcs!BZ184</f>
        <v>0</v>
      </c>
      <c r="W38" s="248">
        <f>HybridCalcs!BZ196</f>
        <v>0</v>
      </c>
      <c r="X38" s="248">
        <f>HybridCalcs!BZ208</f>
        <v>0</v>
      </c>
      <c r="Y38" s="248">
        <f>HybridCalcs!BZ220</f>
        <v>0</v>
      </c>
      <c r="Z38" s="248">
        <f>HybridCalcs!BZ232</f>
        <v>0</v>
      </c>
      <c r="AA38" s="248">
        <f>HybridCalcs!BZ244</f>
        <v>0</v>
      </c>
      <c r="AB38" s="248">
        <f>HybridCalcs!BZ256</f>
        <v>0</v>
      </c>
      <c r="AC38" s="248">
        <f>HybridCalcs!BZ268</f>
        <v>0</v>
      </c>
      <c r="AD38" s="248">
        <f>HybridCalcs!BZ280</f>
        <v>0</v>
      </c>
      <c r="AE38" s="248">
        <f>HybridCalcs!BZ292</f>
        <v>0</v>
      </c>
      <c r="AF38" s="248">
        <f>HybridCalcs!BZ304</f>
        <v>0</v>
      </c>
      <c r="AG38" s="248">
        <f>HybridCalcs!BZ316</f>
        <v>0</v>
      </c>
      <c r="AH38" s="248">
        <f>HybridCalcs!BZ328</f>
        <v>0</v>
      </c>
      <c r="AI38" s="248">
        <f>HybridCalcs!BZ340</f>
        <v>0</v>
      </c>
      <c r="AJ38" s="248">
        <f>HybridCalcs!BZ352</f>
        <v>0</v>
      </c>
      <c r="AK38" s="248">
        <f>HybridCalcs!BZ364</f>
        <v>0</v>
      </c>
      <c r="AL38" s="248">
        <f>HybridCalcs!BZ376</f>
        <v>0</v>
      </c>
      <c r="AM38" s="248">
        <f>HybridCalcs!BZ388</f>
        <v>0</v>
      </c>
      <c r="AN38" s="248">
        <f>HybridCalcs!BZ400</f>
        <v>0</v>
      </c>
      <c r="AO38" s="248">
        <f>HybridCalcs!BZ412</f>
        <v>0</v>
      </c>
      <c r="AP38" s="248">
        <f>HybridCalcs!BZ424</f>
        <v>0</v>
      </c>
      <c r="AQ38" s="248">
        <f>HybridCalcs!BZ436</f>
        <v>0</v>
      </c>
      <c r="AR38" s="248">
        <f>HybridCalcs!BZ448</f>
        <v>0</v>
      </c>
      <c r="AS38" s="248">
        <f>HybridCalcs!BZ460</f>
        <v>0</v>
      </c>
      <c r="AT38" s="248">
        <f>HybridCalcs!BZ472</f>
        <v>0</v>
      </c>
      <c r="AU38" s="248">
        <f>HybridCalcs!BZ484</f>
        <v>0</v>
      </c>
    </row>
    <row r="39" spans="1:47" x14ac:dyDescent="0.25">
      <c r="A39" s="3"/>
      <c r="B39" s="3"/>
      <c r="C39" s="3"/>
      <c r="D39" s="3"/>
      <c r="E39" t="str">
        <f>BattCalcs!$AU$3</f>
        <v>Peak (Capacity) Shaving Savings</v>
      </c>
      <c r="F39" s="10"/>
      <c r="H39" s="10">
        <f>HybridCalcs!CA16</f>
        <v>0</v>
      </c>
      <c r="I39" s="10">
        <f>HybridCalcs!CA28</f>
        <v>0</v>
      </c>
      <c r="J39" s="10">
        <f>HybridCalcs!CA40</f>
        <v>0</v>
      </c>
      <c r="K39" s="10">
        <f>HybridCalcs!CA52</f>
        <v>0</v>
      </c>
      <c r="L39" s="10">
        <f>HybridCalcs!CA64</f>
        <v>0</v>
      </c>
      <c r="M39" s="10">
        <f>HybridCalcs!CA76</f>
        <v>0</v>
      </c>
      <c r="N39" s="10">
        <f>HybridCalcs!CA88</f>
        <v>0</v>
      </c>
      <c r="O39" s="10">
        <f>HybridCalcs!CA100</f>
        <v>0</v>
      </c>
      <c r="P39" s="10">
        <f>HybridCalcs!CA112</f>
        <v>0</v>
      </c>
      <c r="Q39" s="10">
        <f>HybridCalcs!CA124</f>
        <v>0</v>
      </c>
      <c r="R39" s="10">
        <f>HybridCalcs!CA136</f>
        <v>0</v>
      </c>
      <c r="S39" s="10">
        <f>HybridCalcs!CA148</f>
        <v>0</v>
      </c>
      <c r="T39" s="10">
        <f>HybridCalcs!CA160</f>
        <v>0</v>
      </c>
      <c r="U39" s="10">
        <f>HybridCalcs!CA172</f>
        <v>0</v>
      </c>
      <c r="V39" s="10">
        <f>HybridCalcs!CA184</f>
        <v>0</v>
      </c>
      <c r="W39" s="10">
        <f>HybridCalcs!CA196</f>
        <v>0</v>
      </c>
      <c r="X39" s="10">
        <f>HybridCalcs!CA208</f>
        <v>0</v>
      </c>
      <c r="Y39" s="10">
        <f>HybridCalcs!CA220</f>
        <v>0</v>
      </c>
      <c r="Z39" s="10">
        <f>HybridCalcs!CA232</f>
        <v>0</v>
      </c>
      <c r="AA39" s="10">
        <f>HybridCalcs!CA244</f>
        <v>0</v>
      </c>
      <c r="AB39" s="10">
        <f>HybridCalcs!CA256</f>
        <v>0</v>
      </c>
      <c r="AC39" s="10">
        <f>HybridCalcs!CA268</f>
        <v>0</v>
      </c>
      <c r="AD39" s="10">
        <f>HybridCalcs!CA280</f>
        <v>0</v>
      </c>
      <c r="AE39" s="10">
        <f>HybridCalcs!CA292</f>
        <v>0</v>
      </c>
      <c r="AF39" s="10">
        <f>HybridCalcs!CA304</f>
        <v>0</v>
      </c>
      <c r="AG39" s="10">
        <f>HybridCalcs!CA316</f>
        <v>0</v>
      </c>
      <c r="AH39" s="10">
        <f>HybridCalcs!CA328</f>
        <v>0</v>
      </c>
      <c r="AI39" s="10">
        <f>HybridCalcs!CA340</f>
        <v>0</v>
      </c>
      <c r="AJ39" s="10">
        <f>HybridCalcs!CA352</f>
        <v>0</v>
      </c>
      <c r="AK39" s="10">
        <f>HybridCalcs!CA364</f>
        <v>0</v>
      </c>
      <c r="AL39" s="10">
        <f>HybridCalcs!CA376</f>
        <v>0</v>
      </c>
      <c r="AM39" s="10">
        <f>HybridCalcs!CA388</f>
        <v>0</v>
      </c>
      <c r="AN39" s="10">
        <f>HybridCalcs!CA400</f>
        <v>0</v>
      </c>
      <c r="AO39" s="10">
        <f>HybridCalcs!CA412</f>
        <v>0</v>
      </c>
      <c r="AP39" s="10">
        <f>HybridCalcs!CA424</f>
        <v>0</v>
      </c>
      <c r="AQ39" s="10">
        <f>HybridCalcs!CA436</f>
        <v>0</v>
      </c>
      <c r="AR39" s="10">
        <f>HybridCalcs!CA448</f>
        <v>0</v>
      </c>
      <c r="AS39" s="10">
        <f>HybridCalcs!CA460</f>
        <v>0</v>
      </c>
      <c r="AT39" s="10">
        <f>HybridCalcs!CA472</f>
        <v>0</v>
      </c>
      <c r="AU39" s="10">
        <f>HybridCalcs!CA484</f>
        <v>0</v>
      </c>
    </row>
    <row r="40" spans="1:47" s="3" customFormat="1" ht="15.75" thickBot="1" x14ac:dyDescent="0.3">
      <c r="B40" s="46"/>
      <c r="C40" s="46"/>
      <c r="D40" s="46" t="s">
        <v>452</v>
      </c>
      <c r="E40" s="46"/>
      <c r="F40" s="46"/>
      <c r="G40" s="46"/>
      <c r="H40" s="251">
        <f>SUM(H36:H39)</f>
        <v>138507.90385354718</v>
      </c>
      <c r="I40" s="251">
        <f t="shared" ref="I40:AU40" si="5">SUM(I36:I39)</f>
        <v>135708.94219943791</v>
      </c>
      <c r="J40" s="251">
        <f t="shared" si="5"/>
        <v>134805.7166784271</v>
      </c>
      <c r="K40" s="251">
        <f t="shared" si="5"/>
        <v>135067.01191479585</v>
      </c>
      <c r="L40" s="251">
        <f t="shared" si="5"/>
        <v>134118.01344327218</v>
      </c>
      <c r="M40" s="251">
        <f t="shared" si="5"/>
        <v>133288.88264988482</v>
      </c>
      <c r="N40" s="251">
        <f t="shared" si="5"/>
        <v>133005.99052441888</v>
      </c>
      <c r="O40" s="251">
        <f t="shared" si="5"/>
        <v>132716.66664752521</v>
      </c>
      <c r="P40" s="251">
        <f t="shared" si="5"/>
        <v>135880.18969193147</v>
      </c>
      <c r="Q40" s="251">
        <f t="shared" si="5"/>
        <v>135964.43815667994</v>
      </c>
      <c r="R40" s="251">
        <f t="shared" si="5"/>
        <v>135922.53754181997</v>
      </c>
      <c r="S40" s="251">
        <f t="shared" si="5"/>
        <v>134171.77763766883</v>
      </c>
      <c r="T40" s="251">
        <f t="shared" si="5"/>
        <v>133508.31392223004</v>
      </c>
      <c r="U40" s="251">
        <f t="shared" si="5"/>
        <v>133574.20601110774</v>
      </c>
      <c r="V40" s="251">
        <f t="shared" si="5"/>
        <v>132867.88872909275</v>
      </c>
      <c r="W40" s="251">
        <f t="shared" si="5"/>
        <v>132230.45629596664</v>
      </c>
      <c r="X40" s="251">
        <f t="shared" si="5"/>
        <v>131757.34088813225</v>
      </c>
      <c r="Y40" s="251">
        <f t="shared" si="5"/>
        <v>132639.78453255908</v>
      </c>
      <c r="Z40" s="251">
        <f t="shared" si="5"/>
        <v>132010.42060763796</v>
      </c>
      <c r="AA40" s="251">
        <f t="shared" si="5"/>
        <v>130742.33707474016</v>
      </c>
      <c r="AB40" s="251">
        <f t="shared" si="5"/>
        <v>129536.39207898329</v>
      </c>
      <c r="AC40" s="251">
        <f t="shared" si="5"/>
        <v>128363.94457124261</v>
      </c>
      <c r="AD40" s="251">
        <f t="shared" si="5"/>
        <v>127163.39482478228</v>
      </c>
      <c r="AE40" s="251">
        <f t="shared" si="5"/>
        <v>125427.40456967791</v>
      </c>
      <c r="AF40" s="251">
        <f t="shared" si="5"/>
        <v>123307.85325783138</v>
      </c>
      <c r="AG40" s="251">
        <f t="shared" si="5"/>
        <v>121399.81860430868</v>
      </c>
      <c r="AH40" s="251">
        <f t="shared" si="5"/>
        <v>119521.30839827948</v>
      </c>
      <c r="AI40" s="251">
        <f t="shared" si="5"/>
        <v>117671.86578588198</v>
      </c>
      <c r="AJ40" s="251">
        <f t="shared" si="5"/>
        <v>115851.04098249602</v>
      </c>
      <c r="AK40" s="251">
        <f t="shared" si="5"/>
        <v>114058.39116335531</v>
      </c>
      <c r="AL40" s="251">
        <f t="shared" si="5"/>
        <v>113149.26232307903</v>
      </c>
      <c r="AM40" s="251">
        <f t="shared" si="5"/>
        <v>112247.37990491856</v>
      </c>
      <c r="AN40" s="251">
        <f t="shared" si="5"/>
        <v>111352.68614958707</v>
      </c>
      <c r="AO40" s="251">
        <f t="shared" si="5"/>
        <v>110465.12375818148</v>
      </c>
      <c r="AP40" s="251">
        <f t="shared" si="5"/>
        <v>109584.63588851283</v>
      </c>
      <c r="AQ40" s="251">
        <f t="shared" si="5"/>
        <v>108711.16615146615</v>
      </c>
      <c r="AR40" s="251">
        <f t="shared" si="5"/>
        <v>107844.65860738888</v>
      </c>
      <c r="AS40" s="251">
        <f t="shared" si="5"/>
        <v>106985.0577625084</v>
      </c>
      <c r="AT40" s="251">
        <f t="shared" si="5"/>
        <v>106132.30856537815</v>
      </c>
      <c r="AU40" s="251">
        <f t="shared" si="5"/>
        <v>105286.35640335179</v>
      </c>
    </row>
    <row r="41" spans="1:47" s="52" customFormat="1" ht="17.25" thickTop="1" thickBot="1" x14ac:dyDescent="0.3">
      <c r="C41" s="52" t="s">
        <v>413</v>
      </c>
      <c r="G41" s="154">
        <f>G31+G40</f>
        <v>-2325000</v>
      </c>
      <c r="H41" s="154">
        <f t="shared" ref="H41:AU41" si="6">H31+H40</f>
        <v>122007.90385354718</v>
      </c>
      <c r="I41" s="154">
        <f t="shared" si="6"/>
        <v>119208.94219943791</v>
      </c>
      <c r="J41" s="154">
        <f t="shared" si="6"/>
        <v>118305.7166784271</v>
      </c>
      <c r="K41" s="154">
        <f t="shared" si="6"/>
        <v>118567.01191479585</v>
      </c>
      <c r="L41" s="154">
        <f t="shared" si="6"/>
        <v>117618.01344327218</v>
      </c>
      <c r="M41" s="154">
        <f t="shared" si="6"/>
        <v>116788.88264988482</v>
      </c>
      <c r="N41" s="154">
        <f t="shared" si="6"/>
        <v>116505.99052441888</v>
      </c>
      <c r="O41" s="154">
        <f t="shared" si="6"/>
        <v>116216.66664752521</v>
      </c>
      <c r="P41" s="154">
        <f t="shared" si="6"/>
        <v>119380.18969193147</v>
      </c>
      <c r="Q41" s="154">
        <f t="shared" si="6"/>
        <v>119464.43815667994</v>
      </c>
      <c r="R41" s="154">
        <f t="shared" si="6"/>
        <v>119422.53754181997</v>
      </c>
      <c r="S41" s="154">
        <f t="shared" si="6"/>
        <v>117671.77763766883</v>
      </c>
      <c r="T41" s="154">
        <f t="shared" si="6"/>
        <v>117008.31392223004</v>
      </c>
      <c r="U41" s="154">
        <f t="shared" si="6"/>
        <v>117074.20601110774</v>
      </c>
      <c r="V41" s="154">
        <f t="shared" si="6"/>
        <v>-108632.11127090725</v>
      </c>
      <c r="W41" s="154">
        <f t="shared" si="6"/>
        <v>115730.45629596664</v>
      </c>
      <c r="X41" s="154">
        <f t="shared" si="6"/>
        <v>115257.34088813225</v>
      </c>
      <c r="Y41" s="154">
        <f t="shared" si="6"/>
        <v>116139.78453255908</v>
      </c>
      <c r="Z41" s="154">
        <f t="shared" si="6"/>
        <v>115510.42060763796</v>
      </c>
      <c r="AA41" s="154">
        <f t="shared" si="6"/>
        <v>114242.33707474016</v>
      </c>
      <c r="AB41" s="154">
        <f t="shared" si="6"/>
        <v>113036.39207898329</v>
      </c>
      <c r="AC41" s="154">
        <f t="shared" si="6"/>
        <v>111863.94457124261</v>
      </c>
      <c r="AD41" s="154">
        <f t="shared" si="6"/>
        <v>110663.39482478228</v>
      </c>
      <c r="AE41" s="154">
        <f t="shared" si="6"/>
        <v>108927.40456967791</v>
      </c>
      <c r="AF41" s="154">
        <f t="shared" si="6"/>
        <v>106807.85325783138</v>
      </c>
      <c r="AG41" s="154">
        <f t="shared" si="6"/>
        <v>104899.81860430868</v>
      </c>
      <c r="AH41" s="154">
        <f t="shared" si="6"/>
        <v>103021.30839827948</v>
      </c>
      <c r="AI41" s="154">
        <f t="shared" si="6"/>
        <v>101171.86578588198</v>
      </c>
      <c r="AJ41" s="154">
        <f t="shared" si="6"/>
        <v>99351.040982496022</v>
      </c>
      <c r="AK41" s="154">
        <f t="shared" si="6"/>
        <v>97558.391163355307</v>
      </c>
      <c r="AL41" s="154">
        <f t="shared" si="6"/>
        <v>96649.262323079034</v>
      </c>
      <c r="AM41" s="154">
        <f t="shared" si="6"/>
        <v>95747.379904918562</v>
      </c>
      <c r="AN41" s="154">
        <f t="shared" si="6"/>
        <v>94852.686149587069</v>
      </c>
      <c r="AO41" s="154">
        <f t="shared" si="6"/>
        <v>93965.123758181478</v>
      </c>
      <c r="AP41" s="154">
        <f t="shared" si="6"/>
        <v>93084.635888512828</v>
      </c>
      <c r="AQ41" s="154">
        <f t="shared" si="6"/>
        <v>92211.166151466154</v>
      </c>
      <c r="AR41" s="154">
        <f t="shared" si="6"/>
        <v>91344.658607388876</v>
      </c>
      <c r="AS41" s="154">
        <f t="shared" si="6"/>
        <v>90485.057762508397</v>
      </c>
      <c r="AT41" s="154">
        <f t="shared" si="6"/>
        <v>89632.308565378145</v>
      </c>
      <c r="AU41" s="154">
        <f t="shared" si="6"/>
        <v>88786.356403351791</v>
      </c>
    </row>
    <row r="42" spans="1:47" s="143" customFormat="1" ht="18.75" x14ac:dyDescent="0.3">
      <c r="B42" s="256" t="s">
        <v>453</v>
      </c>
      <c r="C42" s="256"/>
      <c r="D42" s="256"/>
      <c r="E42" s="256"/>
      <c r="F42" s="256"/>
      <c r="G42" s="257">
        <f>G41+G19</f>
        <v>-2325000</v>
      </c>
      <c r="H42" s="257">
        <f t="shared" ref="H42:AU42" si="7">H41+H19</f>
        <v>149357.47718507142</v>
      </c>
      <c r="I42" s="257">
        <f t="shared" si="7"/>
        <v>146340.51941834533</v>
      </c>
      <c r="J42" s="257">
        <f t="shared" si="7"/>
        <v>141632.32621394447</v>
      </c>
      <c r="K42" s="257">
        <f t="shared" si="7"/>
        <v>141707.69130297113</v>
      </c>
      <c r="L42" s="257">
        <f t="shared" si="7"/>
        <v>140574.2446834349</v>
      </c>
      <c r="M42" s="257">
        <f t="shared" si="7"/>
        <v>139562.13592874529</v>
      </c>
      <c r="N42" s="257">
        <f t="shared" si="7"/>
        <v>139097.72431022357</v>
      </c>
      <c r="O42" s="257">
        <f t="shared" si="7"/>
        <v>138628.32778346143</v>
      </c>
      <c r="P42" s="257">
        <f t="shared" si="7"/>
        <v>141613.21348878762</v>
      </c>
      <c r="Q42" s="257">
        <f t="shared" si="7"/>
        <v>141520.24848476707</v>
      </c>
      <c r="R42" s="257">
        <f t="shared" si="7"/>
        <v>141302.54692216087</v>
      </c>
      <c r="S42" s="257">
        <f t="shared" si="7"/>
        <v>139377.38733246012</v>
      </c>
      <c r="T42" s="257">
        <f t="shared" si="7"/>
        <v>138540.91402458324</v>
      </c>
      <c r="U42" s="257">
        <f t="shared" si="7"/>
        <v>138435.1755340751</v>
      </c>
      <c r="V42" s="257">
        <f t="shared" si="7"/>
        <v>-87441.404306016659</v>
      </c>
      <c r="W42" s="257">
        <f t="shared" si="7"/>
        <v>115730.45629596664</v>
      </c>
      <c r="X42" s="257">
        <f t="shared" si="7"/>
        <v>115257.34088813225</v>
      </c>
      <c r="Y42" s="257">
        <f t="shared" si="7"/>
        <v>116139.78453255908</v>
      </c>
      <c r="Z42" s="257">
        <f t="shared" si="7"/>
        <v>115510.42060763796</v>
      </c>
      <c r="AA42" s="257">
        <f t="shared" si="7"/>
        <v>114242.33707474016</v>
      </c>
      <c r="AB42" s="257">
        <f t="shared" si="7"/>
        <v>113036.39207898329</v>
      </c>
      <c r="AC42" s="257">
        <f t="shared" si="7"/>
        <v>111863.94457124261</v>
      </c>
      <c r="AD42" s="257">
        <f t="shared" si="7"/>
        <v>110663.39482478228</v>
      </c>
      <c r="AE42" s="257">
        <f t="shared" si="7"/>
        <v>108927.40456967791</v>
      </c>
      <c r="AF42" s="257">
        <f t="shared" si="7"/>
        <v>106807.85325783138</v>
      </c>
      <c r="AG42" s="257">
        <f t="shared" si="7"/>
        <v>104899.81860430868</v>
      </c>
      <c r="AH42" s="257">
        <f t="shared" si="7"/>
        <v>103021.30839827948</v>
      </c>
      <c r="AI42" s="257">
        <f t="shared" si="7"/>
        <v>101171.86578588198</v>
      </c>
      <c r="AJ42" s="257">
        <f t="shared" si="7"/>
        <v>99351.040982496022</v>
      </c>
      <c r="AK42" s="257">
        <f t="shared" si="7"/>
        <v>97558.391163355307</v>
      </c>
      <c r="AL42" s="257">
        <f t="shared" si="7"/>
        <v>96649.262323079034</v>
      </c>
      <c r="AM42" s="257">
        <f t="shared" si="7"/>
        <v>95747.379904918562</v>
      </c>
      <c r="AN42" s="257">
        <f t="shared" si="7"/>
        <v>94852.686149587069</v>
      </c>
      <c r="AO42" s="257">
        <f t="shared" si="7"/>
        <v>93965.123758181478</v>
      </c>
      <c r="AP42" s="257">
        <f t="shared" si="7"/>
        <v>93084.635888512828</v>
      </c>
      <c r="AQ42" s="257">
        <f t="shared" si="7"/>
        <v>92211.166151466154</v>
      </c>
      <c r="AR42" s="257">
        <f t="shared" si="7"/>
        <v>91344.658607388876</v>
      </c>
      <c r="AS42" s="257">
        <f t="shared" si="7"/>
        <v>90485.057762508397</v>
      </c>
      <c r="AT42" s="257">
        <f t="shared" si="7"/>
        <v>89632.308565378145</v>
      </c>
      <c r="AU42" s="257">
        <f t="shared" si="7"/>
        <v>88786.356403351791</v>
      </c>
    </row>
    <row r="43" spans="1:47" x14ac:dyDescent="0.25">
      <c r="A43" s="3"/>
      <c r="B43" s="3"/>
      <c r="C43" s="3" t="s">
        <v>454</v>
      </c>
      <c r="D43" s="3"/>
    </row>
    <row r="44" spans="1:47" x14ac:dyDescent="0.25">
      <c r="A44" s="3"/>
      <c r="B44" s="46"/>
      <c r="C44" s="46"/>
      <c r="D44" s="46" t="s">
        <v>455</v>
      </c>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row>
    <row r="45" spans="1:47" x14ac:dyDescent="0.25">
      <c r="A45" s="160"/>
      <c r="B45" s="160"/>
      <c r="C45" s="162"/>
      <c r="D45" s="162"/>
      <c r="E45" s="141" t="s">
        <v>24</v>
      </c>
      <c r="F45" s="10"/>
      <c r="H45" s="10">
        <f>HybridCalcs!CB16</f>
        <v>697500</v>
      </c>
      <c r="I45" s="10">
        <f>HybridCalcs!CB28</f>
        <v>0</v>
      </c>
      <c r="J45" s="10">
        <f>HybridCalcs!CB40</f>
        <v>0</v>
      </c>
      <c r="K45" s="10">
        <f>HybridCalcs!CB52</f>
        <v>0</v>
      </c>
      <c r="L45" s="10">
        <f>HybridCalcs!CB64</f>
        <v>0</v>
      </c>
      <c r="M45" s="10">
        <f>HybridCalcs!CB76</f>
        <v>0</v>
      </c>
      <c r="N45" s="10">
        <f>HybridCalcs!CB88</f>
        <v>0</v>
      </c>
      <c r="O45" s="10">
        <f>HybridCalcs!CB100</f>
        <v>0</v>
      </c>
      <c r="P45" s="10">
        <f>HybridCalcs!CB112</f>
        <v>0</v>
      </c>
      <c r="Q45" s="10">
        <f>HybridCalcs!CB124</f>
        <v>0</v>
      </c>
      <c r="R45" s="10">
        <f>HybridCalcs!CB136</f>
        <v>0</v>
      </c>
      <c r="S45" s="10">
        <f>HybridCalcs!CB148</f>
        <v>0</v>
      </c>
      <c r="T45" s="10">
        <f>HybridCalcs!CB160</f>
        <v>0</v>
      </c>
      <c r="U45" s="10">
        <f>HybridCalcs!CB172</f>
        <v>0</v>
      </c>
      <c r="V45" s="10">
        <f>HybridCalcs!CB184</f>
        <v>0</v>
      </c>
      <c r="W45" s="10">
        <f>HybridCalcs!CB196</f>
        <v>0</v>
      </c>
      <c r="X45" s="10">
        <f>HybridCalcs!CB208</f>
        <v>0</v>
      </c>
      <c r="Y45" s="10">
        <f>HybridCalcs!CB220</f>
        <v>0</v>
      </c>
      <c r="Z45" s="10">
        <f>HybridCalcs!CB232</f>
        <v>0</v>
      </c>
      <c r="AA45" s="10">
        <f>HybridCalcs!CB244</f>
        <v>0</v>
      </c>
      <c r="AB45" s="10">
        <f>HybridCalcs!CB256</f>
        <v>0</v>
      </c>
      <c r="AC45" s="10">
        <f>HybridCalcs!CB268</f>
        <v>0</v>
      </c>
      <c r="AD45" s="10">
        <f>HybridCalcs!CB280</f>
        <v>0</v>
      </c>
      <c r="AE45" s="10">
        <f>HybridCalcs!CB292</f>
        <v>0</v>
      </c>
      <c r="AF45" s="10">
        <f>HybridCalcs!CB304</f>
        <v>0</v>
      </c>
      <c r="AG45" s="10">
        <f>HybridCalcs!CB316</f>
        <v>0</v>
      </c>
      <c r="AH45" s="10">
        <f>HybridCalcs!CB328</f>
        <v>0</v>
      </c>
      <c r="AI45" s="10">
        <f>HybridCalcs!CB340</f>
        <v>0</v>
      </c>
      <c r="AJ45" s="10">
        <f>HybridCalcs!CB352</f>
        <v>0</v>
      </c>
      <c r="AK45" s="10">
        <f>HybridCalcs!CB364</f>
        <v>0</v>
      </c>
      <c r="AL45" s="10">
        <f>HybridCalcs!CB376</f>
        <v>0</v>
      </c>
      <c r="AM45" s="10">
        <f>HybridCalcs!CB388</f>
        <v>0</v>
      </c>
      <c r="AN45" s="10">
        <f>HybridCalcs!CB400</f>
        <v>0</v>
      </c>
      <c r="AO45" s="10">
        <f>HybridCalcs!CB412</f>
        <v>0</v>
      </c>
      <c r="AP45" s="10">
        <f>HybridCalcs!CB424</f>
        <v>0</v>
      </c>
      <c r="AQ45" s="10">
        <f>HybridCalcs!CB436</f>
        <v>0</v>
      </c>
      <c r="AR45" s="10">
        <f>HybridCalcs!CB448</f>
        <v>0</v>
      </c>
      <c r="AS45" s="10">
        <f>HybridCalcs!CB460</f>
        <v>0</v>
      </c>
      <c r="AT45" s="10">
        <f>HybridCalcs!CB472</f>
        <v>0</v>
      </c>
      <c r="AU45" s="10">
        <f>HybridCalcs!CB484</f>
        <v>0</v>
      </c>
    </row>
    <row r="46" spans="1:47" x14ac:dyDescent="0.25">
      <c r="A46" s="160"/>
      <c r="B46" s="249"/>
      <c r="C46" s="255"/>
      <c r="D46" s="255"/>
      <c r="E46" s="258" t="s">
        <v>456</v>
      </c>
      <c r="F46" s="248"/>
      <c r="G46" s="41"/>
      <c r="H46" s="248">
        <f>HybridCalcs!CC16</f>
        <v>249007.50000000003</v>
      </c>
      <c r="I46" s="248">
        <f>HybridCalcs!CC28</f>
        <v>132804</v>
      </c>
      <c r="J46" s="248">
        <f>HybridCalcs!CC40</f>
        <v>33200.999999999935</v>
      </c>
      <c r="K46" s="248">
        <f>HybridCalcs!CC52</f>
        <v>0</v>
      </c>
      <c r="L46" s="248">
        <f>HybridCalcs!CC64</f>
        <v>0</v>
      </c>
      <c r="M46" s="248">
        <f>HybridCalcs!CC76</f>
        <v>0</v>
      </c>
      <c r="N46" s="248">
        <f>HybridCalcs!CC88</f>
        <v>0</v>
      </c>
      <c r="O46" s="248">
        <f>HybridCalcs!CC100</f>
        <v>0</v>
      </c>
      <c r="P46" s="248">
        <f>HybridCalcs!CC112</f>
        <v>0</v>
      </c>
      <c r="Q46" s="248">
        <f>HybridCalcs!CC124</f>
        <v>0</v>
      </c>
      <c r="R46" s="248">
        <f>HybridCalcs!CC136</f>
        <v>0</v>
      </c>
      <c r="S46" s="248">
        <f>HybridCalcs!CC148</f>
        <v>0</v>
      </c>
      <c r="T46" s="248">
        <f>HybridCalcs!CC160</f>
        <v>0</v>
      </c>
      <c r="U46" s="248">
        <f>HybridCalcs!CC172</f>
        <v>0</v>
      </c>
      <c r="V46" s="248">
        <f>HybridCalcs!CC184</f>
        <v>0</v>
      </c>
      <c r="W46" s="248">
        <f>HybridCalcs!CC196</f>
        <v>0</v>
      </c>
      <c r="X46" s="248">
        <f>HybridCalcs!CC208</f>
        <v>0</v>
      </c>
      <c r="Y46" s="248">
        <f>HybridCalcs!CC220</f>
        <v>0</v>
      </c>
      <c r="Z46" s="248">
        <f>HybridCalcs!CC232</f>
        <v>0</v>
      </c>
      <c r="AA46" s="248">
        <f>HybridCalcs!CC244</f>
        <v>0</v>
      </c>
      <c r="AB46" s="248">
        <f>HybridCalcs!CC256</f>
        <v>0</v>
      </c>
      <c r="AC46" s="248">
        <f>HybridCalcs!CC268</f>
        <v>0</v>
      </c>
      <c r="AD46" s="248">
        <f>HybridCalcs!CC280</f>
        <v>0</v>
      </c>
      <c r="AE46" s="248">
        <f>HybridCalcs!CC292</f>
        <v>0</v>
      </c>
      <c r="AF46" s="248">
        <f>HybridCalcs!CC304</f>
        <v>0</v>
      </c>
      <c r="AG46" s="248">
        <f>HybridCalcs!CC316</f>
        <v>0</v>
      </c>
      <c r="AH46" s="248">
        <f>HybridCalcs!CC328</f>
        <v>0</v>
      </c>
      <c r="AI46" s="248">
        <f>HybridCalcs!CC340</f>
        <v>0</v>
      </c>
      <c r="AJ46" s="248">
        <f>HybridCalcs!CC352</f>
        <v>0</v>
      </c>
      <c r="AK46" s="248">
        <f>HybridCalcs!CC364</f>
        <v>0</v>
      </c>
      <c r="AL46" s="248">
        <f>HybridCalcs!CC376</f>
        <v>0</v>
      </c>
      <c r="AM46" s="248">
        <f>HybridCalcs!CC388</f>
        <v>0</v>
      </c>
      <c r="AN46" s="248">
        <f>HybridCalcs!CC400</f>
        <v>0</v>
      </c>
      <c r="AO46" s="248">
        <f>HybridCalcs!CC412</f>
        <v>0</v>
      </c>
      <c r="AP46" s="248">
        <f>HybridCalcs!CC424</f>
        <v>0</v>
      </c>
      <c r="AQ46" s="248">
        <f>HybridCalcs!CC436</f>
        <v>0</v>
      </c>
      <c r="AR46" s="248">
        <f>HybridCalcs!CC448</f>
        <v>0</v>
      </c>
      <c r="AS46" s="248">
        <f>HybridCalcs!CC460</f>
        <v>0</v>
      </c>
      <c r="AT46" s="248">
        <f>HybridCalcs!CC472</f>
        <v>0</v>
      </c>
      <c r="AU46" s="248">
        <f>HybridCalcs!CC484</f>
        <v>0</v>
      </c>
    </row>
    <row r="47" spans="1:47" x14ac:dyDescent="0.25">
      <c r="A47" s="160"/>
      <c r="B47" s="160"/>
      <c r="C47" s="162"/>
      <c r="D47" s="162"/>
      <c r="E47" s="141" t="s">
        <v>505</v>
      </c>
      <c r="F47" s="10"/>
      <c r="H47" s="10">
        <f>HybridCalcs!CD16</f>
        <v>0</v>
      </c>
      <c r="I47" s="10">
        <f>HybridCalcs!CD28</f>
        <v>0</v>
      </c>
      <c r="J47" s="10">
        <f>HybridCalcs!CD40</f>
        <v>0</v>
      </c>
      <c r="K47" s="10">
        <f>HybridCalcs!CD52</f>
        <v>0</v>
      </c>
      <c r="L47" s="10">
        <f>HybridCalcs!CD64</f>
        <v>0</v>
      </c>
      <c r="M47" s="10">
        <f>HybridCalcs!CD76</f>
        <v>0</v>
      </c>
      <c r="N47" s="10">
        <f>HybridCalcs!CD88</f>
        <v>0</v>
      </c>
      <c r="O47" s="10">
        <f>HybridCalcs!CD100</f>
        <v>0</v>
      </c>
      <c r="P47" s="10">
        <f>HybridCalcs!CD112</f>
        <v>0</v>
      </c>
      <c r="Q47" s="10">
        <f>HybridCalcs!CD124</f>
        <v>0</v>
      </c>
      <c r="R47" s="10">
        <f>HybridCalcs!CD136</f>
        <v>0</v>
      </c>
      <c r="S47" s="10">
        <f>HybridCalcs!CD148</f>
        <v>0</v>
      </c>
      <c r="T47" s="10">
        <f>HybridCalcs!CD160</f>
        <v>0</v>
      </c>
      <c r="U47" s="10">
        <f>HybridCalcs!CD172</f>
        <v>0</v>
      </c>
      <c r="V47" s="10">
        <f>HybridCalcs!CD184</f>
        <v>0</v>
      </c>
      <c r="W47" s="10">
        <f>HybridCalcs!CD196</f>
        <v>0</v>
      </c>
      <c r="X47" s="10">
        <f>HybridCalcs!CD208</f>
        <v>0</v>
      </c>
      <c r="Y47" s="10">
        <f>HybridCalcs!CD220</f>
        <v>0</v>
      </c>
      <c r="Z47" s="10">
        <f>HybridCalcs!CD232</f>
        <v>0</v>
      </c>
      <c r="AA47" s="10">
        <f>HybridCalcs!CD244</f>
        <v>0</v>
      </c>
      <c r="AB47" s="10">
        <f>HybridCalcs!CD256</f>
        <v>0</v>
      </c>
      <c r="AC47" s="10">
        <f>HybridCalcs!CD268</f>
        <v>0</v>
      </c>
      <c r="AD47" s="10">
        <f>HybridCalcs!CD280</f>
        <v>0</v>
      </c>
      <c r="AE47" s="10">
        <f>HybridCalcs!CD292</f>
        <v>0</v>
      </c>
      <c r="AF47" s="10">
        <f>HybridCalcs!CD304</f>
        <v>0</v>
      </c>
      <c r="AG47" s="10">
        <f>HybridCalcs!CD316</f>
        <v>0</v>
      </c>
      <c r="AH47" s="10">
        <f>HybridCalcs!CD328</f>
        <v>0</v>
      </c>
      <c r="AI47" s="10">
        <f>HybridCalcs!CD340</f>
        <v>0</v>
      </c>
      <c r="AJ47" s="10">
        <f>HybridCalcs!CD352</f>
        <v>0</v>
      </c>
      <c r="AK47" s="10">
        <f>HybridCalcs!CD364</f>
        <v>0</v>
      </c>
      <c r="AL47" s="10">
        <f>HybridCalcs!CD376</f>
        <v>0</v>
      </c>
      <c r="AM47" s="10">
        <f>HybridCalcs!CD388</f>
        <v>0</v>
      </c>
      <c r="AN47" s="10">
        <f>HybridCalcs!CD400</f>
        <v>0</v>
      </c>
      <c r="AO47" s="10">
        <f>HybridCalcs!CD412</f>
        <v>0</v>
      </c>
      <c r="AP47" s="10">
        <f>HybridCalcs!CD424</f>
        <v>0</v>
      </c>
      <c r="AQ47" s="10">
        <f>HybridCalcs!CD436</f>
        <v>0</v>
      </c>
      <c r="AR47" s="10">
        <f>HybridCalcs!CD448</f>
        <v>0</v>
      </c>
      <c r="AS47" s="10">
        <f>HybridCalcs!CD460</f>
        <v>0</v>
      </c>
      <c r="AT47" s="10">
        <f>HybridCalcs!CD472</f>
        <v>0</v>
      </c>
      <c r="AU47" s="10">
        <f>HybridCalcs!CD484</f>
        <v>0</v>
      </c>
    </row>
    <row r="48" spans="1:47" s="3" customFormat="1" x14ac:dyDescent="0.25">
      <c r="A48" s="162"/>
      <c r="B48" s="255"/>
      <c r="C48" s="255"/>
      <c r="D48" s="255" t="s">
        <v>457</v>
      </c>
      <c r="E48" s="259"/>
      <c r="F48" s="46"/>
      <c r="G48" s="46"/>
      <c r="H48" s="251">
        <f>SUM(H45:H47)</f>
        <v>946507.5</v>
      </c>
      <c r="I48" s="251">
        <f t="shared" ref="I48:AU48" si="8">SUM(I45:I47)</f>
        <v>132804</v>
      </c>
      <c r="J48" s="251">
        <f t="shared" si="8"/>
        <v>33200.999999999935</v>
      </c>
      <c r="K48" s="251">
        <f t="shared" si="8"/>
        <v>0</v>
      </c>
      <c r="L48" s="251">
        <f t="shared" si="8"/>
        <v>0</v>
      </c>
      <c r="M48" s="251">
        <f t="shared" si="8"/>
        <v>0</v>
      </c>
      <c r="N48" s="251">
        <f t="shared" si="8"/>
        <v>0</v>
      </c>
      <c r="O48" s="251">
        <f t="shared" si="8"/>
        <v>0</v>
      </c>
      <c r="P48" s="251">
        <f t="shared" si="8"/>
        <v>0</v>
      </c>
      <c r="Q48" s="251">
        <f t="shared" si="8"/>
        <v>0</v>
      </c>
      <c r="R48" s="251">
        <f t="shared" si="8"/>
        <v>0</v>
      </c>
      <c r="S48" s="251">
        <f t="shared" si="8"/>
        <v>0</v>
      </c>
      <c r="T48" s="251">
        <f t="shared" si="8"/>
        <v>0</v>
      </c>
      <c r="U48" s="251">
        <f t="shared" si="8"/>
        <v>0</v>
      </c>
      <c r="V48" s="251">
        <f t="shared" si="8"/>
        <v>0</v>
      </c>
      <c r="W48" s="251">
        <f t="shared" si="8"/>
        <v>0</v>
      </c>
      <c r="X48" s="251">
        <f t="shared" si="8"/>
        <v>0</v>
      </c>
      <c r="Y48" s="251">
        <f t="shared" si="8"/>
        <v>0</v>
      </c>
      <c r="Z48" s="251">
        <f t="shared" si="8"/>
        <v>0</v>
      </c>
      <c r="AA48" s="251">
        <f t="shared" si="8"/>
        <v>0</v>
      </c>
      <c r="AB48" s="251">
        <f t="shared" si="8"/>
        <v>0</v>
      </c>
      <c r="AC48" s="251">
        <f t="shared" si="8"/>
        <v>0</v>
      </c>
      <c r="AD48" s="251">
        <f t="shared" si="8"/>
        <v>0</v>
      </c>
      <c r="AE48" s="251">
        <f t="shared" si="8"/>
        <v>0</v>
      </c>
      <c r="AF48" s="251">
        <f t="shared" si="8"/>
        <v>0</v>
      </c>
      <c r="AG48" s="251">
        <f t="shared" si="8"/>
        <v>0</v>
      </c>
      <c r="AH48" s="251">
        <f t="shared" si="8"/>
        <v>0</v>
      </c>
      <c r="AI48" s="251">
        <f t="shared" si="8"/>
        <v>0</v>
      </c>
      <c r="AJ48" s="251">
        <f t="shared" si="8"/>
        <v>0</v>
      </c>
      <c r="AK48" s="251">
        <f t="shared" si="8"/>
        <v>0</v>
      </c>
      <c r="AL48" s="251">
        <f t="shared" si="8"/>
        <v>0</v>
      </c>
      <c r="AM48" s="251">
        <f t="shared" si="8"/>
        <v>0</v>
      </c>
      <c r="AN48" s="251">
        <f t="shared" si="8"/>
        <v>0</v>
      </c>
      <c r="AO48" s="251">
        <f t="shared" si="8"/>
        <v>0</v>
      </c>
      <c r="AP48" s="251">
        <f t="shared" si="8"/>
        <v>0</v>
      </c>
      <c r="AQ48" s="251">
        <f t="shared" si="8"/>
        <v>0</v>
      </c>
      <c r="AR48" s="251">
        <f t="shared" si="8"/>
        <v>0</v>
      </c>
      <c r="AS48" s="251">
        <f t="shared" si="8"/>
        <v>0</v>
      </c>
      <c r="AT48" s="251">
        <f t="shared" si="8"/>
        <v>0</v>
      </c>
      <c r="AU48" s="251">
        <f t="shared" si="8"/>
        <v>0</v>
      </c>
    </row>
    <row r="49" spans="1:47" x14ac:dyDescent="0.25">
      <c r="A49" s="163"/>
      <c r="B49" s="163"/>
      <c r="C49" s="164"/>
      <c r="D49" s="164" t="s">
        <v>458</v>
      </c>
      <c r="E49" s="145"/>
    </row>
    <row r="50" spans="1:47" x14ac:dyDescent="0.25">
      <c r="A50" s="160"/>
      <c r="B50" s="249"/>
      <c r="C50" s="255"/>
      <c r="D50" s="255"/>
      <c r="E50" s="258" t="s">
        <v>85</v>
      </c>
      <c r="F50" s="248"/>
      <c r="G50" s="41"/>
      <c r="H50" s="248">
        <f>HybridCalcs!CE16</f>
        <v>0</v>
      </c>
      <c r="I50" s="248">
        <f>HybridCalcs!CE28</f>
        <v>0</v>
      </c>
      <c r="J50" s="248">
        <f>HybridCalcs!CE40</f>
        <v>0</v>
      </c>
      <c r="K50" s="248">
        <f>HybridCalcs!CE52</f>
        <v>0</v>
      </c>
      <c r="L50" s="248">
        <f>HybridCalcs!CE64</f>
        <v>0</v>
      </c>
      <c r="M50" s="248">
        <f>HybridCalcs!CE76</f>
        <v>0</v>
      </c>
      <c r="N50" s="248">
        <f>HybridCalcs!CE88</f>
        <v>0</v>
      </c>
      <c r="O50" s="248">
        <f>HybridCalcs!CE100</f>
        <v>0</v>
      </c>
      <c r="P50" s="248">
        <f>HybridCalcs!CE112</f>
        <v>0</v>
      </c>
      <c r="Q50" s="248">
        <f>HybridCalcs!CE124</f>
        <v>0</v>
      </c>
      <c r="R50" s="248">
        <f>HybridCalcs!CE136</f>
        <v>0</v>
      </c>
      <c r="S50" s="248">
        <f>HybridCalcs!CE148</f>
        <v>0</v>
      </c>
      <c r="T50" s="248">
        <f>HybridCalcs!CE160</f>
        <v>0</v>
      </c>
      <c r="U50" s="248">
        <f>HybridCalcs!CE172</f>
        <v>0</v>
      </c>
      <c r="V50" s="248">
        <f>HybridCalcs!CE184</f>
        <v>0</v>
      </c>
      <c r="W50" s="248">
        <f>HybridCalcs!CE196</f>
        <v>0</v>
      </c>
      <c r="X50" s="248">
        <f>HybridCalcs!CE208</f>
        <v>0</v>
      </c>
      <c r="Y50" s="248">
        <f>HybridCalcs!CE220</f>
        <v>0</v>
      </c>
      <c r="Z50" s="248">
        <f>HybridCalcs!CE232</f>
        <v>0</v>
      </c>
      <c r="AA50" s="248">
        <f>HybridCalcs!CE244</f>
        <v>0</v>
      </c>
      <c r="AB50" s="248">
        <f>HybridCalcs!CE256</f>
        <v>0</v>
      </c>
      <c r="AC50" s="248">
        <f>HybridCalcs!CE268</f>
        <v>0</v>
      </c>
      <c r="AD50" s="248">
        <f>HybridCalcs!CE280</f>
        <v>0</v>
      </c>
      <c r="AE50" s="248">
        <f>HybridCalcs!CE292</f>
        <v>0</v>
      </c>
      <c r="AF50" s="248">
        <f>HybridCalcs!CE304</f>
        <v>0</v>
      </c>
      <c r="AG50" s="248">
        <f>HybridCalcs!CE316</f>
        <v>0</v>
      </c>
      <c r="AH50" s="248">
        <f>HybridCalcs!CE328</f>
        <v>0</v>
      </c>
      <c r="AI50" s="248">
        <f>HybridCalcs!CE340</f>
        <v>0</v>
      </c>
      <c r="AJ50" s="248">
        <f>HybridCalcs!CE352</f>
        <v>0</v>
      </c>
      <c r="AK50" s="248">
        <f>HybridCalcs!CE364</f>
        <v>0</v>
      </c>
      <c r="AL50" s="248">
        <f>HybridCalcs!CE376</f>
        <v>0</v>
      </c>
      <c r="AM50" s="248">
        <f>HybridCalcs!CE388</f>
        <v>0</v>
      </c>
      <c r="AN50" s="248">
        <f>HybridCalcs!CE400</f>
        <v>0</v>
      </c>
      <c r="AO50" s="248">
        <f>HybridCalcs!CE412</f>
        <v>0</v>
      </c>
      <c r="AP50" s="248">
        <f>HybridCalcs!CE424</f>
        <v>0</v>
      </c>
      <c r="AQ50" s="248">
        <f>HybridCalcs!CE436</f>
        <v>0</v>
      </c>
      <c r="AR50" s="248">
        <f>HybridCalcs!CE448</f>
        <v>0</v>
      </c>
      <c r="AS50" s="248">
        <f>HybridCalcs!CE460</f>
        <v>0</v>
      </c>
      <c r="AT50" s="248">
        <f>HybridCalcs!CE472</f>
        <v>0</v>
      </c>
      <c r="AU50" s="248">
        <f>HybridCalcs!CE484</f>
        <v>0</v>
      </c>
    </row>
    <row r="51" spans="1:47" x14ac:dyDescent="0.25">
      <c r="A51" s="160"/>
      <c r="B51" s="160"/>
      <c r="C51" s="162"/>
      <c r="D51" s="162"/>
      <c r="E51" s="141" t="s">
        <v>514</v>
      </c>
      <c r="F51" s="10"/>
      <c r="H51" s="10">
        <f>HybridCalcs!CF16</f>
        <v>-16500</v>
      </c>
      <c r="I51" s="10">
        <f>HybridCalcs!CF28</f>
        <v>-16500</v>
      </c>
      <c r="J51" s="10">
        <f>HybridCalcs!CF40</f>
        <v>-16500</v>
      </c>
      <c r="K51" s="10">
        <f>HybridCalcs!CF52</f>
        <v>-16500</v>
      </c>
      <c r="L51" s="10">
        <f>HybridCalcs!CF64</f>
        <v>-16500</v>
      </c>
      <c r="M51" s="10">
        <f>HybridCalcs!CF76</f>
        <v>-16500</v>
      </c>
      <c r="N51" s="10">
        <f>HybridCalcs!CF88</f>
        <v>-16500</v>
      </c>
      <c r="O51" s="10">
        <f>HybridCalcs!CF100</f>
        <v>-16500</v>
      </c>
      <c r="P51" s="10">
        <f>HybridCalcs!CF112</f>
        <v>-16500</v>
      </c>
      <c r="Q51" s="10">
        <f>HybridCalcs!CF124</f>
        <v>-16500</v>
      </c>
      <c r="R51" s="10">
        <f>HybridCalcs!CF136</f>
        <v>-16500</v>
      </c>
      <c r="S51" s="10">
        <f>HybridCalcs!CF148</f>
        <v>-16500</v>
      </c>
      <c r="T51" s="10">
        <f>HybridCalcs!CF160</f>
        <v>-16500</v>
      </c>
      <c r="U51" s="10">
        <f>HybridCalcs!CF172</f>
        <v>-16500</v>
      </c>
      <c r="V51" s="10">
        <f>HybridCalcs!CF184</f>
        <v>-241500</v>
      </c>
      <c r="W51" s="10">
        <f>HybridCalcs!CF196</f>
        <v>-16500</v>
      </c>
      <c r="X51" s="10">
        <f>HybridCalcs!CF208</f>
        <v>-16500</v>
      </c>
      <c r="Y51" s="10">
        <f>HybridCalcs!CF220</f>
        <v>-16500</v>
      </c>
      <c r="Z51" s="10">
        <f>HybridCalcs!CF232</f>
        <v>-16500</v>
      </c>
      <c r="AA51" s="10">
        <f>HybridCalcs!CF244</f>
        <v>-16500</v>
      </c>
      <c r="AB51" s="10">
        <f>HybridCalcs!CF256</f>
        <v>-16500</v>
      </c>
      <c r="AC51" s="10">
        <f>HybridCalcs!CF268</f>
        <v>-16500</v>
      </c>
      <c r="AD51" s="10">
        <f>HybridCalcs!CF280</f>
        <v>-16500</v>
      </c>
      <c r="AE51" s="10">
        <f>HybridCalcs!CF292</f>
        <v>-16500</v>
      </c>
      <c r="AF51" s="10">
        <f>HybridCalcs!CF304</f>
        <v>-16500</v>
      </c>
      <c r="AG51" s="10">
        <f>HybridCalcs!CF316</f>
        <v>-16500</v>
      </c>
      <c r="AH51" s="10">
        <f>HybridCalcs!CF328</f>
        <v>-16500</v>
      </c>
      <c r="AI51" s="10">
        <f>HybridCalcs!CF340</f>
        <v>-16500</v>
      </c>
      <c r="AJ51" s="10">
        <f>HybridCalcs!CF352</f>
        <v>-16500</v>
      </c>
      <c r="AK51" s="10">
        <f>HybridCalcs!CF364</f>
        <v>-16500</v>
      </c>
      <c r="AL51" s="10">
        <f>HybridCalcs!CF376</f>
        <v>-16500</v>
      </c>
      <c r="AM51" s="10">
        <f>HybridCalcs!CF388</f>
        <v>-16500</v>
      </c>
      <c r="AN51" s="10">
        <f>HybridCalcs!CF400</f>
        <v>-16500</v>
      </c>
      <c r="AO51" s="10">
        <f>HybridCalcs!CF412</f>
        <v>-16500</v>
      </c>
      <c r="AP51" s="10">
        <f>HybridCalcs!CF424</f>
        <v>-16500</v>
      </c>
      <c r="AQ51" s="10">
        <f>HybridCalcs!CF436</f>
        <v>-16500</v>
      </c>
      <c r="AR51" s="10">
        <f>HybridCalcs!CF448</f>
        <v>-16500</v>
      </c>
      <c r="AS51" s="10">
        <f>HybridCalcs!CF460</f>
        <v>-16500</v>
      </c>
      <c r="AT51" s="10">
        <f>HybridCalcs!CF472</f>
        <v>-16500</v>
      </c>
      <c r="AU51" s="10">
        <f>HybridCalcs!CF484</f>
        <v>-16500</v>
      </c>
    </row>
    <row r="52" spans="1:47" s="3" customFormat="1" ht="15.75" thickBot="1" x14ac:dyDescent="0.3">
      <c r="A52" s="162"/>
      <c r="B52" s="255"/>
      <c r="C52" s="255"/>
      <c r="D52" s="255" t="str">
        <f>"Net Income Tax Provision @"&amp;'PV IN'!$E$8*100&amp;"% tax rate"</f>
        <v>Net Income Tax Provision @21% tax rate</v>
      </c>
      <c r="E52" s="259"/>
      <c r="F52" s="46"/>
      <c r="G52" s="46"/>
      <c r="H52" s="260">
        <f>-SUM(H50:H51)*'PV IN'!$E$8</f>
        <v>3465</v>
      </c>
      <c r="I52" s="260">
        <f>-SUM(I50:I51)*'PV IN'!$E$8</f>
        <v>3465</v>
      </c>
      <c r="J52" s="260">
        <f>-SUM(J50:J51)*'PV IN'!$E$8</f>
        <v>3465</v>
      </c>
      <c r="K52" s="260">
        <f>-SUM(K50:K51)*'PV IN'!$E$8</f>
        <v>3465</v>
      </c>
      <c r="L52" s="260">
        <f>-SUM(L50:L51)*'PV IN'!$E$8</f>
        <v>3465</v>
      </c>
      <c r="M52" s="260">
        <f>-SUM(M50:M51)*'PV IN'!$E$8</f>
        <v>3465</v>
      </c>
      <c r="N52" s="260">
        <f>-SUM(N50:N51)*'PV IN'!$E$8</f>
        <v>3465</v>
      </c>
      <c r="O52" s="260">
        <f>-SUM(O50:O51)*'PV IN'!$E$8</f>
        <v>3465</v>
      </c>
      <c r="P52" s="260">
        <f>-SUM(P50:P51)*'PV IN'!$E$8</f>
        <v>3465</v>
      </c>
      <c r="Q52" s="260">
        <f>-SUM(Q50:Q51)*'PV IN'!$E$8</f>
        <v>3465</v>
      </c>
      <c r="R52" s="260">
        <f>-SUM(R50:R51)*'PV IN'!$E$8</f>
        <v>3465</v>
      </c>
      <c r="S52" s="260">
        <f>-SUM(S50:S51)*'PV IN'!$E$8</f>
        <v>3465</v>
      </c>
      <c r="T52" s="260">
        <f>-SUM(T50:T51)*'PV IN'!$E$8</f>
        <v>3465</v>
      </c>
      <c r="U52" s="260">
        <f>-SUM(U50:U51)*'PV IN'!$E$8</f>
        <v>3465</v>
      </c>
      <c r="V52" s="260">
        <f>-SUM(V50:V51)*'PV IN'!$E$8</f>
        <v>50715</v>
      </c>
      <c r="W52" s="260">
        <f>-SUM(W50:W51)*'PV IN'!$E$8</f>
        <v>3465</v>
      </c>
      <c r="X52" s="260">
        <f>-SUM(X50:X51)*'PV IN'!$E$8</f>
        <v>3465</v>
      </c>
      <c r="Y52" s="260">
        <f>-SUM(Y50:Y51)*'PV IN'!$E$8</f>
        <v>3465</v>
      </c>
      <c r="Z52" s="260">
        <f>-SUM(Z50:Z51)*'PV IN'!$E$8</f>
        <v>3465</v>
      </c>
      <c r="AA52" s="260">
        <f>-SUM(AA50:AA51)*'PV IN'!$E$8</f>
        <v>3465</v>
      </c>
      <c r="AB52" s="260">
        <f>-SUM(AB50:AB51)*'PV IN'!$E$8</f>
        <v>3465</v>
      </c>
      <c r="AC52" s="260">
        <f>-SUM(AC50:AC51)*'PV IN'!$E$8</f>
        <v>3465</v>
      </c>
      <c r="AD52" s="260">
        <f>-SUM(AD50:AD51)*'PV IN'!$E$8</f>
        <v>3465</v>
      </c>
      <c r="AE52" s="260">
        <f>-SUM(AE50:AE51)*'PV IN'!$E$8</f>
        <v>3465</v>
      </c>
      <c r="AF52" s="260">
        <f>-SUM(AF50:AF51)*'PV IN'!$E$8</f>
        <v>3465</v>
      </c>
      <c r="AG52" s="260">
        <f>-SUM(AG50:AG51)*'PV IN'!$E$8</f>
        <v>3465</v>
      </c>
      <c r="AH52" s="260">
        <f>-SUM(AH50:AH51)*'PV IN'!$E$8</f>
        <v>3465</v>
      </c>
      <c r="AI52" s="260">
        <f>-SUM(AI50:AI51)*'PV IN'!$E$8</f>
        <v>3465</v>
      </c>
      <c r="AJ52" s="260">
        <f>-SUM(AJ50:AJ51)*'PV IN'!$E$8</f>
        <v>3465</v>
      </c>
      <c r="AK52" s="260">
        <f>-SUM(AK50:AK51)*'PV IN'!$E$8</f>
        <v>3465</v>
      </c>
      <c r="AL52" s="260">
        <f>-SUM(AL50:AL51)*'PV IN'!$E$8</f>
        <v>3465</v>
      </c>
      <c r="AM52" s="260">
        <f>-SUM(AM50:AM51)*'PV IN'!$E$8</f>
        <v>3465</v>
      </c>
      <c r="AN52" s="260">
        <f>-SUM(AN50:AN51)*'PV IN'!$E$8</f>
        <v>3465</v>
      </c>
      <c r="AO52" s="260">
        <f>-SUM(AO50:AO51)*'PV IN'!$E$8</f>
        <v>3465</v>
      </c>
      <c r="AP52" s="260">
        <f>-SUM(AP50:AP51)*'PV IN'!$E$8</f>
        <v>3465</v>
      </c>
      <c r="AQ52" s="260">
        <f>-SUM(AQ50:AQ51)*'PV IN'!$E$8</f>
        <v>3465</v>
      </c>
      <c r="AR52" s="260">
        <f>-SUM(AR50:AR51)*'PV IN'!$E$8</f>
        <v>3465</v>
      </c>
      <c r="AS52" s="260">
        <f>-SUM(AS50:AS51)*'PV IN'!$E$8</f>
        <v>3465</v>
      </c>
      <c r="AT52" s="260">
        <f>-SUM(AT50:AT51)*'PV IN'!$E$8</f>
        <v>3465</v>
      </c>
      <c r="AU52" s="260">
        <f>-SUM(AU50:AU51)*'PV IN'!$E$8</f>
        <v>3465</v>
      </c>
    </row>
    <row r="53" spans="1:47" s="3" customFormat="1" ht="15.75" thickTop="1" x14ac:dyDescent="0.25">
      <c r="C53" s="3" t="s">
        <v>459</v>
      </c>
      <c r="H53" s="155">
        <f>H48+H52</f>
        <v>949972.5</v>
      </c>
      <c r="I53" s="155">
        <f t="shared" ref="I53:AU53" si="9">I48+I52</f>
        <v>136269</v>
      </c>
      <c r="J53" s="155">
        <f t="shared" si="9"/>
        <v>36665.999999999935</v>
      </c>
      <c r="K53" s="155">
        <f t="shared" si="9"/>
        <v>3465</v>
      </c>
      <c r="L53" s="155">
        <f t="shared" si="9"/>
        <v>3465</v>
      </c>
      <c r="M53" s="155">
        <f t="shared" si="9"/>
        <v>3465</v>
      </c>
      <c r="N53" s="155">
        <f t="shared" si="9"/>
        <v>3465</v>
      </c>
      <c r="O53" s="155">
        <f t="shared" si="9"/>
        <v>3465</v>
      </c>
      <c r="P53" s="155">
        <f t="shared" si="9"/>
        <v>3465</v>
      </c>
      <c r="Q53" s="155">
        <f t="shared" si="9"/>
        <v>3465</v>
      </c>
      <c r="R53" s="155">
        <f t="shared" si="9"/>
        <v>3465</v>
      </c>
      <c r="S53" s="155">
        <f t="shared" si="9"/>
        <v>3465</v>
      </c>
      <c r="T53" s="155">
        <f t="shared" si="9"/>
        <v>3465</v>
      </c>
      <c r="U53" s="155">
        <f t="shared" si="9"/>
        <v>3465</v>
      </c>
      <c r="V53" s="155">
        <f t="shared" si="9"/>
        <v>50715</v>
      </c>
      <c r="W53" s="155">
        <f t="shared" si="9"/>
        <v>3465</v>
      </c>
      <c r="X53" s="155">
        <f t="shared" si="9"/>
        <v>3465</v>
      </c>
      <c r="Y53" s="155">
        <f t="shared" si="9"/>
        <v>3465</v>
      </c>
      <c r="Z53" s="155">
        <f t="shared" si="9"/>
        <v>3465</v>
      </c>
      <c r="AA53" s="155">
        <f t="shared" si="9"/>
        <v>3465</v>
      </c>
      <c r="AB53" s="155">
        <f t="shared" si="9"/>
        <v>3465</v>
      </c>
      <c r="AC53" s="155">
        <f t="shared" si="9"/>
        <v>3465</v>
      </c>
      <c r="AD53" s="155">
        <f t="shared" si="9"/>
        <v>3465</v>
      </c>
      <c r="AE53" s="155">
        <f t="shared" si="9"/>
        <v>3465</v>
      </c>
      <c r="AF53" s="155">
        <f t="shared" si="9"/>
        <v>3465</v>
      </c>
      <c r="AG53" s="155">
        <f t="shared" si="9"/>
        <v>3465</v>
      </c>
      <c r="AH53" s="155">
        <f t="shared" si="9"/>
        <v>3465</v>
      </c>
      <c r="AI53" s="155">
        <f t="shared" si="9"/>
        <v>3465</v>
      </c>
      <c r="AJ53" s="155">
        <f t="shared" si="9"/>
        <v>3465</v>
      </c>
      <c r="AK53" s="155">
        <f t="shared" si="9"/>
        <v>3465</v>
      </c>
      <c r="AL53" s="155">
        <f t="shared" si="9"/>
        <v>3465</v>
      </c>
      <c r="AM53" s="155">
        <f t="shared" si="9"/>
        <v>3465</v>
      </c>
      <c r="AN53" s="155">
        <f t="shared" si="9"/>
        <v>3465</v>
      </c>
      <c r="AO53" s="155">
        <f t="shared" si="9"/>
        <v>3465</v>
      </c>
      <c r="AP53" s="155">
        <f t="shared" si="9"/>
        <v>3465</v>
      </c>
      <c r="AQ53" s="155">
        <f t="shared" si="9"/>
        <v>3465</v>
      </c>
      <c r="AR53" s="155">
        <f t="shared" si="9"/>
        <v>3465</v>
      </c>
      <c r="AS53" s="155">
        <f t="shared" si="9"/>
        <v>3465</v>
      </c>
      <c r="AT53" s="155">
        <f t="shared" si="9"/>
        <v>3465</v>
      </c>
      <c r="AU53" s="155">
        <f t="shared" si="9"/>
        <v>3465</v>
      </c>
    </row>
    <row r="54" spans="1:47" x14ac:dyDescent="0.25">
      <c r="A54" s="3"/>
      <c r="B54" s="46"/>
      <c r="C54" s="46" t="s">
        <v>460</v>
      </c>
      <c r="D54" s="46"/>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row>
    <row r="55" spans="1:47" x14ac:dyDescent="0.25">
      <c r="A55" s="3"/>
      <c r="B55" s="3"/>
      <c r="C55" s="3"/>
      <c r="D55" s="3"/>
      <c r="E55" t="s">
        <v>461</v>
      </c>
      <c r="F55" s="10"/>
      <c r="H55" s="10">
        <f>HybridCalcs!CG16</f>
        <v>0</v>
      </c>
      <c r="I55" s="10">
        <f>HybridCalcs!CG28</f>
        <v>0</v>
      </c>
      <c r="J55" s="10">
        <f>HybridCalcs!CG40</f>
        <v>0</v>
      </c>
      <c r="K55" s="10">
        <f>HybridCalcs!CG52</f>
        <v>0</v>
      </c>
      <c r="L55" s="10">
        <f>HybridCalcs!CG64</f>
        <v>0</v>
      </c>
      <c r="M55" s="10">
        <f>HybridCalcs!CG76</f>
        <v>0</v>
      </c>
      <c r="N55" s="10">
        <f>HybridCalcs!CG88</f>
        <v>0</v>
      </c>
      <c r="O55" s="10">
        <f>HybridCalcs!CG100</f>
        <v>0</v>
      </c>
      <c r="P55" s="10">
        <f>HybridCalcs!CG112</f>
        <v>0</v>
      </c>
      <c r="Q55" s="10">
        <f>HybridCalcs!CG124</f>
        <v>0</v>
      </c>
      <c r="R55" s="10">
        <f>HybridCalcs!CG136</f>
        <v>0</v>
      </c>
      <c r="S55" s="10">
        <f>HybridCalcs!CG148</f>
        <v>0</v>
      </c>
      <c r="T55" s="10">
        <f>HybridCalcs!CG160</f>
        <v>0</v>
      </c>
      <c r="U55" s="10">
        <f>HybridCalcs!CG172</f>
        <v>0</v>
      </c>
      <c r="V55" s="10">
        <f>HybridCalcs!CG184</f>
        <v>0</v>
      </c>
      <c r="W55" s="10">
        <f>HybridCalcs!CG196</f>
        <v>0</v>
      </c>
      <c r="X55" s="10">
        <f>HybridCalcs!CG208</f>
        <v>0</v>
      </c>
      <c r="Y55" s="10">
        <f>HybridCalcs!CG220</f>
        <v>0</v>
      </c>
      <c r="Z55" s="10">
        <f>HybridCalcs!CG232</f>
        <v>0</v>
      </c>
      <c r="AA55" s="10">
        <f>HybridCalcs!CG244</f>
        <v>0</v>
      </c>
      <c r="AB55" s="10">
        <f>HybridCalcs!CG256</f>
        <v>0</v>
      </c>
      <c r="AC55" s="10">
        <f>HybridCalcs!CG268</f>
        <v>0</v>
      </c>
      <c r="AD55" s="10">
        <f>HybridCalcs!CG280</f>
        <v>0</v>
      </c>
      <c r="AE55" s="10">
        <f>HybridCalcs!CG292</f>
        <v>0</v>
      </c>
      <c r="AF55" s="10">
        <f>HybridCalcs!CG304</f>
        <v>0</v>
      </c>
      <c r="AG55" s="10">
        <f>HybridCalcs!CG316</f>
        <v>0</v>
      </c>
      <c r="AH55" s="10">
        <f>HybridCalcs!CG328</f>
        <v>0</v>
      </c>
      <c r="AI55" s="10">
        <f>HybridCalcs!CG340</f>
        <v>0</v>
      </c>
      <c r="AJ55" s="10">
        <f>HybridCalcs!CG352</f>
        <v>0</v>
      </c>
      <c r="AK55" s="10">
        <f>HybridCalcs!CG364</f>
        <v>0</v>
      </c>
      <c r="AL55" s="10">
        <f>HybridCalcs!CG376</f>
        <v>0</v>
      </c>
      <c r="AM55" s="10">
        <f>HybridCalcs!CG388</f>
        <v>0</v>
      </c>
      <c r="AN55" s="10">
        <f>HybridCalcs!CG400</f>
        <v>0</v>
      </c>
      <c r="AO55" s="10">
        <f>HybridCalcs!CG412</f>
        <v>0</v>
      </c>
      <c r="AP55" s="10">
        <f>HybridCalcs!CG424</f>
        <v>0</v>
      </c>
      <c r="AQ55" s="10">
        <f>HybridCalcs!CG436</f>
        <v>0</v>
      </c>
      <c r="AR55" s="10">
        <f>HybridCalcs!CG448</f>
        <v>0</v>
      </c>
      <c r="AS55" s="10">
        <f>HybridCalcs!CG460</f>
        <v>0</v>
      </c>
      <c r="AT55" s="10">
        <f>HybridCalcs!CG472</f>
        <v>0</v>
      </c>
      <c r="AU55" s="10">
        <f>HybridCalcs!CG484</f>
        <v>0</v>
      </c>
    </row>
    <row r="56" spans="1:47" x14ac:dyDescent="0.25">
      <c r="A56" s="3"/>
      <c r="B56" s="46"/>
      <c r="C56" s="46"/>
      <c r="D56" s="46"/>
      <c r="E56" s="41" t="s">
        <v>495</v>
      </c>
      <c r="F56" s="248"/>
      <c r="G56" s="41"/>
      <c r="H56" s="248">
        <f>HybridCalcs!CH16</f>
        <v>0</v>
      </c>
      <c r="I56" s="248">
        <f>HybridCalcs!CH28</f>
        <v>0</v>
      </c>
      <c r="J56" s="248">
        <f>HybridCalcs!CH40</f>
        <v>0</v>
      </c>
      <c r="K56" s="248">
        <f>HybridCalcs!CH52</f>
        <v>0</v>
      </c>
      <c r="L56" s="248">
        <f>HybridCalcs!CH64</f>
        <v>0</v>
      </c>
      <c r="M56" s="248">
        <f>HybridCalcs!CH76</f>
        <v>0</v>
      </c>
      <c r="N56" s="248">
        <f>HybridCalcs!CH88</f>
        <v>0</v>
      </c>
      <c r="O56" s="248">
        <f>HybridCalcs!CH100</f>
        <v>0</v>
      </c>
      <c r="P56" s="248">
        <f>HybridCalcs!CH112</f>
        <v>0</v>
      </c>
      <c r="Q56" s="248">
        <f>HybridCalcs!CH124</f>
        <v>0</v>
      </c>
      <c r="R56" s="248">
        <f>HybridCalcs!CH136</f>
        <v>0</v>
      </c>
      <c r="S56" s="248">
        <f>HybridCalcs!CH148</f>
        <v>0</v>
      </c>
      <c r="T56" s="248">
        <f>HybridCalcs!CH160</f>
        <v>0</v>
      </c>
      <c r="U56" s="248">
        <f>HybridCalcs!CH172</f>
        <v>0</v>
      </c>
      <c r="V56" s="248">
        <f>HybridCalcs!CH184</f>
        <v>0</v>
      </c>
      <c r="W56" s="248">
        <f>HybridCalcs!CH196</f>
        <v>0</v>
      </c>
      <c r="X56" s="248">
        <f>HybridCalcs!CH208</f>
        <v>0</v>
      </c>
      <c r="Y56" s="248">
        <f>HybridCalcs!CH220</f>
        <v>0</v>
      </c>
      <c r="Z56" s="248">
        <f>HybridCalcs!CH232</f>
        <v>0</v>
      </c>
      <c r="AA56" s="248">
        <f>HybridCalcs!CH244</f>
        <v>0</v>
      </c>
      <c r="AB56" s="248">
        <f>HybridCalcs!CH256</f>
        <v>0</v>
      </c>
      <c r="AC56" s="248">
        <f>HybridCalcs!CH268</f>
        <v>0</v>
      </c>
      <c r="AD56" s="248">
        <f>HybridCalcs!CH280</f>
        <v>0</v>
      </c>
      <c r="AE56" s="248">
        <f>HybridCalcs!CH292</f>
        <v>0</v>
      </c>
      <c r="AF56" s="248">
        <f>HybridCalcs!CH304</f>
        <v>0</v>
      </c>
      <c r="AG56" s="248">
        <f>HybridCalcs!CH316</f>
        <v>0</v>
      </c>
      <c r="AH56" s="248">
        <f>HybridCalcs!CH328</f>
        <v>0</v>
      </c>
      <c r="AI56" s="248">
        <f>HybridCalcs!CH340</f>
        <v>0</v>
      </c>
      <c r="AJ56" s="248">
        <f>HybridCalcs!CH352</f>
        <v>0</v>
      </c>
      <c r="AK56" s="248">
        <f>HybridCalcs!CH364</f>
        <v>0</v>
      </c>
      <c r="AL56" s="248">
        <f>HybridCalcs!CH376</f>
        <v>0</v>
      </c>
      <c r="AM56" s="248">
        <f>HybridCalcs!CH388</f>
        <v>0</v>
      </c>
      <c r="AN56" s="248">
        <f>HybridCalcs!CH400</f>
        <v>0</v>
      </c>
      <c r="AO56" s="248">
        <f>HybridCalcs!CH412</f>
        <v>0</v>
      </c>
      <c r="AP56" s="248">
        <f>HybridCalcs!CH424</f>
        <v>0</v>
      </c>
      <c r="AQ56" s="248">
        <f>HybridCalcs!CH436</f>
        <v>0</v>
      </c>
      <c r="AR56" s="248">
        <f>HybridCalcs!CH448</f>
        <v>0</v>
      </c>
      <c r="AS56" s="248">
        <f>HybridCalcs!CH460</f>
        <v>0</v>
      </c>
      <c r="AT56" s="248">
        <f>HybridCalcs!CH472</f>
        <v>0</v>
      </c>
      <c r="AU56" s="248">
        <f>HybridCalcs!CH484</f>
        <v>0</v>
      </c>
    </row>
    <row r="57" spans="1:47" s="3" customFormat="1" ht="15.75" thickBot="1" x14ac:dyDescent="0.3">
      <c r="C57" s="3" t="s">
        <v>462</v>
      </c>
      <c r="H57" s="152">
        <f>SUM(H55:H56)</f>
        <v>0</v>
      </c>
      <c r="I57" s="152">
        <f t="shared" ref="I57:AU57" si="10">SUM(I55:I56)</f>
        <v>0</v>
      </c>
      <c r="J57" s="152">
        <f t="shared" si="10"/>
        <v>0</v>
      </c>
      <c r="K57" s="152">
        <f t="shared" si="10"/>
        <v>0</v>
      </c>
      <c r="L57" s="152">
        <f t="shared" si="10"/>
        <v>0</v>
      </c>
      <c r="M57" s="152">
        <f t="shared" si="10"/>
        <v>0</v>
      </c>
      <c r="N57" s="152">
        <f t="shared" si="10"/>
        <v>0</v>
      </c>
      <c r="O57" s="152">
        <f t="shared" si="10"/>
        <v>0</v>
      </c>
      <c r="P57" s="152">
        <f t="shared" si="10"/>
        <v>0</v>
      </c>
      <c r="Q57" s="152">
        <f t="shared" si="10"/>
        <v>0</v>
      </c>
      <c r="R57" s="152">
        <f t="shared" si="10"/>
        <v>0</v>
      </c>
      <c r="S57" s="152">
        <f t="shared" si="10"/>
        <v>0</v>
      </c>
      <c r="T57" s="152">
        <f t="shared" si="10"/>
        <v>0</v>
      </c>
      <c r="U57" s="152">
        <f t="shared" si="10"/>
        <v>0</v>
      </c>
      <c r="V57" s="152">
        <f t="shared" si="10"/>
        <v>0</v>
      </c>
      <c r="W57" s="152">
        <f t="shared" si="10"/>
        <v>0</v>
      </c>
      <c r="X57" s="152">
        <f t="shared" si="10"/>
        <v>0</v>
      </c>
      <c r="Y57" s="152">
        <f t="shared" si="10"/>
        <v>0</v>
      </c>
      <c r="Z57" s="152">
        <f t="shared" si="10"/>
        <v>0</v>
      </c>
      <c r="AA57" s="152">
        <f t="shared" si="10"/>
        <v>0</v>
      </c>
      <c r="AB57" s="152">
        <f t="shared" si="10"/>
        <v>0</v>
      </c>
      <c r="AC57" s="152">
        <f t="shared" si="10"/>
        <v>0</v>
      </c>
      <c r="AD57" s="152">
        <f t="shared" si="10"/>
        <v>0</v>
      </c>
      <c r="AE57" s="152">
        <f t="shared" si="10"/>
        <v>0</v>
      </c>
      <c r="AF57" s="152">
        <f t="shared" si="10"/>
        <v>0</v>
      </c>
      <c r="AG57" s="152">
        <f t="shared" si="10"/>
        <v>0</v>
      </c>
      <c r="AH57" s="152">
        <f t="shared" si="10"/>
        <v>0</v>
      </c>
      <c r="AI57" s="152">
        <f t="shared" si="10"/>
        <v>0</v>
      </c>
      <c r="AJ57" s="152">
        <f t="shared" si="10"/>
        <v>0</v>
      </c>
      <c r="AK57" s="152">
        <f t="shared" si="10"/>
        <v>0</v>
      </c>
      <c r="AL57" s="152">
        <f t="shared" si="10"/>
        <v>0</v>
      </c>
      <c r="AM57" s="152">
        <f t="shared" si="10"/>
        <v>0</v>
      </c>
      <c r="AN57" s="152">
        <f t="shared" si="10"/>
        <v>0</v>
      </c>
      <c r="AO57" s="152">
        <f t="shared" si="10"/>
        <v>0</v>
      </c>
      <c r="AP57" s="152">
        <f t="shared" si="10"/>
        <v>0</v>
      </c>
      <c r="AQ57" s="152">
        <f t="shared" si="10"/>
        <v>0</v>
      </c>
      <c r="AR57" s="152">
        <f t="shared" si="10"/>
        <v>0</v>
      </c>
      <c r="AS57" s="152">
        <f t="shared" si="10"/>
        <v>0</v>
      </c>
      <c r="AT57" s="152">
        <f t="shared" si="10"/>
        <v>0</v>
      </c>
      <c r="AU57" s="152">
        <f t="shared" si="10"/>
        <v>0</v>
      </c>
    </row>
    <row r="58" spans="1:47" s="52" customFormat="1" ht="17.25" thickTop="1" thickBot="1" x14ac:dyDescent="0.3">
      <c r="B58" s="246"/>
      <c r="C58" s="246" t="s">
        <v>504</v>
      </c>
      <c r="D58" s="246"/>
      <c r="E58" s="246"/>
      <c r="F58" s="246"/>
      <c r="G58" s="246"/>
      <c r="H58" s="261">
        <f>H53+H57</f>
        <v>949972.5</v>
      </c>
      <c r="I58" s="261">
        <f t="shared" ref="I58:AU58" si="11">I53+I57</f>
        <v>136269</v>
      </c>
      <c r="J58" s="261">
        <f t="shared" si="11"/>
        <v>36665.999999999935</v>
      </c>
      <c r="K58" s="261">
        <f t="shared" si="11"/>
        <v>3465</v>
      </c>
      <c r="L58" s="261">
        <f t="shared" si="11"/>
        <v>3465</v>
      </c>
      <c r="M58" s="261">
        <f t="shared" si="11"/>
        <v>3465</v>
      </c>
      <c r="N58" s="261">
        <f t="shared" si="11"/>
        <v>3465</v>
      </c>
      <c r="O58" s="261">
        <f t="shared" si="11"/>
        <v>3465</v>
      </c>
      <c r="P58" s="261">
        <f t="shared" si="11"/>
        <v>3465</v>
      </c>
      <c r="Q58" s="261">
        <f t="shared" si="11"/>
        <v>3465</v>
      </c>
      <c r="R58" s="261">
        <f t="shared" si="11"/>
        <v>3465</v>
      </c>
      <c r="S58" s="261">
        <f t="shared" si="11"/>
        <v>3465</v>
      </c>
      <c r="T58" s="261">
        <f t="shared" si="11"/>
        <v>3465</v>
      </c>
      <c r="U58" s="261">
        <f t="shared" si="11"/>
        <v>3465</v>
      </c>
      <c r="V58" s="261">
        <f t="shared" si="11"/>
        <v>50715</v>
      </c>
      <c r="W58" s="261">
        <f t="shared" si="11"/>
        <v>3465</v>
      </c>
      <c r="X58" s="261">
        <f t="shared" si="11"/>
        <v>3465</v>
      </c>
      <c r="Y58" s="261">
        <f t="shared" si="11"/>
        <v>3465</v>
      </c>
      <c r="Z58" s="261">
        <f t="shared" si="11"/>
        <v>3465</v>
      </c>
      <c r="AA58" s="261">
        <f t="shared" si="11"/>
        <v>3465</v>
      </c>
      <c r="AB58" s="261">
        <f t="shared" si="11"/>
        <v>3465</v>
      </c>
      <c r="AC58" s="261">
        <f t="shared" si="11"/>
        <v>3465</v>
      </c>
      <c r="AD58" s="261">
        <f t="shared" si="11"/>
        <v>3465</v>
      </c>
      <c r="AE58" s="261">
        <f t="shared" si="11"/>
        <v>3465</v>
      </c>
      <c r="AF58" s="261">
        <f t="shared" si="11"/>
        <v>3465</v>
      </c>
      <c r="AG58" s="261">
        <f t="shared" si="11"/>
        <v>3465</v>
      </c>
      <c r="AH58" s="261">
        <f t="shared" si="11"/>
        <v>3465</v>
      </c>
      <c r="AI58" s="261">
        <f t="shared" si="11"/>
        <v>3465</v>
      </c>
      <c r="AJ58" s="261">
        <f t="shared" si="11"/>
        <v>3465</v>
      </c>
      <c r="AK58" s="261">
        <f t="shared" si="11"/>
        <v>3465</v>
      </c>
      <c r="AL58" s="261">
        <f t="shared" si="11"/>
        <v>3465</v>
      </c>
      <c r="AM58" s="261">
        <f t="shared" si="11"/>
        <v>3465</v>
      </c>
      <c r="AN58" s="261">
        <f t="shared" si="11"/>
        <v>3465</v>
      </c>
      <c r="AO58" s="261">
        <f t="shared" si="11"/>
        <v>3465</v>
      </c>
      <c r="AP58" s="261">
        <f t="shared" si="11"/>
        <v>3465</v>
      </c>
      <c r="AQ58" s="261">
        <f t="shared" si="11"/>
        <v>3465</v>
      </c>
      <c r="AR58" s="261">
        <f t="shared" si="11"/>
        <v>3465</v>
      </c>
      <c r="AS58" s="261">
        <f t="shared" si="11"/>
        <v>3465</v>
      </c>
      <c r="AT58" s="261">
        <f t="shared" si="11"/>
        <v>3465</v>
      </c>
      <c r="AU58" s="261">
        <f t="shared" si="11"/>
        <v>3465</v>
      </c>
    </row>
    <row r="59" spans="1:47" s="143" customFormat="1" ht="18.75" x14ac:dyDescent="0.3">
      <c r="B59" s="143" t="s">
        <v>463</v>
      </c>
      <c r="G59" s="156">
        <f>G42+G58</f>
        <v>-2325000</v>
      </c>
      <c r="H59" s="156">
        <f t="shared" ref="H59:AU59" si="12">H42+H58</f>
        <v>1099329.9771850714</v>
      </c>
      <c r="I59" s="156">
        <f t="shared" si="12"/>
        <v>282609.5194183453</v>
      </c>
      <c r="J59" s="156">
        <f t="shared" si="12"/>
        <v>178298.32621394441</v>
      </c>
      <c r="K59" s="156">
        <f t="shared" si="12"/>
        <v>145172.69130297113</v>
      </c>
      <c r="L59" s="156">
        <f t="shared" si="12"/>
        <v>144039.2446834349</v>
      </c>
      <c r="M59" s="156">
        <f t="shared" si="12"/>
        <v>143027.13592874529</v>
      </c>
      <c r="N59" s="156">
        <f t="shared" si="12"/>
        <v>142562.72431022357</v>
      </c>
      <c r="O59" s="156">
        <f t="shared" si="12"/>
        <v>142093.32778346143</v>
      </c>
      <c r="P59" s="156">
        <f t="shared" si="12"/>
        <v>145078.21348878762</v>
      </c>
      <c r="Q59" s="156">
        <f t="shared" si="12"/>
        <v>144985.24848476707</v>
      </c>
      <c r="R59" s="156">
        <f t="shared" si="12"/>
        <v>144767.54692216087</v>
      </c>
      <c r="S59" s="156">
        <f t="shared" si="12"/>
        <v>142842.38733246012</v>
      </c>
      <c r="T59" s="156">
        <f t="shared" si="12"/>
        <v>142005.91402458324</v>
      </c>
      <c r="U59" s="156">
        <f t="shared" si="12"/>
        <v>141900.1755340751</v>
      </c>
      <c r="V59" s="156">
        <f t="shared" si="12"/>
        <v>-36726.404306016659</v>
      </c>
      <c r="W59" s="156">
        <f t="shared" si="12"/>
        <v>119195.45629596664</v>
      </c>
      <c r="X59" s="156">
        <f t="shared" si="12"/>
        <v>118722.34088813225</v>
      </c>
      <c r="Y59" s="156">
        <f t="shared" si="12"/>
        <v>119604.78453255908</v>
      </c>
      <c r="Z59" s="156">
        <f t="shared" si="12"/>
        <v>118975.42060763796</v>
      </c>
      <c r="AA59" s="156">
        <f t="shared" si="12"/>
        <v>117707.33707474016</v>
      </c>
      <c r="AB59" s="156">
        <f t="shared" si="12"/>
        <v>116501.39207898329</v>
      </c>
      <c r="AC59" s="156">
        <f t="shared" si="12"/>
        <v>115328.94457124261</v>
      </c>
      <c r="AD59" s="156">
        <f t="shared" si="12"/>
        <v>114128.39482478228</v>
      </c>
      <c r="AE59" s="156">
        <f t="shared" si="12"/>
        <v>112392.40456967791</v>
      </c>
      <c r="AF59" s="156">
        <f t="shared" si="12"/>
        <v>110272.85325783138</v>
      </c>
      <c r="AG59" s="156">
        <f t="shared" si="12"/>
        <v>108364.81860430868</v>
      </c>
      <c r="AH59" s="156">
        <f t="shared" si="12"/>
        <v>106486.30839827948</v>
      </c>
      <c r="AI59" s="156">
        <f t="shared" si="12"/>
        <v>104636.86578588198</v>
      </c>
      <c r="AJ59" s="156">
        <f t="shared" si="12"/>
        <v>102816.04098249602</v>
      </c>
      <c r="AK59" s="156">
        <f t="shared" si="12"/>
        <v>101023.39116335531</v>
      </c>
      <c r="AL59" s="156">
        <f t="shared" si="12"/>
        <v>100114.26232307903</v>
      </c>
      <c r="AM59" s="156">
        <f t="shared" si="12"/>
        <v>99212.379904918562</v>
      </c>
      <c r="AN59" s="156">
        <f t="shared" si="12"/>
        <v>98317.686149587069</v>
      </c>
      <c r="AO59" s="156">
        <f t="shared" si="12"/>
        <v>97430.123758181478</v>
      </c>
      <c r="AP59" s="156">
        <f t="shared" si="12"/>
        <v>96549.635888512828</v>
      </c>
      <c r="AQ59" s="156">
        <f t="shared" si="12"/>
        <v>95676.166151466154</v>
      </c>
      <c r="AR59" s="156">
        <f t="shared" si="12"/>
        <v>94809.658607388876</v>
      </c>
      <c r="AS59" s="156">
        <f t="shared" si="12"/>
        <v>93950.057762508397</v>
      </c>
      <c r="AT59" s="156">
        <f t="shared" si="12"/>
        <v>93097.308565378145</v>
      </c>
      <c r="AU59" s="156">
        <f t="shared" si="12"/>
        <v>92251.356403351791</v>
      </c>
    </row>
    <row r="60" spans="1:47" s="142" customFormat="1" ht="15.75" x14ac:dyDescent="0.25">
      <c r="A60" s="52"/>
      <c r="B60" s="246"/>
      <c r="C60" s="252" t="s">
        <v>464</v>
      </c>
      <c r="D60" s="252"/>
      <c r="E60" s="252"/>
      <c r="F60" s="252"/>
      <c r="G60" s="262">
        <f>G59</f>
        <v>-2325000</v>
      </c>
      <c r="H60" s="262">
        <f>G60+H59</f>
        <v>-1225670.0228149286</v>
      </c>
      <c r="I60" s="262">
        <f>H60+I59</f>
        <v>-943060.50339658326</v>
      </c>
      <c r="J60" s="262">
        <f t="shared" ref="J60:AU60" si="13">I60+J59</f>
        <v>-764762.17718263878</v>
      </c>
      <c r="K60" s="262">
        <f t="shared" si="13"/>
        <v>-619589.48587966769</v>
      </c>
      <c r="L60" s="262">
        <f t="shared" si="13"/>
        <v>-475550.24119623279</v>
      </c>
      <c r="M60" s="262">
        <f t="shared" si="13"/>
        <v>-332523.10526748747</v>
      </c>
      <c r="N60" s="262">
        <f t="shared" si="13"/>
        <v>-189960.3809572639</v>
      </c>
      <c r="O60" s="262">
        <f t="shared" si="13"/>
        <v>-47867.053173802473</v>
      </c>
      <c r="P60" s="262">
        <f t="shared" si="13"/>
        <v>97211.160314985143</v>
      </c>
      <c r="Q60" s="262">
        <f t="shared" si="13"/>
        <v>242196.40879975221</v>
      </c>
      <c r="R60" s="262">
        <f t="shared" si="13"/>
        <v>386963.95572191308</v>
      </c>
      <c r="S60" s="262">
        <f t="shared" si="13"/>
        <v>529806.34305437317</v>
      </c>
      <c r="T60" s="262">
        <f t="shared" si="13"/>
        <v>671812.25707895635</v>
      </c>
      <c r="U60" s="262">
        <f t="shared" si="13"/>
        <v>813712.43261303147</v>
      </c>
      <c r="V60" s="262">
        <f t="shared" si="13"/>
        <v>776986.02830701484</v>
      </c>
      <c r="W60" s="262">
        <f t="shared" si="13"/>
        <v>896181.48460298148</v>
      </c>
      <c r="X60" s="262">
        <f t="shared" si="13"/>
        <v>1014903.8254911137</v>
      </c>
      <c r="Y60" s="262">
        <f t="shared" si="13"/>
        <v>1134508.6100236727</v>
      </c>
      <c r="Z60" s="262">
        <f t="shared" si="13"/>
        <v>1253484.0306313108</v>
      </c>
      <c r="AA60" s="262">
        <f t="shared" si="13"/>
        <v>1371191.3677060509</v>
      </c>
      <c r="AB60" s="262">
        <f t="shared" si="13"/>
        <v>1487692.7597850342</v>
      </c>
      <c r="AC60" s="262">
        <f t="shared" si="13"/>
        <v>1603021.7043562769</v>
      </c>
      <c r="AD60" s="262">
        <f t="shared" si="13"/>
        <v>1717150.0991810593</v>
      </c>
      <c r="AE60" s="262">
        <f t="shared" si="13"/>
        <v>1829542.5037507373</v>
      </c>
      <c r="AF60" s="262">
        <f t="shared" si="13"/>
        <v>1939815.3570085687</v>
      </c>
      <c r="AG60" s="262">
        <f t="shared" si="13"/>
        <v>2048180.1756128774</v>
      </c>
      <c r="AH60" s="262">
        <f t="shared" si="13"/>
        <v>2154666.484011157</v>
      </c>
      <c r="AI60" s="262">
        <f t="shared" si="13"/>
        <v>2259303.3497970388</v>
      </c>
      <c r="AJ60" s="262">
        <f t="shared" si="13"/>
        <v>2362119.3907795348</v>
      </c>
      <c r="AK60" s="262">
        <f t="shared" si="13"/>
        <v>2463142.78194289</v>
      </c>
      <c r="AL60" s="262">
        <f t="shared" si="13"/>
        <v>2563257.0442659692</v>
      </c>
      <c r="AM60" s="262">
        <f t="shared" si="13"/>
        <v>2662469.4241708876</v>
      </c>
      <c r="AN60" s="262">
        <f t="shared" si="13"/>
        <v>2760787.1103204745</v>
      </c>
      <c r="AO60" s="262">
        <f t="shared" si="13"/>
        <v>2858217.234078656</v>
      </c>
      <c r="AP60" s="262">
        <f t="shared" si="13"/>
        <v>2954766.8699671687</v>
      </c>
      <c r="AQ60" s="262">
        <f t="shared" si="13"/>
        <v>3050443.036118635</v>
      </c>
      <c r="AR60" s="262">
        <f t="shared" si="13"/>
        <v>3145252.6947260238</v>
      </c>
      <c r="AS60" s="262">
        <f t="shared" si="13"/>
        <v>3239202.7524885321</v>
      </c>
      <c r="AT60" s="262">
        <f t="shared" si="13"/>
        <v>3332300.0610539103</v>
      </c>
      <c r="AU60" s="262">
        <f t="shared" si="13"/>
        <v>3424551.4174572621</v>
      </c>
    </row>
    <row r="61" spans="1:47" x14ac:dyDescent="0.25">
      <c r="A61" s="3"/>
      <c r="B61" s="3"/>
      <c r="C61" s="3"/>
      <c r="D61" t="s">
        <v>465</v>
      </c>
      <c r="G61" s="1">
        <f>G60/-$G$41</f>
        <v>-1</v>
      </c>
      <c r="H61" s="1">
        <f>H60/-$G$59</f>
        <v>-0.52716990228599081</v>
      </c>
      <c r="I61" s="1">
        <f t="shared" ref="I61:AU61" si="14">I60/-$G$59</f>
        <v>-0.40561742081573471</v>
      </c>
      <c r="J61" s="1">
        <f t="shared" si="14"/>
        <v>-0.32892996868070484</v>
      </c>
      <c r="K61" s="1">
        <f t="shared" si="14"/>
        <v>-0.26649010145362051</v>
      </c>
      <c r="L61" s="1">
        <f t="shared" si="14"/>
        <v>-0.20453773814891732</v>
      </c>
      <c r="M61" s="1">
        <f t="shared" si="14"/>
        <v>-0.14302069043762902</v>
      </c>
      <c r="N61" s="1">
        <f t="shared" si="14"/>
        <v>-8.1703389659038242E-2</v>
      </c>
      <c r="O61" s="1">
        <f t="shared" si="14"/>
        <v>-2.0587979859699988E-2</v>
      </c>
      <c r="P61" s="1">
        <f t="shared" si="14"/>
        <v>4.1811251748380705E-2</v>
      </c>
      <c r="Q61" s="1">
        <f t="shared" si="14"/>
        <v>0.10417049840849557</v>
      </c>
      <c r="R61" s="1">
        <f t="shared" si="14"/>
        <v>0.16643610998791961</v>
      </c>
      <c r="S61" s="1">
        <f t="shared" si="14"/>
        <v>0.22787369593736481</v>
      </c>
      <c r="T61" s="1">
        <f t="shared" si="14"/>
        <v>0.28895150842105649</v>
      </c>
      <c r="U61" s="1">
        <f t="shared" si="14"/>
        <v>0.34998384198409954</v>
      </c>
      <c r="V61" s="1">
        <f t="shared" si="14"/>
        <v>0.33418753905678056</v>
      </c>
      <c r="W61" s="1">
        <f t="shared" si="14"/>
        <v>0.38545440197977698</v>
      </c>
      <c r="X61" s="1">
        <f t="shared" si="14"/>
        <v>0.43651777440478007</v>
      </c>
      <c r="Y61" s="1">
        <f t="shared" si="14"/>
        <v>0.4879606924833001</v>
      </c>
      <c r="Z61" s="1">
        <f t="shared" si="14"/>
        <v>0.53913291640056382</v>
      </c>
      <c r="AA61" s="1">
        <f t="shared" si="14"/>
        <v>0.58975972804561327</v>
      </c>
      <c r="AB61" s="1">
        <f t="shared" si="14"/>
        <v>0.63986785367098242</v>
      </c>
      <c r="AC61" s="1">
        <f t="shared" si="14"/>
        <v>0.6894717007983987</v>
      </c>
      <c r="AD61" s="1">
        <f t="shared" si="14"/>
        <v>0.73855918244346641</v>
      </c>
      <c r="AE61" s="1">
        <f t="shared" si="14"/>
        <v>0.78690000161322038</v>
      </c>
      <c r="AF61" s="1">
        <f>AF60/-$G$59</f>
        <v>0.83432918581013704</v>
      </c>
      <c r="AG61" s="1">
        <f t="shared" si="14"/>
        <v>0.8809377099410225</v>
      </c>
      <c r="AH61" s="1">
        <f t="shared" si="14"/>
        <v>0.92673827269297071</v>
      </c>
      <c r="AI61" s="1">
        <f t="shared" si="14"/>
        <v>0.97174337625679086</v>
      </c>
      <c r="AJ61" s="1">
        <f t="shared" si="14"/>
        <v>1.0159653293675419</v>
      </c>
      <c r="AK61" s="1">
        <f t="shared" si="14"/>
        <v>1.0594162502980171</v>
      </c>
      <c r="AL61" s="1">
        <f t="shared" si="14"/>
        <v>1.1024761480713845</v>
      </c>
      <c r="AM61" s="1">
        <f t="shared" si="14"/>
        <v>1.1451481394283387</v>
      </c>
      <c r="AN61" s="1">
        <f t="shared" si="14"/>
        <v>1.1874353162668707</v>
      </c>
      <c r="AO61" s="1">
        <f t="shared" si="14"/>
        <v>1.2293407458402821</v>
      </c>
      <c r="AP61" s="1">
        <f t="shared" si="14"/>
        <v>1.270867470953621</v>
      </c>
      <c r="AQ61" s="1">
        <f t="shared" si="14"/>
        <v>1.3120185101585526</v>
      </c>
      <c r="AR61" s="1">
        <f t="shared" si="14"/>
        <v>1.3527968579466769</v>
      </c>
      <c r="AS61" s="1">
        <f t="shared" si="14"/>
        <v>1.393205484941304</v>
      </c>
      <c r="AT61" s="1">
        <f t="shared" si="14"/>
        <v>1.4332473380877033</v>
      </c>
      <c r="AU61" s="1">
        <f t="shared" si="14"/>
        <v>1.4729253408418332</v>
      </c>
    </row>
    <row r="62" spans="1:47" x14ac:dyDescent="0.25">
      <c r="A62" s="3"/>
      <c r="B62" s="46"/>
      <c r="C62" s="46"/>
      <c r="D62" s="46" t="str">
        <f>"Discounted Cumulative Profit @ "&amp;'PV IN'!$E$9*100&amp;"% /yr"</f>
        <v>Discounted Cumulative Profit @ 5% /yr</v>
      </c>
      <c r="E62" s="41"/>
      <c r="F62" s="41"/>
      <c r="G62" s="248">
        <f>G60/(1+('PV IN'!$E$9))^(G3-G3)</f>
        <v>-2325000</v>
      </c>
      <c r="H62" s="248">
        <f>G62+(H59/(1+('PV IN'!$E$9))^(H4))</f>
        <v>-1278019.0693475511</v>
      </c>
      <c r="I62" s="248">
        <f>H62+(I59/(1+('PV IN'!$E$9))^(I4))</f>
        <v>-1021683.9043422493</v>
      </c>
      <c r="J62" s="248">
        <f>I62+(J59/(1+('PV IN'!$E$9))^(J4))</f>
        <v>-867663.10640341381</v>
      </c>
      <c r="K62" s="248">
        <f>J62+(K59/(1+('PV IN'!$E$9))^(K4))</f>
        <v>-748229.17399626155</v>
      </c>
      <c r="L62" s="248">
        <f>K62+(L59/(1+('PV IN'!$E$9))^(L4))</f>
        <v>-635370.65678843739</v>
      </c>
      <c r="M62" s="248">
        <f>L62+(M59/(1+('PV IN'!$E$9))^(M4))</f>
        <v>-528641.60582156782</v>
      </c>
      <c r="N62" s="248">
        <f>M62+(N59/(1+('PV IN'!$E$9))^(N4))</f>
        <v>-427324.93928180437</v>
      </c>
      <c r="O62" s="248">
        <f>N62+(O59/(1+('PV IN'!$E$9))^(O4))</f>
        <v>-331150.58195631322</v>
      </c>
      <c r="P62" s="248">
        <f>O62+(P59/(1+('PV IN'!$E$9))^(P4))</f>
        <v>-237631.87199249162</v>
      </c>
      <c r="Q62" s="248">
        <f>P62+(Q59/(1+('PV IN'!$E$9))^(Q4))</f>
        <v>-148623.50637979282</v>
      </c>
      <c r="R62" s="248">
        <f>Q62+(R59/(1+('PV IN'!$E$9))^(R4))</f>
        <v>-63980.919962556334</v>
      </c>
      <c r="S62" s="248">
        <f>R62+(S59/(1+('PV IN'!$E$9))^(S4))</f>
        <v>15559.066205969692</v>
      </c>
      <c r="T62" s="248">
        <f>S62+(T59/(1+('PV IN'!$E$9))^(T4))</f>
        <v>90867.834331106264</v>
      </c>
      <c r="U62" s="248">
        <f>T62+(U59/(1+('PV IN'!$E$9))^(U4))</f>
        <v>162537.06551780639</v>
      </c>
      <c r="V62" s="248">
        <f>U62+(V59/(1+('PV IN'!$E$9))^(V4))</f>
        <v>144871.03709521054</v>
      </c>
      <c r="W62" s="248">
        <f>V62+(W59/(1+('PV IN'!$E$9))^(W4))</f>
        <v>199475.84899341525</v>
      </c>
      <c r="X62" s="248">
        <f>W62+(X59/(1+('PV IN'!$E$9))^(X4))</f>
        <v>251274.01306831441</v>
      </c>
      <c r="Y62" s="248">
        <f>X62+(Y59/(1+('PV IN'!$E$9))^(Y4))</f>
        <v>300972.27146256756</v>
      </c>
      <c r="Z62" s="248">
        <f>Y62+(Z59/(1+('PV IN'!$E$9))^(Z4))</f>
        <v>348054.88544734847</v>
      </c>
      <c r="AA62" s="248">
        <f>Z62+(AA59/(1+('PV IN'!$E$9))^(AA4))</f>
        <v>392417.54284780525</v>
      </c>
      <c r="AB62" s="248">
        <f>AA62+(AB59/(1+('PV IN'!$E$9))^(AB4))</f>
        <v>434234.82800459827</v>
      </c>
      <c r="AC62" s="248">
        <f>AB62+(AC59/(1+('PV IN'!$E$9))^(AC4))</f>
        <v>473660.01283883373</v>
      </c>
      <c r="AD62" s="248">
        <f>AC62+(AD59/(1+('PV IN'!$E$9))^(AD4))</f>
        <v>510816.94337042887</v>
      </c>
      <c r="AE62" s="248">
        <f>AD62+(AE59/(1+('PV IN'!$E$9))^(AE4))</f>
        <v>545666.22138699109</v>
      </c>
      <c r="AF62" s="248">
        <f>AE62+(AF59/(1+('PV IN'!$E$9))^(AF4))</f>
        <v>578230.10059704934</v>
      </c>
      <c r="AG62" s="248">
        <f>AF62+(AG59/(1+('PV IN'!$E$9))^(AG4))</f>
        <v>608706.70182407554</v>
      </c>
      <c r="AH62" s="248">
        <f>AG62+(AH59/(1+('PV IN'!$E$9))^(AH4))</f>
        <v>637228.88052509562</v>
      </c>
      <c r="AI62" s="248">
        <f>AH62+(AI59/(1+('PV IN'!$E$9))^(AI4))</f>
        <v>663921.07919766894</v>
      </c>
      <c r="AJ62" s="248">
        <f>AI62+(AJ59/(1+('PV IN'!$E$9))^(AJ4))</f>
        <v>688899.85810326634</v>
      </c>
      <c r="AK62" s="248">
        <f>AJ62+(AK59/(1+('PV IN'!$E$9))^(AK4))</f>
        <v>712274.39260520623</v>
      </c>
      <c r="AL62" s="248">
        <f>AK62+(AL59/(1+('PV IN'!$E$9))^(AL4))</f>
        <v>734335.51888175611</v>
      </c>
      <c r="AM62" s="248">
        <f>AL62+(AM59/(1+('PV IN'!$E$9))^(AM4))</f>
        <v>755156.84072980669</v>
      </c>
      <c r="AN62" s="248">
        <f>AM62+(AN59/(1+('PV IN'!$E$9))^(AN4))</f>
        <v>774807.84634824004</v>
      </c>
      <c r="AO62" s="248">
        <f>AN62+(AO59/(1+('PV IN'!$E$9))^(AO4))</f>
        <v>793354.13803320052</v>
      </c>
      <c r="AP62" s="248">
        <f>AO62+(AP59/(1+('PV IN'!$E$9))^(AP4))</f>
        <v>810857.64907411649</v>
      </c>
      <c r="AQ62" s="248">
        <f>AP62+(AQ59/(1+('PV IN'!$E$9))^(AQ4))</f>
        <v>827376.84856272594</v>
      </c>
      <c r="AR62" s="248">
        <f>AQ62+(AR59/(1+('PV IN'!$E$9))^(AR4))</f>
        <v>842966.9347877726</v>
      </c>
      <c r="AS62" s="248">
        <f>AR62+(AS59/(1+('PV IN'!$E$9))^(AS4))</f>
        <v>857680.01785064384</v>
      </c>
      <c r="AT62" s="248">
        <f>AS62+(AT59/(1+('PV IN'!$E$9))^(AT4))</f>
        <v>871565.29210190696</v>
      </c>
      <c r="AU62" s="248">
        <f>AT62+(AU59/(1+('PV IN'!$E$9))^(AU4))</f>
        <v>884669.19896534714</v>
      </c>
    </row>
    <row r="63" spans="1:47" ht="7.5" customHeight="1" x14ac:dyDescent="0.25">
      <c r="A63" s="3"/>
      <c r="B63" s="3"/>
      <c r="C63" s="3"/>
      <c r="D63" s="3"/>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row>
    <row r="64" spans="1:47" ht="7.5" customHeight="1" x14ac:dyDescent="0.25">
      <c r="A64" s="265"/>
      <c r="B64" s="265"/>
      <c r="C64" s="265"/>
      <c r="D64" s="265"/>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row>
    <row r="65" spans="1:47" ht="21" x14ac:dyDescent="0.35">
      <c r="A65" s="159" t="s">
        <v>466</v>
      </c>
      <c r="B65" s="159"/>
      <c r="C65" s="3"/>
      <c r="D65" s="3"/>
    </row>
    <row r="66" spans="1:47" x14ac:dyDescent="0.25">
      <c r="A66" s="3"/>
      <c r="B66" s="46"/>
      <c r="C66" s="46" t="s">
        <v>467</v>
      </c>
      <c r="D66" s="46"/>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x14ac:dyDescent="0.25">
      <c r="A67" s="3"/>
      <c r="B67" s="3"/>
      <c r="C67" s="3"/>
      <c r="D67" s="3"/>
      <c r="E67" t="s">
        <v>433</v>
      </c>
      <c r="H67" s="10">
        <f>H19</f>
        <v>27349.573331524247</v>
      </c>
      <c r="I67" s="10">
        <f t="shared" ref="I67:AU67" si="15">I19</f>
        <v>27131.577218907431</v>
      </c>
      <c r="J67" s="10">
        <f t="shared" si="15"/>
        <v>23326.609535517375</v>
      </c>
      <c r="K67" s="10">
        <f t="shared" si="15"/>
        <v>23140.679388175293</v>
      </c>
      <c r="L67" s="10">
        <f t="shared" si="15"/>
        <v>22956.231240162699</v>
      </c>
      <c r="M67" s="10">
        <f t="shared" si="15"/>
        <v>22773.253278860462</v>
      </c>
      <c r="N67" s="10">
        <f t="shared" si="15"/>
        <v>22591.733785804692</v>
      </c>
      <c r="O67" s="10">
        <f t="shared" si="15"/>
        <v>22411.661135936229</v>
      </c>
      <c r="P67" s="10">
        <f t="shared" si="15"/>
        <v>22233.023796856134</v>
      </c>
      <c r="Q67" s="10">
        <f t="shared" si="15"/>
        <v>22055.810328087118</v>
      </c>
      <c r="R67" s="10">
        <f t="shared" si="15"/>
        <v>21880.009380340896</v>
      </c>
      <c r="S67" s="10">
        <f t="shared" si="15"/>
        <v>21705.609694791281</v>
      </c>
      <c r="T67" s="10">
        <f t="shared" si="15"/>
        <v>21532.600102353197</v>
      </c>
      <c r="U67" s="10">
        <f t="shared" si="15"/>
        <v>21360.969522967342</v>
      </c>
      <c r="V67" s="10">
        <f t="shared" si="15"/>
        <v>21190.706964890582</v>
      </c>
      <c r="W67" s="10">
        <f t="shared" si="15"/>
        <v>0</v>
      </c>
      <c r="X67" s="10">
        <f t="shared" si="15"/>
        <v>0</v>
      </c>
      <c r="Y67" s="10">
        <f t="shared" si="15"/>
        <v>0</v>
      </c>
      <c r="Z67" s="10">
        <f t="shared" si="15"/>
        <v>0</v>
      </c>
      <c r="AA67" s="10">
        <f t="shared" si="15"/>
        <v>0</v>
      </c>
      <c r="AB67" s="10">
        <f t="shared" si="15"/>
        <v>0</v>
      </c>
      <c r="AC67" s="10">
        <f t="shared" si="15"/>
        <v>0</v>
      </c>
      <c r="AD67" s="10">
        <f t="shared" si="15"/>
        <v>0</v>
      </c>
      <c r="AE67" s="10">
        <f t="shared" si="15"/>
        <v>0</v>
      </c>
      <c r="AF67" s="10">
        <f t="shared" si="15"/>
        <v>0</v>
      </c>
      <c r="AG67" s="10">
        <f t="shared" si="15"/>
        <v>0</v>
      </c>
      <c r="AH67" s="10">
        <f t="shared" si="15"/>
        <v>0</v>
      </c>
      <c r="AI67" s="10">
        <f t="shared" si="15"/>
        <v>0</v>
      </c>
      <c r="AJ67" s="10">
        <f t="shared" si="15"/>
        <v>0</v>
      </c>
      <c r="AK67" s="10">
        <f t="shared" si="15"/>
        <v>0</v>
      </c>
      <c r="AL67" s="10">
        <f t="shared" si="15"/>
        <v>0</v>
      </c>
      <c r="AM67" s="10">
        <f t="shared" si="15"/>
        <v>0</v>
      </c>
      <c r="AN67" s="10">
        <f t="shared" si="15"/>
        <v>0</v>
      </c>
      <c r="AO67" s="10">
        <f t="shared" si="15"/>
        <v>0</v>
      </c>
      <c r="AP67" s="10">
        <f t="shared" si="15"/>
        <v>0</v>
      </c>
      <c r="AQ67" s="10">
        <f t="shared" si="15"/>
        <v>0</v>
      </c>
      <c r="AR67" s="10">
        <f t="shared" si="15"/>
        <v>0</v>
      </c>
      <c r="AS67" s="10">
        <f t="shared" si="15"/>
        <v>0</v>
      </c>
      <c r="AT67" s="10">
        <f t="shared" si="15"/>
        <v>0</v>
      </c>
      <c r="AU67" s="10">
        <f t="shared" si="15"/>
        <v>0</v>
      </c>
    </row>
    <row r="68" spans="1:47" x14ac:dyDescent="0.25">
      <c r="A68" s="3"/>
      <c r="B68" s="46"/>
      <c r="C68" s="46"/>
      <c r="D68" s="46"/>
      <c r="E68" s="41" t="s">
        <v>86</v>
      </c>
      <c r="F68" s="41"/>
      <c r="G68" s="41"/>
      <c r="H68" s="248">
        <f>H41+H53+H57</f>
        <v>1071980.4038535473</v>
      </c>
      <c r="I68" s="248">
        <f t="shared" ref="I68:AU68" si="16">I41+I53+I57</f>
        <v>255477.94219943791</v>
      </c>
      <c r="J68" s="248">
        <f t="shared" si="16"/>
        <v>154971.71667842704</v>
      </c>
      <c r="K68" s="248">
        <f t="shared" si="16"/>
        <v>122032.01191479585</v>
      </c>
      <c r="L68" s="248">
        <f t="shared" si="16"/>
        <v>121083.01344327218</v>
      </c>
      <c r="M68" s="248">
        <f t="shared" si="16"/>
        <v>120253.88264988482</v>
      </c>
      <c r="N68" s="248">
        <f t="shared" si="16"/>
        <v>119970.99052441888</v>
      </c>
      <c r="O68" s="248">
        <f t="shared" si="16"/>
        <v>119681.66664752521</v>
      </c>
      <c r="P68" s="248">
        <f t="shared" si="16"/>
        <v>122845.18969193147</v>
      </c>
      <c r="Q68" s="248">
        <f t="shared" si="16"/>
        <v>122929.43815667994</v>
      </c>
      <c r="R68" s="248">
        <f t="shared" si="16"/>
        <v>122887.53754181997</v>
      </c>
      <c r="S68" s="248">
        <f t="shared" si="16"/>
        <v>121136.77763766883</v>
      </c>
      <c r="T68" s="248">
        <f t="shared" si="16"/>
        <v>120473.31392223004</v>
      </c>
      <c r="U68" s="248">
        <f t="shared" si="16"/>
        <v>120539.20601110774</v>
      </c>
      <c r="V68" s="248">
        <f t="shared" si="16"/>
        <v>-57917.111270907248</v>
      </c>
      <c r="W68" s="248">
        <f t="shared" si="16"/>
        <v>119195.45629596664</v>
      </c>
      <c r="X68" s="248">
        <f t="shared" si="16"/>
        <v>118722.34088813225</v>
      </c>
      <c r="Y68" s="248">
        <f t="shared" si="16"/>
        <v>119604.78453255908</v>
      </c>
      <c r="Z68" s="248">
        <f t="shared" si="16"/>
        <v>118975.42060763796</v>
      </c>
      <c r="AA68" s="248">
        <f t="shared" si="16"/>
        <v>117707.33707474016</v>
      </c>
      <c r="AB68" s="248">
        <f t="shared" si="16"/>
        <v>116501.39207898329</v>
      </c>
      <c r="AC68" s="248">
        <f t="shared" si="16"/>
        <v>115328.94457124261</v>
      </c>
      <c r="AD68" s="248">
        <f t="shared" si="16"/>
        <v>114128.39482478228</v>
      </c>
      <c r="AE68" s="248">
        <f t="shared" si="16"/>
        <v>112392.40456967791</v>
      </c>
      <c r="AF68" s="248">
        <f t="shared" si="16"/>
        <v>110272.85325783138</v>
      </c>
      <c r="AG68" s="248">
        <f t="shared" si="16"/>
        <v>108364.81860430868</v>
      </c>
      <c r="AH68" s="248">
        <f t="shared" si="16"/>
        <v>106486.30839827948</v>
      </c>
      <c r="AI68" s="248">
        <f t="shared" si="16"/>
        <v>104636.86578588198</v>
      </c>
      <c r="AJ68" s="248">
        <f t="shared" si="16"/>
        <v>102816.04098249602</v>
      </c>
      <c r="AK68" s="248">
        <f t="shared" si="16"/>
        <v>101023.39116335531</v>
      </c>
      <c r="AL68" s="248">
        <f t="shared" si="16"/>
        <v>100114.26232307903</v>
      </c>
      <c r="AM68" s="248">
        <f t="shared" si="16"/>
        <v>99212.379904918562</v>
      </c>
      <c r="AN68" s="248">
        <f t="shared" si="16"/>
        <v>98317.686149587069</v>
      </c>
      <c r="AO68" s="248">
        <f t="shared" si="16"/>
        <v>97430.123758181478</v>
      </c>
      <c r="AP68" s="248">
        <f t="shared" si="16"/>
        <v>96549.635888512828</v>
      </c>
      <c r="AQ68" s="248">
        <f t="shared" si="16"/>
        <v>95676.166151466154</v>
      </c>
      <c r="AR68" s="248">
        <f t="shared" si="16"/>
        <v>94809.658607388876</v>
      </c>
      <c r="AS68" s="248">
        <f t="shared" si="16"/>
        <v>93950.057762508397</v>
      </c>
      <c r="AT68" s="248">
        <f t="shared" si="16"/>
        <v>93097.308565378145</v>
      </c>
      <c r="AU68" s="248">
        <f t="shared" si="16"/>
        <v>92251.356403351791</v>
      </c>
    </row>
    <row r="69" spans="1:47" s="3" customFormat="1" x14ac:dyDescent="0.25">
      <c r="C69" s="3" t="s">
        <v>468</v>
      </c>
      <c r="H69" s="153">
        <f>SUM(H67:H68)</f>
        <v>1099329.9771850714</v>
      </c>
      <c r="I69" s="153">
        <f t="shared" ref="I69:Z69" si="17">SUM(I67:I68)</f>
        <v>282609.51941834536</v>
      </c>
      <c r="J69" s="153">
        <f t="shared" si="17"/>
        <v>178298.32621394441</v>
      </c>
      <c r="K69" s="153">
        <f t="shared" si="17"/>
        <v>145172.69130297113</v>
      </c>
      <c r="L69" s="153">
        <f t="shared" si="17"/>
        <v>144039.2446834349</v>
      </c>
      <c r="M69" s="153">
        <f t="shared" si="17"/>
        <v>143027.13592874529</v>
      </c>
      <c r="N69" s="153">
        <f t="shared" si="17"/>
        <v>142562.72431022357</v>
      </c>
      <c r="O69" s="153">
        <f t="shared" si="17"/>
        <v>142093.32778346143</v>
      </c>
      <c r="P69" s="153">
        <f t="shared" si="17"/>
        <v>145078.21348878762</v>
      </c>
      <c r="Q69" s="153">
        <f t="shared" si="17"/>
        <v>144985.24848476707</v>
      </c>
      <c r="R69" s="153">
        <f t="shared" si="17"/>
        <v>144767.54692216087</v>
      </c>
      <c r="S69" s="153">
        <f t="shared" si="17"/>
        <v>142842.38733246012</v>
      </c>
      <c r="T69" s="153">
        <f t="shared" si="17"/>
        <v>142005.91402458324</v>
      </c>
      <c r="U69" s="153">
        <f t="shared" si="17"/>
        <v>141900.1755340751</v>
      </c>
      <c r="V69" s="153">
        <f t="shared" si="17"/>
        <v>-36726.404306016666</v>
      </c>
      <c r="W69" s="153">
        <f t="shared" si="17"/>
        <v>119195.45629596664</v>
      </c>
      <c r="X69" s="153">
        <f t="shared" si="17"/>
        <v>118722.34088813225</v>
      </c>
      <c r="Y69" s="153">
        <f t="shared" si="17"/>
        <v>119604.78453255908</v>
      </c>
      <c r="Z69" s="153">
        <f t="shared" si="17"/>
        <v>118975.42060763796</v>
      </c>
      <c r="AA69" s="153">
        <f t="shared" ref="AA69" si="18">SUM(AA67:AA68)</f>
        <v>117707.33707474016</v>
      </c>
      <c r="AB69" s="153">
        <f t="shared" ref="AB69" si="19">SUM(AB67:AB68)</f>
        <v>116501.39207898329</v>
      </c>
      <c r="AC69" s="153">
        <f t="shared" ref="AC69" si="20">SUM(AC67:AC68)</f>
        <v>115328.94457124261</v>
      </c>
      <c r="AD69" s="153">
        <f t="shared" ref="AD69" si="21">SUM(AD67:AD68)</f>
        <v>114128.39482478228</v>
      </c>
      <c r="AE69" s="153">
        <f t="shared" ref="AE69" si="22">SUM(AE67:AE68)</f>
        <v>112392.40456967791</v>
      </c>
      <c r="AF69" s="153">
        <f t="shared" ref="AF69" si="23">SUM(AF67:AF68)</f>
        <v>110272.85325783138</v>
      </c>
      <c r="AG69" s="153">
        <f t="shared" ref="AG69" si="24">SUM(AG67:AG68)</f>
        <v>108364.81860430868</v>
      </c>
      <c r="AH69" s="153">
        <f t="shared" ref="AH69" si="25">SUM(AH67:AH68)</f>
        <v>106486.30839827948</v>
      </c>
      <c r="AI69" s="153">
        <f t="shared" ref="AI69" si="26">SUM(AI67:AI68)</f>
        <v>104636.86578588198</v>
      </c>
      <c r="AJ69" s="153">
        <f t="shared" ref="AJ69" si="27">SUM(AJ67:AJ68)</f>
        <v>102816.04098249602</v>
      </c>
      <c r="AK69" s="153">
        <f t="shared" ref="AK69" si="28">SUM(AK67:AK68)</f>
        <v>101023.39116335531</v>
      </c>
      <c r="AL69" s="153">
        <f t="shared" ref="AL69" si="29">SUM(AL67:AL68)</f>
        <v>100114.26232307903</v>
      </c>
      <c r="AM69" s="153">
        <f t="shared" ref="AM69" si="30">SUM(AM67:AM68)</f>
        <v>99212.379904918562</v>
      </c>
      <c r="AN69" s="153">
        <f t="shared" ref="AN69" si="31">SUM(AN67:AN68)</f>
        <v>98317.686149587069</v>
      </c>
      <c r="AO69" s="153">
        <f t="shared" ref="AO69" si="32">SUM(AO67:AO68)</f>
        <v>97430.123758181478</v>
      </c>
      <c r="AP69" s="153">
        <f t="shared" ref="AP69" si="33">SUM(AP67:AP68)</f>
        <v>96549.635888512828</v>
      </c>
      <c r="AQ69" s="153">
        <f t="shared" ref="AQ69:AR69" si="34">SUM(AQ67:AQ68)</f>
        <v>95676.166151466154</v>
      </c>
      <c r="AR69" s="153">
        <f t="shared" si="34"/>
        <v>94809.658607388876</v>
      </c>
      <c r="AS69" s="153">
        <f t="shared" ref="AS69" si="35">SUM(AS67:AS68)</f>
        <v>93950.057762508397</v>
      </c>
      <c r="AT69" s="153">
        <f t="shared" ref="AT69" si="36">SUM(AT67:AT68)</f>
        <v>93097.308565378145</v>
      </c>
      <c r="AU69" s="153">
        <f t="shared" ref="AU69" si="37">SUM(AU67:AU68)</f>
        <v>92251.356403351791</v>
      </c>
    </row>
    <row r="70" spans="1:47" x14ac:dyDescent="0.25">
      <c r="A70" s="3"/>
      <c r="B70" s="46"/>
      <c r="C70" s="46" t="s">
        <v>469</v>
      </c>
      <c r="D70" s="46"/>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x14ac:dyDescent="0.25">
      <c r="A71" s="161"/>
      <c r="B71" s="161"/>
      <c r="C71" s="161"/>
      <c r="D71" s="161"/>
      <c r="E71" s="140" t="s">
        <v>470</v>
      </c>
      <c r="G71" s="10">
        <f t="shared" ref="G71:AU71" si="38">G22</f>
        <v>-2325000</v>
      </c>
      <c r="H71" s="10">
        <f t="shared" si="38"/>
        <v>0</v>
      </c>
      <c r="I71" s="10">
        <f t="shared" si="38"/>
        <v>0</v>
      </c>
      <c r="J71" s="10">
        <f t="shared" si="38"/>
        <v>0</v>
      </c>
      <c r="K71" s="10">
        <f t="shared" si="38"/>
        <v>0</v>
      </c>
      <c r="L71" s="10">
        <f t="shared" si="38"/>
        <v>0</v>
      </c>
      <c r="M71" s="10">
        <f t="shared" si="38"/>
        <v>0</v>
      </c>
      <c r="N71" s="10">
        <f t="shared" si="38"/>
        <v>0</v>
      </c>
      <c r="O71" s="10">
        <f t="shared" si="38"/>
        <v>0</v>
      </c>
      <c r="P71" s="10">
        <f t="shared" si="38"/>
        <v>0</v>
      </c>
      <c r="Q71" s="10">
        <f t="shared" si="38"/>
        <v>0</v>
      </c>
      <c r="R71" s="10">
        <f t="shared" si="38"/>
        <v>0</v>
      </c>
      <c r="S71" s="10">
        <f t="shared" si="38"/>
        <v>0</v>
      </c>
      <c r="T71" s="10">
        <f t="shared" si="38"/>
        <v>0</v>
      </c>
      <c r="U71" s="10">
        <f t="shared" si="38"/>
        <v>0</v>
      </c>
      <c r="V71" s="10">
        <f t="shared" si="38"/>
        <v>0</v>
      </c>
      <c r="W71" s="10">
        <f t="shared" si="38"/>
        <v>0</v>
      </c>
      <c r="X71" s="10">
        <f t="shared" si="38"/>
        <v>0</v>
      </c>
      <c r="Y71" s="10">
        <f t="shared" si="38"/>
        <v>0</v>
      </c>
      <c r="Z71" s="10">
        <f t="shared" si="38"/>
        <v>0</v>
      </c>
      <c r="AA71" s="10">
        <f t="shared" si="38"/>
        <v>0</v>
      </c>
      <c r="AB71" s="10">
        <f t="shared" si="38"/>
        <v>0</v>
      </c>
      <c r="AC71" s="10">
        <f t="shared" si="38"/>
        <v>0</v>
      </c>
      <c r="AD71" s="10">
        <f t="shared" si="38"/>
        <v>0</v>
      </c>
      <c r="AE71" s="10">
        <f t="shared" si="38"/>
        <v>0</v>
      </c>
      <c r="AF71" s="10">
        <f t="shared" si="38"/>
        <v>0</v>
      </c>
      <c r="AG71" s="10">
        <f t="shared" si="38"/>
        <v>0</v>
      </c>
      <c r="AH71" s="10">
        <f t="shared" si="38"/>
        <v>0</v>
      </c>
      <c r="AI71" s="10">
        <f t="shared" si="38"/>
        <v>0</v>
      </c>
      <c r="AJ71" s="10">
        <f t="shared" si="38"/>
        <v>0</v>
      </c>
      <c r="AK71" s="10">
        <f t="shared" si="38"/>
        <v>0</v>
      </c>
      <c r="AL71" s="10">
        <f t="shared" si="38"/>
        <v>0</v>
      </c>
      <c r="AM71" s="10">
        <f t="shared" si="38"/>
        <v>0</v>
      </c>
      <c r="AN71" s="10">
        <f t="shared" si="38"/>
        <v>0</v>
      </c>
      <c r="AO71" s="10">
        <f t="shared" si="38"/>
        <v>0</v>
      </c>
      <c r="AP71" s="10">
        <f t="shared" si="38"/>
        <v>0</v>
      </c>
      <c r="AQ71" s="10">
        <f t="shared" si="38"/>
        <v>0</v>
      </c>
      <c r="AR71" s="10">
        <f t="shared" si="38"/>
        <v>0</v>
      </c>
      <c r="AS71" s="10">
        <f t="shared" si="38"/>
        <v>0</v>
      </c>
      <c r="AT71" s="10">
        <f t="shared" si="38"/>
        <v>0</v>
      </c>
      <c r="AU71" s="10">
        <f t="shared" si="38"/>
        <v>0</v>
      </c>
    </row>
    <row r="72" spans="1:47" x14ac:dyDescent="0.25">
      <c r="A72" s="3"/>
      <c r="B72" s="46"/>
      <c r="C72" s="46" t="s">
        <v>471</v>
      </c>
      <c r="D72" s="46"/>
      <c r="E72" s="247"/>
      <c r="F72" s="41"/>
      <c r="G72" s="251">
        <f>SUM(G71)</f>
        <v>-2325000</v>
      </c>
      <c r="H72" s="251">
        <f t="shared" ref="H72:AU72" si="39">SUM(H71)</f>
        <v>0</v>
      </c>
      <c r="I72" s="251">
        <f t="shared" si="39"/>
        <v>0</v>
      </c>
      <c r="J72" s="251">
        <f t="shared" si="39"/>
        <v>0</v>
      </c>
      <c r="K72" s="251">
        <f t="shared" si="39"/>
        <v>0</v>
      </c>
      <c r="L72" s="251">
        <f t="shared" si="39"/>
        <v>0</v>
      </c>
      <c r="M72" s="251">
        <f t="shared" si="39"/>
        <v>0</v>
      </c>
      <c r="N72" s="251">
        <f t="shared" si="39"/>
        <v>0</v>
      </c>
      <c r="O72" s="251">
        <f t="shared" si="39"/>
        <v>0</v>
      </c>
      <c r="P72" s="251">
        <f t="shared" si="39"/>
        <v>0</v>
      </c>
      <c r="Q72" s="251">
        <f t="shared" si="39"/>
        <v>0</v>
      </c>
      <c r="R72" s="251">
        <f t="shared" si="39"/>
        <v>0</v>
      </c>
      <c r="S72" s="251">
        <f t="shared" si="39"/>
        <v>0</v>
      </c>
      <c r="T72" s="251">
        <f t="shared" si="39"/>
        <v>0</v>
      </c>
      <c r="U72" s="251">
        <f t="shared" si="39"/>
        <v>0</v>
      </c>
      <c r="V72" s="251">
        <f t="shared" si="39"/>
        <v>0</v>
      </c>
      <c r="W72" s="251">
        <f t="shared" si="39"/>
        <v>0</v>
      </c>
      <c r="X72" s="251">
        <f t="shared" si="39"/>
        <v>0</v>
      </c>
      <c r="Y72" s="251">
        <f t="shared" si="39"/>
        <v>0</v>
      </c>
      <c r="Z72" s="251">
        <f t="shared" si="39"/>
        <v>0</v>
      </c>
      <c r="AA72" s="251">
        <f t="shared" si="39"/>
        <v>0</v>
      </c>
      <c r="AB72" s="251">
        <f t="shared" si="39"/>
        <v>0</v>
      </c>
      <c r="AC72" s="251">
        <f t="shared" si="39"/>
        <v>0</v>
      </c>
      <c r="AD72" s="251">
        <f t="shared" si="39"/>
        <v>0</v>
      </c>
      <c r="AE72" s="251">
        <f t="shared" si="39"/>
        <v>0</v>
      </c>
      <c r="AF72" s="251">
        <f t="shared" si="39"/>
        <v>0</v>
      </c>
      <c r="AG72" s="251">
        <f t="shared" si="39"/>
        <v>0</v>
      </c>
      <c r="AH72" s="251">
        <f t="shared" si="39"/>
        <v>0</v>
      </c>
      <c r="AI72" s="251">
        <f t="shared" si="39"/>
        <v>0</v>
      </c>
      <c r="AJ72" s="251">
        <f t="shared" si="39"/>
        <v>0</v>
      </c>
      <c r="AK72" s="251">
        <f t="shared" si="39"/>
        <v>0</v>
      </c>
      <c r="AL72" s="251">
        <f t="shared" si="39"/>
        <v>0</v>
      </c>
      <c r="AM72" s="251">
        <f t="shared" si="39"/>
        <v>0</v>
      </c>
      <c r="AN72" s="251">
        <f t="shared" si="39"/>
        <v>0</v>
      </c>
      <c r="AO72" s="251">
        <f t="shared" si="39"/>
        <v>0</v>
      </c>
      <c r="AP72" s="251">
        <f t="shared" si="39"/>
        <v>0</v>
      </c>
      <c r="AQ72" s="251">
        <f t="shared" si="39"/>
        <v>0</v>
      </c>
      <c r="AR72" s="251">
        <f t="shared" si="39"/>
        <v>0</v>
      </c>
      <c r="AS72" s="251">
        <f t="shared" si="39"/>
        <v>0</v>
      </c>
      <c r="AT72" s="251">
        <f t="shared" si="39"/>
        <v>0</v>
      </c>
      <c r="AU72" s="251">
        <f t="shared" si="39"/>
        <v>0</v>
      </c>
    </row>
    <row r="73" spans="1:47" x14ac:dyDescent="0.25">
      <c r="A73" s="3"/>
      <c r="B73" s="3"/>
      <c r="C73" s="3" t="s">
        <v>472</v>
      </c>
      <c r="D73" s="3"/>
    </row>
    <row r="74" spans="1:47" x14ac:dyDescent="0.25">
      <c r="A74" s="3"/>
      <c r="B74" s="46"/>
      <c r="C74" s="46"/>
      <c r="D74" s="46" t="s">
        <v>473</v>
      </c>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row>
    <row r="75" spans="1:47" x14ac:dyDescent="0.25">
      <c r="A75" s="3"/>
      <c r="B75" s="3"/>
      <c r="C75" s="3"/>
      <c r="D75" s="3"/>
      <c r="E75" t="s">
        <v>474</v>
      </c>
      <c r="H75" s="10">
        <f>HybridCalcs!CI16</f>
        <v>0</v>
      </c>
      <c r="I75" s="10">
        <f>HybridCalcs!CI28</f>
        <v>0</v>
      </c>
      <c r="J75" s="10">
        <f>HybridCalcs!CI40</f>
        <v>0</v>
      </c>
      <c r="K75" s="10">
        <f>HybridCalcs!CI52</f>
        <v>0</v>
      </c>
      <c r="L75" s="10">
        <f>HybridCalcs!CI64</f>
        <v>0</v>
      </c>
      <c r="M75" s="10">
        <f>HybridCalcs!CI76</f>
        <v>0</v>
      </c>
      <c r="N75" s="10">
        <f>HybridCalcs!CI88</f>
        <v>0</v>
      </c>
      <c r="O75" s="10">
        <f>HybridCalcs!CI100</f>
        <v>0</v>
      </c>
      <c r="P75" s="10">
        <f>HybridCalcs!CI112</f>
        <v>0</v>
      </c>
      <c r="Q75" s="10">
        <f>HybridCalcs!CI124</f>
        <v>0</v>
      </c>
      <c r="R75" s="10">
        <f>HybridCalcs!CI136</f>
        <v>0</v>
      </c>
      <c r="S75" s="10">
        <f>HybridCalcs!CI148</f>
        <v>0</v>
      </c>
      <c r="T75" s="10">
        <f>HybridCalcs!CI160</f>
        <v>0</v>
      </c>
      <c r="U75" s="10">
        <f>HybridCalcs!CI172</f>
        <v>0</v>
      </c>
      <c r="V75" s="10">
        <f>HybridCalcs!CI184</f>
        <v>0</v>
      </c>
      <c r="W75" s="10">
        <f>HybridCalcs!CI196</f>
        <v>0</v>
      </c>
      <c r="X75" s="10">
        <f>HybridCalcs!CI208</f>
        <v>0</v>
      </c>
      <c r="Y75" s="10">
        <f>HybridCalcs!CI220</f>
        <v>0</v>
      </c>
      <c r="Z75" s="10">
        <f>HybridCalcs!CI232</f>
        <v>0</v>
      </c>
      <c r="AA75" s="10">
        <f>HybridCalcs!CI244</f>
        <v>0</v>
      </c>
      <c r="AB75" s="10">
        <f>HybridCalcs!CI256</f>
        <v>0</v>
      </c>
      <c r="AC75" s="10">
        <f>HybridCalcs!CI268</f>
        <v>0</v>
      </c>
      <c r="AD75" s="10">
        <f>HybridCalcs!CI280</f>
        <v>0</v>
      </c>
      <c r="AE75" s="10">
        <f>HybridCalcs!CI292</f>
        <v>0</v>
      </c>
      <c r="AF75" s="10">
        <f>HybridCalcs!CI304</f>
        <v>0</v>
      </c>
      <c r="AG75" s="10">
        <f>HybridCalcs!CI316</f>
        <v>0</v>
      </c>
      <c r="AH75" s="10">
        <f>HybridCalcs!CI328</f>
        <v>0</v>
      </c>
      <c r="AI75" s="10">
        <f>HybridCalcs!CI340</f>
        <v>0</v>
      </c>
      <c r="AJ75" s="10">
        <f>HybridCalcs!CI352</f>
        <v>0</v>
      </c>
      <c r="AK75" s="10">
        <f>HybridCalcs!CI364</f>
        <v>0</v>
      </c>
      <c r="AL75" s="10">
        <f>HybridCalcs!CI376</f>
        <v>0</v>
      </c>
      <c r="AM75" s="10">
        <f>HybridCalcs!CI388</f>
        <v>0</v>
      </c>
      <c r="AN75" s="10">
        <f>HybridCalcs!CI400</f>
        <v>0</v>
      </c>
      <c r="AO75" s="10">
        <f>HybridCalcs!CI412</f>
        <v>0</v>
      </c>
      <c r="AP75" s="10">
        <f>HybridCalcs!CI424</f>
        <v>0</v>
      </c>
      <c r="AQ75" s="10">
        <f>HybridCalcs!CI436</f>
        <v>0</v>
      </c>
      <c r="AR75" s="10">
        <f>HybridCalcs!CI448</f>
        <v>0</v>
      </c>
      <c r="AS75" s="10">
        <f>HybridCalcs!CI460</f>
        <v>0</v>
      </c>
      <c r="AT75" s="10">
        <f>HybridCalcs!CI472</f>
        <v>0</v>
      </c>
      <c r="AU75" s="10">
        <f>HybridCalcs!CI484</f>
        <v>0</v>
      </c>
    </row>
    <row r="76" spans="1:47" x14ac:dyDescent="0.25">
      <c r="A76" s="3"/>
      <c r="B76" s="46"/>
      <c r="C76" s="46"/>
      <c r="D76" s="46"/>
      <c r="E76" s="41" t="s">
        <v>496</v>
      </c>
      <c r="F76" s="41"/>
      <c r="G76" s="41"/>
      <c r="H76" s="248">
        <f>HybridCalcs!CJ16</f>
        <v>0</v>
      </c>
      <c r="I76" s="248">
        <f>HybridCalcs!CJ28</f>
        <v>0</v>
      </c>
      <c r="J76" s="248">
        <f>HybridCalcs!CJ40</f>
        <v>0</v>
      </c>
      <c r="K76" s="248">
        <f>HybridCalcs!CJ52</f>
        <v>0</v>
      </c>
      <c r="L76" s="248">
        <f>HybridCalcs!CJ64</f>
        <v>0</v>
      </c>
      <c r="M76" s="248">
        <f>HybridCalcs!CJ76</f>
        <v>0</v>
      </c>
      <c r="N76" s="248">
        <f>HybridCalcs!CJ88</f>
        <v>0</v>
      </c>
      <c r="O76" s="248">
        <f>HybridCalcs!CJ100</f>
        <v>0</v>
      </c>
      <c r="P76" s="248">
        <f>HybridCalcs!CJ112</f>
        <v>0</v>
      </c>
      <c r="Q76" s="248">
        <f>HybridCalcs!CJ124</f>
        <v>0</v>
      </c>
      <c r="R76" s="248">
        <f>HybridCalcs!CJ136</f>
        <v>0</v>
      </c>
      <c r="S76" s="248">
        <f>HybridCalcs!CJ148</f>
        <v>0</v>
      </c>
      <c r="T76" s="248">
        <f>HybridCalcs!CJ160</f>
        <v>0</v>
      </c>
      <c r="U76" s="248">
        <f>HybridCalcs!CJ172</f>
        <v>0</v>
      </c>
      <c r="V76" s="248">
        <f>HybridCalcs!CJ184</f>
        <v>0</v>
      </c>
      <c r="W76" s="248">
        <f>HybridCalcs!CJ196</f>
        <v>0</v>
      </c>
      <c r="X76" s="248">
        <f>HybridCalcs!CJ208</f>
        <v>0</v>
      </c>
      <c r="Y76" s="248">
        <f>HybridCalcs!CJ220</f>
        <v>0</v>
      </c>
      <c r="Z76" s="248">
        <f>HybridCalcs!CJ232</f>
        <v>0</v>
      </c>
      <c r="AA76" s="248">
        <f>HybridCalcs!CJ244</f>
        <v>0</v>
      </c>
      <c r="AB76" s="248">
        <f>HybridCalcs!CJ256</f>
        <v>0</v>
      </c>
      <c r="AC76" s="248">
        <f>HybridCalcs!CJ268</f>
        <v>0</v>
      </c>
      <c r="AD76" s="248">
        <f>HybridCalcs!CJ280</f>
        <v>0</v>
      </c>
      <c r="AE76" s="248">
        <f>HybridCalcs!CJ292</f>
        <v>0</v>
      </c>
      <c r="AF76" s="248">
        <f>HybridCalcs!CJ304</f>
        <v>0</v>
      </c>
      <c r="AG76" s="248">
        <f>HybridCalcs!CJ316</f>
        <v>0</v>
      </c>
      <c r="AH76" s="248">
        <f>HybridCalcs!CJ328</f>
        <v>0</v>
      </c>
      <c r="AI76" s="248">
        <f>HybridCalcs!CJ340</f>
        <v>0</v>
      </c>
      <c r="AJ76" s="248">
        <f>HybridCalcs!CJ352</f>
        <v>0</v>
      </c>
      <c r="AK76" s="248">
        <f>HybridCalcs!CJ364</f>
        <v>0</v>
      </c>
      <c r="AL76" s="248">
        <f>HybridCalcs!CJ376</f>
        <v>0</v>
      </c>
      <c r="AM76" s="248">
        <f>HybridCalcs!CJ388</f>
        <v>0</v>
      </c>
      <c r="AN76" s="248">
        <f>HybridCalcs!CJ400</f>
        <v>0</v>
      </c>
      <c r="AO76" s="248">
        <f>HybridCalcs!CJ412</f>
        <v>0</v>
      </c>
      <c r="AP76" s="248">
        <f>HybridCalcs!CJ424</f>
        <v>0</v>
      </c>
      <c r="AQ76" s="248">
        <f>HybridCalcs!CJ436</f>
        <v>0</v>
      </c>
      <c r="AR76" s="248">
        <f>HybridCalcs!CJ448</f>
        <v>0</v>
      </c>
      <c r="AS76" s="248">
        <f>HybridCalcs!CJ460</f>
        <v>0</v>
      </c>
      <c r="AT76" s="248">
        <f>HybridCalcs!CJ472</f>
        <v>0</v>
      </c>
      <c r="AU76" s="248">
        <f>HybridCalcs!CJ484</f>
        <v>0</v>
      </c>
    </row>
    <row r="77" spans="1:47" ht="15.75" thickBot="1" x14ac:dyDescent="0.3">
      <c r="A77" s="3"/>
      <c r="B77" s="3"/>
      <c r="C77" s="3"/>
      <c r="D77" s="3" t="s">
        <v>475</v>
      </c>
      <c r="H77" s="153">
        <f>SUM(H75:H76)</f>
        <v>0</v>
      </c>
      <c r="I77" s="153">
        <f t="shared" ref="I77:AU77" si="40">SUM(I75:I76)</f>
        <v>0</v>
      </c>
      <c r="J77" s="153">
        <f t="shared" si="40"/>
        <v>0</v>
      </c>
      <c r="K77" s="153">
        <f t="shared" si="40"/>
        <v>0</v>
      </c>
      <c r="L77" s="153">
        <f t="shared" si="40"/>
        <v>0</v>
      </c>
      <c r="M77" s="153">
        <f t="shared" si="40"/>
        <v>0</v>
      </c>
      <c r="N77" s="153">
        <f t="shared" si="40"/>
        <v>0</v>
      </c>
      <c r="O77" s="153">
        <f t="shared" si="40"/>
        <v>0</v>
      </c>
      <c r="P77" s="153">
        <f t="shared" si="40"/>
        <v>0</v>
      </c>
      <c r="Q77" s="153">
        <f t="shared" si="40"/>
        <v>0</v>
      </c>
      <c r="R77" s="153">
        <f t="shared" si="40"/>
        <v>0</v>
      </c>
      <c r="S77" s="153">
        <f t="shared" si="40"/>
        <v>0</v>
      </c>
      <c r="T77" s="153">
        <f t="shared" si="40"/>
        <v>0</v>
      </c>
      <c r="U77" s="153">
        <f t="shared" si="40"/>
        <v>0</v>
      </c>
      <c r="V77" s="153">
        <f t="shared" si="40"/>
        <v>0</v>
      </c>
      <c r="W77" s="153">
        <f t="shared" si="40"/>
        <v>0</v>
      </c>
      <c r="X77" s="153">
        <f t="shared" si="40"/>
        <v>0</v>
      </c>
      <c r="Y77" s="153">
        <f t="shared" si="40"/>
        <v>0</v>
      </c>
      <c r="Z77" s="153">
        <f t="shared" si="40"/>
        <v>0</v>
      </c>
      <c r="AA77" s="153">
        <f t="shared" si="40"/>
        <v>0</v>
      </c>
      <c r="AB77" s="153">
        <f t="shared" si="40"/>
        <v>0</v>
      </c>
      <c r="AC77" s="153">
        <f t="shared" si="40"/>
        <v>0</v>
      </c>
      <c r="AD77" s="153">
        <f t="shared" si="40"/>
        <v>0</v>
      </c>
      <c r="AE77" s="153">
        <f t="shared" si="40"/>
        <v>0</v>
      </c>
      <c r="AF77" s="153">
        <f t="shared" si="40"/>
        <v>0</v>
      </c>
      <c r="AG77" s="153">
        <f t="shared" si="40"/>
        <v>0</v>
      </c>
      <c r="AH77" s="153">
        <f t="shared" si="40"/>
        <v>0</v>
      </c>
      <c r="AI77" s="153">
        <f t="shared" si="40"/>
        <v>0</v>
      </c>
      <c r="AJ77" s="153">
        <f t="shared" si="40"/>
        <v>0</v>
      </c>
      <c r="AK77" s="153">
        <f t="shared" si="40"/>
        <v>0</v>
      </c>
      <c r="AL77" s="153">
        <f t="shared" si="40"/>
        <v>0</v>
      </c>
      <c r="AM77" s="153">
        <f t="shared" si="40"/>
        <v>0</v>
      </c>
      <c r="AN77" s="153">
        <f t="shared" si="40"/>
        <v>0</v>
      </c>
      <c r="AO77" s="153">
        <f t="shared" si="40"/>
        <v>0</v>
      </c>
      <c r="AP77" s="153">
        <f t="shared" si="40"/>
        <v>0</v>
      </c>
      <c r="AQ77" s="153">
        <f t="shared" si="40"/>
        <v>0</v>
      </c>
      <c r="AR77" s="153">
        <f t="shared" si="40"/>
        <v>0</v>
      </c>
      <c r="AS77" s="153">
        <f t="shared" si="40"/>
        <v>0</v>
      </c>
      <c r="AT77" s="153">
        <f t="shared" si="40"/>
        <v>0</v>
      </c>
      <c r="AU77" s="153">
        <f t="shared" si="40"/>
        <v>0</v>
      </c>
    </row>
    <row r="78" spans="1:47" ht="16.5" thickTop="1" thickBot="1" x14ac:dyDescent="0.3">
      <c r="A78" s="3"/>
      <c r="B78" s="46"/>
      <c r="C78" s="46" t="s">
        <v>476</v>
      </c>
      <c r="D78" s="46"/>
      <c r="E78" s="41"/>
      <c r="F78" s="41"/>
      <c r="G78" s="41"/>
      <c r="H78" s="263">
        <f>SUM(H77)</f>
        <v>0</v>
      </c>
      <c r="I78" s="263">
        <f t="shared" ref="I78:AU78" si="41">SUM(I77)</f>
        <v>0</v>
      </c>
      <c r="J78" s="263">
        <f t="shared" si="41"/>
        <v>0</v>
      </c>
      <c r="K78" s="263">
        <f t="shared" si="41"/>
        <v>0</v>
      </c>
      <c r="L78" s="263">
        <f t="shared" si="41"/>
        <v>0</v>
      </c>
      <c r="M78" s="263">
        <f t="shared" si="41"/>
        <v>0</v>
      </c>
      <c r="N78" s="263">
        <f t="shared" si="41"/>
        <v>0</v>
      </c>
      <c r="O78" s="263">
        <f t="shared" si="41"/>
        <v>0</v>
      </c>
      <c r="P78" s="263">
        <f t="shared" si="41"/>
        <v>0</v>
      </c>
      <c r="Q78" s="263">
        <f t="shared" si="41"/>
        <v>0</v>
      </c>
      <c r="R78" s="263">
        <f t="shared" si="41"/>
        <v>0</v>
      </c>
      <c r="S78" s="263">
        <f t="shared" si="41"/>
        <v>0</v>
      </c>
      <c r="T78" s="263">
        <f t="shared" si="41"/>
        <v>0</v>
      </c>
      <c r="U78" s="263">
        <f t="shared" si="41"/>
        <v>0</v>
      </c>
      <c r="V78" s="263">
        <f t="shared" si="41"/>
        <v>0</v>
      </c>
      <c r="W78" s="263">
        <f t="shared" si="41"/>
        <v>0</v>
      </c>
      <c r="X78" s="263">
        <f t="shared" si="41"/>
        <v>0</v>
      </c>
      <c r="Y78" s="263">
        <f t="shared" si="41"/>
        <v>0</v>
      </c>
      <c r="Z78" s="263">
        <f t="shared" si="41"/>
        <v>0</v>
      </c>
      <c r="AA78" s="263">
        <f t="shared" si="41"/>
        <v>0</v>
      </c>
      <c r="AB78" s="263">
        <f t="shared" si="41"/>
        <v>0</v>
      </c>
      <c r="AC78" s="263">
        <f t="shared" si="41"/>
        <v>0</v>
      </c>
      <c r="AD78" s="263">
        <f t="shared" si="41"/>
        <v>0</v>
      </c>
      <c r="AE78" s="263">
        <f t="shared" si="41"/>
        <v>0</v>
      </c>
      <c r="AF78" s="263">
        <f t="shared" si="41"/>
        <v>0</v>
      </c>
      <c r="AG78" s="263">
        <f t="shared" si="41"/>
        <v>0</v>
      </c>
      <c r="AH78" s="263">
        <f t="shared" si="41"/>
        <v>0</v>
      </c>
      <c r="AI78" s="263">
        <f t="shared" si="41"/>
        <v>0</v>
      </c>
      <c r="AJ78" s="263">
        <f t="shared" si="41"/>
        <v>0</v>
      </c>
      <c r="AK78" s="263">
        <f t="shared" si="41"/>
        <v>0</v>
      </c>
      <c r="AL78" s="263">
        <f t="shared" si="41"/>
        <v>0</v>
      </c>
      <c r="AM78" s="263">
        <f t="shared" si="41"/>
        <v>0</v>
      </c>
      <c r="AN78" s="263">
        <f t="shared" si="41"/>
        <v>0</v>
      </c>
      <c r="AO78" s="263">
        <f t="shared" si="41"/>
        <v>0</v>
      </c>
      <c r="AP78" s="263">
        <f t="shared" si="41"/>
        <v>0</v>
      </c>
      <c r="AQ78" s="263">
        <f t="shared" si="41"/>
        <v>0</v>
      </c>
      <c r="AR78" s="263">
        <f t="shared" si="41"/>
        <v>0</v>
      </c>
      <c r="AS78" s="263">
        <f t="shared" si="41"/>
        <v>0</v>
      </c>
      <c r="AT78" s="263">
        <f t="shared" si="41"/>
        <v>0</v>
      </c>
      <c r="AU78" s="263">
        <f t="shared" si="41"/>
        <v>0</v>
      </c>
    </row>
    <row r="79" spans="1:47" s="3" customFormat="1" ht="18.75" x14ac:dyDescent="0.3">
      <c r="A79" s="143"/>
      <c r="B79" s="143" t="s">
        <v>477</v>
      </c>
      <c r="D79" s="143"/>
      <c r="E79" s="143"/>
      <c r="G79" s="156">
        <f>G69+G72+G78</f>
        <v>-2325000</v>
      </c>
      <c r="H79" s="156">
        <f t="shared" ref="H79:AU79" si="42">H69+H72+H78</f>
        <v>1099329.9771850714</v>
      </c>
      <c r="I79" s="156">
        <f t="shared" si="42"/>
        <v>282609.51941834536</v>
      </c>
      <c r="J79" s="156">
        <f t="shared" si="42"/>
        <v>178298.32621394441</v>
      </c>
      <c r="K79" s="156">
        <f t="shared" si="42"/>
        <v>145172.69130297113</v>
      </c>
      <c r="L79" s="156">
        <f t="shared" si="42"/>
        <v>144039.2446834349</v>
      </c>
      <c r="M79" s="156">
        <f t="shared" si="42"/>
        <v>143027.13592874529</v>
      </c>
      <c r="N79" s="156">
        <f t="shared" si="42"/>
        <v>142562.72431022357</v>
      </c>
      <c r="O79" s="156">
        <f t="shared" si="42"/>
        <v>142093.32778346143</v>
      </c>
      <c r="P79" s="156">
        <f t="shared" si="42"/>
        <v>145078.21348878762</v>
      </c>
      <c r="Q79" s="156">
        <f t="shared" si="42"/>
        <v>144985.24848476707</v>
      </c>
      <c r="R79" s="156">
        <f t="shared" si="42"/>
        <v>144767.54692216087</v>
      </c>
      <c r="S79" s="156">
        <f t="shared" si="42"/>
        <v>142842.38733246012</v>
      </c>
      <c r="T79" s="156">
        <f t="shared" si="42"/>
        <v>142005.91402458324</v>
      </c>
      <c r="U79" s="156">
        <f t="shared" si="42"/>
        <v>141900.1755340751</v>
      </c>
      <c r="V79" s="156">
        <f t="shared" si="42"/>
        <v>-36726.404306016666</v>
      </c>
      <c r="W79" s="156">
        <f t="shared" si="42"/>
        <v>119195.45629596664</v>
      </c>
      <c r="X79" s="156">
        <f t="shared" si="42"/>
        <v>118722.34088813225</v>
      </c>
      <c r="Y79" s="156">
        <f t="shared" si="42"/>
        <v>119604.78453255908</v>
      </c>
      <c r="Z79" s="156">
        <f t="shared" si="42"/>
        <v>118975.42060763796</v>
      </c>
      <c r="AA79" s="156">
        <f t="shared" si="42"/>
        <v>117707.33707474016</v>
      </c>
      <c r="AB79" s="156">
        <f t="shared" si="42"/>
        <v>116501.39207898329</v>
      </c>
      <c r="AC79" s="156">
        <f t="shared" si="42"/>
        <v>115328.94457124261</v>
      </c>
      <c r="AD79" s="156">
        <f t="shared" si="42"/>
        <v>114128.39482478228</v>
      </c>
      <c r="AE79" s="156">
        <f t="shared" si="42"/>
        <v>112392.40456967791</v>
      </c>
      <c r="AF79" s="156">
        <f t="shared" si="42"/>
        <v>110272.85325783138</v>
      </c>
      <c r="AG79" s="156">
        <f t="shared" si="42"/>
        <v>108364.81860430868</v>
      </c>
      <c r="AH79" s="156">
        <f t="shared" si="42"/>
        <v>106486.30839827948</v>
      </c>
      <c r="AI79" s="156">
        <f t="shared" si="42"/>
        <v>104636.86578588198</v>
      </c>
      <c r="AJ79" s="156">
        <f t="shared" si="42"/>
        <v>102816.04098249602</v>
      </c>
      <c r="AK79" s="156">
        <f t="shared" si="42"/>
        <v>101023.39116335531</v>
      </c>
      <c r="AL79" s="156">
        <f t="shared" si="42"/>
        <v>100114.26232307903</v>
      </c>
      <c r="AM79" s="156">
        <f t="shared" si="42"/>
        <v>99212.379904918562</v>
      </c>
      <c r="AN79" s="156">
        <f t="shared" si="42"/>
        <v>98317.686149587069</v>
      </c>
      <c r="AO79" s="156">
        <f t="shared" si="42"/>
        <v>97430.123758181478</v>
      </c>
      <c r="AP79" s="156">
        <f t="shared" si="42"/>
        <v>96549.635888512828</v>
      </c>
      <c r="AQ79" s="156">
        <f t="shared" si="42"/>
        <v>95676.166151466154</v>
      </c>
      <c r="AR79" s="156">
        <f t="shared" si="42"/>
        <v>94809.658607388876</v>
      </c>
      <c r="AS79" s="156">
        <f t="shared" si="42"/>
        <v>93950.057762508397</v>
      </c>
      <c r="AT79" s="156">
        <f t="shared" si="42"/>
        <v>93097.308565378145</v>
      </c>
      <c r="AU79" s="156">
        <f t="shared" si="42"/>
        <v>92251.356403351791</v>
      </c>
    </row>
    <row r="80" spans="1:47" s="142" customFormat="1" ht="15.75" x14ac:dyDescent="0.25">
      <c r="A80" s="52"/>
      <c r="B80" s="246"/>
      <c r="C80" s="246" t="s">
        <v>478</v>
      </c>
      <c r="D80" s="246"/>
      <c r="E80" s="252"/>
      <c r="F80" s="252"/>
      <c r="G80" s="262">
        <f>G79</f>
        <v>-2325000</v>
      </c>
      <c r="H80" s="262">
        <f>G80+H79</f>
        <v>-1225670.0228149286</v>
      </c>
      <c r="I80" s="262">
        <f t="shared" ref="I80:AU80" si="43">H80+I79</f>
        <v>-943060.50339658326</v>
      </c>
      <c r="J80" s="262">
        <f t="shared" si="43"/>
        <v>-764762.17718263878</v>
      </c>
      <c r="K80" s="262">
        <f t="shared" si="43"/>
        <v>-619589.48587966769</v>
      </c>
      <c r="L80" s="262">
        <f t="shared" si="43"/>
        <v>-475550.24119623279</v>
      </c>
      <c r="M80" s="262">
        <f t="shared" si="43"/>
        <v>-332523.10526748747</v>
      </c>
      <c r="N80" s="262">
        <f t="shared" si="43"/>
        <v>-189960.3809572639</v>
      </c>
      <c r="O80" s="262">
        <f t="shared" si="43"/>
        <v>-47867.053173802473</v>
      </c>
      <c r="P80" s="262">
        <f t="shared" si="43"/>
        <v>97211.160314985143</v>
      </c>
      <c r="Q80" s="262">
        <f t="shared" si="43"/>
        <v>242196.40879975221</v>
      </c>
      <c r="R80" s="262">
        <f t="shared" si="43"/>
        <v>386963.95572191308</v>
      </c>
      <c r="S80" s="262">
        <f t="shared" si="43"/>
        <v>529806.34305437317</v>
      </c>
      <c r="T80" s="262">
        <f t="shared" si="43"/>
        <v>671812.25707895635</v>
      </c>
      <c r="U80" s="262">
        <f t="shared" si="43"/>
        <v>813712.43261303147</v>
      </c>
      <c r="V80" s="262">
        <f t="shared" si="43"/>
        <v>776986.02830701484</v>
      </c>
      <c r="W80" s="262">
        <f t="shared" si="43"/>
        <v>896181.48460298148</v>
      </c>
      <c r="X80" s="262">
        <f t="shared" si="43"/>
        <v>1014903.8254911137</v>
      </c>
      <c r="Y80" s="262">
        <f t="shared" si="43"/>
        <v>1134508.6100236727</v>
      </c>
      <c r="Z80" s="262">
        <f t="shared" si="43"/>
        <v>1253484.0306313108</v>
      </c>
      <c r="AA80" s="262">
        <f t="shared" si="43"/>
        <v>1371191.3677060509</v>
      </c>
      <c r="AB80" s="262">
        <f t="shared" si="43"/>
        <v>1487692.7597850342</v>
      </c>
      <c r="AC80" s="262">
        <f t="shared" si="43"/>
        <v>1603021.7043562769</v>
      </c>
      <c r="AD80" s="262">
        <f t="shared" si="43"/>
        <v>1717150.0991810593</v>
      </c>
      <c r="AE80" s="262">
        <f t="shared" si="43"/>
        <v>1829542.5037507373</v>
      </c>
      <c r="AF80" s="262">
        <f>AE80+AF79</f>
        <v>1939815.3570085687</v>
      </c>
      <c r="AG80" s="262">
        <f t="shared" si="43"/>
        <v>2048180.1756128774</v>
      </c>
      <c r="AH80" s="262">
        <f t="shared" si="43"/>
        <v>2154666.484011157</v>
      </c>
      <c r="AI80" s="262">
        <f t="shared" si="43"/>
        <v>2259303.3497970388</v>
      </c>
      <c r="AJ80" s="262">
        <f t="shared" si="43"/>
        <v>2362119.3907795348</v>
      </c>
      <c r="AK80" s="262">
        <f t="shared" si="43"/>
        <v>2463142.78194289</v>
      </c>
      <c r="AL80" s="262">
        <f t="shared" si="43"/>
        <v>2563257.0442659692</v>
      </c>
      <c r="AM80" s="262">
        <f t="shared" si="43"/>
        <v>2662469.4241708876</v>
      </c>
      <c r="AN80" s="262">
        <f t="shared" si="43"/>
        <v>2760787.1103204745</v>
      </c>
      <c r="AO80" s="262">
        <f t="shared" si="43"/>
        <v>2858217.234078656</v>
      </c>
      <c r="AP80" s="262">
        <f t="shared" si="43"/>
        <v>2954766.8699671687</v>
      </c>
      <c r="AQ80" s="262">
        <f t="shared" si="43"/>
        <v>3050443.036118635</v>
      </c>
      <c r="AR80" s="262">
        <f t="shared" si="43"/>
        <v>3145252.6947260238</v>
      </c>
      <c r="AS80" s="262">
        <f t="shared" si="43"/>
        <v>3239202.7524885321</v>
      </c>
      <c r="AT80" s="262">
        <f t="shared" si="43"/>
        <v>3332300.0610539103</v>
      </c>
      <c r="AU80" s="262">
        <f t="shared" si="43"/>
        <v>3424551.4174572621</v>
      </c>
    </row>
    <row r="81" spans="1:47" x14ac:dyDescent="0.25">
      <c r="A81" s="3"/>
      <c r="B81" s="3"/>
      <c r="C81" s="3"/>
      <c r="D81" s="3" t="str">
        <f>"Discounted CF @ "&amp;'PV IN'!$E$9*100&amp;"% /yr"</f>
        <v>Discounted CF @ 5% /yr</v>
      </c>
      <c r="G81" s="10">
        <f>G79/(1+('PV IN'!$E$9))^(G3-$G$3)</f>
        <v>-2325000</v>
      </c>
      <c r="H81" s="10">
        <f>H79/(1+('PV IN'!$E$9))^(H4)</f>
        <v>1046980.9306524489</v>
      </c>
      <c r="I81" s="10">
        <f>I79/(1+('PV IN'!$E$9))^(I4)</f>
        <v>256335.16500530191</v>
      </c>
      <c r="J81" s="10">
        <f>J79/(1+('PV IN'!$E$9))^(J4)</f>
        <v>154020.79793883546</v>
      </c>
      <c r="K81" s="10">
        <f>K79/(1+('PV IN'!$E$9))^(K4)</f>
        <v>119433.93240715227</v>
      </c>
      <c r="L81" s="10">
        <f>L79/(1+('PV IN'!$E$9))^(L4)</f>
        <v>112858.5172078241</v>
      </c>
      <c r="M81" s="10">
        <f>M79/(1+('PV IN'!$E$9))^(M4)</f>
        <v>106729.05096686953</v>
      </c>
      <c r="N81" s="10">
        <f>N79/(1+('PV IN'!$E$9))^(N4)</f>
        <v>101316.66653976348</v>
      </c>
      <c r="O81" s="10">
        <f>O79/(1+('PV IN'!$E$9))^(O4)</f>
        <v>96174.357325491161</v>
      </c>
      <c r="P81" s="10">
        <f>P79/(1+('PV IN'!$E$9))^(P4)</f>
        <v>93518.709963821602</v>
      </c>
      <c r="Q81" s="10">
        <f>Q79/(1+('PV IN'!$E$9))^(Q4)</f>
        <v>89008.365612698792</v>
      </c>
      <c r="R81" s="10">
        <f>R79/(1+('PV IN'!$E$9))^(R4)</f>
        <v>84642.586417236482</v>
      </c>
      <c r="S81" s="10">
        <f>S79/(1+('PV IN'!$E$9))^(S4)</f>
        <v>79539.986168526026</v>
      </c>
      <c r="T81" s="10">
        <f>T79/(1+('PV IN'!$E$9))^(T4)</f>
        <v>75308.768125136572</v>
      </c>
      <c r="U81" s="10">
        <f>U79/(1+('PV IN'!$E$9))^(U4)</f>
        <v>71669.231186700112</v>
      </c>
      <c r="V81" s="10">
        <f>V79/(1+('PV IN'!$E$9))^(V4)</f>
        <v>-17666.028422595849</v>
      </c>
      <c r="W81" s="10">
        <f>W79/(1+('PV IN'!$E$9))^(W4)</f>
        <v>54604.811898204702</v>
      </c>
      <c r="X81" s="10">
        <f>X79/(1+('PV IN'!$E$9))^(X4)</f>
        <v>51798.164074899149</v>
      </c>
      <c r="Y81" s="10">
        <f>Y79/(1+('PV IN'!$E$9))^(Y4)</f>
        <v>49698.258394253164</v>
      </c>
      <c r="Z81" s="10">
        <f>Z79/(1+('PV IN'!$E$9))^(Z4)</f>
        <v>47082.613984780932</v>
      </c>
      <c r="AA81" s="10">
        <f>AA79/(1+('PV IN'!$E$9))^(AA4)</f>
        <v>44362.657400456788</v>
      </c>
      <c r="AB81" s="10">
        <f>AB79/(1+('PV IN'!$E$9))^(AB4)</f>
        <v>41817.285156793048</v>
      </c>
      <c r="AC81" s="10">
        <f>AC79/(1+('PV IN'!$E$9))^(AC4)</f>
        <v>39425.18483423545</v>
      </c>
      <c r="AD81" s="10">
        <f>AD79/(1+('PV IN'!$E$9))^(AD4)</f>
        <v>37156.930531595142</v>
      </c>
      <c r="AE81" s="10">
        <f>AE79/(1+('PV IN'!$E$9))^(AE4)</f>
        <v>34849.278016562217</v>
      </c>
      <c r="AF81" s="10">
        <f>AF79/(1+('PV IN'!$E$9))^(AF4)</f>
        <v>32563.8792100582</v>
      </c>
      <c r="AG81" s="10">
        <f>AG79/(1+('PV IN'!$E$9))^(AG4)</f>
        <v>30476.601227026254</v>
      </c>
      <c r="AH81" s="10">
        <f>AH79/(1+('PV IN'!$E$9))^(AH4)</f>
        <v>28522.178701020053</v>
      </c>
      <c r="AI81" s="10">
        <f>AI79/(1+('PV IN'!$E$9))^(AI4)</f>
        <v>26692.198672573311</v>
      </c>
      <c r="AJ81" s="10">
        <f>AJ79/(1+('PV IN'!$E$9))^(AJ4)</f>
        <v>24978.778905597374</v>
      </c>
      <c r="AK81" s="10">
        <f>AK79/(1+('PV IN'!$E$9))^(AK4)</f>
        <v>23374.534501939917</v>
      </c>
      <c r="AL81" s="10">
        <f>AL79/(1+('PV IN'!$E$9))^(AL4)</f>
        <v>22061.126276549832</v>
      </c>
      <c r="AM81" s="10">
        <f>AM79/(1+('PV IN'!$E$9))^(AM4)</f>
        <v>20821.321848050593</v>
      </c>
      <c r="AN81" s="10">
        <f>AN79/(1+('PV IN'!$E$9))^(AN4)</f>
        <v>19651.005618433301</v>
      </c>
      <c r="AO81" s="10">
        <f>AO79/(1+('PV IN'!$E$9))^(AO4)</f>
        <v>18546.29168496051</v>
      </c>
      <c r="AP81" s="10">
        <f>AP79/(1+('PV IN'!$E$9))^(AP4)</f>
        <v>17503.511040915913</v>
      </c>
      <c r="AQ81" s="10">
        <f>AQ79/(1+('PV IN'!$E$9))^(AQ4)</f>
        <v>16519.199488609414</v>
      </c>
      <c r="AR81" s="10">
        <f>AR79/(1+('PV IN'!$E$9))^(AR4)</f>
        <v>15590.086225046669</v>
      </c>
      <c r="AS81" s="10">
        <f>AS79/(1+('PV IN'!$E$9))^(AS4)</f>
        <v>14713.083062871186</v>
      </c>
      <c r="AT81" s="10">
        <f>AT79/(1+('PV IN'!$E$9))^(AT4)</f>
        <v>13885.274251263068</v>
      </c>
      <c r="AU81" s="10">
        <f>AU79/(1+('PV IN'!$E$9))^(AU4)</f>
        <v>13103.90686344021</v>
      </c>
    </row>
    <row r="82" spans="1:47" x14ac:dyDescent="0.25">
      <c r="A82" s="3"/>
      <c r="B82" s="46"/>
      <c r="C82" s="46"/>
      <c r="D82" s="46" t="s">
        <v>479</v>
      </c>
      <c r="E82" s="41"/>
      <c r="F82" s="41"/>
      <c r="G82" s="248">
        <f>G81</f>
        <v>-2325000</v>
      </c>
      <c r="H82" s="248">
        <f>G82+H81</f>
        <v>-1278019.0693475511</v>
      </c>
      <c r="I82" s="248">
        <f t="shared" ref="I82:AU82" si="44">H82+I81</f>
        <v>-1021683.9043422492</v>
      </c>
      <c r="J82" s="248">
        <f t="shared" si="44"/>
        <v>-867663.10640341369</v>
      </c>
      <c r="K82" s="248">
        <f t="shared" si="44"/>
        <v>-748229.17399626144</v>
      </c>
      <c r="L82" s="248">
        <f t="shared" si="44"/>
        <v>-635370.65678843739</v>
      </c>
      <c r="M82" s="248">
        <f t="shared" si="44"/>
        <v>-528641.60582156782</v>
      </c>
      <c r="N82" s="248">
        <f t="shared" si="44"/>
        <v>-427324.93928180437</v>
      </c>
      <c r="O82" s="248">
        <f t="shared" si="44"/>
        <v>-331150.58195631322</v>
      </c>
      <c r="P82" s="248">
        <f t="shared" si="44"/>
        <v>-237631.87199249162</v>
      </c>
      <c r="Q82" s="248">
        <f>P82+Q81</f>
        <v>-148623.50637979282</v>
      </c>
      <c r="R82" s="248">
        <f t="shared" si="44"/>
        <v>-63980.919962556334</v>
      </c>
      <c r="S82" s="248">
        <f t="shared" si="44"/>
        <v>15559.066205969692</v>
      </c>
      <c r="T82" s="248">
        <f t="shared" si="44"/>
        <v>90867.834331106264</v>
      </c>
      <c r="U82" s="248">
        <f t="shared" si="44"/>
        <v>162537.06551780639</v>
      </c>
      <c r="V82" s="248">
        <f t="shared" si="44"/>
        <v>144871.03709521054</v>
      </c>
      <c r="W82" s="248">
        <f t="shared" si="44"/>
        <v>199475.84899341525</v>
      </c>
      <c r="X82" s="248">
        <f t="shared" si="44"/>
        <v>251274.01306831441</v>
      </c>
      <c r="Y82" s="248">
        <f t="shared" si="44"/>
        <v>300972.27146256756</v>
      </c>
      <c r="Z82" s="248">
        <f t="shared" si="44"/>
        <v>348054.88544734847</v>
      </c>
      <c r="AA82" s="248">
        <f t="shared" si="44"/>
        <v>392417.54284780525</v>
      </c>
      <c r="AB82" s="248">
        <f t="shared" si="44"/>
        <v>434234.82800459827</v>
      </c>
      <c r="AC82" s="248">
        <f t="shared" si="44"/>
        <v>473660.01283883373</v>
      </c>
      <c r="AD82" s="248">
        <f t="shared" si="44"/>
        <v>510816.94337042887</v>
      </c>
      <c r="AE82" s="248">
        <f t="shared" si="44"/>
        <v>545666.22138699109</v>
      </c>
      <c r="AF82" s="248">
        <f>AE82+AF81</f>
        <v>578230.10059704934</v>
      </c>
      <c r="AG82" s="248">
        <f t="shared" si="44"/>
        <v>608706.70182407554</v>
      </c>
      <c r="AH82" s="248">
        <f t="shared" si="44"/>
        <v>637228.88052509562</v>
      </c>
      <c r="AI82" s="248">
        <f t="shared" si="44"/>
        <v>663921.07919766894</v>
      </c>
      <c r="AJ82" s="248">
        <f t="shared" si="44"/>
        <v>688899.85810326634</v>
      </c>
      <c r="AK82" s="248">
        <f t="shared" si="44"/>
        <v>712274.39260520623</v>
      </c>
      <c r="AL82" s="248">
        <f t="shared" si="44"/>
        <v>734335.51888175611</v>
      </c>
      <c r="AM82" s="248">
        <f t="shared" si="44"/>
        <v>755156.84072980669</v>
      </c>
      <c r="AN82" s="248">
        <f t="shared" si="44"/>
        <v>774807.84634824004</v>
      </c>
      <c r="AO82" s="248">
        <f t="shared" si="44"/>
        <v>793354.13803320052</v>
      </c>
      <c r="AP82" s="248">
        <f t="shared" si="44"/>
        <v>810857.64907411649</v>
      </c>
      <c r="AQ82" s="248">
        <f t="shared" si="44"/>
        <v>827376.84856272594</v>
      </c>
      <c r="AR82" s="248">
        <f t="shared" si="44"/>
        <v>842966.9347877726</v>
      </c>
      <c r="AS82" s="248">
        <f t="shared" si="44"/>
        <v>857680.01785064384</v>
      </c>
      <c r="AT82" s="248">
        <f t="shared" si="44"/>
        <v>871565.29210190696</v>
      </c>
      <c r="AU82" s="248">
        <f t="shared" si="44"/>
        <v>884669.19896534714</v>
      </c>
    </row>
    <row r="83" spans="1:47" x14ac:dyDescent="0.25">
      <c r="A83" s="3"/>
      <c r="B83" s="3"/>
      <c r="C83" s="3"/>
      <c r="D83" s="3" t="str">
        <f>"Cumulative Discounted ROI on $"&amp;ROUND('Batt IN'!$P$25/1000000,2)&amp;" MM"</f>
        <v>Cumulative Discounted ROI on $2.33 MM</v>
      </c>
      <c r="G83" s="49">
        <f>G82/'Batt IN'!$P$24</f>
        <v>-1</v>
      </c>
      <c r="H83" s="49">
        <f>H82/'Batt IN'!$P$25</f>
        <v>-0.54968562122475317</v>
      </c>
      <c r="I83" s="49">
        <f>I82/'Batt IN'!$P$25</f>
        <v>-0.43943393735150499</v>
      </c>
      <c r="J83" s="49">
        <f>J82/'Batt IN'!$P$25</f>
        <v>-0.37318843286168329</v>
      </c>
      <c r="K83" s="49">
        <f>K82/'Batt IN'!$P$25</f>
        <v>-0.32181899956828447</v>
      </c>
      <c r="L83" s="49">
        <f>L82/'Batt IN'!$P$25</f>
        <v>-0.27327770184448918</v>
      </c>
      <c r="M83" s="49">
        <f>M82/'Batt IN'!$P$25</f>
        <v>-0.22737273368669583</v>
      </c>
      <c r="N83" s="49">
        <f>N82/'Batt IN'!$P$25</f>
        <v>-0.18379567280937822</v>
      </c>
      <c r="O83" s="49">
        <f>O82/'Batt IN'!$P$25</f>
        <v>-0.14243035783067234</v>
      </c>
      <c r="P83" s="49">
        <f>P82/'Batt IN'!$P$25</f>
        <v>-0.10220725677096414</v>
      </c>
      <c r="Q83" s="49">
        <f>Q82/'Batt IN'!$P$25</f>
        <v>-6.392408876550229E-2</v>
      </c>
      <c r="R83" s="49">
        <f>R82/'Batt IN'!$P$25</f>
        <v>-2.7518675252712402E-2</v>
      </c>
      <c r="S83" s="49">
        <f>S82/'Batt IN'!$P$25</f>
        <v>6.6920714864385769E-3</v>
      </c>
      <c r="T83" s="49">
        <f>T82/'Batt IN'!$P$25</f>
        <v>3.9082939497250009E-2</v>
      </c>
      <c r="U83" s="49">
        <f>U82/'Batt IN'!$P$25</f>
        <v>6.9908415276475872E-2</v>
      </c>
      <c r="V83" s="49">
        <f>V82/'Batt IN'!$P$25</f>
        <v>6.2310123481810989E-2</v>
      </c>
      <c r="W83" s="49">
        <f>W82/'Batt IN'!$P$25</f>
        <v>8.579606408318935E-2</v>
      </c>
      <c r="X83" s="49">
        <f>X82/'Batt IN'!$P$25</f>
        <v>0.10807484433045782</v>
      </c>
      <c r="Y83" s="49">
        <f>Y82/'Batt IN'!$P$25</f>
        <v>0.12945043933873873</v>
      </c>
      <c r="Z83" s="49">
        <f>Z82/'Batt IN'!$P$25</f>
        <v>0.14970102599885957</v>
      </c>
      <c r="AA83" s="49">
        <f>AA82/'Batt IN'!$P$25</f>
        <v>0.16878173885927109</v>
      </c>
      <c r="AB83" s="49">
        <f>AB82/'Batt IN'!$P$25</f>
        <v>0.18676766795896699</v>
      </c>
      <c r="AC83" s="49">
        <f>AC82/'Batt IN'!$P$25</f>
        <v>0.20372473670487473</v>
      </c>
      <c r="AD83" s="49">
        <f>AD82/'Batt IN'!$P$25</f>
        <v>0.21970621220233499</v>
      </c>
      <c r="AE83" s="49">
        <f>AE82/'Batt IN'!$P$25</f>
        <v>0.23469514898365207</v>
      </c>
      <c r="AF83" s="49">
        <f>AF82/'Batt IN'!$P$25</f>
        <v>0.24870111853636531</v>
      </c>
      <c r="AG83" s="1">
        <f>AG82/'Batt IN'!$P$24</f>
        <v>0.26180933411788193</v>
      </c>
      <c r="AH83" s="1">
        <f>AH82/'Batt IN'!$P$24</f>
        <v>0.27407693786025616</v>
      </c>
      <c r="AI83" s="1">
        <f>AI82/'Batt IN'!$P$24</f>
        <v>0.2855574534183522</v>
      </c>
      <c r="AJ83" s="1">
        <f>AJ82/'Batt IN'!$P$24</f>
        <v>0.29630101423796401</v>
      </c>
      <c r="AK83" s="1">
        <f>AK82/'Batt IN'!$P$24</f>
        <v>0.30635457746460482</v>
      </c>
      <c r="AL83" s="1">
        <f>AL82/'Batt IN'!$P$24</f>
        <v>0.31584323392763702</v>
      </c>
      <c r="AM83" s="1">
        <f>AM82/'Batt IN'!$P$24</f>
        <v>0.32479864117411039</v>
      </c>
      <c r="AN83" s="1">
        <f>AN82/'Batt IN'!$P$24</f>
        <v>0.33325068660139356</v>
      </c>
      <c r="AO83" s="1">
        <f>AO82/'Batt IN'!$P$24</f>
        <v>0.34122758625083893</v>
      </c>
      <c r="AP83" s="1">
        <f>AP82/'Batt IN'!$P$24</f>
        <v>0.34875597809639419</v>
      </c>
      <c r="AQ83" s="1">
        <f>AQ82/'Batt IN'!$P$24</f>
        <v>0.35586101013450577</v>
      </c>
      <c r="AR83" s="1">
        <f>AR82/'Batt IN'!$P$24</f>
        <v>0.36256642356463337</v>
      </c>
      <c r="AS83" s="1">
        <f>AS82/'Batt IN'!$P$24</f>
        <v>0.36889463133361028</v>
      </c>
      <c r="AT83" s="1">
        <f>AT82/'Batt IN'!$P$24</f>
        <v>0.37486679230189546</v>
      </c>
      <c r="AU83" s="1">
        <f>AU82/'Batt IN'!$P$24</f>
        <v>0.38050288127541815</v>
      </c>
    </row>
  </sheetData>
  <phoneticPr fontId="26" type="noConversion"/>
  <pageMargins left="0.2" right="0.2" top="0.25" bottom="0" header="0" footer="0.05"/>
  <pageSetup scale="57" fitToWidth="0" orientation="portrait" horizontalDpi="4294967293" verticalDpi="0" r:id="rId1"/>
  <headerFooter alignWithMargins="0">
    <oddFooter>&amp;A&amp;RPage &amp;P</oddFooter>
  </headerFooter>
  <colBreaks count="7" manualBreakCount="7">
    <brk id="12" max="82" man="1"/>
    <brk id="17" max="82" man="1"/>
    <brk id="22" max="1048575" man="1"/>
    <brk id="27" max="83" man="1"/>
    <brk id="32" max="1048575" man="1"/>
    <brk id="37" max="83" man="1"/>
    <brk id="42" max="1048575" man="1"/>
  </colBreaks>
  <ignoredErrors>
    <ignoredError sqref="G81 H81:AE81 AG81:AU8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02" id="{B9883B28-9FFA-4651-9FFE-E477E51E88BB}">
            <xm:f>H$3&gt;'PV IN'!$E$5+'PV IN'!$O$22</xm:f>
            <x14:dxf>
              <font>
                <color theme="0"/>
              </font>
              <fill>
                <patternFill patternType="none">
                  <bgColor auto="1"/>
                </patternFill>
              </fill>
              <border>
                <left/>
                <right/>
                <top/>
                <bottom/>
                <vertical/>
                <horizontal/>
              </border>
            </x14:dxf>
          </x14:cfRule>
          <xm:sqref>H3:AU61 I62:AU62 H63:AU1048576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1086C0"/>
  </sheetPr>
  <dimension ref="A1:V55"/>
  <sheetViews>
    <sheetView zoomScale="85" zoomScaleNormal="85" workbookViewId="0"/>
  </sheetViews>
  <sheetFormatPr defaultRowHeight="15" x14ac:dyDescent="0.25"/>
  <cols>
    <col min="1" max="2" width="2.85546875" customWidth="1"/>
    <col min="3" max="3" width="22.140625" customWidth="1"/>
    <col min="4" max="4" width="10.42578125" customWidth="1"/>
    <col min="5" max="5" width="13.42578125" bestFit="1" customWidth="1"/>
    <col min="7" max="7" width="11.140625" bestFit="1" customWidth="1"/>
    <col min="8" max="8" width="8.7109375" customWidth="1"/>
    <col min="9" max="9" width="18.140625" bestFit="1" customWidth="1"/>
    <col min="10" max="10" width="15.7109375" bestFit="1" customWidth="1"/>
    <col min="11" max="11" width="18.140625" bestFit="1" customWidth="1"/>
    <col min="14" max="15" width="2.85546875" customWidth="1"/>
    <col min="16" max="16" width="15.85546875" customWidth="1"/>
    <col min="18" max="18" width="15.28515625" bestFit="1" customWidth="1"/>
    <col min="20" max="20" width="11" bestFit="1" customWidth="1"/>
    <col min="21" max="21" width="15.140625" bestFit="1" customWidth="1"/>
    <col min="23" max="23" width="12.5703125" bestFit="1" customWidth="1"/>
  </cols>
  <sheetData>
    <row r="1" spans="1:22" x14ac:dyDescent="0.25">
      <c r="A1" s="36"/>
      <c r="B1" s="36"/>
      <c r="C1" s="36"/>
      <c r="D1" s="36"/>
      <c r="E1" s="36"/>
      <c r="F1" s="36"/>
      <c r="G1" s="36"/>
      <c r="H1" s="36"/>
      <c r="I1" s="36"/>
      <c r="J1" s="36"/>
      <c r="K1" s="36"/>
      <c r="L1" s="36"/>
      <c r="M1" s="36"/>
      <c r="N1" s="36"/>
      <c r="O1" s="36"/>
      <c r="P1" s="36"/>
      <c r="Q1" s="36"/>
      <c r="R1" s="36"/>
      <c r="S1" s="36"/>
      <c r="T1" s="36"/>
      <c r="U1" s="36"/>
      <c r="V1" s="36"/>
    </row>
    <row r="2" spans="1:22" x14ac:dyDescent="0.25">
      <c r="A2" s="29" t="s">
        <v>122</v>
      </c>
      <c r="B2" s="17"/>
      <c r="C2" s="17"/>
      <c r="D2" s="17"/>
      <c r="E2" s="177"/>
      <c r="F2" s="36"/>
      <c r="G2" s="51" t="s">
        <v>166</v>
      </c>
      <c r="H2" s="17"/>
      <c r="I2" s="177"/>
      <c r="J2" s="36"/>
      <c r="K2" s="36"/>
      <c r="L2" s="36"/>
      <c r="M2" s="36"/>
      <c r="N2" s="36"/>
      <c r="O2" s="36"/>
      <c r="P2" s="36"/>
      <c r="Q2" s="36"/>
      <c r="R2" s="36"/>
      <c r="S2" s="36"/>
      <c r="T2" s="36"/>
      <c r="U2" s="36"/>
      <c r="V2" s="36"/>
    </row>
    <row r="3" spans="1:22" ht="18" x14ac:dyDescent="0.35">
      <c r="A3" s="30"/>
      <c r="B3" t="s">
        <v>177</v>
      </c>
      <c r="D3" s="84">
        <f>'PV IN'!E18</f>
        <v>1500</v>
      </c>
      <c r="E3" s="168" t="s">
        <v>98</v>
      </c>
      <c r="F3" s="36"/>
      <c r="G3" s="30"/>
      <c r="H3" t="s">
        <v>127</v>
      </c>
      <c r="I3" s="305">
        <v>0</v>
      </c>
      <c r="J3" s="36"/>
      <c r="K3" s="36"/>
      <c r="L3" s="36"/>
      <c r="M3" s="36"/>
      <c r="N3" s="270" t="s">
        <v>169</v>
      </c>
      <c r="O3" s="288"/>
      <c r="P3" s="17"/>
      <c r="Q3" s="17"/>
      <c r="R3" s="81" t="s">
        <v>170</v>
      </c>
      <c r="S3" s="271" t="s">
        <v>171</v>
      </c>
      <c r="T3" s="81" t="s">
        <v>172</v>
      </c>
      <c r="U3" s="273" t="s">
        <v>82</v>
      </c>
      <c r="V3" s="36"/>
    </row>
    <row r="4" spans="1:22" ht="15.75" x14ac:dyDescent="0.25">
      <c r="A4" s="34" t="s">
        <v>127</v>
      </c>
      <c r="E4" s="168"/>
      <c r="F4" s="36"/>
      <c r="G4" s="30"/>
      <c r="H4" t="s">
        <v>173</v>
      </c>
      <c r="I4" s="305">
        <v>0</v>
      </c>
      <c r="J4" s="36"/>
      <c r="K4" s="36"/>
      <c r="L4" s="36"/>
      <c r="M4" s="36"/>
      <c r="N4" s="289"/>
      <c r="O4" s="290" t="s">
        <v>174</v>
      </c>
      <c r="U4" s="168"/>
      <c r="V4" s="36"/>
    </row>
    <row r="5" spans="1:22" ht="18" x14ac:dyDescent="0.35">
      <c r="A5" s="30"/>
      <c r="B5" t="s">
        <v>167</v>
      </c>
      <c r="D5" s="84">
        <f>'Batt IN'!E28</f>
        <v>1000</v>
      </c>
      <c r="E5" s="168" t="s">
        <v>168</v>
      </c>
      <c r="F5" s="36"/>
      <c r="G5" s="30"/>
      <c r="H5" t="s">
        <v>122</v>
      </c>
      <c r="I5" s="305">
        <v>0</v>
      </c>
      <c r="J5" s="36"/>
      <c r="K5" s="36"/>
      <c r="L5" s="36"/>
      <c r="M5" s="36"/>
      <c r="N5" s="289"/>
      <c r="O5" s="290"/>
      <c r="P5" t="s">
        <v>175</v>
      </c>
      <c r="R5" s="84">
        <f>$D$5</f>
        <v>1000</v>
      </c>
      <c r="S5" s="101" t="s">
        <v>176</v>
      </c>
      <c r="T5" s="8">
        <v>0.2</v>
      </c>
      <c r="U5" s="274">
        <f>T5*R5</f>
        <v>200</v>
      </c>
      <c r="V5" s="36"/>
    </row>
    <row r="6" spans="1:22" ht="18.75" thickBot="1" x14ac:dyDescent="0.4">
      <c r="A6" s="169"/>
      <c r="B6" s="170" t="s">
        <v>99</v>
      </c>
      <c r="C6" s="170"/>
      <c r="D6" s="184">
        <f>'Batt IN'!E27</f>
        <v>1000</v>
      </c>
      <c r="E6" s="172" t="s">
        <v>98</v>
      </c>
      <c r="F6" s="36"/>
      <c r="G6" s="30"/>
      <c r="H6" t="s">
        <v>387</v>
      </c>
      <c r="I6" s="305">
        <v>0</v>
      </c>
      <c r="J6" s="36"/>
      <c r="K6" s="36"/>
      <c r="L6" s="36"/>
      <c r="M6" s="36"/>
      <c r="N6" s="289"/>
      <c r="O6" s="290"/>
      <c r="P6" t="s">
        <v>178</v>
      </c>
      <c r="R6" s="84">
        <f>$D$5</f>
        <v>1000</v>
      </c>
      <c r="S6" s="101" t="s">
        <v>176</v>
      </c>
      <c r="T6" s="8">
        <v>0.8</v>
      </c>
      <c r="U6" s="274">
        <f>T6*R6</f>
        <v>800</v>
      </c>
      <c r="V6" s="36"/>
    </row>
    <row r="7" spans="1:22" ht="18.75" x14ac:dyDescent="0.35">
      <c r="A7" s="36"/>
      <c r="B7" s="36"/>
      <c r="C7" s="36"/>
      <c r="D7" s="36"/>
      <c r="E7" s="36"/>
      <c r="F7" s="36"/>
      <c r="G7" s="30"/>
      <c r="H7" t="s">
        <v>218</v>
      </c>
      <c r="I7" s="305">
        <v>0</v>
      </c>
      <c r="J7" s="36"/>
      <c r="K7" s="36"/>
      <c r="L7" s="36"/>
      <c r="M7" s="36"/>
      <c r="N7" s="289"/>
      <c r="O7" s="290"/>
      <c r="P7" s="53" t="s">
        <v>179</v>
      </c>
      <c r="Q7" s="54"/>
      <c r="R7" s="55">
        <f>$D$5</f>
        <v>1000</v>
      </c>
      <c r="S7" s="56" t="s">
        <v>180</v>
      </c>
      <c r="T7" s="57">
        <f>SUM(T5:T6)</f>
        <v>1</v>
      </c>
      <c r="U7" s="291">
        <f>SUM(U5:U6)</f>
        <v>1000</v>
      </c>
      <c r="V7" s="36"/>
    </row>
    <row r="8" spans="1:22" x14ac:dyDescent="0.25">
      <c r="A8" s="36"/>
      <c r="B8" s="36"/>
      <c r="C8" s="36"/>
      <c r="D8" s="36"/>
      <c r="E8" s="36"/>
      <c r="F8" s="36"/>
      <c r="G8" s="31"/>
      <c r="H8" s="32" t="s">
        <v>219</v>
      </c>
      <c r="I8" s="306">
        <v>0</v>
      </c>
      <c r="J8" s="36"/>
      <c r="K8" s="36"/>
      <c r="L8" s="36"/>
      <c r="M8" s="36"/>
      <c r="N8" s="30"/>
      <c r="O8" s="290" t="s">
        <v>184</v>
      </c>
      <c r="U8" s="168"/>
      <c r="V8" s="36"/>
    </row>
    <row r="9" spans="1:22" ht="18.75" thickBot="1" x14ac:dyDescent="0.4">
      <c r="A9" s="36"/>
      <c r="B9" s="36"/>
      <c r="C9" s="36"/>
      <c r="D9" s="36"/>
      <c r="E9" s="36"/>
      <c r="F9" s="36"/>
      <c r="G9" s="307" t="s">
        <v>211</v>
      </c>
      <c r="H9" s="308"/>
      <c r="I9" s="309">
        <v>0.06</v>
      </c>
      <c r="J9" s="36"/>
      <c r="K9" s="36"/>
      <c r="L9" s="36"/>
      <c r="M9" s="36"/>
      <c r="N9" s="30"/>
      <c r="P9" t="s">
        <v>186</v>
      </c>
      <c r="R9" s="292">
        <f>$D$3</f>
        <v>1500</v>
      </c>
      <c r="S9" s="101" t="s">
        <v>187</v>
      </c>
      <c r="T9" s="8">
        <v>5</v>
      </c>
      <c r="U9" s="274">
        <f>R9*T9</f>
        <v>7500</v>
      </c>
      <c r="V9" s="36"/>
    </row>
    <row r="10" spans="1:22" ht="18" x14ac:dyDescent="0.35">
      <c r="A10" s="36"/>
      <c r="B10" s="36"/>
      <c r="C10" s="36"/>
      <c r="D10" s="36"/>
      <c r="E10" s="36"/>
      <c r="F10" s="36"/>
      <c r="G10" s="36"/>
      <c r="H10" s="36"/>
      <c r="I10" s="36"/>
      <c r="J10" s="36"/>
      <c r="K10" s="36"/>
      <c r="L10" s="36"/>
      <c r="M10" s="36"/>
      <c r="N10" s="30"/>
      <c r="P10" t="s">
        <v>190</v>
      </c>
      <c r="R10" s="292">
        <f>$D$3</f>
        <v>1500</v>
      </c>
      <c r="S10" s="101" t="s">
        <v>187</v>
      </c>
      <c r="T10" s="8">
        <v>1</v>
      </c>
      <c r="U10" s="274">
        <f>R10*T10</f>
        <v>1500</v>
      </c>
      <c r="V10" s="36"/>
    </row>
    <row r="11" spans="1:22" ht="19.5" thickBot="1" x14ac:dyDescent="0.4">
      <c r="A11" s="270" t="s">
        <v>202</v>
      </c>
      <c r="B11" s="17"/>
      <c r="C11" s="17"/>
      <c r="D11" s="56" t="str">
        <f>'PV IN'!$D$30</f>
        <v>Simple</v>
      </c>
      <c r="E11" s="81" t="s">
        <v>170</v>
      </c>
      <c r="F11" s="271" t="s">
        <v>171</v>
      </c>
      <c r="G11" s="81" t="s">
        <v>172</v>
      </c>
      <c r="H11" s="272" t="s">
        <v>212</v>
      </c>
      <c r="I11" s="81" t="s">
        <v>182</v>
      </c>
      <c r="J11" s="81" t="s">
        <v>183</v>
      </c>
      <c r="K11" s="273" t="s">
        <v>82</v>
      </c>
      <c r="L11" s="36"/>
      <c r="M11" s="36"/>
      <c r="N11" s="169"/>
      <c r="O11" s="170"/>
      <c r="P11" s="293" t="s">
        <v>179</v>
      </c>
      <c r="Q11" s="294"/>
      <c r="R11" s="295">
        <f>$D$3</f>
        <v>1500</v>
      </c>
      <c r="S11" s="296" t="s">
        <v>192</v>
      </c>
      <c r="T11" s="297">
        <f>SUM(T9:T10)</f>
        <v>6</v>
      </c>
      <c r="U11" s="298">
        <f>SUM(U9:U10)</f>
        <v>9000</v>
      </c>
      <c r="V11" s="36"/>
    </row>
    <row r="12" spans="1:22" x14ac:dyDescent="0.25">
      <c r="A12" s="30"/>
      <c r="B12" s="3" t="s">
        <v>220</v>
      </c>
      <c r="K12" s="168"/>
      <c r="L12" s="36"/>
      <c r="M12" s="36"/>
      <c r="N12" s="36"/>
      <c r="O12" s="36"/>
      <c r="P12" s="36"/>
      <c r="Q12" s="36"/>
      <c r="R12" s="36"/>
      <c r="S12" s="36"/>
      <c r="T12" s="36"/>
      <c r="U12" s="36"/>
      <c r="V12" s="36"/>
    </row>
    <row r="13" spans="1:22" ht="18" x14ac:dyDescent="0.35">
      <c r="A13" s="30"/>
      <c r="C13" t="s">
        <v>203</v>
      </c>
      <c r="E13" s="91">
        <f>$D$3*1000</f>
        <v>1500000</v>
      </c>
      <c r="F13" s="101" t="s">
        <v>196</v>
      </c>
      <c r="G13" s="58">
        <v>0.4</v>
      </c>
      <c r="H13" s="66" t="s">
        <v>21</v>
      </c>
      <c r="I13" s="93">
        <f>IF(H13="YES",G13*E13*(1+$I$9),G13*E13)</f>
        <v>636000</v>
      </c>
      <c r="J13" s="92">
        <f>IF(H13="YES",G13*(1+$I$5)*(1+$I$9),G13*(1+$I$5))</f>
        <v>0.42400000000000004</v>
      </c>
      <c r="K13" s="274">
        <f>J13*E13</f>
        <v>636000.00000000012</v>
      </c>
      <c r="L13" s="36"/>
      <c r="M13" s="36"/>
      <c r="N13" s="36"/>
      <c r="O13" s="36"/>
      <c r="P13" s="36"/>
      <c r="Q13" s="36"/>
      <c r="R13" s="36"/>
      <c r="S13" s="36"/>
      <c r="T13" s="36"/>
      <c r="U13" s="36"/>
      <c r="V13" s="36"/>
    </row>
    <row r="14" spans="1:22" ht="18" x14ac:dyDescent="0.35">
      <c r="A14" s="30"/>
      <c r="C14" t="s">
        <v>173</v>
      </c>
      <c r="E14" s="91">
        <f t="shared" ref="E14:E17" si="0">$D$3*1000</f>
        <v>1500000</v>
      </c>
      <c r="F14" s="101" t="s">
        <v>196</v>
      </c>
      <c r="G14" s="58">
        <v>0.1</v>
      </c>
      <c r="H14" s="66" t="s">
        <v>21</v>
      </c>
      <c r="I14" s="93">
        <f>IF(H14="YES",G14*E14*(1+$I$9),G14*E14)</f>
        <v>159000</v>
      </c>
      <c r="J14" s="92">
        <f>IF(H14="YES",G14*(1+$I$5)*(1+$I$9),G14*(1+$I$5))</f>
        <v>0.10600000000000001</v>
      </c>
      <c r="K14" s="274">
        <f>J14*E14</f>
        <v>159000.00000000003</v>
      </c>
      <c r="L14" s="36"/>
      <c r="M14" s="36"/>
      <c r="N14" s="36"/>
      <c r="O14" s="36"/>
      <c r="P14" s="36"/>
      <c r="Q14" s="36"/>
      <c r="R14" s="36"/>
      <c r="S14" s="36"/>
      <c r="T14" s="36"/>
      <c r="U14" s="36"/>
      <c r="V14" s="36"/>
    </row>
    <row r="15" spans="1:22" ht="18" x14ac:dyDescent="0.35">
      <c r="A15" s="30"/>
      <c r="C15" t="s">
        <v>198</v>
      </c>
      <c r="E15" s="91">
        <f t="shared" si="0"/>
        <v>1500000</v>
      </c>
      <c r="F15" s="101" t="s">
        <v>196</v>
      </c>
      <c r="G15" s="58">
        <v>0.1</v>
      </c>
      <c r="H15" s="66" t="s">
        <v>21</v>
      </c>
      <c r="I15" s="93">
        <f>IF(H15="YES",G15*E15*(1+$I$9),G15*E15)</f>
        <v>159000</v>
      </c>
      <c r="J15" s="92">
        <f>IF(H15="YES",G15*(1+$I$5)*(1+$I$9),G15*(1+$I$5))</f>
        <v>0.10600000000000001</v>
      </c>
      <c r="K15" s="274">
        <f>J15*E15</f>
        <v>159000.00000000003</v>
      </c>
      <c r="L15" s="36"/>
      <c r="M15" s="36"/>
      <c r="N15" s="36"/>
      <c r="O15" s="36"/>
      <c r="P15" s="36"/>
      <c r="Q15" s="36"/>
      <c r="R15" s="36"/>
      <c r="S15" s="36"/>
      <c r="T15" s="36"/>
      <c r="U15" s="36"/>
      <c r="V15" s="36"/>
    </row>
    <row r="16" spans="1:22" ht="18" x14ac:dyDescent="0.35">
      <c r="A16" s="30"/>
      <c r="C16" t="s">
        <v>204</v>
      </c>
      <c r="E16" s="91">
        <f t="shared" si="0"/>
        <v>1500000</v>
      </c>
      <c r="F16" s="101" t="s">
        <v>196</v>
      </c>
      <c r="G16" s="58">
        <v>0.26</v>
      </c>
      <c r="H16" s="66" t="s">
        <v>22</v>
      </c>
      <c r="I16" s="93">
        <f>IF(H16="YES",G16*E16*(1+$I$9),G16*E16)</f>
        <v>390000</v>
      </c>
      <c r="J16" s="92">
        <f>IF(H16="YES",G16*(1+$I$5)*(1+$I$9),G16*(1+$I$5))</f>
        <v>0.26</v>
      </c>
      <c r="K16" s="274">
        <f>J16*E16</f>
        <v>390000</v>
      </c>
      <c r="L16" s="36"/>
      <c r="M16" s="36"/>
      <c r="N16" s="36"/>
      <c r="O16" s="36"/>
      <c r="P16" s="36"/>
      <c r="Q16" s="36"/>
      <c r="R16" s="36"/>
      <c r="S16" s="36"/>
      <c r="T16" s="36"/>
      <c r="U16" s="36"/>
      <c r="V16" s="36"/>
    </row>
    <row r="17" spans="1:22" ht="18" x14ac:dyDescent="0.35">
      <c r="A17" s="30"/>
      <c r="C17" t="s">
        <v>210</v>
      </c>
      <c r="E17" s="91">
        <f t="shared" si="0"/>
        <v>1500000</v>
      </c>
      <c r="F17" s="101" t="s">
        <v>196</v>
      </c>
      <c r="G17" s="58">
        <v>0</v>
      </c>
      <c r="H17" s="66" t="s">
        <v>22</v>
      </c>
      <c r="I17" s="93">
        <f>IF(H17="YES",G17*E17*(1+$I$9),G17*E17)</f>
        <v>0</v>
      </c>
      <c r="J17" s="92">
        <f>IF(H17="YES",G17*(1+$I$5)*(1+$I$9),G17*(1+$I$5))</f>
        <v>0</v>
      </c>
      <c r="K17" s="274">
        <f>J17*E17</f>
        <v>0</v>
      </c>
      <c r="L17" s="36"/>
      <c r="M17" s="36"/>
      <c r="N17" s="36"/>
      <c r="O17" s="36"/>
      <c r="P17" s="36"/>
      <c r="Q17" s="36"/>
      <c r="R17" s="36"/>
      <c r="S17" s="36"/>
      <c r="T17" s="36"/>
      <c r="U17" s="36"/>
      <c r="V17" s="36"/>
    </row>
    <row r="18" spans="1:22" ht="18" x14ac:dyDescent="0.35">
      <c r="A18" s="30"/>
      <c r="C18" s="275" t="s">
        <v>179</v>
      </c>
      <c r="E18" s="60">
        <f>$D$3*1000</f>
        <v>1500000</v>
      </c>
      <c r="F18" s="61" t="s">
        <v>196</v>
      </c>
      <c r="G18" s="62">
        <f>SUM(G13:G17)</f>
        <v>0.86</v>
      </c>
      <c r="H18" s="61"/>
      <c r="I18" s="18">
        <f>SUM(I13:I17)</f>
        <v>1344000</v>
      </c>
      <c r="J18" s="62">
        <f>SUM(J13:J17)</f>
        <v>0.89600000000000002</v>
      </c>
      <c r="K18" s="276">
        <f>SUM(K13:K17)</f>
        <v>1344000</v>
      </c>
      <c r="L18" s="36"/>
      <c r="M18" s="36"/>
      <c r="N18" s="36"/>
      <c r="O18" s="36"/>
      <c r="P18" s="36"/>
      <c r="Q18" s="36"/>
      <c r="R18" s="36"/>
      <c r="S18" s="36"/>
      <c r="T18" s="36"/>
      <c r="U18" s="36"/>
      <c r="V18" s="36"/>
    </row>
    <row r="19" spans="1:22" x14ac:dyDescent="0.25">
      <c r="A19" s="30"/>
      <c r="B19" s="3" t="s">
        <v>216</v>
      </c>
      <c r="K19" s="168"/>
      <c r="L19" s="36"/>
      <c r="M19" s="36"/>
      <c r="N19" s="36"/>
      <c r="O19" s="36"/>
      <c r="P19" s="36"/>
      <c r="Q19" s="36"/>
      <c r="R19" s="36"/>
      <c r="S19" s="36"/>
      <c r="T19" s="36"/>
      <c r="U19" s="36"/>
      <c r="V19" s="36"/>
    </row>
    <row r="20" spans="1:22" ht="18" x14ac:dyDescent="0.35">
      <c r="A20" s="30"/>
      <c r="C20" t="s">
        <v>217</v>
      </c>
      <c r="E20" s="91">
        <f>$D$3*1000</f>
        <v>1500000</v>
      </c>
      <c r="F20" s="101" t="s">
        <v>196</v>
      </c>
      <c r="G20" s="8">
        <v>0.1</v>
      </c>
      <c r="H20" s="66" t="s">
        <v>22</v>
      </c>
      <c r="I20" s="93">
        <f>IF(H20="YES",G20*E20*(1+$I$9),G20*E20)</f>
        <v>150000</v>
      </c>
      <c r="J20" s="92">
        <f>IF(H20="YES",G20*(1+$I$8)*(1+$I$9),G20*(1+$I$8))</f>
        <v>0.1</v>
      </c>
      <c r="K20" s="274">
        <f>J20*E20</f>
        <v>150000</v>
      </c>
      <c r="L20" s="36"/>
      <c r="M20" s="36"/>
      <c r="N20" s="36"/>
      <c r="O20" s="36"/>
      <c r="P20" s="36"/>
      <c r="Q20" s="36"/>
      <c r="R20" s="36"/>
      <c r="S20" s="36"/>
      <c r="T20" s="36"/>
      <c r="U20" s="36"/>
      <c r="V20" s="36"/>
    </row>
    <row r="21" spans="1:22" ht="18" x14ac:dyDescent="0.35">
      <c r="A21" s="30"/>
      <c r="C21" t="s">
        <v>210</v>
      </c>
      <c r="E21" s="91">
        <f t="shared" ref="E21:E24" si="1">$D$3*1000</f>
        <v>1500000</v>
      </c>
      <c r="F21" s="101" t="s">
        <v>196</v>
      </c>
      <c r="G21" s="8"/>
      <c r="H21" s="66" t="s">
        <v>22</v>
      </c>
      <c r="I21" s="93">
        <f>IF(H21="YES",G21*E21*(1+$I$9),G21*E21)</f>
        <v>0</v>
      </c>
      <c r="J21" s="92">
        <f>IF(H21="YES",G21*(1+$I$8)*(1+$I$9),G21*(1+$I$8))</f>
        <v>0</v>
      </c>
      <c r="K21" s="274">
        <f>J21*E21</f>
        <v>0</v>
      </c>
      <c r="L21" s="36"/>
      <c r="M21" s="36"/>
      <c r="N21" s="36"/>
      <c r="O21" s="36"/>
      <c r="P21" s="36"/>
      <c r="Q21" s="36"/>
      <c r="R21" s="36"/>
      <c r="S21" s="36"/>
      <c r="T21" s="36"/>
      <c r="U21" s="36"/>
      <c r="V21" s="36"/>
    </row>
    <row r="22" spans="1:22" ht="18" x14ac:dyDescent="0.35">
      <c r="A22" s="30"/>
      <c r="C22" t="s">
        <v>210</v>
      </c>
      <c r="E22" s="91">
        <f t="shared" si="1"/>
        <v>1500000</v>
      </c>
      <c r="F22" s="101" t="s">
        <v>196</v>
      </c>
      <c r="G22" s="8"/>
      <c r="H22" s="66" t="s">
        <v>22</v>
      </c>
      <c r="I22" s="93">
        <f>IF(H22="YES",G22*E22*(1+$I$9),G22*E22)</f>
        <v>0</v>
      </c>
      <c r="J22" s="92">
        <f>IF(H22="YES",G22*(1+$I$8)*(1+$I$9),G22*(1+$I$8))</f>
        <v>0</v>
      </c>
      <c r="K22" s="274">
        <f>J22*E22</f>
        <v>0</v>
      </c>
      <c r="L22" s="36"/>
      <c r="M22" s="36"/>
      <c r="N22" s="36"/>
      <c r="O22" s="36"/>
      <c r="P22" s="36"/>
      <c r="Q22" s="36"/>
      <c r="R22" s="36"/>
      <c r="S22" s="36"/>
      <c r="T22" s="36"/>
      <c r="U22" s="36"/>
      <c r="V22" s="36"/>
    </row>
    <row r="23" spans="1:22" ht="18" x14ac:dyDescent="0.35">
      <c r="A23" s="30"/>
      <c r="C23" t="s">
        <v>210</v>
      </c>
      <c r="E23" s="91">
        <f t="shared" si="1"/>
        <v>1500000</v>
      </c>
      <c r="F23" s="101" t="s">
        <v>196</v>
      </c>
      <c r="G23" s="8"/>
      <c r="H23" s="66" t="s">
        <v>22</v>
      </c>
      <c r="I23" s="93">
        <f>IF(H23="YES",G23*E23*(1+$I$9),G23*E23)</f>
        <v>0</v>
      </c>
      <c r="J23" s="92">
        <f>IF(H23="YES",G23*(1+$I$8)*(1+$I$9),G23*(1+$I$8))</f>
        <v>0</v>
      </c>
      <c r="K23" s="274">
        <f>J23*E23</f>
        <v>0</v>
      </c>
      <c r="L23" s="36"/>
      <c r="M23" s="36"/>
      <c r="N23" s="36"/>
      <c r="O23" s="36"/>
      <c r="P23" s="36"/>
      <c r="Q23" s="36"/>
      <c r="R23" s="36"/>
      <c r="S23" s="36"/>
      <c r="T23" s="36"/>
      <c r="U23" s="36"/>
      <c r="V23" s="36"/>
    </row>
    <row r="24" spans="1:22" ht="18" x14ac:dyDescent="0.35">
      <c r="A24" s="30"/>
      <c r="C24" t="s">
        <v>210</v>
      </c>
      <c r="E24" s="91">
        <f t="shared" si="1"/>
        <v>1500000</v>
      </c>
      <c r="F24" s="101" t="s">
        <v>196</v>
      </c>
      <c r="G24" s="8"/>
      <c r="H24" s="66" t="s">
        <v>22</v>
      </c>
      <c r="I24" s="93">
        <f>IF(H24="YES",G24*E24*(1+$I$9),G24*E24)</f>
        <v>0</v>
      </c>
      <c r="J24" s="92">
        <f>IF(H24="YES",G24*(1+$I$8)*(1+$I$9),G24*(1+$I$8))</f>
        <v>0</v>
      </c>
      <c r="K24" s="274">
        <f>J24*E24</f>
        <v>0</v>
      </c>
      <c r="L24" s="36"/>
      <c r="M24" s="36"/>
      <c r="N24" s="36"/>
      <c r="O24" s="36"/>
      <c r="P24" s="36"/>
      <c r="Q24" s="36"/>
      <c r="R24" s="36"/>
      <c r="S24" s="36"/>
      <c r="T24" s="36"/>
      <c r="U24" s="36"/>
      <c r="V24" s="36"/>
    </row>
    <row r="25" spans="1:22" ht="18.75" thickBot="1" x14ac:dyDescent="0.4">
      <c r="A25" s="30"/>
      <c r="C25" s="59" t="s">
        <v>179</v>
      </c>
      <c r="D25" s="17"/>
      <c r="E25" s="74">
        <f>$D$3*1000</f>
        <v>1500000</v>
      </c>
      <c r="F25" s="65" t="s">
        <v>196</v>
      </c>
      <c r="G25" s="72">
        <f>SUM(G20:G24)</f>
        <v>0.1</v>
      </c>
      <c r="H25" s="65"/>
      <c r="I25" s="72">
        <f>SUM(I20:I24)</f>
        <v>150000</v>
      </c>
      <c r="J25" s="73">
        <f>SUM(J20:J24)</f>
        <v>0.1</v>
      </c>
      <c r="K25" s="277">
        <f>SUM(K20:K24)</f>
        <v>150000</v>
      </c>
      <c r="L25" s="36"/>
      <c r="M25" s="36"/>
      <c r="N25" s="36"/>
      <c r="O25" s="36"/>
      <c r="P25" s="36"/>
      <c r="Q25" s="36"/>
      <c r="R25" s="36"/>
      <c r="S25" s="36"/>
      <c r="T25" s="36"/>
      <c r="U25" s="36"/>
      <c r="V25" s="36"/>
    </row>
    <row r="26" spans="1:22" ht="20.25" thickTop="1" thickBot="1" x14ac:dyDescent="0.4">
      <c r="A26" s="278" t="s">
        <v>221</v>
      </c>
      <c r="B26" s="279"/>
      <c r="C26" s="280"/>
      <c r="D26" s="281"/>
      <c r="E26" s="282">
        <f>$D$3*1000</f>
        <v>1500000</v>
      </c>
      <c r="F26" s="283" t="s">
        <v>205</v>
      </c>
      <c r="G26" s="284">
        <f>G18+G25</f>
        <v>0.96</v>
      </c>
      <c r="H26" s="284"/>
      <c r="I26" s="285">
        <f>I18+I25</f>
        <v>1494000</v>
      </c>
      <c r="J26" s="286">
        <f>J18+J25</f>
        <v>0.996</v>
      </c>
      <c r="K26" s="287">
        <f>J26*E26</f>
        <v>1494000</v>
      </c>
      <c r="L26" s="36"/>
      <c r="M26" s="36"/>
      <c r="N26" s="36"/>
      <c r="O26" s="36"/>
      <c r="P26" s="36"/>
      <c r="Q26" s="36"/>
      <c r="R26" s="36"/>
      <c r="S26" s="36"/>
      <c r="T26" s="36"/>
      <c r="U26" s="36"/>
      <c r="V26" s="36"/>
    </row>
    <row r="27" spans="1:22" x14ac:dyDescent="0.25">
      <c r="A27" s="36"/>
      <c r="B27" s="36"/>
      <c r="C27" s="36"/>
      <c r="D27" s="36"/>
      <c r="E27" s="36"/>
      <c r="F27" s="36"/>
      <c r="G27" s="36"/>
      <c r="H27" s="36"/>
      <c r="I27" s="36"/>
      <c r="J27" s="36"/>
      <c r="K27" s="36"/>
      <c r="L27" s="36"/>
      <c r="M27" s="36"/>
      <c r="N27" s="36"/>
      <c r="O27" s="36"/>
      <c r="P27" s="36"/>
      <c r="Q27" s="36"/>
      <c r="R27" s="36"/>
      <c r="S27" s="36"/>
      <c r="T27" s="36"/>
      <c r="U27" s="36"/>
      <c r="V27" s="36"/>
    </row>
    <row r="28" spans="1:22" ht="15.75" x14ac:dyDescent="0.25">
      <c r="A28" s="270" t="s">
        <v>181</v>
      </c>
      <c r="B28" s="288"/>
      <c r="C28" s="17"/>
      <c r="D28" s="56" t="str">
        <f>'Batt IN'!$D$38</f>
        <v>Simple</v>
      </c>
      <c r="E28" s="81" t="s">
        <v>170</v>
      </c>
      <c r="F28" s="271" t="s">
        <v>171</v>
      </c>
      <c r="G28" s="81" t="s">
        <v>172</v>
      </c>
      <c r="H28" s="272" t="s">
        <v>212</v>
      </c>
      <c r="I28" s="81" t="s">
        <v>182</v>
      </c>
      <c r="J28" s="81" t="s">
        <v>183</v>
      </c>
      <c r="K28" s="273" t="s">
        <v>82</v>
      </c>
      <c r="L28" s="36"/>
      <c r="M28" s="36"/>
      <c r="N28" s="36"/>
      <c r="O28" s="36"/>
      <c r="P28" s="36"/>
      <c r="Q28" s="36"/>
      <c r="R28" s="36"/>
      <c r="S28" s="36"/>
      <c r="T28" s="36"/>
      <c r="U28" s="36"/>
      <c r="V28" s="36"/>
    </row>
    <row r="29" spans="1:22" ht="15.75" x14ac:dyDescent="0.25">
      <c r="A29" s="289"/>
      <c r="B29" s="290" t="s">
        <v>185</v>
      </c>
      <c r="K29" s="168"/>
      <c r="L29" s="36"/>
      <c r="M29" s="36"/>
      <c r="N29" s="36"/>
      <c r="O29" s="36"/>
      <c r="P29" s="36"/>
      <c r="Q29" s="36"/>
      <c r="R29" s="36"/>
      <c r="S29" s="36"/>
      <c r="T29" s="36"/>
      <c r="U29" s="36"/>
      <c r="V29" s="36"/>
    </row>
    <row r="30" spans="1:22" ht="18" x14ac:dyDescent="0.35">
      <c r="A30" s="289"/>
      <c r="B30" s="290"/>
      <c r="C30" t="s">
        <v>188</v>
      </c>
      <c r="E30" s="91">
        <f t="shared" ref="E30:E35" si="2">$D$5*1000</f>
        <v>1000000</v>
      </c>
      <c r="F30" s="101" t="s">
        <v>189</v>
      </c>
      <c r="G30" s="58">
        <v>0.12</v>
      </c>
      <c r="H30" s="66" t="s">
        <v>21</v>
      </c>
      <c r="I30" s="93">
        <f>IF(H30="YES",G30*E30*(1+$I$9),G30*E30)</f>
        <v>127200</v>
      </c>
      <c r="J30" s="92">
        <f>IF(H30="YES",G30*(1+$I$3)*(1+$I$9),G30*(1+$I$3))</f>
        <v>0.12720000000000001</v>
      </c>
      <c r="K30" s="274">
        <f>J30*E30</f>
        <v>127200.00000000001</v>
      </c>
      <c r="L30" s="36"/>
      <c r="M30" s="36"/>
      <c r="N30" s="36"/>
      <c r="O30" s="36"/>
      <c r="P30" s="36"/>
      <c r="Q30" s="36"/>
      <c r="R30" s="36"/>
      <c r="S30" s="36"/>
      <c r="T30" s="36"/>
      <c r="U30" s="36"/>
      <c r="V30" s="36"/>
    </row>
    <row r="31" spans="1:22" ht="18" x14ac:dyDescent="0.35">
      <c r="A31" s="289"/>
      <c r="B31" s="290"/>
      <c r="C31" t="s">
        <v>191</v>
      </c>
      <c r="E31" s="91">
        <f t="shared" si="2"/>
        <v>1000000</v>
      </c>
      <c r="F31" s="101" t="s">
        <v>189</v>
      </c>
      <c r="G31" s="58">
        <v>3.5000000000000003E-2</v>
      </c>
      <c r="H31" s="66" t="s">
        <v>21</v>
      </c>
      <c r="I31" s="93">
        <f>IF(H31="YES",G31*E31*(1+$I$9),G31*E31)</f>
        <v>37100</v>
      </c>
      <c r="J31" s="92">
        <f>IF(H31="YES",G31*(1+$I$3)*(1+$I$9),G31*(1+$I$3))</f>
        <v>3.7100000000000008E-2</v>
      </c>
      <c r="K31" s="274">
        <f>J31*E31</f>
        <v>37100.000000000007</v>
      </c>
      <c r="L31" s="36"/>
      <c r="M31" s="36"/>
      <c r="N31" s="36"/>
      <c r="O31" s="36"/>
      <c r="P31" s="36"/>
      <c r="Q31" s="36"/>
      <c r="R31" s="36"/>
      <c r="S31" s="36"/>
      <c r="T31" s="36"/>
      <c r="U31" s="36"/>
      <c r="V31" s="36"/>
    </row>
    <row r="32" spans="1:22" ht="18" x14ac:dyDescent="0.35">
      <c r="A32" s="289"/>
      <c r="B32" s="290"/>
      <c r="C32" t="s">
        <v>193</v>
      </c>
      <c r="E32" s="91">
        <f t="shared" si="2"/>
        <v>1000000</v>
      </c>
      <c r="F32" s="101" t="s">
        <v>189</v>
      </c>
      <c r="G32" s="58">
        <v>2.5000000000000001E-2</v>
      </c>
      <c r="H32" s="66" t="s">
        <v>21</v>
      </c>
      <c r="I32" s="93">
        <f>IF(H32="YES",G32*E32*(1+$I$9),G32*E32)</f>
        <v>26500</v>
      </c>
      <c r="J32" s="92">
        <f>IF(H32="YES",G32*(1+$I$3)*(1+$I$9),G32*(1+$I$3))</f>
        <v>2.6500000000000003E-2</v>
      </c>
      <c r="K32" s="274">
        <f>J32*E32</f>
        <v>26500.000000000004</v>
      </c>
      <c r="L32" s="36"/>
      <c r="M32" s="36"/>
      <c r="N32" s="36"/>
      <c r="O32" s="36"/>
      <c r="P32" s="36"/>
      <c r="Q32" s="36"/>
      <c r="R32" s="36"/>
      <c r="S32" s="36"/>
      <c r="T32" s="36"/>
      <c r="U32" s="36"/>
      <c r="V32" s="36"/>
    </row>
    <row r="33" spans="1:22" ht="18" x14ac:dyDescent="0.35">
      <c r="A33" s="289"/>
      <c r="B33" s="290"/>
      <c r="C33" t="s">
        <v>194</v>
      </c>
      <c r="E33" s="91">
        <f t="shared" si="2"/>
        <v>1000000</v>
      </c>
      <c r="F33" s="101" t="s">
        <v>189</v>
      </c>
      <c r="G33" s="58">
        <v>1.4999999999999999E-2</v>
      </c>
      <c r="H33" s="66" t="s">
        <v>21</v>
      </c>
      <c r="I33" s="93">
        <f>IF(H33="YES",G33*E33*(1+$I$9),G33*E33)</f>
        <v>15900</v>
      </c>
      <c r="J33" s="92">
        <f>IF(H33="YES",G33*(1+$I$3)*(1+$I$9),G33*(1+$I$3))</f>
        <v>1.5900000000000001E-2</v>
      </c>
      <c r="K33" s="274">
        <f>J33*E33</f>
        <v>15900.000000000002</v>
      </c>
      <c r="L33" s="36"/>
      <c r="M33" s="36"/>
      <c r="N33" s="36"/>
      <c r="O33" s="36"/>
      <c r="P33" s="36"/>
      <c r="Q33" s="36"/>
      <c r="R33" s="36"/>
      <c r="S33" s="36"/>
      <c r="T33" s="36"/>
      <c r="U33" s="36"/>
      <c r="V33" s="36"/>
    </row>
    <row r="34" spans="1:22" ht="18" x14ac:dyDescent="0.35">
      <c r="A34" s="30"/>
      <c r="C34" t="s">
        <v>209</v>
      </c>
      <c r="E34" s="91">
        <f t="shared" si="2"/>
        <v>1000000</v>
      </c>
      <c r="F34" s="101" t="s">
        <v>189</v>
      </c>
      <c r="G34" s="58">
        <v>0</v>
      </c>
      <c r="H34" s="66" t="s">
        <v>22</v>
      </c>
      <c r="I34" s="93">
        <f>IF(H34="YES",G34*E34*(1+$I$9),G34*E34)</f>
        <v>0</v>
      </c>
      <c r="J34" s="92">
        <f>IF(H34="YES",G34*(1+$I$3)*(1+$I$9),G34*(1+$I$3))</f>
        <v>0</v>
      </c>
      <c r="K34" s="274">
        <f>J34*E34</f>
        <v>0</v>
      </c>
      <c r="L34" s="36"/>
      <c r="M34" s="36"/>
      <c r="N34" s="36"/>
      <c r="O34" s="36"/>
      <c r="P34" s="36"/>
      <c r="Q34" s="36"/>
      <c r="R34" s="36"/>
      <c r="S34" s="36"/>
      <c r="T34" s="36"/>
      <c r="U34" s="36"/>
      <c r="V34" s="36"/>
    </row>
    <row r="35" spans="1:22" ht="18" x14ac:dyDescent="0.35">
      <c r="A35" s="289"/>
      <c r="C35" s="59" t="s">
        <v>179</v>
      </c>
      <c r="D35" s="17"/>
      <c r="E35" s="60">
        <f t="shared" si="2"/>
        <v>1000000</v>
      </c>
      <c r="F35" s="61" t="s">
        <v>189</v>
      </c>
      <c r="G35" s="62">
        <f>SUM(G30:G34)</f>
        <v>0.19500000000000001</v>
      </c>
      <c r="H35" s="62"/>
      <c r="I35" s="18">
        <f>G35*E35</f>
        <v>195000</v>
      </c>
      <c r="J35" s="67">
        <f>SUM(J30:J34)</f>
        <v>0.20669999999999999</v>
      </c>
      <c r="K35" s="299">
        <f>SUM(K30:K34)</f>
        <v>206700.00000000003</v>
      </c>
      <c r="L35" s="36"/>
      <c r="M35" s="36"/>
      <c r="N35" s="36"/>
      <c r="O35" s="36"/>
      <c r="P35" s="36"/>
      <c r="Q35" s="36"/>
      <c r="R35" s="36"/>
      <c r="S35" s="36"/>
      <c r="T35" s="36"/>
      <c r="U35" s="36"/>
      <c r="V35" s="36"/>
    </row>
    <row r="36" spans="1:22" ht="15.75" x14ac:dyDescent="0.25">
      <c r="A36" s="289"/>
      <c r="B36" s="290" t="s">
        <v>173</v>
      </c>
      <c r="E36" s="300"/>
      <c r="K36" s="168"/>
      <c r="L36" s="36"/>
      <c r="M36" s="36"/>
      <c r="N36" s="36"/>
      <c r="O36" s="36"/>
      <c r="P36" s="36"/>
      <c r="Q36" s="36"/>
      <c r="R36" s="36"/>
      <c r="S36" s="36"/>
      <c r="T36" s="36"/>
      <c r="U36" s="36"/>
      <c r="V36" s="36"/>
    </row>
    <row r="37" spans="1:22" ht="18" x14ac:dyDescent="0.35">
      <c r="A37" s="289"/>
      <c r="C37" t="s">
        <v>195</v>
      </c>
      <c r="E37" s="91">
        <f>$D$6*1000</f>
        <v>1000000</v>
      </c>
      <c r="F37" s="101" t="s">
        <v>196</v>
      </c>
      <c r="G37" s="58">
        <v>0.1</v>
      </c>
      <c r="H37" s="66" t="s">
        <v>21</v>
      </c>
      <c r="I37" s="93">
        <f>IF(H37="YES",G37*E37*(1+$I$9),G37*E37)</f>
        <v>106000</v>
      </c>
      <c r="J37" s="92">
        <f>IF(H37="YES",G37*(1+$I$4)*(1+$I$9),G37*(1+$I$4))</f>
        <v>0.10600000000000001</v>
      </c>
      <c r="K37" s="274">
        <f>J37*E37</f>
        <v>106000.00000000001</v>
      </c>
      <c r="L37" s="36"/>
      <c r="M37" s="36"/>
      <c r="N37" s="36"/>
      <c r="O37" s="36"/>
      <c r="P37" s="36"/>
      <c r="Q37" s="36"/>
      <c r="R37" s="36"/>
      <c r="S37" s="36"/>
      <c r="T37" s="36"/>
      <c r="U37" s="36"/>
      <c r="V37" s="36"/>
    </row>
    <row r="38" spans="1:22" ht="18" x14ac:dyDescent="0.35">
      <c r="A38" s="289"/>
      <c r="C38" t="s">
        <v>194</v>
      </c>
      <c r="E38" s="91">
        <f>$D$6*1000</f>
        <v>1000000</v>
      </c>
      <c r="F38" s="101" t="s">
        <v>196</v>
      </c>
      <c r="G38" s="58">
        <v>0.04</v>
      </c>
      <c r="H38" s="66" t="s">
        <v>21</v>
      </c>
      <c r="I38" s="93">
        <f>IF(H38="YES",G38*E38*(1+$I$9),G38*E38)</f>
        <v>42400</v>
      </c>
      <c r="J38" s="92">
        <f>IF(H38="YES",G38*(1+$I$4)*(1+$I$9),G38*(1+$I$4))</f>
        <v>4.24E-2</v>
      </c>
      <c r="K38" s="274">
        <f>J38*E38</f>
        <v>42400</v>
      </c>
      <c r="L38" s="36"/>
      <c r="M38" s="36"/>
      <c r="N38" s="36"/>
      <c r="O38" s="36"/>
      <c r="P38" s="36"/>
      <c r="Q38" s="36"/>
      <c r="R38" s="36"/>
      <c r="S38" s="36"/>
      <c r="T38" s="36"/>
      <c r="U38" s="36"/>
      <c r="V38" s="36"/>
    </row>
    <row r="39" spans="1:22" ht="18" x14ac:dyDescent="0.35">
      <c r="A39" s="289"/>
      <c r="C39" t="s">
        <v>197</v>
      </c>
      <c r="E39" s="91">
        <f>$D$6*1000</f>
        <v>1000000</v>
      </c>
      <c r="F39" s="101" t="s">
        <v>196</v>
      </c>
      <c r="G39" s="58">
        <v>0.09</v>
      </c>
      <c r="H39" s="66" t="s">
        <v>21</v>
      </c>
      <c r="I39" s="93">
        <f>IF(H39="YES",G39*E39*(1+$I$9),G39*E39)</f>
        <v>95400</v>
      </c>
      <c r="J39" s="92">
        <f>IF(H39="YES",G39*(1+$I$4)*(1+$I$9),G39*(1+$I$4))</f>
        <v>9.5399999999999999E-2</v>
      </c>
      <c r="K39" s="274">
        <f>J39*E39</f>
        <v>95400</v>
      </c>
      <c r="L39" s="36"/>
      <c r="M39" s="36"/>
      <c r="N39" s="36"/>
      <c r="O39" s="36"/>
      <c r="P39" s="36"/>
      <c r="Q39" s="36"/>
      <c r="R39" s="36"/>
      <c r="S39" s="36"/>
      <c r="T39" s="36"/>
      <c r="U39" s="36"/>
      <c r="V39" s="36"/>
    </row>
    <row r="40" spans="1:22" ht="18" x14ac:dyDescent="0.35">
      <c r="A40" s="30"/>
      <c r="C40" t="s">
        <v>210</v>
      </c>
      <c r="E40" s="91">
        <f>$D$6*1000</f>
        <v>1000000</v>
      </c>
      <c r="F40" s="101" t="s">
        <v>196</v>
      </c>
      <c r="G40" s="58">
        <v>0</v>
      </c>
      <c r="H40" s="66" t="s">
        <v>21</v>
      </c>
      <c r="I40" s="93">
        <f>IF(H40="YES",G40*E40*(1+$I$9),G40*E40)</f>
        <v>0</v>
      </c>
      <c r="J40" s="92">
        <f>IF(H40="YES",G40*(1+$I$4)*(1+$I$9),G40*(1+$I$4))</f>
        <v>0</v>
      </c>
      <c r="K40" s="274">
        <f>J40*E40</f>
        <v>0</v>
      </c>
      <c r="L40" s="36"/>
      <c r="M40" s="36"/>
      <c r="N40" s="36"/>
      <c r="O40" s="36"/>
      <c r="P40" s="36"/>
      <c r="Q40" s="36"/>
      <c r="R40" s="36"/>
      <c r="S40" s="36"/>
      <c r="T40" s="36"/>
      <c r="U40" s="36"/>
      <c r="V40" s="36"/>
    </row>
    <row r="41" spans="1:22" ht="18" x14ac:dyDescent="0.35">
      <c r="A41" s="289"/>
      <c r="C41" s="59" t="s">
        <v>179</v>
      </c>
      <c r="D41" s="17"/>
      <c r="E41" s="60">
        <f>$D$6*1000</f>
        <v>1000000</v>
      </c>
      <c r="F41" s="61" t="s">
        <v>196</v>
      </c>
      <c r="G41" s="62">
        <f>SUM(G37:G40)</f>
        <v>0.23</v>
      </c>
      <c r="H41" s="62"/>
      <c r="I41" s="63">
        <f>G41*E41</f>
        <v>230000</v>
      </c>
      <c r="J41" s="67">
        <f>SUM(J37:J40)</f>
        <v>0.24380000000000002</v>
      </c>
      <c r="K41" s="301">
        <f>SUM(K37:K40)</f>
        <v>243800</v>
      </c>
      <c r="L41" s="36"/>
      <c r="M41" s="36"/>
      <c r="N41" s="36"/>
      <c r="O41" s="36"/>
      <c r="P41" s="36"/>
      <c r="Q41" s="36"/>
      <c r="R41" s="36"/>
      <c r="S41" s="36"/>
      <c r="T41" s="36"/>
      <c r="U41" s="36"/>
      <c r="V41" s="36"/>
    </row>
    <row r="42" spans="1:22" ht="15.75" x14ac:dyDescent="0.25">
      <c r="A42" s="289"/>
      <c r="B42" s="290" t="s">
        <v>198</v>
      </c>
      <c r="K42" s="168"/>
      <c r="L42" s="36"/>
      <c r="M42" s="36"/>
      <c r="N42" s="36"/>
      <c r="O42" s="36"/>
      <c r="P42" s="36"/>
      <c r="Q42" s="36"/>
      <c r="R42" s="36"/>
      <c r="S42" s="36"/>
      <c r="T42" s="36"/>
      <c r="U42" s="36"/>
      <c r="V42" s="36"/>
    </row>
    <row r="43" spans="1:22" ht="18" x14ac:dyDescent="0.35">
      <c r="A43" s="289"/>
      <c r="B43" s="290"/>
      <c r="C43" t="s">
        <v>199</v>
      </c>
      <c r="E43" s="292">
        <f>$D$5*1000</f>
        <v>1000000</v>
      </c>
      <c r="F43" s="101" t="s">
        <v>189</v>
      </c>
      <c r="G43" s="58">
        <v>0.1</v>
      </c>
      <c r="H43" s="66" t="s">
        <v>21</v>
      </c>
      <c r="I43" s="93">
        <f>IF(H43="YES",G43*E43*(1+$I$9),G43*E43)</f>
        <v>106000</v>
      </c>
      <c r="J43" s="92">
        <f>IF(H43="YES",G43*(1+$I$6)*(1+$I$9),G43*(1+$I$6))</f>
        <v>0.10600000000000001</v>
      </c>
      <c r="K43" s="274">
        <f>J43*E43</f>
        <v>106000.00000000001</v>
      </c>
      <c r="L43" s="36"/>
      <c r="M43" s="36"/>
      <c r="N43" s="36"/>
      <c r="O43" s="36"/>
      <c r="P43" s="36"/>
      <c r="Q43" s="36"/>
      <c r="R43" s="36"/>
      <c r="S43" s="36"/>
      <c r="T43" s="36"/>
      <c r="U43" s="36"/>
      <c r="V43" s="36"/>
    </row>
    <row r="44" spans="1:22" ht="18" x14ac:dyDescent="0.35">
      <c r="A44" s="289"/>
      <c r="B44" s="290"/>
      <c r="C44" t="s">
        <v>200</v>
      </c>
      <c r="E44" s="292">
        <f>$D$5*1000</f>
        <v>1000000</v>
      </c>
      <c r="F44" s="101" t="s">
        <v>189</v>
      </c>
      <c r="G44" s="58">
        <v>0.05</v>
      </c>
      <c r="H44" s="66" t="s">
        <v>21</v>
      </c>
      <c r="I44" s="93">
        <f>IF(H44="YES",G44*E44*(1+$I$9),G44*E44)</f>
        <v>53000</v>
      </c>
      <c r="J44" s="92">
        <f>IF(H44="YES",G44*(1+$I$6)*(1+$I$9),G44*(1+$I$6))</f>
        <v>5.3000000000000005E-2</v>
      </c>
      <c r="K44" s="274">
        <f>J44*E44</f>
        <v>53000.000000000007</v>
      </c>
      <c r="L44" s="36"/>
      <c r="M44" s="36"/>
      <c r="N44" s="36"/>
      <c r="O44" s="36"/>
      <c r="P44" s="36"/>
      <c r="Q44" s="36"/>
      <c r="R44" s="36"/>
      <c r="S44" s="36"/>
      <c r="T44" s="36"/>
      <c r="U44" s="36"/>
      <c r="V44" s="36"/>
    </row>
    <row r="45" spans="1:22" ht="18" x14ac:dyDescent="0.35">
      <c r="A45" s="30"/>
      <c r="C45" t="s">
        <v>210</v>
      </c>
      <c r="E45" s="292">
        <f>$D$5*1000</f>
        <v>1000000</v>
      </c>
      <c r="F45" s="101" t="s">
        <v>189</v>
      </c>
      <c r="G45" s="58">
        <v>0</v>
      </c>
      <c r="H45" s="66" t="s">
        <v>21</v>
      </c>
      <c r="I45" s="93">
        <f>IF(H45="YES",G45*E45*(1+$I$9),G45*E45)</f>
        <v>0</v>
      </c>
      <c r="J45" s="92">
        <f>IF(H45="YES",G45*(1+$I$6)*(1+$I$9),G45*(1+$I$6))</f>
        <v>0</v>
      </c>
      <c r="K45" s="274">
        <f>J45*E45</f>
        <v>0</v>
      </c>
      <c r="L45" s="36"/>
      <c r="M45" s="36"/>
      <c r="N45" s="36"/>
      <c r="O45" s="36"/>
      <c r="P45" s="36"/>
      <c r="Q45" s="36"/>
      <c r="R45" s="36"/>
      <c r="S45" s="36"/>
      <c r="T45" s="36"/>
      <c r="U45" s="36"/>
      <c r="V45" s="36"/>
    </row>
    <row r="46" spans="1:22" ht="18" x14ac:dyDescent="0.35">
      <c r="A46" s="289"/>
      <c r="C46" s="59" t="s">
        <v>179</v>
      </c>
      <c r="D46" s="17"/>
      <c r="E46" s="64">
        <f>$D$5*1000</f>
        <v>1000000</v>
      </c>
      <c r="F46" s="61" t="s">
        <v>189</v>
      </c>
      <c r="G46" s="62">
        <f>SUM(G43:G45)</f>
        <v>0.15000000000000002</v>
      </c>
      <c r="H46" s="62"/>
      <c r="I46" s="18">
        <f>SUM(I43:I45)</f>
        <v>159000</v>
      </c>
      <c r="J46" s="67">
        <f>SUM(J43:J45)</f>
        <v>0.15900000000000003</v>
      </c>
      <c r="K46" s="299">
        <f>SUM(K43:K45)</f>
        <v>159000.00000000003</v>
      </c>
      <c r="L46" s="36"/>
      <c r="M46" s="36"/>
      <c r="N46" s="36"/>
      <c r="O46" s="36"/>
      <c r="P46" s="36"/>
      <c r="Q46" s="36"/>
      <c r="R46" s="36"/>
      <c r="S46" s="36"/>
      <c r="T46" s="36"/>
      <c r="U46" s="36"/>
      <c r="V46" s="36"/>
    </row>
    <row r="47" spans="1:22" x14ac:dyDescent="0.25">
      <c r="A47" s="30"/>
      <c r="B47" s="3" t="s">
        <v>216</v>
      </c>
      <c r="K47" s="168"/>
      <c r="L47" s="36"/>
      <c r="M47" s="36"/>
      <c r="N47" s="36"/>
      <c r="O47" s="36"/>
      <c r="P47" s="36"/>
      <c r="Q47" s="36"/>
      <c r="R47" s="36"/>
      <c r="S47" s="36"/>
      <c r="T47" s="36"/>
      <c r="U47" s="36"/>
      <c r="V47" s="36"/>
    </row>
    <row r="48" spans="1:22" ht="18" x14ac:dyDescent="0.35">
      <c r="A48" s="30"/>
      <c r="C48" t="s">
        <v>217</v>
      </c>
      <c r="E48" s="292">
        <f t="shared" ref="E48:E54" si="3">$D$5*1000</f>
        <v>1000000</v>
      </c>
      <c r="F48" s="101" t="s">
        <v>189</v>
      </c>
      <c r="G48" s="8">
        <v>0.22</v>
      </c>
      <c r="H48" s="66" t="s">
        <v>21</v>
      </c>
      <c r="I48" s="93">
        <f>IF(H48="YES",G48*E48*(1+$I$9),G48*E48)</f>
        <v>233200</v>
      </c>
      <c r="J48" s="92">
        <f>IF(H48="YES",G48*(1+$I$7)*(1+$I$9),G48*(1+$I$7))</f>
        <v>0.23320000000000002</v>
      </c>
      <c r="K48" s="274">
        <f>J48*E48</f>
        <v>233200.00000000003</v>
      </c>
      <c r="L48" s="36"/>
      <c r="M48" s="36"/>
      <c r="N48" s="36"/>
      <c r="O48" s="36"/>
      <c r="P48" s="36"/>
      <c r="Q48" s="36"/>
      <c r="R48" s="36"/>
      <c r="S48" s="36"/>
      <c r="T48" s="36"/>
      <c r="U48" s="36"/>
      <c r="V48" s="36"/>
    </row>
    <row r="49" spans="1:22" ht="18" x14ac:dyDescent="0.35">
      <c r="A49" s="30"/>
      <c r="C49" t="s">
        <v>209</v>
      </c>
      <c r="E49" s="292">
        <f t="shared" si="3"/>
        <v>1000000</v>
      </c>
      <c r="F49" s="101" t="s">
        <v>189</v>
      </c>
      <c r="G49" s="8">
        <v>0</v>
      </c>
      <c r="H49" s="66" t="s">
        <v>21</v>
      </c>
      <c r="I49" s="93">
        <f>IF(H49="YES",G49*E49*(1+$I$9),G49*E49)</f>
        <v>0</v>
      </c>
      <c r="J49" s="92">
        <f>IF(H49="YES",G49*(1+$I$7)*(1+$I$9),G49*(1+$I$7))</f>
        <v>0</v>
      </c>
      <c r="K49" s="274">
        <f>J49*E49</f>
        <v>0</v>
      </c>
      <c r="L49" s="36"/>
      <c r="M49" s="36"/>
      <c r="N49" s="36"/>
      <c r="O49" s="36"/>
      <c r="P49" s="36"/>
      <c r="Q49" s="36"/>
      <c r="R49" s="36"/>
      <c r="S49" s="36"/>
      <c r="T49" s="36"/>
      <c r="U49" s="36"/>
      <c r="V49" s="36"/>
    </row>
    <row r="50" spans="1:22" ht="18" x14ac:dyDescent="0.35">
      <c r="A50" s="30"/>
      <c r="C50" t="s">
        <v>209</v>
      </c>
      <c r="E50" s="292">
        <f t="shared" si="3"/>
        <v>1000000</v>
      </c>
      <c r="F50" s="101" t="s">
        <v>189</v>
      </c>
      <c r="G50" s="8">
        <v>0</v>
      </c>
      <c r="H50" s="66" t="s">
        <v>21</v>
      </c>
      <c r="I50" s="93">
        <f>IF(H50="YES",G50*E50*(1+$I$9),G50*E50)</f>
        <v>0</v>
      </c>
      <c r="J50" s="92">
        <f>IF(H50="YES",G50*(1+$I$7)*(1+$I$9),G50*(1+$I$7))</f>
        <v>0</v>
      </c>
      <c r="K50" s="274">
        <f>J50*E50</f>
        <v>0</v>
      </c>
      <c r="L50" s="36"/>
      <c r="M50" s="36"/>
      <c r="N50" s="36"/>
      <c r="O50" s="36"/>
      <c r="P50" s="36"/>
      <c r="Q50" s="36"/>
      <c r="R50" s="36"/>
      <c r="S50" s="36"/>
      <c r="T50" s="36"/>
      <c r="U50" s="36"/>
      <c r="V50" s="36"/>
    </row>
    <row r="51" spans="1:22" ht="18" x14ac:dyDescent="0.35">
      <c r="A51" s="30"/>
      <c r="C51" t="s">
        <v>209</v>
      </c>
      <c r="E51" s="292">
        <f t="shared" si="3"/>
        <v>1000000</v>
      </c>
      <c r="F51" s="101" t="s">
        <v>189</v>
      </c>
      <c r="G51" s="8">
        <v>0</v>
      </c>
      <c r="H51" s="66" t="s">
        <v>21</v>
      </c>
      <c r="I51" s="93">
        <f>IF(H51="YES",G51*E51*(1+$I$9),G51*E51)</f>
        <v>0</v>
      </c>
      <c r="J51" s="92">
        <f>IF(H51="YES",G51*(1+$I$7)*(1+$I$9),G51*(1+$I$7))</f>
        <v>0</v>
      </c>
      <c r="K51" s="274">
        <f>J51*E51</f>
        <v>0</v>
      </c>
      <c r="L51" s="36"/>
      <c r="M51" s="36"/>
      <c r="N51" s="36"/>
      <c r="O51" s="36"/>
      <c r="P51" s="36"/>
      <c r="Q51" s="36"/>
      <c r="R51" s="36"/>
      <c r="S51" s="36"/>
      <c r="T51" s="36"/>
      <c r="U51" s="36"/>
      <c r="V51" s="36"/>
    </row>
    <row r="52" spans="1:22" ht="18" x14ac:dyDescent="0.35">
      <c r="A52" s="30"/>
      <c r="C52" t="s">
        <v>209</v>
      </c>
      <c r="E52" s="292">
        <f t="shared" si="3"/>
        <v>1000000</v>
      </c>
      <c r="F52" s="101" t="s">
        <v>189</v>
      </c>
      <c r="G52" s="8">
        <v>0</v>
      </c>
      <c r="H52" s="66" t="s">
        <v>22</v>
      </c>
      <c r="I52" s="93">
        <f>IF(H52="YES",G52*E52*(1+$I$9),G52*E52)</f>
        <v>0</v>
      </c>
      <c r="J52" s="92">
        <f>IF(H52="YES",G52*(1+$I$7)*(1+$I$9),G52*(1+$I$7))</f>
        <v>0</v>
      </c>
      <c r="K52" s="274">
        <f>J52*E52</f>
        <v>0</v>
      </c>
      <c r="L52" s="36"/>
      <c r="M52" s="36"/>
      <c r="N52" s="36"/>
      <c r="O52" s="36"/>
      <c r="P52" s="36"/>
      <c r="Q52" s="36"/>
      <c r="R52" s="36"/>
      <c r="S52" s="36"/>
      <c r="T52" s="36"/>
      <c r="U52" s="36"/>
      <c r="V52" s="36"/>
    </row>
    <row r="53" spans="1:22" ht="18.75" thickBot="1" x14ac:dyDescent="0.4">
      <c r="A53" s="30"/>
      <c r="C53" s="69" t="s">
        <v>179</v>
      </c>
      <c r="D53" s="70"/>
      <c r="E53" s="71">
        <f t="shared" si="3"/>
        <v>1000000</v>
      </c>
      <c r="F53" s="65" t="s">
        <v>189</v>
      </c>
      <c r="G53" s="72">
        <f>SUM(G48:G52)</f>
        <v>0.22</v>
      </c>
      <c r="H53" s="65"/>
      <c r="I53" s="72">
        <f>SUM(I48:I52)</f>
        <v>233200</v>
      </c>
      <c r="J53" s="73">
        <f>SUM(J48:J52)</f>
        <v>0.23320000000000002</v>
      </c>
      <c r="K53" s="277">
        <f>SUM(K48:K52)</f>
        <v>233200.00000000003</v>
      </c>
      <c r="L53" s="36"/>
      <c r="M53" s="36"/>
      <c r="N53" s="36"/>
      <c r="O53" s="36"/>
      <c r="P53" s="36"/>
      <c r="Q53" s="36"/>
      <c r="R53" s="36"/>
      <c r="S53" s="36"/>
      <c r="T53" s="36"/>
      <c r="U53" s="36"/>
      <c r="V53" s="36"/>
    </row>
    <row r="54" spans="1:22" ht="20.25" thickTop="1" thickBot="1" x14ac:dyDescent="0.4">
      <c r="A54" s="278" t="s">
        <v>222</v>
      </c>
      <c r="B54" s="302"/>
      <c r="C54" s="279"/>
      <c r="D54" s="279"/>
      <c r="E54" s="303">
        <f t="shared" si="3"/>
        <v>1000000</v>
      </c>
      <c r="F54" s="283" t="s">
        <v>201</v>
      </c>
      <c r="G54" s="284">
        <f>G35+G41+G46+G53</f>
        <v>0.79500000000000004</v>
      </c>
      <c r="H54" s="284"/>
      <c r="I54" s="285">
        <f>I35+I41+I46+I53</f>
        <v>817200</v>
      </c>
      <c r="J54" s="304">
        <f>J35+J41+J46+J53</f>
        <v>0.8427</v>
      </c>
      <c r="K54" s="287">
        <f>K35+K41+K46+K53</f>
        <v>842700</v>
      </c>
      <c r="L54" s="36"/>
      <c r="M54" s="36"/>
      <c r="N54" s="36"/>
      <c r="O54" s="36"/>
      <c r="P54" s="36"/>
      <c r="Q54" s="36"/>
      <c r="R54" s="36"/>
      <c r="S54" s="36"/>
      <c r="T54" s="36"/>
      <c r="U54" s="36"/>
      <c r="V54" s="36"/>
    </row>
    <row r="55" spans="1:22" ht="15.75" x14ac:dyDescent="0.25">
      <c r="A55" s="267"/>
      <c r="B55" s="268"/>
      <c r="C55" s="36"/>
      <c r="D55" s="36"/>
      <c r="E55" s="36"/>
      <c r="F55" s="36"/>
      <c r="G55" s="269"/>
      <c r="H55" s="36"/>
      <c r="I55" s="36"/>
      <c r="J55" s="36"/>
      <c r="K55" s="36"/>
      <c r="L55" s="36"/>
      <c r="M55" s="36"/>
      <c r="N55" s="36"/>
      <c r="O55" s="36"/>
      <c r="P55" s="36"/>
      <c r="Q55" s="36"/>
      <c r="R55" s="36"/>
      <c r="S55" s="36"/>
      <c r="T55" s="36"/>
      <c r="U55" s="36"/>
      <c r="V55" s="36"/>
    </row>
  </sheetData>
  <conditionalFormatting sqref="D11">
    <cfRule type="expression" dxfId="6" priority="20">
      <formula>$D$11="Simple"</formula>
    </cfRule>
  </conditionalFormatting>
  <conditionalFormatting sqref="D28">
    <cfRule type="expression" dxfId="5" priority="21">
      <formula>$D$28="Simple"</formula>
    </cfRule>
  </conditionalFormatting>
  <conditionalFormatting sqref="O4:U7 A29:K54">
    <cfRule type="expression" dxfId="4" priority="4">
      <formula>$D$28="Simple"</formula>
    </cfRule>
  </conditionalFormatting>
  <conditionalFormatting sqref="O8:U11 A12:K26">
    <cfRule type="expression" dxfId="3" priority="1">
      <formula>$D$11="Simple"</formula>
    </cfRule>
  </conditionalFormatting>
  <dataValidations count="1">
    <dataValidation type="list" allowBlank="1" showInputMessage="1" showErrorMessage="1" sqref="H13:H17 H20:H24" xr:uid="{00000000-0002-0000-0500-000000000000}">
      <formula1>$D$4:$D$5</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LkUP!$F$3:$F$4</xm:f>
          </x14:formula1>
          <xm:sqref>H30:H34 H37:H40 H43:H45 H48:H52</xm:sqref>
        </x14:dataValidation>
        <x14:dataValidation type="list" allowBlank="1" showInputMessage="1" showErrorMessage="1" xr:uid="{00000000-0002-0000-0500-000002000000}">
          <x14:formula1>
            <xm:f>LkUP!$E$7:$E$8</xm:f>
          </x14:formula1>
          <xm:sqref>D28 D11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BI484"/>
  <sheetViews>
    <sheetView zoomScale="85" zoomScaleNormal="85" workbookViewId="0">
      <pane xSplit="3" ySplit="3" topLeftCell="V4" activePane="bottomRight" state="frozen"/>
      <selection pane="topRight" activeCell="D1" sqref="D1"/>
      <selection pane="bottomLeft" activeCell="A4" sqref="A4"/>
      <selection pane="bottomRight" activeCell="AC4" sqref="AC4"/>
    </sheetView>
  </sheetViews>
  <sheetFormatPr defaultRowHeight="15" x14ac:dyDescent="0.25"/>
  <cols>
    <col min="1" max="1" width="1.5703125" customWidth="1"/>
    <col min="2" max="2" width="4" customWidth="1"/>
    <col min="3" max="3" width="4.85546875" customWidth="1"/>
    <col min="4" max="4" width="9.5703125" bestFit="1" customWidth="1"/>
    <col min="5" max="6" width="9.5703125" customWidth="1"/>
    <col min="7" max="7" width="13.5703125" style="33" bestFit="1" customWidth="1"/>
    <col min="8" max="13" width="11.5703125" style="33" customWidth="1"/>
    <col min="14" max="16" width="12.85546875" customWidth="1"/>
    <col min="17" max="17" width="2.85546875" customWidth="1"/>
    <col min="18" max="18" width="14.28515625" bestFit="1" customWidth="1"/>
    <col min="19" max="19" width="13.42578125" bestFit="1" customWidth="1"/>
    <col min="20" max="20" width="2.85546875" customWidth="1"/>
    <col min="21" max="21" width="15.140625" customWidth="1"/>
    <col min="22" max="22" width="14.28515625" customWidth="1"/>
    <col min="23" max="23" width="15" bestFit="1" customWidth="1"/>
    <col min="24" max="25" width="15" customWidth="1"/>
    <col min="26" max="26" width="12.28515625" bestFit="1" customWidth="1"/>
    <col min="27" max="27" width="12.5703125" bestFit="1" customWidth="1"/>
    <col min="28" max="28" width="2.85546875" customWidth="1"/>
    <col min="29" max="29" width="17" bestFit="1" customWidth="1"/>
    <col min="30" max="30" width="12.28515625" bestFit="1" customWidth="1"/>
    <col min="31" max="32" width="15.7109375" bestFit="1" customWidth="1"/>
    <col min="33" max="33" width="12.5703125" bestFit="1" customWidth="1"/>
    <col min="34" max="34" width="12" bestFit="1" customWidth="1"/>
    <col min="35" max="35" width="13.42578125" bestFit="1" customWidth="1"/>
    <col min="36" max="36" width="2.85546875" style="36" customWidth="1"/>
    <col min="37" max="37" width="15.140625" bestFit="1" customWidth="1"/>
    <col min="38" max="38" width="16.5703125" bestFit="1" customWidth="1"/>
    <col min="39" max="39" width="17" bestFit="1" customWidth="1"/>
    <col min="40" max="40" width="2.85546875" style="41" customWidth="1"/>
    <col min="41" max="42" width="15.140625" customWidth="1"/>
    <col min="43" max="44" width="15.85546875" bestFit="1" customWidth="1"/>
    <col min="45" max="45" width="15.140625" customWidth="1"/>
    <col min="46" max="46" width="17" bestFit="1" customWidth="1"/>
    <col min="47" max="47" width="2.85546875" style="36" customWidth="1"/>
    <col min="48" max="49" width="17" bestFit="1" customWidth="1"/>
    <col min="50" max="50" width="19.42578125" bestFit="1" customWidth="1"/>
    <col min="51" max="51" width="2.85546875" style="36" customWidth="1"/>
    <col min="52" max="52" width="15" bestFit="1" customWidth="1"/>
    <col min="53" max="53" width="12.5703125" bestFit="1" customWidth="1"/>
    <col min="54" max="54" width="15" bestFit="1" customWidth="1"/>
    <col min="56" max="56" width="13.42578125" bestFit="1" customWidth="1"/>
    <col min="57" max="57" width="15.85546875" style="2" bestFit="1" customWidth="1"/>
    <col min="58" max="58" width="15" bestFit="1" customWidth="1"/>
    <col min="59" max="59" width="12.5703125" bestFit="1" customWidth="1"/>
    <col min="60" max="61" width="15" bestFit="1" customWidth="1"/>
  </cols>
  <sheetData>
    <row r="2" spans="2:61" x14ac:dyDescent="0.25">
      <c r="H2" s="22">
        <f>H5/$G$5</f>
        <v>0</v>
      </c>
      <c r="I2" s="22">
        <f>I5/$G$5</f>
        <v>0</v>
      </c>
      <c r="J2" s="22">
        <f t="shared" ref="J2:M2" si="0">J5/$G$5</f>
        <v>0</v>
      </c>
      <c r="K2" s="22">
        <f t="shared" si="0"/>
        <v>0.20204983060109291</v>
      </c>
      <c r="L2" s="22"/>
      <c r="M2" s="22">
        <f t="shared" si="0"/>
        <v>1</v>
      </c>
      <c r="U2" s="332" t="s">
        <v>84</v>
      </c>
      <c r="V2" s="332"/>
      <c r="W2" s="332"/>
      <c r="X2" s="68"/>
      <c r="Y2" s="68"/>
      <c r="Z2" s="335"/>
      <c r="AA2" s="335"/>
      <c r="AC2" s="334" t="s">
        <v>147</v>
      </c>
      <c r="AD2" s="334"/>
      <c r="AE2" s="40"/>
      <c r="AF2" s="333" t="s">
        <v>146</v>
      </c>
      <c r="AG2" s="333"/>
      <c r="AH2" s="333"/>
      <c r="AI2" s="333"/>
      <c r="AZ2" s="336" t="s">
        <v>409</v>
      </c>
      <c r="BA2" s="336"/>
      <c r="BB2" s="336"/>
      <c r="BC2" s="336"/>
      <c r="BD2" s="336"/>
      <c r="BE2" s="336"/>
      <c r="BF2" s="336"/>
      <c r="BG2" s="336"/>
      <c r="BH2" s="336"/>
      <c r="BI2" s="336"/>
    </row>
    <row r="3" spans="2:61" s="9" customFormat="1" ht="105" x14ac:dyDescent="0.25">
      <c r="B3" s="9" t="s">
        <v>37</v>
      </c>
      <c r="C3" s="9" t="s">
        <v>18</v>
      </c>
      <c r="D3" s="9" t="s">
        <v>370</v>
      </c>
      <c r="E3" s="9" t="s">
        <v>371</v>
      </c>
      <c r="F3" s="9" t="s">
        <v>38</v>
      </c>
      <c r="G3" s="75" t="s">
        <v>41</v>
      </c>
      <c r="H3" s="75" t="s">
        <v>245</v>
      </c>
      <c r="I3" s="75" t="s">
        <v>244</v>
      </c>
      <c r="J3" s="75" t="s">
        <v>243</v>
      </c>
      <c r="K3" s="75" t="s">
        <v>329</v>
      </c>
      <c r="L3" s="75" t="s">
        <v>330</v>
      </c>
      <c r="M3" s="75" t="s">
        <v>242</v>
      </c>
      <c r="N3" s="9" t="s">
        <v>4</v>
      </c>
      <c r="O3" s="9" t="s">
        <v>5</v>
      </c>
      <c r="P3" s="9" t="s">
        <v>6</v>
      </c>
      <c r="R3" s="9" t="s">
        <v>42</v>
      </c>
      <c r="S3" s="9" t="s">
        <v>47</v>
      </c>
      <c r="U3" s="9" t="s">
        <v>39</v>
      </c>
      <c r="V3" s="9" t="s">
        <v>83</v>
      </c>
      <c r="W3" s="9" t="s">
        <v>89</v>
      </c>
      <c r="X3" s="9" t="s">
        <v>24</v>
      </c>
      <c r="Y3" s="9" t="s">
        <v>215</v>
      </c>
      <c r="Z3" s="9" t="s">
        <v>214</v>
      </c>
      <c r="AA3" s="9" t="s">
        <v>90</v>
      </c>
      <c r="AC3" s="9" t="s">
        <v>92</v>
      </c>
      <c r="AD3" s="9" t="s">
        <v>88</v>
      </c>
      <c r="AE3" s="9" t="str">
        <f>IF('PV IN'!$N$10="Yes","Loan Principal","Loan Payment")</f>
        <v>Loan Payment</v>
      </c>
      <c r="AF3" s="9" t="s">
        <v>163</v>
      </c>
      <c r="AG3" s="9" t="s">
        <v>43</v>
      </c>
      <c r="AH3" s="9" t="s">
        <v>48</v>
      </c>
      <c r="AI3" s="9" t="s">
        <v>36</v>
      </c>
      <c r="AJ3" s="37"/>
      <c r="AK3" s="9" t="s">
        <v>160</v>
      </c>
      <c r="AL3" s="9" t="s">
        <v>161</v>
      </c>
      <c r="AM3" s="9" t="s">
        <v>162</v>
      </c>
      <c r="AN3" s="42"/>
      <c r="AO3" s="9" t="s">
        <v>288</v>
      </c>
      <c r="AP3" s="9" t="s">
        <v>289</v>
      </c>
      <c r="AQ3" s="9" t="s">
        <v>28</v>
      </c>
      <c r="AR3" s="9" t="s">
        <v>290</v>
      </c>
      <c r="AS3" s="9" t="s">
        <v>159</v>
      </c>
      <c r="AT3" s="9" t="s">
        <v>145</v>
      </c>
      <c r="AU3" s="37"/>
      <c r="AV3" s="9" t="s">
        <v>116</v>
      </c>
      <c r="AW3" s="9" t="s">
        <v>117</v>
      </c>
      <c r="AX3" s="9" t="s">
        <v>118</v>
      </c>
      <c r="AY3" s="37"/>
      <c r="AZ3" s="9" t="s">
        <v>161</v>
      </c>
      <c r="BA3" s="9" t="s">
        <v>423</v>
      </c>
      <c r="BB3" s="9" t="s">
        <v>425</v>
      </c>
      <c r="BC3" s="9" t="s">
        <v>85</v>
      </c>
      <c r="BD3" s="9" t="s">
        <v>289</v>
      </c>
      <c r="BE3" s="86" t="s">
        <v>28</v>
      </c>
      <c r="BF3" s="9" t="s">
        <v>290</v>
      </c>
      <c r="BG3" s="9" t="s">
        <v>159</v>
      </c>
      <c r="BH3" s="9" t="s">
        <v>145</v>
      </c>
      <c r="BI3" s="9" t="s">
        <v>410</v>
      </c>
    </row>
    <row r="4" spans="2:61" x14ac:dyDescent="0.25">
      <c r="B4">
        <v>0</v>
      </c>
      <c r="C4">
        <v>0</v>
      </c>
      <c r="V4" s="10"/>
      <c r="W4" s="2">
        <f>IF(C4='PV IN'!$I$40,IF('PV IN'!$G$40="Non-Taxable",'PV IN'!$F$40,0),0)+IF(C4='PV IN'!$I$41,IF('PV IN'!$G$41="Non-Taxable",'PV IN'!$F$41,0),0)</f>
        <v>0</v>
      </c>
      <c r="AA4" s="2">
        <f>IF(C4='PV IN'!$I$40,IF('PV IN'!$G$40="Taxable",'PV IN'!$F$40,0),0)+IF(C4='PV IN'!$I$41,IF('PV IN'!$G$41="Taxable",'PV IN'!$F$41,0),0)</f>
        <v>0</v>
      </c>
      <c r="AC4" s="10">
        <f>-'PV IN'!$O$17</f>
        <v>-2325000</v>
      </c>
      <c r="AK4" s="2">
        <f>SUM(U4:AA4)</f>
        <v>0</v>
      </c>
      <c r="AL4" s="2">
        <f>SUM(AC4:AI4)</f>
        <v>-2325000</v>
      </c>
      <c r="AM4" s="2">
        <f>AK4+AL4</f>
        <v>-2325000</v>
      </c>
      <c r="AN4" s="43"/>
      <c r="AO4" s="2">
        <f t="shared" ref="AO4:AO67" si="1">SUM(Z4:AA4)</f>
        <v>0</v>
      </c>
      <c r="AP4" s="2">
        <f>SUM(AF4:AI4)</f>
        <v>0</v>
      </c>
      <c r="AR4" s="2">
        <f>SUM(AO4:AQ4)</f>
        <v>0</v>
      </c>
      <c r="AS4" s="2">
        <f>-AR4*'PV IN'!$E$8</f>
        <v>0</v>
      </c>
      <c r="AT4" s="2">
        <f>IF('PV IN'!$F$4="Battery Only",0,AM4+AS4)</f>
        <v>-2325000</v>
      </c>
      <c r="AV4" s="10">
        <f>AT4</f>
        <v>-2325000</v>
      </c>
      <c r="AW4" s="2">
        <f>AT4/(1+('PV IN'!$G$9))^(C4)</f>
        <v>-2325000</v>
      </c>
      <c r="AX4" s="2">
        <f>AW4</f>
        <v>-2325000</v>
      </c>
      <c r="AZ4" s="10">
        <f t="shared" ref="AZ4:AZ67" si="2">AL4-AD4</f>
        <v>-2325000</v>
      </c>
      <c r="BA4" s="10">
        <f>AK4-U4</f>
        <v>0</v>
      </c>
      <c r="BB4" s="10">
        <f>AZ4+BA4</f>
        <v>-2325000</v>
      </c>
      <c r="BC4" s="10">
        <f>AO4</f>
        <v>0</v>
      </c>
      <c r="BD4" s="10">
        <f>AP4</f>
        <v>0</v>
      </c>
      <c r="BE4" s="2">
        <f>AQ4</f>
        <v>0</v>
      </c>
      <c r="BF4" s="10">
        <f>SUM(BC4:BE4)</f>
        <v>0</v>
      </c>
      <c r="BG4" s="2">
        <f>-BF4*'PV IN'!$E$8</f>
        <v>0</v>
      </c>
      <c r="BH4" s="2">
        <f>IF('PV IN'!$F$4="Battery Only",0,BB4+BG4)</f>
        <v>-2325000</v>
      </c>
      <c r="BI4" s="2">
        <f>BH4/(1+('PV IN'!$G$9))^(C4)</f>
        <v>-2325000</v>
      </c>
    </row>
    <row r="5" spans="2:61" x14ac:dyDescent="0.25">
      <c r="C5">
        <v>1</v>
      </c>
      <c r="D5" s="16">
        <f>'PV IN'!E6</f>
        <v>7.5999999999999998E-2</v>
      </c>
      <c r="E5" s="16">
        <f>LkUP!$U$21</f>
        <v>7.5965300541213879E-2</v>
      </c>
      <c r="F5" s="16">
        <f>IF('PV IN'!$D$7="Table",E5,D5)</f>
        <v>7.5965300541213879E-2</v>
      </c>
      <c r="G5" s="33">
        <f>('PV IN'!$E$25*'PV IN'!$E$18/12)*(1-(1-'PV IN'!$E$27)/(25*12))^C4</f>
        <v>152500</v>
      </c>
      <c r="H5" s="33">
        <f>IF('PV IN'!$D$19="YES",G5*'PV IN'!$E$21,0)</f>
        <v>0</v>
      </c>
      <c r="I5" s="33">
        <f>IF('PV IN'!$D$19="YES",'PV IN'!$E$22*BattCalcs!W5,0)</f>
        <v>0</v>
      </c>
      <c r="J5" s="33">
        <f>IF('PV IN'!$D$19="YES",'PV IN'!$E$23*BattCalcs!Y5,0)</f>
        <v>0</v>
      </c>
      <c r="K5" s="33">
        <f>BattCalcs!AF5</f>
        <v>30812.599166666667</v>
      </c>
      <c r="L5" s="33">
        <f>IF(SUM(H5:K5)&lt;=G5,K5,G5-SUM(H5:J5))</f>
        <v>30812.599166666667</v>
      </c>
      <c r="M5" s="33">
        <f>IF('PV IN'!$F$4="PV Only",G5,G5-SUM(H5:J5,L5))</f>
        <v>152500</v>
      </c>
      <c r="N5" s="2">
        <f>IF(C5&lt;='PV IN'!$I$12*12,'PV IN'!$E$12*G5/1000,0)</f>
        <v>2287.5</v>
      </c>
      <c r="O5" s="2">
        <f>IF(AND(C5&gt;'PV IN'!$I$12*12,C5&lt;='PV IN'!$I$13*12+'PV IN'!$I$12*12),'PV IN'!$E$13*PVCalcs!G5/1000,0)</f>
        <v>0</v>
      </c>
      <c r="P5" s="2">
        <f>IF(AND(C5&gt;'PV IN'!$I$12*12+'PV IN'!$I$13*12,C5&lt;='PV IN'!$I$12*12+'PV IN'!$I$13*12+'PV IN'!$I$14*12),'PV IN'!$E$14*PVCalcs!G5/1000,0)</f>
        <v>0</v>
      </c>
      <c r="R5" s="10">
        <f>IF(AND('PV IN'!$D$35="YES",$C5&lt;='PV IN'!$E$35*12),-'PV IN'!$E$18*'PV IN'!$E$34/12,0)</f>
        <v>0</v>
      </c>
      <c r="S5" s="10">
        <f>IF(AND('PV IN'!$D$37="YES",$C5&lt;='PV IN'!$E$37*12),-'PV IN'!$E$18*'PV IN'!$E$36/12,0)</f>
        <v>0</v>
      </c>
      <c r="U5" s="2">
        <f>F5*M5</f>
        <v>11584.708332535116</v>
      </c>
      <c r="V5" s="10">
        <f>PVLoan!M32</f>
        <v>0</v>
      </c>
      <c r="W5" s="2">
        <f>IF(C5='PV IN'!$I$40,IF('PV IN'!$G$40="Non-Taxable",'PV IN'!$F$40,0),0)+IF(C5='PV IN'!$I$41,IF('PV IN'!$G$41="Non-Taxable",'PV IN'!$F$41,0),0)</f>
        <v>0</v>
      </c>
      <c r="X5" s="10"/>
      <c r="Y5" s="10">
        <f>IF('PV IN'!$E$15="Non-Taxable",SUM(N5:P5),0)</f>
        <v>2287.5</v>
      </c>
      <c r="Z5" s="10">
        <f>IF('PV IN'!$E$15="Taxable",SUM(N5:P5),0)</f>
        <v>0</v>
      </c>
      <c r="AA5" s="2">
        <f>IF(C5='PV IN'!$I$40,IF('PV IN'!$G$40="Taxable",'PV IN'!$F$40,0),0)+IF(C5='PV IN'!$I$41,IF('PV IN'!$G$41="Taxable",'PV IN'!$F$41,0),0)</f>
        <v>0</v>
      </c>
      <c r="AD5" s="10">
        <f>IF('PV IN'!$D$48="YES",-U5*'PV IN'!$E$8,0)</f>
        <v>0</v>
      </c>
      <c r="AE5" s="10">
        <f>IF('PV IN'!$N$10="Yes",-PVLoan!H33,-PVLoan!L33)</f>
        <v>0</v>
      </c>
      <c r="AF5" s="10">
        <f>IF('PV IN'!$N$10="Yes",-PVLoan!F33,0)</f>
        <v>0</v>
      </c>
      <c r="AG5" s="10">
        <f>IF(AND('PV IN'!$D$35="YES",$C5&lt;='PV IN'!$E$35*12),0,-'PV IN'!$E$18*'PV IN'!$E$34/12)</f>
        <v>-750</v>
      </c>
      <c r="AH5" s="10">
        <f>IF(AND('PV IN'!$D$37="YES",$C5&lt;='PV IN'!$E$37*12),0,-'PV IN'!$E$18*'PV IN'!$E$36/12)</f>
        <v>-625</v>
      </c>
      <c r="AI5" s="2">
        <f>IF(AND('PV IN'!$D$33="YES",PVCalcs!C5=ROUNDUP('PV IN'!$H$33*12,)),-'PV IN'!$E$33*'PV IN'!$E$18,0)</f>
        <v>0</v>
      </c>
      <c r="AK5" s="2">
        <f>SUM(U5:AA5)</f>
        <v>13872.208332535116</v>
      </c>
      <c r="AL5" s="2">
        <f t="shared" ref="AL5:AL67" si="3">SUM(AC5:AI5)</f>
        <v>-1375</v>
      </c>
      <c r="AM5" s="2">
        <f t="shared" ref="AM5:AM68" si="4">AK5+AL5</f>
        <v>12497.208332535116</v>
      </c>
      <c r="AN5" s="43"/>
      <c r="AO5" s="2">
        <f t="shared" si="1"/>
        <v>0</v>
      </c>
      <c r="AP5" s="2">
        <f>SUM(AF5:AI5)</f>
        <v>-1375</v>
      </c>
      <c r="AR5" s="2">
        <f>SUM(AO5:AQ5)</f>
        <v>-1375</v>
      </c>
      <c r="AS5" s="2">
        <f>-AR5*'PV IN'!$E$8</f>
        <v>288.75</v>
      </c>
      <c r="AT5" s="2">
        <f>IF('PV IN'!$F$4="Battery Only",0,AM5+AS5)</f>
        <v>12785.958332535116</v>
      </c>
      <c r="AV5" s="10">
        <f t="shared" ref="AV5:AV68" si="5">AV4+AT5</f>
        <v>-2312214.0416674647</v>
      </c>
      <c r="AW5" s="2">
        <f>AT5/(1+('PV IN'!$G$9))^(C5)</f>
        <v>12734.078121995459</v>
      </c>
      <c r="AX5" s="2">
        <f>IF(C5&lt;='PV IN'!$O$22*12,AW5+AX4,NA())</f>
        <v>-2312265.9218780044</v>
      </c>
      <c r="AZ5" s="10">
        <f t="shared" si="2"/>
        <v>-1375</v>
      </c>
      <c r="BA5" s="10">
        <f t="shared" ref="BA5:BA67" si="6">AK5-U5</f>
        <v>2287.5</v>
      </c>
      <c r="BB5" s="10">
        <f t="shared" ref="BB5:BB68" si="7">AZ5+BA5</f>
        <v>912.5</v>
      </c>
      <c r="BC5" s="10">
        <f t="shared" ref="BC5:BC68" si="8">AO5</f>
        <v>0</v>
      </c>
      <c r="BD5" s="10">
        <f t="shared" ref="BD5:BD68" si="9">AP5</f>
        <v>-1375</v>
      </c>
      <c r="BE5" s="2">
        <f t="shared" ref="BE5:BE68" si="10">AQ5</f>
        <v>0</v>
      </c>
      <c r="BF5" s="10">
        <f t="shared" ref="BF5:BF68" si="11">SUM(BC5:BE5)</f>
        <v>-1375</v>
      </c>
      <c r="BG5" s="2">
        <f>-BF5*'PV IN'!$E$8</f>
        <v>288.75</v>
      </c>
      <c r="BH5" s="2">
        <f>IF('PV IN'!$F$4="Battery Only",0,BB5+BG5)</f>
        <v>1201.25</v>
      </c>
      <c r="BI5" s="2">
        <f>BH5/(1+('PV IN'!$G$9))^(C5)</f>
        <v>1196.3758168304691</v>
      </c>
    </row>
    <row r="6" spans="2:61" x14ac:dyDescent="0.25">
      <c r="C6">
        <v>2</v>
      </c>
      <c r="D6" s="16">
        <f>D5*(1+('PV IN'!$G$6/12))</f>
        <v>7.5999999999999998E-2</v>
      </c>
      <c r="E6" s="16">
        <f>LkUP!$U$21</f>
        <v>7.5965300541213879E-2</v>
      </c>
      <c r="F6" s="16">
        <f>IF('PV IN'!$D$7="Table",E6,D6)</f>
        <v>7.5965300541213879E-2</v>
      </c>
      <c r="G6" s="33">
        <f>('PV IN'!$E$25*'PV IN'!$E$18/12)*(1-(1-'PV IN'!$E$27)/(25*12))^C5</f>
        <v>152398.33333333331</v>
      </c>
      <c r="H6" s="33">
        <f>IF('PV IN'!$D$19="YES",G6*'PV IN'!$E$21,0)</f>
        <v>0</v>
      </c>
      <c r="I6" s="33">
        <f>IF('PV IN'!$D$19="YES",'PV IN'!$E$22*BattCalcs!W6,0)</f>
        <v>0</v>
      </c>
      <c r="J6" s="33">
        <f>IF('PV IN'!$D$19="YES",'PV IN'!$E$23*BattCalcs!Y6,0)</f>
        <v>0</v>
      </c>
      <c r="K6" s="33">
        <f>BattCalcs!AF6</f>
        <v>30812.599166666667</v>
      </c>
      <c r="L6" s="33">
        <f t="shared" ref="L6:L69" si="12">IF(SUM(H6:K6)&lt;=G6,K6,G6-SUM(H6:J6))</f>
        <v>30812.599166666667</v>
      </c>
      <c r="M6" s="33">
        <f>IF('PV IN'!$F$4="PV Only",G6,G6-SUM(H6:J6,L6))</f>
        <v>152398.33333333331</v>
      </c>
      <c r="N6" s="2">
        <f>IF(C6&lt;='PV IN'!$I$12*12,'PV IN'!$E$12*G6/1000,0)</f>
        <v>2285.9749999999995</v>
      </c>
      <c r="O6" s="2">
        <f>IF(AND(C6&gt;'PV IN'!$I$12*12,C6&lt;='PV IN'!$I$13*12+'PV IN'!$I$12*12),'PV IN'!$E$13*PVCalcs!G6/1000,0)</f>
        <v>0</v>
      </c>
      <c r="P6" s="2">
        <f>IF(AND(C6&gt;'PV IN'!$I$12*12+'PV IN'!$I$13*12,C6&lt;='PV IN'!$I$12*12+'PV IN'!$I$13*12+'PV IN'!$I$14*12),'PV IN'!$E$14*PVCalcs!G6/1000,0)</f>
        <v>0</v>
      </c>
      <c r="R6" s="10">
        <f>IF(AND('PV IN'!$D$35="YES",$C6&lt;='PV IN'!$E$35*12),-'PV IN'!$E$18*'PV IN'!$E$34/12,0)</f>
        <v>0</v>
      </c>
      <c r="S6" s="10">
        <f>IF(AND('PV IN'!$D$37="YES",$C6&lt;='PV IN'!$E$37*12),-'PV IN'!$E$18*'PV IN'!$E$36/12,0)</f>
        <v>0</v>
      </c>
      <c r="U6" s="2">
        <f t="shared" ref="U6:U69" si="13">F6*M6</f>
        <v>11576.985193646758</v>
      </c>
      <c r="V6" s="10">
        <f>PVLoan!M33</f>
        <v>0</v>
      </c>
      <c r="W6" s="2">
        <f>IF(C6='PV IN'!$I$40,IF('PV IN'!$G$40="Non-Taxable",'PV IN'!$F$40,0),0)+IF(C6='PV IN'!$I$41,IF('PV IN'!$G$41="Non-Taxable",'PV IN'!$F$41,0),0)</f>
        <v>0</v>
      </c>
      <c r="X6" s="10"/>
      <c r="Y6" s="10">
        <f>IF('PV IN'!$E$15="Non-Taxable",SUM(N6:P6),0)</f>
        <v>2285.9749999999995</v>
      </c>
      <c r="Z6" s="10">
        <f>IF('PV IN'!$E$15="Taxable",SUM(N6:P6),0)</f>
        <v>0</v>
      </c>
      <c r="AA6" s="2">
        <f>IF(C6='PV IN'!$I$40,IF('PV IN'!$G$40="Taxable",'PV IN'!$F$40,0),0)+IF(C6='PV IN'!$I$41,IF('PV IN'!$G$41="Taxable",'PV IN'!$F$41,0),0)</f>
        <v>0</v>
      </c>
      <c r="AD6" s="10">
        <f>IF('PV IN'!$D$48="YES",-U6*'PV IN'!$E$8,0)</f>
        <v>0</v>
      </c>
      <c r="AE6" s="10">
        <f>IF('PV IN'!$N$10="Yes",-PVLoan!H34,-PVLoan!L34)</f>
        <v>0</v>
      </c>
      <c r="AF6" s="10">
        <f>IF('PV IN'!$N$10="Yes",-PVLoan!F34,0)</f>
        <v>0</v>
      </c>
      <c r="AG6" s="10">
        <f>IF(AND('PV IN'!$D$35="YES",$C6&lt;='PV IN'!$E$35*12),0,-'PV IN'!$E$18*'PV IN'!$E$34/12)</f>
        <v>-750</v>
      </c>
      <c r="AH6" s="10">
        <f>IF(AND('PV IN'!$D$37="YES",$C6&lt;='PV IN'!$E$37*12),0,-'PV IN'!$E$18*'PV IN'!$E$36/12)</f>
        <v>-625</v>
      </c>
      <c r="AI6" s="2">
        <f>IF(AND('PV IN'!$D$33="YES",PVCalcs!C6=ROUNDUP('PV IN'!$H$33*12,)),-'PV IN'!$E$33*'PV IN'!$E$18,0)</f>
        <v>0</v>
      </c>
      <c r="AK6" s="2">
        <f>SUM(U6:AA6)</f>
        <v>13862.960193646759</v>
      </c>
      <c r="AL6" s="2">
        <f t="shared" si="3"/>
        <v>-1375</v>
      </c>
      <c r="AM6" s="2">
        <f t="shared" si="4"/>
        <v>12487.960193646759</v>
      </c>
      <c r="AN6" s="43"/>
      <c r="AO6" s="2">
        <f t="shared" si="1"/>
        <v>0</v>
      </c>
      <c r="AP6" s="2">
        <f t="shared" ref="AP6:AP68" si="14">SUM(AF6:AI6)</f>
        <v>-1375</v>
      </c>
      <c r="AR6" s="2">
        <f t="shared" ref="AR6:AR68" si="15">SUM(AO6:AQ6)</f>
        <v>-1375</v>
      </c>
      <c r="AS6" s="2">
        <f>-AR6*'PV IN'!$E$8</f>
        <v>288.75</v>
      </c>
      <c r="AT6" s="2">
        <f>IF('PV IN'!$F$4="Battery Only",0,AM6+AS6)</f>
        <v>12776.710193646759</v>
      </c>
      <c r="AV6" s="10">
        <f t="shared" si="5"/>
        <v>-2299437.331473818</v>
      </c>
      <c r="AW6" s="2">
        <f>AT6/(1+('PV IN'!$G$9))^(C6)</f>
        <v>12673.235179427196</v>
      </c>
      <c r="AX6" s="2">
        <f>IF(C6&lt;='PV IN'!$O$22*12,AW6+AX5,NA())</f>
        <v>-2299592.6866985774</v>
      </c>
      <c r="AZ6" s="10">
        <f t="shared" si="2"/>
        <v>-1375</v>
      </c>
      <c r="BA6" s="10">
        <f t="shared" si="6"/>
        <v>2285.9750000000004</v>
      </c>
      <c r="BB6" s="10">
        <f t="shared" si="7"/>
        <v>910.97500000000036</v>
      </c>
      <c r="BC6" s="10">
        <f t="shared" si="8"/>
        <v>0</v>
      </c>
      <c r="BD6" s="10">
        <f t="shared" si="9"/>
        <v>-1375</v>
      </c>
      <c r="BE6" s="2">
        <f t="shared" si="10"/>
        <v>0</v>
      </c>
      <c r="BF6" s="10">
        <f t="shared" si="11"/>
        <v>-1375</v>
      </c>
      <c r="BG6" s="2">
        <f>-BF6*'PV IN'!$E$8</f>
        <v>288.75</v>
      </c>
      <c r="BH6" s="2">
        <f>IF('PV IN'!$F$4="Battery Only",0,BB6+BG6)</f>
        <v>1199.7250000000004</v>
      </c>
      <c r="BI6" s="2">
        <f>BH6/(1+('PV IN'!$G$9))^(C6)</f>
        <v>1190.0087616606277</v>
      </c>
    </row>
    <row r="7" spans="2:61" x14ac:dyDescent="0.25">
      <c r="C7">
        <v>3</v>
      </c>
      <c r="D7" s="16">
        <f>D6*(1+('PV IN'!$G$6/12))</f>
        <v>7.5999999999999998E-2</v>
      </c>
      <c r="E7" s="16">
        <f>LkUP!$U$21</f>
        <v>7.5965300541213879E-2</v>
      </c>
      <c r="F7" s="16">
        <f>IF('PV IN'!$D$7="Table",E7,D7)</f>
        <v>7.5965300541213879E-2</v>
      </c>
      <c r="G7" s="33">
        <f>('PV IN'!$E$25*'PV IN'!$E$18/12)*(1-(1-'PV IN'!$E$27)/(25*12))^C6</f>
        <v>152296.73444444445</v>
      </c>
      <c r="H7" s="33">
        <f>IF('PV IN'!$D$19="YES",G7*'PV IN'!$E$21,0)</f>
        <v>0</v>
      </c>
      <c r="I7" s="33">
        <f>IF('PV IN'!$D$19="YES",'PV IN'!$E$22*BattCalcs!W7,0)</f>
        <v>0</v>
      </c>
      <c r="J7" s="33">
        <f>IF('PV IN'!$D$19="YES",'PV IN'!$E$23*BattCalcs!Y7,0)</f>
        <v>0</v>
      </c>
      <c r="K7" s="33">
        <f>BattCalcs!AF7</f>
        <v>30812.599166666667</v>
      </c>
      <c r="L7" s="33">
        <f t="shared" si="12"/>
        <v>30812.599166666667</v>
      </c>
      <c r="M7" s="33">
        <f>IF('PV IN'!$F$4="PV Only",G7,G7-SUM(H7:J7,L7))</f>
        <v>152296.73444444445</v>
      </c>
      <c r="N7" s="2">
        <f>IF(C7&lt;='PV IN'!$I$12*12,'PV IN'!$E$12*G7/1000,0)</f>
        <v>2284.4510166666664</v>
      </c>
      <c r="O7" s="2">
        <f>IF(AND(C7&gt;'PV IN'!$I$12*12,C7&lt;='PV IN'!$I$13*12+'PV IN'!$I$12*12),'PV IN'!$E$13*PVCalcs!G7/1000,0)</f>
        <v>0</v>
      </c>
      <c r="P7" s="2">
        <f>IF(AND(C7&gt;'PV IN'!$I$12*12+'PV IN'!$I$13*12,C7&lt;='PV IN'!$I$12*12+'PV IN'!$I$13*12+'PV IN'!$I$14*12),'PV IN'!$E$14*PVCalcs!G7/1000,0)</f>
        <v>0</v>
      </c>
      <c r="R7" s="10">
        <f>IF(AND('PV IN'!$D$35="YES",$C7&lt;='PV IN'!$E$35*12),-'PV IN'!$E$18*'PV IN'!$E$34/12,0)</f>
        <v>0</v>
      </c>
      <c r="S7" s="10">
        <f>IF(AND('PV IN'!$D$37="YES",$C7&lt;='PV IN'!$E$37*12),-'PV IN'!$E$18*'PV IN'!$E$36/12,0)</f>
        <v>0</v>
      </c>
      <c r="U7" s="2">
        <f t="shared" si="13"/>
        <v>11569.267203517662</v>
      </c>
      <c r="V7" s="10">
        <f>PVLoan!M34</f>
        <v>0</v>
      </c>
      <c r="W7" s="2">
        <f>IF(C7='PV IN'!$I$40,IF('PV IN'!$G$40="Non-Taxable",'PV IN'!$F$40,0),0)+IF(C7='PV IN'!$I$41,IF('PV IN'!$G$41="Non-Taxable",'PV IN'!$F$41,0),0)</f>
        <v>0</v>
      </c>
      <c r="X7" s="10"/>
      <c r="Y7" s="10">
        <f>IF('PV IN'!$E$15="Non-Taxable",SUM(N7:P7),0)</f>
        <v>2284.4510166666664</v>
      </c>
      <c r="Z7" s="10">
        <f>IF('PV IN'!$E$15="Taxable",SUM(N7:P7),0)</f>
        <v>0</v>
      </c>
      <c r="AA7" s="2">
        <f>IF(C7='PV IN'!$I$40,IF('PV IN'!$G$40="Taxable",'PV IN'!$F$40,0),0)+IF(C7='PV IN'!$I$41,IF('PV IN'!$G$41="Taxable",'PV IN'!$F$41,0),0)</f>
        <v>0</v>
      </c>
      <c r="AD7" s="10">
        <f>IF('PV IN'!$D$48="YES",-U7*'PV IN'!$E$8,0)</f>
        <v>0</v>
      </c>
      <c r="AE7" s="10">
        <f>IF('PV IN'!$N$10="Yes",-PVLoan!H35,-PVLoan!L35)</f>
        <v>0</v>
      </c>
      <c r="AF7" s="10">
        <f>IF('PV IN'!$N$10="Yes",-PVLoan!F35,0)</f>
        <v>0</v>
      </c>
      <c r="AG7" s="10">
        <f>IF(AND('PV IN'!$D$35="YES",$C7&lt;='PV IN'!$E$35*12),0,-'PV IN'!$E$18*'PV IN'!$E$34/12)</f>
        <v>-750</v>
      </c>
      <c r="AH7" s="10">
        <f>IF(AND('PV IN'!$D$37="YES",$C7&lt;='PV IN'!$E$37*12),0,-'PV IN'!$E$18*'PV IN'!$E$36/12)</f>
        <v>-625</v>
      </c>
      <c r="AI7" s="2">
        <f>IF(AND('PV IN'!$D$33="YES",PVCalcs!C7=ROUNDUP('PV IN'!$H$33*12,)),-'PV IN'!$E$33*'PV IN'!$E$18,0)</f>
        <v>0</v>
      </c>
      <c r="AK7" s="2">
        <f t="shared" ref="AK7:AK67" si="16">SUM(U7:AA7)</f>
        <v>13853.718220184328</v>
      </c>
      <c r="AL7" s="2">
        <f t="shared" si="3"/>
        <v>-1375</v>
      </c>
      <c r="AM7" s="2">
        <f t="shared" si="4"/>
        <v>12478.718220184328</v>
      </c>
      <c r="AN7" s="43"/>
      <c r="AO7" s="2">
        <f t="shared" si="1"/>
        <v>0</v>
      </c>
      <c r="AP7" s="2">
        <f t="shared" si="14"/>
        <v>-1375</v>
      </c>
      <c r="AR7" s="2">
        <f t="shared" si="15"/>
        <v>-1375</v>
      </c>
      <c r="AS7" s="2">
        <f>-AR7*'PV IN'!$E$8</f>
        <v>288.75</v>
      </c>
      <c r="AT7" s="2">
        <f>IF('PV IN'!$F$4="Battery Only",0,AM7+AS7)</f>
        <v>12767.468220184328</v>
      </c>
      <c r="AV7" s="10">
        <f t="shared" si="5"/>
        <v>-2286669.8632536335</v>
      </c>
      <c r="AW7" s="2">
        <f>AT7/(1+('PV IN'!$G$9))^(C7)</f>
        <v>12612.68242468951</v>
      </c>
      <c r="AX7" s="2">
        <f>IF(C7&lt;='PV IN'!$O$22*12,AW7+AX6,NA())</f>
        <v>-2286980.0042738877</v>
      </c>
      <c r="AZ7" s="10">
        <f t="shared" si="2"/>
        <v>-1375</v>
      </c>
      <c r="BA7" s="10">
        <f t="shared" si="6"/>
        <v>2284.451016666666</v>
      </c>
      <c r="BB7" s="10">
        <f t="shared" si="7"/>
        <v>909.45101666666596</v>
      </c>
      <c r="BC7" s="10">
        <f t="shared" si="8"/>
        <v>0</v>
      </c>
      <c r="BD7" s="10">
        <f t="shared" si="9"/>
        <v>-1375</v>
      </c>
      <c r="BE7" s="2">
        <f t="shared" si="10"/>
        <v>0</v>
      </c>
      <c r="BF7" s="10">
        <f t="shared" si="11"/>
        <v>-1375</v>
      </c>
      <c r="BG7" s="2">
        <f>-BF7*'PV IN'!$E$8</f>
        <v>288.75</v>
      </c>
      <c r="BH7" s="2">
        <f>IF('PV IN'!$F$4="Battery Only",0,BB7+BG7)</f>
        <v>1198.201016666666</v>
      </c>
      <c r="BI7" s="2">
        <f>BH7/(1+('PV IN'!$G$9))^(C7)</f>
        <v>1183.6746834634828</v>
      </c>
    </row>
    <row r="8" spans="2:61" x14ac:dyDescent="0.25">
      <c r="C8">
        <v>4</v>
      </c>
      <c r="D8" s="16">
        <f>D7*(1+('PV IN'!$G$6/12))</f>
        <v>7.5999999999999998E-2</v>
      </c>
      <c r="E8" s="16">
        <f>LkUP!$U$21</f>
        <v>7.5965300541213879E-2</v>
      </c>
      <c r="F8" s="16">
        <f>IF('PV IN'!$D$7="Table",E8,D8)</f>
        <v>7.5965300541213879E-2</v>
      </c>
      <c r="G8" s="33">
        <f>('PV IN'!$E$25*'PV IN'!$E$18/12)*(1-(1-'PV IN'!$E$27)/(25*12))^C7</f>
        <v>152195.20328814813</v>
      </c>
      <c r="H8" s="33">
        <f>IF('PV IN'!$D$19="YES",G8*'PV IN'!$E$21,0)</f>
        <v>0</v>
      </c>
      <c r="I8" s="33">
        <f>IF('PV IN'!$D$19="YES",'PV IN'!$E$22*BattCalcs!W8,0)</f>
        <v>0</v>
      </c>
      <c r="J8" s="33">
        <f>IF('PV IN'!$D$19="YES",'PV IN'!$E$23*BattCalcs!Y8,0)</f>
        <v>0</v>
      </c>
      <c r="K8" s="33">
        <f>BattCalcs!AF8</f>
        <v>30812.599166666667</v>
      </c>
      <c r="L8" s="33">
        <f t="shared" si="12"/>
        <v>30812.599166666667</v>
      </c>
      <c r="M8" s="33">
        <f>IF('PV IN'!$F$4="PV Only",G8,G8-SUM(H8:J8,L8))</f>
        <v>152195.20328814813</v>
      </c>
      <c r="N8" s="2">
        <f>IF(C8&lt;='PV IN'!$I$12*12,'PV IN'!$E$12*G8/1000,0)</f>
        <v>2282.9280493222218</v>
      </c>
      <c r="O8" s="2">
        <f>IF(AND(C8&gt;'PV IN'!$I$12*12,C8&lt;='PV IN'!$I$13*12+'PV IN'!$I$12*12),'PV IN'!$E$13*PVCalcs!G8/1000,0)</f>
        <v>0</v>
      </c>
      <c r="P8" s="2">
        <f>IF(AND(C8&gt;'PV IN'!$I$12*12+'PV IN'!$I$13*12,C8&lt;='PV IN'!$I$12*12+'PV IN'!$I$13*12+'PV IN'!$I$14*12),'PV IN'!$E$14*PVCalcs!G8/1000,0)</f>
        <v>0</v>
      </c>
      <c r="R8" s="10">
        <f>IF(AND('PV IN'!$D$35="YES",$C8&lt;='PV IN'!$E$35*12),-'PV IN'!$E$18*'PV IN'!$E$34/12,0)</f>
        <v>0</v>
      </c>
      <c r="S8" s="10">
        <f>IF(AND('PV IN'!$D$37="YES",$C8&lt;='PV IN'!$E$37*12),-'PV IN'!$E$18*'PV IN'!$E$36/12,0)</f>
        <v>0</v>
      </c>
      <c r="U8" s="2">
        <f t="shared" si="13"/>
        <v>11561.554358715315</v>
      </c>
      <c r="V8" s="10">
        <f>PVLoan!M35</f>
        <v>0</v>
      </c>
      <c r="W8" s="2">
        <f>IF(C8='PV IN'!$I$40,IF('PV IN'!$G$40="Non-Taxable",'PV IN'!$F$40,0),0)+IF(C8='PV IN'!$I$41,IF('PV IN'!$G$41="Non-Taxable",'PV IN'!$F$41,0),0)</f>
        <v>0</v>
      </c>
      <c r="X8" s="10"/>
      <c r="Y8" s="10">
        <f>IF('PV IN'!$E$15="Non-Taxable",SUM(N8:P8),0)</f>
        <v>2282.9280493222218</v>
      </c>
      <c r="Z8" s="10">
        <f>IF('PV IN'!$E$15="Taxable",SUM(N8:P8),0)</f>
        <v>0</v>
      </c>
      <c r="AA8" s="2">
        <f>IF(C8='PV IN'!$I$40,IF('PV IN'!$G$40="Taxable",'PV IN'!$F$40,0),0)+IF(C8='PV IN'!$I$41,IF('PV IN'!$G$41="Taxable",'PV IN'!$F$41,0),0)</f>
        <v>0</v>
      </c>
      <c r="AD8" s="10">
        <f>IF('PV IN'!$D$48="YES",-U8*'PV IN'!$E$8,0)</f>
        <v>0</v>
      </c>
      <c r="AE8" s="10">
        <f>IF('PV IN'!$N$10="Yes",-PVLoan!H36,-PVLoan!L36)</f>
        <v>0</v>
      </c>
      <c r="AF8" s="10">
        <f>IF('PV IN'!$N$10="Yes",-PVLoan!F36,0)</f>
        <v>0</v>
      </c>
      <c r="AG8" s="10">
        <f>IF(AND('PV IN'!$D$35="YES",$C8&lt;='PV IN'!$E$35*12),0,-'PV IN'!$E$18*'PV IN'!$E$34/12)</f>
        <v>-750</v>
      </c>
      <c r="AH8" s="10">
        <f>IF(AND('PV IN'!$D$37="YES",$C8&lt;='PV IN'!$E$37*12),0,-'PV IN'!$E$18*'PV IN'!$E$36/12)</f>
        <v>-625</v>
      </c>
      <c r="AI8" s="2">
        <f>IF(AND('PV IN'!$D$33="YES",PVCalcs!C8=ROUNDUP('PV IN'!$H$33*12,)),-'PV IN'!$E$33*'PV IN'!$E$18,0)</f>
        <v>0</v>
      </c>
      <c r="AK8" s="2">
        <f t="shared" si="16"/>
        <v>13844.482408037537</v>
      </c>
      <c r="AL8" s="2">
        <f t="shared" si="3"/>
        <v>-1375</v>
      </c>
      <c r="AM8" s="2">
        <f t="shared" si="4"/>
        <v>12469.482408037537</v>
      </c>
      <c r="AN8" s="43"/>
      <c r="AO8" s="2">
        <f t="shared" si="1"/>
        <v>0</v>
      </c>
      <c r="AP8" s="2">
        <f t="shared" si="14"/>
        <v>-1375</v>
      </c>
      <c r="AR8" s="2">
        <f t="shared" si="15"/>
        <v>-1375</v>
      </c>
      <c r="AS8" s="2">
        <f>-AR8*'PV IN'!$E$8</f>
        <v>288.75</v>
      </c>
      <c r="AT8" s="2">
        <f>IF('PV IN'!$F$4="Battery Only",0,AM8+AS8)</f>
        <v>12758.232408037537</v>
      </c>
      <c r="AV8" s="10">
        <f t="shared" si="5"/>
        <v>-2273911.6308455961</v>
      </c>
      <c r="AW8" s="2">
        <f>AT8/(1+('PV IN'!$G$9))^(C8)</f>
        <v>12552.418475818651</v>
      </c>
      <c r="AX8" s="2">
        <f>IF(C8&lt;='PV IN'!$O$22*12,AW8+AX7,NA())</f>
        <v>-2274427.5857980689</v>
      </c>
      <c r="AZ8" s="10">
        <f t="shared" si="2"/>
        <v>-1375</v>
      </c>
      <c r="BA8" s="10">
        <f t="shared" si="6"/>
        <v>2282.9280493222213</v>
      </c>
      <c r="BB8" s="10">
        <f t="shared" si="7"/>
        <v>907.92804932222134</v>
      </c>
      <c r="BC8" s="10">
        <f t="shared" si="8"/>
        <v>0</v>
      </c>
      <c r="BD8" s="10">
        <f t="shared" si="9"/>
        <v>-1375</v>
      </c>
      <c r="BE8" s="2">
        <f t="shared" si="10"/>
        <v>0</v>
      </c>
      <c r="BF8" s="10">
        <f t="shared" si="11"/>
        <v>-1375</v>
      </c>
      <c r="BG8" s="2">
        <f>-BF8*'PV IN'!$E$8</f>
        <v>288.75</v>
      </c>
      <c r="BH8" s="2">
        <f>IF('PV IN'!$F$4="Battery Only",0,BB8+BG8)</f>
        <v>1196.6780493222213</v>
      </c>
      <c r="BI8" s="2">
        <f>BH8/(1+('PV IN'!$G$9))^(C8)</f>
        <v>1177.3734147103085</v>
      </c>
    </row>
    <row r="9" spans="2:61" x14ac:dyDescent="0.25">
      <c r="C9">
        <v>5</v>
      </c>
      <c r="D9" s="16">
        <f>D8*(1+('PV IN'!$G$6/12))</f>
        <v>7.5999999999999998E-2</v>
      </c>
      <c r="E9" s="16">
        <f>LkUP!$U$21</f>
        <v>7.5965300541213879E-2</v>
      </c>
      <c r="F9" s="16">
        <f>IF('PV IN'!$D$7="Table",E9,D9)</f>
        <v>7.5965300541213879E-2</v>
      </c>
      <c r="G9" s="33">
        <f>('PV IN'!$E$25*'PV IN'!$E$18/12)*(1-(1-'PV IN'!$E$27)/(25*12))^C8</f>
        <v>152093.73981928936</v>
      </c>
      <c r="H9" s="33">
        <f>IF('PV IN'!$D$19="YES",G9*'PV IN'!$E$21,0)</f>
        <v>0</v>
      </c>
      <c r="I9" s="33">
        <f>IF('PV IN'!$D$19="YES",'PV IN'!$E$22*BattCalcs!W9,0)</f>
        <v>0</v>
      </c>
      <c r="J9" s="33">
        <f>IF('PV IN'!$D$19="YES",'PV IN'!$E$23*BattCalcs!Y9,0)</f>
        <v>0</v>
      </c>
      <c r="K9" s="33">
        <f>BattCalcs!AF9</f>
        <v>30812.599166666667</v>
      </c>
      <c r="L9" s="33">
        <f t="shared" si="12"/>
        <v>30812.599166666667</v>
      </c>
      <c r="M9" s="33">
        <f>IF('PV IN'!$F$4="PV Only",G9,G9-SUM(H9:J9,L9))</f>
        <v>152093.73981928936</v>
      </c>
      <c r="N9" s="2">
        <f>IF(C9&lt;='PV IN'!$I$12*12,'PV IN'!$E$12*G9/1000,0)</f>
        <v>2281.4060972893408</v>
      </c>
      <c r="O9" s="2">
        <f>IF(AND(C9&gt;'PV IN'!$I$12*12,C9&lt;='PV IN'!$I$13*12+'PV IN'!$I$12*12),'PV IN'!$E$13*PVCalcs!G9/1000,0)</f>
        <v>0</v>
      </c>
      <c r="P9" s="2">
        <f>IF(AND(C9&gt;'PV IN'!$I$12*12+'PV IN'!$I$13*12,C9&lt;='PV IN'!$I$12*12+'PV IN'!$I$13*12+'PV IN'!$I$14*12),'PV IN'!$E$14*PVCalcs!G9/1000,0)</f>
        <v>0</v>
      </c>
      <c r="R9" s="10">
        <f>IF(AND('PV IN'!$D$35="YES",$C9&lt;='PV IN'!$E$35*12),-'PV IN'!$E$18*'PV IN'!$E$34/12,0)</f>
        <v>0</v>
      </c>
      <c r="S9" s="10">
        <f>IF(AND('PV IN'!$D$37="YES",$C9&lt;='PV IN'!$E$37*12),-'PV IN'!$E$18*'PV IN'!$E$36/12,0)</f>
        <v>0</v>
      </c>
      <c r="U9" s="2">
        <f t="shared" si="13"/>
        <v>11553.846655809504</v>
      </c>
      <c r="V9" s="10">
        <f>PVLoan!M36</f>
        <v>0</v>
      </c>
      <c r="W9" s="2">
        <f>IF(C9='PV IN'!$I$40,IF('PV IN'!$G$40="Non-Taxable",'PV IN'!$F$40,0),0)+IF(C9='PV IN'!$I$41,IF('PV IN'!$G$41="Non-Taxable",'PV IN'!$F$41,0),0)</f>
        <v>0</v>
      </c>
      <c r="X9" s="10"/>
      <c r="Y9" s="10">
        <f>IF('PV IN'!$E$15="Non-Taxable",SUM(N9:P9),0)</f>
        <v>2281.4060972893408</v>
      </c>
      <c r="Z9" s="10">
        <f>IF('PV IN'!$E$15="Taxable",SUM(N9:P9),0)</f>
        <v>0</v>
      </c>
      <c r="AA9" s="2">
        <f>IF(C9='PV IN'!$I$40,IF('PV IN'!$G$40="Taxable",'PV IN'!$F$40,0),0)+IF(C9='PV IN'!$I$41,IF('PV IN'!$G$41="Taxable",'PV IN'!$F$41,0),0)</f>
        <v>0</v>
      </c>
      <c r="AD9" s="10">
        <f>IF('PV IN'!$D$48="YES",-U9*'PV IN'!$E$8,0)</f>
        <v>0</v>
      </c>
      <c r="AE9" s="10">
        <f>IF('PV IN'!$N$10="Yes",-PVLoan!H37,-PVLoan!L37)</f>
        <v>0</v>
      </c>
      <c r="AF9" s="10">
        <f>IF('PV IN'!$N$10="Yes",-PVLoan!F37,0)</f>
        <v>0</v>
      </c>
      <c r="AG9" s="10">
        <f>IF(AND('PV IN'!$D$35="YES",$C9&lt;='PV IN'!$E$35*12),0,-'PV IN'!$E$18*'PV IN'!$E$34/12)</f>
        <v>-750</v>
      </c>
      <c r="AH9" s="10">
        <f>IF(AND('PV IN'!$D$37="YES",$C9&lt;='PV IN'!$E$37*12),0,-'PV IN'!$E$18*'PV IN'!$E$36/12)</f>
        <v>-625</v>
      </c>
      <c r="AI9" s="2">
        <f>IF(AND('PV IN'!$D$33="YES",PVCalcs!C9=ROUNDUP('PV IN'!$H$33*12,)),-'PV IN'!$E$33*'PV IN'!$E$18,0)</f>
        <v>0</v>
      </c>
      <c r="AK9" s="2">
        <f t="shared" si="16"/>
        <v>13835.252753098845</v>
      </c>
      <c r="AL9" s="2">
        <f t="shared" si="3"/>
        <v>-1375</v>
      </c>
      <c r="AM9" s="2">
        <f t="shared" si="4"/>
        <v>12460.252753098845</v>
      </c>
      <c r="AN9" s="43"/>
      <c r="AO9" s="2">
        <f t="shared" si="1"/>
        <v>0</v>
      </c>
      <c r="AP9" s="2">
        <f t="shared" si="14"/>
        <v>-1375</v>
      </c>
      <c r="AR9" s="2">
        <f t="shared" si="15"/>
        <v>-1375</v>
      </c>
      <c r="AS9" s="2">
        <f>-AR9*'PV IN'!$E$8</f>
        <v>288.75</v>
      </c>
      <c r="AT9" s="2">
        <f>IF('PV IN'!$F$4="Battery Only",0,AM9+AS9)</f>
        <v>12749.002753098845</v>
      </c>
      <c r="AV9" s="10">
        <f t="shared" si="5"/>
        <v>-2261162.6280924971</v>
      </c>
      <c r="AW9" s="2">
        <f>AT9/(1+('PV IN'!$G$9))^(C9)</f>
        <v>12492.441957423873</v>
      </c>
      <c r="AX9" s="2">
        <f>IF(C9&lt;='PV IN'!$O$22*12,AW9+AX8,NA())</f>
        <v>-2261935.143840645</v>
      </c>
      <c r="AZ9" s="10">
        <f t="shared" si="2"/>
        <v>-1375</v>
      </c>
      <c r="BA9" s="10">
        <f t="shared" si="6"/>
        <v>2281.4060972893403</v>
      </c>
      <c r="BB9" s="10">
        <f t="shared" si="7"/>
        <v>906.40609728934032</v>
      </c>
      <c r="BC9" s="10">
        <f t="shared" si="8"/>
        <v>0</v>
      </c>
      <c r="BD9" s="10">
        <f t="shared" si="9"/>
        <v>-1375</v>
      </c>
      <c r="BE9" s="2">
        <f t="shared" si="10"/>
        <v>0</v>
      </c>
      <c r="BF9" s="10">
        <f t="shared" si="11"/>
        <v>-1375</v>
      </c>
      <c r="BG9" s="2">
        <f>-BF9*'PV IN'!$E$8</f>
        <v>288.75</v>
      </c>
      <c r="BH9" s="2">
        <f>IF('PV IN'!$F$4="Battery Only",0,BB9+BG9)</f>
        <v>1195.1560972893403</v>
      </c>
      <c r="BI9" s="2">
        <f>BH9/(1+('PV IN'!$G$9))^(C9)</f>
        <v>1171.1047887113564</v>
      </c>
    </row>
    <row r="10" spans="2:61" x14ac:dyDescent="0.25">
      <c r="C10">
        <v>6</v>
      </c>
      <c r="D10" s="16">
        <f>D9*(1+('PV IN'!$G$6/12))</f>
        <v>7.5999999999999998E-2</v>
      </c>
      <c r="E10" s="16">
        <f>LkUP!$U$21</f>
        <v>7.5965300541213879E-2</v>
      </c>
      <c r="F10" s="16">
        <f>IF('PV IN'!$D$7="Table",E10,D10)</f>
        <v>7.5965300541213879E-2</v>
      </c>
      <c r="G10" s="33">
        <f>('PV IN'!$E$25*'PV IN'!$E$18/12)*(1-(1-'PV IN'!$E$27)/(25*12))^C9</f>
        <v>151992.34399274318</v>
      </c>
      <c r="H10" s="33">
        <f>IF('PV IN'!$D$19="YES",G10*'PV IN'!$E$21,0)</f>
        <v>0</v>
      </c>
      <c r="I10" s="33">
        <f>IF('PV IN'!$D$19="YES",'PV IN'!$E$22*BattCalcs!W10,0)</f>
        <v>0</v>
      </c>
      <c r="J10" s="33">
        <f>IF('PV IN'!$D$19="YES",'PV IN'!$E$23*BattCalcs!Y10,0)</f>
        <v>0</v>
      </c>
      <c r="K10" s="33">
        <f>BattCalcs!AF10</f>
        <v>30812.599166666667</v>
      </c>
      <c r="L10" s="33">
        <f t="shared" si="12"/>
        <v>30812.599166666667</v>
      </c>
      <c r="M10" s="33">
        <f>IF('PV IN'!$F$4="PV Only",G10,G10-SUM(H10:J10,L10))</f>
        <v>151992.34399274318</v>
      </c>
      <c r="N10" s="2">
        <f>IF(C10&lt;='PV IN'!$I$12*12,'PV IN'!$E$12*G10/1000,0)</f>
        <v>2279.8851598911479</v>
      </c>
      <c r="O10" s="2">
        <f>IF(AND(C10&gt;'PV IN'!$I$12*12,C10&lt;='PV IN'!$I$13*12+'PV IN'!$I$12*12),'PV IN'!$E$13*PVCalcs!G10/1000,0)</f>
        <v>0</v>
      </c>
      <c r="P10" s="2">
        <f>IF(AND(C10&gt;'PV IN'!$I$12*12+'PV IN'!$I$13*12,C10&lt;='PV IN'!$I$12*12+'PV IN'!$I$13*12+'PV IN'!$I$14*12),'PV IN'!$E$14*PVCalcs!G10/1000,0)</f>
        <v>0</v>
      </c>
      <c r="R10" s="10">
        <f>IF(AND('PV IN'!$D$35="YES",$C10&lt;='PV IN'!$E$35*12),-'PV IN'!$E$18*'PV IN'!$E$34/12,0)</f>
        <v>0</v>
      </c>
      <c r="S10" s="10">
        <f>IF(AND('PV IN'!$D$37="YES",$C10&lt;='PV IN'!$E$37*12),-'PV IN'!$E$18*'PV IN'!$E$36/12,0)</f>
        <v>0</v>
      </c>
      <c r="U10" s="2">
        <f t="shared" si="13"/>
        <v>11546.1440913723</v>
      </c>
      <c r="V10" s="10">
        <f>PVLoan!M37</f>
        <v>0</v>
      </c>
      <c r="W10" s="2">
        <f>IF(C10='PV IN'!$I$40,IF('PV IN'!$G$40="Non-Taxable",'PV IN'!$F$40,0),0)+IF(C10='PV IN'!$I$41,IF('PV IN'!$G$41="Non-Taxable",'PV IN'!$F$41,0),0)</f>
        <v>0</v>
      </c>
      <c r="X10" s="10"/>
      <c r="Y10" s="10">
        <f>IF('PV IN'!$E$15="Non-Taxable",SUM(N10:P10),0)</f>
        <v>2279.8851598911479</v>
      </c>
      <c r="Z10" s="10">
        <f>IF('PV IN'!$E$15="Taxable",SUM(N10:P10),0)</f>
        <v>0</v>
      </c>
      <c r="AA10" s="2">
        <f>IF(C10='PV IN'!$I$40,IF('PV IN'!$G$40="Taxable",'PV IN'!$F$40,0),0)+IF(C10='PV IN'!$I$41,IF('PV IN'!$G$41="Taxable",'PV IN'!$F$41,0),0)</f>
        <v>0</v>
      </c>
      <c r="AD10" s="10">
        <f>IF('PV IN'!$D$48="YES",-U10*'PV IN'!$E$8,0)</f>
        <v>0</v>
      </c>
      <c r="AE10" s="10">
        <f>IF('PV IN'!$N$10="Yes",-PVLoan!H38,-PVLoan!L38)</f>
        <v>0</v>
      </c>
      <c r="AF10" s="10">
        <f>IF('PV IN'!$N$10="Yes",-PVLoan!F38,0)</f>
        <v>0</v>
      </c>
      <c r="AG10" s="10">
        <f>IF(AND('PV IN'!$D$35="YES",$C10&lt;='PV IN'!$E$35*12),0,-'PV IN'!$E$18*'PV IN'!$E$34/12)</f>
        <v>-750</v>
      </c>
      <c r="AH10" s="10">
        <f>IF(AND('PV IN'!$D$37="YES",$C10&lt;='PV IN'!$E$37*12),0,-'PV IN'!$E$18*'PV IN'!$E$36/12)</f>
        <v>-625</v>
      </c>
      <c r="AI10" s="2">
        <f>IF(AND('PV IN'!$D$33="YES",PVCalcs!C10=ROUNDUP('PV IN'!$H$33*12,)),-'PV IN'!$E$33*'PV IN'!$E$18,0)</f>
        <v>0</v>
      </c>
      <c r="AK10" s="2">
        <f t="shared" si="16"/>
        <v>13826.029251263448</v>
      </c>
      <c r="AL10" s="2">
        <f t="shared" si="3"/>
        <v>-1375</v>
      </c>
      <c r="AM10" s="2">
        <f t="shared" si="4"/>
        <v>12451.029251263448</v>
      </c>
      <c r="AN10" s="43"/>
      <c r="AO10" s="2">
        <f t="shared" si="1"/>
        <v>0</v>
      </c>
      <c r="AP10" s="2">
        <f t="shared" si="14"/>
        <v>-1375</v>
      </c>
      <c r="AR10" s="2">
        <f t="shared" si="15"/>
        <v>-1375</v>
      </c>
      <c r="AS10" s="2">
        <f>-AR10*'PV IN'!$E$8</f>
        <v>288.75</v>
      </c>
      <c r="AT10" s="2">
        <f>IF('PV IN'!$F$4="Battery Only",0,AM10+AS10)</f>
        <v>12739.779251263448</v>
      </c>
      <c r="AV10" s="10">
        <f t="shared" si="5"/>
        <v>-2248422.8488412336</v>
      </c>
      <c r="AW10" s="2">
        <f>AT10/(1+('PV IN'!$G$9))^(C10)</f>
        <v>12432.751500656201</v>
      </c>
      <c r="AX10" s="2">
        <f>IF(C10&lt;='PV IN'!$O$22*12,AW10+AX9,NA())</f>
        <v>-2249502.3923399886</v>
      </c>
      <c r="AZ10" s="10">
        <f t="shared" si="2"/>
        <v>-1375</v>
      </c>
      <c r="BA10" s="10">
        <f t="shared" si="6"/>
        <v>2279.8851598911479</v>
      </c>
      <c r="BB10" s="10">
        <f t="shared" si="7"/>
        <v>904.88515989114785</v>
      </c>
      <c r="BC10" s="10">
        <f t="shared" si="8"/>
        <v>0</v>
      </c>
      <c r="BD10" s="10">
        <f t="shared" si="9"/>
        <v>-1375</v>
      </c>
      <c r="BE10" s="2">
        <f t="shared" si="10"/>
        <v>0</v>
      </c>
      <c r="BF10" s="10">
        <f t="shared" si="11"/>
        <v>-1375</v>
      </c>
      <c r="BG10" s="2">
        <f>-BF10*'PV IN'!$E$8</f>
        <v>288.75</v>
      </c>
      <c r="BH10" s="2">
        <f>IF('PV IN'!$F$4="Battery Only",0,BB10+BG10)</f>
        <v>1193.6351598911479</v>
      </c>
      <c r="BI10" s="2">
        <f>BH10/(1+('PV IN'!$G$9))^(C10)</f>
        <v>1164.8686396117046</v>
      </c>
    </row>
    <row r="11" spans="2:61" x14ac:dyDescent="0.25">
      <c r="C11">
        <v>7</v>
      </c>
      <c r="D11" s="16">
        <f>D10*(1+('PV IN'!$G$6/12))</f>
        <v>7.5999999999999998E-2</v>
      </c>
      <c r="E11" s="16">
        <f>LkUP!$U$21</f>
        <v>7.5965300541213879E-2</v>
      </c>
      <c r="F11" s="16">
        <f>IF('PV IN'!$D$7="Table",E11,D11)</f>
        <v>7.5965300541213879E-2</v>
      </c>
      <c r="G11" s="33">
        <f>('PV IN'!$E$25*'PV IN'!$E$18/12)*(1-(1-'PV IN'!$E$27)/(25*12))^C10</f>
        <v>151891.01576341467</v>
      </c>
      <c r="H11" s="33">
        <f>IF('PV IN'!$D$19="YES",G11*'PV IN'!$E$21,0)</f>
        <v>0</v>
      </c>
      <c r="I11" s="33">
        <f>IF('PV IN'!$D$19="YES",'PV IN'!$E$22*BattCalcs!W11,0)</f>
        <v>0</v>
      </c>
      <c r="J11" s="33">
        <f>IF('PV IN'!$D$19="YES",'PV IN'!$E$23*BattCalcs!Y11,0)</f>
        <v>0</v>
      </c>
      <c r="K11" s="33">
        <f>BattCalcs!AF11</f>
        <v>30812.599166666667</v>
      </c>
      <c r="L11" s="33">
        <f t="shared" si="12"/>
        <v>30812.599166666667</v>
      </c>
      <c r="M11" s="33">
        <f>IF('PV IN'!$F$4="PV Only",G11,G11-SUM(H11:J11,L11))</f>
        <v>151891.01576341467</v>
      </c>
      <c r="N11" s="2">
        <f>IF(C11&lt;='PV IN'!$I$12*12,'PV IN'!$E$12*G11/1000,0)</f>
        <v>2278.3652364512204</v>
      </c>
      <c r="O11" s="2">
        <f>IF(AND(C11&gt;'PV IN'!$I$12*12,C11&lt;='PV IN'!$I$13*12+'PV IN'!$I$12*12),'PV IN'!$E$13*PVCalcs!G11/1000,0)</f>
        <v>0</v>
      </c>
      <c r="P11" s="2">
        <f>IF(AND(C11&gt;'PV IN'!$I$12*12+'PV IN'!$I$13*12,C11&lt;='PV IN'!$I$12*12+'PV IN'!$I$13*12+'PV IN'!$I$14*12),'PV IN'!$E$14*PVCalcs!G11/1000,0)</f>
        <v>0</v>
      </c>
      <c r="R11" s="10">
        <f>IF(AND('PV IN'!$D$35="YES",$C11&lt;='PV IN'!$E$35*12),-'PV IN'!$E$18*'PV IN'!$E$34/12,0)</f>
        <v>0</v>
      </c>
      <c r="S11" s="10">
        <f>IF(AND('PV IN'!$D$37="YES",$C11&lt;='PV IN'!$E$37*12),-'PV IN'!$E$18*'PV IN'!$E$36/12,0)</f>
        <v>0</v>
      </c>
      <c r="U11" s="2">
        <f t="shared" si="13"/>
        <v>11538.446661978051</v>
      </c>
      <c r="V11" s="10">
        <f>PVLoan!M38</f>
        <v>0</v>
      </c>
      <c r="W11" s="2">
        <f>IF(C11='PV IN'!$I$40,IF('PV IN'!$G$40="Non-Taxable",'PV IN'!$F$40,0),0)+IF(C11='PV IN'!$I$41,IF('PV IN'!$G$41="Non-Taxable",'PV IN'!$F$41,0),0)</f>
        <v>0</v>
      </c>
      <c r="X11" s="10"/>
      <c r="Y11" s="10">
        <f>IF('PV IN'!$E$15="Non-Taxable",SUM(N11:P11),0)</f>
        <v>2278.3652364512204</v>
      </c>
      <c r="Z11" s="10">
        <f>IF('PV IN'!$E$15="Taxable",SUM(N11:P11),0)</f>
        <v>0</v>
      </c>
      <c r="AA11" s="2">
        <f>IF(C11='PV IN'!$I$40,IF('PV IN'!$G$40="Taxable",'PV IN'!$F$40,0),0)+IF(C11='PV IN'!$I$41,IF('PV IN'!$G$41="Taxable",'PV IN'!$F$41,0),0)</f>
        <v>0</v>
      </c>
      <c r="AD11" s="10">
        <f>IF('PV IN'!$D$48="YES",-U11*'PV IN'!$E$8,0)</f>
        <v>0</v>
      </c>
      <c r="AE11" s="10">
        <f>IF('PV IN'!$N$10="Yes",-PVLoan!H39,-PVLoan!L39)</f>
        <v>0</v>
      </c>
      <c r="AF11" s="10">
        <f>IF('PV IN'!$N$10="Yes",-PVLoan!F39,0)</f>
        <v>0</v>
      </c>
      <c r="AG11" s="10">
        <f>IF(AND('PV IN'!$D$35="YES",$C11&lt;='PV IN'!$E$35*12),0,-'PV IN'!$E$18*'PV IN'!$E$34/12)</f>
        <v>-750</v>
      </c>
      <c r="AH11" s="10">
        <f>IF(AND('PV IN'!$D$37="YES",$C11&lt;='PV IN'!$E$37*12),0,-'PV IN'!$E$18*'PV IN'!$E$36/12)</f>
        <v>-625</v>
      </c>
      <c r="AI11" s="2">
        <f>IF(AND('PV IN'!$D$33="YES",PVCalcs!C11=ROUNDUP('PV IN'!$H$33*12,)),-'PV IN'!$E$33*'PV IN'!$E$18,0)</f>
        <v>0</v>
      </c>
      <c r="AK11" s="2">
        <f t="shared" si="16"/>
        <v>13816.811898429271</v>
      </c>
      <c r="AL11" s="2">
        <f t="shared" si="3"/>
        <v>-1375</v>
      </c>
      <c r="AM11" s="2">
        <f t="shared" si="4"/>
        <v>12441.811898429271</v>
      </c>
      <c r="AN11" s="43"/>
      <c r="AO11" s="2">
        <f t="shared" si="1"/>
        <v>0</v>
      </c>
      <c r="AP11" s="2">
        <f t="shared" si="14"/>
        <v>-1375</v>
      </c>
      <c r="AR11" s="2">
        <f t="shared" si="15"/>
        <v>-1375</v>
      </c>
      <c r="AS11" s="2">
        <f>-AR11*'PV IN'!$E$8</f>
        <v>288.75</v>
      </c>
      <c r="AT11" s="2">
        <f>IF('PV IN'!$F$4="Battery Only",0,AM11+AS11)</f>
        <v>12730.561898429271</v>
      </c>
      <c r="AV11" s="10">
        <f t="shared" si="5"/>
        <v>-2235692.2869428042</v>
      </c>
      <c r="AW11" s="2">
        <f>AT11/(1+('PV IN'!$G$9))^(C11)</f>
        <v>12373.345743177353</v>
      </c>
      <c r="AX11" s="2">
        <f>IF(C11&lt;='PV IN'!$O$22*12,AW11+AX10,NA())</f>
        <v>-2237129.0465968112</v>
      </c>
      <c r="AZ11" s="10">
        <f t="shared" si="2"/>
        <v>-1375</v>
      </c>
      <c r="BA11" s="10">
        <f t="shared" si="6"/>
        <v>2278.36523645122</v>
      </c>
      <c r="BB11" s="10">
        <f t="shared" si="7"/>
        <v>903.36523645121997</v>
      </c>
      <c r="BC11" s="10">
        <f t="shared" si="8"/>
        <v>0</v>
      </c>
      <c r="BD11" s="10">
        <f t="shared" si="9"/>
        <v>-1375</v>
      </c>
      <c r="BE11" s="2">
        <f t="shared" si="10"/>
        <v>0</v>
      </c>
      <c r="BF11" s="10">
        <f t="shared" si="11"/>
        <v>-1375</v>
      </c>
      <c r="BG11" s="2">
        <f>-BF11*'PV IN'!$E$8</f>
        <v>288.75</v>
      </c>
      <c r="BH11" s="2">
        <f>IF('PV IN'!$F$4="Battery Only",0,BB11+BG11)</f>
        <v>1192.11523645122</v>
      </c>
      <c r="BI11" s="2">
        <f>BH11/(1+('PV IN'!$G$9))^(C11)</f>
        <v>1158.6648023871214</v>
      </c>
    </row>
    <row r="12" spans="2:61" x14ac:dyDescent="0.25">
      <c r="C12">
        <v>8</v>
      </c>
      <c r="D12" s="16">
        <f>D11*(1+('PV IN'!$G$6/12))</f>
        <v>7.5999999999999998E-2</v>
      </c>
      <c r="E12" s="16">
        <f>LkUP!$U$21</f>
        <v>7.5965300541213879E-2</v>
      </c>
      <c r="F12" s="16">
        <f>IF('PV IN'!$D$7="Table",E12,D12)</f>
        <v>7.5965300541213879E-2</v>
      </c>
      <c r="G12" s="33">
        <f>('PV IN'!$E$25*'PV IN'!$E$18/12)*(1-(1-'PV IN'!$E$27)/(25*12))^C11</f>
        <v>151789.75508623905</v>
      </c>
      <c r="H12" s="33">
        <f>IF('PV IN'!$D$19="YES",G12*'PV IN'!$E$21,0)</f>
        <v>0</v>
      </c>
      <c r="I12" s="33">
        <f>IF('PV IN'!$D$19="YES",'PV IN'!$E$22*BattCalcs!W12,0)</f>
        <v>0</v>
      </c>
      <c r="J12" s="33">
        <f>IF('PV IN'!$D$19="YES",'PV IN'!$E$23*BattCalcs!Y12,0)</f>
        <v>0</v>
      </c>
      <c r="K12" s="33">
        <f>BattCalcs!AF12</f>
        <v>30812.599166666667</v>
      </c>
      <c r="L12" s="33">
        <f t="shared" si="12"/>
        <v>30812.599166666667</v>
      </c>
      <c r="M12" s="33">
        <f>IF('PV IN'!$F$4="PV Only",G12,G12-SUM(H12:J12,L12))</f>
        <v>151789.75508623905</v>
      </c>
      <c r="N12" s="2">
        <f>IF(C12&lt;='PV IN'!$I$12*12,'PV IN'!$E$12*G12/1000,0)</f>
        <v>2276.8463262935857</v>
      </c>
      <c r="O12" s="2">
        <f>IF(AND(C12&gt;'PV IN'!$I$12*12,C12&lt;='PV IN'!$I$13*12+'PV IN'!$I$12*12),'PV IN'!$E$13*PVCalcs!G12/1000,0)</f>
        <v>0</v>
      </c>
      <c r="P12" s="2">
        <f>IF(AND(C12&gt;'PV IN'!$I$12*12+'PV IN'!$I$13*12,C12&lt;='PV IN'!$I$12*12+'PV IN'!$I$13*12+'PV IN'!$I$14*12),'PV IN'!$E$14*PVCalcs!G12/1000,0)</f>
        <v>0</v>
      </c>
      <c r="R12" s="10">
        <f>IF(AND('PV IN'!$D$35="YES",$C12&lt;='PV IN'!$E$35*12),-'PV IN'!$E$18*'PV IN'!$E$34/12,0)</f>
        <v>0</v>
      </c>
      <c r="S12" s="10">
        <f>IF(AND('PV IN'!$D$37="YES",$C12&lt;='PV IN'!$E$37*12),-'PV IN'!$E$18*'PV IN'!$E$36/12,0)</f>
        <v>0</v>
      </c>
      <c r="U12" s="2">
        <f t="shared" si="13"/>
        <v>11530.754364203398</v>
      </c>
      <c r="V12" s="10">
        <f>PVLoan!M39</f>
        <v>0</v>
      </c>
      <c r="W12" s="2">
        <f>IF(C12='PV IN'!$I$40,IF('PV IN'!$G$40="Non-Taxable",'PV IN'!$F$40,0),0)+IF(C12='PV IN'!$I$41,IF('PV IN'!$G$41="Non-Taxable",'PV IN'!$F$41,0),0)</f>
        <v>0</v>
      </c>
      <c r="X12" s="10"/>
      <c r="Y12" s="10">
        <f>IF('PV IN'!$E$15="Non-Taxable",SUM(N12:P12),0)</f>
        <v>2276.8463262935857</v>
      </c>
      <c r="Z12" s="10">
        <f>IF('PV IN'!$E$15="Taxable",SUM(N12:P12),0)</f>
        <v>0</v>
      </c>
      <c r="AA12" s="2">
        <f>IF(C12='PV IN'!$I$40,IF('PV IN'!$G$40="Taxable",'PV IN'!$F$40,0),0)+IF(C12='PV IN'!$I$41,IF('PV IN'!$G$41="Taxable",'PV IN'!$F$41,0),0)</f>
        <v>0</v>
      </c>
      <c r="AD12" s="10">
        <f>IF('PV IN'!$D$48="YES",-U12*'PV IN'!$E$8,0)</f>
        <v>0</v>
      </c>
      <c r="AE12" s="10">
        <f>IF('PV IN'!$N$10="Yes",-PVLoan!H40,-PVLoan!L40)</f>
        <v>0</v>
      </c>
      <c r="AF12" s="10">
        <f>IF('PV IN'!$N$10="Yes",-PVLoan!F40,0)</f>
        <v>0</v>
      </c>
      <c r="AG12" s="10">
        <f>IF(AND('PV IN'!$D$35="YES",$C12&lt;='PV IN'!$E$35*12),0,-'PV IN'!$E$18*'PV IN'!$E$34/12)</f>
        <v>-750</v>
      </c>
      <c r="AH12" s="10">
        <f>IF(AND('PV IN'!$D$37="YES",$C12&lt;='PV IN'!$E$37*12),0,-'PV IN'!$E$18*'PV IN'!$E$36/12)</f>
        <v>-625</v>
      </c>
      <c r="AI12" s="2">
        <f>IF(AND('PV IN'!$D$33="YES",PVCalcs!C12=ROUNDUP('PV IN'!$H$33*12,)),-'PV IN'!$E$33*'PV IN'!$E$18,0)</f>
        <v>0</v>
      </c>
      <c r="AK12" s="2">
        <f t="shared" si="16"/>
        <v>13807.600690496984</v>
      </c>
      <c r="AL12" s="2">
        <f t="shared" si="3"/>
        <v>-1375</v>
      </c>
      <c r="AM12" s="2">
        <f t="shared" si="4"/>
        <v>12432.600690496984</v>
      </c>
      <c r="AN12" s="43"/>
      <c r="AO12" s="2">
        <f t="shared" si="1"/>
        <v>0</v>
      </c>
      <c r="AP12" s="2">
        <f t="shared" si="14"/>
        <v>-1375</v>
      </c>
      <c r="AR12" s="2">
        <f t="shared" si="15"/>
        <v>-1375</v>
      </c>
      <c r="AS12" s="2">
        <f>-AR12*'PV IN'!$E$8</f>
        <v>288.75</v>
      </c>
      <c r="AT12" s="2">
        <f>IF('PV IN'!$F$4="Battery Only",0,AM12+AS12)</f>
        <v>12721.350690496984</v>
      </c>
      <c r="AV12" s="10">
        <f t="shared" si="5"/>
        <v>-2222970.9362523071</v>
      </c>
      <c r="AW12" s="2">
        <f>AT12/(1+('PV IN'!$G$9))^(C12)</f>
        <v>12314.223329128805</v>
      </c>
      <c r="AX12" s="2">
        <f>IF(C12&lt;='PV IN'!$O$22*12,AW12+AX11,NA())</f>
        <v>-2224814.8232676825</v>
      </c>
      <c r="AZ12" s="10">
        <f t="shared" si="2"/>
        <v>-1375</v>
      </c>
      <c r="BA12" s="10">
        <f t="shared" si="6"/>
        <v>2276.8463262935857</v>
      </c>
      <c r="BB12" s="10">
        <f t="shared" si="7"/>
        <v>901.84632629358566</v>
      </c>
      <c r="BC12" s="10">
        <f t="shared" si="8"/>
        <v>0</v>
      </c>
      <c r="BD12" s="10">
        <f t="shared" si="9"/>
        <v>-1375</v>
      </c>
      <c r="BE12" s="2">
        <f t="shared" si="10"/>
        <v>0</v>
      </c>
      <c r="BF12" s="10">
        <f t="shared" si="11"/>
        <v>-1375</v>
      </c>
      <c r="BG12" s="2">
        <f>-BF12*'PV IN'!$E$8</f>
        <v>288.75</v>
      </c>
      <c r="BH12" s="2">
        <f>IF('PV IN'!$F$4="Battery Only",0,BB12+BG12)</f>
        <v>1190.5963262935857</v>
      </c>
      <c r="BI12" s="2">
        <f>BH12/(1+('PV IN'!$G$9))^(C12)</f>
        <v>1152.4931128399505</v>
      </c>
    </row>
    <row r="13" spans="2:61" x14ac:dyDescent="0.25">
      <c r="C13">
        <v>9</v>
      </c>
      <c r="D13" s="16">
        <f>D12*(1+('PV IN'!$G$6/12))</f>
        <v>7.5999999999999998E-2</v>
      </c>
      <c r="E13" s="16">
        <f>LkUP!$U$21</f>
        <v>7.5965300541213879E-2</v>
      </c>
      <c r="F13" s="16">
        <f>IF('PV IN'!$D$7="Table",E13,D13)</f>
        <v>7.5965300541213879E-2</v>
      </c>
      <c r="G13" s="33">
        <f>('PV IN'!$E$25*'PV IN'!$E$18/12)*(1-(1-'PV IN'!$E$27)/(25*12))^C12</f>
        <v>151688.56191618156</v>
      </c>
      <c r="H13" s="33">
        <f>IF('PV IN'!$D$19="YES",G13*'PV IN'!$E$21,0)</f>
        <v>0</v>
      </c>
      <c r="I13" s="33">
        <f>IF('PV IN'!$D$19="YES",'PV IN'!$E$22*BattCalcs!W13,0)</f>
        <v>0</v>
      </c>
      <c r="J13" s="33">
        <f>IF('PV IN'!$D$19="YES",'PV IN'!$E$23*BattCalcs!Y13,0)</f>
        <v>0</v>
      </c>
      <c r="K13" s="33">
        <f>BattCalcs!AF13</f>
        <v>30812.599166666667</v>
      </c>
      <c r="L13" s="33">
        <f t="shared" si="12"/>
        <v>30812.599166666667</v>
      </c>
      <c r="M13" s="33">
        <f>IF('PV IN'!$F$4="PV Only",G13,G13-SUM(H13:J13,L13))</f>
        <v>151688.56191618156</v>
      </c>
      <c r="N13" s="2">
        <f>IF(C13&lt;='PV IN'!$I$12*12,'PV IN'!$E$12*G13/1000,0)</f>
        <v>2275.3284287427236</v>
      </c>
      <c r="O13" s="2">
        <f>IF(AND(C13&gt;'PV IN'!$I$12*12,C13&lt;='PV IN'!$I$13*12+'PV IN'!$I$12*12),'PV IN'!$E$13*PVCalcs!G13/1000,0)</f>
        <v>0</v>
      </c>
      <c r="P13" s="2">
        <f>IF(AND(C13&gt;'PV IN'!$I$12*12+'PV IN'!$I$13*12,C13&lt;='PV IN'!$I$12*12+'PV IN'!$I$13*12+'PV IN'!$I$14*12),'PV IN'!$E$14*PVCalcs!G13/1000,0)</f>
        <v>0</v>
      </c>
      <c r="R13" s="10">
        <f>IF(AND('PV IN'!$D$35="YES",$C13&lt;='PV IN'!$E$35*12),-'PV IN'!$E$18*'PV IN'!$E$34/12,0)</f>
        <v>0</v>
      </c>
      <c r="S13" s="10">
        <f>IF(AND('PV IN'!$D$37="YES",$C13&lt;='PV IN'!$E$37*12),-'PV IN'!$E$18*'PV IN'!$E$36/12,0)</f>
        <v>0</v>
      </c>
      <c r="U13" s="2">
        <f t="shared" si="13"/>
        <v>11523.067194627261</v>
      </c>
      <c r="V13" s="10">
        <f>PVLoan!M40</f>
        <v>0</v>
      </c>
      <c r="W13" s="2">
        <f>IF(C13='PV IN'!$I$40,IF('PV IN'!$G$40="Non-Taxable",'PV IN'!$F$40,0),0)+IF(C13='PV IN'!$I$41,IF('PV IN'!$G$41="Non-Taxable",'PV IN'!$F$41,0),0)</f>
        <v>0</v>
      </c>
      <c r="X13" s="10"/>
      <c r="Y13" s="10">
        <f>IF('PV IN'!$E$15="Non-Taxable",SUM(N13:P13),0)</f>
        <v>2275.3284287427236</v>
      </c>
      <c r="Z13" s="10">
        <f>IF('PV IN'!$E$15="Taxable",SUM(N13:P13),0)</f>
        <v>0</v>
      </c>
      <c r="AA13" s="2">
        <f>IF(C13='PV IN'!$I$40,IF('PV IN'!$G$40="Taxable",'PV IN'!$F$40,0),0)+IF(C13='PV IN'!$I$41,IF('PV IN'!$G$41="Taxable",'PV IN'!$F$41,0),0)</f>
        <v>0</v>
      </c>
      <c r="AD13" s="10">
        <f>IF('PV IN'!$D$48="YES",-U13*'PV IN'!$E$8,0)</f>
        <v>0</v>
      </c>
      <c r="AE13" s="10">
        <f>IF('PV IN'!$N$10="Yes",-PVLoan!H41,-PVLoan!L41)</f>
        <v>0</v>
      </c>
      <c r="AF13" s="10">
        <f>IF('PV IN'!$N$10="Yes",-PVLoan!F41,0)</f>
        <v>0</v>
      </c>
      <c r="AG13" s="10">
        <f>IF(AND('PV IN'!$D$35="YES",$C13&lt;='PV IN'!$E$35*12),0,-'PV IN'!$E$18*'PV IN'!$E$34/12)</f>
        <v>-750</v>
      </c>
      <c r="AH13" s="10">
        <f>IF(AND('PV IN'!$D$37="YES",$C13&lt;='PV IN'!$E$37*12),0,-'PV IN'!$E$18*'PV IN'!$E$36/12)</f>
        <v>-625</v>
      </c>
      <c r="AI13" s="2">
        <f>IF(AND('PV IN'!$D$33="YES",PVCalcs!C13=ROUNDUP('PV IN'!$H$33*12,)),-'PV IN'!$E$33*'PV IN'!$E$18,0)</f>
        <v>0</v>
      </c>
      <c r="AK13" s="2">
        <f t="shared" si="16"/>
        <v>13798.395623369985</v>
      </c>
      <c r="AL13" s="2">
        <f t="shared" si="3"/>
        <v>-1375</v>
      </c>
      <c r="AM13" s="2">
        <f t="shared" si="4"/>
        <v>12423.395623369985</v>
      </c>
      <c r="AN13" s="43"/>
      <c r="AO13" s="2">
        <f t="shared" si="1"/>
        <v>0</v>
      </c>
      <c r="AP13" s="2">
        <f t="shared" si="14"/>
        <v>-1375</v>
      </c>
      <c r="AR13" s="2">
        <f t="shared" si="15"/>
        <v>-1375</v>
      </c>
      <c r="AS13" s="2">
        <f>-AR13*'PV IN'!$E$8</f>
        <v>288.75</v>
      </c>
      <c r="AT13" s="2">
        <f>IF('PV IN'!$F$4="Battery Only",0,AM13+AS13)</f>
        <v>12712.145623369985</v>
      </c>
      <c r="AV13" s="10">
        <f t="shared" si="5"/>
        <v>-2210258.7906289371</v>
      </c>
      <c r="AW13" s="2">
        <f>AT13/(1+('PV IN'!$G$9))^(C13)</f>
        <v>12255.382909101005</v>
      </c>
      <c r="AX13" s="2">
        <f>IF(C13&lt;='PV IN'!$O$22*12,AW13+AX12,NA())</f>
        <v>-2212559.4403585815</v>
      </c>
      <c r="AZ13" s="10">
        <f t="shared" si="2"/>
        <v>-1375</v>
      </c>
      <c r="BA13" s="10">
        <f t="shared" si="6"/>
        <v>2275.3284287427232</v>
      </c>
      <c r="BB13" s="10">
        <f t="shared" si="7"/>
        <v>900.32842874272319</v>
      </c>
      <c r="BC13" s="10">
        <f t="shared" si="8"/>
        <v>0</v>
      </c>
      <c r="BD13" s="10">
        <f t="shared" si="9"/>
        <v>-1375</v>
      </c>
      <c r="BE13" s="2">
        <f t="shared" si="10"/>
        <v>0</v>
      </c>
      <c r="BF13" s="10">
        <f t="shared" si="11"/>
        <v>-1375</v>
      </c>
      <c r="BG13" s="2">
        <f>-BF13*'PV IN'!$E$8</f>
        <v>288.75</v>
      </c>
      <c r="BH13" s="2">
        <f>IF('PV IN'!$F$4="Battery Only",0,BB13+BG13)</f>
        <v>1189.0784287427232</v>
      </c>
      <c r="BI13" s="2">
        <f>BH13/(1+('PV IN'!$G$9))^(C13)</f>
        <v>1146.3534075950158</v>
      </c>
    </row>
    <row r="14" spans="2:61" x14ac:dyDescent="0.25">
      <c r="C14">
        <v>10</v>
      </c>
      <c r="D14" s="16">
        <f>D13*(1+('PV IN'!$G$6/12))</f>
        <v>7.5999999999999998E-2</v>
      </c>
      <c r="E14" s="16">
        <f>LkUP!$U$21</f>
        <v>7.5965300541213879E-2</v>
      </c>
      <c r="F14" s="16">
        <f>IF('PV IN'!$D$7="Table",E14,D14)</f>
        <v>7.5965300541213879E-2</v>
      </c>
      <c r="G14" s="33">
        <f>('PV IN'!$E$25*'PV IN'!$E$18/12)*(1-(1-'PV IN'!$E$27)/(25*12))^C13</f>
        <v>151587.43620823743</v>
      </c>
      <c r="H14" s="33">
        <f>IF('PV IN'!$D$19="YES",G14*'PV IN'!$E$21,0)</f>
        <v>0</v>
      </c>
      <c r="I14" s="33">
        <f>IF('PV IN'!$D$19="YES",'PV IN'!$E$22*BattCalcs!W14,0)</f>
        <v>0</v>
      </c>
      <c r="J14" s="33">
        <f>IF('PV IN'!$D$19="YES",'PV IN'!$E$23*BattCalcs!Y14,0)</f>
        <v>0</v>
      </c>
      <c r="K14" s="33">
        <f>BattCalcs!AF14</f>
        <v>30812.599166666667</v>
      </c>
      <c r="L14" s="33">
        <f t="shared" si="12"/>
        <v>30812.599166666667</v>
      </c>
      <c r="M14" s="33">
        <f>IF('PV IN'!$F$4="PV Only",G14,G14-SUM(H14:J14,L14))</f>
        <v>151587.43620823743</v>
      </c>
      <c r="N14" s="2">
        <f>IF(C14&lt;='PV IN'!$I$12*12,'PV IN'!$E$12*G14/1000,0)</f>
        <v>2273.8115431235615</v>
      </c>
      <c r="O14" s="2">
        <f>IF(AND(C14&gt;'PV IN'!$I$12*12,C14&lt;='PV IN'!$I$13*12+'PV IN'!$I$12*12),'PV IN'!$E$13*PVCalcs!G14/1000,0)</f>
        <v>0</v>
      </c>
      <c r="P14" s="2">
        <f>IF(AND(C14&gt;'PV IN'!$I$12*12+'PV IN'!$I$13*12,C14&lt;='PV IN'!$I$12*12+'PV IN'!$I$13*12+'PV IN'!$I$14*12),'PV IN'!$E$14*PVCalcs!G14/1000,0)</f>
        <v>0</v>
      </c>
      <c r="R14" s="10">
        <f>IF(AND('PV IN'!$D$35="YES",$C14&lt;='PV IN'!$E$35*12),-'PV IN'!$E$18*'PV IN'!$E$34/12,0)</f>
        <v>0</v>
      </c>
      <c r="S14" s="10">
        <f>IF(AND('PV IN'!$D$37="YES",$C14&lt;='PV IN'!$E$37*12),-'PV IN'!$E$18*'PV IN'!$E$36/12,0)</f>
        <v>0</v>
      </c>
      <c r="U14" s="2">
        <f t="shared" si="13"/>
        <v>11515.385149830843</v>
      </c>
      <c r="V14" s="10">
        <f>PVLoan!M41</f>
        <v>0</v>
      </c>
      <c r="W14" s="2">
        <f>IF(C14='PV IN'!$I$40,IF('PV IN'!$G$40="Non-Taxable",'PV IN'!$F$40,0),0)+IF(C14='PV IN'!$I$41,IF('PV IN'!$G$41="Non-Taxable",'PV IN'!$F$41,0),0)</f>
        <v>0</v>
      </c>
      <c r="X14" s="10"/>
      <c r="Y14" s="10">
        <f>IF('PV IN'!$E$15="Non-Taxable",SUM(N14:P14),0)</f>
        <v>2273.8115431235615</v>
      </c>
      <c r="Z14" s="10">
        <f>IF('PV IN'!$E$15="Taxable",SUM(N14:P14),0)</f>
        <v>0</v>
      </c>
      <c r="AA14" s="2">
        <f>IF(C14='PV IN'!$I$40,IF('PV IN'!$G$40="Taxable",'PV IN'!$F$40,0),0)+IF(C14='PV IN'!$I$41,IF('PV IN'!$G$41="Taxable",'PV IN'!$F$41,0),0)</f>
        <v>0</v>
      </c>
      <c r="AD14" s="10">
        <f>IF('PV IN'!$D$48="YES",-U14*'PV IN'!$E$8,0)</f>
        <v>0</v>
      </c>
      <c r="AE14" s="10">
        <f>IF('PV IN'!$N$10="Yes",-PVLoan!H42,-PVLoan!L42)</f>
        <v>0</v>
      </c>
      <c r="AF14" s="10">
        <f>IF('PV IN'!$N$10="Yes",-PVLoan!F42,0)</f>
        <v>0</v>
      </c>
      <c r="AG14" s="10">
        <f>IF(AND('PV IN'!$D$35="YES",$C14&lt;='PV IN'!$E$35*12),0,-'PV IN'!$E$18*'PV IN'!$E$34/12)</f>
        <v>-750</v>
      </c>
      <c r="AH14" s="10">
        <f>IF(AND('PV IN'!$D$37="YES",$C14&lt;='PV IN'!$E$37*12),0,-'PV IN'!$E$18*'PV IN'!$E$36/12)</f>
        <v>-625</v>
      </c>
      <c r="AI14" s="2">
        <f>IF(AND('PV IN'!$D$33="YES",PVCalcs!C14=ROUNDUP('PV IN'!$H$33*12,)),-'PV IN'!$E$33*'PV IN'!$E$18,0)</f>
        <v>0</v>
      </c>
      <c r="AK14" s="2">
        <f t="shared" si="16"/>
        <v>13789.196692954405</v>
      </c>
      <c r="AL14" s="2">
        <f t="shared" si="3"/>
        <v>-1375</v>
      </c>
      <c r="AM14" s="2">
        <f t="shared" si="4"/>
        <v>12414.196692954405</v>
      </c>
      <c r="AN14" s="43"/>
      <c r="AO14" s="2">
        <f t="shared" si="1"/>
        <v>0</v>
      </c>
      <c r="AP14" s="2">
        <f t="shared" si="14"/>
        <v>-1375</v>
      </c>
      <c r="AR14" s="2">
        <f t="shared" si="15"/>
        <v>-1375</v>
      </c>
      <c r="AS14" s="2">
        <f>-AR14*'PV IN'!$E$8</f>
        <v>288.75</v>
      </c>
      <c r="AT14" s="2">
        <f>IF('PV IN'!$F$4="Battery Only",0,AM14+AS14)</f>
        <v>12702.946692954405</v>
      </c>
      <c r="AV14" s="10">
        <f t="shared" si="5"/>
        <v>-2197555.8439359828</v>
      </c>
      <c r="AW14" s="2">
        <f>AT14/(1+('PV IN'!$G$9))^(C14)</f>
        <v>12196.823140102735</v>
      </c>
      <c r="AX14" s="2">
        <f>IF(C14&lt;='PV IN'!$O$22*12,AW14+AX13,NA())</f>
        <v>-2200362.6172184786</v>
      </c>
      <c r="AZ14" s="10">
        <f t="shared" si="2"/>
        <v>-1375</v>
      </c>
      <c r="BA14" s="10">
        <f t="shared" si="6"/>
        <v>2273.8115431235619</v>
      </c>
      <c r="BB14" s="10">
        <f t="shared" si="7"/>
        <v>898.81154312356193</v>
      </c>
      <c r="BC14" s="10">
        <f t="shared" si="8"/>
        <v>0</v>
      </c>
      <c r="BD14" s="10">
        <f t="shared" si="9"/>
        <v>-1375</v>
      </c>
      <c r="BE14" s="2">
        <f t="shared" si="10"/>
        <v>0</v>
      </c>
      <c r="BF14" s="10">
        <f t="shared" si="11"/>
        <v>-1375</v>
      </c>
      <c r="BG14" s="2">
        <f>-BF14*'PV IN'!$E$8</f>
        <v>288.75</v>
      </c>
      <c r="BH14" s="2">
        <f>IF('PV IN'!$F$4="Battery Only",0,BB14+BG14)</f>
        <v>1187.5615431235619</v>
      </c>
      <c r="BI14" s="2">
        <f>BH14/(1+('PV IN'!$G$9))^(C14)</f>
        <v>1140.2455240955455</v>
      </c>
    </row>
    <row r="15" spans="2:61" x14ac:dyDescent="0.25">
      <c r="C15">
        <v>11</v>
      </c>
      <c r="D15" s="16">
        <f>D14*(1+('PV IN'!$G$6/12))</f>
        <v>7.5999999999999998E-2</v>
      </c>
      <c r="E15" s="16">
        <f>LkUP!$U$21</f>
        <v>7.5965300541213879E-2</v>
      </c>
      <c r="F15" s="16">
        <f>IF('PV IN'!$D$7="Table",E15,D15)</f>
        <v>7.5965300541213879E-2</v>
      </c>
      <c r="G15" s="33">
        <f>('PV IN'!$E$25*'PV IN'!$E$18/12)*(1-(1-'PV IN'!$E$27)/(25*12))^C14</f>
        <v>151486.37791743194</v>
      </c>
      <c r="H15" s="33">
        <f>IF('PV IN'!$D$19="YES",G15*'PV IN'!$E$21,0)</f>
        <v>0</v>
      </c>
      <c r="I15" s="33">
        <f>IF('PV IN'!$D$19="YES",'PV IN'!$E$22*BattCalcs!W15,0)</f>
        <v>0</v>
      </c>
      <c r="J15" s="33">
        <f>IF('PV IN'!$D$19="YES",'PV IN'!$E$23*BattCalcs!Y15,0)</f>
        <v>0</v>
      </c>
      <c r="K15" s="33">
        <f>BattCalcs!AF15</f>
        <v>30812.599166666667</v>
      </c>
      <c r="L15" s="33">
        <f t="shared" si="12"/>
        <v>30812.599166666667</v>
      </c>
      <c r="M15" s="33">
        <f>IF('PV IN'!$F$4="PV Only",G15,G15-SUM(H15:J15,L15))</f>
        <v>151486.37791743194</v>
      </c>
      <c r="N15" s="2">
        <f>IF(C15&lt;='PV IN'!$I$12*12,'PV IN'!$E$12*G15/1000,0)</f>
        <v>2272.2956687614792</v>
      </c>
      <c r="O15" s="2">
        <f>IF(AND(C15&gt;'PV IN'!$I$12*12,C15&lt;='PV IN'!$I$13*12+'PV IN'!$I$12*12),'PV IN'!$E$13*PVCalcs!G15/1000,0)</f>
        <v>0</v>
      </c>
      <c r="P15" s="2">
        <f>IF(AND(C15&gt;'PV IN'!$I$12*12+'PV IN'!$I$13*12,C15&lt;='PV IN'!$I$12*12+'PV IN'!$I$13*12+'PV IN'!$I$14*12),'PV IN'!$E$14*PVCalcs!G15/1000,0)</f>
        <v>0</v>
      </c>
      <c r="R15" s="10">
        <f>IF(AND('PV IN'!$D$35="YES",$C15&lt;='PV IN'!$E$35*12),-'PV IN'!$E$18*'PV IN'!$E$34/12,0)</f>
        <v>0</v>
      </c>
      <c r="S15" s="10">
        <f>IF(AND('PV IN'!$D$37="YES",$C15&lt;='PV IN'!$E$37*12),-'PV IN'!$E$18*'PV IN'!$E$36/12,0)</f>
        <v>0</v>
      </c>
      <c r="U15" s="2">
        <f t="shared" si="13"/>
        <v>11507.708226397623</v>
      </c>
      <c r="V15" s="10">
        <f>PVLoan!M42</f>
        <v>0</v>
      </c>
      <c r="W15" s="2">
        <f>IF(C15='PV IN'!$I$40,IF('PV IN'!$G$40="Non-Taxable",'PV IN'!$F$40,0),0)+IF(C15='PV IN'!$I$41,IF('PV IN'!$G$41="Non-Taxable",'PV IN'!$F$41,0),0)</f>
        <v>0</v>
      </c>
      <c r="X15" s="10"/>
      <c r="Y15" s="10">
        <f>IF('PV IN'!$E$15="Non-Taxable",SUM(N15:P15),0)</f>
        <v>2272.2956687614792</v>
      </c>
      <c r="Z15" s="10">
        <f>IF('PV IN'!$E$15="Taxable",SUM(N15:P15),0)</f>
        <v>0</v>
      </c>
      <c r="AA15" s="2">
        <f>IF(C15='PV IN'!$I$40,IF('PV IN'!$G$40="Taxable",'PV IN'!$F$40,0),0)+IF(C15='PV IN'!$I$41,IF('PV IN'!$G$41="Taxable",'PV IN'!$F$41,0),0)</f>
        <v>0</v>
      </c>
      <c r="AD15" s="10">
        <f>IF('PV IN'!$D$48="YES",-U15*'PV IN'!$E$8,0)</f>
        <v>0</v>
      </c>
      <c r="AE15" s="10">
        <f>IF('PV IN'!$N$10="Yes",-PVLoan!H43,-PVLoan!L43)</f>
        <v>0</v>
      </c>
      <c r="AF15" s="10">
        <f>IF('PV IN'!$N$10="Yes",-PVLoan!F43,0)</f>
        <v>0</v>
      </c>
      <c r="AG15" s="10">
        <f>IF(AND('PV IN'!$D$35="YES",$C15&lt;='PV IN'!$E$35*12),0,-'PV IN'!$E$18*'PV IN'!$E$34/12)</f>
        <v>-750</v>
      </c>
      <c r="AH15" s="10">
        <f>IF(AND('PV IN'!$D$37="YES",$C15&lt;='PV IN'!$E$37*12),0,-'PV IN'!$E$18*'PV IN'!$E$36/12)</f>
        <v>-625</v>
      </c>
      <c r="AI15" s="2">
        <f>IF(AND('PV IN'!$D$33="YES",PVCalcs!C15=ROUNDUP('PV IN'!$H$33*12,)),-'PV IN'!$E$33*'PV IN'!$E$18,0)</f>
        <v>0</v>
      </c>
      <c r="AK15" s="2">
        <f t="shared" si="16"/>
        <v>13780.003895159101</v>
      </c>
      <c r="AL15" s="2">
        <f t="shared" si="3"/>
        <v>-1375</v>
      </c>
      <c r="AM15" s="2">
        <f t="shared" si="4"/>
        <v>12405.003895159101</v>
      </c>
      <c r="AN15" s="43"/>
      <c r="AO15" s="2">
        <f t="shared" si="1"/>
        <v>0</v>
      </c>
      <c r="AP15" s="2">
        <f t="shared" si="14"/>
        <v>-1375</v>
      </c>
      <c r="AR15" s="2">
        <f t="shared" si="15"/>
        <v>-1375</v>
      </c>
      <c r="AS15" s="2">
        <f>-AR15*'PV IN'!$E$8</f>
        <v>288.75</v>
      </c>
      <c r="AT15" s="2">
        <f>IF('PV IN'!$F$4="Battery Only",0,AM15+AS15)</f>
        <v>12693.753895159101</v>
      </c>
      <c r="AV15" s="10">
        <f t="shared" si="5"/>
        <v>-2184862.0900408239</v>
      </c>
      <c r="AW15" s="2">
        <f>AT15/(1+('PV IN'!$G$9))^(C15)</f>
        <v>12138.542685530605</v>
      </c>
      <c r="AX15" s="2">
        <f>IF(C15&lt;='PV IN'!$O$22*12,AW15+AX14,NA())</f>
        <v>-2188224.074532948</v>
      </c>
      <c r="AZ15" s="10">
        <f t="shared" si="2"/>
        <v>-1375</v>
      </c>
      <c r="BA15" s="10">
        <f t="shared" si="6"/>
        <v>2272.2956687614787</v>
      </c>
      <c r="BB15" s="10">
        <f t="shared" si="7"/>
        <v>897.29566876147874</v>
      </c>
      <c r="BC15" s="10">
        <f t="shared" si="8"/>
        <v>0</v>
      </c>
      <c r="BD15" s="10">
        <f t="shared" si="9"/>
        <v>-1375</v>
      </c>
      <c r="BE15" s="2">
        <f t="shared" si="10"/>
        <v>0</v>
      </c>
      <c r="BF15" s="10">
        <f t="shared" si="11"/>
        <v>-1375</v>
      </c>
      <c r="BG15" s="2">
        <f>-BF15*'PV IN'!$E$8</f>
        <v>288.75</v>
      </c>
      <c r="BH15" s="2">
        <f>IF('PV IN'!$F$4="Battery Only",0,BB15+BG15)</f>
        <v>1186.0456687614787</v>
      </c>
      <c r="BI15" s="2">
        <f>BH15/(1+('PV IN'!$G$9))^(C15)</f>
        <v>1134.169300599116</v>
      </c>
    </row>
    <row r="16" spans="2:61" x14ac:dyDescent="0.25">
      <c r="B16">
        <v>1</v>
      </c>
      <c r="C16">
        <v>12</v>
      </c>
      <c r="D16" s="16">
        <f>D15*(1+('PV IN'!$G$6/12))</f>
        <v>7.5999999999999998E-2</v>
      </c>
      <c r="E16" s="16">
        <f>LkUP!$U$21</f>
        <v>7.5965300541213879E-2</v>
      </c>
      <c r="F16" s="16">
        <f>IF('PV IN'!$D$7="Table",E16,D16)</f>
        <v>7.5965300541213879E-2</v>
      </c>
      <c r="G16" s="33">
        <f>('PV IN'!$E$25*'PV IN'!$E$18/12)*(1-(1-'PV IN'!$E$27)/(25*12))^C15</f>
        <v>151385.38699882029</v>
      </c>
      <c r="H16" s="33">
        <f>IF('PV IN'!$D$19="YES",G16*'PV IN'!$E$21,0)</f>
        <v>0</v>
      </c>
      <c r="I16" s="33">
        <f>IF('PV IN'!$D$19="YES",'PV IN'!$E$22*BattCalcs!W16,0)</f>
        <v>0</v>
      </c>
      <c r="J16" s="33">
        <f>IF('PV IN'!$D$19="YES",'PV IN'!$E$23*BattCalcs!Y16,0)</f>
        <v>0</v>
      </c>
      <c r="K16" s="33">
        <f>BattCalcs!AF16</f>
        <v>30812.599166666667</v>
      </c>
      <c r="L16" s="33">
        <f t="shared" si="12"/>
        <v>30812.599166666667</v>
      </c>
      <c r="M16" s="33">
        <f>IF('PV IN'!$F$4="PV Only",G16,G16-SUM(H16:J16,L16))</f>
        <v>151385.38699882029</v>
      </c>
      <c r="N16" s="2">
        <f>IF(C16&lt;='PV IN'!$I$12*12,'PV IN'!$E$12*G16/1000,0)</f>
        <v>2270.7808049823047</v>
      </c>
      <c r="O16" s="2">
        <f>IF(AND(C16&gt;'PV IN'!$I$12*12,C16&lt;='PV IN'!$I$13*12+'PV IN'!$I$12*12),'PV IN'!$E$13*PVCalcs!G16/1000,0)</f>
        <v>0</v>
      </c>
      <c r="P16" s="2">
        <f>IF(AND(C16&gt;'PV IN'!$I$12*12+'PV IN'!$I$13*12,C16&lt;='PV IN'!$I$12*12+'PV IN'!$I$13*12+'PV IN'!$I$14*12),'PV IN'!$E$14*PVCalcs!G16/1000,0)</f>
        <v>0</v>
      </c>
      <c r="R16" s="10">
        <f>IF(AND('PV IN'!$D$35="YES",$C16&lt;='PV IN'!$E$35*12),-'PV IN'!$E$18*'PV IN'!$E$34/12,0)</f>
        <v>0</v>
      </c>
      <c r="S16" s="10">
        <f>IF(AND('PV IN'!$D$37="YES",$C16&lt;='PV IN'!$E$37*12),-'PV IN'!$E$18*'PV IN'!$E$36/12,0)</f>
        <v>0</v>
      </c>
      <c r="U16" s="2">
        <f t="shared" si="13"/>
        <v>11500.036420913355</v>
      </c>
      <c r="V16" s="10">
        <f>PVLoan!M43</f>
        <v>0</v>
      </c>
      <c r="W16" s="2">
        <f>IF(C16='PV IN'!$I$40,IF('PV IN'!$G$40="Non-Taxable",'PV IN'!$F$40,0),0)+IF(C16='PV IN'!$I$41,IF('PV IN'!$G$41="Non-Taxable",'PV IN'!$F$41,0),0)</f>
        <v>0</v>
      </c>
      <c r="X16" s="2">
        <f>'PV IN'!$F$45</f>
        <v>697500</v>
      </c>
      <c r="Y16" s="10">
        <f>IF('PV IN'!$E$15="Non-Taxable",SUM(N16:P16),0)</f>
        <v>2270.7808049823047</v>
      </c>
      <c r="Z16" s="10">
        <f>IF('PV IN'!$E$15="Taxable",SUM(N16:P16),0)</f>
        <v>0</v>
      </c>
      <c r="AA16" s="2">
        <f>IF(C16='PV IN'!$I$40,IF('PV IN'!$G$40="Taxable",'PV IN'!$F$40,0),0)+IF(C16='PV IN'!$I$41,IF('PV IN'!$G$41="Taxable",'PV IN'!$F$41,0),0)</f>
        <v>0</v>
      </c>
      <c r="AD16" s="10">
        <f>IF('PV IN'!$D$48="YES",-U16*'PV IN'!$E$8,0)</f>
        <v>0</v>
      </c>
      <c r="AE16" s="10">
        <f>IF('PV IN'!$N$10="Yes",-PVLoan!H44,-PVLoan!L44)</f>
        <v>0</v>
      </c>
      <c r="AF16" s="10">
        <f>IF('PV IN'!$N$10="Yes",-PVLoan!F44,0)</f>
        <v>0</v>
      </c>
      <c r="AG16" s="10">
        <f>IF(AND('PV IN'!$D$35="YES",$C16&lt;='PV IN'!$E$35*12),0,-'PV IN'!$E$18*'PV IN'!$E$34/12)</f>
        <v>-750</v>
      </c>
      <c r="AH16" s="10">
        <f>IF(AND('PV IN'!$D$37="YES",$C16&lt;='PV IN'!$E$37*12),0,-'PV IN'!$E$18*'PV IN'!$E$36/12)</f>
        <v>-625</v>
      </c>
      <c r="AI16" s="2">
        <f>IF(AND('PV IN'!$D$33="YES",PVCalcs!C16=ROUNDUP('PV IN'!$H$33*12,)),-'PV IN'!$E$33*'PV IN'!$E$18,0)</f>
        <v>0</v>
      </c>
      <c r="AK16" s="2">
        <f>SUM(U16:AA16)</f>
        <v>711270.81722589571</v>
      </c>
      <c r="AL16" s="2">
        <f t="shared" si="3"/>
        <v>-1375</v>
      </c>
      <c r="AM16" s="2">
        <f t="shared" si="4"/>
        <v>709895.81722589571</v>
      </c>
      <c r="AN16" s="43"/>
      <c r="AO16" s="2">
        <f>SUM(Z16:AA16)</f>
        <v>0</v>
      </c>
      <c r="AP16" s="2">
        <f t="shared" si="14"/>
        <v>-1375</v>
      </c>
      <c r="AQ16" s="2">
        <f>-Depr.!F7</f>
        <v>-1185750.0000000002</v>
      </c>
      <c r="AR16" s="2">
        <f>SUM(AO16:AQ16)</f>
        <v>-1187125.0000000002</v>
      </c>
      <c r="AS16" s="2">
        <f>-AR16*'PV IN'!$E$8</f>
        <v>249296.25000000003</v>
      </c>
      <c r="AT16" s="2">
        <f>IF('PV IN'!$F$4="Battery Only",0,AM16+AS16)</f>
        <v>959192.06722589571</v>
      </c>
      <c r="AV16" s="10">
        <f t="shared" si="5"/>
        <v>-1225670.0228149281</v>
      </c>
      <c r="AW16" s="2">
        <f>AT16/(1+('PV IN'!$G$9))^(C16)</f>
        <v>913516.25450085208</v>
      </c>
      <c r="AX16" s="2">
        <f>IF(C16&lt;='PV IN'!$O$22*12,AW16+AX15,NA())</f>
        <v>-1274707.820032096</v>
      </c>
      <c r="AZ16" s="10">
        <f t="shared" si="2"/>
        <v>-1375</v>
      </c>
      <c r="BA16" s="10">
        <f t="shared" si="6"/>
        <v>699770.78080498241</v>
      </c>
      <c r="BB16" s="10">
        <f t="shared" si="7"/>
        <v>698395.78080498241</v>
      </c>
      <c r="BC16" s="10">
        <f t="shared" si="8"/>
        <v>0</v>
      </c>
      <c r="BD16" s="10">
        <f t="shared" si="9"/>
        <v>-1375</v>
      </c>
      <c r="BE16" s="2">
        <f t="shared" si="10"/>
        <v>-1185750.0000000002</v>
      </c>
      <c r="BF16" s="10">
        <f t="shared" si="11"/>
        <v>-1187125.0000000002</v>
      </c>
      <c r="BG16" s="2">
        <f>-BF16*'PV IN'!$E$8</f>
        <v>249296.25000000003</v>
      </c>
      <c r="BH16" s="2">
        <f>IF('PV IN'!$F$4="Battery Only",0,BB16+BG16)</f>
        <v>947692.03080498241</v>
      </c>
      <c r="BI16" s="2">
        <f>BH16/(1+('PV IN'!$G$9))^(C16)</f>
        <v>902563.83886188699</v>
      </c>
    </row>
    <row r="17" spans="2:61" x14ac:dyDescent="0.25">
      <c r="C17">
        <v>13</v>
      </c>
      <c r="D17" s="16">
        <f>D16*(1+('PV IN'!$G$6/12))</f>
        <v>7.5999999999999998E-2</v>
      </c>
      <c r="E17" s="16">
        <f>LkUP!$U$22</f>
        <v>7.5028226946311755E-2</v>
      </c>
      <c r="F17" s="16">
        <f>IF('PV IN'!$D$7="Table",E17,D17)</f>
        <v>7.5028226946311755E-2</v>
      </c>
      <c r="G17" s="33">
        <f>('PV IN'!$E$25*'PV IN'!$E$18/12)*(1-(1-'PV IN'!$E$27)/(25*12))^C16</f>
        <v>151284.46340748775</v>
      </c>
      <c r="H17" s="33">
        <f>IF('PV IN'!$D$19="YES",G17*'PV IN'!$E$21,0)</f>
        <v>0</v>
      </c>
      <c r="I17" s="33">
        <f>IF('PV IN'!$D$19="YES",'PV IN'!$E$22*BattCalcs!W17,0)</f>
        <v>0</v>
      </c>
      <c r="J17" s="33">
        <f>IF('PV IN'!$D$19="YES",'PV IN'!$E$23*BattCalcs!Y17,0)</f>
        <v>0</v>
      </c>
      <c r="K17" s="33">
        <f>BattCalcs!AF17</f>
        <v>30812.599166666667</v>
      </c>
      <c r="L17" s="33">
        <f t="shared" si="12"/>
        <v>30812.599166666667</v>
      </c>
      <c r="M17" s="33">
        <f>IF('PV IN'!$F$4="PV Only",G17,G17-SUM(H17:J17,L17))</f>
        <v>151284.46340748775</v>
      </c>
      <c r="N17" s="2">
        <f>IF(C17&lt;='PV IN'!$I$12*12,'PV IN'!$E$12*G17/1000,0)</f>
        <v>2269.2669511123163</v>
      </c>
      <c r="O17" s="2">
        <f>IF(AND(C17&gt;'PV IN'!$I$12*12,C17&lt;='PV IN'!$I$13*12+'PV IN'!$I$12*12),'PV IN'!$E$13*PVCalcs!G17/1000,0)</f>
        <v>0</v>
      </c>
      <c r="P17" s="2">
        <f>IF(AND(C17&gt;'PV IN'!$I$12*12+'PV IN'!$I$13*12,C17&lt;='PV IN'!$I$12*12+'PV IN'!$I$13*12+'PV IN'!$I$14*12),'PV IN'!$E$14*PVCalcs!G17/1000,0)</f>
        <v>0</v>
      </c>
      <c r="R17" s="10">
        <f>IF(AND('PV IN'!$D$35="YES",$C17&lt;='PV IN'!$E$35*12),-'PV IN'!$E$18*'PV IN'!$E$34/12,0)</f>
        <v>0</v>
      </c>
      <c r="S17" s="10">
        <f>IF(AND('PV IN'!$D$37="YES",$C17&lt;='PV IN'!$E$37*12),-'PV IN'!$E$18*'PV IN'!$E$36/12,0)</f>
        <v>0</v>
      </c>
      <c r="U17" s="2">
        <f t="shared" si="13"/>
        <v>11350.605053987987</v>
      </c>
      <c r="V17" s="10">
        <f>PVLoan!M44</f>
        <v>0</v>
      </c>
      <c r="W17" s="2">
        <f>IF(C17='PV IN'!$I$40,IF('PV IN'!$G$40="Non-Taxable",'PV IN'!$F$40,0),0)+IF(C17='PV IN'!$I$41,IF('PV IN'!$G$41="Non-Taxable",'PV IN'!$F$41,0),0)</f>
        <v>0</v>
      </c>
      <c r="X17" s="10"/>
      <c r="Y17" s="10">
        <f>IF('PV IN'!$E$15="Non-Taxable",SUM(N17:P17),0)</f>
        <v>2269.2669511123163</v>
      </c>
      <c r="Z17" s="10">
        <f>IF('PV IN'!$E$15="Taxable",SUM(N17:P17),0)</f>
        <v>0</v>
      </c>
      <c r="AA17" s="2">
        <f>IF(C17='PV IN'!$I$40,IF('PV IN'!$G$40="Taxable",'PV IN'!$F$40,0),0)+IF(C17='PV IN'!$I$41,IF('PV IN'!$G$41="Taxable",'PV IN'!$F$41,0),0)</f>
        <v>0</v>
      </c>
      <c r="AD17" s="10">
        <f>IF('PV IN'!$D$48="YES",-U17*'PV IN'!$E$8,0)</f>
        <v>0</v>
      </c>
      <c r="AE17" s="10">
        <f>IF('PV IN'!$N$10="Yes",-PVLoan!H45,-PVLoan!L45)</f>
        <v>0</v>
      </c>
      <c r="AF17" s="10">
        <f>IF('PV IN'!$N$10="Yes",-PVLoan!F45,0)</f>
        <v>0</v>
      </c>
      <c r="AG17" s="10">
        <f>IF(AND('PV IN'!$D$35="YES",$C17&lt;='PV IN'!$E$35*12),0,-'PV IN'!$E$18*'PV IN'!$E$34/12)</f>
        <v>-750</v>
      </c>
      <c r="AH17" s="10">
        <f>IF(AND('PV IN'!$D$37="YES",$C17&lt;='PV IN'!$E$37*12),0,-'PV IN'!$E$18*'PV IN'!$E$36/12)</f>
        <v>-625</v>
      </c>
      <c r="AI17" s="2">
        <f>IF(AND('PV IN'!$D$33="YES",PVCalcs!C17=ROUNDUP('PV IN'!$H$33*12,)),-'PV IN'!$E$33*'PV IN'!$E$18,0)</f>
        <v>0</v>
      </c>
      <c r="AK17" s="2">
        <f t="shared" si="16"/>
        <v>13619.872005100304</v>
      </c>
      <c r="AL17" s="2">
        <f t="shared" si="3"/>
        <v>-1375</v>
      </c>
      <c r="AM17" s="2">
        <f t="shared" si="4"/>
        <v>12244.872005100304</v>
      </c>
      <c r="AN17" s="43"/>
      <c r="AO17" s="2">
        <f t="shared" si="1"/>
        <v>0</v>
      </c>
      <c r="AP17" s="2">
        <f t="shared" si="14"/>
        <v>-1375</v>
      </c>
      <c r="AR17" s="2">
        <f t="shared" si="15"/>
        <v>-1375</v>
      </c>
      <c r="AS17" s="2">
        <f>-AR17*'PV IN'!$E$8</f>
        <v>288.75</v>
      </c>
      <c r="AT17" s="2">
        <f>IF('PV IN'!$F$4="Battery Only",0,AM17+AS17)</f>
        <v>12533.622005100304</v>
      </c>
      <c r="AV17" s="10">
        <f t="shared" si="5"/>
        <v>-1213136.4008098277</v>
      </c>
      <c r="AW17" s="2">
        <f>AT17/(1+('PV IN'!$G$9))^(C17)</f>
        <v>11888.348259607516</v>
      </c>
      <c r="AX17" s="2">
        <f>IF(C17&lt;='PV IN'!$O$22*12,AW17+AX16,NA())</f>
        <v>-1262819.4717724884</v>
      </c>
      <c r="AZ17" s="10">
        <f t="shared" si="2"/>
        <v>-1375</v>
      </c>
      <c r="BA17" s="10">
        <f t="shared" si="6"/>
        <v>2269.2669511123167</v>
      </c>
      <c r="BB17" s="10">
        <f t="shared" si="7"/>
        <v>894.26695111231675</v>
      </c>
      <c r="BC17" s="10">
        <f t="shared" si="8"/>
        <v>0</v>
      </c>
      <c r="BD17" s="10">
        <f t="shared" si="9"/>
        <v>-1375</v>
      </c>
      <c r="BE17" s="2">
        <f t="shared" si="10"/>
        <v>0</v>
      </c>
      <c r="BF17" s="10">
        <f t="shared" si="11"/>
        <v>-1375</v>
      </c>
      <c r="BG17" s="2">
        <f>-BF17*'PV IN'!$E$8</f>
        <v>288.75</v>
      </c>
      <c r="BH17" s="2">
        <f>IF('PV IN'!$F$4="Battery Only",0,BB17+BG17)</f>
        <v>1183.0169511123167</v>
      </c>
      <c r="BI17" s="2">
        <f>BH17/(1+('PV IN'!$G$9))^(C17)</f>
        <v>1122.1111906932563</v>
      </c>
    </row>
    <row r="18" spans="2:61" x14ac:dyDescent="0.25">
      <c r="C18">
        <v>14</v>
      </c>
      <c r="D18" s="16">
        <f>D17*(1+('PV IN'!$G$6/12))</f>
        <v>7.5999999999999998E-2</v>
      </c>
      <c r="E18" s="16">
        <f>LkUP!$U$22</f>
        <v>7.5028226946311755E-2</v>
      </c>
      <c r="F18" s="16">
        <f>IF('PV IN'!$D$7="Table",E18,D18)</f>
        <v>7.5028226946311755E-2</v>
      </c>
      <c r="G18" s="33">
        <f>('PV IN'!$E$25*'PV IN'!$E$18/12)*(1-(1-'PV IN'!$E$27)/(25*12))^C17</f>
        <v>151183.60709854943</v>
      </c>
      <c r="H18" s="33">
        <f>IF('PV IN'!$D$19="YES",G18*'PV IN'!$E$21,0)</f>
        <v>0</v>
      </c>
      <c r="I18" s="33">
        <f>IF('PV IN'!$D$19="YES",'PV IN'!$E$22*BattCalcs!W18,0)</f>
        <v>0</v>
      </c>
      <c r="J18" s="33">
        <f>IF('PV IN'!$D$19="YES",'PV IN'!$E$23*BattCalcs!Y18,0)</f>
        <v>0</v>
      </c>
      <c r="K18" s="33">
        <f>BattCalcs!AF18</f>
        <v>30812.599166666667</v>
      </c>
      <c r="L18" s="33">
        <f t="shared" si="12"/>
        <v>30812.599166666667</v>
      </c>
      <c r="M18" s="33">
        <f>IF('PV IN'!$F$4="PV Only",G18,G18-SUM(H18:J18,L18))</f>
        <v>151183.60709854943</v>
      </c>
      <c r="N18" s="2">
        <f>IF(C18&lt;='PV IN'!$I$12*12,'PV IN'!$E$12*G18/1000,0)</f>
        <v>2267.7541064782413</v>
      </c>
      <c r="O18" s="2">
        <f>IF(AND(C18&gt;'PV IN'!$I$12*12,C18&lt;='PV IN'!$I$13*12+'PV IN'!$I$12*12),'PV IN'!$E$13*PVCalcs!G18/1000,0)</f>
        <v>0</v>
      </c>
      <c r="P18" s="2">
        <f>IF(AND(C18&gt;'PV IN'!$I$12*12+'PV IN'!$I$13*12,C18&lt;='PV IN'!$I$12*12+'PV IN'!$I$13*12+'PV IN'!$I$14*12),'PV IN'!$E$14*PVCalcs!G18/1000,0)</f>
        <v>0</v>
      </c>
      <c r="R18" s="10">
        <f>IF(AND('PV IN'!$D$35="YES",$C18&lt;='PV IN'!$E$35*12),-'PV IN'!$E$18*'PV IN'!$E$34/12,0)</f>
        <v>0</v>
      </c>
      <c r="S18" s="10">
        <f>IF(AND('PV IN'!$D$37="YES",$C18&lt;='PV IN'!$E$37*12),-'PV IN'!$E$18*'PV IN'!$E$36/12,0)</f>
        <v>0</v>
      </c>
      <c r="U18" s="2">
        <f t="shared" si="13"/>
        <v>11343.037983951996</v>
      </c>
      <c r="V18" s="10">
        <f>PVLoan!M45</f>
        <v>0</v>
      </c>
      <c r="W18" s="2">
        <f>IF(C18='PV IN'!$I$40,IF('PV IN'!$G$40="Non-Taxable",'PV IN'!$F$40,0),0)+IF(C18='PV IN'!$I$41,IF('PV IN'!$G$41="Non-Taxable",'PV IN'!$F$41,0),0)</f>
        <v>0</v>
      </c>
      <c r="X18" s="10"/>
      <c r="Y18" s="10">
        <f>IF('PV IN'!$E$15="Non-Taxable",SUM(N18:P18),0)</f>
        <v>2267.7541064782413</v>
      </c>
      <c r="Z18" s="10">
        <f>IF('PV IN'!$E$15="Taxable",SUM(N18:P18),0)</f>
        <v>0</v>
      </c>
      <c r="AA18" s="2">
        <f>IF(C18='PV IN'!$I$40,IF('PV IN'!$G$40="Taxable",'PV IN'!$F$40,0),0)+IF(C18='PV IN'!$I$41,IF('PV IN'!$G$41="Taxable",'PV IN'!$F$41,0),0)</f>
        <v>0</v>
      </c>
      <c r="AD18" s="10">
        <f>IF('PV IN'!$D$48="YES",-U18*'PV IN'!$E$8,0)</f>
        <v>0</v>
      </c>
      <c r="AE18" s="10">
        <f>IF('PV IN'!$N$10="Yes",-PVLoan!H46,-PVLoan!L46)</f>
        <v>0</v>
      </c>
      <c r="AF18" s="10">
        <f>IF('PV IN'!$N$10="Yes",-PVLoan!F46,0)</f>
        <v>0</v>
      </c>
      <c r="AG18" s="10">
        <f>IF(AND('PV IN'!$D$35="YES",$C18&lt;='PV IN'!$E$35*12),0,-'PV IN'!$E$18*'PV IN'!$E$34/12)</f>
        <v>-750</v>
      </c>
      <c r="AH18" s="10">
        <f>IF(AND('PV IN'!$D$37="YES",$C18&lt;='PV IN'!$E$37*12),0,-'PV IN'!$E$18*'PV IN'!$E$36/12)</f>
        <v>-625</v>
      </c>
      <c r="AI18" s="2">
        <f>IF(AND('PV IN'!$D$33="YES",PVCalcs!C18=ROUNDUP('PV IN'!$H$33*12,)),-'PV IN'!$E$33*'PV IN'!$E$18,0)</f>
        <v>0</v>
      </c>
      <c r="AK18" s="2">
        <f t="shared" si="16"/>
        <v>13610.792090430237</v>
      </c>
      <c r="AL18" s="2">
        <f t="shared" si="3"/>
        <v>-1375</v>
      </c>
      <c r="AM18" s="2">
        <f t="shared" si="4"/>
        <v>12235.792090430237</v>
      </c>
      <c r="AN18" s="43"/>
      <c r="AO18" s="2">
        <f t="shared" si="1"/>
        <v>0</v>
      </c>
      <c r="AP18" s="2">
        <f t="shared" si="14"/>
        <v>-1375</v>
      </c>
      <c r="AR18" s="2">
        <f t="shared" si="15"/>
        <v>-1375</v>
      </c>
      <c r="AS18" s="2">
        <f>-AR18*'PV IN'!$E$8</f>
        <v>288.75</v>
      </c>
      <c r="AT18" s="2">
        <f>IF('PV IN'!$F$4="Battery Only",0,AM18+AS18)</f>
        <v>12524.542090430237</v>
      </c>
      <c r="AV18" s="10">
        <f t="shared" si="5"/>
        <v>-1200611.8587193976</v>
      </c>
      <c r="AW18" s="2">
        <f>AT18/(1+('PV IN'!$G$9))^(C18)</f>
        <v>11831.532681318258</v>
      </c>
      <c r="AX18" s="2">
        <f>IF(C18&lt;='PV IN'!$O$22*12,AW18+AX17,NA())</f>
        <v>-1250987.9390911702</v>
      </c>
      <c r="AZ18" s="10">
        <f t="shared" si="2"/>
        <v>-1375</v>
      </c>
      <c r="BA18" s="10">
        <f t="shared" si="6"/>
        <v>2267.7541064782417</v>
      </c>
      <c r="BB18" s="10">
        <f t="shared" si="7"/>
        <v>892.75410647824174</v>
      </c>
      <c r="BC18" s="10">
        <f t="shared" si="8"/>
        <v>0</v>
      </c>
      <c r="BD18" s="10">
        <f t="shared" si="9"/>
        <v>-1375</v>
      </c>
      <c r="BE18" s="2">
        <f t="shared" si="10"/>
        <v>0</v>
      </c>
      <c r="BF18" s="10">
        <f t="shared" si="11"/>
        <v>-1375</v>
      </c>
      <c r="BG18" s="2">
        <f>-BF18*'PV IN'!$E$8</f>
        <v>288.75</v>
      </c>
      <c r="BH18" s="2">
        <f>IF('PV IN'!$F$4="Battery Only",0,BB18+BG18)</f>
        <v>1181.5041064782417</v>
      </c>
      <c r="BI18" s="2">
        <f>BH18/(1+('PV IN'!$G$9))^(C18)</f>
        <v>1116.1289848345141</v>
      </c>
    </row>
    <row r="19" spans="2:61" x14ac:dyDescent="0.25">
      <c r="C19">
        <v>15</v>
      </c>
      <c r="D19" s="16">
        <f>D18*(1+('PV IN'!$G$6/12))</f>
        <v>7.5999999999999998E-2</v>
      </c>
      <c r="E19" s="16">
        <f>LkUP!$U$22</f>
        <v>7.5028226946311755E-2</v>
      </c>
      <c r="F19" s="16">
        <f>IF('PV IN'!$D$7="Table",E19,D19)</f>
        <v>7.5028226946311755E-2</v>
      </c>
      <c r="G19" s="33">
        <f>('PV IN'!$E$25*'PV IN'!$E$18/12)*(1-(1-'PV IN'!$E$27)/(25*12))^C18</f>
        <v>151082.81802715038</v>
      </c>
      <c r="H19" s="33">
        <f>IF('PV IN'!$D$19="YES",G19*'PV IN'!$E$21,0)</f>
        <v>0</v>
      </c>
      <c r="I19" s="33">
        <f>IF('PV IN'!$D$19="YES",'PV IN'!$E$22*BattCalcs!W19,0)</f>
        <v>0</v>
      </c>
      <c r="J19" s="33">
        <f>IF('PV IN'!$D$19="YES",'PV IN'!$E$23*BattCalcs!Y19,0)</f>
        <v>0</v>
      </c>
      <c r="K19" s="33">
        <f>BattCalcs!AF19</f>
        <v>30812.599166666667</v>
      </c>
      <c r="L19" s="33">
        <f t="shared" si="12"/>
        <v>30812.599166666667</v>
      </c>
      <c r="M19" s="33">
        <f>IF('PV IN'!$F$4="PV Only",G19,G19-SUM(H19:J19,L19))</f>
        <v>151082.81802715038</v>
      </c>
      <c r="N19" s="2">
        <f>IF(C19&lt;='PV IN'!$I$12*12,'PV IN'!$E$12*G19/1000,0)</f>
        <v>2266.2422704072555</v>
      </c>
      <c r="O19" s="2">
        <f>IF(AND(C19&gt;'PV IN'!$I$12*12,C19&lt;='PV IN'!$I$13*12+'PV IN'!$I$12*12),'PV IN'!$E$13*PVCalcs!G19/1000,0)</f>
        <v>0</v>
      </c>
      <c r="P19" s="2">
        <f>IF(AND(C19&gt;'PV IN'!$I$12*12+'PV IN'!$I$13*12,C19&lt;='PV IN'!$I$12*12+'PV IN'!$I$13*12+'PV IN'!$I$14*12),'PV IN'!$E$14*PVCalcs!G19/1000,0)</f>
        <v>0</v>
      </c>
      <c r="R19" s="10">
        <f>IF(AND('PV IN'!$D$35="YES",$C19&lt;='PV IN'!$E$35*12),-'PV IN'!$E$18*'PV IN'!$E$34/12,0)</f>
        <v>0</v>
      </c>
      <c r="S19" s="10">
        <f>IF(AND('PV IN'!$D$37="YES",$C19&lt;='PV IN'!$E$37*12),-'PV IN'!$E$18*'PV IN'!$E$36/12,0)</f>
        <v>0</v>
      </c>
      <c r="U19" s="2">
        <f t="shared" si="13"/>
        <v>11335.47595862936</v>
      </c>
      <c r="V19" s="10">
        <f>PVLoan!M46</f>
        <v>0</v>
      </c>
      <c r="W19" s="2">
        <f>IF(C19='PV IN'!$I$40,IF('PV IN'!$G$40="Non-Taxable",'PV IN'!$F$40,0),0)+IF(C19='PV IN'!$I$41,IF('PV IN'!$G$41="Non-Taxable",'PV IN'!$F$41,0),0)</f>
        <v>0</v>
      </c>
      <c r="X19" s="10"/>
      <c r="Y19" s="10">
        <f>IF('PV IN'!$E$15="Non-Taxable",SUM(N19:P19),0)</f>
        <v>2266.2422704072555</v>
      </c>
      <c r="Z19" s="10">
        <f>IF('PV IN'!$E$15="Taxable",SUM(N19:P19),0)</f>
        <v>0</v>
      </c>
      <c r="AA19" s="2">
        <f>IF(C19='PV IN'!$I$40,IF('PV IN'!$G$40="Taxable",'PV IN'!$F$40,0),0)+IF(C19='PV IN'!$I$41,IF('PV IN'!$G$41="Taxable",'PV IN'!$F$41,0),0)</f>
        <v>0</v>
      </c>
      <c r="AD19" s="10">
        <f>IF('PV IN'!$D$48="YES",-U19*'PV IN'!$E$8,0)</f>
        <v>0</v>
      </c>
      <c r="AE19" s="10">
        <f>IF('PV IN'!$N$10="Yes",-PVLoan!H47,-PVLoan!L47)</f>
        <v>0</v>
      </c>
      <c r="AF19" s="10">
        <f>IF('PV IN'!$N$10="Yes",-PVLoan!F47,0)</f>
        <v>0</v>
      </c>
      <c r="AG19" s="10">
        <f>IF(AND('PV IN'!$D$35="YES",$C19&lt;='PV IN'!$E$35*12),0,-'PV IN'!$E$18*'PV IN'!$E$34/12)</f>
        <v>-750</v>
      </c>
      <c r="AH19" s="10">
        <f>IF(AND('PV IN'!$D$37="YES",$C19&lt;='PV IN'!$E$37*12),0,-'PV IN'!$E$18*'PV IN'!$E$36/12)</f>
        <v>-625</v>
      </c>
      <c r="AI19" s="2">
        <f>IF(AND('PV IN'!$D$33="YES",PVCalcs!C19=ROUNDUP('PV IN'!$H$33*12,)),-'PV IN'!$E$33*'PV IN'!$E$18,0)</f>
        <v>0</v>
      </c>
      <c r="AK19" s="2">
        <f t="shared" si="16"/>
        <v>13601.718229036616</v>
      </c>
      <c r="AL19" s="2">
        <f t="shared" si="3"/>
        <v>-1375</v>
      </c>
      <c r="AM19" s="2">
        <f t="shared" si="4"/>
        <v>12226.718229036616</v>
      </c>
      <c r="AN19" s="43"/>
      <c r="AO19" s="2">
        <f t="shared" si="1"/>
        <v>0</v>
      </c>
      <c r="AP19" s="2">
        <f t="shared" si="14"/>
        <v>-1375</v>
      </c>
      <c r="AR19" s="2">
        <f t="shared" si="15"/>
        <v>-1375</v>
      </c>
      <c r="AS19" s="2">
        <f>-AR19*'PV IN'!$E$8</f>
        <v>288.75</v>
      </c>
      <c r="AT19" s="2">
        <f>IF('PV IN'!$F$4="Battery Only",0,AM19+AS19)</f>
        <v>12515.468229036616</v>
      </c>
      <c r="AV19" s="10">
        <f t="shared" si="5"/>
        <v>-1188096.390490361</v>
      </c>
      <c r="AW19" s="2">
        <f>AT19/(1+('PV IN'!$G$9))^(C19)</f>
        <v>11774.988136651287</v>
      </c>
      <c r="AX19" s="2">
        <f>IF(C19&lt;='PV IN'!$O$22*12,AW19+AX18,NA())</f>
        <v>-1239212.950954519</v>
      </c>
      <c r="AZ19" s="10">
        <f t="shared" si="2"/>
        <v>-1375</v>
      </c>
      <c r="BA19" s="10">
        <f t="shared" si="6"/>
        <v>2266.242270407256</v>
      </c>
      <c r="BB19" s="10">
        <f t="shared" si="7"/>
        <v>891.242270407256</v>
      </c>
      <c r="BC19" s="10">
        <f t="shared" si="8"/>
        <v>0</v>
      </c>
      <c r="BD19" s="10">
        <f t="shared" si="9"/>
        <v>-1375</v>
      </c>
      <c r="BE19" s="2">
        <f t="shared" si="10"/>
        <v>0</v>
      </c>
      <c r="BF19" s="10">
        <f t="shared" si="11"/>
        <v>-1375</v>
      </c>
      <c r="BG19" s="2">
        <f>-BF19*'PV IN'!$E$8</f>
        <v>288.75</v>
      </c>
      <c r="BH19" s="2">
        <f>IF('PV IN'!$F$4="Battery Only",0,BB19+BG19)</f>
        <v>1179.992270407256</v>
      </c>
      <c r="BI19" s="2">
        <f>BH19/(1+('PV IN'!$G$9))^(C19)</f>
        <v>1110.1778000722218</v>
      </c>
    </row>
    <row r="20" spans="2:61" x14ac:dyDescent="0.25">
      <c r="C20">
        <v>16</v>
      </c>
      <c r="D20" s="16">
        <f>D19*(1+('PV IN'!$G$6/12))</f>
        <v>7.5999999999999998E-2</v>
      </c>
      <c r="E20" s="16">
        <f>LkUP!$U$22</f>
        <v>7.5028226946311755E-2</v>
      </c>
      <c r="F20" s="16">
        <f>IF('PV IN'!$D$7="Table",E20,D20)</f>
        <v>7.5028226946311755E-2</v>
      </c>
      <c r="G20" s="33">
        <f>('PV IN'!$E$25*'PV IN'!$E$18/12)*(1-(1-'PV IN'!$E$27)/(25*12))^C19</f>
        <v>150982.09614846561</v>
      </c>
      <c r="H20" s="33">
        <f>IF('PV IN'!$D$19="YES",G20*'PV IN'!$E$21,0)</f>
        <v>0</v>
      </c>
      <c r="I20" s="33">
        <f>IF('PV IN'!$D$19="YES",'PV IN'!$E$22*BattCalcs!W20,0)</f>
        <v>0</v>
      </c>
      <c r="J20" s="33">
        <f>IF('PV IN'!$D$19="YES",'PV IN'!$E$23*BattCalcs!Y20,0)</f>
        <v>0</v>
      </c>
      <c r="K20" s="33">
        <f>BattCalcs!AF20</f>
        <v>30812.599166666667</v>
      </c>
      <c r="L20" s="33">
        <f t="shared" si="12"/>
        <v>30812.599166666667</v>
      </c>
      <c r="M20" s="33">
        <f>IF('PV IN'!$F$4="PV Only",G20,G20-SUM(H20:J20,L20))</f>
        <v>150982.09614846561</v>
      </c>
      <c r="N20" s="2">
        <f>IF(C20&lt;='PV IN'!$I$12*12,'PV IN'!$E$12*G20/1000,0)</f>
        <v>2264.7314422269842</v>
      </c>
      <c r="O20" s="2">
        <f>IF(AND(C20&gt;'PV IN'!$I$12*12,C20&lt;='PV IN'!$I$13*12+'PV IN'!$I$12*12),'PV IN'!$E$13*PVCalcs!G20/1000,0)</f>
        <v>0</v>
      </c>
      <c r="P20" s="2">
        <f>IF(AND(C20&gt;'PV IN'!$I$12*12+'PV IN'!$I$13*12,C20&lt;='PV IN'!$I$12*12+'PV IN'!$I$13*12+'PV IN'!$I$14*12),'PV IN'!$E$14*PVCalcs!G20/1000,0)</f>
        <v>0</v>
      </c>
      <c r="R20" s="10">
        <f>IF(AND('PV IN'!$D$35="YES",$C20&lt;='PV IN'!$E$35*12),-'PV IN'!$E$18*'PV IN'!$E$34/12,0)</f>
        <v>0</v>
      </c>
      <c r="S20" s="10">
        <f>IF(AND('PV IN'!$D$37="YES",$C20&lt;='PV IN'!$E$37*12),-'PV IN'!$E$18*'PV IN'!$E$36/12,0)</f>
        <v>0</v>
      </c>
      <c r="U20" s="2">
        <f t="shared" si="13"/>
        <v>11327.918974656939</v>
      </c>
      <c r="V20" s="10">
        <f>PVLoan!M47</f>
        <v>0</v>
      </c>
      <c r="W20" s="2">
        <f>IF(C20='PV IN'!$I$40,IF('PV IN'!$G$40="Non-Taxable",'PV IN'!$F$40,0),0)+IF(C20='PV IN'!$I$41,IF('PV IN'!$G$41="Non-Taxable",'PV IN'!$F$41,0),0)</f>
        <v>0</v>
      </c>
      <c r="X20" s="10"/>
      <c r="Y20" s="10">
        <f>IF('PV IN'!$E$15="Non-Taxable",SUM(N20:P20),0)</f>
        <v>2264.7314422269842</v>
      </c>
      <c r="Z20" s="10">
        <f>IF('PV IN'!$E$15="Taxable",SUM(N20:P20),0)</f>
        <v>0</v>
      </c>
      <c r="AA20" s="2">
        <f>IF(C20='PV IN'!$I$40,IF('PV IN'!$G$40="Taxable",'PV IN'!$F$40,0),0)+IF(C20='PV IN'!$I$41,IF('PV IN'!$G$41="Taxable",'PV IN'!$F$41,0),0)</f>
        <v>0</v>
      </c>
      <c r="AD20" s="10">
        <f>IF('PV IN'!$D$48="YES",-U20*'PV IN'!$E$8,0)</f>
        <v>0</v>
      </c>
      <c r="AE20" s="10">
        <f>IF('PV IN'!$N$10="Yes",-PVLoan!H48,-PVLoan!L48)</f>
        <v>0</v>
      </c>
      <c r="AF20" s="10">
        <f>IF('PV IN'!$N$10="Yes",-PVLoan!F48,0)</f>
        <v>0</v>
      </c>
      <c r="AG20" s="10">
        <f>IF(AND('PV IN'!$D$35="YES",$C20&lt;='PV IN'!$E$35*12),0,-'PV IN'!$E$18*'PV IN'!$E$34/12)</f>
        <v>-750</v>
      </c>
      <c r="AH20" s="10">
        <f>IF(AND('PV IN'!$D$37="YES",$C20&lt;='PV IN'!$E$37*12),0,-'PV IN'!$E$18*'PV IN'!$E$36/12)</f>
        <v>-625</v>
      </c>
      <c r="AI20" s="2">
        <f>IF(AND('PV IN'!$D$33="YES",PVCalcs!C20=ROUNDUP('PV IN'!$H$33*12,)),-'PV IN'!$E$33*'PV IN'!$E$18,0)</f>
        <v>0</v>
      </c>
      <c r="AK20" s="2">
        <f t="shared" si="16"/>
        <v>13592.650416883924</v>
      </c>
      <c r="AL20" s="2">
        <f t="shared" si="3"/>
        <v>-1375</v>
      </c>
      <c r="AM20" s="2">
        <f t="shared" si="4"/>
        <v>12217.650416883924</v>
      </c>
      <c r="AN20" s="43"/>
      <c r="AO20" s="2">
        <f t="shared" si="1"/>
        <v>0</v>
      </c>
      <c r="AP20" s="2">
        <f t="shared" si="14"/>
        <v>-1375</v>
      </c>
      <c r="AR20" s="2">
        <f t="shared" si="15"/>
        <v>-1375</v>
      </c>
      <c r="AS20" s="2">
        <f>-AR20*'PV IN'!$E$8</f>
        <v>288.75</v>
      </c>
      <c r="AT20" s="2">
        <f>IF('PV IN'!$F$4="Battery Only",0,AM20+AS20)</f>
        <v>12506.400416883924</v>
      </c>
      <c r="AV20" s="10">
        <f t="shared" si="5"/>
        <v>-1175589.9900734772</v>
      </c>
      <c r="AW20" s="2">
        <f>AT20/(1+('PV IN'!$G$9))^(C20)</f>
        <v>11718.713334643635</v>
      </c>
      <c r="AX20" s="2">
        <f>IF(C20&lt;='PV IN'!$O$22*12,AW20+AX19,NA())</f>
        <v>-1227494.2376198752</v>
      </c>
      <c r="AZ20" s="10">
        <f t="shared" si="2"/>
        <v>-1375</v>
      </c>
      <c r="BA20" s="10">
        <f t="shared" si="6"/>
        <v>2264.7314422269847</v>
      </c>
      <c r="BB20" s="10">
        <f t="shared" si="7"/>
        <v>889.73144222698465</v>
      </c>
      <c r="BC20" s="10">
        <f t="shared" si="8"/>
        <v>0</v>
      </c>
      <c r="BD20" s="10">
        <f t="shared" si="9"/>
        <v>-1375</v>
      </c>
      <c r="BE20" s="2">
        <f t="shared" si="10"/>
        <v>0</v>
      </c>
      <c r="BF20" s="10">
        <f t="shared" si="11"/>
        <v>-1375</v>
      </c>
      <c r="BG20" s="2">
        <f>-BF20*'PV IN'!$E$8</f>
        <v>288.75</v>
      </c>
      <c r="BH20" s="2">
        <f>IF('PV IN'!$F$4="Battery Only",0,BB20+BG20)</f>
        <v>1178.4814422269847</v>
      </c>
      <c r="BI20" s="2">
        <f>BH20/(1+('PV IN'!$G$9))^(C20)</f>
        <v>1104.2574786755772</v>
      </c>
    </row>
    <row r="21" spans="2:61" x14ac:dyDescent="0.25">
      <c r="C21">
        <v>17</v>
      </c>
      <c r="D21" s="16">
        <f>D20*(1+('PV IN'!$G$6/12))</f>
        <v>7.5999999999999998E-2</v>
      </c>
      <c r="E21" s="16">
        <f>LkUP!$U$22</f>
        <v>7.5028226946311755E-2</v>
      </c>
      <c r="F21" s="16">
        <f>IF('PV IN'!$D$7="Table",E21,D21)</f>
        <v>7.5028226946311755E-2</v>
      </c>
      <c r="G21" s="33">
        <f>('PV IN'!$E$25*'PV IN'!$E$18/12)*(1-(1-'PV IN'!$E$27)/(25*12))^C20</f>
        <v>150881.44141769997</v>
      </c>
      <c r="H21" s="33">
        <f>IF('PV IN'!$D$19="YES",G21*'PV IN'!$E$21,0)</f>
        <v>0</v>
      </c>
      <c r="I21" s="33">
        <f>IF('PV IN'!$D$19="YES",'PV IN'!$E$22*BattCalcs!W21,0)</f>
        <v>0</v>
      </c>
      <c r="J21" s="33">
        <f>IF('PV IN'!$D$19="YES",'PV IN'!$E$23*BattCalcs!Y21,0)</f>
        <v>0</v>
      </c>
      <c r="K21" s="33">
        <f>BattCalcs!AF21</f>
        <v>30812.599166666667</v>
      </c>
      <c r="L21" s="33">
        <f t="shared" si="12"/>
        <v>30812.599166666667</v>
      </c>
      <c r="M21" s="33">
        <f>IF('PV IN'!$F$4="PV Only",G21,G21-SUM(H21:J21,L21))</f>
        <v>150881.44141769997</v>
      </c>
      <c r="N21" s="2">
        <f>IF(C21&lt;='PV IN'!$I$12*12,'PV IN'!$E$12*G21/1000,0)</f>
        <v>2263.2216212654994</v>
      </c>
      <c r="O21" s="2">
        <f>IF(AND(C21&gt;'PV IN'!$I$12*12,C21&lt;='PV IN'!$I$13*12+'PV IN'!$I$12*12),'PV IN'!$E$13*PVCalcs!G21/1000,0)</f>
        <v>0</v>
      </c>
      <c r="P21" s="2">
        <f>IF(AND(C21&gt;'PV IN'!$I$12*12+'PV IN'!$I$13*12,C21&lt;='PV IN'!$I$12*12+'PV IN'!$I$13*12+'PV IN'!$I$14*12),'PV IN'!$E$14*PVCalcs!G21/1000,0)</f>
        <v>0</v>
      </c>
      <c r="R21" s="10">
        <f>IF(AND('PV IN'!$D$35="YES",$C21&lt;='PV IN'!$E$35*12),-'PV IN'!$E$18*'PV IN'!$E$34/12,0)</f>
        <v>0</v>
      </c>
      <c r="S21" s="10">
        <f>IF(AND('PV IN'!$D$37="YES",$C21&lt;='PV IN'!$E$37*12),-'PV IN'!$E$18*'PV IN'!$E$36/12,0)</f>
        <v>0</v>
      </c>
      <c r="U21" s="2">
        <f t="shared" si="13"/>
        <v>11320.367028673836</v>
      </c>
      <c r="V21" s="10">
        <f>PVLoan!M48</f>
        <v>0</v>
      </c>
      <c r="W21" s="2">
        <f>IF(C21='PV IN'!$I$40,IF('PV IN'!$G$40="Non-Taxable",'PV IN'!$F$40,0),0)+IF(C21='PV IN'!$I$41,IF('PV IN'!$G$41="Non-Taxable",'PV IN'!$F$41,0),0)</f>
        <v>0</v>
      </c>
      <c r="X21" s="10"/>
      <c r="Y21" s="10">
        <f>IF('PV IN'!$E$15="Non-Taxable",SUM(N21:P21),0)</f>
        <v>2263.2216212654994</v>
      </c>
      <c r="Z21" s="10">
        <f>IF('PV IN'!$E$15="Taxable",SUM(N21:P21),0)</f>
        <v>0</v>
      </c>
      <c r="AA21" s="2">
        <f>IF(C21='PV IN'!$I$40,IF('PV IN'!$G$40="Taxable",'PV IN'!$F$40,0),0)+IF(C21='PV IN'!$I$41,IF('PV IN'!$G$41="Taxable",'PV IN'!$F$41,0),0)</f>
        <v>0</v>
      </c>
      <c r="AD21" s="10">
        <f>IF('PV IN'!$D$48="YES",-U21*'PV IN'!$E$8,0)</f>
        <v>0</v>
      </c>
      <c r="AE21" s="10">
        <f>IF('PV IN'!$N$10="Yes",-PVLoan!H49,-PVLoan!L49)</f>
        <v>0</v>
      </c>
      <c r="AF21" s="10">
        <f>IF('PV IN'!$N$10="Yes",-PVLoan!F49,0)</f>
        <v>0</v>
      </c>
      <c r="AG21" s="10">
        <f>IF(AND('PV IN'!$D$35="YES",$C21&lt;='PV IN'!$E$35*12),0,-'PV IN'!$E$18*'PV IN'!$E$34/12)</f>
        <v>-750</v>
      </c>
      <c r="AH21" s="10">
        <f>IF(AND('PV IN'!$D$37="YES",$C21&lt;='PV IN'!$E$37*12),0,-'PV IN'!$E$18*'PV IN'!$E$36/12)</f>
        <v>-625</v>
      </c>
      <c r="AI21" s="2">
        <f>IF(AND('PV IN'!$D$33="YES",PVCalcs!C21=ROUNDUP('PV IN'!$H$33*12,)),-'PV IN'!$E$33*'PV IN'!$E$18,0)</f>
        <v>0</v>
      </c>
      <c r="AK21" s="2">
        <f t="shared" si="16"/>
        <v>13583.588649939335</v>
      </c>
      <c r="AL21" s="2">
        <f t="shared" si="3"/>
        <v>-1375</v>
      </c>
      <c r="AM21" s="2">
        <f t="shared" si="4"/>
        <v>12208.588649939335</v>
      </c>
      <c r="AN21" s="43"/>
      <c r="AO21" s="2">
        <f t="shared" si="1"/>
        <v>0</v>
      </c>
      <c r="AP21" s="2">
        <f t="shared" si="14"/>
        <v>-1375</v>
      </c>
      <c r="AR21" s="2">
        <f t="shared" si="15"/>
        <v>-1375</v>
      </c>
      <c r="AS21" s="2">
        <f>-AR21*'PV IN'!$E$8</f>
        <v>288.75</v>
      </c>
      <c r="AT21" s="2">
        <f>IF('PV IN'!$F$4="Battery Only",0,AM21+AS21)</f>
        <v>12497.338649939335</v>
      </c>
      <c r="AV21" s="10">
        <f t="shared" si="5"/>
        <v>-1163092.6514235379</v>
      </c>
      <c r="AW21" s="2">
        <f>AT21/(1+('PV IN'!$G$9))^(C21)</f>
        <v>11662.706990473396</v>
      </c>
      <c r="AX21" s="2">
        <f>IF(C21&lt;='PV IN'!$O$22*12,AW21+AX20,NA())</f>
        <v>-1215831.5306294018</v>
      </c>
      <c r="AZ21" s="10">
        <f t="shared" si="2"/>
        <v>-1375</v>
      </c>
      <c r="BA21" s="10">
        <f t="shared" si="6"/>
        <v>2263.2216212654985</v>
      </c>
      <c r="BB21" s="10">
        <f t="shared" si="7"/>
        <v>888.22162126549847</v>
      </c>
      <c r="BC21" s="10">
        <f t="shared" si="8"/>
        <v>0</v>
      </c>
      <c r="BD21" s="10">
        <f t="shared" si="9"/>
        <v>-1375</v>
      </c>
      <c r="BE21" s="2">
        <f t="shared" si="10"/>
        <v>0</v>
      </c>
      <c r="BF21" s="10">
        <f t="shared" si="11"/>
        <v>-1375</v>
      </c>
      <c r="BG21" s="2">
        <f>-BF21*'PV IN'!$E$8</f>
        <v>288.75</v>
      </c>
      <c r="BH21" s="2">
        <f>IF('PV IN'!$F$4="Battery Only",0,BB21+BG21)</f>
        <v>1176.9716212654985</v>
      </c>
      <c r="BI21" s="2">
        <f>BH21/(1+('PV IN'!$G$9))^(C21)</f>
        <v>1098.367863704211</v>
      </c>
    </row>
    <row r="22" spans="2:61" x14ac:dyDescent="0.25">
      <c r="C22">
        <v>18</v>
      </c>
      <c r="D22" s="16">
        <f>D21*(1+('PV IN'!$G$6/12))</f>
        <v>7.5999999999999998E-2</v>
      </c>
      <c r="E22" s="16">
        <f>LkUP!$U$22</f>
        <v>7.5028226946311755E-2</v>
      </c>
      <c r="F22" s="16">
        <f>IF('PV IN'!$D$7="Table",E22,D22)</f>
        <v>7.5028226946311755E-2</v>
      </c>
      <c r="G22" s="33">
        <f>('PV IN'!$E$25*'PV IN'!$E$18/12)*(1-(1-'PV IN'!$E$27)/(25*12))^C21</f>
        <v>150780.85379008815</v>
      </c>
      <c r="H22" s="33">
        <f>IF('PV IN'!$D$19="YES",G22*'PV IN'!$E$21,0)</f>
        <v>0</v>
      </c>
      <c r="I22" s="33">
        <f>IF('PV IN'!$D$19="YES",'PV IN'!$E$22*BattCalcs!W22,0)</f>
        <v>0</v>
      </c>
      <c r="J22" s="33">
        <f>IF('PV IN'!$D$19="YES",'PV IN'!$E$23*BattCalcs!Y22,0)</f>
        <v>0</v>
      </c>
      <c r="K22" s="33">
        <f>BattCalcs!AF22</f>
        <v>30812.599166666667</v>
      </c>
      <c r="L22" s="33">
        <f t="shared" si="12"/>
        <v>30812.599166666667</v>
      </c>
      <c r="M22" s="33">
        <f>IF('PV IN'!$F$4="PV Only",G22,G22-SUM(H22:J22,L22))</f>
        <v>150780.85379008815</v>
      </c>
      <c r="N22" s="2">
        <f>IF(C22&lt;='PV IN'!$I$12*12,'PV IN'!$E$12*G22/1000,0)</f>
        <v>2261.7128068513225</v>
      </c>
      <c r="O22" s="2">
        <f>IF(AND(C22&gt;'PV IN'!$I$12*12,C22&lt;='PV IN'!$I$13*12+'PV IN'!$I$12*12),'PV IN'!$E$13*PVCalcs!G22/1000,0)</f>
        <v>0</v>
      </c>
      <c r="P22" s="2">
        <f>IF(AND(C22&gt;'PV IN'!$I$12*12+'PV IN'!$I$13*12,C22&lt;='PV IN'!$I$12*12+'PV IN'!$I$13*12+'PV IN'!$I$14*12),'PV IN'!$E$14*PVCalcs!G22/1000,0)</f>
        <v>0</v>
      </c>
      <c r="R22" s="10">
        <f>IF(AND('PV IN'!$D$35="YES",$C22&lt;='PV IN'!$E$35*12),-'PV IN'!$E$18*'PV IN'!$E$34/12,0)</f>
        <v>0</v>
      </c>
      <c r="S22" s="10">
        <f>IF(AND('PV IN'!$D$37="YES",$C22&lt;='PV IN'!$E$37*12),-'PV IN'!$E$18*'PV IN'!$E$36/12,0)</f>
        <v>0</v>
      </c>
      <c r="U22" s="2">
        <f t="shared" si="13"/>
        <v>11312.820117321384</v>
      </c>
      <c r="V22" s="10">
        <f>PVLoan!M49</f>
        <v>0</v>
      </c>
      <c r="W22" s="2">
        <f>IF(C22='PV IN'!$I$40,IF('PV IN'!$G$40="Non-Taxable",'PV IN'!$F$40,0),0)+IF(C22='PV IN'!$I$41,IF('PV IN'!$G$41="Non-Taxable",'PV IN'!$F$41,0),0)</f>
        <v>0</v>
      </c>
      <c r="X22" s="10"/>
      <c r="Y22" s="10">
        <f>IF('PV IN'!$E$15="Non-Taxable",SUM(N22:P22),0)</f>
        <v>2261.7128068513225</v>
      </c>
      <c r="Z22" s="10">
        <f>IF('PV IN'!$E$15="Taxable",SUM(N22:P22),0)</f>
        <v>0</v>
      </c>
      <c r="AA22" s="2">
        <f>IF(C22='PV IN'!$I$40,IF('PV IN'!$G$40="Taxable",'PV IN'!$F$40,0),0)+IF(C22='PV IN'!$I$41,IF('PV IN'!$G$41="Taxable",'PV IN'!$F$41,0),0)</f>
        <v>0</v>
      </c>
      <c r="AD22" s="10">
        <f>IF('PV IN'!$D$48="YES",-U22*'PV IN'!$E$8,0)</f>
        <v>0</v>
      </c>
      <c r="AE22" s="10">
        <f>IF('PV IN'!$N$10="Yes",-PVLoan!H50,-PVLoan!L50)</f>
        <v>0</v>
      </c>
      <c r="AF22" s="10">
        <f>IF('PV IN'!$N$10="Yes",-PVLoan!F50,0)</f>
        <v>0</v>
      </c>
      <c r="AG22" s="10">
        <f>IF(AND('PV IN'!$D$35="YES",$C22&lt;='PV IN'!$E$35*12),0,-'PV IN'!$E$18*'PV IN'!$E$34/12)</f>
        <v>-750</v>
      </c>
      <c r="AH22" s="10">
        <f>IF(AND('PV IN'!$D$37="YES",$C22&lt;='PV IN'!$E$37*12),0,-'PV IN'!$E$18*'PV IN'!$E$36/12)</f>
        <v>-625</v>
      </c>
      <c r="AI22" s="2">
        <f>IF(AND('PV IN'!$D$33="YES",PVCalcs!C22=ROUNDUP('PV IN'!$H$33*12,)),-'PV IN'!$E$33*'PV IN'!$E$18,0)</f>
        <v>0</v>
      </c>
      <c r="AK22" s="2">
        <f t="shared" si="16"/>
        <v>13574.532924172707</v>
      </c>
      <c r="AL22" s="2">
        <f t="shared" si="3"/>
        <v>-1375</v>
      </c>
      <c r="AM22" s="2">
        <f t="shared" si="4"/>
        <v>12199.532924172707</v>
      </c>
      <c r="AN22" s="43"/>
      <c r="AO22" s="2">
        <f t="shared" si="1"/>
        <v>0</v>
      </c>
      <c r="AP22" s="2">
        <f t="shared" si="14"/>
        <v>-1375</v>
      </c>
      <c r="AR22" s="2">
        <f t="shared" si="15"/>
        <v>-1375</v>
      </c>
      <c r="AS22" s="2">
        <f>-AR22*'PV IN'!$E$8</f>
        <v>288.75</v>
      </c>
      <c r="AT22" s="2">
        <f>IF('PV IN'!$F$4="Battery Only",0,AM22+AS22)</f>
        <v>12488.282924172707</v>
      </c>
      <c r="AV22" s="10">
        <f t="shared" si="5"/>
        <v>-1150604.3684993652</v>
      </c>
      <c r="AW22" s="2">
        <f>AT22/(1+('PV IN'!$G$9))^(C22)</f>
        <v>11606.96782543052</v>
      </c>
      <c r="AX22" s="2">
        <f>IF(C22&lt;='PV IN'!$O$22*12,AW22+AX21,NA())</f>
        <v>-1204224.5628039713</v>
      </c>
      <c r="AZ22" s="10">
        <f t="shared" si="2"/>
        <v>-1375</v>
      </c>
      <c r="BA22" s="10">
        <f t="shared" si="6"/>
        <v>2261.712806851323</v>
      </c>
      <c r="BB22" s="10">
        <f t="shared" si="7"/>
        <v>886.71280685132297</v>
      </c>
      <c r="BC22" s="10">
        <f t="shared" si="8"/>
        <v>0</v>
      </c>
      <c r="BD22" s="10">
        <f t="shared" si="9"/>
        <v>-1375</v>
      </c>
      <c r="BE22" s="2">
        <f t="shared" si="10"/>
        <v>0</v>
      </c>
      <c r="BF22" s="10">
        <f t="shared" si="11"/>
        <v>-1375</v>
      </c>
      <c r="BG22" s="2">
        <f>-BF22*'PV IN'!$E$8</f>
        <v>288.75</v>
      </c>
      <c r="BH22" s="2">
        <f>IF('PV IN'!$F$4="Battery Only",0,BB22+BG22)</f>
        <v>1175.462806851323</v>
      </c>
      <c r="BI22" s="2">
        <f>BH22/(1+('PV IN'!$G$9))^(C22)</f>
        <v>1092.5087990042778</v>
      </c>
    </row>
    <row r="23" spans="2:61" x14ac:dyDescent="0.25">
      <c r="C23">
        <v>19</v>
      </c>
      <c r="D23" s="16">
        <f>D22*(1+('PV IN'!$G$6/12))</f>
        <v>7.5999999999999998E-2</v>
      </c>
      <c r="E23" s="16">
        <f>LkUP!$U$22</f>
        <v>7.5028226946311755E-2</v>
      </c>
      <c r="F23" s="16">
        <f>IF('PV IN'!$D$7="Table",E23,D23)</f>
        <v>7.5028226946311755E-2</v>
      </c>
      <c r="G23" s="33">
        <f>('PV IN'!$E$25*'PV IN'!$E$18/12)*(1-(1-'PV IN'!$E$27)/(25*12))^C22</f>
        <v>150680.33322089477</v>
      </c>
      <c r="H23" s="33">
        <f>IF('PV IN'!$D$19="YES",G23*'PV IN'!$E$21,0)</f>
        <v>0</v>
      </c>
      <c r="I23" s="33">
        <f>IF('PV IN'!$D$19="YES",'PV IN'!$E$22*BattCalcs!W23,0)</f>
        <v>0</v>
      </c>
      <c r="J23" s="33">
        <f>IF('PV IN'!$D$19="YES",'PV IN'!$E$23*BattCalcs!Y23,0)</f>
        <v>0</v>
      </c>
      <c r="K23" s="33">
        <f>BattCalcs!AF23</f>
        <v>30812.599166666667</v>
      </c>
      <c r="L23" s="33">
        <f t="shared" si="12"/>
        <v>30812.599166666667</v>
      </c>
      <c r="M23" s="33">
        <f>IF('PV IN'!$F$4="PV Only",G23,G23-SUM(H23:J23,L23))</f>
        <v>150680.33322089477</v>
      </c>
      <c r="N23" s="2">
        <f>IF(C23&lt;='PV IN'!$I$12*12,'PV IN'!$E$12*G23/1000,0)</f>
        <v>2260.2049983134216</v>
      </c>
      <c r="O23" s="2">
        <f>IF(AND(C23&gt;'PV IN'!$I$12*12,C23&lt;='PV IN'!$I$13*12+'PV IN'!$I$12*12),'PV IN'!$E$13*PVCalcs!G23/1000,0)</f>
        <v>0</v>
      </c>
      <c r="P23" s="2">
        <f>IF(AND(C23&gt;'PV IN'!$I$12*12+'PV IN'!$I$13*12,C23&lt;='PV IN'!$I$12*12+'PV IN'!$I$13*12+'PV IN'!$I$14*12),'PV IN'!$E$14*PVCalcs!G23/1000,0)</f>
        <v>0</v>
      </c>
      <c r="R23" s="10">
        <f>IF(AND('PV IN'!$D$35="YES",$C23&lt;='PV IN'!$E$35*12),-'PV IN'!$E$18*'PV IN'!$E$34/12,0)</f>
        <v>0</v>
      </c>
      <c r="S23" s="10">
        <f>IF(AND('PV IN'!$D$37="YES",$C23&lt;='PV IN'!$E$37*12),-'PV IN'!$E$18*'PV IN'!$E$36/12,0)</f>
        <v>0</v>
      </c>
      <c r="U23" s="2">
        <f t="shared" si="13"/>
        <v>11305.278237243172</v>
      </c>
      <c r="V23" s="10">
        <f>PVLoan!M50</f>
        <v>0</v>
      </c>
      <c r="W23" s="2">
        <f>IF(C23='PV IN'!$I$40,IF('PV IN'!$G$40="Non-Taxable",'PV IN'!$F$40,0),0)+IF(C23='PV IN'!$I$41,IF('PV IN'!$G$41="Non-Taxable",'PV IN'!$F$41,0),0)</f>
        <v>0</v>
      </c>
      <c r="X23" s="10"/>
      <c r="Y23" s="10">
        <f>IF('PV IN'!$E$15="Non-Taxable",SUM(N23:P23),0)</f>
        <v>2260.2049983134216</v>
      </c>
      <c r="Z23" s="10">
        <f>IF('PV IN'!$E$15="Taxable",SUM(N23:P23),0)</f>
        <v>0</v>
      </c>
      <c r="AA23" s="2">
        <f>IF(C23='PV IN'!$I$40,IF('PV IN'!$G$40="Taxable",'PV IN'!$F$40,0),0)+IF(C23='PV IN'!$I$41,IF('PV IN'!$G$41="Taxable",'PV IN'!$F$41,0),0)</f>
        <v>0</v>
      </c>
      <c r="AD23" s="10">
        <f>IF('PV IN'!$D$48="YES",-U23*'PV IN'!$E$8,0)</f>
        <v>0</v>
      </c>
      <c r="AE23" s="10">
        <f>IF('PV IN'!$N$10="Yes",-PVLoan!H51,-PVLoan!L51)</f>
        <v>0</v>
      </c>
      <c r="AF23" s="10">
        <f>IF('PV IN'!$N$10="Yes",-PVLoan!F51,0)</f>
        <v>0</v>
      </c>
      <c r="AG23" s="10">
        <f>IF(AND('PV IN'!$D$35="YES",$C23&lt;='PV IN'!$E$35*12),0,-'PV IN'!$E$18*'PV IN'!$E$34/12)</f>
        <v>-750</v>
      </c>
      <c r="AH23" s="10">
        <f>IF(AND('PV IN'!$D$37="YES",$C23&lt;='PV IN'!$E$37*12),0,-'PV IN'!$E$18*'PV IN'!$E$36/12)</f>
        <v>-625</v>
      </c>
      <c r="AI23" s="2">
        <f>IF(AND('PV IN'!$D$33="YES",PVCalcs!C23=ROUNDUP('PV IN'!$H$33*12,)),-'PV IN'!$E$33*'PV IN'!$E$18,0)</f>
        <v>0</v>
      </c>
      <c r="AK23" s="2">
        <f t="shared" si="16"/>
        <v>13565.483235556594</v>
      </c>
      <c r="AL23" s="2">
        <f t="shared" si="3"/>
        <v>-1375</v>
      </c>
      <c r="AM23" s="2">
        <f t="shared" si="4"/>
        <v>12190.483235556594</v>
      </c>
      <c r="AN23" s="43"/>
      <c r="AO23" s="2">
        <f t="shared" si="1"/>
        <v>0</v>
      </c>
      <c r="AP23" s="2">
        <f t="shared" si="14"/>
        <v>-1375</v>
      </c>
      <c r="AR23" s="2">
        <f t="shared" si="15"/>
        <v>-1375</v>
      </c>
      <c r="AS23" s="2">
        <f>-AR23*'PV IN'!$E$8</f>
        <v>288.75</v>
      </c>
      <c r="AT23" s="2">
        <f>IF('PV IN'!$F$4="Battery Only",0,AM23+AS23)</f>
        <v>12479.233235556594</v>
      </c>
      <c r="AV23" s="10">
        <f t="shared" si="5"/>
        <v>-1138125.1352638085</v>
      </c>
      <c r="AW23" s="2">
        <f>AT23/(1+('PV IN'!$G$9))^(C23)</f>
        <v>11551.494566887804</v>
      </c>
      <c r="AX23" s="2">
        <f>IF(C23&lt;='PV IN'!$O$22*12,AW23+AX22,NA())</f>
        <v>-1192673.0682370835</v>
      </c>
      <c r="AZ23" s="10">
        <f t="shared" si="2"/>
        <v>-1375</v>
      </c>
      <c r="BA23" s="10">
        <f t="shared" si="6"/>
        <v>2260.204998313422</v>
      </c>
      <c r="BB23" s="10">
        <f t="shared" si="7"/>
        <v>885.20499831342204</v>
      </c>
      <c r="BC23" s="10">
        <f t="shared" si="8"/>
        <v>0</v>
      </c>
      <c r="BD23" s="10">
        <f t="shared" si="9"/>
        <v>-1375</v>
      </c>
      <c r="BE23" s="2">
        <f t="shared" si="10"/>
        <v>0</v>
      </c>
      <c r="BF23" s="10">
        <f t="shared" si="11"/>
        <v>-1375</v>
      </c>
      <c r="BG23" s="2">
        <f>-BF23*'PV IN'!$E$8</f>
        <v>288.75</v>
      </c>
      <c r="BH23" s="2">
        <f>IF('PV IN'!$F$4="Battery Only",0,BB23+BG23)</f>
        <v>1173.954998313422</v>
      </c>
      <c r="BI23" s="2">
        <f>BH23/(1+('PV IN'!$G$9))^(C23)</f>
        <v>1086.6801292045438</v>
      </c>
    </row>
    <row r="24" spans="2:61" x14ac:dyDescent="0.25">
      <c r="C24">
        <v>20</v>
      </c>
      <c r="D24" s="16">
        <f>D23*(1+('PV IN'!$G$6/12))</f>
        <v>7.5999999999999998E-2</v>
      </c>
      <c r="E24" s="16">
        <f>LkUP!$U$22</f>
        <v>7.5028226946311755E-2</v>
      </c>
      <c r="F24" s="16">
        <f>IF('PV IN'!$D$7="Table",E24,D24)</f>
        <v>7.5028226946311755E-2</v>
      </c>
      <c r="G24" s="33">
        <f>('PV IN'!$E$25*'PV IN'!$E$18/12)*(1-(1-'PV IN'!$E$27)/(25*12))^C23</f>
        <v>150579.87966541416</v>
      </c>
      <c r="H24" s="33">
        <f>IF('PV IN'!$D$19="YES",G24*'PV IN'!$E$21,0)</f>
        <v>0</v>
      </c>
      <c r="I24" s="33">
        <f>IF('PV IN'!$D$19="YES",'PV IN'!$E$22*BattCalcs!W24,0)</f>
        <v>0</v>
      </c>
      <c r="J24" s="33">
        <f>IF('PV IN'!$D$19="YES",'PV IN'!$E$23*BattCalcs!Y24,0)</f>
        <v>0</v>
      </c>
      <c r="K24" s="33">
        <f>BattCalcs!AF24</f>
        <v>30812.599166666667</v>
      </c>
      <c r="L24" s="33">
        <f t="shared" si="12"/>
        <v>30812.599166666667</v>
      </c>
      <c r="M24" s="33">
        <f>IF('PV IN'!$F$4="PV Only",G24,G24-SUM(H24:J24,L24))</f>
        <v>150579.87966541416</v>
      </c>
      <c r="N24" s="2">
        <f>IF(C24&lt;='PV IN'!$I$12*12,'PV IN'!$E$12*G24/1000,0)</f>
        <v>2258.6981949812121</v>
      </c>
      <c r="O24" s="2">
        <f>IF(AND(C24&gt;'PV IN'!$I$12*12,C24&lt;='PV IN'!$I$13*12+'PV IN'!$I$12*12),'PV IN'!$E$13*PVCalcs!G24/1000,0)</f>
        <v>0</v>
      </c>
      <c r="P24" s="2">
        <f>IF(AND(C24&gt;'PV IN'!$I$12*12+'PV IN'!$I$13*12,C24&lt;='PV IN'!$I$12*12+'PV IN'!$I$13*12+'PV IN'!$I$14*12),'PV IN'!$E$14*PVCalcs!G24/1000,0)</f>
        <v>0</v>
      </c>
      <c r="R24" s="10">
        <f>IF(AND('PV IN'!$D$35="YES",$C24&lt;='PV IN'!$E$35*12),-'PV IN'!$E$18*'PV IN'!$E$34/12,0)</f>
        <v>0</v>
      </c>
      <c r="S24" s="10">
        <f>IF(AND('PV IN'!$D$37="YES",$C24&lt;='PV IN'!$E$37*12),-'PV IN'!$E$18*'PV IN'!$E$36/12,0)</f>
        <v>0</v>
      </c>
      <c r="U24" s="2">
        <f t="shared" si="13"/>
        <v>11297.741385085008</v>
      </c>
      <c r="V24" s="10">
        <f>PVLoan!M51</f>
        <v>0</v>
      </c>
      <c r="W24" s="2">
        <f>IF(C24='PV IN'!$I$40,IF('PV IN'!$G$40="Non-Taxable",'PV IN'!$F$40,0),0)+IF(C24='PV IN'!$I$41,IF('PV IN'!$G$41="Non-Taxable",'PV IN'!$F$41,0),0)</f>
        <v>0</v>
      </c>
      <c r="X24" s="10"/>
      <c r="Y24" s="10">
        <f>IF('PV IN'!$E$15="Non-Taxable",SUM(N24:P24),0)</f>
        <v>2258.6981949812121</v>
      </c>
      <c r="Z24" s="10">
        <f>IF('PV IN'!$E$15="Taxable",SUM(N24:P24),0)</f>
        <v>0</v>
      </c>
      <c r="AA24" s="2">
        <f>IF(C24='PV IN'!$I$40,IF('PV IN'!$G$40="Taxable",'PV IN'!$F$40,0),0)+IF(C24='PV IN'!$I$41,IF('PV IN'!$G$41="Taxable",'PV IN'!$F$41,0),0)</f>
        <v>0</v>
      </c>
      <c r="AD24" s="10">
        <f>IF('PV IN'!$D$48="YES",-U24*'PV IN'!$E$8,0)</f>
        <v>0</v>
      </c>
      <c r="AE24" s="10">
        <f>IF('PV IN'!$N$10="Yes",-PVLoan!H52,-PVLoan!L52)</f>
        <v>0</v>
      </c>
      <c r="AF24" s="10">
        <f>IF('PV IN'!$N$10="Yes",-PVLoan!F52,0)</f>
        <v>0</v>
      </c>
      <c r="AG24" s="10">
        <f>IF(AND('PV IN'!$D$35="YES",$C24&lt;='PV IN'!$E$35*12),0,-'PV IN'!$E$18*'PV IN'!$E$34/12)</f>
        <v>-750</v>
      </c>
      <c r="AH24" s="10">
        <f>IF(AND('PV IN'!$D$37="YES",$C24&lt;='PV IN'!$E$37*12),0,-'PV IN'!$E$18*'PV IN'!$E$36/12)</f>
        <v>-625</v>
      </c>
      <c r="AI24" s="2">
        <f>IF(AND('PV IN'!$D$33="YES",PVCalcs!C24=ROUNDUP('PV IN'!$H$33*12,)),-'PV IN'!$E$33*'PV IN'!$E$18,0)</f>
        <v>0</v>
      </c>
      <c r="AK24" s="2">
        <f t="shared" si="16"/>
        <v>13556.439580066221</v>
      </c>
      <c r="AL24" s="2">
        <f t="shared" si="3"/>
        <v>-1375</v>
      </c>
      <c r="AM24" s="2">
        <f t="shared" si="4"/>
        <v>12181.439580066221</v>
      </c>
      <c r="AN24" s="43"/>
      <c r="AO24" s="2">
        <f t="shared" si="1"/>
        <v>0</v>
      </c>
      <c r="AP24" s="2">
        <f t="shared" si="14"/>
        <v>-1375</v>
      </c>
      <c r="AR24" s="2">
        <f t="shared" si="15"/>
        <v>-1375</v>
      </c>
      <c r="AS24" s="2">
        <f>-AR24*'PV IN'!$E$8</f>
        <v>288.75</v>
      </c>
      <c r="AT24" s="2">
        <f>IF('PV IN'!$F$4="Battery Only",0,AM24+AS24)</f>
        <v>12470.189580066221</v>
      </c>
      <c r="AV24" s="10">
        <f t="shared" si="5"/>
        <v>-1125654.9456837424</v>
      </c>
      <c r="AW24" s="2">
        <f>AT24/(1+('PV IN'!$G$9))^(C24)</f>
        <v>11496.285948271956</v>
      </c>
      <c r="AX24" s="2">
        <f>IF(C24&lt;='PV IN'!$O$22*12,AW24+AX23,NA())</f>
        <v>-1181176.7822888116</v>
      </c>
      <c r="AZ24" s="10">
        <f t="shared" si="2"/>
        <v>-1375</v>
      </c>
      <c r="BA24" s="10">
        <f t="shared" si="6"/>
        <v>2258.6981949812125</v>
      </c>
      <c r="BB24" s="10">
        <f t="shared" si="7"/>
        <v>883.69819498121251</v>
      </c>
      <c r="BC24" s="10">
        <f t="shared" si="8"/>
        <v>0</v>
      </c>
      <c r="BD24" s="10">
        <f t="shared" si="9"/>
        <v>-1375</v>
      </c>
      <c r="BE24" s="2">
        <f t="shared" si="10"/>
        <v>0</v>
      </c>
      <c r="BF24" s="10">
        <f t="shared" si="11"/>
        <v>-1375</v>
      </c>
      <c r="BG24" s="2">
        <f>-BF24*'PV IN'!$E$8</f>
        <v>288.75</v>
      </c>
      <c r="BH24" s="2">
        <f>IF('PV IN'!$F$4="Battery Only",0,BB24+BG24)</f>
        <v>1172.4481949812125</v>
      </c>
      <c r="BI24" s="2">
        <f>BH24/(1+('PV IN'!$G$9))^(C24)</f>
        <v>1080.88169971252</v>
      </c>
    </row>
    <row r="25" spans="2:61" x14ac:dyDescent="0.25">
      <c r="C25">
        <v>21</v>
      </c>
      <c r="D25" s="16">
        <f>D24*(1+('PV IN'!$G$6/12))</f>
        <v>7.5999999999999998E-2</v>
      </c>
      <c r="E25" s="16">
        <f>LkUP!$U$22</f>
        <v>7.5028226946311755E-2</v>
      </c>
      <c r="F25" s="16">
        <f>IF('PV IN'!$D$7="Table",E25,D25)</f>
        <v>7.5028226946311755E-2</v>
      </c>
      <c r="G25" s="33">
        <f>('PV IN'!$E$25*'PV IN'!$E$18/12)*(1-(1-'PV IN'!$E$27)/(25*12))^C24</f>
        <v>150479.49307897055</v>
      </c>
      <c r="H25" s="33">
        <f>IF('PV IN'!$D$19="YES",G25*'PV IN'!$E$21,0)</f>
        <v>0</v>
      </c>
      <c r="I25" s="33">
        <f>IF('PV IN'!$D$19="YES",'PV IN'!$E$22*BattCalcs!W25,0)</f>
        <v>0</v>
      </c>
      <c r="J25" s="33">
        <f>IF('PV IN'!$D$19="YES",'PV IN'!$E$23*BattCalcs!Y25,0)</f>
        <v>0</v>
      </c>
      <c r="K25" s="33">
        <f>BattCalcs!AF25</f>
        <v>30812.599166666667</v>
      </c>
      <c r="L25" s="33">
        <f t="shared" si="12"/>
        <v>30812.599166666667</v>
      </c>
      <c r="M25" s="33">
        <f>IF('PV IN'!$F$4="PV Only",G25,G25-SUM(H25:J25,L25))</f>
        <v>150479.49307897055</v>
      </c>
      <c r="N25" s="2">
        <f>IF(C25&lt;='PV IN'!$I$12*12,'PV IN'!$E$12*G25/1000,0)</f>
        <v>2257.1923961845587</v>
      </c>
      <c r="O25" s="2">
        <f>IF(AND(C25&gt;'PV IN'!$I$12*12,C25&lt;='PV IN'!$I$13*12+'PV IN'!$I$12*12),'PV IN'!$E$13*PVCalcs!G25/1000,0)</f>
        <v>0</v>
      </c>
      <c r="P25" s="2">
        <f>IF(AND(C25&gt;'PV IN'!$I$12*12+'PV IN'!$I$13*12,C25&lt;='PV IN'!$I$12*12+'PV IN'!$I$13*12+'PV IN'!$I$14*12),'PV IN'!$E$14*PVCalcs!G25/1000,0)</f>
        <v>0</v>
      </c>
      <c r="R25" s="10">
        <f>IF(AND('PV IN'!$D$35="YES",$C25&lt;='PV IN'!$E$35*12),-'PV IN'!$E$18*'PV IN'!$E$34/12,0)</f>
        <v>0</v>
      </c>
      <c r="S25" s="10">
        <f>IF(AND('PV IN'!$D$37="YES",$C25&lt;='PV IN'!$E$37*12),-'PV IN'!$E$18*'PV IN'!$E$36/12,0)</f>
        <v>0</v>
      </c>
      <c r="U25" s="2">
        <f t="shared" si="13"/>
        <v>11290.209557494953</v>
      </c>
      <c r="V25" s="10">
        <f>PVLoan!M52</f>
        <v>0</v>
      </c>
      <c r="W25" s="2">
        <f>IF(C25='PV IN'!$I$40,IF('PV IN'!$G$40="Non-Taxable",'PV IN'!$F$40,0),0)+IF(C25='PV IN'!$I$41,IF('PV IN'!$G$41="Non-Taxable",'PV IN'!$F$41,0),0)</f>
        <v>0</v>
      </c>
      <c r="X25" s="10"/>
      <c r="Y25" s="10">
        <f>IF('PV IN'!$E$15="Non-Taxable",SUM(N25:P25),0)</f>
        <v>2257.1923961845587</v>
      </c>
      <c r="Z25" s="10">
        <f>IF('PV IN'!$E$15="Taxable",SUM(N25:P25),0)</f>
        <v>0</v>
      </c>
      <c r="AA25" s="2">
        <f>IF(C25='PV IN'!$I$40,IF('PV IN'!$G$40="Taxable",'PV IN'!$F$40,0),0)+IF(C25='PV IN'!$I$41,IF('PV IN'!$G$41="Taxable",'PV IN'!$F$41,0),0)</f>
        <v>0</v>
      </c>
      <c r="AD25" s="10">
        <f>IF('PV IN'!$D$48="YES",-U25*'PV IN'!$E$8,0)</f>
        <v>0</v>
      </c>
      <c r="AE25" s="10">
        <f>IF('PV IN'!$N$10="Yes",-PVLoan!H53,-PVLoan!L53)</f>
        <v>0</v>
      </c>
      <c r="AF25" s="10">
        <f>IF('PV IN'!$N$10="Yes",-PVLoan!F53,0)</f>
        <v>0</v>
      </c>
      <c r="AG25" s="10">
        <f>IF(AND('PV IN'!$D$35="YES",$C25&lt;='PV IN'!$E$35*12),0,-'PV IN'!$E$18*'PV IN'!$E$34/12)</f>
        <v>-750</v>
      </c>
      <c r="AH25" s="10">
        <f>IF(AND('PV IN'!$D$37="YES",$C25&lt;='PV IN'!$E$37*12),0,-'PV IN'!$E$18*'PV IN'!$E$36/12)</f>
        <v>-625</v>
      </c>
      <c r="AI25" s="2">
        <f>IF(AND('PV IN'!$D$33="YES",PVCalcs!C25=ROUNDUP('PV IN'!$H$33*12,)),-'PV IN'!$E$33*'PV IN'!$E$18,0)</f>
        <v>0</v>
      </c>
      <c r="AK25" s="2">
        <f t="shared" si="16"/>
        <v>13547.401953679511</v>
      </c>
      <c r="AL25" s="2">
        <f t="shared" si="3"/>
        <v>-1375</v>
      </c>
      <c r="AM25" s="2">
        <f t="shared" si="4"/>
        <v>12172.401953679511</v>
      </c>
      <c r="AN25" s="43"/>
      <c r="AO25" s="2">
        <f t="shared" si="1"/>
        <v>0</v>
      </c>
      <c r="AP25" s="2">
        <f t="shared" si="14"/>
        <v>-1375</v>
      </c>
      <c r="AR25" s="2">
        <f t="shared" si="15"/>
        <v>-1375</v>
      </c>
      <c r="AS25" s="2">
        <f>-AR25*'PV IN'!$E$8</f>
        <v>288.75</v>
      </c>
      <c r="AT25" s="2">
        <f>IF('PV IN'!$F$4="Battery Only",0,AM25+AS25)</f>
        <v>12461.151953679511</v>
      </c>
      <c r="AV25" s="10">
        <f t="shared" si="5"/>
        <v>-1113193.7937300629</v>
      </c>
      <c r="AW25" s="2">
        <f>AT25/(1+('PV IN'!$G$9))^(C25)</f>
        <v>11441.340709034852</v>
      </c>
      <c r="AX25" s="2">
        <f>IF(C25&lt;='PV IN'!$O$22*12,AW25+AX24,NA())</f>
        <v>-1169735.4415797768</v>
      </c>
      <c r="AZ25" s="10">
        <f t="shared" si="2"/>
        <v>-1375</v>
      </c>
      <c r="BA25" s="10">
        <f t="shared" si="6"/>
        <v>2257.1923961845587</v>
      </c>
      <c r="BB25" s="10">
        <f t="shared" si="7"/>
        <v>882.19239618455867</v>
      </c>
      <c r="BC25" s="10">
        <f t="shared" si="8"/>
        <v>0</v>
      </c>
      <c r="BD25" s="10">
        <f t="shared" si="9"/>
        <v>-1375</v>
      </c>
      <c r="BE25" s="2">
        <f t="shared" si="10"/>
        <v>0</v>
      </c>
      <c r="BF25" s="10">
        <f t="shared" si="11"/>
        <v>-1375</v>
      </c>
      <c r="BG25" s="2">
        <f>-BF25*'PV IN'!$E$8</f>
        <v>288.75</v>
      </c>
      <c r="BH25" s="2">
        <f>IF('PV IN'!$F$4="Battery Only",0,BB25+BG25)</f>
        <v>1170.9423961845587</v>
      </c>
      <c r="BI25" s="2">
        <f>BH25/(1+('PV IN'!$G$9))^(C25)</f>
        <v>1075.1133567105981</v>
      </c>
    </row>
    <row r="26" spans="2:61" x14ac:dyDescent="0.25">
      <c r="C26">
        <v>22</v>
      </c>
      <c r="D26" s="16">
        <f>D25*(1+('PV IN'!$G$6/12))</f>
        <v>7.5999999999999998E-2</v>
      </c>
      <c r="E26" s="16">
        <f>LkUP!$U$22</f>
        <v>7.5028226946311755E-2</v>
      </c>
      <c r="F26" s="16">
        <f>IF('PV IN'!$D$7="Table",E26,D26)</f>
        <v>7.5028226946311755E-2</v>
      </c>
      <c r="G26" s="33">
        <f>('PV IN'!$E$25*'PV IN'!$E$18/12)*(1-(1-'PV IN'!$E$27)/(25*12))^C25</f>
        <v>150379.17341691788</v>
      </c>
      <c r="H26" s="33">
        <f>IF('PV IN'!$D$19="YES",G26*'PV IN'!$E$21,0)</f>
        <v>0</v>
      </c>
      <c r="I26" s="33">
        <f>IF('PV IN'!$D$19="YES",'PV IN'!$E$22*BattCalcs!W26,0)</f>
        <v>0</v>
      </c>
      <c r="J26" s="33">
        <f>IF('PV IN'!$D$19="YES",'PV IN'!$E$23*BattCalcs!Y26,0)</f>
        <v>0</v>
      </c>
      <c r="K26" s="33">
        <f>BattCalcs!AF26</f>
        <v>30812.599166666667</v>
      </c>
      <c r="L26" s="33">
        <f t="shared" si="12"/>
        <v>30812.599166666667</v>
      </c>
      <c r="M26" s="33">
        <f>IF('PV IN'!$F$4="PV Only",G26,G26-SUM(H26:J26,L26))</f>
        <v>150379.17341691788</v>
      </c>
      <c r="N26" s="2">
        <f>IF(C26&lt;='PV IN'!$I$12*12,'PV IN'!$E$12*G26/1000,0)</f>
        <v>2255.6876012537682</v>
      </c>
      <c r="O26" s="2">
        <f>IF(AND(C26&gt;'PV IN'!$I$12*12,C26&lt;='PV IN'!$I$13*12+'PV IN'!$I$12*12),'PV IN'!$E$13*PVCalcs!G26/1000,0)</f>
        <v>0</v>
      </c>
      <c r="P26" s="2">
        <f>IF(AND(C26&gt;'PV IN'!$I$12*12+'PV IN'!$I$13*12,C26&lt;='PV IN'!$I$12*12+'PV IN'!$I$13*12+'PV IN'!$I$14*12),'PV IN'!$E$14*PVCalcs!G26/1000,0)</f>
        <v>0</v>
      </c>
      <c r="R26" s="10">
        <f>IF(AND('PV IN'!$D$35="YES",$C26&lt;='PV IN'!$E$35*12),-'PV IN'!$E$18*'PV IN'!$E$34/12,0)</f>
        <v>0</v>
      </c>
      <c r="S26" s="10">
        <f>IF(AND('PV IN'!$D$37="YES",$C26&lt;='PV IN'!$E$37*12),-'PV IN'!$E$18*'PV IN'!$E$36/12,0)</f>
        <v>0</v>
      </c>
      <c r="U26" s="2">
        <f t="shared" si="13"/>
        <v>11282.682751123286</v>
      </c>
      <c r="V26" s="10">
        <f>PVLoan!M53</f>
        <v>0</v>
      </c>
      <c r="W26" s="2">
        <f>IF(C26='PV IN'!$I$40,IF('PV IN'!$G$40="Non-Taxable",'PV IN'!$F$40,0),0)+IF(C26='PV IN'!$I$41,IF('PV IN'!$G$41="Non-Taxable",'PV IN'!$F$41,0),0)</f>
        <v>0</v>
      </c>
      <c r="X26" s="10"/>
      <c r="Y26" s="10">
        <f>IF('PV IN'!$E$15="Non-Taxable",SUM(N26:P26),0)</f>
        <v>2255.6876012537682</v>
      </c>
      <c r="Z26" s="10">
        <f>IF('PV IN'!$E$15="Taxable",SUM(N26:P26),0)</f>
        <v>0</v>
      </c>
      <c r="AA26" s="2">
        <f>IF(C26='PV IN'!$I$40,IF('PV IN'!$G$40="Taxable",'PV IN'!$F$40,0),0)+IF(C26='PV IN'!$I$41,IF('PV IN'!$G$41="Taxable",'PV IN'!$F$41,0),0)</f>
        <v>0</v>
      </c>
      <c r="AD26" s="10">
        <f>IF('PV IN'!$D$48="YES",-U26*'PV IN'!$E$8,0)</f>
        <v>0</v>
      </c>
      <c r="AE26" s="10">
        <f>IF('PV IN'!$N$10="Yes",-PVLoan!H54,-PVLoan!L54)</f>
        <v>0</v>
      </c>
      <c r="AF26" s="10">
        <f>IF('PV IN'!$N$10="Yes",-PVLoan!F54,0)</f>
        <v>0</v>
      </c>
      <c r="AG26" s="10">
        <f>IF(AND('PV IN'!$D$35="YES",$C26&lt;='PV IN'!$E$35*12),0,-'PV IN'!$E$18*'PV IN'!$E$34/12)</f>
        <v>-750</v>
      </c>
      <c r="AH26" s="10">
        <f>IF(AND('PV IN'!$D$37="YES",$C26&lt;='PV IN'!$E$37*12),0,-'PV IN'!$E$18*'PV IN'!$E$36/12)</f>
        <v>-625</v>
      </c>
      <c r="AI26" s="2">
        <f>IF(AND('PV IN'!$D$33="YES",PVCalcs!C26=ROUNDUP('PV IN'!$H$33*12,)),-'PV IN'!$E$33*'PV IN'!$E$18,0)</f>
        <v>0</v>
      </c>
      <c r="AK26" s="2">
        <f t="shared" si="16"/>
        <v>13538.370352377055</v>
      </c>
      <c r="AL26" s="2">
        <f t="shared" si="3"/>
        <v>-1375</v>
      </c>
      <c r="AM26" s="2">
        <f t="shared" si="4"/>
        <v>12163.370352377055</v>
      </c>
      <c r="AN26" s="43"/>
      <c r="AO26" s="2">
        <f t="shared" si="1"/>
        <v>0</v>
      </c>
      <c r="AP26" s="2">
        <f t="shared" si="14"/>
        <v>-1375</v>
      </c>
      <c r="AR26" s="2">
        <f t="shared" si="15"/>
        <v>-1375</v>
      </c>
      <c r="AS26" s="2">
        <f>-AR26*'PV IN'!$E$8</f>
        <v>288.75</v>
      </c>
      <c r="AT26" s="2">
        <f>IF('PV IN'!$F$4="Battery Only",0,AM26+AS26)</f>
        <v>12452.120352377055</v>
      </c>
      <c r="AV26" s="10">
        <f t="shared" si="5"/>
        <v>-1100741.6733776859</v>
      </c>
      <c r="AW26" s="2">
        <f>AT26/(1+('PV IN'!$G$9))^(C26)</f>
        <v>11386.657594624883</v>
      </c>
      <c r="AX26" s="2">
        <f>IF(C26&lt;='PV IN'!$O$22*12,AW26+AX25,NA())</f>
        <v>-1158348.7839851519</v>
      </c>
      <c r="AZ26" s="10">
        <f t="shared" si="2"/>
        <v>-1375</v>
      </c>
      <c r="BA26" s="10">
        <f t="shared" si="6"/>
        <v>2255.6876012537687</v>
      </c>
      <c r="BB26" s="10">
        <f t="shared" si="7"/>
        <v>880.68760125376866</v>
      </c>
      <c r="BC26" s="10">
        <f t="shared" si="8"/>
        <v>0</v>
      </c>
      <c r="BD26" s="10">
        <f t="shared" si="9"/>
        <v>-1375</v>
      </c>
      <c r="BE26" s="2">
        <f t="shared" si="10"/>
        <v>0</v>
      </c>
      <c r="BF26" s="10">
        <f t="shared" si="11"/>
        <v>-1375</v>
      </c>
      <c r="BG26" s="2">
        <f>-BF26*'PV IN'!$E$8</f>
        <v>288.75</v>
      </c>
      <c r="BH26" s="2">
        <f>IF('PV IN'!$F$4="Battery Only",0,BB26+BG26)</f>
        <v>1169.4376012537687</v>
      </c>
      <c r="BI26" s="2">
        <f>BH26/(1+('PV IN'!$G$9))^(C26)</f>
        <v>1069.3749471522067</v>
      </c>
    </row>
    <row r="27" spans="2:61" x14ac:dyDescent="0.25">
      <c r="C27">
        <v>23</v>
      </c>
      <c r="D27" s="16">
        <f>D26*(1+('PV IN'!$G$6/12))</f>
        <v>7.5999999999999998E-2</v>
      </c>
      <c r="E27" s="16">
        <f>LkUP!$U$22</f>
        <v>7.5028226946311755E-2</v>
      </c>
      <c r="F27" s="16">
        <f>IF('PV IN'!$D$7="Table",E27,D27)</f>
        <v>7.5028226946311755E-2</v>
      </c>
      <c r="G27" s="33">
        <f>('PV IN'!$E$25*'PV IN'!$E$18/12)*(1-(1-'PV IN'!$E$27)/(25*12))^C26</f>
        <v>150278.92063463994</v>
      </c>
      <c r="H27" s="33">
        <f>IF('PV IN'!$D$19="YES",G27*'PV IN'!$E$21,0)</f>
        <v>0</v>
      </c>
      <c r="I27" s="33">
        <f>IF('PV IN'!$D$19="YES",'PV IN'!$E$22*BattCalcs!W27,0)</f>
        <v>0</v>
      </c>
      <c r="J27" s="33">
        <f>IF('PV IN'!$D$19="YES",'PV IN'!$E$23*BattCalcs!Y27,0)</f>
        <v>0</v>
      </c>
      <c r="K27" s="33">
        <f>BattCalcs!AF27</f>
        <v>30812.599166666667</v>
      </c>
      <c r="L27" s="33">
        <f t="shared" si="12"/>
        <v>30812.599166666667</v>
      </c>
      <c r="M27" s="33">
        <f>IF('PV IN'!$F$4="PV Only",G27,G27-SUM(H27:J27,L27))</f>
        <v>150278.92063463994</v>
      </c>
      <c r="N27" s="2">
        <f>IF(C27&lt;='PV IN'!$I$12*12,'PV IN'!$E$12*G27/1000,0)</f>
        <v>2254.183809519599</v>
      </c>
      <c r="O27" s="2">
        <f>IF(AND(C27&gt;'PV IN'!$I$12*12,C27&lt;='PV IN'!$I$13*12+'PV IN'!$I$12*12),'PV IN'!$E$13*PVCalcs!G27/1000,0)</f>
        <v>0</v>
      </c>
      <c r="P27" s="2">
        <f>IF(AND(C27&gt;'PV IN'!$I$12*12+'PV IN'!$I$13*12,C27&lt;='PV IN'!$I$12*12+'PV IN'!$I$13*12+'PV IN'!$I$14*12),'PV IN'!$E$14*PVCalcs!G27/1000,0)</f>
        <v>0</v>
      </c>
      <c r="R27" s="10">
        <f>IF(AND('PV IN'!$D$35="YES",$C27&lt;='PV IN'!$E$35*12),-'PV IN'!$E$18*'PV IN'!$E$34/12,0)</f>
        <v>0</v>
      </c>
      <c r="S27" s="10">
        <f>IF(AND('PV IN'!$D$37="YES",$C27&lt;='PV IN'!$E$37*12),-'PV IN'!$E$18*'PV IN'!$E$36/12,0)</f>
        <v>0</v>
      </c>
      <c r="U27" s="2">
        <f t="shared" si="13"/>
        <v>11275.160962622538</v>
      </c>
      <c r="V27" s="10">
        <f>PVLoan!M54</f>
        <v>0</v>
      </c>
      <c r="W27" s="2">
        <f>IF(C27='PV IN'!$I$40,IF('PV IN'!$G$40="Non-Taxable",'PV IN'!$F$40,0),0)+IF(C27='PV IN'!$I$41,IF('PV IN'!$G$41="Non-Taxable",'PV IN'!$F$41,0),0)</f>
        <v>0</v>
      </c>
      <c r="X27" s="10"/>
      <c r="Y27" s="10">
        <f>IF('PV IN'!$E$15="Non-Taxable",SUM(N27:P27),0)</f>
        <v>2254.183809519599</v>
      </c>
      <c r="Z27" s="10">
        <f>IF('PV IN'!$E$15="Taxable",SUM(N27:P27),0)</f>
        <v>0</v>
      </c>
      <c r="AA27" s="2">
        <f>IF(C27='PV IN'!$I$40,IF('PV IN'!$G$40="Taxable",'PV IN'!$F$40,0),0)+IF(C27='PV IN'!$I$41,IF('PV IN'!$G$41="Taxable",'PV IN'!$F$41,0),0)</f>
        <v>0</v>
      </c>
      <c r="AD27" s="10">
        <f>IF('PV IN'!$D$48="YES",-U27*'PV IN'!$E$8,0)</f>
        <v>0</v>
      </c>
      <c r="AE27" s="10">
        <f>IF('PV IN'!$N$10="Yes",-PVLoan!H55,-PVLoan!L55)</f>
        <v>0</v>
      </c>
      <c r="AF27" s="10">
        <f>IF('PV IN'!$N$10="Yes",-PVLoan!F55,0)</f>
        <v>0</v>
      </c>
      <c r="AG27" s="10">
        <f>IF(AND('PV IN'!$D$35="YES",$C27&lt;='PV IN'!$E$35*12),0,-'PV IN'!$E$18*'PV IN'!$E$34/12)</f>
        <v>-750</v>
      </c>
      <c r="AH27" s="10">
        <f>IF(AND('PV IN'!$D$37="YES",$C27&lt;='PV IN'!$E$37*12),0,-'PV IN'!$E$18*'PV IN'!$E$36/12)</f>
        <v>-625</v>
      </c>
      <c r="AI27" s="2">
        <f>IF(AND('PV IN'!$D$33="YES",PVCalcs!C27=ROUNDUP('PV IN'!$H$33*12,)),-'PV IN'!$E$33*'PV IN'!$E$18,0)</f>
        <v>0</v>
      </c>
      <c r="AK27" s="2">
        <f t="shared" si="16"/>
        <v>13529.344772142136</v>
      </c>
      <c r="AL27" s="2">
        <f t="shared" si="3"/>
        <v>-1375</v>
      </c>
      <c r="AM27" s="2">
        <f t="shared" si="4"/>
        <v>12154.344772142136</v>
      </c>
      <c r="AN27" s="43"/>
      <c r="AO27" s="2">
        <f t="shared" si="1"/>
        <v>0</v>
      </c>
      <c r="AP27" s="2">
        <f t="shared" si="14"/>
        <v>-1375</v>
      </c>
      <c r="AR27" s="2">
        <f t="shared" si="15"/>
        <v>-1375</v>
      </c>
      <c r="AS27" s="2">
        <f>-AR27*'PV IN'!$E$8</f>
        <v>288.75</v>
      </c>
      <c r="AT27" s="2">
        <f>IF('PV IN'!$F$4="Battery Only",0,AM27+AS27)</f>
        <v>12443.094772142136</v>
      </c>
      <c r="AV27" s="10">
        <f t="shared" si="5"/>
        <v>-1088298.5786055438</v>
      </c>
      <c r="AW27" s="2">
        <f>AT27/(1+('PV IN'!$G$9))^(C27)</f>
        <v>11332.23535645849</v>
      </c>
      <c r="AX27" s="2">
        <f>IF(C27&lt;='PV IN'!$O$22*12,AW27+AX26,NA())</f>
        <v>-1147016.5486286934</v>
      </c>
      <c r="AZ27" s="10">
        <f t="shared" si="2"/>
        <v>-1375</v>
      </c>
      <c r="BA27" s="10">
        <f t="shared" si="6"/>
        <v>2254.1838095195981</v>
      </c>
      <c r="BB27" s="10">
        <f t="shared" si="7"/>
        <v>879.18380951959807</v>
      </c>
      <c r="BC27" s="10">
        <f t="shared" si="8"/>
        <v>0</v>
      </c>
      <c r="BD27" s="10">
        <f t="shared" si="9"/>
        <v>-1375</v>
      </c>
      <c r="BE27" s="2">
        <f t="shared" si="10"/>
        <v>0</v>
      </c>
      <c r="BF27" s="10">
        <f t="shared" si="11"/>
        <v>-1375</v>
      </c>
      <c r="BG27" s="2">
        <f>-BF27*'PV IN'!$E$8</f>
        <v>288.75</v>
      </c>
      <c r="BH27" s="2">
        <f>IF('PV IN'!$F$4="Battery Only",0,BB27+BG27)</f>
        <v>1167.9338095195981</v>
      </c>
      <c r="BI27" s="2">
        <f>BH27/(1+('PV IN'!$G$9))^(C27)</f>
        <v>1063.6663187579923</v>
      </c>
    </row>
    <row r="28" spans="2:61" x14ac:dyDescent="0.25">
      <c r="B28">
        <v>2</v>
      </c>
      <c r="C28">
        <v>24</v>
      </c>
      <c r="D28" s="16">
        <f>D27*(1+('PV IN'!$G$6/12))</f>
        <v>7.5999999999999998E-2</v>
      </c>
      <c r="E28" s="16">
        <f>LkUP!$U$22</f>
        <v>7.5028226946311755E-2</v>
      </c>
      <c r="F28" s="16">
        <f>IF('PV IN'!$D$7="Table",E28,D28)</f>
        <v>7.5028226946311755E-2</v>
      </c>
      <c r="G28" s="33">
        <f>('PV IN'!$E$25*'PV IN'!$E$18/12)*(1-(1-'PV IN'!$E$27)/(25*12))^C27</f>
        <v>150178.73468755017</v>
      </c>
      <c r="H28" s="33">
        <f>IF('PV IN'!$D$19="YES",G28*'PV IN'!$E$21,0)</f>
        <v>0</v>
      </c>
      <c r="I28" s="33">
        <f>IF('PV IN'!$D$19="YES",'PV IN'!$E$22*BattCalcs!W28,0)</f>
        <v>0</v>
      </c>
      <c r="J28" s="33">
        <f>IF('PV IN'!$D$19="YES",'PV IN'!$E$23*BattCalcs!Y28,0)</f>
        <v>0</v>
      </c>
      <c r="K28" s="33">
        <f>BattCalcs!AF28</f>
        <v>30812.599166666667</v>
      </c>
      <c r="L28" s="33">
        <f t="shared" si="12"/>
        <v>30812.599166666667</v>
      </c>
      <c r="M28" s="33">
        <f>IF('PV IN'!$F$4="PV Only",G28,G28-SUM(H28:J28,L28))</f>
        <v>150178.73468755017</v>
      </c>
      <c r="N28" s="2">
        <f>IF(C28&lt;='PV IN'!$I$12*12,'PV IN'!$E$12*G28/1000,0)</f>
        <v>2252.6810203132527</v>
      </c>
      <c r="O28" s="2">
        <f>IF(AND(C28&gt;'PV IN'!$I$12*12,C28&lt;='PV IN'!$I$13*12+'PV IN'!$I$12*12),'PV IN'!$E$13*PVCalcs!G28/1000,0)</f>
        <v>0</v>
      </c>
      <c r="P28" s="2">
        <f>IF(AND(C28&gt;'PV IN'!$I$12*12+'PV IN'!$I$13*12,C28&lt;='PV IN'!$I$12*12+'PV IN'!$I$13*12+'PV IN'!$I$14*12),'PV IN'!$E$14*PVCalcs!G28/1000,0)</f>
        <v>0</v>
      </c>
      <c r="R28" s="10">
        <f>IF(AND('PV IN'!$D$35="YES",$C28&lt;='PV IN'!$E$35*12),-'PV IN'!$E$18*'PV IN'!$E$34/12,0)</f>
        <v>0</v>
      </c>
      <c r="S28" s="10">
        <f>IF(AND('PV IN'!$D$37="YES",$C28&lt;='PV IN'!$E$37*12),-'PV IN'!$E$18*'PV IN'!$E$36/12,0)</f>
        <v>0</v>
      </c>
      <c r="U28" s="2">
        <f t="shared" si="13"/>
        <v>11267.644188647455</v>
      </c>
      <c r="V28" s="10">
        <f>PVLoan!M55</f>
        <v>0</v>
      </c>
      <c r="W28" s="2">
        <f>IF(C28='PV IN'!$I$40,IF('PV IN'!$G$40="Non-Taxable",'PV IN'!$F$40,0),0)+IF(C28='PV IN'!$I$41,IF('PV IN'!$G$41="Non-Taxable",'PV IN'!$F$41,0),0)</f>
        <v>0</v>
      </c>
      <c r="Y28" s="10">
        <f>IF('PV IN'!$E$15="Non-Taxable",SUM(N28:P28),0)</f>
        <v>2252.6810203132527</v>
      </c>
      <c r="Z28" s="10">
        <f>IF('PV IN'!$E$15="Taxable",SUM(N28:P28),0)</f>
        <v>0</v>
      </c>
      <c r="AA28" s="2">
        <f>IF(C28='PV IN'!$I$40,IF('PV IN'!$G$40="Taxable",'PV IN'!$F$40,0),0)+IF(C28='PV IN'!$I$41,IF('PV IN'!$G$41="Taxable",'PV IN'!$F$41,0),0)</f>
        <v>0</v>
      </c>
      <c r="AD28" s="10">
        <f>IF('PV IN'!$D$48="YES",-U28*'PV IN'!$E$8,0)</f>
        <v>0</v>
      </c>
      <c r="AE28" s="10">
        <f>IF('PV IN'!$N$10="Yes",-PVLoan!H56,-PVLoan!L56)</f>
        <v>0</v>
      </c>
      <c r="AF28" s="10">
        <f>IF('PV IN'!$N$10="Yes",-PVLoan!F56,0)</f>
        <v>0</v>
      </c>
      <c r="AG28" s="10">
        <f>IF(AND('PV IN'!$D$35="YES",$C28&lt;='PV IN'!$E$35*12),0,-'PV IN'!$E$18*'PV IN'!$E$34/12)</f>
        <v>-750</v>
      </c>
      <c r="AH28" s="10">
        <f>IF(AND('PV IN'!$D$37="YES",$C28&lt;='PV IN'!$E$37*12),0,-'PV IN'!$E$18*'PV IN'!$E$36/12)</f>
        <v>-625</v>
      </c>
      <c r="AI28" s="2">
        <f>IF(AND('PV IN'!$D$33="YES",PVCalcs!C28=ROUNDUP('PV IN'!$H$33*12,)),-'PV IN'!$E$33*'PV IN'!$E$18,0)</f>
        <v>0</v>
      </c>
      <c r="AK28" s="2">
        <f t="shared" si="16"/>
        <v>13520.325208960709</v>
      </c>
      <c r="AL28" s="2">
        <f t="shared" si="3"/>
        <v>-1375</v>
      </c>
      <c r="AM28" s="2">
        <f t="shared" si="4"/>
        <v>12145.325208960709</v>
      </c>
      <c r="AN28" s="43"/>
      <c r="AO28" s="2">
        <f t="shared" si="1"/>
        <v>0</v>
      </c>
      <c r="AP28" s="2">
        <f t="shared" si="14"/>
        <v>-1375</v>
      </c>
      <c r="AQ28" s="2">
        <f>-Depr.!F8</f>
        <v>-632400</v>
      </c>
      <c r="AR28" s="2">
        <f t="shared" si="15"/>
        <v>-633775</v>
      </c>
      <c r="AS28" s="2">
        <f>-AR28*'PV IN'!$E$8</f>
        <v>133092.75</v>
      </c>
      <c r="AT28" s="2">
        <f>IF('PV IN'!$F$4="Battery Only",0,AM28+AS28)</f>
        <v>145238.07520896071</v>
      </c>
      <c r="AV28" s="10">
        <f t="shared" si="5"/>
        <v>-943060.50339658314</v>
      </c>
      <c r="AW28" s="2">
        <f>AT28/(1+('PV IN'!$G$9))^(C28)</f>
        <v>131735.21560903438</v>
      </c>
      <c r="AX28" s="2">
        <f>IF(C28&lt;='PV IN'!$O$22*12,AW28+AX27,NA())</f>
        <v>-1015281.333019659</v>
      </c>
      <c r="AZ28" s="10">
        <f t="shared" si="2"/>
        <v>-1375</v>
      </c>
      <c r="BA28" s="10">
        <f t="shared" si="6"/>
        <v>2252.6810203132536</v>
      </c>
      <c r="BB28" s="10">
        <f t="shared" si="7"/>
        <v>877.68102031325361</v>
      </c>
      <c r="BC28" s="10">
        <f t="shared" si="8"/>
        <v>0</v>
      </c>
      <c r="BD28" s="10">
        <f t="shared" si="9"/>
        <v>-1375</v>
      </c>
      <c r="BE28" s="2">
        <f t="shared" si="10"/>
        <v>-632400</v>
      </c>
      <c r="BF28" s="10">
        <f t="shared" si="11"/>
        <v>-633775</v>
      </c>
      <c r="BG28" s="2">
        <f>-BF28*'PV IN'!$E$8</f>
        <v>133092.75</v>
      </c>
      <c r="BH28" s="2">
        <f>IF('PV IN'!$F$4="Battery Only",0,BB28+BG28)</f>
        <v>133970.43102031326</v>
      </c>
      <c r="BI28" s="2">
        <f>BH28/(1+('PV IN'!$G$9))^(C28)</f>
        <v>121515.13017715461</v>
      </c>
    </row>
    <row r="29" spans="2:61" x14ac:dyDescent="0.25">
      <c r="C29">
        <v>25</v>
      </c>
      <c r="D29" s="16">
        <f>D28*(1+('PV IN'!$G$6/12))</f>
        <v>7.5999999999999998E-2</v>
      </c>
      <c r="E29" s="16">
        <f>LkUP!$U$23</f>
        <v>7.5127691152510362E-2</v>
      </c>
      <c r="F29" s="16">
        <f>IF('PV IN'!$D$7="Table",E29,D29)</f>
        <v>7.5127691152510362E-2</v>
      </c>
      <c r="G29" s="33">
        <f>('PV IN'!$E$25*'PV IN'!$E$18/12)*(1-(1-'PV IN'!$E$27)/(25*12))^C28</f>
        <v>150078.61553109181</v>
      </c>
      <c r="H29" s="33">
        <f>IF('PV IN'!$D$19="YES",G29*'PV IN'!$E$21,0)</f>
        <v>0</v>
      </c>
      <c r="I29" s="33">
        <f>IF('PV IN'!$D$19="YES",'PV IN'!$E$22*BattCalcs!W29,0)</f>
        <v>0</v>
      </c>
      <c r="J29" s="33">
        <f>IF('PV IN'!$D$19="YES",'PV IN'!$E$23*BattCalcs!Y29,0)</f>
        <v>0</v>
      </c>
      <c r="K29" s="33">
        <f>BattCalcs!AF29</f>
        <v>30812.599166666667</v>
      </c>
      <c r="L29" s="33">
        <f t="shared" si="12"/>
        <v>30812.599166666667</v>
      </c>
      <c r="M29" s="33">
        <f>IF('PV IN'!$F$4="PV Only",G29,G29-SUM(H29:J29,L29))</f>
        <v>150078.61553109181</v>
      </c>
      <c r="N29" s="2">
        <f>IF(C29&lt;='PV IN'!$I$12*12,'PV IN'!$E$12*G29/1000,0)</f>
        <v>0</v>
      </c>
      <c r="O29" s="2">
        <f>IF(AND(C29&gt;'PV IN'!$I$12*12,C29&lt;='PV IN'!$I$13*12+'PV IN'!$I$12*12),'PV IN'!$E$13*PVCalcs!G29/1000,0)</f>
        <v>1951.0220019041935</v>
      </c>
      <c r="P29" s="2">
        <f>IF(AND(C29&gt;'PV IN'!$I$12*12+'PV IN'!$I$13*12,C29&lt;='PV IN'!$I$12*12+'PV IN'!$I$13*12+'PV IN'!$I$14*12),'PV IN'!$E$14*PVCalcs!G29/1000,0)</f>
        <v>0</v>
      </c>
      <c r="R29" s="10">
        <f>IF(AND('PV IN'!$D$35="YES",$C29&lt;='PV IN'!$E$35*12),-'PV IN'!$E$18*'PV IN'!$E$34/12,0)</f>
        <v>0</v>
      </c>
      <c r="S29" s="10">
        <f>IF(AND('PV IN'!$D$37="YES",$C29&lt;='PV IN'!$E$37*12),-'PV IN'!$E$18*'PV IN'!$E$36/12,0)</f>
        <v>0</v>
      </c>
      <c r="U29" s="2">
        <f t="shared" si="13"/>
        <v>11275.05987621621</v>
      </c>
      <c r="V29" s="10">
        <f>PVLoan!M56</f>
        <v>0</v>
      </c>
      <c r="W29" s="2">
        <f>IF(C29='PV IN'!$I$40,IF('PV IN'!$G$40="Non-Taxable",'PV IN'!$F$40,0),0)+IF(C29='PV IN'!$I$41,IF('PV IN'!$G$41="Non-Taxable",'PV IN'!$F$41,0),0)</f>
        <v>0</v>
      </c>
      <c r="X29" s="10"/>
      <c r="Y29" s="10">
        <f>IF('PV IN'!$E$15="Non-Taxable",SUM(N29:P29),0)</f>
        <v>1951.0220019041935</v>
      </c>
      <c r="Z29" s="10">
        <f>IF('PV IN'!$E$15="Taxable",SUM(N29:P29),0)</f>
        <v>0</v>
      </c>
      <c r="AA29" s="2">
        <f>IF(C29='PV IN'!$I$40,IF('PV IN'!$G$40="Taxable",'PV IN'!$F$40,0),0)+IF(C29='PV IN'!$I$41,IF('PV IN'!$G$41="Taxable",'PV IN'!$F$41,0),0)</f>
        <v>0</v>
      </c>
      <c r="AD29" s="10">
        <f>IF('PV IN'!$D$48="YES",-U29*'PV IN'!$E$8,0)</f>
        <v>0</v>
      </c>
      <c r="AE29" s="10">
        <f>IF('PV IN'!$N$10="Yes",-PVLoan!H57,-PVLoan!L57)</f>
        <v>0</v>
      </c>
      <c r="AF29" s="10">
        <f>IF('PV IN'!$N$10="Yes",-PVLoan!F57,0)</f>
        <v>0</v>
      </c>
      <c r="AG29" s="10">
        <f>IF(AND('PV IN'!$D$35="YES",$C29&lt;='PV IN'!$E$35*12),0,-'PV IN'!$E$18*'PV IN'!$E$34/12)</f>
        <v>-750</v>
      </c>
      <c r="AH29" s="10">
        <f>IF(AND('PV IN'!$D$37="YES",$C29&lt;='PV IN'!$E$37*12),0,-'PV IN'!$E$18*'PV IN'!$E$36/12)</f>
        <v>-625</v>
      </c>
      <c r="AI29" s="2">
        <f>IF(AND('PV IN'!$D$33="YES",PVCalcs!C29=ROUNDUP('PV IN'!$H$33*12,)),-'PV IN'!$E$33*'PV IN'!$E$18,0)</f>
        <v>0</v>
      </c>
      <c r="AK29" s="2">
        <f t="shared" si="16"/>
        <v>13226.081878120403</v>
      </c>
      <c r="AL29" s="2">
        <f t="shared" si="3"/>
        <v>-1375</v>
      </c>
      <c r="AM29" s="2">
        <f t="shared" si="4"/>
        <v>11851.081878120403</v>
      </c>
      <c r="AN29" s="43"/>
      <c r="AO29" s="2">
        <f t="shared" si="1"/>
        <v>0</v>
      </c>
      <c r="AP29" s="2">
        <f t="shared" si="14"/>
        <v>-1375</v>
      </c>
      <c r="AR29" s="2">
        <f t="shared" si="15"/>
        <v>-1375</v>
      </c>
      <c r="AS29" s="2">
        <f>-AR29*'PV IN'!$E$8</f>
        <v>288.75</v>
      </c>
      <c r="AT29" s="2">
        <f>IF('PV IN'!$F$4="Battery Only",0,AM29+AS29)</f>
        <v>12139.831878120403</v>
      </c>
      <c r="AV29" s="10">
        <f t="shared" si="5"/>
        <v>-930920.67151846271</v>
      </c>
      <c r="AW29" s="2">
        <f>AT29/(1+('PV IN'!$G$9))^(C29)</f>
        <v>10966.506472138261</v>
      </c>
      <c r="AX29" s="2">
        <f>IF(C29&lt;='PV IN'!$O$22*12,AW29+AX28,NA())</f>
        <v>-1004314.8265475208</v>
      </c>
      <c r="AZ29" s="10">
        <f t="shared" si="2"/>
        <v>-1375</v>
      </c>
      <c r="BA29" s="10">
        <f t="shared" si="6"/>
        <v>1951.0220019041935</v>
      </c>
      <c r="BB29" s="10">
        <f t="shared" si="7"/>
        <v>576.02200190419353</v>
      </c>
      <c r="BC29" s="10">
        <f t="shared" si="8"/>
        <v>0</v>
      </c>
      <c r="BD29" s="10">
        <f t="shared" si="9"/>
        <v>-1375</v>
      </c>
      <c r="BE29" s="2">
        <f t="shared" si="10"/>
        <v>0</v>
      </c>
      <c r="BF29" s="10">
        <f t="shared" si="11"/>
        <v>-1375</v>
      </c>
      <c r="BG29" s="2">
        <f>-BF29*'PV IN'!$E$8</f>
        <v>288.75</v>
      </c>
      <c r="BH29" s="2">
        <f>IF('PV IN'!$F$4="Battery Only",0,BB29+BG29)</f>
        <v>864.77200190419353</v>
      </c>
      <c r="BI29" s="2">
        <f>BH29/(1+('PV IN'!$G$9))^(C29)</f>
        <v>781.19102892177966</v>
      </c>
    </row>
    <row r="30" spans="2:61" x14ac:dyDescent="0.25">
      <c r="C30">
        <v>26</v>
      </c>
      <c r="D30" s="16">
        <f>D29*(1+('PV IN'!$G$6/12))</f>
        <v>7.5999999999999998E-2</v>
      </c>
      <c r="E30" s="16">
        <f>LkUP!$U$23</f>
        <v>7.5127691152510362E-2</v>
      </c>
      <c r="F30" s="16">
        <f>IF('PV IN'!$D$7="Table",E30,D30)</f>
        <v>7.5127691152510362E-2</v>
      </c>
      <c r="G30" s="33">
        <f>('PV IN'!$E$25*'PV IN'!$E$18/12)*(1-(1-'PV IN'!$E$27)/(25*12))^C29</f>
        <v>149978.56312073773</v>
      </c>
      <c r="H30" s="33">
        <f>IF('PV IN'!$D$19="YES",G30*'PV IN'!$E$21,0)</f>
        <v>0</v>
      </c>
      <c r="I30" s="33">
        <f>IF('PV IN'!$D$19="YES",'PV IN'!$E$22*BattCalcs!W30,0)</f>
        <v>0</v>
      </c>
      <c r="J30" s="33">
        <f>IF('PV IN'!$D$19="YES",'PV IN'!$E$23*BattCalcs!Y30,0)</f>
        <v>0</v>
      </c>
      <c r="K30" s="33">
        <f>BattCalcs!AF30</f>
        <v>30812.599166666667</v>
      </c>
      <c r="L30" s="33">
        <f t="shared" si="12"/>
        <v>30812.599166666667</v>
      </c>
      <c r="M30" s="33">
        <f>IF('PV IN'!$F$4="PV Only",G30,G30-SUM(H30:J30,L30))</f>
        <v>149978.56312073773</v>
      </c>
      <c r="N30" s="2">
        <f>IF(C30&lt;='PV IN'!$I$12*12,'PV IN'!$E$12*G30/1000,0)</f>
        <v>0</v>
      </c>
      <c r="O30" s="2">
        <f>IF(AND(C30&gt;'PV IN'!$I$12*12,C30&lt;='PV IN'!$I$13*12+'PV IN'!$I$12*12),'PV IN'!$E$13*PVCalcs!G30/1000,0)</f>
        <v>1949.7213205695905</v>
      </c>
      <c r="P30" s="2">
        <f>IF(AND(C30&gt;'PV IN'!$I$12*12+'PV IN'!$I$13*12,C30&lt;='PV IN'!$I$12*12+'PV IN'!$I$13*12+'PV IN'!$I$14*12),'PV IN'!$E$14*PVCalcs!G30/1000,0)</f>
        <v>0</v>
      </c>
      <c r="R30" s="10">
        <f>IF(AND('PV IN'!$D$35="YES",$C30&lt;='PV IN'!$E$35*12),-'PV IN'!$E$18*'PV IN'!$E$34/12,0)</f>
        <v>0</v>
      </c>
      <c r="S30" s="10">
        <f>IF(AND('PV IN'!$D$37="YES",$C30&lt;='PV IN'!$E$37*12),-'PV IN'!$E$18*'PV IN'!$E$36/12,0)</f>
        <v>0</v>
      </c>
      <c r="U30" s="2">
        <f t="shared" si="13"/>
        <v>11267.543169632065</v>
      </c>
      <c r="V30" s="10">
        <f>PVLoan!M57</f>
        <v>0</v>
      </c>
      <c r="W30" s="2">
        <f>IF(C30='PV IN'!$I$40,IF('PV IN'!$G$40="Non-Taxable",'PV IN'!$F$40,0),0)+IF(C30='PV IN'!$I$41,IF('PV IN'!$G$41="Non-Taxable",'PV IN'!$F$41,0),0)</f>
        <v>0</v>
      </c>
      <c r="X30" s="10"/>
      <c r="Y30" s="10">
        <f>IF('PV IN'!$E$15="Non-Taxable",SUM(N30:P30),0)</f>
        <v>1949.7213205695905</v>
      </c>
      <c r="Z30" s="10">
        <f>IF('PV IN'!$E$15="Taxable",SUM(N30:P30),0)</f>
        <v>0</v>
      </c>
      <c r="AA30" s="2">
        <f>IF(C30='PV IN'!$I$40,IF('PV IN'!$G$40="Taxable",'PV IN'!$F$40,0),0)+IF(C30='PV IN'!$I$41,IF('PV IN'!$G$41="Taxable",'PV IN'!$F$41,0),0)</f>
        <v>0</v>
      </c>
      <c r="AD30" s="10">
        <f>IF('PV IN'!$D$48="YES",-U30*'PV IN'!$E$8,0)</f>
        <v>0</v>
      </c>
      <c r="AE30" s="10">
        <f>IF('PV IN'!$N$10="Yes",-PVLoan!H58,-PVLoan!L58)</f>
        <v>0</v>
      </c>
      <c r="AF30" s="10">
        <f>IF('PV IN'!$N$10="Yes",-PVLoan!F58,0)</f>
        <v>0</v>
      </c>
      <c r="AG30" s="10">
        <f>IF(AND('PV IN'!$D$35="YES",$C30&lt;='PV IN'!$E$35*12),0,-'PV IN'!$E$18*'PV IN'!$E$34/12)</f>
        <v>-750</v>
      </c>
      <c r="AH30" s="10">
        <f>IF(AND('PV IN'!$D$37="YES",$C30&lt;='PV IN'!$E$37*12),0,-'PV IN'!$E$18*'PV IN'!$E$36/12)</f>
        <v>-625</v>
      </c>
      <c r="AI30" s="2">
        <f>IF(AND('PV IN'!$D$33="YES",PVCalcs!C30=ROUNDUP('PV IN'!$H$33*12,)),-'PV IN'!$E$33*'PV IN'!$E$18,0)</f>
        <v>0</v>
      </c>
      <c r="AK30" s="2">
        <f t="shared" si="16"/>
        <v>13217.264490201655</v>
      </c>
      <c r="AL30" s="2">
        <f t="shared" si="3"/>
        <v>-1375</v>
      </c>
      <c r="AM30" s="2">
        <f t="shared" si="4"/>
        <v>11842.264490201655</v>
      </c>
      <c r="AN30" s="43"/>
      <c r="AO30" s="2">
        <f t="shared" si="1"/>
        <v>0</v>
      </c>
      <c r="AP30" s="2">
        <f t="shared" si="14"/>
        <v>-1375</v>
      </c>
      <c r="AR30" s="2">
        <f t="shared" si="15"/>
        <v>-1375</v>
      </c>
      <c r="AS30" s="2">
        <f>-AR30*'PV IN'!$E$8</f>
        <v>288.75</v>
      </c>
      <c r="AT30" s="2">
        <f>IF('PV IN'!$F$4="Battery Only",0,AM30+AS30)</f>
        <v>12131.014490201655</v>
      </c>
      <c r="AV30" s="10">
        <f t="shared" si="5"/>
        <v>-918789.65702826111</v>
      </c>
      <c r="AW30" s="2">
        <f>AT30/(1+('PV IN'!$G$9))^(C30)</f>
        <v>10914.075995909277</v>
      </c>
      <c r="AX30" s="2">
        <f>IF(C30&lt;='PV IN'!$O$22*12,AW30+AX29,NA())</f>
        <v>-993400.75055161153</v>
      </c>
      <c r="AZ30" s="10">
        <f t="shared" si="2"/>
        <v>-1375</v>
      </c>
      <c r="BA30" s="10">
        <f t="shared" si="6"/>
        <v>1949.7213205695898</v>
      </c>
      <c r="BB30" s="10">
        <f t="shared" si="7"/>
        <v>574.72132056958981</v>
      </c>
      <c r="BC30" s="10">
        <f t="shared" si="8"/>
        <v>0</v>
      </c>
      <c r="BD30" s="10">
        <f t="shared" si="9"/>
        <v>-1375</v>
      </c>
      <c r="BE30" s="2">
        <f t="shared" si="10"/>
        <v>0</v>
      </c>
      <c r="BF30" s="10">
        <f t="shared" si="11"/>
        <v>-1375</v>
      </c>
      <c r="BG30" s="2">
        <f>-BF30*'PV IN'!$E$8</f>
        <v>288.75</v>
      </c>
      <c r="BH30" s="2">
        <f>IF('PV IN'!$F$4="Battery Only",0,BB30+BG30)</f>
        <v>863.47132056958981</v>
      </c>
      <c r="BI30" s="2">
        <f>BH30/(1+('PV IN'!$G$9))^(C30)</f>
        <v>776.85107215035487</v>
      </c>
    </row>
    <row r="31" spans="2:61" x14ac:dyDescent="0.25">
      <c r="C31">
        <v>27</v>
      </c>
      <c r="D31" s="16">
        <f>D30*(1+('PV IN'!$G$6/12))</f>
        <v>7.5999999999999998E-2</v>
      </c>
      <c r="E31" s="16">
        <f>LkUP!$U$23</f>
        <v>7.5127691152510362E-2</v>
      </c>
      <c r="F31" s="16">
        <f>IF('PV IN'!$D$7="Table",E31,D31)</f>
        <v>7.5127691152510362E-2</v>
      </c>
      <c r="G31" s="33">
        <f>('PV IN'!$E$25*'PV IN'!$E$18/12)*(1-(1-'PV IN'!$E$27)/(25*12))^C30</f>
        <v>149878.57741199055</v>
      </c>
      <c r="H31" s="33">
        <f>IF('PV IN'!$D$19="YES",G31*'PV IN'!$E$21,0)</f>
        <v>0</v>
      </c>
      <c r="I31" s="33">
        <f>IF('PV IN'!$D$19="YES",'PV IN'!$E$22*BattCalcs!W31,0)</f>
        <v>0</v>
      </c>
      <c r="J31" s="33">
        <f>IF('PV IN'!$D$19="YES",'PV IN'!$E$23*BattCalcs!Y31,0)</f>
        <v>0</v>
      </c>
      <c r="K31" s="33">
        <f>BattCalcs!AF31</f>
        <v>30812.599166666667</v>
      </c>
      <c r="L31" s="33">
        <f t="shared" si="12"/>
        <v>30812.599166666667</v>
      </c>
      <c r="M31" s="33">
        <f>IF('PV IN'!$F$4="PV Only",G31,G31-SUM(H31:J31,L31))</f>
        <v>149878.57741199055</v>
      </c>
      <c r="N31" s="2">
        <f>IF(C31&lt;='PV IN'!$I$12*12,'PV IN'!$E$12*G31/1000,0)</f>
        <v>0</v>
      </c>
      <c r="O31" s="2">
        <f>IF(AND(C31&gt;'PV IN'!$I$12*12,C31&lt;='PV IN'!$I$13*12+'PV IN'!$I$12*12),'PV IN'!$E$13*PVCalcs!G31/1000,0)</f>
        <v>1948.4215063558772</v>
      </c>
      <c r="P31" s="2">
        <f>IF(AND(C31&gt;'PV IN'!$I$12*12+'PV IN'!$I$13*12,C31&lt;='PV IN'!$I$12*12+'PV IN'!$I$13*12+'PV IN'!$I$14*12),'PV IN'!$E$14*PVCalcs!G31/1000,0)</f>
        <v>0</v>
      </c>
      <c r="R31" s="10">
        <f>IF(AND('PV IN'!$D$35="YES",$C31&lt;='PV IN'!$E$35*12),-'PV IN'!$E$18*'PV IN'!$E$34/12,0)</f>
        <v>0</v>
      </c>
      <c r="S31" s="10">
        <f>IF(AND('PV IN'!$D$37="YES",$C31&lt;='PV IN'!$E$37*12),-'PV IN'!$E$18*'PV IN'!$E$36/12,0)</f>
        <v>0</v>
      </c>
      <c r="U31" s="2">
        <f t="shared" si="13"/>
        <v>11260.031474185642</v>
      </c>
      <c r="V31" s="10">
        <f>PVLoan!M58</f>
        <v>0</v>
      </c>
      <c r="W31" s="2">
        <f>IF(C31='PV IN'!$I$40,IF('PV IN'!$G$40="Non-Taxable",'PV IN'!$F$40,0),0)+IF(C31='PV IN'!$I$41,IF('PV IN'!$G$41="Non-Taxable",'PV IN'!$F$41,0),0)</f>
        <v>0</v>
      </c>
      <c r="X31" s="10"/>
      <c r="Y31" s="10">
        <f>IF('PV IN'!$E$15="Non-Taxable",SUM(N31:P31),0)</f>
        <v>1948.4215063558772</v>
      </c>
      <c r="Z31" s="10">
        <f>IF('PV IN'!$E$15="Taxable",SUM(N31:P31),0)</f>
        <v>0</v>
      </c>
      <c r="AA31" s="2">
        <f>IF(C31='PV IN'!$I$40,IF('PV IN'!$G$40="Taxable",'PV IN'!$F$40,0),0)+IF(C31='PV IN'!$I$41,IF('PV IN'!$G$41="Taxable",'PV IN'!$F$41,0),0)</f>
        <v>0</v>
      </c>
      <c r="AD31" s="10">
        <f>IF('PV IN'!$D$48="YES",-U31*'PV IN'!$E$8,0)</f>
        <v>0</v>
      </c>
      <c r="AE31" s="10">
        <f>IF('PV IN'!$N$10="Yes",-PVLoan!H59,-PVLoan!L59)</f>
        <v>0</v>
      </c>
      <c r="AF31" s="10">
        <f>IF('PV IN'!$N$10="Yes",-PVLoan!F59,0)</f>
        <v>0</v>
      </c>
      <c r="AG31" s="10">
        <f>IF(AND('PV IN'!$D$35="YES",$C31&lt;='PV IN'!$E$35*12),0,-'PV IN'!$E$18*'PV IN'!$E$34/12)</f>
        <v>-750</v>
      </c>
      <c r="AH31" s="10">
        <f>IF(AND('PV IN'!$D$37="YES",$C31&lt;='PV IN'!$E$37*12),0,-'PV IN'!$E$18*'PV IN'!$E$36/12)</f>
        <v>-625</v>
      </c>
      <c r="AI31" s="2">
        <f>IF(AND('PV IN'!$D$33="YES",PVCalcs!C31=ROUNDUP('PV IN'!$H$33*12,)),-'PV IN'!$E$33*'PV IN'!$E$18,0)</f>
        <v>0</v>
      </c>
      <c r="AK31" s="2">
        <f t="shared" si="16"/>
        <v>13208.452980541519</v>
      </c>
      <c r="AL31" s="2">
        <f t="shared" si="3"/>
        <v>-1375</v>
      </c>
      <c r="AM31" s="2">
        <f t="shared" si="4"/>
        <v>11833.452980541519</v>
      </c>
      <c r="AN31" s="43"/>
      <c r="AO31" s="2">
        <f t="shared" si="1"/>
        <v>0</v>
      </c>
      <c r="AP31" s="2">
        <f t="shared" si="14"/>
        <v>-1375</v>
      </c>
      <c r="AR31" s="2">
        <f t="shared" si="15"/>
        <v>-1375</v>
      </c>
      <c r="AS31" s="2">
        <f>-AR31*'PV IN'!$E$8</f>
        <v>288.75</v>
      </c>
      <c r="AT31" s="2">
        <f>IF('PV IN'!$F$4="Battery Only",0,AM31+AS31)</f>
        <v>12122.202980541519</v>
      </c>
      <c r="AV31" s="10">
        <f t="shared" si="5"/>
        <v>-906667.4540477196</v>
      </c>
      <c r="AW31" s="2">
        <f>AT31/(1+('PV IN'!$G$9))^(C31)</f>
        <v>10861.895716624966</v>
      </c>
      <c r="AX31" s="2">
        <f>IF(C31&lt;='PV IN'!$O$22*12,AW31+AX30,NA())</f>
        <v>-982538.85483498662</v>
      </c>
      <c r="AZ31" s="10">
        <f t="shared" si="2"/>
        <v>-1375</v>
      </c>
      <c r="BA31" s="10">
        <f t="shared" si="6"/>
        <v>1948.4215063558768</v>
      </c>
      <c r="BB31" s="10">
        <f t="shared" si="7"/>
        <v>573.42150635587677</v>
      </c>
      <c r="BC31" s="10">
        <f t="shared" si="8"/>
        <v>0</v>
      </c>
      <c r="BD31" s="10">
        <f t="shared" si="9"/>
        <v>-1375</v>
      </c>
      <c r="BE31" s="2">
        <f t="shared" si="10"/>
        <v>0</v>
      </c>
      <c r="BF31" s="10">
        <f t="shared" si="11"/>
        <v>-1375</v>
      </c>
      <c r="BG31" s="2">
        <f>-BF31*'PV IN'!$E$8</f>
        <v>288.75</v>
      </c>
      <c r="BH31" s="2">
        <f>IF('PV IN'!$F$4="Battery Only",0,BB31+BG31)</f>
        <v>862.17150635587677</v>
      </c>
      <c r="BI31" s="2">
        <f>BH31/(1+('PV IN'!$G$9))^(C31)</f>
        <v>772.53425032688665</v>
      </c>
    </row>
    <row r="32" spans="2:61" x14ac:dyDescent="0.25">
      <c r="C32">
        <v>28</v>
      </c>
      <c r="D32" s="16">
        <f>D31*(1+('PV IN'!$G$6/12))</f>
        <v>7.5999999999999998E-2</v>
      </c>
      <c r="E32" s="16">
        <f>LkUP!$U$23</f>
        <v>7.5127691152510362E-2</v>
      </c>
      <c r="F32" s="16">
        <f>IF('PV IN'!$D$7="Table",E32,D32)</f>
        <v>7.5127691152510362E-2</v>
      </c>
      <c r="G32" s="33">
        <f>('PV IN'!$E$25*'PV IN'!$E$18/12)*(1-(1-'PV IN'!$E$27)/(25*12))^C31</f>
        <v>149778.65836038257</v>
      </c>
      <c r="H32" s="33">
        <f>IF('PV IN'!$D$19="YES",G32*'PV IN'!$E$21,0)</f>
        <v>0</v>
      </c>
      <c r="I32" s="33">
        <f>IF('PV IN'!$D$19="YES",'PV IN'!$E$22*BattCalcs!W32,0)</f>
        <v>0</v>
      </c>
      <c r="J32" s="33">
        <f>IF('PV IN'!$D$19="YES",'PV IN'!$E$23*BattCalcs!Y32,0)</f>
        <v>0</v>
      </c>
      <c r="K32" s="33">
        <f>BattCalcs!AF32</f>
        <v>30812.599166666667</v>
      </c>
      <c r="L32" s="33">
        <f t="shared" si="12"/>
        <v>30812.599166666667</v>
      </c>
      <c r="M32" s="33">
        <f>IF('PV IN'!$F$4="PV Only",G32,G32-SUM(H32:J32,L32))</f>
        <v>149778.65836038257</v>
      </c>
      <c r="N32" s="2">
        <f>IF(C32&lt;='PV IN'!$I$12*12,'PV IN'!$E$12*G32/1000,0)</f>
        <v>0</v>
      </c>
      <c r="O32" s="2">
        <f>IF(AND(C32&gt;'PV IN'!$I$12*12,C32&lt;='PV IN'!$I$13*12+'PV IN'!$I$12*12),'PV IN'!$E$13*PVCalcs!G32/1000,0)</f>
        <v>1947.1225586849735</v>
      </c>
      <c r="P32" s="2">
        <f>IF(AND(C32&gt;'PV IN'!$I$12*12+'PV IN'!$I$13*12,C32&lt;='PV IN'!$I$12*12+'PV IN'!$I$13*12+'PV IN'!$I$14*12),'PV IN'!$E$14*PVCalcs!G32/1000,0)</f>
        <v>0</v>
      </c>
      <c r="R32" s="10">
        <f>IF(AND('PV IN'!$D$35="YES",$C32&lt;='PV IN'!$E$35*12),-'PV IN'!$E$18*'PV IN'!$E$34/12,0)</f>
        <v>0</v>
      </c>
      <c r="S32" s="10">
        <f>IF(AND('PV IN'!$D$37="YES",$C32&lt;='PV IN'!$E$37*12),-'PV IN'!$E$18*'PV IN'!$E$36/12,0)</f>
        <v>0</v>
      </c>
      <c r="U32" s="2">
        <f t="shared" si="13"/>
        <v>11252.524786536185</v>
      </c>
      <c r="V32" s="10">
        <f>PVLoan!M59</f>
        <v>0</v>
      </c>
      <c r="W32" s="2">
        <f>IF(C32='PV IN'!$I$40,IF('PV IN'!$G$40="Non-Taxable",'PV IN'!$F$40,0),0)+IF(C32='PV IN'!$I$41,IF('PV IN'!$G$41="Non-Taxable",'PV IN'!$F$41,0),0)</f>
        <v>0</v>
      </c>
      <c r="X32" s="10"/>
      <c r="Y32" s="10">
        <f>IF('PV IN'!$E$15="Non-Taxable",SUM(N32:P32),0)</f>
        <v>1947.1225586849735</v>
      </c>
      <c r="Z32" s="10">
        <f>IF('PV IN'!$E$15="Taxable",SUM(N32:P32),0)</f>
        <v>0</v>
      </c>
      <c r="AA32" s="2">
        <f>IF(C32='PV IN'!$I$40,IF('PV IN'!$G$40="Taxable",'PV IN'!$F$40,0),0)+IF(C32='PV IN'!$I$41,IF('PV IN'!$G$41="Taxable",'PV IN'!$F$41,0),0)</f>
        <v>0</v>
      </c>
      <c r="AD32" s="10">
        <f>IF('PV IN'!$D$48="YES",-U32*'PV IN'!$E$8,0)</f>
        <v>0</v>
      </c>
      <c r="AE32" s="10">
        <f>IF('PV IN'!$N$10="Yes",-PVLoan!H60,-PVLoan!L60)</f>
        <v>0</v>
      </c>
      <c r="AF32" s="10">
        <f>IF('PV IN'!$N$10="Yes",-PVLoan!F60,0)</f>
        <v>0</v>
      </c>
      <c r="AG32" s="10">
        <f>IF(AND('PV IN'!$D$35="YES",$C32&lt;='PV IN'!$E$35*12),0,-'PV IN'!$E$18*'PV IN'!$E$34/12)</f>
        <v>-750</v>
      </c>
      <c r="AH32" s="10">
        <f>IF(AND('PV IN'!$D$37="YES",$C32&lt;='PV IN'!$E$37*12),0,-'PV IN'!$E$18*'PV IN'!$E$36/12)</f>
        <v>-625</v>
      </c>
      <c r="AI32" s="2">
        <f>IF(AND('PV IN'!$D$33="YES",PVCalcs!C32=ROUNDUP('PV IN'!$H$33*12,)),-'PV IN'!$E$33*'PV IN'!$E$18,0)</f>
        <v>0</v>
      </c>
      <c r="AK32" s="2">
        <f t="shared" si="16"/>
        <v>13199.647345221159</v>
      </c>
      <c r="AL32" s="2">
        <f t="shared" si="3"/>
        <v>-1375</v>
      </c>
      <c r="AM32" s="2">
        <f t="shared" si="4"/>
        <v>11824.647345221159</v>
      </c>
      <c r="AN32" s="43"/>
      <c r="AO32" s="2">
        <f t="shared" si="1"/>
        <v>0</v>
      </c>
      <c r="AP32" s="2">
        <f t="shared" si="14"/>
        <v>-1375</v>
      </c>
      <c r="AR32" s="2">
        <f t="shared" si="15"/>
        <v>-1375</v>
      </c>
      <c r="AS32" s="2">
        <f>-AR32*'PV IN'!$E$8</f>
        <v>288.75</v>
      </c>
      <c r="AT32" s="2">
        <f>IF('PV IN'!$F$4="Battery Only",0,AM32+AS32)</f>
        <v>12113.397345221159</v>
      </c>
      <c r="AV32" s="10">
        <f t="shared" si="5"/>
        <v>-894554.05670249846</v>
      </c>
      <c r="AW32" s="2">
        <f>AT32/(1+('PV IN'!$G$9))^(C32)</f>
        <v>10809.964442240198</v>
      </c>
      <c r="AX32" s="2">
        <f>IF(C32&lt;='PV IN'!$O$22*12,AW32+AX31,NA())</f>
        <v>-971728.89039274643</v>
      </c>
      <c r="AZ32" s="10">
        <f t="shared" si="2"/>
        <v>-1375</v>
      </c>
      <c r="BA32" s="10">
        <f t="shared" si="6"/>
        <v>1947.1225586849741</v>
      </c>
      <c r="BB32" s="10">
        <f t="shared" si="7"/>
        <v>572.12255868497414</v>
      </c>
      <c r="BC32" s="10">
        <f t="shared" si="8"/>
        <v>0</v>
      </c>
      <c r="BD32" s="10">
        <f t="shared" si="9"/>
        <v>-1375</v>
      </c>
      <c r="BE32" s="2">
        <f t="shared" si="10"/>
        <v>0</v>
      </c>
      <c r="BF32" s="10">
        <f t="shared" si="11"/>
        <v>-1375</v>
      </c>
      <c r="BG32" s="2">
        <f>-BF32*'PV IN'!$E$8</f>
        <v>288.75</v>
      </c>
      <c r="BH32" s="2">
        <f>IF('PV IN'!$F$4="Battery Only",0,BB32+BG32)</f>
        <v>860.87255868497414</v>
      </c>
      <c r="BI32" s="2">
        <f>BH32/(1+('PV IN'!$G$9))^(C32)</f>
        <v>768.2404434917845</v>
      </c>
    </row>
    <row r="33" spans="2:61" x14ac:dyDescent="0.25">
      <c r="C33">
        <v>29</v>
      </c>
      <c r="D33" s="16">
        <f>D32*(1+('PV IN'!$G$6/12))</f>
        <v>7.5999999999999998E-2</v>
      </c>
      <c r="E33" s="16">
        <f>LkUP!$U$23</f>
        <v>7.5127691152510362E-2</v>
      </c>
      <c r="F33" s="16">
        <f>IF('PV IN'!$D$7="Table",E33,D33)</f>
        <v>7.5127691152510362E-2</v>
      </c>
      <c r="G33" s="33">
        <f>('PV IN'!$E$25*'PV IN'!$E$18/12)*(1-(1-'PV IN'!$E$27)/(25*12))^C32</f>
        <v>149678.80592147566</v>
      </c>
      <c r="H33" s="33">
        <f>IF('PV IN'!$D$19="YES",G33*'PV IN'!$E$21,0)</f>
        <v>0</v>
      </c>
      <c r="I33" s="33">
        <f>IF('PV IN'!$D$19="YES",'PV IN'!$E$22*BattCalcs!W33,0)</f>
        <v>0</v>
      </c>
      <c r="J33" s="33">
        <f>IF('PV IN'!$D$19="YES",'PV IN'!$E$23*BattCalcs!Y33,0)</f>
        <v>0</v>
      </c>
      <c r="K33" s="33">
        <f>BattCalcs!AF33</f>
        <v>30812.599166666667</v>
      </c>
      <c r="L33" s="33">
        <f t="shared" si="12"/>
        <v>30812.599166666667</v>
      </c>
      <c r="M33" s="33">
        <f>IF('PV IN'!$F$4="PV Only",G33,G33-SUM(H33:J33,L33))</f>
        <v>149678.80592147566</v>
      </c>
      <c r="N33" s="2">
        <f>IF(C33&lt;='PV IN'!$I$12*12,'PV IN'!$E$12*G33/1000,0)</f>
        <v>0</v>
      </c>
      <c r="O33" s="2">
        <f>IF(AND(C33&gt;'PV IN'!$I$12*12,C33&lt;='PV IN'!$I$13*12+'PV IN'!$I$12*12),'PV IN'!$E$13*PVCalcs!G33/1000,0)</f>
        <v>1945.8244769791838</v>
      </c>
      <c r="P33" s="2">
        <f>IF(AND(C33&gt;'PV IN'!$I$12*12+'PV IN'!$I$13*12,C33&lt;='PV IN'!$I$12*12+'PV IN'!$I$13*12+'PV IN'!$I$14*12),'PV IN'!$E$14*PVCalcs!G33/1000,0)</f>
        <v>0</v>
      </c>
      <c r="R33" s="10">
        <f>IF(AND('PV IN'!$D$35="YES",$C33&lt;='PV IN'!$E$35*12),-'PV IN'!$E$18*'PV IN'!$E$34/12,0)</f>
        <v>0</v>
      </c>
      <c r="S33" s="10">
        <f>IF(AND('PV IN'!$D$37="YES",$C33&lt;='PV IN'!$E$37*12),-'PV IN'!$E$18*'PV IN'!$E$36/12,0)</f>
        <v>0</v>
      </c>
      <c r="U33" s="2">
        <f t="shared" si="13"/>
        <v>11245.023103345164</v>
      </c>
      <c r="V33" s="10">
        <f>PVLoan!M60</f>
        <v>0</v>
      </c>
      <c r="W33" s="2">
        <f>IF(C33='PV IN'!$I$40,IF('PV IN'!$G$40="Non-Taxable",'PV IN'!$F$40,0),0)+IF(C33='PV IN'!$I$41,IF('PV IN'!$G$41="Non-Taxable",'PV IN'!$F$41,0),0)</f>
        <v>0</v>
      </c>
      <c r="X33" s="10"/>
      <c r="Y33" s="10">
        <f>IF('PV IN'!$E$15="Non-Taxable",SUM(N33:P33),0)</f>
        <v>1945.8244769791838</v>
      </c>
      <c r="Z33" s="10">
        <f>IF('PV IN'!$E$15="Taxable",SUM(N33:P33),0)</f>
        <v>0</v>
      </c>
      <c r="AA33" s="2">
        <f>IF(C33='PV IN'!$I$40,IF('PV IN'!$G$40="Taxable",'PV IN'!$F$40,0),0)+IF(C33='PV IN'!$I$41,IF('PV IN'!$G$41="Taxable",'PV IN'!$F$41,0),0)</f>
        <v>0</v>
      </c>
      <c r="AD33" s="10">
        <f>IF('PV IN'!$D$48="YES",-U33*'PV IN'!$E$8,0)</f>
        <v>0</v>
      </c>
      <c r="AE33" s="10">
        <f>IF('PV IN'!$N$10="Yes",-PVLoan!H61,-PVLoan!L61)</f>
        <v>0</v>
      </c>
      <c r="AF33" s="10">
        <f>IF('PV IN'!$N$10="Yes",-PVLoan!F61,0)</f>
        <v>0</v>
      </c>
      <c r="AG33" s="10">
        <f>IF(AND('PV IN'!$D$35="YES",$C33&lt;='PV IN'!$E$35*12),0,-'PV IN'!$E$18*'PV IN'!$E$34/12)</f>
        <v>-750</v>
      </c>
      <c r="AH33" s="10">
        <f>IF(AND('PV IN'!$D$37="YES",$C33&lt;='PV IN'!$E$37*12),0,-'PV IN'!$E$18*'PV IN'!$E$36/12)</f>
        <v>-625</v>
      </c>
      <c r="AI33" s="2">
        <f>IF(AND('PV IN'!$D$33="YES",PVCalcs!C33=ROUNDUP('PV IN'!$H$33*12,)),-'PV IN'!$E$33*'PV IN'!$E$18,0)</f>
        <v>0</v>
      </c>
      <c r="AK33" s="2">
        <f t="shared" si="16"/>
        <v>13190.847580324347</v>
      </c>
      <c r="AL33" s="2">
        <f t="shared" si="3"/>
        <v>-1375</v>
      </c>
      <c r="AM33" s="2">
        <f t="shared" si="4"/>
        <v>11815.847580324347</v>
      </c>
      <c r="AN33" s="43"/>
      <c r="AO33" s="2">
        <f t="shared" si="1"/>
        <v>0</v>
      </c>
      <c r="AP33" s="2">
        <f t="shared" si="14"/>
        <v>-1375</v>
      </c>
      <c r="AR33" s="2">
        <f t="shared" si="15"/>
        <v>-1375</v>
      </c>
      <c r="AS33" s="2">
        <f>-AR33*'PV IN'!$E$8</f>
        <v>288.75</v>
      </c>
      <c r="AT33" s="2">
        <f>IF('PV IN'!$F$4="Battery Only",0,AM33+AS33)</f>
        <v>12104.597580324347</v>
      </c>
      <c r="AV33" s="10">
        <f t="shared" si="5"/>
        <v>-882449.45912217407</v>
      </c>
      <c r="AW33" s="2">
        <f>AT33/(1+('PV IN'!$G$9))^(C33)</f>
        <v>10758.280986381676</v>
      </c>
      <c r="AX33" s="2">
        <f>IF(C33&lt;='PV IN'!$O$22*12,AW33+AX32,NA())</f>
        <v>-960970.60940636473</v>
      </c>
      <c r="AZ33" s="10">
        <f t="shared" si="2"/>
        <v>-1375</v>
      </c>
      <c r="BA33" s="10">
        <f t="shared" si="6"/>
        <v>1945.8244769791836</v>
      </c>
      <c r="BB33" s="10">
        <f t="shared" si="7"/>
        <v>570.8244769791836</v>
      </c>
      <c r="BC33" s="10">
        <f t="shared" si="8"/>
        <v>0</v>
      </c>
      <c r="BD33" s="10">
        <f t="shared" si="9"/>
        <v>-1375</v>
      </c>
      <c r="BE33" s="2">
        <f t="shared" si="10"/>
        <v>0</v>
      </c>
      <c r="BF33" s="10">
        <f t="shared" si="11"/>
        <v>-1375</v>
      </c>
      <c r="BG33" s="2">
        <f>-BF33*'PV IN'!$E$8</f>
        <v>288.75</v>
      </c>
      <c r="BH33" s="2">
        <f>IF('PV IN'!$F$4="Battery Only",0,BB33+BG33)</f>
        <v>859.5744769791836</v>
      </c>
      <c r="BI33" s="2">
        <f>BH33/(1+('PV IN'!$G$9))^(C33)</f>
        <v>763.96953229537542</v>
      </c>
    </row>
    <row r="34" spans="2:61" x14ac:dyDescent="0.25">
      <c r="C34">
        <v>30</v>
      </c>
      <c r="D34" s="16">
        <f>D33*(1+('PV IN'!$G$6/12))</f>
        <v>7.5999999999999998E-2</v>
      </c>
      <c r="E34" s="16">
        <f>LkUP!$U$23</f>
        <v>7.5127691152510362E-2</v>
      </c>
      <c r="F34" s="16">
        <f>IF('PV IN'!$D$7="Table",E34,D34)</f>
        <v>7.5127691152510362E-2</v>
      </c>
      <c r="G34" s="33">
        <f>('PV IN'!$E$25*'PV IN'!$E$18/12)*(1-(1-'PV IN'!$E$27)/(25*12))^C33</f>
        <v>149579.02005086135</v>
      </c>
      <c r="H34" s="33">
        <f>IF('PV IN'!$D$19="YES",G34*'PV IN'!$E$21,0)</f>
        <v>0</v>
      </c>
      <c r="I34" s="33">
        <f>IF('PV IN'!$D$19="YES",'PV IN'!$E$22*BattCalcs!W34,0)</f>
        <v>0</v>
      </c>
      <c r="J34" s="33">
        <f>IF('PV IN'!$D$19="YES",'PV IN'!$E$23*BattCalcs!Y34,0)</f>
        <v>0</v>
      </c>
      <c r="K34" s="33">
        <f>BattCalcs!AF34</f>
        <v>30812.599166666667</v>
      </c>
      <c r="L34" s="33">
        <f t="shared" si="12"/>
        <v>30812.599166666667</v>
      </c>
      <c r="M34" s="33">
        <f>IF('PV IN'!$F$4="PV Only",G34,G34-SUM(H34:J34,L34))</f>
        <v>149579.02005086135</v>
      </c>
      <c r="N34" s="2">
        <f>IF(C34&lt;='PV IN'!$I$12*12,'PV IN'!$E$12*G34/1000,0)</f>
        <v>0</v>
      </c>
      <c r="O34" s="2">
        <f>IF(AND(C34&gt;'PV IN'!$I$12*12,C34&lt;='PV IN'!$I$13*12+'PV IN'!$I$12*12),'PV IN'!$E$13*PVCalcs!G34/1000,0)</f>
        <v>1944.5272606611975</v>
      </c>
      <c r="P34" s="2">
        <f>IF(AND(C34&gt;'PV IN'!$I$12*12+'PV IN'!$I$13*12,C34&lt;='PV IN'!$I$12*12+'PV IN'!$I$13*12+'PV IN'!$I$14*12),'PV IN'!$E$14*PVCalcs!G34/1000,0)</f>
        <v>0</v>
      </c>
      <c r="R34" s="10">
        <f>IF(AND('PV IN'!$D$35="YES",$C34&lt;='PV IN'!$E$35*12),-'PV IN'!$E$18*'PV IN'!$E$34/12,0)</f>
        <v>0</v>
      </c>
      <c r="S34" s="10">
        <f>IF(AND('PV IN'!$D$37="YES",$C34&lt;='PV IN'!$E$37*12),-'PV IN'!$E$18*'PV IN'!$E$36/12,0)</f>
        <v>0</v>
      </c>
      <c r="U34" s="2">
        <f t="shared" si="13"/>
        <v>11237.526421276267</v>
      </c>
      <c r="V34" s="10">
        <f>PVLoan!M61</f>
        <v>0</v>
      </c>
      <c r="W34" s="2">
        <f>IF(C34='PV IN'!$I$40,IF('PV IN'!$G$40="Non-Taxable",'PV IN'!$F$40,0),0)+IF(C34='PV IN'!$I$41,IF('PV IN'!$G$41="Non-Taxable",'PV IN'!$F$41,0),0)</f>
        <v>0</v>
      </c>
      <c r="X34" s="10"/>
      <c r="Y34" s="10">
        <f>IF('PV IN'!$E$15="Non-Taxable",SUM(N34:P34),0)</f>
        <v>1944.5272606611975</v>
      </c>
      <c r="Z34" s="10">
        <f>IF('PV IN'!$E$15="Taxable",SUM(N34:P34),0)</f>
        <v>0</v>
      </c>
      <c r="AA34" s="2">
        <f>IF(C34='PV IN'!$I$40,IF('PV IN'!$G$40="Taxable",'PV IN'!$F$40,0),0)+IF(C34='PV IN'!$I$41,IF('PV IN'!$G$41="Taxable",'PV IN'!$F$41,0),0)</f>
        <v>0</v>
      </c>
      <c r="AD34" s="10">
        <f>IF('PV IN'!$D$48="YES",-U34*'PV IN'!$E$8,0)</f>
        <v>0</v>
      </c>
      <c r="AE34" s="10">
        <f>IF('PV IN'!$N$10="Yes",-PVLoan!H62,-PVLoan!L62)</f>
        <v>0</v>
      </c>
      <c r="AF34" s="10">
        <f>IF('PV IN'!$N$10="Yes",-PVLoan!F62,0)</f>
        <v>0</v>
      </c>
      <c r="AG34" s="10">
        <f>IF(AND('PV IN'!$D$35="YES",$C34&lt;='PV IN'!$E$35*12),0,-'PV IN'!$E$18*'PV IN'!$E$34/12)</f>
        <v>-750</v>
      </c>
      <c r="AH34" s="10">
        <f>IF(AND('PV IN'!$D$37="YES",$C34&lt;='PV IN'!$E$37*12),0,-'PV IN'!$E$18*'PV IN'!$E$36/12)</f>
        <v>-625</v>
      </c>
      <c r="AI34" s="2">
        <f>IF(AND('PV IN'!$D$33="YES",PVCalcs!C34=ROUNDUP('PV IN'!$H$33*12,)),-'PV IN'!$E$33*'PV IN'!$E$18,0)</f>
        <v>0</v>
      </c>
      <c r="AK34" s="2">
        <f t="shared" si="16"/>
        <v>13182.053681937465</v>
      </c>
      <c r="AL34" s="2">
        <f t="shared" si="3"/>
        <v>-1375</v>
      </c>
      <c r="AM34" s="2">
        <f t="shared" si="4"/>
        <v>11807.053681937465</v>
      </c>
      <c r="AN34" s="43"/>
      <c r="AO34" s="2">
        <f t="shared" si="1"/>
        <v>0</v>
      </c>
      <c r="AP34" s="2">
        <f t="shared" si="14"/>
        <v>-1375</v>
      </c>
      <c r="AR34" s="2">
        <f t="shared" si="15"/>
        <v>-1375</v>
      </c>
      <c r="AS34" s="2">
        <f>-AR34*'PV IN'!$E$8</f>
        <v>288.75</v>
      </c>
      <c r="AT34" s="2">
        <f>IF('PV IN'!$F$4="Battery Only",0,AM34+AS34)</f>
        <v>12095.803681937465</v>
      </c>
      <c r="AV34" s="10">
        <f t="shared" si="5"/>
        <v>-870353.65544023656</v>
      </c>
      <c r="AW34" s="2">
        <f>AT34/(1+('PV IN'!$G$9))^(C34)</f>
        <v>10706.844168320977</v>
      </c>
      <c r="AX34" s="2">
        <f>IF(C34&lt;='PV IN'!$O$22*12,AW34+AX33,NA())</f>
        <v>-950263.76523804374</v>
      </c>
      <c r="AZ34" s="10">
        <f t="shared" si="2"/>
        <v>-1375</v>
      </c>
      <c r="BA34" s="10">
        <f t="shared" si="6"/>
        <v>1944.5272606611979</v>
      </c>
      <c r="BB34" s="10">
        <f t="shared" si="7"/>
        <v>569.52726066119794</v>
      </c>
      <c r="BC34" s="10">
        <f t="shared" si="8"/>
        <v>0</v>
      </c>
      <c r="BD34" s="10">
        <f t="shared" si="9"/>
        <v>-1375</v>
      </c>
      <c r="BE34" s="2">
        <f t="shared" si="10"/>
        <v>0</v>
      </c>
      <c r="BF34" s="10">
        <f t="shared" si="11"/>
        <v>-1375</v>
      </c>
      <c r="BG34" s="2">
        <f>-BF34*'PV IN'!$E$8</f>
        <v>288.75</v>
      </c>
      <c r="BH34" s="2">
        <f>IF('PV IN'!$F$4="Battery Only",0,BB34+BG34)</f>
        <v>858.27726066119794</v>
      </c>
      <c r="BI34" s="2">
        <f>BH34/(1+('PV IN'!$G$9))^(C34)</f>
        <v>759.72139799485535</v>
      </c>
    </row>
    <row r="35" spans="2:61" x14ac:dyDescent="0.25">
      <c r="C35">
        <v>31</v>
      </c>
      <c r="D35" s="16">
        <f>D34*(1+('PV IN'!$G$6/12))</f>
        <v>7.5999999999999998E-2</v>
      </c>
      <c r="E35" s="16">
        <f>LkUP!$U$23</f>
        <v>7.5127691152510362E-2</v>
      </c>
      <c r="F35" s="16">
        <f>IF('PV IN'!$D$7="Table",E35,D35)</f>
        <v>7.5127691152510362E-2</v>
      </c>
      <c r="G35" s="33">
        <f>('PV IN'!$E$25*'PV IN'!$E$18/12)*(1-(1-'PV IN'!$E$27)/(25*12))^C34</f>
        <v>149479.30070416073</v>
      </c>
      <c r="H35" s="33">
        <f>IF('PV IN'!$D$19="YES",G35*'PV IN'!$E$21,0)</f>
        <v>0</v>
      </c>
      <c r="I35" s="33">
        <f>IF('PV IN'!$D$19="YES",'PV IN'!$E$22*BattCalcs!W35,0)</f>
        <v>0</v>
      </c>
      <c r="J35" s="33">
        <f>IF('PV IN'!$D$19="YES",'PV IN'!$E$23*BattCalcs!Y35,0)</f>
        <v>0</v>
      </c>
      <c r="K35" s="33">
        <f>BattCalcs!AF35</f>
        <v>30812.599166666667</v>
      </c>
      <c r="L35" s="33">
        <f t="shared" si="12"/>
        <v>30812.599166666667</v>
      </c>
      <c r="M35" s="33">
        <f>IF('PV IN'!$F$4="PV Only",G35,G35-SUM(H35:J35,L35))</f>
        <v>149479.30070416073</v>
      </c>
      <c r="N35" s="2">
        <f>IF(C35&lt;='PV IN'!$I$12*12,'PV IN'!$E$12*G35/1000,0)</f>
        <v>0</v>
      </c>
      <c r="O35" s="2">
        <f>IF(AND(C35&gt;'PV IN'!$I$12*12,C35&lt;='PV IN'!$I$13*12+'PV IN'!$I$12*12),'PV IN'!$E$13*PVCalcs!G35/1000,0)</f>
        <v>1943.2309091540897</v>
      </c>
      <c r="P35" s="2">
        <f>IF(AND(C35&gt;'PV IN'!$I$12*12+'PV IN'!$I$13*12,C35&lt;='PV IN'!$I$12*12+'PV IN'!$I$13*12+'PV IN'!$I$14*12),'PV IN'!$E$14*PVCalcs!G35/1000,0)</f>
        <v>0</v>
      </c>
      <c r="R35" s="10">
        <f>IF(AND('PV IN'!$D$35="YES",$C35&lt;='PV IN'!$E$35*12),-'PV IN'!$E$18*'PV IN'!$E$34/12,0)</f>
        <v>0</v>
      </c>
      <c r="S35" s="10">
        <f>IF(AND('PV IN'!$D$37="YES",$C35&lt;='PV IN'!$E$37*12),-'PV IN'!$E$18*'PV IN'!$E$36/12,0)</f>
        <v>0</v>
      </c>
      <c r="U35" s="2">
        <f t="shared" si="13"/>
        <v>11230.034736995412</v>
      </c>
      <c r="V35" s="10">
        <f>PVLoan!M62</f>
        <v>0</v>
      </c>
      <c r="W35" s="2">
        <f>IF(C35='PV IN'!$I$40,IF('PV IN'!$G$40="Non-Taxable",'PV IN'!$F$40,0),0)+IF(C35='PV IN'!$I$41,IF('PV IN'!$G$41="Non-Taxable",'PV IN'!$F$41,0),0)</f>
        <v>0</v>
      </c>
      <c r="X35" s="10"/>
      <c r="Y35" s="10">
        <f>IF('PV IN'!$E$15="Non-Taxable",SUM(N35:P35),0)</f>
        <v>1943.2309091540897</v>
      </c>
      <c r="Z35" s="10">
        <f>IF('PV IN'!$E$15="Taxable",SUM(N35:P35),0)</f>
        <v>0</v>
      </c>
      <c r="AA35" s="2">
        <f>IF(C35='PV IN'!$I$40,IF('PV IN'!$G$40="Taxable",'PV IN'!$F$40,0),0)+IF(C35='PV IN'!$I$41,IF('PV IN'!$G$41="Taxable",'PV IN'!$F$41,0),0)</f>
        <v>0</v>
      </c>
      <c r="AD35" s="10">
        <f>IF('PV IN'!$D$48="YES",-U35*'PV IN'!$E$8,0)</f>
        <v>0</v>
      </c>
      <c r="AE35" s="10">
        <f>IF('PV IN'!$N$10="Yes",-PVLoan!H63,-PVLoan!L63)</f>
        <v>0</v>
      </c>
      <c r="AF35" s="10">
        <f>IF('PV IN'!$N$10="Yes",-PVLoan!F63,0)</f>
        <v>0</v>
      </c>
      <c r="AG35" s="10">
        <f>IF(AND('PV IN'!$D$35="YES",$C35&lt;='PV IN'!$E$35*12),0,-'PV IN'!$E$18*'PV IN'!$E$34/12)</f>
        <v>-750</v>
      </c>
      <c r="AH35" s="10">
        <f>IF(AND('PV IN'!$D$37="YES",$C35&lt;='PV IN'!$E$37*12),0,-'PV IN'!$E$18*'PV IN'!$E$36/12)</f>
        <v>-625</v>
      </c>
      <c r="AI35" s="2">
        <f>IF(AND('PV IN'!$D$33="YES",PVCalcs!C35=ROUNDUP('PV IN'!$H$33*12,)),-'PV IN'!$E$33*'PV IN'!$E$18,0)</f>
        <v>0</v>
      </c>
      <c r="AK35" s="2">
        <f t="shared" si="16"/>
        <v>13173.265646149503</v>
      </c>
      <c r="AL35" s="2">
        <f t="shared" si="3"/>
        <v>-1375</v>
      </c>
      <c r="AM35" s="2">
        <f t="shared" si="4"/>
        <v>11798.265646149503</v>
      </c>
      <c r="AN35" s="43"/>
      <c r="AO35" s="2">
        <f t="shared" si="1"/>
        <v>0</v>
      </c>
      <c r="AP35" s="2">
        <f t="shared" si="14"/>
        <v>-1375</v>
      </c>
      <c r="AR35" s="2">
        <f t="shared" si="15"/>
        <v>-1375</v>
      </c>
      <c r="AS35" s="2">
        <f>-AR35*'PV IN'!$E$8</f>
        <v>288.75</v>
      </c>
      <c r="AT35" s="2">
        <f>IF('PV IN'!$F$4="Battery Only",0,AM35+AS35)</f>
        <v>12087.015646149503</v>
      </c>
      <c r="AV35" s="10">
        <f t="shared" si="5"/>
        <v>-858266.63979408704</v>
      </c>
      <c r="AW35" s="2">
        <f>AT35/(1+('PV IN'!$G$9))^(C35)</f>
        <v>10655.652812947717</v>
      </c>
      <c r="AX35" s="2">
        <f>IF(C35&lt;='PV IN'!$O$22*12,AW35+AX34,NA())</f>
        <v>-939608.11242509598</v>
      </c>
      <c r="AZ35" s="10">
        <f t="shared" si="2"/>
        <v>-1375</v>
      </c>
      <c r="BA35" s="10">
        <f t="shared" si="6"/>
        <v>1943.2309091540901</v>
      </c>
      <c r="BB35" s="10">
        <f t="shared" si="7"/>
        <v>568.23090915409011</v>
      </c>
      <c r="BC35" s="10">
        <f t="shared" si="8"/>
        <v>0</v>
      </c>
      <c r="BD35" s="10">
        <f t="shared" si="9"/>
        <v>-1375</v>
      </c>
      <c r="BE35" s="2">
        <f t="shared" si="10"/>
        <v>0</v>
      </c>
      <c r="BF35" s="10">
        <f t="shared" si="11"/>
        <v>-1375</v>
      </c>
      <c r="BG35" s="2">
        <f>-BF35*'PV IN'!$E$8</f>
        <v>288.75</v>
      </c>
      <c r="BH35" s="2">
        <f>IF('PV IN'!$F$4="Battery Only",0,BB35+BG35)</f>
        <v>856.98090915409011</v>
      </c>
      <c r="BI35" s="2">
        <f>BH35/(1+('PV IN'!$G$9))^(C35)</f>
        <v>755.49592245123858</v>
      </c>
    </row>
    <row r="36" spans="2:61" x14ac:dyDescent="0.25">
      <c r="C36">
        <v>32</v>
      </c>
      <c r="D36" s="16">
        <f>D35*(1+('PV IN'!$G$6/12))</f>
        <v>7.5999999999999998E-2</v>
      </c>
      <c r="E36" s="16">
        <f>LkUP!$U$23</f>
        <v>7.5127691152510362E-2</v>
      </c>
      <c r="F36" s="16">
        <f>IF('PV IN'!$D$7="Table",E36,D36)</f>
        <v>7.5127691152510362E-2</v>
      </c>
      <c r="G36" s="33">
        <f>('PV IN'!$E$25*'PV IN'!$E$18/12)*(1-(1-'PV IN'!$E$27)/(25*12))^C35</f>
        <v>149379.64783702465</v>
      </c>
      <c r="H36" s="33">
        <f>IF('PV IN'!$D$19="YES",G36*'PV IN'!$E$21,0)</f>
        <v>0</v>
      </c>
      <c r="I36" s="33">
        <f>IF('PV IN'!$D$19="YES",'PV IN'!$E$22*BattCalcs!W36,0)</f>
        <v>0</v>
      </c>
      <c r="J36" s="33">
        <f>IF('PV IN'!$D$19="YES",'PV IN'!$E$23*BattCalcs!Y36,0)</f>
        <v>0</v>
      </c>
      <c r="K36" s="33">
        <f>BattCalcs!AF36</f>
        <v>30812.599166666667</v>
      </c>
      <c r="L36" s="33">
        <f t="shared" si="12"/>
        <v>30812.599166666667</v>
      </c>
      <c r="M36" s="33">
        <f>IF('PV IN'!$F$4="PV Only",G36,G36-SUM(H36:J36,L36))</f>
        <v>149379.64783702465</v>
      </c>
      <c r="N36" s="2">
        <f>IF(C36&lt;='PV IN'!$I$12*12,'PV IN'!$E$12*G36/1000,0)</f>
        <v>0</v>
      </c>
      <c r="O36" s="2">
        <f>IF(AND(C36&gt;'PV IN'!$I$12*12,C36&lt;='PV IN'!$I$13*12+'PV IN'!$I$12*12),'PV IN'!$E$13*PVCalcs!G36/1000,0)</f>
        <v>1941.9354218813205</v>
      </c>
      <c r="P36" s="2">
        <f>IF(AND(C36&gt;'PV IN'!$I$12*12+'PV IN'!$I$13*12,C36&lt;='PV IN'!$I$12*12+'PV IN'!$I$13*12+'PV IN'!$I$14*12),'PV IN'!$E$14*PVCalcs!G36/1000,0)</f>
        <v>0</v>
      </c>
      <c r="R36" s="10">
        <f>IF(AND('PV IN'!$D$35="YES",$C36&lt;='PV IN'!$E$35*12),-'PV IN'!$E$18*'PV IN'!$E$34/12,0)</f>
        <v>0</v>
      </c>
      <c r="S36" s="10">
        <f>IF(AND('PV IN'!$D$37="YES",$C36&lt;='PV IN'!$E$37*12),-'PV IN'!$E$18*'PV IN'!$E$36/12,0)</f>
        <v>0</v>
      </c>
      <c r="U36" s="2">
        <f t="shared" si="13"/>
        <v>11222.548047170751</v>
      </c>
      <c r="V36" s="10">
        <f>PVLoan!M63</f>
        <v>0</v>
      </c>
      <c r="W36" s="2">
        <f>IF(C36='PV IN'!$I$40,IF('PV IN'!$G$40="Non-Taxable",'PV IN'!$F$40,0),0)+IF(C36='PV IN'!$I$41,IF('PV IN'!$G$41="Non-Taxable",'PV IN'!$F$41,0),0)</f>
        <v>0</v>
      </c>
      <c r="X36" s="10"/>
      <c r="Y36" s="10">
        <f>IF('PV IN'!$E$15="Non-Taxable",SUM(N36:P36),0)</f>
        <v>1941.9354218813205</v>
      </c>
      <c r="Z36" s="10">
        <f>IF('PV IN'!$E$15="Taxable",SUM(N36:P36),0)</f>
        <v>0</v>
      </c>
      <c r="AA36" s="2">
        <f>IF(C36='PV IN'!$I$40,IF('PV IN'!$G$40="Taxable",'PV IN'!$F$40,0),0)+IF(C36='PV IN'!$I$41,IF('PV IN'!$G$41="Taxable",'PV IN'!$F$41,0),0)</f>
        <v>0</v>
      </c>
      <c r="AD36" s="10">
        <f>IF('PV IN'!$D$48="YES",-U36*'PV IN'!$E$8,0)</f>
        <v>0</v>
      </c>
      <c r="AE36" s="10">
        <f>IF('PV IN'!$N$10="Yes",-PVLoan!H64,-PVLoan!L64)</f>
        <v>0</v>
      </c>
      <c r="AF36" s="10">
        <f>IF('PV IN'!$N$10="Yes",-PVLoan!F64,0)</f>
        <v>0</v>
      </c>
      <c r="AG36" s="10">
        <f>IF(AND('PV IN'!$D$35="YES",$C36&lt;='PV IN'!$E$35*12),0,-'PV IN'!$E$18*'PV IN'!$E$34/12)</f>
        <v>-750</v>
      </c>
      <c r="AH36" s="10">
        <f>IF(AND('PV IN'!$D$37="YES",$C36&lt;='PV IN'!$E$37*12),0,-'PV IN'!$E$18*'PV IN'!$E$36/12)</f>
        <v>-625</v>
      </c>
      <c r="AI36" s="2">
        <f>IF(AND('PV IN'!$D$33="YES",PVCalcs!C36=ROUNDUP('PV IN'!$H$33*12,)),-'PV IN'!$E$33*'PV IN'!$E$18,0)</f>
        <v>0</v>
      </c>
      <c r="AK36" s="2">
        <f t="shared" si="16"/>
        <v>13164.483469052071</v>
      </c>
      <c r="AL36" s="2">
        <f t="shared" si="3"/>
        <v>-1375</v>
      </c>
      <c r="AM36" s="2">
        <f t="shared" si="4"/>
        <v>11789.483469052071</v>
      </c>
      <c r="AN36" s="43"/>
      <c r="AO36" s="2">
        <f t="shared" si="1"/>
        <v>0</v>
      </c>
      <c r="AP36" s="2">
        <f t="shared" si="14"/>
        <v>-1375</v>
      </c>
      <c r="AR36" s="2">
        <f t="shared" si="15"/>
        <v>-1375</v>
      </c>
      <c r="AS36" s="2">
        <f>-AR36*'PV IN'!$E$8</f>
        <v>288.75</v>
      </c>
      <c r="AT36" s="2">
        <f>IF('PV IN'!$F$4="Battery Only",0,AM36+AS36)</f>
        <v>12078.233469052071</v>
      </c>
      <c r="AV36" s="10">
        <f t="shared" si="5"/>
        <v>-846188.40632503491</v>
      </c>
      <c r="AW36" s="2">
        <f>AT36/(1+('PV IN'!$G$9))^(C36)</f>
        <v>10604.705750742871</v>
      </c>
      <c r="AX36" s="2">
        <f>IF(C36&lt;='PV IN'!$O$22*12,AW36+AX35,NA())</f>
        <v>-929003.40667435306</v>
      </c>
      <c r="AZ36" s="10">
        <f t="shared" si="2"/>
        <v>-1375</v>
      </c>
      <c r="BA36" s="10">
        <f t="shared" si="6"/>
        <v>1941.9354218813205</v>
      </c>
      <c r="BB36" s="10">
        <f t="shared" si="7"/>
        <v>566.93542188132051</v>
      </c>
      <c r="BC36" s="10">
        <f t="shared" si="8"/>
        <v>0</v>
      </c>
      <c r="BD36" s="10">
        <f t="shared" si="9"/>
        <v>-1375</v>
      </c>
      <c r="BE36" s="2">
        <f t="shared" si="10"/>
        <v>0</v>
      </c>
      <c r="BF36" s="10">
        <f t="shared" si="11"/>
        <v>-1375</v>
      </c>
      <c r="BG36" s="2">
        <f>-BF36*'PV IN'!$E$8</f>
        <v>288.75</v>
      </c>
      <c r="BH36" s="2">
        <f>IF('PV IN'!$F$4="Battery Only",0,BB36+BG36)</f>
        <v>855.68542188132051</v>
      </c>
      <c r="BI36" s="2">
        <f>BH36/(1+('PV IN'!$G$9))^(C36)</f>
        <v>751.29298812633829</v>
      </c>
    </row>
    <row r="37" spans="2:61" x14ac:dyDescent="0.25">
      <c r="C37">
        <v>33</v>
      </c>
      <c r="D37" s="16">
        <f>D36*(1+('PV IN'!$G$6/12))</f>
        <v>7.5999999999999998E-2</v>
      </c>
      <c r="E37" s="16">
        <f>LkUP!$U$23</f>
        <v>7.5127691152510362E-2</v>
      </c>
      <c r="F37" s="16">
        <f>IF('PV IN'!$D$7="Table",E37,D37)</f>
        <v>7.5127691152510362E-2</v>
      </c>
      <c r="G37" s="33">
        <f>('PV IN'!$E$25*'PV IN'!$E$18/12)*(1-(1-'PV IN'!$E$27)/(25*12))^C36</f>
        <v>149280.06140513328</v>
      </c>
      <c r="H37" s="33">
        <f>IF('PV IN'!$D$19="YES",G37*'PV IN'!$E$21,0)</f>
        <v>0</v>
      </c>
      <c r="I37" s="33">
        <f>IF('PV IN'!$D$19="YES",'PV IN'!$E$22*BattCalcs!W37,0)</f>
        <v>0</v>
      </c>
      <c r="J37" s="33">
        <f>IF('PV IN'!$D$19="YES",'PV IN'!$E$23*BattCalcs!Y37,0)</f>
        <v>0</v>
      </c>
      <c r="K37" s="33">
        <f>BattCalcs!AF37</f>
        <v>30812.599166666667</v>
      </c>
      <c r="L37" s="33">
        <f t="shared" si="12"/>
        <v>30812.599166666667</v>
      </c>
      <c r="M37" s="33">
        <f>IF('PV IN'!$F$4="PV Only",G37,G37-SUM(H37:J37,L37))</f>
        <v>149280.06140513328</v>
      </c>
      <c r="N37" s="2">
        <f>IF(C37&lt;='PV IN'!$I$12*12,'PV IN'!$E$12*G37/1000,0)</f>
        <v>0</v>
      </c>
      <c r="O37" s="2">
        <f>IF(AND(C37&gt;'PV IN'!$I$12*12,C37&lt;='PV IN'!$I$13*12+'PV IN'!$I$12*12),'PV IN'!$E$13*PVCalcs!G37/1000,0)</f>
        <v>1940.6407982667326</v>
      </c>
      <c r="P37" s="2">
        <f>IF(AND(C37&gt;'PV IN'!$I$12*12+'PV IN'!$I$13*12,C37&lt;='PV IN'!$I$12*12+'PV IN'!$I$13*12+'PV IN'!$I$14*12),'PV IN'!$E$14*PVCalcs!G37/1000,0)</f>
        <v>0</v>
      </c>
      <c r="R37" s="10">
        <f>IF(AND('PV IN'!$D$35="YES",$C37&lt;='PV IN'!$E$35*12),-'PV IN'!$E$18*'PV IN'!$E$34/12,0)</f>
        <v>0</v>
      </c>
      <c r="S37" s="10">
        <f>IF(AND('PV IN'!$D$37="YES",$C37&lt;='PV IN'!$E$37*12),-'PV IN'!$E$18*'PV IN'!$E$36/12,0)</f>
        <v>0</v>
      </c>
      <c r="U37" s="2">
        <f t="shared" si="13"/>
        <v>11215.066348472636</v>
      </c>
      <c r="V37" s="10">
        <f>PVLoan!M64</f>
        <v>0</v>
      </c>
      <c r="W37" s="2">
        <f>IF(C37='PV IN'!$I$40,IF('PV IN'!$G$40="Non-Taxable",'PV IN'!$F$40,0),0)+IF(C37='PV IN'!$I$41,IF('PV IN'!$G$41="Non-Taxable",'PV IN'!$F$41,0),0)</f>
        <v>0</v>
      </c>
      <c r="X37" s="10"/>
      <c r="Y37" s="10">
        <f>IF('PV IN'!$E$15="Non-Taxable",SUM(N37:P37),0)</f>
        <v>1940.6407982667326</v>
      </c>
      <c r="Z37" s="10">
        <f>IF('PV IN'!$E$15="Taxable",SUM(N37:P37),0)</f>
        <v>0</v>
      </c>
      <c r="AA37" s="2">
        <f>IF(C37='PV IN'!$I$40,IF('PV IN'!$G$40="Taxable",'PV IN'!$F$40,0),0)+IF(C37='PV IN'!$I$41,IF('PV IN'!$G$41="Taxable",'PV IN'!$F$41,0),0)</f>
        <v>0</v>
      </c>
      <c r="AD37" s="10">
        <f>IF('PV IN'!$D$48="YES",-U37*'PV IN'!$E$8,0)</f>
        <v>0</v>
      </c>
      <c r="AE37" s="10">
        <f>IF('PV IN'!$N$10="Yes",-PVLoan!H65,-PVLoan!L65)</f>
        <v>0</v>
      </c>
      <c r="AF37" s="10">
        <f>IF('PV IN'!$N$10="Yes",-PVLoan!F65,0)</f>
        <v>0</v>
      </c>
      <c r="AG37" s="10">
        <f>IF(AND('PV IN'!$D$35="YES",$C37&lt;='PV IN'!$E$35*12),0,-'PV IN'!$E$18*'PV IN'!$E$34/12)</f>
        <v>-750</v>
      </c>
      <c r="AH37" s="10">
        <f>IF(AND('PV IN'!$D$37="YES",$C37&lt;='PV IN'!$E$37*12),0,-'PV IN'!$E$18*'PV IN'!$E$36/12)</f>
        <v>-625</v>
      </c>
      <c r="AI37" s="2">
        <f>IF(AND('PV IN'!$D$33="YES",PVCalcs!C37=ROUNDUP('PV IN'!$H$33*12,)),-'PV IN'!$E$33*'PV IN'!$E$18,0)</f>
        <v>0</v>
      </c>
      <c r="AK37" s="2">
        <f t="shared" si="16"/>
        <v>13155.707146739369</v>
      </c>
      <c r="AL37" s="2">
        <f t="shared" si="3"/>
        <v>-1375</v>
      </c>
      <c r="AM37" s="2">
        <f t="shared" si="4"/>
        <v>11780.707146739369</v>
      </c>
      <c r="AN37" s="43"/>
      <c r="AO37" s="2">
        <f t="shared" si="1"/>
        <v>0</v>
      </c>
      <c r="AP37" s="2">
        <f t="shared" si="14"/>
        <v>-1375</v>
      </c>
      <c r="AR37" s="2">
        <f t="shared" si="15"/>
        <v>-1375</v>
      </c>
      <c r="AS37" s="2">
        <f>-AR37*'PV IN'!$E$8</f>
        <v>288.75</v>
      </c>
      <c r="AT37" s="2">
        <f>IF('PV IN'!$F$4="Battery Only",0,AM37+AS37)</f>
        <v>12069.457146739369</v>
      </c>
      <c r="AV37" s="10">
        <f t="shared" si="5"/>
        <v>-834118.94917829556</v>
      </c>
      <c r="AW37" s="2">
        <f>AT37/(1+('PV IN'!$G$9))^(C37)</f>
        <v>10554.001817752174</v>
      </c>
      <c r="AX37" s="2">
        <f>IF(C37&lt;='PV IN'!$O$22*12,AW37+AX36,NA())</f>
        <v>-918449.40485660092</v>
      </c>
      <c r="AZ37" s="10">
        <f t="shared" si="2"/>
        <v>-1375</v>
      </c>
      <c r="BA37" s="10">
        <f t="shared" si="6"/>
        <v>1940.6407982667333</v>
      </c>
      <c r="BB37" s="10">
        <f t="shared" si="7"/>
        <v>565.64079826673333</v>
      </c>
      <c r="BC37" s="10">
        <f t="shared" si="8"/>
        <v>0</v>
      </c>
      <c r="BD37" s="10">
        <f t="shared" si="9"/>
        <v>-1375</v>
      </c>
      <c r="BE37" s="2">
        <f t="shared" si="10"/>
        <v>0</v>
      </c>
      <c r="BF37" s="10">
        <f t="shared" si="11"/>
        <v>-1375</v>
      </c>
      <c r="BG37" s="2">
        <f>-BF37*'PV IN'!$E$8</f>
        <v>288.75</v>
      </c>
      <c r="BH37" s="2">
        <f>IF('PV IN'!$F$4="Battery Only",0,BB37+BG37)</f>
        <v>854.39079826673333</v>
      </c>
      <c r="BI37" s="2">
        <f>BH37/(1+('PV IN'!$G$9))^(C37)</f>
        <v>747.11247807975303</v>
      </c>
    </row>
    <row r="38" spans="2:61" x14ac:dyDescent="0.25">
      <c r="C38">
        <v>34</v>
      </c>
      <c r="D38" s="16">
        <f>D37*(1+('PV IN'!$G$6/12))</f>
        <v>7.5999999999999998E-2</v>
      </c>
      <c r="E38" s="16">
        <f>LkUP!$U$23</f>
        <v>7.5127691152510362E-2</v>
      </c>
      <c r="F38" s="16">
        <f>IF('PV IN'!$D$7="Table",E38,D38)</f>
        <v>7.5127691152510362E-2</v>
      </c>
      <c r="G38" s="33">
        <f>('PV IN'!$E$25*'PV IN'!$E$18/12)*(1-(1-'PV IN'!$E$27)/(25*12))^C37</f>
        <v>149180.54136419651</v>
      </c>
      <c r="H38" s="33">
        <f>IF('PV IN'!$D$19="YES",G38*'PV IN'!$E$21,0)</f>
        <v>0</v>
      </c>
      <c r="I38" s="33">
        <f>IF('PV IN'!$D$19="YES",'PV IN'!$E$22*BattCalcs!W38,0)</f>
        <v>0</v>
      </c>
      <c r="J38" s="33">
        <f>IF('PV IN'!$D$19="YES",'PV IN'!$E$23*BattCalcs!Y38,0)</f>
        <v>0</v>
      </c>
      <c r="K38" s="33">
        <f>BattCalcs!AF38</f>
        <v>30812.599166666667</v>
      </c>
      <c r="L38" s="33">
        <f t="shared" si="12"/>
        <v>30812.599166666667</v>
      </c>
      <c r="M38" s="33">
        <f>IF('PV IN'!$F$4="PV Only",G38,G38-SUM(H38:J38,L38))</f>
        <v>149180.54136419651</v>
      </c>
      <c r="N38" s="2">
        <f>IF(C38&lt;='PV IN'!$I$12*12,'PV IN'!$E$12*G38/1000,0)</f>
        <v>0</v>
      </c>
      <c r="O38" s="2">
        <f>IF(AND(C38&gt;'PV IN'!$I$12*12,C38&lt;='PV IN'!$I$13*12+'PV IN'!$I$12*12),'PV IN'!$E$13*PVCalcs!G38/1000,0)</f>
        <v>1939.3470377345545</v>
      </c>
      <c r="P38" s="2">
        <f>IF(AND(C38&gt;'PV IN'!$I$12*12+'PV IN'!$I$13*12,C38&lt;='PV IN'!$I$12*12+'PV IN'!$I$13*12+'PV IN'!$I$14*12),'PV IN'!$E$14*PVCalcs!G38/1000,0)</f>
        <v>0</v>
      </c>
      <c r="R38" s="10">
        <f>IF(AND('PV IN'!$D$35="YES",$C38&lt;='PV IN'!$E$35*12),-'PV IN'!$E$18*'PV IN'!$E$34/12,0)</f>
        <v>0</v>
      </c>
      <c r="S38" s="10">
        <f>IF(AND('PV IN'!$D$37="YES",$C38&lt;='PV IN'!$E$37*12),-'PV IN'!$E$18*'PV IN'!$E$36/12,0)</f>
        <v>0</v>
      </c>
      <c r="U38" s="2">
        <f t="shared" si="13"/>
        <v>11207.589637573652</v>
      </c>
      <c r="V38" s="10">
        <f>PVLoan!M65</f>
        <v>0</v>
      </c>
      <c r="W38" s="2">
        <f>IF(C38='PV IN'!$I$40,IF('PV IN'!$G$40="Non-Taxable",'PV IN'!$F$40,0),0)+IF(C38='PV IN'!$I$41,IF('PV IN'!$G$41="Non-Taxable",'PV IN'!$F$41,0),0)</f>
        <v>0</v>
      </c>
      <c r="X38" s="10"/>
      <c r="Y38" s="10">
        <f>IF('PV IN'!$E$15="Non-Taxable",SUM(N38:P38),0)</f>
        <v>1939.3470377345545</v>
      </c>
      <c r="Z38" s="10">
        <f>IF('PV IN'!$E$15="Taxable",SUM(N38:P38),0)</f>
        <v>0</v>
      </c>
      <c r="AA38" s="2">
        <f>IF(C38='PV IN'!$I$40,IF('PV IN'!$G$40="Taxable",'PV IN'!$F$40,0),0)+IF(C38='PV IN'!$I$41,IF('PV IN'!$G$41="Taxable",'PV IN'!$F$41,0),0)</f>
        <v>0</v>
      </c>
      <c r="AD38" s="10">
        <f>IF('PV IN'!$D$48="YES",-U38*'PV IN'!$E$8,0)</f>
        <v>0</v>
      </c>
      <c r="AE38" s="10">
        <f>IF('PV IN'!$N$10="Yes",-PVLoan!H66,-PVLoan!L66)</f>
        <v>0</v>
      </c>
      <c r="AF38" s="10">
        <f>IF('PV IN'!$N$10="Yes",-PVLoan!F66,0)</f>
        <v>0</v>
      </c>
      <c r="AG38" s="10">
        <f>IF(AND('PV IN'!$D$35="YES",$C38&lt;='PV IN'!$E$35*12),0,-'PV IN'!$E$18*'PV IN'!$E$34/12)</f>
        <v>-750</v>
      </c>
      <c r="AH38" s="10">
        <f>IF(AND('PV IN'!$D$37="YES",$C38&lt;='PV IN'!$E$37*12),0,-'PV IN'!$E$18*'PV IN'!$E$36/12)</f>
        <v>-625</v>
      </c>
      <c r="AI38" s="2">
        <f>IF(AND('PV IN'!$D$33="YES",PVCalcs!C38=ROUNDUP('PV IN'!$H$33*12,)),-'PV IN'!$E$33*'PV IN'!$E$18,0)</f>
        <v>0</v>
      </c>
      <c r="AK38" s="2">
        <f t="shared" si="16"/>
        <v>13146.936675308207</v>
      </c>
      <c r="AL38" s="2">
        <f t="shared" si="3"/>
        <v>-1375</v>
      </c>
      <c r="AM38" s="2">
        <f t="shared" si="4"/>
        <v>11771.936675308207</v>
      </c>
      <c r="AN38" s="43"/>
      <c r="AO38" s="2">
        <f t="shared" si="1"/>
        <v>0</v>
      </c>
      <c r="AP38" s="2">
        <f t="shared" si="14"/>
        <v>-1375</v>
      </c>
      <c r="AR38" s="2">
        <f t="shared" si="15"/>
        <v>-1375</v>
      </c>
      <c r="AS38" s="2">
        <f>-AR38*'PV IN'!$E$8</f>
        <v>288.75</v>
      </c>
      <c r="AT38" s="2">
        <f>IF('PV IN'!$F$4="Battery Only",0,AM38+AS38)</f>
        <v>12060.686675308207</v>
      </c>
      <c r="AV38" s="10">
        <f t="shared" si="5"/>
        <v>-822058.2625029874</v>
      </c>
      <c r="AW38" s="2">
        <f>AT38/(1+('PV IN'!$G$9))^(C38)</f>
        <v>10503.539855559678</v>
      </c>
      <c r="AX38" s="2">
        <f>IF(C38&lt;='PV IN'!$O$22*12,AW38+AX37,NA())</f>
        <v>-907945.86500104121</v>
      </c>
      <c r="AZ38" s="10">
        <f t="shared" si="2"/>
        <v>-1375</v>
      </c>
      <c r="BA38" s="10">
        <f t="shared" si="6"/>
        <v>1939.3470377345548</v>
      </c>
      <c r="BB38" s="10">
        <f t="shared" si="7"/>
        <v>564.34703773455476</v>
      </c>
      <c r="BC38" s="10">
        <f t="shared" si="8"/>
        <v>0</v>
      </c>
      <c r="BD38" s="10">
        <f t="shared" si="9"/>
        <v>-1375</v>
      </c>
      <c r="BE38" s="2">
        <f t="shared" si="10"/>
        <v>0</v>
      </c>
      <c r="BF38" s="10">
        <f t="shared" si="11"/>
        <v>-1375</v>
      </c>
      <c r="BG38" s="2">
        <f>-BF38*'PV IN'!$E$8</f>
        <v>288.75</v>
      </c>
      <c r="BH38" s="2">
        <f>IF('PV IN'!$F$4="Battery Only",0,BB38+BG38)</f>
        <v>853.09703773455476</v>
      </c>
      <c r="BI38" s="2">
        <f>BH38/(1+('PV IN'!$G$9))^(C38)</f>
        <v>742.95427596586762</v>
      </c>
    </row>
    <row r="39" spans="2:61" x14ac:dyDescent="0.25">
      <c r="C39">
        <v>35</v>
      </c>
      <c r="D39" s="16">
        <f>D38*(1+('PV IN'!$G$6/12))</f>
        <v>7.5999999999999998E-2</v>
      </c>
      <c r="E39" s="16">
        <f>LkUP!$U$23</f>
        <v>7.5127691152510362E-2</v>
      </c>
      <c r="F39" s="16">
        <f>IF('PV IN'!$D$7="Table",E39,D39)</f>
        <v>7.5127691152510362E-2</v>
      </c>
      <c r="G39" s="33">
        <f>('PV IN'!$E$25*'PV IN'!$E$18/12)*(1-(1-'PV IN'!$E$27)/(25*12))^C38</f>
        <v>149081.0876699537</v>
      </c>
      <c r="H39" s="33">
        <f>IF('PV IN'!$D$19="YES",G39*'PV IN'!$E$21,0)</f>
        <v>0</v>
      </c>
      <c r="I39" s="33">
        <f>IF('PV IN'!$D$19="YES",'PV IN'!$E$22*BattCalcs!W39,0)</f>
        <v>0</v>
      </c>
      <c r="J39" s="33">
        <f>IF('PV IN'!$D$19="YES",'PV IN'!$E$23*BattCalcs!Y39,0)</f>
        <v>0</v>
      </c>
      <c r="K39" s="33">
        <f>BattCalcs!AF39</f>
        <v>30812.599166666667</v>
      </c>
      <c r="L39" s="33">
        <f t="shared" si="12"/>
        <v>30812.599166666667</v>
      </c>
      <c r="M39" s="33">
        <f>IF('PV IN'!$F$4="PV Only",G39,G39-SUM(H39:J39,L39))</f>
        <v>149081.0876699537</v>
      </c>
      <c r="N39" s="2">
        <f>IF(C39&lt;='PV IN'!$I$12*12,'PV IN'!$E$12*G39/1000,0)</f>
        <v>0</v>
      </c>
      <c r="O39" s="2">
        <f>IF(AND(C39&gt;'PV IN'!$I$12*12,C39&lt;='PV IN'!$I$13*12+'PV IN'!$I$12*12),'PV IN'!$E$13*PVCalcs!G39/1000,0)</f>
        <v>1938.0541397093982</v>
      </c>
      <c r="P39" s="2">
        <f>IF(AND(C39&gt;'PV IN'!$I$12*12+'PV IN'!$I$13*12,C39&lt;='PV IN'!$I$12*12+'PV IN'!$I$13*12+'PV IN'!$I$14*12),'PV IN'!$E$14*PVCalcs!G39/1000,0)</f>
        <v>0</v>
      </c>
      <c r="R39" s="10">
        <f>IF(AND('PV IN'!$D$35="YES",$C39&lt;='PV IN'!$E$35*12),-'PV IN'!$E$18*'PV IN'!$E$34/12,0)</f>
        <v>0</v>
      </c>
      <c r="S39" s="10">
        <f>IF(AND('PV IN'!$D$37="YES",$C39&lt;='PV IN'!$E$37*12),-'PV IN'!$E$18*'PV IN'!$E$36/12,0)</f>
        <v>0</v>
      </c>
      <c r="U39" s="2">
        <f t="shared" si="13"/>
        <v>11200.117911148602</v>
      </c>
      <c r="V39" s="10">
        <f>PVLoan!M66</f>
        <v>0</v>
      </c>
      <c r="W39" s="2">
        <f>IF(C39='PV IN'!$I$40,IF('PV IN'!$G$40="Non-Taxable",'PV IN'!$F$40,0),0)+IF(C39='PV IN'!$I$41,IF('PV IN'!$G$41="Non-Taxable",'PV IN'!$F$41,0),0)</f>
        <v>0</v>
      </c>
      <c r="X39" s="10"/>
      <c r="Y39" s="10">
        <f>IF('PV IN'!$E$15="Non-Taxable",SUM(N39:P39),0)</f>
        <v>1938.0541397093982</v>
      </c>
      <c r="Z39" s="10">
        <f>IF('PV IN'!$E$15="Taxable",SUM(N39:P39),0)</f>
        <v>0</v>
      </c>
      <c r="AA39" s="2">
        <f>IF(C39='PV IN'!$I$40,IF('PV IN'!$G$40="Taxable",'PV IN'!$F$40,0),0)+IF(C39='PV IN'!$I$41,IF('PV IN'!$G$41="Taxable",'PV IN'!$F$41,0),0)</f>
        <v>0</v>
      </c>
      <c r="AD39" s="10">
        <f>IF('PV IN'!$D$48="YES",-U39*'PV IN'!$E$8,0)</f>
        <v>0</v>
      </c>
      <c r="AE39" s="10">
        <f>IF('PV IN'!$N$10="Yes",-PVLoan!H67,-PVLoan!L67)</f>
        <v>0</v>
      </c>
      <c r="AF39" s="10">
        <f>IF('PV IN'!$N$10="Yes",-PVLoan!F67,0)</f>
        <v>0</v>
      </c>
      <c r="AG39" s="10">
        <f>IF(AND('PV IN'!$D$35="YES",$C39&lt;='PV IN'!$E$35*12),0,-'PV IN'!$E$18*'PV IN'!$E$34/12)</f>
        <v>-750</v>
      </c>
      <c r="AH39" s="10">
        <f>IF(AND('PV IN'!$D$37="YES",$C39&lt;='PV IN'!$E$37*12),0,-'PV IN'!$E$18*'PV IN'!$E$36/12)</f>
        <v>-625</v>
      </c>
      <c r="AI39" s="2">
        <f>IF(AND('PV IN'!$D$33="YES",PVCalcs!C39=ROUNDUP('PV IN'!$H$33*12,)),-'PV IN'!$E$33*'PV IN'!$E$18,0)</f>
        <v>0</v>
      </c>
      <c r="AK39" s="2">
        <f t="shared" si="16"/>
        <v>13138.172050858</v>
      </c>
      <c r="AL39" s="2">
        <f t="shared" si="3"/>
        <v>-1375</v>
      </c>
      <c r="AM39" s="2">
        <f t="shared" si="4"/>
        <v>11763.172050858</v>
      </c>
      <c r="AN39" s="43"/>
      <c r="AO39" s="2">
        <f t="shared" si="1"/>
        <v>0</v>
      </c>
      <c r="AP39" s="2">
        <f t="shared" si="14"/>
        <v>-1375</v>
      </c>
      <c r="AR39" s="2">
        <f t="shared" si="15"/>
        <v>-1375</v>
      </c>
      <c r="AS39" s="2">
        <f>-AR39*'PV IN'!$E$8</f>
        <v>288.75</v>
      </c>
      <c r="AT39" s="2">
        <f>IF('PV IN'!$F$4="Battery Only",0,AM39+AS39)</f>
        <v>12051.922050858</v>
      </c>
      <c r="AV39" s="10">
        <f t="shared" si="5"/>
        <v>-810006.34045212937</v>
      </c>
      <c r="AW39" s="2">
        <f>AT39/(1+('PV IN'!$G$9))^(C39)</f>
        <v>10453.318711261451</v>
      </c>
      <c r="AX39" s="2">
        <f>IF(C39&lt;='PV IN'!$O$22*12,AW39+AX38,NA())</f>
        <v>-897492.54628977971</v>
      </c>
      <c r="AZ39" s="10">
        <f t="shared" si="2"/>
        <v>-1375</v>
      </c>
      <c r="BA39" s="10">
        <f t="shared" si="6"/>
        <v>1938.0541397093984</v>
      </c>
      <c r="BB39" s="10">
        <f t="shared" si="7"/>
        <v>563.05413970939844</v>
      </c>
      <c r="BC39" s="10">
        <f t="shared" si="8"/>
        <v>0</v>
      </c>
      <c r="BD39" s="10">
        <f t="shared" si="9"/>
        <v>-1375</v>
      </c>
      <c r="BE39" s="2">
        <f t="shared" si="10"/>
        <v>0</v>
      </c>
      <c r="BF39" s="10">
        <f t="shared" si="11"/>
        <v>-1375</v>
      </c>
      <c r="BG39" s="2">
        <f>-BF39*'PV IN'!$E$8</f>
        <v>288.75</v>
      </c>
      <c r="BH39" s="2">
        <f>IF('PV IN'!$F$4="Battery Only",0,BB39+BG39)</f>
        <v>851.80413970939844</v>
      </c>
      <c r="BI39" s="2">
        <f>BH39/(1+('PV IN'!$G$9))^(C39)</f>
        <v>738.81826603087848</v>
      </c>
    </row>
    <row r="40" spans="2:61" x14ac:dyDescent="0.25">
      <c r="B40">
        <v>3</v>
      </c>
      <c r="C40">
        <v>36</v>
      </c>
      <c r="D40" s="16">
        <f>D39*(1+('PV IN'!$G$6/12))</f>
        <v>7.5999999999999998E-2</v>
      </c>
      <c r="E40" s="16">
        <f>LkUP!$U$23</f>
        <v>7.5127691152510362E-2</v>
      </c>
      <c r="F40" s="16">
        <f>IF('PV IN'!$D$7="Table",E40,D40)</f>
        <v>7.5127691152510362E-2</v>
      </c>
      <c r="G40" s="33">
        <f>('PV IN'!$E$25*'PV IN'!$E$18/12)*(1-(1-'PV IN'!$E$27)/(25*12))^C39</f>
        <v>148981.70027817375</v>
      </c>
      <c r="H40" s="33">
        <f>IF('PV IN'!$D$19="YES",G40*'PV IN'!$E$21,0)</f>
        <v>0</v>
      </c>
      <c r="I40" s="33">
        <f>IF('PV IN'!$D$19="YES",'PV IN'!$E$22*BattCalcs!W40,0)</f>
        <v>0</v>
      </c>
      <c r="J40" s="33">
        <f>IF('PV IN'!$D$19="YES",'PV IN'!$E$23*BattCalcs!Y40,0)</f>
        <v>0</v>
      </c>
      <c r="K40" s="33">
        <f>BattCalcs!AF40</f>
        <v>30812.599166666667</v>
      </c>
      <c r="L40" s="33">
        <f t="shared" si="12"/>
        <v>30812.599166666667</v>
      </c>
      <c r="M40" s="33">
        <f>IF('PV IN'!$F$4="PV Only",G40,G40-SUM(H40:J40,L40))</f>
        <v>148981.70027817375</v>
      </c>
      <c r="N40" s="2">
        <f>IF(C40&lt;='PV IN'!$I$12*12,'PV IN'!$E$12*G40/1000,0)</f>
        <v>0</v>
      </c>
      <c r="O40" s="2">
        <f>IF(AND(C40&gt;'PV IN'!$I$12*12,C40&lt;='PV IN'!$I$13*12+'PV IN'!$I$12*12),'PV IN'!$E$13*PVCalcs!G40/1000,0)</f>
        <v>1936.7621036162589</v>
      </c>
      <c r="P40" s="2">
        <f>IF(AND(C40&gt;'PV IN'!$I$12*12+'PV IN'!$I$13*12,C40&lt;='PV IN'!$I$12*12+'PV IN'!$I$13*12+'PV IN'!$I$14*12),'PV IN'!$E$14*PVCalcs!G40/1000,0)</f>
        <v>0</v>
      </c>
      <c r="R40" s="10">
        <f>IF(AND('PV IN'!$D$35="YES",$C40&lt;='PV IN'!$E$35*12),-'PV IN'!$E$18*'PV IN'!$E$34/12,0)</f>
        <v>0</v>
      </c>
      <c r="S40" s="10">
        <f>IF(AND('PV IN'!$D$37="YES",$C40&lt;='PV IN'!$E$37*12),-'PV IN'!$E$18*'PV IN'!$E$36/12,0)</f>
        <v>0</v>
      </c>
      <c r="U40" s="2">
        <f t="shared" si="13"/>
        <v>11192.651165874506</v>
      </c>
      <c r="V40" s="10">
        <f>PVLoan!M67</f>
        <v>0</v>
      </c>
      <c r="W40" s="2">
        <f>IF(C40='PV IN'!$I$40,IF('PV IN'!$G$40="Non-Taxable",'PV IN'!$F$40,0),0)+IF(C40='PV IN'!$I$41,IF('PV IN'!$G$41="Non-Taxable",'PV IN'!$F$41,0),0)</f>
        <v>0</v>
      </c>
      <c r="Y40" s="10">
        <f>IF('PV IN'!$E$15="Non-Taxable",SUM(N40:P40),0)</f>
        <v>1936.7621036162589</v>
      </c>
      <c r="Z40" s="10">
        <f>IF('PV IN'!$E$15="Taxable",SUM(N40:P40),0)</f>
        <v>0</v>
      </c>
      <c r="AA40" s="2">
        <f>IF(C40='PV IN'!$I$40,IF('PV IN'!$G$40="Taxable",'PV IN'!$F$40,0),0)+IF(C40='PV IN'!$I$41,IF('PV IN'!$G$41="Taxable",'PV IN'!$F$41,0),0)</f>
        <v>0</v>
      </c>
      <c r="AD40" s="10">
        <f>IF('PV IN'!$D$48="YES",-U40*'PV IN'!$E$8,0)</f>
        <v>0</v>
      </c>
      <c r="AE40" s="10">
        <f>IF('PV IN'!$N$10="Yes",-PVLoan!H68,-PVLoan!L68)</f>
        <v>0</v>
      </c>
      <c r="AF40" s="10">
        <f>IF('PV IN'!$N$10="Yes",-PVLoan!F68,0)</f>
        <v>0</v>
      </c>
      <c r="AG40" s="10">
        <f>IF(AND('PV IN'!$D$35="YES",$C40&lt;='PV IN'!$E$35*12),0,-'PV IN'!$E$18*'PV IN'!$E$34/12)</f>
        <v>-750</v>
      </c>
      <c r="AH40" s="10">
        <f>IF(AND('PV IN'!$D$37="YES",$C40&lt;='PV IN'!$E$37*12),0,-'PV IN'!$E$18*'PV IN'!$E$36/12)</f>
        <v>-625</v>
      </c>
      <c r="AI40" s="2">
        <f>IF(AND('PV IN'!$D$33="YES",PVCalcs!C40=ROUNDUP('PV IN'!$H$33*12,)),-'PV IN'!$E$33*'PV IN'!$E$18,0)</f>
        <v>0</v>
      </c>
      <c r="AK40" s="2">
        <f t="shared" si="16"/>
        <v>13129.413269490764</v>
      </c>
      <c r="AL40" s="2">
        <f t="shared" si="3"/>
        <v>-1375</v>
      </c>
      <c r="AM40" s="2">
        <f t="shared" si="4"/>
        <v>11754.413269490764</v>
      </c>
      <c r="AN40" s="43"/>
      <c r="AO40" s="2">
        <f t="shared" si="1"/>
        <v>0</v>
      </c>
      <c r="AP40" s="2">
        <f t="shared" si="14"/>
        <v>-1375</v>
      </c>
      <c r="AQ40" s="2">
        <f>-Depr.!F9</f>
        <v>-158099.99999999971</v>
      </c>
      <c r="AR40" s="2">
        <f t="shared" si="15"/>
        <v>-159474.99999999971</v>
      </c>
      <c r="AS40" s="2">
        <f>-AR40*'PV IN'!$E$8</f>
        <v>33489.749999999935</v>
      </c>
      <c r="AT40" s="2">
        <f>IF('PV IN'!$F$4="Battery Only",0,AM40+AS40)</f>
        <v>45244.163269490702</v>
      </c>
      <c r="AV40" s="10">
        <f t="shared" si="5"/>
        <v>-764762.17718263867</v>
      </c>
      <c r="AW40" s="2">
        <f>AT40/(1+('PV IN'!$G$9))^(C40)</f>
        <v>39083.609346282734</v>
      </c>
      <c r="AX40" s="2">
        <f>IF(C40&lt;='PV IN'!$O$22*12,AW40+AX39,NA())</f>
        <v>-858408.93694349693</v>
      </c>
      <c r="AZ40" s="10">
        <f t="shared" si="2"/>
        <v>-1375</v>
      </c>
      <c r="BA40" s="10">
        <f t="shared" si="6"/>
        <v>1936.7621036162582</v>
      </c>
      <c r="BB40" s="10">
        <f t="shared" si="7"/>
        <v>561.76210361625817</v>
      </c>
      <c r="BC40" s="10">
        <f t="shared" si="8"/>
        <v>0</v>
      </c>
      <c r="BD40" s="10">
        <f t="shared" si="9"/>
        <v>-1375</v>
      </c>
      <c r="BE40" s="2">
        <f t="shared" si="10"/>
        <v>-158099.99999999971</v>
      </c>
      <c r="BF40" s="10">
        <f t="shared" si="11"/>
        <v>-159474.99999999971</v>
      </c>
      <c r="BG40" s="2">
        <f>-BF40*'PV IN'!$E$8</f>
        <v>33489.749999999935</v>
      </c>
      <c r="BH40" s="2">
        <f>IF('PV IN'!$F$4="Battery Only",0,BB40+BG40)</f>
        <v>34051.512103616195</v>
      </c>
      <c r="BI40" s="2">
        <f>BH40/(1+('PV IN'!$G$9))^(C40)</f>
        <v>29414.976441953204</v>
      </c>
    </row>
    <row r="41" spans="2:61" x14ac:dyDescent="0.25">
      <c r="C41">
        <v>37</v>
      </c>
      <c r="D41" s="16">
        <f>D40*(1+('PV IN'!$G$6/12))</f>
        <v>7.5999999999999998E-2</v>
      </c>
      <c r="E41" s="16">
        <f>LkUP!$U$24</f>
        <v>7.5878115998166518E-2</v>
      </c>
      <c r="F41" s="16">
        <f>IF('PV IN'!$D$7="Table",E41,D41)</f>
        <v>7.5878115998166518E-2</v>
      </c>
      <c r="G41" s="33">
        <f>('PV IN'!$E$25*'PV IN'!$E$18/12)*(1-(1-'PV IN'!$E$27)/(25*12))^C40</f>
        <v>148882.37914465496</v>
      </c>
      <c r="H41" s="33">
        <f>IF('PV IN'!$D$19="YES",G41*'PV IN'!$E$21,0)</f>
        <v>0</v>
      </c>
      <c r="I41" s="33">
        <f>IF('PV IN'!$D$19="YES",'PV IN'!$E$22*BattCalcs!W41,0)</f>
        <v>0</v>
      </c>
      <c r="J41" s="33">
        <f>IF('PV IN'!$D$19="YES",'PV IN'!$E$23*BattCalcs!Y41,0)</f>
        <v>0</v>
      </c>
      <c r="K41" s="33">
        <f>BattCalcs!AF41</f>
        <v>25811.765833333331</v>
      </c>
      <c r="L41" s="33">
        <f t="shared" si="12"/>
        <v>25811.765833333331</v>
      </c>
      <c r="M41" s="33">
        <f>IF('PV IN'!$F$4="PV Only",G41,G41-SUM(H41:J41,L41))</f>
        <v>148882.37914465496</v>
      </c>
      <c r="N41" s="2">
        <f>IF(C41&lt;='PV IN'!$I$12*12,'PV IN'!$E$12*G41/1000,0)</f>
        <v>0</v>
      </c>
      <c r="O41" s="2">
        <f>IF(AND(C41&gt;'PV IN'!$I$12*12,C41&lt;='PV IN'!$I$13*12+'PV IN'!$I$12*12),'PV IN'!$E$13*PVCalcs!G41/1000,0)</f>
        <v>1935.4709288805145</v>
      </c>
      <c r="P41" s="2">
        <f>IF(AND(C41&gt;'PV IN'!$I$12*12+'PV IN'!$I$13*12,C41&lt;='PV IN'!$I$12*12+'PV IN'!$I$13*12+'PV IN'!$I$14*12),'PV IN'!$E$14*PVCalcs!G41/1000,0)</f>
        <v>0</v>
      </c>
      <c r="R41" s="10">
        <f>IF(AND('PV IN'!$D$35="YES",$C41&lt;='PV IN'!$E$35*12),-'PV IN'!$E$18*'PV IN'!$E$34/12,0)</f>
        <v>0</v>
      </c>
      <c r="S41" s="10">
        <f>IF(AND('PV IN'!$D$37="YES",$C41&lt;='PV IN'!$E$37*12),-'PV IN'!$E$18*'PV IN'!$E$36/12,0)</f>
        <v>0</v>
      </c>
      <c r="U41" s="2">
        <f t="shared" si="13"/>
        <v>11296.914434821136</v>
      </c>
      <c r="V41" s="10">
        <f>PVLoan!M68</f>
        <v>0</v>
      </c>
      <c r="W41" s="2">
        <f>IF(C41='PV IN'!$I$40,IF('PV IN'!$G$40="Non-Taxable",'PV IN'!$F$40,0),0)+IF(C41='PV IN'!$I$41,IF('PV IN'!$G$41="Non-Taxable",'PV IN'!$F$41,0),0)</f>
        <v>0</v>
      </c>
      <c r="X41" s="10"/>
      <c r="Y41" s="10">
        <f>IF('PV IN'!$E$15="Non-Taxable",SUM(N41:P41),0)</f>
        <v>1935.4709288805145</v>
      </c>
      <c r="Z41" s="10">
        <f>IF('PV IN'!$E$15="Taxable",SUM(N41:P41),0)</f>
        <v>0</v>
      </c>
      <c r="AA41" s="2">
        <f>IF(C41='PV IN'!$I$40,IF('PV IN'!$G$40="Taxable",'PV IN'!$F$40,0),0)+IF(C41='PV IN'!$I$41,IF('PV IN'!$G$41="Taxable",'PV IN'!$F$41,0),0)</f>
        <v>0</v>
      </c>
      <c r="AD41" s="10">
        <f>IF('PV IN'!$D$48="YES",-U41*'PV IN'!$E$8,0)</f>
        <v>0</v>
      </c>
      <c r="AE41" s="10">
        <f>IF('PV IN'!$N$10="Yes",-PVLoan!H69,-PVLoan!L69)</f>
        <v>0</v>
      </c>
      <c r="AF41" s="10">
        <f>IF('PV IN'!$N$10="Yes",-PVLoan!F69,0)</f>
        <v>0</v>
      </c>
      <c r="AG41" s="10">
        <f>IF(AND('PV IN'!$D$35="YES",$C41&lt;='PV IN'!$E$35*12),0,-'PV IN'!$E$18*'PV IN'!$E$34/12)</f>
        <v>-750</v>
      </c>
      <c r="AH41" s="10">
        <f>IF(AND('PV IN'!$D$37="YES",$C41&lt;='PV IN'!$E$37*12),0,-'PV IN'!$E$18*'PV IN'!$E$36/12)</f>
        <v>-625</v>
      </c>
      <c r="AI41" s="2">
        <f>IF(AND('PV IN'!$D$33="YES",PVCalcs!C41=ROUNDUP('PV IN'!$H$33*12,)),-'PV IN'!$E$33*'PV IN'!$E$18,0)</f>
        <v>0</v>
      </c>
      <c r="AK41" s="2">
        <f t="shared" si="16"/>
        <v>13232.385363701651</v>
      </c>
      <c r="AL41" s="2">
        <f t="shared" si="3"/>
        <v>-1375</v>
      </c>
      <c r="AM41" s="2">
        <f t="shared" si="4"/>
        <v>11857.385363701651</v>
      </c>
      <c r="AN41" s="43"/>
      <c r="AO41" s="2">
        <f t="shared" si="1"/>
        <v>0</v>
      </c>
      <c r="AP41" s="2">
        <f t="shared" si="14"/>
        <v>-1375</v>
      </c>
      <c r="AR41" s="2">
        <f t="shared" si="15"/>
        <v>-1375</v>
      </c>
      <c r="AS41" s="2">
        <f>-AR41*'PV IN'!$E$8</f>
        <v>288.75</v>
      </c>
      <c r="AT41" s="2">
        <f>IF('PV IN'!$F$4="Battery Only",0,AM41+AS41)</f>
        <v>12146.135363701651</v>
      </c>
      <c r="AV41" s="10">
        <f t="shared" si="5"/>
        <v>-752616.04181893705</v>
      </c>
      <c r="AW41" s="2">
        <f>AT41/(1+('PV IN'!$G$9))^(C41)</f>
        <v>10449.714971719608</v>
      </c>
      <c r="AX41" s="2">
        <f>IF(C41&lt;='PV IN'!$O$22*12,AW41+AX40,NA())</f>
        <v>-847959.22197177727</v>
      </c>
      <c r="AZ41" s="10">
        <f t="shared" si="2"/>
        <v>-1375</v>
      </c>
      <c r="BA41" s="10">
        <f t="shared" si="6"/>
        <v>1935.4709288805152</v>
      </c>
      <c r="BB41" s="10">
        <f t="shared" si="7"/>
        <v>560.4709288805152</v>
      </c>
      <c r="BC41" s="10">
        <f t="shared" si="8"/>
        <v>0</v>
      </c>
      <c r="BD41" s="10">
        <f t="shared" si="9"/>
        <v>-1375</v>
      </c>
      <c r="BE41" s="2">
        <f t="shared" si="10"/>
        <v>0</v>
      </c>
      <c r="BF41" s="10">
        <f t="shared" si="11"/>
        <v>-1375</v>
      </c>
      <c r="BG41" s="2">
        <f>-BF41*'PV IN'!$E$8</f>
        <v>288.75</v>
      </c>
      <c r="BH41" s="2">
        <f>IF('PV IN'!$F$4="Battery Only",0,BB41+BG41)</f>
        <v>849.2209288805152</v>
      </c>
      <c r="BI41" s="2">
        <f>BH41/(1+('PV IN'!$G$9))^(C41)</f>
        <v>730.61236262361888</v>
      </c>
    </row>
    <row r="42" spans="2:61" x14ac:dyDescent="0.25">
      <c r="C42">
        <v>38</v>
      </c>
      <c r="D42" s="16">
        <f>D41*(1+('PV IN'!$G$6/12))</f>
        <v>7.5999999999999998E-2</v>
      </c>
      <c r="E42" s="16">
        <f>LkUP!$U$24</f>
        <v>7.5878115998166518E-2</v>
      </c>
      <c r="F42" s="16">
        <f>IF('PV IN'!$D$7="Table",E42,D42)</f>
        <v>7.5878115998166518E-2</v>
      </c>
      <c r="G42" s="33">
        <f>('PV IN'!$E$25*'PV IN'!$E$18/12)*(1-(1-'PV IN'!$E$27)/(25*12))^C41</f>
        <v>148783.12422522518</v>
      </c>
      <c r="H42" s="33">
        <f>IF('PV IN'!$D$19="YES",G42*'PV IN'!$E$21,0)</f>
        <v>0</v>
      </c>
      <c r="I42" s="33">
        <f>IF('PV IN'!$D$19="YES",'PV IN'!$E$22*BattCalcs!W42,0)</f>
        <v>0</v>
      </c>
      <c r="J42" s="33">
        <f>IF('PV IN'!$D$19="YES",'PV IN'!$E$23*BattCalcs!Y42,0)</f>
        <v>0</v>
      </c>
      <c r="K42" s="33">
        <f>BattCalcs!AF42</f>
        <v>25811.765833333331</v>
      </c>
      <c r="L42" s="33">
        <f t="shared" si="12"/>
        <v>25811.765833333331</v>
      </c>
      <c r="M42" s="33">
        <f>IF('PV IN'!$F$4="PV Only",G42,G42-SUM(H42:J42,L42))</f>
        <v>148783.12422522518</v>
      </c>
      <c r="N42" s="2">
        <f>IF(C42&lt;='PV IN'!$I$12*12,'PV IN'!$E$12*G42/1000,0)</f>
        <v>0</v>
      </c>
      <c r="O42" s="2">
        <f>IF(AND(C42&gt;'PV IN'!$I$12*12,C42&lt;='PV IN'!$I$13*12+'PV IN'!$I$12*12),'PV IN'!$E$13*PVCalcs!G42/1000,0)</f>
        <v>1934.1806149279275</v>
      </c>
      <c r="P42" s="2">
        <f>IF(AND(C42&gt;'PV IN'!$I$12*12+'PV IN'!$I$13*12,C42&lt;='PV IN'!$I$12*12+'PV IN'!$I$13*12+'PV IN'!$I$14*12),'PV IN'!$E$14*PVCalcs!G42/1000,0)</f>
        <v>0</v>
      </c>
      <c r="R42" s="10">
        <f>IF(AND('PV IN'!$D$35="YES",$C42&lt;='PV IN'!$E$35*12),-'PV IN'!$E$18*'PV IN'!$E$34/12,0)</f>
        <v>0</v>
      </c>
      <c r="S42" s="10">
        <f>IF(AND('PV IN'!$D$37="YES",$C42&lt;='PV IN'!$E$37*12),-'PV IN'!$E$18*'PV IN'!$E$36/12,0)</f>
        <v>0</v>
      </c>
      <c r="U42" s="2">
        <f t="shared" si="13"/>
        <v>11289.383158531255</v>
      </c>
      <c r="V42" s="10">
        <f>PVLoan!M69</f>
        <v>0</v>
      </c>
      <c r="W42" s="2">
        <f>IF(C42='PV IN'!$I$40,IF('PV IN'!$G$40="Non-Taxable",'PV IN'!$F$40,0),0)+IF(C42='PV IN'!$I$41,IF('PV IN'!$G$41="Non-Taxable",'PV IN'!$F$41,0),0)</f>
        <v>0</v>
      </c>
      <c r="X42" s="10"/>
      <c r="Y42" s="10">
        <f>IF('PV IN'!$E$15="Non-Taxable",SUM(N42:P42),0)</f>
        <v>1934.1806149279275</v>
      </c>
      <c r="Z42" s="10">
        <f>IF('PV IN'!$E$15="Taxable",SUM(N42:P42),0)</f>
        <v>0</v>
      </c>
      <c r="AA42" s="2">
        <f>IF(C42='PV IN'!$I$40,IF('PV IN'!$G$40="Taxable",'PV IN'!$F$40,0),0)+IF(C42='PV IN'!$I$41,IF('PV IN'!$G$41="Taxable",'PV IN'!$F$41,0),0)</f>
        <v>0</v>
      </c>
      <c r="AD42" s="10">
        <f>IF('PV IN'!$D$48="YES",-U42*'PV IN'!$E$8,0)</f>
        <v>0</v>
      </c>
      <c r="AE42" s="10">
        <f>IF('PV IN'!$N$10="Yes",-PVLoan!H70,-PVLoan!L70)</f>
        <v>0</v>
      </c>
      <c r="AF42" s="10">
        <f>IF('PV IN'!$N$10="Yes",-PVLoan!F70,0)</f>
        <v>0</v>
      </c>
      <c r="AG42" s="10">
        <f>IF(AND('PV IN'!$D$35="YES",$C42&lt;='PV IN'!$E$35*12),0,-'PV IN'!$E$18*'PV IN'!$E$34/12)</f>
        <v>-750</v>
      </c>
      <c r="AH42" s="10">
        <f>IF(AND('PV IN'!$D$37="YES",$C42&lt;='PV IN'!$E$37*12),0,-'PV IN'!$E$18*'PV IN'!$E$36/12)</f>
        <v>-625</v>
      </c>
      <c r="AI42" s="2">
        <f>IF(AND('PV IN'!$D$33="YES",PVCalcs!C42=ROUNDUP('PV IN'!$H$33*12,)),-'PV IN'!$E$33*'PV IN'!$E$18,0)</f>
        <v>0</v>
      </c>
      <c r="AK42" s="2">
        <f t="shared" si="16"/>
        <v>13223.563773459182</v>
      </c>
      <c r="AL42" s="2">
        <f t="shared" si="3"/>
        <v>-1375</v>
      </c>
      <c r="AM42" s="2">
        <f t="shared" si="4"/>
        <v>11848.563773459182</v>
      </c>
      <c r="AN42" s="43"/>
      <c r="AO42" s="2">
        <f t="shared" si="1"/>
        <v>0</v>
      </c>
      <c r="AP42" s="2">
        <f t="shared" si="14"/>
        <v>-1375</v>
      </c>
      <c r="AR42" s="2">
        <f t="shared" si="15"/>
        <v>-1375</v>
      </c>
      <c r="AS42" s="2">
        <f>-AR42*'PV IN'!$E$8</f>
        <v>288.75</v>
      </c>
      <c r="AT42" s="2">
        <f>IF('PV IN'!$F$4="Battery Only",0,AM42+AS42)</f>
        <v>12137.313773459182</v>
      </c>
      <c r="AV42" s="10">
        <f t="shared" si="5"/>
        <v>-740478.72804547788</v>
      </c>
      <c r="AW42" s="2">
        <f>AT42/(1+('PV IN'!$G$9))^(C42)</f>
        <v>10399.755579404713</v>
      </c>
      <c r="AX42" s="2">
        <f>IF(C42&lt;='PV IN'!$O$22*12,AW42+AX41,NA())</f>
        <v>-837559.4663923725</v>
      </c>
      <c r="AZ42" s="10">
        <f t="shared" si="2"/>
        <v>-1375</v>
      </c>
      <c r="BA42" s="10">
        <f t="shared" si="6"/>
        <v>1934.1806149279273</v>
      </c>
      <c r="BB42" s="10">
        <f t="shared" si="7"/>
        <v>559.18061492792731</v>
      </c>
      <c r="BC42" s="10">
        <f t="shared" si="8"/>
        <v>0</v>
      </c>
      <c r="BD42" s="10">
        <f t="shared" si="9"/>
        <v>-1375</v>
      </c>
      <c r="BE42" s="2">
        <f t="shared" si="10"/>
        <v>0</v>
      </c>
      <c r="BF42" s="10">
        <f t="shared" si="11"/>
        <v>-1375</v>
      </c>
      <c r="BG42" s="2">
        <f>-BF42*'PV IN'!$E$8</f>
        <v>288.75</v>
      </c>
      <c r="BH42" s="2">
        <f>IF('PV IN'!$F$4="Battery Only",0,BB42+BG42)</f>
        <v>847.93061492792731</v>
      </c>
      <c r="BI42" s="2">
        <f>BH42/(1+('PV IN'!$G$9))^(C42)</f>
        <v>726.5422405761484</v>
      </c>
    </row>
    <row r="43" spans="2:61" x14ac:dyDescent="0.25">
      <c r="C43">
        <v>39</v>
      </c>
      <c r="D43" s="16">
        <f>D42*(1+('PV IN'!$G$6/12))</f>
        <v>7.5999999999999998E-2</v>
      </c>
      <c r="E43" s="16">
        <f>LkUP!$U$24</f>
        <v>7.5878115998166518E-2</v>
      </c>
      <c r="F43" s="16">
        <f>IF('PV IN'!$D$7="Table",E43,D43)</f>
        <v>7.5878115998166518E-2</v>
      </c>
      <c r="G43" s="33">
        <f>('PV IN'!$E$25*'PV IN'!$E$18/12)*(1-(1-'PV IN'!$E$27)/(25*12))^C42</f>
        <v>148683.93547574169</v>
      </c>
      <c r="H43" s="33">
        <f>IF('PV IN'!$D$19="YES",G43*'PV IN'!$E$21,0)</f>
        <v>0</v>
      </c>
      <c r="I43" s="33">
        <f>IF('PV IN'!$D$19="YES",'PV IN'!$E$22*BattCalcs!W43,0)</f>
        <v>0</v>
      </c>
      <c r="J43" s="33">
        <f>IF('PV IN'!$D$19="YES",'PV IN'!$E$23*BattCalcs!Y43,0)</f>
        <v>0</v>
      </c>
      <c r="K43" s="33">
        <f>BattCalcs!AF43</f>
        <v>25811.765833333331</v>
      </c>
      <c r="L43" s="33">
        <f t="shared" si="12"/>
        <v>25811.765833333331</v>
      </c>
      <c r="M43" s="33">
        <f>IF('PV IN'!$F$4="PV Only",G43,G43-SUM(H43:J43,L43))</f>
        <v>148683.93547574169</v>
      </c>
      <c r="N43" s="2">
        <f>IF(C43&lt;='PV IN'!$I$12*12,'PV IN'!$E$12*G43/1000,0)</f>
        <v>0</v>
      </c>
      <c r="O43" s="2">
        <f>IF(AND(C43&gt;'PV IN'!$I$12*12,C43&lt;='PV IN'!$I$13*12+'PV IN'!$I$12*12),'PV IN'!$E$13*PVCalcs!G43/1000,0)</f>
        <v>1932.891161184642</v>
      </c>
      <c r="P43" s="2">
        <f>IF(AND(C43&gt;'PV IN'!$I$12*12+'PV IN'!$I$13*12,C43&lt;='PV IN'!$I$12*12+'PV IN'!$I$13*12+'PV IN'!$I$14*12),'PV IN'!$E$14*PVCalcs!G43/1000,0)</f>
        <v>0</v>
      </c>
      <c r="R43" s="10">
        <f>IF(AND('PV IN'!$D$35="YES",$C43&lt;='PV IN'!$E$35*12),-'PV IN'!$E$18*'PV IN'!$E$34/12,0)</f>
        <v>0</v>
      </c>
      <c r="S43" s="10">
        <f>IF(AND('PV IN'!$D$37="YES",$C43&lt;='PV IN'!$E$37*12),-'PV IN'!$E$18*'PV IN'!$E$36/12,0)</f>
        <v>0</v>
      </c>
      <c r="U43" s="2">
        <f t="shared" si="13"/>
        <v>11281.856903092234</v>
      </c>
      <c r="V43" s="10">
        <f>PVLoan!M70</f>
        <v>0</v>
      </c>
      <c r="W43" s="2">
        <f>IF(C43='PV IN'!$I$40,IF('PV IN'!$G$40="Non-Taxable",'PV IN'!$F$40,0),0)+IF(C43='PV IN'!$I$41,IF('PV IN'!$G$41="Non-Taxable",'PV IN'!$F$41,0),0)</f>
        <v>0</v>
      </c>
      <c r="X43" s="10"/>
      <c r="Y43" s="10">
        <f>IF('PV IN'!$E$15="Non-Taxable",SUM(N43:P43),0)</f>
        <v>1932.891161184642</v>
      </c>
      <c r="Z43" s="10">
        <f>IF('PV IN'!$E$15="Taxable",SUM(N43:P43),0)</f>
        <v>0</v>
      </c>
      <c r="AA43" s="2">
        <f>IF(C43='PV IN'!$I$40,IF('PV IN'!$G$40="Taxable",'PV IN'!$F$40,0),0)+IF(C43='PV IN'!$I$41,IF('PV IN'!$G$41="Taxable",'PV IN'!$F$41,0),0)</f>
        <v>0</v>
      </c>
      <c r="AD43" s="10">
        <f>IF('PV IN'!$D$48="YES",-U43*'PV IN'!$E$8,0)</f>
        <v>0</v>
      </c>
      <c r="AE43" s="10">
        <f>IF('PV IN'!$N$10="Yes",-PVLoan!H71,-PVLoan!L71)</f>
        <v>0</v>
      </c>
      <c r="AF43" s="10">
        <f>IF('PV IN'!$N$10="Yes",-PVLoan!F71,0)</f>
        <v>0</v>
      </c>
      <c r="AG43" s="10">
        <f>IF(AND('PV IN'!$D$35="YES",$C43&lt;='PV IN'!$E$35*12),0,-'PV IN'!$E$18*'PV IN'!$E$34/12)</f>
        <v>-750</v>
      </c>
      <c r="AH43" s="10">
        <f>IF(AND('PV IN'!$D$37="YES",$C43&lt;='PV IN'!$E$37*12),0,-'PV IN'!$E$18*'PV IN'!$E$36/12)</f>
        <v>-625</v>
      </c>
      <c r="AI43" s="2">
        <f>IF(AND('PV IN'!$D$33="YES",PVCalcs!C43=ROUNDUP('PV IN'!$H$33*12,)),-'PV IN'!$E$33*'PV IN'!$E$18,0)</f>
        <v>0</v>
      </c>
      <c r="AK43" s="2">
        <f t="shared" si="16"/>
        <v>13214.748064276875</v>
      </c>
      <c r="AL43" s="2">
        <f t="shared" si="3"/>
        <v>-1375</v>
      </c>
      <c r="AM43" s="2">
        <f t="shared" si="4"/>
        <v>11839.748064276875</v>
      </c>
      <c r="AN43" s="43"/>
      <c r="AO43" s="2">
        <f t="shared" si="1"/>
        <v>0</v>
      </c>
      <c r="AP43" s="2">
        <f t="shared" si="14"/>
        <v>-1375</v>
      </c>
      <c r="AR43" s="2">
        <f t="shared" si="15"/>
        <v>-1375</v>
      </c>
      <c r="AS43" s="2">
        <f>-AR43*'PV IN'!$E$8</f>
        <v>288.75</v>
      </c>
      <c r="AT43" s="2">
        <f>IF('PV IN'!$F$4="Battery Only",0,AM43+AS43)</f>
        <v>12128.498064276875</v>
      </c>
      <c r="AV43" s="10">
        <f t="shared" si="5"/>
        <v>-728350.229981201</v>
      </c>
      <c r="AW43" s="2">
        <f>AT43/(1+('PV IN'!$G$9))^(C43)</f>
        <v>10350.034590791693</v>
      </c>
      <c r="AX43" s="2">
        <f>IF(C43&lt;='PV IN'!$O$22*12,AW43+AX42,NA())</f>
        <v>-827209.43180158082</v>
      </c>
      <c r="AZ43" s="10">
        <f t="shared" si="2"/>
        <v>-1375</v>
      </c>
      <c r="BA43" s="10">
        <f t="shared" si="6"/>
        <v>1932.8911611846415</v>
      </c>
      <c r="BB43" s="10">
        <f t="shared" si="7"/>
        <v>557.89116118464153</v>
      </c>
      <c r="BC43" s="10">
        <f t="shared" si="8"/>
        <v>0</v>
      </c>
      <c r="BD43" s="10">
        <f t="shared" si="9"/>
        <v>-1375</v>
      </c>
      <c r="BE43" s="2">
        <f t="shared" si="10"/>
        <v>0</v>
      </c>
      <c r="BF43" s="10">
        <f t="shared" si="11"/>
        <v>-1375</v>
      </c>
      <c r="BG43" s="2">
        <f>-BF43*'PV IN'!$E$8</f>
        <v>288.75</v>
      </c>
      <c r="BH43" s="2">
        <f>IF('PV IN'!$F$4="Battery Only",0,BB43+BG43)</f>
        <v>846.64116118464153</v>
      </c>
      <c r="BI43" s="2">
        <f>BH43/(1+('PV IN'!$G$9))^(C43)</f>
        <v>722.49385355131676</v>
      </c>
    </row>
    <row r="44" spans="2:61" x14ac:dyDescent="0.25">
      <c r="C44">
        <v>40</v>
      </c>
      <c r="D44" s="16">
        <f>D43*(1+('PV IN'!$G$6/12))</f>
        <v>7.5999999999999998E-2</v>
      </c>
      <c r="E44" s="16">
        <f>LkUP!$U$24</f>
        <v>7.5878115998166518E-2</v>
      </c>
      <c r="F44" s="16">
        <f>IF('PV IN'!$D$7="Table",E44,D44)</f>
        <v>7.5878115998166518E-2</v>
      </c>
      <c r="G44" s="33">
        <f>('PV IN'!$E$25*'PV IN'!$E$18/12)*(1-(1-'PV IN'!$E$27)/(25*12))^C43</f>
        <v>148584.81285209119</v>
      </c>
      <c r="H44" s="33">
        <f>IF('PV IN'!$D$19="YES",G44*'PV IN'!$E$21,0)</f>
        <v>0</v>
      </c>
      <c r="I44" s="33">
        <f>IF('PV IN'!$D$19="YES",'PV IN'!$E$22*BattCalcs!W44,0)</f>
        <v>0</v>
      </c>
      <c r="J44" s="33">
        <f>IF('PV IN'!$D$19="YES",'PV IN'!$E$23*BattCalcs!Y44,0)</f>
        <v>0</v>
      </c>
      <c r="K44" s="33">
        <f>BattCalcs!AF44</f>
        <v>25811.765833333331</v>
      </c>
      <c r="L44" s="33">
        <f t="shared" si="12"/>
        <v>25811.765833333331</v>
      </c>
      <c r="M44" s="33">
        <f>IF('PV IN'!$F$4="PV Only",G44,G44-SUM(H44:J44,L44))</f>
        <v>148584.81285209119</v>
      </c>
      <c r="N44" s="2">
        <f>IF(C44&lt;='PV IN'!$I$12*12,'PV IN'!$E$12*G44/1000,0)</f>
        <v>0</v>
      </c>
      <c r="O44" s="2">
        <f>IF(AND(C44&gt;'PV IN'!$I$12*12,C44&lt;='PV IN'!$I$13*12+'PV IN'!$I$12*12),'PV IN'!$E$13*PVCalcs!G44/1000,0)</f>
        <v>1931.6025670771855</v>
      </c>
      <c r="P44" s="2">
        <f>IF(AND(C44&gt;'PV IN'!$I$12*12+'PV IN'!$I$13*12,C44&lt;='PV IN'!$I$12*12+'PV IN'!$I$13*12+'PV IN'!$I$14*12),'PV IN'!$E$14*PVCalcs!G44/1000,0)</f>
        <v>0</v>
      </c>
      <c r="R44" s="10">
        <f>IF(AND('PV IN'!$D$35="YES",$C44&lt;='PV IN'!$E$35*12),-'PV IN'!$E$18*'PV IN'!$E$34/12,0)</f>
        <v>0</v>
      </c>
      <c r="S44" s="10">
        <f>IF(AND('PV IN'!$D$37="YES",$C44&lt;='PV IN'!$E$37*12),-'PV IN'!$E$18*'PV IN'!$E$36/12,0)</f>
        <v>0</v>
      </c>
      <c r="U44" s="2">
        <f t="shared" si="13"/>
        <v>11274.335665156837</v>
      </c>
      <c r="V44" s="10">
        <f>PVLoan!M71</f>
        <v>0</v>
      </c>
      <c r="W44" s="2">
        <f>IF(C44='PV IN'!$I$40,IF('PV IN'!$G$40="Non-Taxable",'PV IN'!$F$40,0),0)+IF(C44='PV IN'!$I$41,IF('PV IN'!$G$41="Non-Taxable",'PV IN'!$F$41,0),0)</f>
        <v>0</v>
      </c>
      <c r="X44" s="10"/>
      <c r="Y44" s="10">
        <f>IF('PV IN'!$E$15="Non-Taxable",SUM(N44:P44),0)</f>
        <v>1931.6025670771855</v>
      </c>
      <c r="Z44" s="10">
        <f>IF('PV IN'!$E$15="Taxable",SUM(N44:P44),0)</f>
        <v>0</v>
      </c>
      <c r="AA44" s="2">
        <f>IF(C44='PV IN'!$I$40,IF('PV IN'!$G$40="Taxable",'PV IN'!$F$40,0),0)+IF(C44='PV IN'!$I$41,IF('PV IN'!$G$41="Taxable",'PV IN'!$F$41,0),0)</f>
        <v>0</v>
      </c>
      <c r="AD44" s="10">
        <f>IF('PV IN'!$D$48="YES",-U44*'PV IN'!$E$8,0)</f>
        <v>0</v>
      </c>
      <c r="AE44" s="10">
        <f>IF('PV IN'!$N$10="Yes",-PVLoan!H72,-PVLoan!L72)</f>
        <v>0</v>
      </c>
      <c r="AF44" s="10">
        <f>IF('PV IN'!$N$10="Yes",-PVLoan!F72,0)</f>
        <v>0</v>
      </c>
      <c r="AG44" s="10">
        <f>IF(AND('PV IN'!$D$35="YES",$C44&lt;='PV IN'!$E$35*12),0,-'PV IN'!$E$18*'PV IN'!$E$34/12)</f>
        <v>-750</v>
      </c>
      <c r="AH44" s="10">
        <f>IF(AND('PV IN'!$D$37="YES",$C44&lt;='PV IN'!$E$37*12),0,-'PV IN'!$E$18*'PV IN'!$E$36/12)</f>
        <v>-625</v>
      </c>
      <c r="AI44" s="2">
        <f>IF(AND('PV IN'!$D$33="YES",PVCalcs!C44=ROUNDUP('PV IN'!$H$33*12,)),-'PV IN'!$E$33*'PV IN'!$E$18,0)</f>
        <v>0</v>
      </c>
      <c r="AK44" s="2">
        <f t="shared" si="16"/>
        <v>13205.938232234023</v>
      </c>
      <c r="AL44" s="2">
        <f t="shared" si="3"/>
        <v>-1375</v>
      </c>
      <c r="AM44" s="2">
        <f t="shared" si="4"/>
        <v>11830.938232234023</v>
      </c>
      <c r="AN44" s="43"/>
      <c r="AO44" s="2">
        <f t="shared" si="1"/>
        <v>0</v>
      </c>
      <c r="AP44" s="2">
        <f t="shared" si="14"/>
        <v>-1375</v>
      </c>
      <c r="AR44" s="2">
        <f t="shared" si="15"/>
        <v>-1375</v>
      </c>
      <c r="AS44" s="2">
        <f>-AR44*'PV IN'!$E$8</f>
        <v>288.75</v>
      </c>
      <c r="AT44" s="2">
        <f>IF('PV IN'!$F$4="Battery Only",0,AM44+AS44)</f>
        <v>12119.688232234023</v>
      </c>
      <c r="AV44" s="10">
        <f t="shared" si="5"/>
        <v>-716230.54174896702</v>
      </c>
      <c r="AW44" s="2">
        <f>AT44/(1+('PV IN'!$G$9))^(C44)</f>
        <v>10300.550870028652</v>
      </c>
      <c r="AX44" s="2">
        <f>IF(C44&lt;='PV IN'!$O$22*12,AW44+AX43,NA())</f>
        <v>-816908.88093155215</v>
      </c>
      <c r="AZ44" s="10">
        <f t="shared" si="2"/>
        <v>-1375</v>
      </c>
      <c r="BA44" s="10">
        <f t="shared" si="6"/>
        <v>1931.6025670771851</v>
      </c>
      <c r="BB44" s="10">
        <f t="shared" si="7"/>
        <v>556.60256707718509</v>
      </c>
      <c r="BC44" s="10">
        <f t="shared" si="8"/>
        <v>0</v>
      </c>
      <c r="BD44" s="10">
        <f t="shared" si="9"/>
        <v>-1375</v>
      </c>
      <c r="BE44" s="2">
        <f t="shared" si="10"/>
        <v>0</v>
      </c>
      <c r="BF44" s="10">
        <f t="shared" si="11"/>
        <v>-1375</v>
      </c>
      <c r="BG44" s="2">
        <f>-BF44*'PV IN'!$E$8</f>
        <v>288.75</v>
      </c>
      <c r="BH44" s="2">
        <f>IF('PV IN'!$F$4="Battery Only",0,BB44+BG44)</f>
        <v>845.35256707718509</v>
      </c>
      <c r="BI44" s="2">
        <f>BH44/(1+('PV IN'!$G$9))^(C44)</f>
        <v>718.46708871015085</v>
      </c>
    </row>
    <row r="45" spans="2:61" x14ac:dyDescent="0.25">
      <c r="C45">
        <v>41</v>
      </c>
      <c r="D45" s="16">
        <f>D44*(1+('PV IN'!$G$6/12))</f>
        <v>7.5999999999999998E-2</v>
      </c>
      <c r="E45" s="16">
        <f>LkUP!$U$24</f>
        <v>7.5878115998166518E-2</v>
      </c>
      <c r="F45" s="16">
        <f>IF('PV IN'!$D$7="Table",E45,D45)</f>
        <v>7.5878115998166518E-2</v>
      </c>
      <c r="G45" s="33">
        <f>('PV IN'!$E$25*'PV IN'!$E$18/12)*(1-(1-'PV IN'!$E$27)/(25*12))^C44</f>
        <v>148485.75631018978</v>
      </c>
      <c r="H45" s="33">
        <f>IF('PV IN'!$D$19="YES",G45*'PV IN'!$E$21,0)</f>
        <v>0</v>
      </c>
      <c r="I45" s="33">
        <f>IF('PV IN'!$D$19="YES",'PV IN'!$E$22*BattCalcs!W45,0)</f>
        <v>0</v>
      </c>
      <c r="J45" s="33">
        <f>IF('PV IN'!$D$19="YES",'PV IN'!$E$23*BattCalcs!Y45,0)</f>
        <v>0</v>
      </c>
      <c r="K45" s="33">
        <f>BattCalcs!AF45</f>
        <v>25811.765833333331</v>
      </c>
      <c r="L45" s="33">
        <f t="shared" si="12"/>
        <v>25811.765833333331</v>
      </c>
      <c r="M45" s="33">
        <f>IF('PV IN'!$F$4="PV Only",G45,G45-SUM(H45:J45,L45))</f>
        <v>148485.75631018978</v>
      </c>
      <c r="N45" s="2">
        <f>IF(C45&lt;='PV IN'!$I$12*12,'PV IN'!$E$12*G45/1000,0)</f>
        <v>0</v>
      </c>
      <c r="O45" s="2">
        <f>IF(AND(C45&gt;'PV IN'!$I$12*12,C45&lt;='PV IN'!$I$13*12+'PV IN'!$I$12*12),'PV IN'!$E$13*PVCalcs!G45/1000,0)</f>
        <v>1930.3148320324672</v>
      </c>
      <c r="P45" s="2">
        <f>IF(AND(C45&gt;'PV IN'!$I$12*12+'PV IN'!$I$13*12,C45&lt;='PV IN'!$I$12*12+'PV IN'!$I$13*12+'PV IN'!$I$14*12),'PV IN'!$E$14*PVCalcs!G45/1000,0)</f>
        <v>0</v>
      </c>
      <c r="R45" s="10">
        <f>IF(AND('PV IN'!$D$35="YES",$C45&lt;='PV IN'!$E$35*12),-'PV IN'!$E$18*'PV IN'!$E$34/12,0)</f>
        <v>0</v>
      </c>
      <c r="S45" s="10">
        <f>IF(AND('PV IN'!$D$37="YES",$C45&lt;='PV IN'!$E$37*12),-'PV IN'!$E$18*'PV IN'!$E$36/12,0)</f>
        <v>0</v>
      </c>
      <c r="U45" s="2">
        <f t="shared" si="13"/>
        <v>11266.819441380067</v>
      </c>
      <c r="V45" s="10">
        <f>PVLoan!M72</f>
        <v>0</v>
      </c>
      <c r="W45" s="2">
        <f>IF(C45='PV IN'!$I$40,IF('PV IN'!$G$40="Non-Taxable",'PV IN'!$F$40,0),0)+IF(C45='PV IN'!$I$41,IF('PV IN'!$G$41="Non-Taxable",'PV IN'!$F$41,0),0)</f>
        <v>0</v>
      </c>
      <c r="X45" s="10"/>
      <c r="Y45" s="10">
        <f>IF('PV IN'!$E$15="Non-Taxable",SUM(N45:P45),0)</f>
        <v>1930.3148320324672</v>
      </c>
      <c r="Z45" s="10">
        <f>IF('PV IN'!$E$15="Taxable",SUM(N45:P45),0)</f>
        <v>0</v>
      </c>
      <c r="AA45" s="2">
        <f>IF(C45='PV IN'!$I$40,IF('PV IN'!$G$40="Taxable",'PV IN'!$F$40,0),0)+IF(C45='PV IN'!$I$41,IF('PV IN'!$G$41="Taxable",'PV IN'!$F$41,0),0)</f>
        <v>0</v>
      </c>
      <c r="AD45" s="10">
        <f>IF('PV IN'!$D$48="YES",-U45*'PV IN'!$E$8,0)</f>
        <v>0</v>
      </c>
      <c r="AE45" s="10">
        <f>IF('PV IN'!$N$10="Yes",-PVLoan!H73,-PVLoan!L73)</f>
        <v>0</v>
      </c>
      <c r="AF45" s="10">
        <f>IF('PV IN'!$N$10="Yes",-PVLoan!F73,0)</f>
        <v>0</v>
      </c>
      <c r="AG45" s="10">
        <f>IF(AND('PV IN'!$D$35="YES",$C45&lt;='PV IN'!$E$35*12),0,-'PV IN'!$E$18*'PV IN'!$E$34/12)</f>
        <v>-750</v>
      </c>
      <c r="AH45" s="10">
        <f>IF(AND('PV IN'!$D$37="YES",$C45&lt;='PV IN'!$E$37*12),0,-'PV IN'!$E$18*'PV IN'!$E$36/12)</f>
        <v>-625</v>
      </c>
      <c r="AI45" s="2">
        <f>IF(AND('PV IN'!$D$33="YES",PVCalcs!C45=ROUNDUP('PV IN'!$H$33*12,)),-'PV IN'!$E$33*'PV IN'!$E$18,0)</f>
        <v>0</v>
      </c>
      <c r="AK45" s="2">
        <f t="shared" si="16"/>
        <v>13197.134273412534</v>
      </c>
      <c r="AL45" s="2">
        <f t="shared" si="3"/>
        <v>-1375</v>
      </c>
      <c r="AM45" s="2">
        <f t="shared" si="4"/>
        <v>11822.134273412534</v>
      </c>
      <c r="AN45" s="43"/>
      <c r="AO45" s="2">
        <f t="shared" si="1"/>
        <v>0</v>
      </c>
      <c r="AP45" s="2">
        <f t="shared" si="14"/>
        <v>-1375</v>
      </c>
      <c r="AR45" s="2">
        <f t="shared" si="15"/>
        <v>-1375</v>
      </c>
      <c r="AS45" s="2">
        <f>-AR45*'PV IN'!$E$8</f>
        <v>288.75</v>
      </c>
      <c r="AT45" s="2">
        <f>IF('PV IN'!$F$4="Battery Only",0,AM45+AS45)</f>
        <v>12110.884273412534</v>
      </c>
      <c r="AV45" s="10">
        <f t="shared" si="5"/>
        <v>-704119.6574755545</v>
      </c>
      <c r="AW45" s="2">
        <f>AT45/(1+('PV IN'!$G$9))^(C45)</f>
        <v>10251.303286668128</v>
      </c>
      <c r="AX45" s="2">
        <f>IF(C45&lt;='PV IN'!$O$22*12,AW45+AX44,NA())</f>
        <v>-806657.577644884</v>
      </c>
      <c r="AZ45" s="10">
        <f t="shared" si="2"/>
        <v>-1375</v>
      </c>
      <c r="BA45" s="10">
        <f t="shared" si="6"/>
        <v>1930.3148320324672</v>
      </c>
      <c r="BB45" s="10">
        <f t="shared" si="7"/>
        <v>555.31483203246717</v>
      </c>
      <c r="BC45" s="10">
        <f t="shared" si="8"/>
        <v>0</v>
      </c>
      <c r="BD45" s="10">
        <f t="shared" si="9"/>
        <v>-1375</v>
      </c>
      <c r="BE45" s="2">
        <f t="shared" si="10"/>
        <v>0</v>
      </c>
      <c r="BF45" s="10">
        <f t="shared" si="11"/>
        <v>-1375</v>
      </c>
      <c r="BG45" s="2">
        <f>-BF45*'PV IN'!$E$8</f>
        <v>288.75</v>
      </c>
      <c r="BH45" s="2">
        <f>IF('PV IN'!$F$4="Battery Only",0,BB45+BG45)</f>
        <v>844.06483203246717</v>
      </c>
      <c r="BI45" s="2">
        <f>BH45/(1+('PV IN'!$G$9))^(C45)</f>
        <v>714.46183378790454</v>
      </c>
    </row>
    <row r="46" spans="2:61" x14ac:dyDescent="0.25">
      <c r="C46">
        <v>42</v>
      </c>
      <c r="D46" s="16">
        <f>D45*(1+('PV IN'!$G$6/12))</f>
        <v>7.5999999999999998E-2</v>
      </c>
      <c r="E46" s="16">
        <f>LkUP!$U$24</f>
        <v>7.5878115998166518E-2</v>
      </c>
      <c r="F46" s="16">
        <f>IF('PV IN'!$D$7="Table",E46,D46)</f>
        <v>7.5878115998166518E-2</v>
      </c>
      <c r="G46" s="33">
        <f>('PV IN'!$E$25*'PV IN'!$E$18/12)*(1-(1-'PV IN'!$E$27)/(25*12))^C45</f>
        <v>148386.76580598298</v>
      </c>
      <c r="H46" s="33">
        <f>IF('PV IN'!$D$19="YES",G46*'PV IN'!$E$21,0)</f>
        <v>0</v>
      </c>
      <c r="I46" s="33">
        <f>IF('PV IN'!$D$19="YES",'PV IN'!$E$22*BattCalcs!W46,0)</f>
        <v>0</v>
      </c>
      <c r="J46" s="33">
        <f>IF('PV IN'!$D$19="YES",'PV IN'!$E$23*BattCalcs!Y46,0)</f>
        <v>0</v>
      </c>
      <c r="K46" s="33">
        <f>BattCalcs!AF46</f>
        <v>25811.765833333331</v>
      </c>
      <c r="L46" s="33">
        <f t="shared" si="12"/>
        <v>25811.765833333331</v>
      </c>
      <c r="M46" s="33">
        <f>IF('PV IN'!$F$4="PV Only",G46,G46-SUM(H46:J46,L46))</f>
        <v>148386.76580598298</v>
      </c>
      <c r="N46" s="2">
        <f>IF(C46&lt;='PV IN'!$I$12*12,'PV IN'!$E$12*G46/1000,0)</f>
        <v>0</v>
      </c>
      <c r="O46" s="2">
        <f>IF(AND(C46&gt;'PV IN'!$I$12*12,C46&lt;='PV IN'!$I$13*12+'PV IN'!$I$12*12),'PV IN'!$E$13*PVCalcs!G46/1000,0)</f>
        <v>1929.0279554777787</v>
      </c>
      <c r="P46" s="2">
        <f>IF(AND(C46&gt;'PV IN'!$I$12*12+'PV IN'!$I$13*12,C46&lt;='PV IN'!$I$12*12+'PV IN'!$I$13*12+'PV IN'!$I$14*12),'PV IN'!$E$14*PVCalcs!G46/1000,0)</f>
        <v>0</v>
      </c>
      <c r="R46" s="10">
        <f>IF(AND('PV IN'!$D$35="YES",$C46&lt;='PV IN'!$E$35*12),-'PV IN'!$E$18*'PV IN'!$E$34/12,0)</f>
        <v>0</v>
      </c>
      <c r="S46" s="10">
        <f>IF(AND('PV IN'!$D$37="YES",$C46&lt;='PV IN'!$E$37*12),-'PV IN'!$E$18*'PV IN'!$E$36/12,0)</f>
        <v>0</v>
      </c>
      <c r="U46" s="2">
        <f t="shared" si="13"/>
        <v>11259.308228419146</v>
      </c>
      <c r="V46" s="10">
        <f>PVLoan!M73</f>
        <v>0</v>
      </c>
      <c r="W46" s="2">
        <f>IF(C46='PV IN'!$I$40,IF('PV IN'!$G$40="Non-Taxable",'PV IN'!$F$40,0),0)+IF(C46='PV IN'!$I$41,IF('PV IN'!$G$41="Non-Taxable",'PV IN'!$F$41,0),0)</f>
        <v>0</v>
      </c>
      <c r="X46" s="10"/>
      <c r="Y46" s="10">
        <f>IF('PV IN'!$E$15="Non-Taxable",SUM(N46:P46),0)</f>
        <v>1929.0279554777787</v>
      </c>
      <c r="Z46" s="10">
        <f>IF('PV IN'!$E$15="Taxable",SUM(N46:P46),0)</f>
        <v>0</v>
      </c>
      <c r="AA46" s="2">
        <f>IF(C46='PV IN'!$I$40,IF('PV IN'!$G$40="Taxable",'PV IN'!$F$40,0),0)+IF(C46='PV IN'!$I$41,IF('PV IN'!$G$41="Taxable",'PV IN'!$F$41,0),0)</f>
        <v>0</v>
      </c>
      <c r="AD46" s="10">
        <f>IF('PV IN'!$D$48="YES",-U46*'PV IN'!$E$8,0)</f>
        <v>0</v>
      </c>
      <c r="AE46" s="10">
        <f>IF('PV IN'!$N$10="Yes",-PVLoan!H74,-PVLoan!L74)</f>
        <v>0</v>
      </c>
      <c r="AF46" s="10">
        <f>IF('PV IN'!$N$10="Yes",-PVLoan!F74,0)</f>
        <v>0</v>
      </c>
      <c r="AG46" s="10">
        <f>IF(AND('PV IN'!$D$35="YES",$C46&lt;='PV IN'!$E$35*12),0,-'PV IN'!$E$18*'PV IN'!$E$34/12)</f>
        <v>-750</v>
      </c>
      <c r="AH46" s="10">
        <f>IF(AND('PV IN'!$D$37="YES",$C46&lt;='PV IN'!$E$37*12),0,-'PV IN'!$E$18*'PV IN'!$E$36/12)</f>
        <v>-625</v>
      </c>
      <c r="AI46" s="2">
        <f>IF(AND('PV IN'!$D$33="YES",PVCalcs!C46=ROUNDUP('PV IN'!$H$33*12,)),-'PV IN'!$E$33*'PV IN'!$E$18,0)</f>
        <v>0</v>
      </c>
      <c r="AK46" s="2">
        <f t="shared" si="16"/>
        <v>13188.336183896925</v>
      </c>
      <c r="AL46" s="2">
        <f t="shared" si="3"/>
        <v>-1375</v>
      </c>
      <c r="AM46" s="2">
        <f t="shared" si="4"/>
        <v>11813.336183896925</v>
      </c>
      <c r="AN46" s="43"/>
      <c r="AO46" s="2">
        <f t="shared" si="1"/>
        <v>0</v>
      </c>
      <c r="AP46" s="2">
        <f t="shared" si="14"/>
        <v>-1375</v>
      </c>
      <c r="AR46" s="2">
        <f t="shared" si="15"/>
        <v>-1375</v>
      </c>
      <c r="AS46" s="2">
        <f>-AR46*'PV IN'!$E$8</f>
        <v>288.75</v>
      </c>
      <c r="AT46" s="2">
        <f>IF('PV IN'!$F$4="Battery Only",0,AM46+AS46)</f>
        <v>12102.086183896925</v>
      </c>
      <c r="AV46" s="10">
        <f t="shared" si="5"/>
        <v>-692017.57129165763</v>
      </c>
      <c r="AW46" s="2">
        <f>AT46/(1+('PV IN'!$G$9))^(C46)</f>
        <v>10202.290715641419</v>
      </c>
      <c r="AX46" s="2">
        <f>IF(C46&lt;='PV IN'!$O$22*12,AW46+AX45,NA())</f>
        <v>-796455.28692924255</v>
      </c>
      <c r="AZ46" s="10">
        <f t="shared" si="2"/>
        <v>-1375</v>
      </c>
      <c r="BA46" s="10">
        <f t="shared" si="6"/>
        <v>1929.027955477779</v>
      </c>
      <c r="BB46" s="10">
        <f t="shared" si="7"/>
        <v>554.02795547777896</v>
      </c>
      <c r="BC46" s="10">
        <f t="shared" si="8"/>
        <v>0</v>
      </c>
      <c r="BD46" s="10">
        <f t="shared" si="9"/>
        <v>-1375</v>
      </c>
      <c r="BE46" s="2">
        <f t="shared" si="10"/>
        <v>0</v>
      </c>
      <c r="BF46" s="10">
        <f t="shared" si="11"/>
        <v>-1375</v>
      </c>
      <c r="BG46" s="2">
        <f>-BF46*'PV IN'!$E$8</f>
        <v>288.75</v>
      </c>
      <c r="BH46" s="2">
        <f>IF('PV IN'!$F$4="Battery Only",0,BB46+BG46)</f>
        <v>842.77795547777896</v>
      </c>
      <c r="BI46" s="2">
        <f>BH46/(1+('PV IN'!$G$9))^(C46)</f>
        <v>710.4779770911797</v>
      </c>
    </row>
    <row r="47" spans="2:61" x14ac:dyDescent="0.25">
      <c r="C47">
        <v>43</v>
      </c>
      <c r="D47" s="16">
        <f>D46*(1+('PV IN'!$G$6/12))</f>
        <v>7.5999999999999998E-2</v>
      </c>
      <c r="E47" s="16">
        <f>LkUP!$U$24</f>
        <v>7.5878115998166518E-2</v>
      </c>
      <c r="F47" s="16">
        <f>IF('PV IN'!$D$7="Table",E47,D47)</f>
        <v>7.5878115998166518E-2</v>
      </c>
      <c r="G47" s="33">
        <f>('PV IN'!$E$25*'PV IN'!$E$18/12)*(1-(1-'PV IN'!$E$27)/(25*12))^C46</f>
        <v>148287.84129544566</v>
      </c>
      <c r="H47" s="33">
        <f>IF('PV IN'!$D$19="YES",G47*'PV IN'!$E$21,0)</f>
        <v>0</v>
      </c>
      <c r="I47" s="33">
        <f>IF('PV IN'!$D$19="YES",'PV IN'!$E$22*BattCalcs!W47,0)</f>
        <v>0</v>
      </c>
      <c r="J47" s="33">
        <f>IF('PV IN'!$D$19="YES",'PV IN'!$E$23*BattCalcs!Y47,0)</f>
        <v>0</v>
      </c>
      <c r="K47" s="33">
        <f>BattCalcs!AF47</f>
        <v>25811.765833333331</v>
      </c>
      <c r="L47" s="33">
        <f t="shared" si="12"/>
        <v>25811.765833333331</v>
      </c>
      <c r="M47" s="33">
        <f>IF('PV IN'!$F$4="PV Only",G47,G47-SUM(H47:J47,L47))</f>
        <v>148287.84129544566</v>
      </c>
      <c r="N47" s="2">
        <f>IF(C47&lt;='PV IN'!$I$12*12,'PV IN'!$E$12*G47/1000,0)</f>
        <v>0</v>
      </c>
      <c r="O47" s="2">
        <f>IF(AND(C47&gt;'PV IN'!$I$12*12,C47&lt;='PV IN'!$I$13*12+'PV IN'!$I$12*12),'PV IN'!$E$13*PVCalcs!G47/1000,0)</f>
        <v>1927.7419368407936</v>
      </c>
      <c r="P47" s="2">
        <f>IF(AND(C47&gt;'PV IN'!$I$12*12+'PV IN'!$I$13*12,C47&lt;='PV IN'!$I$12*12+'PV IN'!$I$13*12+'PV IN'!$I$14*12),'PV IN'!$E$14*PVCalcs!G47/1000,0)</f>
        <v>0</v>
      </c>
      <c r="R47" s="10">
        <f>IF(AND('PV IN'!$D$35="YES",$C47&lt;='PV IN'!$E$35*12),-'PV IN'!$E$18*'PV IN'!$E$34/12,0)</f>
        <v>0</v>
      </c>
      <c r="S47" s="10">
        <f>IF(AND('PV IN'!$D$37="YES",$C47&lt;='PV IN'!$E$37*12),-'PV IN'!$E$18*'PV IN'!$E$36/12,0)</f>
        <v>0</v>
      </c>
      <c r="U47" s="2">
        <f t="shared" si="13"/>
        <v>11251.802022933532</v>
      </c>
      <c r="V47" s="10">
        <f>PVLoan!M74</f>
        <v>0</v>
      </c>
      <c r="W47" s="2">
        <f>IF(C47='PV IN'!$I$40,IF('PV IN'!$G$40="Non-Taxable",'PV IN'!$F$40,0),0)+IF(C47='PV IN'!$I$41,IF('PV IN'!$G$41="Non-Taxable",'PV IN'!$F$41,0),0)</f>
        <v>0</v>
      </c>
      <c r="X47" s="10"/>
      <c r="Y47" s="10">
        <f>IF('PV IN'!$E$15="Non-Taxable",SUM(N47:P47),0)</f>
        <v>1927.7419368407936</v>
      </c>
      <c r="Z47" s="10">
        <f>IF('PV IN'!$E$15="Taxable",SUM(N47:P47),0)</f>
        <v>0</v>
      </c>
      <c r="AA47" s="2">
        <f>IF(C47='PV IN'!$I$40,IF('PV IN'!$G$40="Taxable",'PV IN'!$F$40,0),0)+IF(C47='PV IN'!$I$41,IF('PV IN'!$G$41="Taxable",'PV IN'!$F$41,0),0)</f>
        <v>0</v>
      </c>
      <c r="AD47" s="10">
        <f>IF('PV IN'!$D$48="YES",-U47*'PV IN'!$E$8,0)</f>
        <v>0</v>
      </c>
      <c r="AE47" s="10">
        <f>IF('PV IN'!$N$10="Yes",-PVLoan!H75,-PVLoan!L75)</f>
        <v>0</v>
      </c>
      <c r="AF47" s="10">
        <f>IF('PV IN'!$N$10="Yes",-PVLoan!F75,0)</f>
        <v>0</v>
      </c>
      <c r="AG47" s="10">
        <f>IF(AND('PV IN'!$D$35="YES",$C47&lt;='PV IN'!$E$35*12),0,-'PV IN'!$E$18*'PV IN'!$E$34/12)</f>
        <v>-750</v>
      </c>
      <c r="AH47" s="10">
        <f>IF(AND('PV IN'!$D$37="YES",$C47&lt;='PV IN'!$E$37*12),0,-'PV IN'!$E$18*'PV IN'!$E$36/12)</f>
        <v>-625</v>
      </c>
      <c r="AI47" s="2">
        <f>IF(AND('PV IN'!$D$33="YES",PVCalcs!C47=ROUNDUP('PV IN'!$H$33*12,)),-'PV IN'!$E$33*'PV IN'!$E$18,0)</f>
        <v>0</v>
      </c>
      <c r="AK47" s="2">
        <f t="shared" si="16"/>
        <v>13179.543959774326</v>
      </c>
      <c r="AL47" s="2">
        <f t="shared" si="3"/>
        <v>-1375</v>
      </c>
      <c r="AM47" s="2">
        <f t="shared" si="4"/>
        <v>11804.543959774326</v>
      </c>
      <c r="AN47" s="43"/>
      <c r="AO47" s="2">
        <f t="shared" si="1"/>
        <v>0</v>
      </c>
      <c r="AP47" s="2">
        <f t="shared" si="14"/>
        <v>-1375</v>
      </c>
      <c r="AR47" s="2">
        <f t="shared" si="15"/>
        <v>-1375</v>
      </c>
      <c r="AS47" s="2">
        <f>-AR47*'PV IN'!$E$8</f>
        <v>288.75</v>
      </c>
      <c r="AT47" s="2">
        <f>IF('PV IN'!$F$4="Battery Only",0,AM47+AS47)</f>
        <v>12093.293959774326</v>
      </c>
      <c r="AV47" s="10">
        <f t="shared" si="5"/>
        <v>-679924.27733188332</v>
      </c>
      <c r="AW47" s="2">
        <f>AT47/(1+('PV IN'!$G$9))^(C47)</f>
        <v>10153.512037233006</v>
      </c>
      <c r="AX47" s="2">
        <f>IF(C47&lt;='PV IN'!$O$22*12,AW47+AX46,NA())</f>
        <v>-786301.77489200956</v>
      </c>
      <c r="AZ47" s="10">
        <f t="shared" si="2"/>
        <v>-1375</v>
      </c>
      <c r="BA47" s="10">
        <f t="shared" si="6"/>
        <v>1927.7419368407936</v>
      </c>
      <c r="BB47" s="10">
        <f t="shared" si="7"/>
        <v>552.74193684079364</v>
      </c>
      <c r="BC47" s="10">
        <f t="shared" si="8"/>
        <v>0</v>
      </c>
      <c r="BD47" s="10">
        <f t="shared" si="9"/>
        <v>-1375</v>
      </c>
      <c r="BE47" s="2">
        <f t="shared" si="10"/>
        <v>0</v>
      </c>
      <c r="BF47" s="10">
        <f t="shared" si="11"/>
        <v>-1375</v>
      </c>
      <c r="BG47" s="2">
        <f>-BF47*'PV IN'!$E$8</f>
        <v>288.75</v>
      </c>
      <c r="BH47" s="2">
        <f>IF('PV IN'!$F$4="Battery Only",0,BB47+BG47)</f>
        <v>841.49193684079364</v>
      </c>
      <c r="BI47" s="2">
        <f>BH47/(1+('PV IN'!$G$9))^(C47)</f>
        <v>706.51540749506069</v>
      </c>
    </row>
    <row r="48" spans="2:61" x14ac:dyDescent="0.25">
      <c r="C48">
        <v>44</v>
      </c>
      <c r="D48" s="16">
        <f>D47*(1+('PV IN'!$G$6/12))</f>
        <v>7.5999999999999998E-2</v>
      </c>
      <c r="E48" s="16">
        <f>LkUP!$U$24</f>
        <v>7.5878115998166518E-2</v>
      </c>
      <c r="F48" s="16">
        <f>IF('PV IN'!$D$7="Table",E48,D48)</f>
        <v>7.5878115998166518E-2</v>
      </c>
      <c r="G48" s="33">
        <f>('PV IN'!$E$25*'PV IN'!$E$18/12)*(1-(1-'PV IN'!$E$27)/(25*12))^C47</f>
        <v>148188.98273458204</v>
      </c>
      <c r="H48" s="33">
        <f>IF('PV IN'!$D$19="YES",G48*'PV IN'!$E$21,0)</f>
        <v>0</v>
      </c>
      <c r="I48" s="33">
        <f>IF('PV IN'!$D$19="YES",'PV IN'!$E$22*BattCalcs!W48,0)</f>
        <v>0</v>
      </c>
      <c r="J48" s="33">
        <f>IF('PV IN'!$D$19="YES",'PV IN'!$E$23*BattCalcs!Y48,0)</f>
        <v>0</v>
      </c>
      <c r="K48" s="33">
        <f>BattCalcs!AF48</f>
        <v>25811.765833333331</v>
      </c>
      <c r="L48" s="33">
        <f t="shared" si="12"/>
        <v>25811.765833333331</v>
      </c>
      <c r="M48" s="33">
        <f>IF('PV IN'!$F$4="PV Only",G48,G48-SUM(H48:J48,L48))</f>
        <v>148188.98273458204</v>
      </c>
      <c r="N48" s="2">
        <f>IF(C48&lt;='PV IN'!$I$12*12,'PV IN'!$E$12*G48/1000,0)</f>
        <v>0</v>
      </c>
      <c r="O48" s="2">
        <f>IF(AND(C48&gt;'PV IN'!$I$12*12,C48&lt;='PV IN'!$I$13*12+'PV IN'!$I$12*12),'PV IN'!$E$13*PVCalcs!G48/1000,0)</f>
        <v>1926.4567755495664</v>
      </c>
      <c r="P48" s="2">
        <f>IF(AND(C48&gt;'PV IN'!$I$12*12+'PV IN'!$I$13*12,C48&lt;='PV IN'!$I$12*12+'PV IN'!$I$13*12+'PV IN'!$I$14*12),'PV IN'!$E$14*PVCalcs!G48/1000,0)</f>
        <v>0</v>
      </c>
      <c r="R48" s="10">
        <f>IF(AND('PV IN'!$D$35="YES",$C48&lt;='PV IN'!$E$35*12),-'PV IN'!$E$18*'PV IN'!$E$34/12,0)</f>
        <v>0</v>
      </c>
      <c r="S48" s="10">
        <f>IF(AND('PV IN'!$D$37="YES",$C48&lt;='PV IN'!$E$37*12),-'PV IN'!$E$18*'PV IN'!$E$36/12,0)</f>
        <v>0</v>
      </c>
      <c r="U48" s="2">
        <f t="shared" si="13"/>
        <v>11244.300821584911</v>
      </c>
      <c r="V48" s="10">
        <f>PVLoan!M75</f>
        <v>0</v>
      </c>
      <c r="W48" s="2">
        <f>IF(C48='PV IN'!$I$40,IF('PV IN'!$G$40="Non-Taxable",'PV IN'!$F$40,0),0)+IF(C48='PV IN'!$I$41,IF('PV IN'!$G$41="Non-Taxable",'PV IN'!$F$41,0),0)</f>
        <v>0</v>
      </c>
      <c r="X48" s="10"/>
      <c r="Y48" s="10">
        <f>IF('PV IN'!$E$15="Non-Taxable",SUM(N48:P48),0)</f>
        <v>1926.4567755495664</v>
      </c>
      <c r="Z48" s="10">
        <f>IF('PV IN'!$E$15="Taxable",SUM(N48:P48),0)</f>
        <v>0</v>
      </c>
      <c r="AA48" s="2">
        <f>IF(C48='PV IN'!$I$40,IF('PV IN'!$G$40="Taxable",'PV IN'!$F$40,0),0)+IF(C48='PV IN'!$I$41,IF('PV IN'!$G$41="Taxable",'PV IN'!$F$41,0),0)</f>
        <v>0</v>
      </c>
      <c r="AD48" s="10">
        <f>IF('PV IN'!$D$48="YES",-U48*'PV IN'!$E$8,0)</f>
        <v>0</v>
      </c>
      <c r="AE48" s="10">
        <f>IF('PV IN'!$N$10="Yes",-PVLoan!H76,-PVLoan!L76)</f>
        <v>0</v>
      </c>
      <c r="AF48" s="10">
        <f>IF('PV IN'!$N$10="Yes",-PVLoan!F76,0)</f>
        <v>0</v>
      </c>
      <c r="AG48" s="10">
        <f>IF(AND('PV IN'!$D$35="YES",$C48&lt;='PV IN'!$E$35*12),0,-'PV IN'!$E$18*'PV IN'!$E$34/12)</f>
        <v>-750</v>
      </c>
      <c r="AH48" s="10">
        <f>IF(AND('PV IN'!$D$37="YES",$C48&lt;='PV IN'!$E$37*12),0,-'PV IN'!$E$18*'PV IN'!$E$36/12)</f>
        <v>-625</v>
      </c>
      <c r="AI48" s="2">
        <f>IF(AND('PV IN'!$D$33="YES",PVCalcs!C48=ROUNDUP('PV IN'!$H$33*12,)),-'PV IN'!$E$33*'PV IN'!$E$18,0)</f>
        <v>0</v>
      </c>
      <c r="AK48" s="2">
        <f t="shared" si="16"/>
        <v>13170.757597134478</v>
      </c>
      <c r="AL48" s="2">
        <f t="shared" si="3"/>
        <v>-1375</v>
      </c>
      <c r="AM48" s="2">
        <f t="shared" si="4"/>
        <v>11795.757597134478</v>
      </c>
      <c r="AN48" s="43"/>
      <c r="AO48" s="2">
        <f t="shared" si="1"/>
        <v>0</v>
      </c>
      <c r="AP48" s="2">
        <f t="shared" si="14"/>
        <v>-1375</v>
      </c>
      <c r="AR48" s="2">
        <f t="shared" si="15"/>
        <v>-1375</v>
      </c>
      <c r="AS48" s="2">
        <f>-AR48*'PV IN'!$E$8</f>
        <v>288.75</v>
      </c>
      <c r="AT48" s="2">
        <f>IF('PV IN'!$F$4="Battery Only",0,AM48+AS48)</f>
        <v>12084.507597134478</v>
      </c>
      <c r="AV48" s="10">
        <f t="shared" si="5"/>
        <v>-667839.76973474887</v>
      </c>
      <c r="AW48" s="2">
        <f>AT48/(1+('PV IN'!$G$9))^(C48)</f>
        <v>10104.966137055118</v>
      </c>
      <c r="AX48" s="2">
        <f>IF(C48&lt;='PV IN'!$O$22*12,AW48+AX47,NA())</f>
        <v>-776196.80875495449</v>
      </c>
      <c r="AZ48" s="10">
        <f t="shared" si="2"/>
        <v>-1375</v>
      </c>
      <c r="BA48" s="10">
        <f t="shared" si="6"/>
        <v>1926.4567755495664</v>
      </c>
      <c r="BB48" s="10">
        <f t="shared" si="7"/>
        <v>551.45677554956637</v>
      </c>
      <c r="BC48" s="10">
        <f t="shared" si="8"/>
        <v>0</v>
      </c>
      <c r="BD48" s="10">
        <f t="shared" si="9"/>
        <v>-1375</v>
      </c>
      <c r="BE48" s="2">
        <f t="shared" si="10"/>
        <v>0</v>
      </c>
      <c r="BF48" s="10">
        <f t="shared" si="11"/>
        <v>-1375</v>
      </c>
      <c r="BG48" s="2">
        <f>-BF48*'PV IN'!$E$8</f>
        <v>288.75</v>
      </c>
      <c r="BH48" s="2">
        <f>IF('PV IN'!$F$4="Battery Only",0,BB48+BG48)</f>
        <v>840.20677554956637</v>
      </c>
      <c r="BI48" s="2">
        <f>BH48/(1+('PV IN'!$G$9))^(C48)</f>
        <v>702.57401444026391</v>
      </c>
    </row>
    <row r="49" spans="2:61" x14ac:dyDescent="0.25">
      <c r="C49">
        <v>45</v>
      </c>
      <c r="D49" s="16">
        <f>D48*(1+('PV IN'!$G$6/12))</f>
        <v>7.5999999999999998E-2</v>
      </c>
      <c r="E49" s="16">
        <f>LkUP!$U$24</f>
        <v>7.5878115998166518E-2</v>
      </c>
      <c r="F49" s="16">
        <f>IF('PV IN'!$D$7="Table",E49,D49)</f>
        <v>7.5878115998166518E-2</v>
      </c>
      <c r="G49" s="33">
        <f>('PV IN'!$E$25*'PV IN'!$E$18/12)*(1-(1-'PV IN'!$E$27)/(25*12))^C48</f>
        <v>148090.19007942564</v>
      </c>
      <c r="H49" s="33">
        <f>IF('PV IN'!$D$19="YES",G49*'PV IN'!$E$21,0)</f>
        <v>0</v>
      </c>
      <c r="I49" s="33">
        <f>IF('PV IN'!$D$19="YES",'PV IN'!$E$22*BattCalcs!W49,0)</f>
        <v>0</v>
      </c>
      <c r="J49" s="33">
        <f>IF('PV IN'!$D$19="YES",'PV IN'!$E$23*BattCalcs!Y49,0)</f>
        <v>0</v>
      </c>
      <c r="K49" s="33">
        <f>BattCalcs!AF49</f>
        <v>25811.765833333331</v>
      </c>
      <c r="L49" s="33">
        <f t="shared" si="12"/>
        <v>25811.765833333331</v>
      </c>
      <c r="M49" s="33">
        <f>IF('PV IN'!$F$4="PV Only",G49,G49-SUM(H49:J49,L49))</f>
        <v>148090.19007942564</v>
      </c>
      <c r="N49" s="2">
        <f>IF(C49&lt;='PV IN'!$I$12*12,'PV IN'!$E$12*G49/1000,0)</f>
        <v>0</v>
      </c>
      <c r="O49" s="2">
        <f>IF(AND(C49&gt;'PV IN'!$I$12*12,C49&lt;='PV IN'!$I$13*12+'PV IN'!$I$12*12),'PV IN'!$E$13*PVCalcs!G49/1000,0)</f>
        <v>1925.1724710325334</v>
      </c>
      <c r="P49" s="2">
        <f>IF(AND(C49&gt;'PV IN'!$I$12*12+'PV IN'!$I$13*12,C49&lt;='PV IN'!$I$12*12+'PV IN'!$I$13*12+'PV IN'!$I$14*12),'PV IN'!$E$14*PVCalcs!G49/1000,0)</f>
        <v>0</v>
      </c>
      <c r="R49" s="10">
        <f>IF(AND('PV IN'!$D$35="YES",$C49&lt;='PV IN'!$E$35*12),-'PV IN'!$E$18*'PV IN'!$E$34/12,0)</f>
        <v>0</v>
      </c>
      <c r="S49" s="10">
        <f>IF(AND('PV IN'!$D$37="YES",$C49&lt;='PV IN'!$E$37*12),-'PV IN'!$E$18*'PV IN'!$E$36/12,0)</f>
        <v>0</v>
      </c>
      <c r="U49" s="2">
        <f t="shared" si="13"/>
        <v>11236.804621037187</v>
      </c>
      <c r="V49" s="10">
        <f>PVLoan!M76</f>
        <v>0</v>
      </c>
      <c r="W49" s="2">
        <f>IF(C49='PV IN'!$I$40,IF('PV IN'!$G$40="Non-Taxable",'PV IN'!$F$40,0),0)+IF(C49='PV IN'!$I$41,IF('PV IN'!$G$41="Non-Taxable",'PV IN'!$F$41,0),0)</f>
        <v>0</v>
      </c>
      <c r="X49" s="10"/>
      <c r="Y49" s="10">
        <f>IF('PV IN'!$E$15="Non-Taxable",SUM(N49:P49),0)</f>
        <v>1925.1724710325334</v>
      </c>
      <c r="Z49" s="10">
        <f>IF('PV IN'!$E$15="Taxable",SUM(N49:P49),0)</f>
        <v>0</v>
      </c>
      <c r="AA49" s="2">
        <f>IF(C49='PV IN'!$I$40,IF('PV IN'!$G$40="Taxable",'PV IN'!$F$40,0),0)+IF(C49='PV IN'!$I$41,IF('PV IN'!$G$41="Taxable",'PV IN'!$F$41,0),0)</f>
        <v>0</v>
      </c>
      <c r="AD49" s="10">
        <f>IF('PV IN'!$D$48="YES",-U49*'PV IN'!$E$8,0)</f>
        <v>0</v>
      </c>
      <c r="AE49" s="10">
        <f>IF('PV IN'!$N$10="Yes",-PVLoan!H77,-PVLoan!L77)</f>
        <v>0</v>
      </c>
      <c r="AF49" s="10">
        <f>IF('PV IN'!$N$10="Yes",-PVLoan!F77,0)</f>
        <v>0</v>
      </c>
      <c r="AG49" s="10">
        <f>IF(AND('PV IN'!$D$35="YES",$C49&lt;='PV IN'!$E$35*12),0,-'PV IN'!$E$18*'PV IN'!$E$34/12)</f>
        <v>-750</v>
      </c>
      <c r="AH49" s="10">
        <f>IF(AND('PV IN'!$D$37="YES",$C49&lt;='PV IN'!$E$37*12),0,-'PV IN'!$E$18*'PV IN'!$E$36/12)</f>
        <v>-625</v>
      </c>
      <c r="AI49" s="2">
        <f>IF(AND('PV IN'!$D$33="YES",PVCalcs!C49=ROUNDUP('PV IN'!$H$33*12,)),-'PV IN'!$E$33*'PV IN'!$E$18,0)</f>
        <v>0</v>
      </c>
      <c r="AK49" s="2">
        <f t="shared" si="16"/>
        <v>13161.977092069719</v>
      </c>
      <c r="AL49" s="2">
        <f t="shared" si="3"/>
        <v>-1375</v>
      </c>
      <c r="AM49" s="2">
        <f t="shared" si="4"/>
        <v>11786.977092069719</v>
      </c>
      <c r="AN49" s="43"/>
      <c r="AO49" s="2">
        <f t="shared" si="1"/>
        <v>0</v>
      </c>
      <c r="AP49" s="2">
        <f t="shared" si="14"/>
        <v>-1375</v>
      </c>
      <c r="AR49" s="2">
        <f t="shared" si="15"/>
        <v>-1375</v>
      </c>
      <c r="AS49" s="2">
        <f>-AR49*'PV IN'!$E$8</f>
        <v>288.75</v>
      </c>
      <c r="AT49" s="2">
        <f>IF('PV IN'!$F$4="Battery Only",0,AM49+AS49)</f>
        <v>12075.727092069719</v>
      </c>
      <c r="AV49" s="10">
        <f t="shared" si="5"/>
        <v>-655764.04264267918</v>
      </c>
      <c r="AW49" s="2">
        <f>AT49/(1+('PV IN'!$G$9))^(C49)</f>
        <v>10056.651906022407</v>
      </c>
      <c r="AX49" s="2">
        <f>IF(C49&lt;='PV IN'!$O$22*12,AW49+AX48,NA())</f>
        <v>-766140.15684893203</v>
      </c>
      <c r="AZ49" s="10">
        <f t="shared" si="2"/>
        <v>-1375</v>
      </c>
      <c r="BA49" s="10">
        <f t="shared" si="6"/>
        <v>1925.1724710325325</v>
      </c>
      <c r="BB49" s="10">
        <f t="shared" si="7"/>
        <v>550.17247103253248</v>
      </c>
      <c r="BC49" s="10">
        <f t="shared" si="8"/>
        <v>0</v>
      </c>
      <c r="BD49" s="10">
        <f t="shared" si="9"/>
        <v>-1375</v>
      </c>
      <c r="BE49" s="2">
        <f t="shared" si="10"/>
        <v>0</v>
      </c>
      <c r="BF49" s="10">
        <f t="shared" si="11"/>
        <v>-1375</v>
      </c>
      <c r="BG49" s="2">
        <f>-BF49*'PV IN'!$E$8</f>
        <v>288.75</v>
      </c>
      <c r="BH49" s="2">
        <f>IF('PV IN'!$F$4="Battery Only",0,BB49+BG49)</f>
        <v>838.92247103253248</v>
      </c>
      <c r="BI49" s="2">
        <f>BH49/(1+('PV IN'!$G$9))^(C49)</f>
        <v>698.65368793029995</v>
      </c>
    </row>
    <row r="50" spans="2:61" x14ac:dyDescent="0.25">
      <c r="C50">
        <v>46</v>
      </c>
      <c r="D50" s="16">
        <f>D49*(1+('PV IN'!$G$6/12))</f>
        <v>7.5999999999999998E-2</v>
      </c>
      <c r="E50" s="16">
        <f>LkUP!$U$24</f>
        <v>7.5878115998166518E-2</v>
      </c>
      <c r="F50" s="16">
        <f>IF('PV IN'!$D$7="Table",E50,D50)</f>
        <v>7.5878115998166518E-2</v>
      </c>
      <c r="G50" s="33">
        <f>('PV IN'!$E$25*'PV IN'!$E$18/12)*(1-(1-'PV IN'!$E$27)/(25*12))^C49</f>
        <v>147991.46328603936</v>
      </c>
      <c r="H50" s="33">
        <f>IF('PV IN'!$D$19="YES",G50*'PV IN'!$E$21,0)</f>
        <v>0</v>
      </c>
      <c r="I50" s="33">
        <f>IF('PV IN'!$D$19="YES",'PV IN'!$E$22*BattCalcs!W50,0)</f>
        <v>0</v>
      </c>
      <c r="J50" s="33">
        <f>IF('PV IN'!$D$19="YES",'PV IN'!$E$23*BattCalcs!Y50,0)</f>
        <v>0</v>
      </c>
      <c r="K50" s="33">
        <f>BattCalcs!AF50</f>
        <v>25811.765833333331</v>
      </c>
      <c r="L50" s="33">
        <f t="shared" si="12"/>
        <v>25811.765833333331</v>
      </c>
      <c r="M50" s="33">
        <f>IF('PV IN'!$F$4="PV Only",G50,G50-SUM(H50:J50,L50))</f>
        <v>147991.46328603936</v>
      </c>
      <c r="N50" s="2">
        <f>IF(C50&lt;='PV IN'!$I$12*12,'PV IN'!$E$12*G50/1000,0)</f>
        <v>0</v>
      </c>
      <c r="O50" s="2">
        <f>IF(AND(C50&gt;'PV IN'!$I$12*12,C50&lt;='PV IN'!$I$13*12+'PV IN'!$I$12*12),'PV IN'!$E$13*PVCalcs!G50/1000,0)</f>
        <v>1923.8890227185118</v>
      </c>
      <c r="P50" s="2">
        <f>IF(AND(C50&gt;'PV IN'!$I$12*12+'PV IN'!$I$13*12,C50&lt;='PV IN'!$I$12*12+'PV IN'!$I$13*12+'PV IN'!$I$14*12),'PV IN'!$E$14*PVCalcs!G50/1000,0)</f>
        <v>0</v>
      </c>
      <c r="R50" s="10">
        <f>IF(AND('PV IN'!$D$35="YES",$C50&lt;='PV IN'!$E$35*12),-'PV IN'!$E$18*'PV IN'!$E$34/12,0)</f>
        <v>0</v>
      </c>
      <c r="S50" s="10">
        <f>IF(AND('PV IN'!$D$37="YES",$C50&lt;='PV IN'!$E$37*12),-'PV IN'!$E$18*'PV IN'!$E$36/12,0)</f>
        <v>0</v>
      </c>
      <c r="U50" s="2">
        <f t="shared" si="13"/>
        <v>11229.313417956497</v>
      </c>
      <c r="V50" s="10">
        <f>PVLoan!M77</f>
        <v>0</v>
      </c>
      <c r="W50" s="2">
        <f>IF(C50='PV IN'!$I$40,IF('PV IN'!$G$40="Non-Taxable",'PV IN'!$F$40,0),0)+IF(C50='PV IN'!$I$41,IF('PV IN'!$G$41="Non-Taxable",'PV IN'!$F$41,0),0)</f>
        <v>0</v>
      </c>
      <c r="X50" s="10"/>
      <c r="Y50" s="10">
        <f>IF('PV IN'!$E$15="Non-Taxable",SUM(N50:P50),0)</f>
        <v>1923.8890227185118</v>
      </c>
      <c r="Z50" s="10">
        <f>IF('PV IN'!$E$15="Taxable",SUM(N50:P50),0)</f>
        <v>0</v>
      </c>
      <c r="AA50" s="2">
        <f>IF(C50='PV IN'!$I$40,IF('PV IN'!$G$40="Taxable",'PV IN'!$F$40,0),0)+IF(C50='PV IN'!$I$41,IF('PV IN'!$G$41="Taxable",'PV IN'!$F$41,0),0)</f>
        <v>0</v>
      </c>
      <c r="AD50" s="10">
        <f>IF('PV IN'!$D$48="YES",-U50*'PV IN'!$E$8,0)</f>
        <v>0</v>
      </c>
      <c r="AE50" s="10">
        <f>IF('PV IN'!$N$10="Yes",-PVLoan!H78,-PVLoan!L78)</f>
        <v>0</v>
      </c>
      <c r="AF50" s="10">
        <f>IF('PV IN'!$N$10="Yes",-PVLoan!F78,0)</f>
        <v>0</v>
      </c>
      <c r="AG50" s="10">
        <f>IF(AND('PV IN'!$D$35="YES",$C50&lt;='PV IN'!$E$35*12),0,-'PV IN'!$E$18*'PV IN'!$E$34/12)</f>
        <v>-750</v>
      </c>
      <c r="AH50" s="10">
        <f>IF(AND('PV IN'!$D$37="YES",$C50&lt;='PV IN'!$E$37*12),0,-'PV IN'!$E$18*'PV IN'!$E$36/12)</f>
        <v>-625</v>
      </c>
      <c r="AI50" s="2">
        <f>IF(AND('PV IN'!$D$33="YES",PVCalcs!C50=ROUNDUP('PV IN'!$H$33*12,)),-'PV IN'!$E$33*'PV IN'!$E$18,0)</f>
        <v>0</v>
      </c>
      <c r="AK50" s="2">
        <f t="shared" si="16"/>
        <v>13153.202440675008</v>
      </c>
      <c r="AL50" s="2">
        <f t="shared" si="3"/>
        <v>-1375</v>
      </c>
      <c r="AM50" s="2">
        <f t="shared" si="4"/>
        <v>11778.202440675008</v>
      </c>
      <c r="AN50" s="43"/>
      <c r="AO50" s="2">
        <f t="shared" si="1"/>
        <v>0</v>
      </c>
      <c r="AP50" s="2">
        <f t="shared" si="14"/>
        <v>-1375</v>
      </c>
      <c r="AR50" s="2">
        <f t="shared" si="15"/>
        <v>-1375</v>
      </c>
      <c r="AS50" s="2">
        <f>-AR50*'PV IN'!$E$8</f>
        <v>288.75</v>
      </c>
      <c r="AT50" s="2">
        <f>IF('PV IN'!$F$4="Battery Only",0,AM50+AS50)</f>
        <v>12066.952440675008</v>
      </c>
      <c r="AV50" s="10">
        <f t="shared" si="5"/>
        <v>-643697.09020200418</v>
      </c>
      <c r="AW50" s="2">
        <f>AT50/(1+('PV IN'!$G$9))^(C50)</f>
        <v>10008.568240326762</v>
      </c>
      <c r="AX50" s="2">
        <f>IF(C50&lt;='PV IN'!$O$22*12,AW50+AX49,NA())</f>
        <v>-756131.58860860532</v>
      </c>
      <c r="AZ50" s="10">
        <f t="shared" si="2"/>
        <v>-1375</v>
      </c>
      <c r="BA50" s="10">
        <f t="shared" si="6"/>
        <v>1923.8890227185111</v>
      </c>
      <c r="BB50" s="10">
        <f t="shared" si="7"/>
        <v>548.88902271851111</v>
      </c>
      <c r="BC50" s="10">
        <f t="shared" si="8"/>
        <v>0</v>
      </c>
      <c r="BD50" s="10">
        <f t="shared" si="9"/>
        <v>-1375</v>
      </c>
      <c r="BE50" s="2">
        <f t="shared" si="10"/>
        <v>0</v>
      </c>
      <c r="BF50" s="10">
        <f t="shared" si="11"/>
        <v>-1375</v>
      </c>
      <c r="BG50" s="2">
        <f>-BF50*'PV IN'!$E$8</f>
        <v>288.75</v>
      </c>
      <c r="BH50" s="2">
        <f>IF('PV IN'!$F$4="Battery Only",0,BB50+BG50)</f>
        <v>837.63902271851111</v>
      </c>
      <c r="BI50" s="2">
        <f>BH50/(1+('PV IN'!$G$9))^(C50)</f>
        <v>694.75431852865347</v>
      </c>
    </row>
    <row r="51" spans="2:61" x14ac:dyDescent="0.25">
      <c r="C51">
        <v>47</v>
      </c>
      <c r="D51" s="16">
        <f>D50*(1+('PV IN'!$G$6/12))</f>
        <v>7.5999999999999998E-2</v>
      </c>
      <c r="E51" s="16">
        <f>LkUP!$U$24</f>
        <v>7.5878115998166518E-2</v>
      </c>
      <c r="F51" s="16">
        <f>IF('PV IN'!$D$7="Table",E51,D51)</f>
        <v>7.5878115998166518E-2</v>
      </c>
      <c r="G51" s="33">
        <f>('PV IN'!$E$25*'PV IN'!$E$18/12)*(1-(1-'PV IN'!$E$27)/(25*12))^C50</f>
        <v>147892.80231051531</v>
      </c>
      <c r="H51" s="33">
        <f>IF('PV IN'!$D$19="YES",G51*'PV IN'!$E$21,0)</f>
        <v>0</v>
      </c>
      <c r="I51" s="33">
        <f>IF('PV IN'!$D$19="YES",'PV IN'!$E$22*BattCalcs!W51,0)</f>
        <v>0</v>
      </c>
      <c r="J51" s="33">
        <f>IF('PV IN'!$D$19="YES",'PV IN'!$E$23*BattCalcs!Y51,0)</f>
        <v>0</v>
      </c>
      <c r="K51" s="33">
        <f>BattCalcs!AF51</f>
        <v>25811.765833333331</v>
      </c>
      <c r="L51" s="33">
        <f t="shared" si="12"/>
        <v>25811.765833333331</v>
      </c>
      <c r="M51" s="33">
        <f>IF('PV IN'!$F$4="PV Only",G51,G51-SUM(H51:J51,L51))</f>
        <v>147892.80231051531</v>
      </c>
      <c r="N51" s="2">
        <f>IF(C51&lt;='PV IN'!$I$12*12,'PV IN'!$E$12*G51/1000,0)</f>
        <v>0</v>
      </c>
      <c r="O51" s="2">
        <f>IF(AND(C51&gt;'PV IN'!$I$12*12,C51&lt;='PV IN'!$I$13*12+'PV IN'!$I$12*12),'PV IN'!$E$13*PVCalcs!G51/1000,0)</f>
        <v>1922.6064300366988</v>
      </c>
      <c r="P51" s="2">
        <f>IF(AND(C51&gt;'PV IN'!$I$12*12+'PV IN'!$I$13*12,C51&lt;='PV IN'!$I$12*12+'PV IN'!$I$13*12+'PV IN'!$I$14*12),'PV IN'!$E$14*PVCalcs!G51/1000,0)</f>
        <v>0</v>
      </c>
      <c r="R51" s="10">
        <f>IF(AND('PV IN'!$D$35="YES",$C51&lt;='PV IN'!$E$35*12),-'PV IN'!$E$18*'PV IN'!$E$34/12,0)</f>
        <v>0</v>
      </c>
      <c r="S51" s="10">
        <f>IF(AND('PV IN'!$D$37="YES",$C51&lt;='PV IN'!$E$37*12),-'PV IN'!$E$18*'PV IN'!$E$36/12,0)</f>
        <v>0</v>
      </c>
      <c r="U51" s="2">
        <f t="shared" si="13"/>
        <v>11221.82720901119</v>
      </c>
      <c r="V51" s="10">
        <f>PVLoan!M78</f>
        <v>0</v>
      </c>
      <c r="W51" s="2">
        <f>IF(C51='PV IN'!$I$40,IF('PV IN'!$G$40="Non-Taxable",'PV IN'!$F$40,0),0)+IF(C51='PV IN'!$I$41,IF('PV IN'!$G$41="Non-Taxable",'PV IN'!$F$41,0),0)</f>
        <v>0</v>
      </c>
      <c r="X51" s="10"/>
      <c r="Y51" s="10">
        <f>IF('PV IN'!$E$15="Non-Taxable",SUM(N51:P51),0)</f>
        <v>1922.6064300366988</v>
      </c>
      <c r="Z51" s="10">
        <f>IF('PV IN'!$E$15="Taxable",SUM(N51:P51),0)</f>
        <v>0</v>
      </c>
      <c r="AA51" s="2">
        <f>IF(C51='PV IN'!$I$40,IF('PV IN'!$G$40="Taxable",'PV IN'!$F$40,0),0)+IF(C51='PV IN'!$I$41,IF('PV IN'!$G$41="Taxable",'PV IN'!$F$41,0),0)</f>
        <v>0</v>
      </c>
      <c r="AD51" s="10">
        <f>IF('PV IN'!$D$48="YES",-U51*'PV IN'!$E$8,0)</f>
        <v>0</v>
      </c>
      <c r="AE51" s="10">
        <f>IF('PV IN'!$N$10="Yes",-PVLoan!H79,-PVLoan!L79)</f>
        <v>0</v>
      </c>
      <c r="AF51" s="10">
        <f>IF('PV IN'!$N$10="Yes",-PVLoan!F79,0)</f>
        <v>0</v>
      </c>
      <c r="AG51" s="10">
        <f>IF(AND('PV IN'!$D$35="YES",$C51&lt;='PV IN'!$E$35*12),0,-'PV IN'!$E$18*'PV IN'!$E$34/12)</f>
        <v>-750</v>
      </c>
      <c r="AH51" s="10">
        <f>IF(AND('PV IN'!$D$37="YES",$C51&lt;='PV IN'!$E$37*12),0,-'PV IN'!$E$18*'PV IN'!$E$36/12)</f>
        <v>-625</v>
      </c>
      <c r="AI51" s="2">
        <f>IF(AND('PV IN'!$D$33="YES",PVCalcs!C51=ROUNDUP('PV IN'!$H$33*12,)),-'PV IN'!$E$33*'PV IN'!$E$18,0)</f>
        <v>0</v>
      </c>
      <c r="AK51" s="2">
        <f t="shared" si="16"/>
        <v>13144.433639047889</v>
      </c>
      <c r="AL51" s="2">
        <f t="shared" si="3"/>
        <v>-1375</v>
      </c>
      <c r="AM51" s="2">
        <f t="shared" si="4"/>
        <v>11769.433639047889</v>
      </c>
      <c r="AN51" s="43"/>
      <c r="AO51" s="2">
        <f t="shared" si="1"/>
        <v>0</v>
      </c>
      <c r="AP51" s="2">
        <f t="shared" si="14"/>
        <v>-1375</v>
      </c>
      <c r="AR51" s="2">
        <f t="shared" si="15"/>
        <v>-1375</v>
      </c>
      <c r="AS51" s="2">
        <f>-AR51*'PV IN'!$E$8</f>
        <v>288.75</v>
      </c>
      <c r="AT51" s="2">
        <f>IF('PV IN'!$F$4="Battery Only",0,AM51+AS51)</f>
        <v>12058.183639047889</v>
      </c>
      <c r="AV51" s="10">
        <f t="shared" si="5"/>
        <v>-631638.90656295628</v>
      </c>
      <c r="AW51" s="2">
        <f>AT51/(1+('PV IN'!$G$9))^(C51)</f>
        <v>9960.7140414121932</v>
      </c>
      <c r="AX51" s="2">
        <f>IF(C51&lt;='PV IN'!$O$22*12,AW51+AX50,NA())</f>
        <v>-746170.8745671931</v>
      </c>
      <c r="AZ51" s="10">
        <f t="shared" si="2"/>
        <v>-1375</v>
      </c>
      <c r="BA51" s="10">
        <f t="shared" si="6"/>
        <v>1922.6064300366997</v>
      </c>
      <c r="BB51" s="10">
        <f t="shared" si="7"/>
        <v>547.60643003669975</v>
      </c>
      <c r="BC51" s="10">
        <f t="shared" si="8"/>
        <v>0</v>
      </c>
      <c r="BD51" s="10">
        <f t="shared" si="9"/>
        <v>-1375</v>
      </c>
      <c r="BE51" s="2">
        <f t="shared" si="10"/>
        <v>0</v>
      </c>
      <c r="BF51" s="10">
        <f t="shared" si="11"/>
        <v>-1375</v>
      </c>
      <c r="BG51" s="2">
        <f>-BF51*'PV IN'!$E$8</f>
        <v>288.75</v>
      </c>
      <c r="BH51" s="2">
        <f>IF('PV IN'!$F$4="Battery Only",0,BB51+BG51)</f>
        <v>836.35643003669975</v>
      </c>
      <c r="BI51" s="2">
        <f>BH51/(1+('PV IN'!$G$9))^(C51)</f>
        <v>690.87579735597069</v>
      </c>
    </row>
    <row r="52" spans="2:61" x14ac:dyDescent="0.25">
      <c r="B52">
        <v>4</v>
      </c>
      <c r="C52">
        <v>48</v>
      </c>
      <c r="D52" s="16">
        <f>D51*(1+('PV IN'!$G$6/12))</f>
        <v>7.5999999999999998E-2</v>
      </c>
      <c r="E52" s="16">
        <f>LkUP!$U$24</f>
        <v>7.5878115998166518E-2</v>
      </c>
      <c r="F52" s="16">
        <f>IF('PV IN'!$D$7="Table",E52,D52)</f>
        <v>7.5878115998166518E-2</v>
      </c>
      <c r="G52" s="33">
        <f>('PV IN'!$E$25*'PV IN'!$E$18/12)*(1-(1-'PV IN'!$E$27)/(25*12))^C51</f>
        <v>147794.20710897498</v>
      </c>
      <c r="H52" s="33">
        <f>IF('PV IN'!$D$19="YES",G52*'PV IN'!$E$21,0)</f>
        <v>0</v>
      </c>
      <c r="I52" s="33">
        <f>IF('PV IN'!$D$19="YES",'PV IN'!$E$22*BattCalcs!W52,0)</f>
        <v>0</v>
      </c>
      <c r="J52" s="33">
        <f>IF('PV IN'!$D$19="YES",'PV IN'!$E$23*BattCalcs!Y52,0)</f>
        <v>0</v>
      </c>
      <c r="K52" s="33">
        <f>BattCalcs!AF52</f>
        <v>25811.765833333331</v>
      </c>
      <c r="L52" s="33">
        <f t="shared" si="12"/>
        <v>25811.765833333331</v>
      </c>
      <c r="M52" s="33">
        <f>IF('PV IN'!$F$4="PV Only",G52,G52-SUM(H52:J52,L52))</f>
        <v>147794.20710897498</v>
      </c>
      <c r="N52" s="2">
        <f>IF(C52&lt;='PV IN'!$I$12*12,'PV IN'!$E$12*G52/1000,0)</f>
        <v>0</v>
      </c>
      <c r="O52" s="2">
        <f>IF(AND(C52&gt;'PV IN'!$I$12*12,C52&lt;='PV IN'!$I$13*12+'PV IN'!$I$12*12),'PV IN'!$E$13*PVCalcs!G52/1000,0)</f>
        <v>1921.3246924166747</v>
      </c>
      <c r="P52" s="2">
        <f>IF(AND(C52&gt;'PV IN'!$I$12*12+'PV IN'!$I$13*12,C52&lt;='PV IN'!$I$12*12+'PV IN'!$I$13*12+'PV IN'!$I$14*12),'PV IN'!$E$14*PVCalcs!G52/1000,0)</f>
        <v>0</v>
      </c>
      <c r="R52" s="10">
        <f>IF(AND('PV IN'!$D$35="YES",$C52&lt;='PV IN'!$E$35*12),-'PV IN'!$E$18*'PV IN'!$E$34/12,0)</f>
        <v>0</v>
      </c>
      <c r="S52" s="10">
        <f>IF(AND('PV IN'!$D$37="YES",$C52&lt;='PV IN'!$E$37*12),-'PV IN'!$E$18*'PV IN'!$E$36/12,0)</f>
        <v>0</v>
      </c>
      <c r="U52" s="2">
        <f t="shared" si="13"/>
        <v>11214.345990871851</v>
      </c>
      <c r="V52" s="10">
        <f>PVLoan!M79</f>
        <v>0</v>
      </c>
      <c r="W52" s="2">
        <f>IF(C52='PV IN'!$I$40,IF('PV IN'!$G$40="Non-Taxable",'PV IN'!$F$40,0),0)+IF(C52='PV IN'!$I$41,IF('PV IN'!$G$41="Non-Taxable",'PV IN'!$F$41,0),0)</f>
        <v>0</v>
      </c>
      <c r="Y52" s="10">
        <f>IF('PV IN'!$E$15="Non-Taxable",SUM(N52:P52),0)</f>
        <v>1921.3246924166747</v>
      </c>
      <c r="Z52" s="10">
        <f>IF('PV IN'!$E$15="Taxable",SUM(N52:P52),0)</f>
        <v>0</v>
      </c>
      <c r="AA52" s="2">
        <f>IF(C52='PV IN'!$I$40,IF('PV IN'!$G$40="Taxable",'PV IN'!$F$40,0),0)+IF(C52='PV IN'!$I$41,IF('PV IN'!$G$41="Taxable",'PV IN'!$F$41,0),0)</f>
        <v>0</v>
      </c>
      <c r="AD52" s="10">
        <f>IF('PV IN'!$D$48="YES",-U52*'PV IN'!$E$8,0)</f>
        <v>0</v>
      </c>
      <c r="AE52" s="10">
        <f>IF('PV IN'!$N$10="Yes",-PVLoan!H80,-PVLoan!L80)</f>
        <v>0</v>
      </c>
      <c r="AF52" s="10">
        <f>IF('PV IN'!$N$10="Yes",-PVLoan!F80,0)</f>
        <v>0</v>
      </c>
      <c r="AG52" s="10">
        <f>IF(AND('PV IN'!$D$35="YES",$C52&lt;='PV IN'!$E$35*12),0,-'PV IN'!$E$18*'PV IN'!$E$34/12)</f>
        <v>-750</v>
      </c>
      <c r="AH52" s="10">
        <f>IF(AND('PV IN'!$D$37="YES",$C52&lt;='PV IN'!$E$37*12),0,-'PV IN'!$E$18*'PV IN'!$E$36/12)</f>
        <v>-625</v>
      </c>
      <c r="AI52" s="2">
        <f>IF(AND('PV IN'!$D$33="YES",PVCalcs!C52=ROUNDUP('PV IN'!$H$33*12,)),-'PV IN'!$E$33*'PV IN'!$E$18,0)</f>
        <v>0</v>
      </c>
      <c r="AK52" s="2">
        <f t="shared" si="16"/>
        <v>13135.670683288525</v>
      </c>
      <c r="AL52" s="2">
        <f t="shared" si="3"/>
        <v>-1375</v>
      </c>
      <c r="AM52" s="2">
        <f t="shared" si="4"/>
        <v>11760.670683288525</v>
      </c>
      <c r="AN52" s="43"/>
      <c r="AO52" s="2">
        <f t="shared" si="1"/>
        <v>0</v>
      </c>
      <c r="AP52" s="2">
        <f t="shared" si="14"/>
        <v>-1375</v>
      </c>
      <c r="AQ52" s="2">
        <f>-Depr.!F10</f>
        <v>0</v>
      </c>
      <c r="AR52" s="2">
        <f t="shared" si="15"/>
        <v>-1375</v>
      </c>
      <c r="AS52" s="2">
        <f>-AR52*'PV IN'!$E$8</f>
        <v>288.75</v>
      </c>
      <c r="AT52" s="2">
        <f>IF('PV IN'!$F$4="Battery Only",0,AM52+AS52)</f>
        <v>12049.420683288525</v>
      </c>
      <c r="AV52" s="10">
        <f t="shared" si="5"/>
        <v>-619589.4858796678</v>
      </c>
      <c r="AW52" s="2">
        <f>AT52/(1+('PV IN'!$G$9))^(C52)</f>
        <v>9913.0882159499142</v>
      </c>
      <c r="AX52" s="2">
        <f>IF(C52&lt;='PV IN'!$O$22*12,AW52+AX51,NA())</f>
        <v>-736257.78635124315</v>
      </c>
      <c r="AZ52" s="10">
        <f t="shared" si="2"/>
        <v>-1375</v>
      </c>
      <c r="BA52" s="10">
        <f t="shared" si="6"/>
        <v>1921.3246924166742</v>
      </c>
      <c r="BB52" s="10">
        <f t="shared" si="7"/>
        <v>546.32469241667422</v>
      </c>
      <c r="BC52" s="10">
        <f t="shared" si="8"/>
        <v>0</v>
      </c>
      <c r="BD52" s="10">
        <f t="shared" si="9"/>
        <v>-1375</v>
      </c>
      <c r="BE52" s="2">
        <f t="shared" si="10"/>
        <v>0</v>
      </c>
      <c r="BF52" s="10">
        <f t="shared" si="11"/>
        <v>-1375</v>
      </c>
      <c r="BG52" s="2">
        <f>-BF52*'PV IN'!$E$8</f>
        <v>288.75</v>
      </c>
      <c r="BH52" s="2">
        <f>IF('PV IN'!$F$4="Battery Only",0,BB52+BG52)</f>
        <v>835.07469241667422</v>
      </c>
      <c r="BI52" s="2">
        <f>BH52/(1+('PV IN'!$G$9))^(C52)</f>
        <v>687.01801608726441</v>
      </c>
    </row>
    <row r="53" spans="2:61" x14ac:dyDescent="0.25">
      <c r="C53">
        <v>49</v>
      </c>
      <c r="D53" s="16">
        <f>D52*(1+('PV IN'!$G$6/12))</f>
        <v>7.5999999999999998E-2</v>
      </c>
      <c r="E53" s="16">
        <f>LkUP!$U$25</f>
        <v>7.5950366439599487E-2</v>
      </c>
      <c r="F53" s="16">
        <f>IF('PV IN'!$D$7="Table",E53,D53)</f>
        <v>7.5950366439599487E-2</v>
      </c>
      <c r="G53" s="33">
        <f>('PV IN'!$E$25*'PV IN'!$E$18/12)*(1-(1-'PV IN'!$E$27)/(25*12))^C52</f>
        <v>147695.677637569</v>
      </c>
      <c r="H53" s="33">
        <f>IF('PV IN'!$D$19="YES",G53*'PV IN'!$E$21,0)</f>
        <v>0</v>
      </c>
      <c r="I53" s="33">
        <f>IF('PV IN'!$D$19="YES",'PV IN'!$E$22*BattCalcs!W53,0)</f>
        <v>0</v>
      </c>
      <c r="J53" s="33">
        <f>IF('PV IN'!$D$19="YES",'PV IN'!$E$23*BattCalcs!Y53,0)</f>
        <v>0</v>
      </c>
      <c r="K53" s="33">
        <f>BattCalcs!AF53</f>
        <v>25811.765833333331</v>
      </c>
      <c r="L53" s="33">
        <f t="shared" si="12"/>
        <v>25811.765833333331</v>
      </c>
      <c r="M53" s="33">
        <f>IF('PV IN'!$F$4="PV Only",G53,G53-SUM(H53:J53,L53))</f>
        <v>147695.677637569</v>
      </c>
      <c r="N53" s="2">
        <f>IF(C53&lt;='PV IN'!$I$12*12,'PV IN'!$E$12*G53/1000,0)</f>
        <v>0</v>
      </c>
      <c r="O53" s="2">
        <f>IF(AND(C53&gt;'PV IN'!$I$12*12,C53&lt;='PV IN'!$I$13*12+'PV IN'!$I$12*12),'PV IN'!$E$13*PVCalcs!G53/1000,0)</f>
        <v>1920.0438092883969</v>
      </c>
      <c r="P53" s="2">
        <f>IF(AND(C53&gt;'PV IN'!$I$12*12+'PV IN'!$I$13*12,C53&lt;='PV IN'!$I$12*12+'PV IN'!$I$13*12+'PV IN'!$I$14*12),'PV IN'!$E$14*PVCalcs!G53/1000,0)</f>
        <v>0</v>
      </c>
      <c r="R53" s="10">
        <f>IF(AND('PV IN'!$D$35="YES",$C53&lt;='PV IN'!$E$35*12),-'PV IN'!$E$18*'PV IN'!$E$34/12,0)</f>
        <v>0</v>
      </c>
      <c r="S53" s="10">
        <f>IF(AND('PV IN'!$D$37="YES",$C53&lt;='PV IN'!$E$37*12),-'PV IN'!$E$18*'PV IN'!$E$36/12,0)</f>
        <v>0</v>
      </c>
      <c r="U53" s="2">
        <f t="shared" si="13"/>
        <v>11217.540838118324</v>
      </c>
      <c r="V53" s="10">
        <f>PVLoan!M80</f>
        <v>0</v>
      </c>
      <c r="W53" s="2">
        <f>IF(C53='PV IN'!$I$40,IF('PV IN'!$G$40="Non-Taxable",'PV IN'!$F$40,0),0)+IF(C53='PV IN'!$I$41,IF('PV IN'!$G$41="Non-Taxable",'PV IN'!$F$41,0),0)</f>
        <v>0</v>
      </c>
      <c r="X53" s="10"/>
      <c r="Y53" s="10">
        <f>IF('PV IN'!$E$15="Non-Taxable",SUM(N53:P53),0)</f>
        <v>1920.0438092883969</v>
      </c>
      <c r="Z53" s="10">
        <f>IF('PV IN'!$E$15="Taxable",SUM(N53:P53),0)</f>
        <v>0</v>
      </c>
      <c r="AA53" s="2">
        <f>IF(C53='PV IN'!$I$40,IF('PV IN'!$G$40="Taxable",'PV IN'!$F$40,0),0)+IF(C53='PV IN'!$I$41,IF('PV IN'!$G$41="Taxable",'PV IN'!$F$41,0),0)</f>
        <v>0</v>
      </c>
      <c r="AD53" s="10">
        <f>IF('PV IN'!$D$48="YES",-U53*'PV IN'!$E$8,0)</f>
        <v>0</v>
      </c>
      <c r="AE53" s="10">
        <f>IF('PV IN'!$N$10="Yes",-PVLoan!H81,-PVLoan!L81)</f>
        <v>0</v>
      </c>
      <c r="AF53" s="10">
        <f>IF('PV IN'!$N$10="Yes",-PVLoan!F81,0)</f>
        <v>0</v>
      </c>
      <c r="AG53" s="10">
        <f>IF(AND('PV IN'!$D$35="YES",$C53&lt;='PV IN'!$E$35*12),0,-'PV IN'!$E$18*'PV IN'!$E$34/12)</f>
        <v>-750</v>
      </c>
      <c r="AH53" s="10">
        <f>IF(AND('PV IN'!$D$37="YES",$C53&lt;='PV IN'!$E$37*12),0,-'PV IN'!$E$18*'PV IN'!$E$36/12)</f>
        <v>-625</v>
      </c>
      <c r="AI53" s="2">
        <f>IF(AND('PV IN'!$D$33="YES",PVCalcs!C53=ROUNDUP('PV IN'!$H$33*12,)),-'PV IN'!$E$33*'PV IN'!$E$18,0)</f>
        <v>0</v>
      </c>
      <c r="AK53" s="2">
        <f t="shared" si="16"/>
        <v>13137.584647406722</v>
      </c>
      <c r="AL53" s="2">
        <f t="shared" si="3"/>
        <v>-1375</v>
      </c>
      <c r="AM53" s="2">
        <f t="shared" si="4"/>
        <v>11762.584647406722</v>
      </c>
      <c r="AN53" s="43"/>
      <c r="AO53" s="2">
        <f t="shared" si="1"/>
        <v>0</v>
      </c>
      <c r="AP53" s="2">
        <f t="shared" si="14"/>
        <v>-1375</v>
      </c>
      <c r="AR53" s="2">
        <f t="shared" si="15"/>
        <v>-1375</v>
      </c>
      <c r="AS53" s="2">
        <f>-AR53*'PV IN'!$E$8</f>
        <v>288.75</v>
      </c>
      <c r="AT53" s="2">
        <f>IF('PV IN'!$F$4="Battery Only",0,AM53+AS53)</f>
        <v>12051.334647406722</v>
      </c>
      <c r="AV53" s="10">
        <f t="shared" si="5"/>
        <v>-607538.15123226109</v>
      </c>
      <c r="AW53" s="2">
        <f>AT53/(1+('PV IN'!$G$9))^(C53)</f>
        <v>9874.4331759145789</v>
      </c>
      <c r="AX53" s="2">
        <f>IF(C53&lt;='PV IN'!$O$22*12,AW53+AX52,NA())</f>
        <v>-726383.35317532858</v>
      </c>
      <c r="AZ53" s="10">
        <f t="shared" si="2"/>
        <v>-1375</v>
      </c>
      <c r="BA53" s="10">
        <f t="shared" si="6"/>
        <v>1920.0438092883978</v>
      </c>
      <c r="BB53" s="10">
        <f t="shared" si="7"/>
        <v>545.04380928839782</v>
      </c>
      <c r="BC53" s="10">
        <f t="shared" si="8"/>
        <v>0</v>
      </c>
      <c r="BD53" s="10">
        <f t="shared" si="9"/>
        <v>-1375</v>
      </c>
      <c r="BE53" s="2">
        <f t="shared" si="10"/>
        <v>0</v>
      </c>
      <c r="BF53" s="10">
        <f t="shared" si="11"/>
        <v>-1375</v>
      </c>
      <c r="BG53" s="2">
        <f>-BF53*'PV IN'!$E$8</f>
        <v>288.75</v>
      </c>
      <c r="BH53" s="2">
        <f>IF('PV IN'!$F$4="Battery Only",0,BB53+BG53)</f>
        <v>833.79380928839782</v>
      </c>
      <c r="BI53" s="2">
        <f>BH53/(1+('PV IN'!$G$9))^(C53)</f>
        <v>683.18086694914143</v>
      </c>
    </row>
    <row r="54" spans="2:61" x14ac:dyDescent="0.25">
      <c r="C54">
        <v>50</v>
      </c>
      <c r="D54" s="16">
        <f>D53*(1+('PV IN'!$G$6/12))</f>
        <v>7.5999999999999998E-2</v>
      </c>
      <c r="E54" s="16">
        <f>LkUP!$U$25</f>
        <v>7.5950366439599487E-2</v>
      </c>
      <c r="F54" s="16">
        <f>IF('PV IN'!$D$7="Table",E54,D54)</f>
        <v>7.5950366439599487E-2</v>
      </c>
      <c r="G54" s="33">
        <f>('PV IN'!$E$25*'PV IN'!$E$18/12)*(1-(1-'PV IN'!$E$27)/(25*12))^C53</f>
        <v>147597.21385247726</v>
      </c>
      <c r="H54" s="33">
        <f>IF('PV IN'!$D$19="YES",G54*'PV IN'!$E$21,0)</f>
        <v>0</v>
      </c>
      <c r="I54" s="33">
        <f>IF('PV IN'!$D$19="YES",'PV IN'!$E$22*BattCalcs!W54,0)</f>
        <v>0</v>
      </c>
      <c r="J54" s="33">
        <f>IF('PV IN'!$D$19="YES",'PV IN'!$E$23*BattCalcs!Y54,0)</f>
        <v>0</v>
      </c>
      <c r="K54" s="33">
        <f>BattCalcs!AF54</f>
        <v>25811.765833333331</v>
      </c>
      <c r="L54" s="33">
        <f t="shared" si="12"/>
        <v>25811.765833333331</v>
      </c>
      <c r="M54" s="33">
        <f>IF('PV IN'!$F$4="PV Only",G54,G54-SUM(H54:J54,L54))</f>
        <v>147597.21385247726</v>
      </c>
      <c r="N54" s="2">
        <f>IF(C54&lt;='PV IN'!$I$12*12,'PV IN'!$E$12*G54/1000,0)</f>
        <v>0</v>
      </c>
      <c r="O54" s="2">
        <f>IF(AND(C54&gt;'PV IN'!$I$12*12,C54&lt;='PV IN'!$I$13*12+'PV IN'!$I$12*12),'PV IN'!$E$13*PVCalcs!G54/1000,0)</f>
        <v>1918.7637800822044</v>
      </c>
      <c r="P54" s="2">
        <f>IF(AND(C54&gt;'PV IN'!$I$12*12+'PV IN'!$I$13*12,C54&lt;='PV IN'!$I$12*12+'PV IN'!$I$13*12+'PV IN'!$I$14*12),'PV IN'!$E$14*PVCalcs!G54/1000,0)</f>
        <v>0</v>
      </c>
      <c r="R54" s="10">
        <f>IF(AND('PV IN'!$D$35="YES",$C54&lt;='PV IN'!$E$35*12),-'PV IN'!$E$18*'PV IN'!$E$34/12,0)</f>
        <v>0</v>
      </c>
      <c r="S54" s="10">
        <f>IF(AND('PV IN'!$D$37="YES",$C54&lt;='PV IN'!$E$37*12),-'PV IN'!$E$18*'PV IN'!$E$36/12,0)</f>
        <v>0</v>
      </c>
      <c r="U54" s="2">
        <f t="shared" si="13"/>
        <v>11210.062477559577</v>
      </c>
      <c r="V54" s="10">
        <f>PVLoan!M81</f>
        <v>0</v>
      </c>
      <c r="W54" s="2">
        <f>IF(C54='PV IN'!$I$40,IF('PV IN'!$G$40="Non-Taxable",'PV IN'!$F$40,0),0)+IF(C54='PV IN'!$I$41,IF('PV IN'!$G$41="Non-Taxable",'PV IN'!$F$41,0),0)</f>
        <v>0</v>
      </c>
      <c r="X54" s="10"/>
      <c r="Y54" s="10">
        <f>IF('PV IN'!$E$15="Non-Taxable",SUM(N54:P54),0)</f>
        <v>1918.7637800822044</v>
      </c>
      <c r="Z54" s="10">
        <f>IF('PV IN'!$E$15="Taxable",SUM(N54:P54),0)</f>
        <v>0</v>
      </c>
      <c r="AA54" s="2">
        <f>IF(C54='PV IN'!$I$40,IF('PV IN'!$G$40="Taxable",'PV IN'!$F$40,0),0)+IF(C54='PV IN'!$I$41,IF('PV IN'!$G$41="Taxable",'PV IN'!$F$41,0),0)</f>
        <v>0</v>
      </c>
      <c r="AD54" s="10">
        <f>IF('PV IN'!$D$48="YES",-U54*'PV IN'!$E$8,0)</f>
        <v>0</v>
      </c>
      <c r="AE54" s="10">
        <f>IF('PV IN'!$N$10="Yes",-PVLoan!H82,-PVLoan!L82)</f>
        <v>0</v>
      </c>
      <c r="AF54" s="10">
        <f>IF('PV IN'!$N$10="Yes",-PVLoan!F82,0)</f>
        <v>0</v>
      </c>
      <c r="AG54" s="10">
        <f>IF(AND('PV IN'!$D$35="YES",$C54&lt;='PV IN'!$E$35*12),0,-'PV IN'!$E$18*'PV IN'!$E$34/12)</f>
        <v>-750</v>
      </c>
      <c r="AH54" s="10">
        <f>IF(AND('PV IN'!$D$37="YES",$C54&lt;='PV IN'!$E$37*12),0,-'PV IN'!$E$18*'PV IN'!$E$36/12)</f>
        <v>-625</v>
      </c>
      <c r="AI54" s="2">
        <f>IF(AND('PV IN'!$D$33="YES",PVCalcs!C54=ROUNDUP('PV IN'!$H$33*12,)),-'PV IN'!$E$33*'PV IN'!$E$18,0)</f>
        <v>0</v>
      </c>
      <c r="AK54" s="2">
        <f t="shared" si="16"/>
        <v>13128.826257641782</v>
      </c>
      <c r="AL54" s="2">
        <f t="shared" si="3"/>
        <v>-1375</v>
      </c>
      <c r="AM54" s="2">
        <f t="shared" si="4"/>
        <v>11753.826257641782</v>
      </c>
      <c r="AN54" s="43"/>
      <c r="AO54" s="2">
        <f t="shared" si="1"/>
        <v>0</v>
      </c>
      <c r="AP54" s="2">
        <f t="shared" si="14"/>
        <v>-1375</v>
      </c>
      <c r="AR54" s="2">
        <f t="shared" si="15"/>
        <v>-1375</v>
      </c>
      <c r="AS54" s="2">
        <f>-AR54*'PV IN'!$E$8</f>
        <v>288.75</v>
      </c>
      <c r="AT54" s="2">
        <f>IF('PV IN'!$F$4="Battery Only",0,AM54+AS54)</f>
        <v>12042.576257641782</v>
      </c>
      <c r="AV54" s="10">
        <f t="shared" si="5"/>
        <v>-595495.57497461932</v>
      </c>
      <c r="AW54" s="2">
        <f>AT54/(1+('PV IN'!$G$9))^(C54)</f>
        <v>9827.2195552450012</v>
      </c>
      <c r="AX54" s="2">
        <f>IF(C54&lt;='PV IN'!$O$22*12,AW54+AX53,NA())</f>
        <v>-716556.13362008356</v>
      </c>
      <c r="AZ54" s="10">
        <f t="shared" si="2"/>
        <v>-1375</v>
      </c>
      <c r="BA54" s="10">
        <f t="shared" si="6"/>
        <v>1918.7637800822049</v>
      </c>
      <c r="BB54" s="10">
        <f t="shared" si="7"/>
        <v>543.7637800822049</v>
      </c>
      <c r="BC54" s="10">
        <f t="shared" si="8"/>
        <v>0</v>
      </c>
      <c r="BD54" s="10">
        <f t="shared" si="9"/>
        <v>-1375</v>
      </c>
      <c r="BE54" s="2">
        <f t="shared" si="10"/>
        <v>0</v>
      </c>
      <c r="BF54" s="10">
        <f t="shared" si="11"/>
        <v>-1375</v>
      </c>
      <c r="BG54" s="2">
        <f>-BF54*'PV IN'!$E$8</f>
        <v>288.75</v>
      </c>
      <c r="BH54" s="2">
        <f>IF('PV IN'!$F$4="Battery Only",0,BB54+BG54)</f>
        <v>832.5137800822049</v>
      </c>
      <c r="BI54" s="2">
        <f>BH54/(1+('PV IN'!$G$9))^(C54)</f>
        <v>679.36424271702049</v>
      </c>
    </row>
    <row r="55" spans="2:61" x14ac:dyDescent="0.25">
      <c r="C55">
        <v>51</v>
      </c>
      <c r="D55" s="16">
        <f>D54*(1+('PV IN'!$G$6/12))</f>
        <v>7.5999999999999998E-2</v>
      </c>
      <c r="E55" s="16">
        <f>LkUP!$U$25</f>
        <v>7.5950366439599487E-2</v>
      </c>
      <c r="F55" s="16">
        <f>IF('PV IN'!$D$7="Table",E55,D55)</f>
        <v>7.5950366439599487E-2</v>
      </c>
      <c r="G55" s="33">
        <f>('PV IN'!$E$25*'PV IN'!$E$18/12)*(1-(1-'PV IN'!$E$27)/(25*12))^C54</f>
        <v>147498.81570990896</v>
      </c>
      <c r="H55" s="33">
        <f>IF('PV IN'!$D$19="YES",G55*'PV IN'!$E$21,0)</f>
        <v>0</v>
      </c>
      <c r="I55" s="33">
        <f>IF('PV IN'!$D$19="YES",'PV IN'!$E$22*BattCalcs!W55,0)</f>
        <v>0</v>
      </c>
      <c r="J55" s="33">
        <f>IF('PV IN'!$D$19="YES",'PV IN'!$E$23*BattCalcs!Y55,0)</f>
        <v>0</v>
      </c>
      <c r="K55" s="33">
        <f>BattCalcs!AF55</f>
        <v>25811.765833333331</v>
      </c>
      <c r="L55" s="33">
        <f t="shared" si="12"/>
        <v>25811.765833333331</v>
      </c>
      <c r="M55" s="33">
        <f>IF('PV IN'!$F$4="PV Only",G55,G55-SUM(H55:J55,L55))</f>
        <v>147498.81570990896</v>
      </c>
      <c r="N55" s="2">
        <f>IF(C55&lt;='PV IN'!$I$12*12,'PV IN'!$E$12*G55/1000,0)</f>
        <v>0</v>
      </c>
      <c r="O55" s="2">
        <f>IF(AND(C55&gt;'PV IN'!$I$12*12,C55&lt;='PV IN'!$I$13*12+'PV IN'!$I$12*12),'PV IN'!$E$13*PVCalcs!G55/1000,0)</f>
        <v>1917.4846042288164</v>
      </c>
      <c r="P55" s="2">
        <f>IF(AND(C55&gt;'PV IN'!$I$12*12+'PV IN'!$I$13*12,C55&lt;='PV IN'!$I$12*12+'PV IN'!$I$13*12+'PV IN'!$I$14*12),'PV IN'!$E$14*PVCalcs!G55/1000,0)</f>
        <v>0</v>
      </c>
      <c r="R55" s="10">
        <f>IF(AND('PV IN'!$D$35="YES",$C55&lt;='PV IN'!$E$35*12),-'PV IN'!$E$18*'PV IN'!$E$34/12,0)</f>
        <v>0</v>
      </c>
      <c r="S55" s="10">
        <f>IF(AND('PV IN'!$D$37="YES",$C55&lt;='PV IN'!$E$37*12),-'PV IN'!$E$18*'PV IN'!$E$36/12,0)</f>
        <v>0</v>
      </c>
      <c r="U55" s="2">
        <f t="shared" si="13"/>
        <v>11202.589102574539</v>
      </c>
      <c r="V55" s="10">
        <f>PVLoan!M82</f>
        <v>0</v>
      </c>
      <c r="W55" s="2">
        <f>IF(C55='PV IN'!$I$40,IF('PV IN'!$G$40="Non-Taxable",'PV IN'!$F$40,0),0)+IF(C55='PV IN'!$I$41,IF('PV IN'!$G$41="Non-Taxable",'PV IN'!$F$41,0),0)</f>
        <v>0</v>
      </c>
      <c r="X55" s="10"/>
      <c r="Y55" s="10">
        <f>IF('PV IN'!$E$15="Non-Taxable",SUM(N55:P55),0)</f>
        <v>1917.4846042288164</v>
      </c>
      <c r="Z55" s="10">
        <f>IF('PV IN'!$E$15="Taxable",SUM(N55:P55),0)</f>
        <v>0</v>
      </c>
      <c r="AA55" s="2">
        <f>IF(C55='PV IN'!$I$40,IF('PV IN'!$G$40="Taxable",'PV IN'!$F$40,0),0)+IF(C55='PV IN'!$I$41,IF('PV IN'!$G$41="Taxable",'PV IN'!$F$41,0),0)</f>
        <v>0</v>
      </c>
      <c r="AD55" s="10">
        <f>IF('PV IN'!$D$48="YES",-U55*'PV IN'!$E$8,0)</f>
        <v>0</v>
      </c>
      <c r="AE55" s="10">
        <f>IF('PV IN'!$N$10="Yes",-PVLoan!H83,-PVLoan!L83)</f>
        <v>0</v>
      </c>
      <c r="AF55" s="10">
        <f>IF('PV IN'!$N$10="Yes",-PVLoan!F83,0)</f>
        <v>0</v>
      </c>
      <c r="AG55" s="10">
        <f>IF(AND('PV IN'!$D$35="YES",$C55&lt;='PV IN'!$E$35*12),0,-'PV IN'!$E$18*'PV IN'!$E$34/12)</f>
        <v>-750</v>
      </c>
      <c r="AH55" s="10">
        <f>IF(AND('PV IN'!$D$37="YES",$C55&lt;='PV IN'!$E$37*12),0,-'PV IN'!$E$18*'PV IN'!$E$36/12)</f>
        <v>-625</v>
      </c>
      <c r="AI55" s="2">
        <f>IF(AND('PV IN'!$D$33="YES",PVCalcs!C55=ROUNDUP('PV IN'!$H$33*12,)),-'PV IN'!$E$33*'PV IN'!$E$18,0)</f>
        <v>0</v>
      </c>
      <c r="AK55" s="2">
        <f t="shared" si="16"/>
        <v>13120.073706803356</v>
      </c>
      <c r="AL55" s="2">
        <f t="shared" si="3"/>
        <v>-1375</v>
      </c>
      <c r="AM55" s="2">
        <f t="shared" si="4"/>
        <v>11745.073706803356</v>
      </c>
      <c r="AN55" s="43"/>
      <c r="AO55" s="2">
        <f t="shared" si="1"/>
        <v>0</v>
      </c>
      <c r="AP55" s="2">
        <f t="shared" si="14"/>
        <v>-1375</v>
      </c>
      <c r="AR55" s="2">
        <f t="shared" si="15"/>
        <v>-1375</v>
      </c>
      <c r="AS55" s="2">
        <f>-AR55*'PV IN'!$E$8</f>
        <v>288.75</v>
      </c>
      <c r="AT55" s="2">
        <f>IF('PV IN'!$F$4="Battery Only",0,AM55+AS55)</f>
        <v>12033.823706803356</v>
      </c>
      <c r="AV55" s="10">
        <f t="shared" si="5"/>
        <v>-583461.75126781594</v>
      </c>
      <c r="AW55" s="2">
        <f>AT55/(1+('PV IN'!$G$9))^(C55)</f>
        <v>9780.231254076054</v>
      </c>
      <c r="AX55" s="2">
        <f>IF(C55&lt;='PV IN'!$O$22*12,AW55+AX54,NA())</f>
        <v>-706775.90236600756</v>
      </c>
      <c r="AZ55" s="10">
        <f t="shared" si="2"/>
        <v>-1375</v>
      </c>
      <c r="BA55" s="10">
        <f t="shared" si="6"/>
        <v>1917.4846042288173</v>
      </c>
      <c r="BB55" s="10">
        <f t="shared" si="7"/>
        <v>542.48460422881726</v>
      </c>
      <c r="BC55" s="10">
        <f t="shared" si="8"/>
        <v>0</v>
      </c>
      <c r="BD55" s="10">
        <f t="shared" si="9"/>
        <v>-1375</v>
      </c>
      <c r="BE55" s="2">
        <f t="shared" si="10"/>
        <v>0</v>
      </c>
      <c r="BF55" s="10">
        <f t="shared" si="11"/>
        <v>-1375</v>
      </c>
      <c r="BG55" s="2">
        <f>-BF55*'PV IN'!$E$8</f>
        <v>288.75</v>
      </c>
      <c r="BH55" s="2">
        <f>IF('PV IN'!$F$4="Battery Only",0,BB55+BG55)</f>
        <v>831.23460422881726</v>
      </c>
      <c r="BI55" s="2">
        <f>BH55/(1+('PV IN'!$G$9))^(C55)</f>
        <v>675.56803671239493</v>
      </c>
    </row>
    <row r="56" spans="2:61" x14ac:dyDescent="0.25">
      <c r="C56">
        <v>52</v>
      </c>
      <c r="D56" s="16">
        <f>D55*(1+('PV IN'!$G$6/12))</f>
        <v>7.5999999999999998E-2</v>
      </c>
      <c r="E56" s="16">
        <f>LkUP!$U$25</f>
        <v>7.5950366439599487E-2</v>
      </c>
      <c r="F56" s="16">
        <f>IF('PV IN'!$D$7="Table",E56,D56)</f>
        <v>7.5950366439599487E-2</v>
      </c>
      <c r="G56" s="33">
        <f>('PV IN'!$E$25*'PV IN'!$E$18/12)*(1-(1-'PV IN'!$E$27)/(25*12))^C55</f>
        <v>147400.48316610235</v>
      </c>
      <c r="H56" s="33">
        <f>IF('PV IN'!$D$19="YES",G56*'PV IN'!$E$21,0)</f>
        <v>0</v>
      </c>
      <c r="I56" s="33">
        <f>IF('PV IN'!$D$19="YES",'PV IN'!$E$22*BattCalcs!W56,0)</f>
        <v>0</v>
      </c>
      <c r="J56" s="33">
        <f>IF('PV IN'!$D$19="YES",'PV IN'!$E$23*BattCalcs!Y56,0)</f>
        <v>0</v>
      </c>
      <c r="K56" s="33">
        <f>BattCalcs!AF56</f>
        <v>25811.765833333331</v>
      </c>
      <c r="L56" s="33">
        <f t="shared" si="12"/>
        <v>25811.765833333331</v>
      </c>
      <c r="M56" s="33">
        <f>IF('PV IN'!$F$4="PV Only",G56,G56-SUM(H56:J56,L56))</f>
        <v>147400.48316610235</v>
      </c>
      <c r="N56" s="2">
        <f>IF(C56&lt;='PV IN'!$I$12*12,'PV IN'!$E$12*G56/1000,0)</f>
        <v>0</v>
      </c>
      <c r="O56" s="2">
        <f>IF(AND(C56&gt;'PV IN'!$I$12*12,C56&lt;='PV IN'!$I$13*12+'PV IN'!$I$12*12),'PV IN'!$E$13*PVCalcs!G56/1000,0)</f>
        <v>1916.2062811593307</v>
      </c>
      <c r="P56" s="2">
        <f>IF(AND(C56&gt;'PV IN'!$I$12*12+'PV IN'!$I$13*12,C56&lt;='PV IN'!$I$12*12+'PV IN'!$I$13*12+'PV IN'!$I$14*12),'PV IN'!$E$14*PVCalcs!G56/1000,0)</f>
        <v>0</v>
      </c>
      <c r="R56" s="10">
        <f>IF(AND('PV IN'!$D$35="YES",$C56&lt;='PV IN'!$E$35*12),-'PV IN'!$E$18*'PV IN'!$E$34/12,0)</f>
        <v>0</v>
      </c>
      <c r="S56" s="10">
        <f>IF(AND('PV IN'!$D$37="YES",$C56&lt;='PV IN'!$E$37*12),-'PV IN'!$E$18*'PV IN'!$E$36/12,0)</f>
        <v>0</v>
      </c>
      <c r="U56" s="2">
        <f t="shared" si="13"/>
        <v>11195.12070983949</v>
      </c>
      <c r="V56" s="10">
        <f>PVLoan!M83</f>
        <v>0</v>
      </c>
      <c r="W56" s="2">
        <f>IF(C56='PV IN'!$I$40,IF('PV IN'!$G$40="Non-Taxable",'PV IN'!$F$40,0),0)+IF(C56='PV IN'!$I$41,IF('PV IN'!$G$41="Non-Taxable",'PV IN'!$F$41,0),0)</f>
        <v>0</v>
      </c>
      <c r="X56" s="10"/>
      <c r="Y56" s="10">
        <f>IF('PV IN'!$E$15="Non-Taxable",SUM(N56:P56),0)</f>
        <v>1916.2062811593307</v>
      </c>
      <c r="Z56" s="10">
        <f>IF('PV IN'!$E$15="Taxable",SUM(N56:P56),0)</f>
        <v>0</v>
      </c>
      <c r="AA56" s="2">
        <f>IF(C56='PV IN'!$I$40,IF('PV IN'!$G$40="Taxable",'PV IN'!$F$40,0),0)+IF(C56='PV IN'!$I$41,IF('PV IN'!$G$41="Taxable",'PV IN'!$F$41,0),0)</f>
        <v>0</v>
      </c>
      <c r="AD56" s="10">
        <f>IF('PV IN'!$D$48="YES",-U56*'PV IN'!$E$8,0)</f>
        <v>0</v>
      </c>
      <c r="AE56" s="10">
        <f>IF('PV IN'!$N$10="Yes",-PVLoan!H84,-PVLoan!L84)</f>
        <v>0</v>
      </c>
      <c r="AF56" s="10">
        <f>IF('PV IN'!$N$10="Yes",-PVLoan!F84,0)</f>
        <v>0</v>
      </c>
      <c r="AG56" s="10">
        <f>IF(AND('PV IN'!$D$35="YES",$C56&lt;='PV IN'!$E$35*12),0,-'PV IN'!$E$18*'PV IN'!$E$34/12)</f>
        <v>-750</v>
      </c>
      <c r="AH56" s="10">
        <f>IF(AND('PV IN'!$D$37="YES",$C56&lt;='PV IN'!$E$37*12),0,-'PV IN'!$E$18*'PV IN'!$E$36/12)</f>
        <v>-625</v>
      </c>
      <c r="AI56" s="2">
        <f>IF(AND('PV IN'!$D$33="YES",PVCalcs!C56=ROUNDUP('PV IN'!$H$33*12,)),-'PV IN'!$E$33*'PV IN'!$E$18,0)</f>
        <v>0</v>
      </c>
      <c r="AK56" s="2">
        <f t="shared" si="16"/>
        <v>13111.326990998821</v>
      </c>
      <c r="AL56" s="2">
        <f t="shared" si="3"/>
        <v>-1375</v>
      </c>
      <c r="AM56" s="2">
        <f t="shared" si="4"/>
        <v>11736.326990998821</v>
      </c>
      <c r="AN56" s="43"/>
      <c r="AO56" s="2">
        <f t="shared" si="1"/>
        <v>0</v>
      </c>
      <c r="AP56" s="2">
        <f t="shared" si="14"/>
        <v>-1375</v>
      </c>
      <c r="AR56" s="2">
        <f t="shared" si="15"/>
        <v>-1375</v>
      </c>
      <c r="AS56" s="2">
        <f>-AR56*'PV IN'!$E$8</f>
        <v>288.75</v>
      </c>
      <c r="AT56" s="2">
        <f>IF('PV IN'!$F$4="Battery Only",0,AM56+AS56)</f>
        <v>12025.076990998821</v>
      </c>
      <c r="AV56" s="10">
        <f t="shared" si="5"/>
        <v>-571436.67427681712</v>
      </c>
      <c r="AW56" s="2">
        <f>AT56/(1+('PV IN'!$G$9))^(C56)</f>
        <v>9733.4671988200735</v>
      </c>
      <c r="AX56" s="2">
        <f>IF(C56&lt;='PV IN'!$O$22*12,AW56+AX55,NA())</f>
        <v>-697042.43516718748</v>
      </c>
      <c r="AZ56" s="10">
        <f t="shared" si="2"/>
        <v>-1375</v>
      </c>
      <c r="BA56" s="10">
        <f t="shared" si="6"/>
        <v>1916.2062811593314</v>
      </c>
      <c r="BB56" s="10">
        <f t="shared" si="7"/>
        <v>541.20628115933141</v>
      </c>
      <c r="BC56" s="10">
        <f t="shared" si="8"/>
        <v>0</v>
      </c>
      <c r="BD56" s="10">
        <f t="shared" si="9"/>
        <v>-1375</v>
      </c>
      <c r="BE56" s="2">
        <f t="shared" si="10"/>
        <v>0</v>
      </c>
      <c r="BF56" s="10">
        <f t="shared" si="11"/>
        <v>-1375</v>
      </c>
      <c r="BG56" s="2">
        <f>-BF56*'PV IN'!$E$8</f>
        <v>288.75</v>
      </c>
      <c r="BH56" s="2">
        <f>IF('PV IN'!$F$4="Battery Only",0,BB56+BG56)</f>
        <v>829.95628115933141</v>
      </c>
      <c r="BI56" s="2">
        <f>BH56/(1+('PV IN'!$G$9))^(C56)</f>
        <v>671.79214280008057</v>
      </c>
    </row>
    <row r="57" spans="2:61" x14ac:dyDescent="0.25">
      <c r="C57">
        <v>53</v>
      </c>
      <c r="D57" s="16">
        <f>D56*(1+('PV IN'!$G$6/12))</f>
        <v>7.5999999999999998E-2</v>
      </c>
      <c r="E57" s="16">
        <f>LkUP!$U$25</f>
        <v>7.5950366439599487E-2</v>
      </c>
      <c r="F57" s="16">
        <f>IF('PV IN'!$D$7="Table",E57,D57)</f>
        <v>7.5950366439599487E-2</v>
      </c>
      <c r="G57" s="33">
        <f>('PV IN'!$E$25*'PV IN'!$E$18/12)*(1-(1-'PV IN'!$E$27)/(25*12))^C56</f>
        <v>147302.21617732491</v>
      </c>
      <c r="H57" s="33">
        <f>IF('PV IN'!$D$19="YES",G57*'PV IN'!$E$21,0)</f>
        <v>0</v>
      </c>
      <c r="I57" s="33">
        <f>IF('PV IN'!$D$19="YES",'PV IN'!$E$22*BattCalcs!W57,0)</f>
        <v>0</v>
      </c>
      <c r="J57" s="33">
        <f>IF('PV IN'!$D$19="YES",'PV IN'!$E$23*BattCalcs!Y57,0)</f>
        <v>0</v>
      </c>
      <c r="K57" s="33">
        <f>BattCalcs!AF57</f>
        <v>25811.765833333331</v>
      </c>
      <c r="L57" s="33">
        <f t="shared" si="12"/>
        <v>25811.765833333331</v>
      </c>
      <c r="M57" s="33">
        <f>IF('PV IN'!$F$4="PV Only",G57,G57-SUM(H57:J57,L57))</f>
        <v>147302.21617732491</v>
      </c>
      <c r="N57" s="2">
        <f>IF(C57&lt;='PV IN'!$I$12*12,'PV IN'!$E$12*G57/1000,0)</f>
        <v>0</v>
      </c>
      <c r="O57" s="2">
        <f>IF(AND(C57&gt;'PV IN'!$I$12*12,C57&lt;='PV IN'!$I$13*12+'PV IN'!$I$12*12),'PV IN'!$E$13*PVCalcs!G57/1000,0)</f>
        <v>1914.9288103052238</v>
      </c>
      <c r="P57" s="2">
        <f>IF(AND(C57&gt;'PV IN'!$I$12*12+'PV IN'!$I$13*12,C57&lt;='PV IN'!$I$12*12+'PV IN'!$I$13*12+'PV IN'!$I$14*12),'PV IN'!$E$14*PVCalcs!G57/1000,0)</f>
        <v>0</v>
      </c>
      <c r="R57" s="10">
        <f>IF(AND('PV IN'!$D$35="YES",$C57&lt;='PV IN'!$E$35*12),-'PV IN'!$E$18*'PV IN'!$E$34/12,0)</f>
        <v>0</v>
      </c>
      <c r="S57" s="10">
        <f>IF(AND('PV IN'!$D$37="YES",$C57&lt;='PV IN'!$E$37*12),-'PV IN'!$E$18*'PV IN'!$E$36/12,0)</f>
        <v>0</v>
      </c>
      <c r="U57" s="2">
        <f t="shared" si="13"/>
        <v>11187.657296032927</v>
      </c>
      <c r="V57" s="10">
        <f>PVLoan!M84</f>
        <v>0</v>
      </c>
      <c r="W57" s="2">
        <f>IF(C57='PV IN'!$I$40,IF('PV IN'!$G$40="Non-Taxable",'PV IN'!$F$40,0),0)+IF(C57='PV IN'!$I$41,IF('PV IN'!$G$41="Non-Taxable",'PV IN'!$F$41,0),0)</f>
        <v>0</v>
      </c>
      <c r="X57" s="10"/>
      <c r="Y57" s="10">
        <f>IF('PV IN'!$E$15="Non-Taxable",SUM(N57:P57),0)</f>
        <v>1914.9288103052238</v>
      </c>
      <c r="Z57" s="10">
        <f>IF('PV IN'!$E$15="Taxable",SUM(N57:P57),0)</f>
        <v>0</v>
      </c>
      <c r="AA57" s="2">
        <f>IF(C57='PV IN'!$I$40,IF('PV IN'!$G$40="Taxable",'PV IN'!$F$40,0),0)+IF(C57='PV IN'!$I$41,IF('PV IN'!$G$41="Taxable",'PV IN'!$F$41,0),0)</f>
        <v>0</v>
      </c>
      <c r="AD57" s="10">
        <f>IF('PV IN'!$D$48="YES",-U57*'PV IN'!$E$8,0)</f>
        <v>0</v>
      </c>
      <c r="AE57" s="10">
        <f>IF('PV IN'!$N$10="Yes",-PVLoan!H85,-PVLoan!L85)</f>
        <v>0</v>
      </c>
      <c r="AF57" s="10">
        <f>IF('PV IN'!$N$10="Yes",-PVLoan!F85,0)</f>
        <v>0</v>
      </c>
      <c r="AG57" s="10">
        <f>IF(AND('PV IN'!$D$35="YES",$C57&lt;='PV IN'!$E$35*12),0,-'PV IN'!$E$18*'PV IN'!$E$34/12)</f>
        <v>-750</v>
      </c>
      <c r="AH57" s="10">
        <f>IF(AND('PV IN'!$D$37="YES",$C57&lt;='PV IN'!$E$37*12),0,-'PV IN'!$E$18*'PV IN'!$E$36/12)</f>
        <v>-625</v>
      </c>
      <c r="AI57" s="2">
        <f>IF(AND('PV IN'!$D$33="YES",PVCalcs!C57=ROUNDUP('PV IN'!$H$33*12,)),-'PV IN'!$E$33*'PV IN'!$E$18,0)</f>
        <v>0</v>
      </c>
      <c r="AK57" s="2">
        <f t="shared" si="16"/>
        <v>13102.586106338151</v>
      </c>
      <c r="AL57" s="2">
        <f t="shared" si="3"/>
        <v>-1375</v>
      </c>
      <c r="AM57" s="2">
        <f t="shared" si="4"/>
        <v>11727.586106338151</v>
      </c>
      <c r="AN57" s="43"/>
      <c r="AO57" s="2">
        <f t="shared" si="1"/>
        <v>0</v>
      </c>
      <c r="AP57" s="2">
        <f t="shared" si="14"/>
        <v>-1375</v>
      </c>
      <c r="AR57" s="2">
        <f t="shared" si="15"/>
        <v>-1375</v>
      </c>
      <c r="AS57" s="2">
        <f>-AR57*'PV IN'!$E$8</f>
        <v>288.75</v>
      </c>
      <c r="AT57" s="2">
        <f>IF('PV IN'!$F$4="Battery Only",0,AM57+AS57)</f>
        <v>12016.336106338151</v>
      </c>
      <c r="AV57" s="10">
        <f t="shared" si="5"/>
        <v>-559420.33817047894</v>
      </c>
      <c r="AW57" s="2">
        <f>AT57/(1+('PV IN'!$G$9))^(C57)</f>
        <v>9686.9263209978762</v>
      </c>
      <c r="AX57" s="2">
        <f>IF(C57&lt;='PV IN'!$O$22*12,AW57+AX56,NA())</f>
        <v>-687355.50884618959</v>
      </c>
      <c r="AZ57" s="10">
        <f t="shared" si="2"/>
        <v>-1375</v>
      </c>
      <c r="BA57" s="10">
        <f t="shared" si="6"/>
        <v>1914.928810305224</v>
      </c>
      <c r="BB57" s="10">
        <f t="shared" si="7"/>
        <v>539.92881030522403</v>
      </c>
      <c r="BC57" s="10">
        <f t="shared" si="8"/>
        <v>0</v>
      </c>
      <c r="BD57" s="10">
        <f t="shared" si="9"/>
        <v>-1375</v>
      </c>
      <c r="BE57" s="2">
        <f t="shared" si="10"/>
        <v>0</v>
      </c>
      <c r="BF57" s="10">
        <f t="shared" si="11"/>
        <v>-1375</v>
      </c>
      <c r="BG57" s="2">
        <f>-BF57*'PV IN'!$E$8</f>
        <v>288.75</v>
      </c>
      <c r="BH57" s="2">
        <f>IF('PV IN'!$F$4="Battery Only",0,BB57+BG57)</f>
        <v>828.67881030522403</v>
      </c>
      <c r="BI57" s="2">
        <f>BH57/(1+('PV IN'!$G$9))^(C57)</f>
        <v>668.03645538549529</v>
      </c>
    </row>
    <row r="58" spans="2:61" x14ac:dyDescent="0.25">
      <c r="C58">
        <v>54</v>
      </c>
      <c r="D58" s="16">
        <f>D57*(1+('PV IN'!$G$6/12))</f>
        <v>7.5999999999999998E-2</v>
      </c>
      <c r="E58" s="16">
        <f>LkUP!$U$25</f>
        <v>7.5950366439599487E-2</v>
      </c>
      <c r="F58" s="16">
        <f>IF('PV IN'!$D$7="Table",E58,D58)</f>
        <v>7.5950366439599487E-2</v>
      </c>
      <c r="G58" s="33">
        <f>('PV IN'!$E$25*'PV IN'!$E$18/12)*(1-(1-'PV IN'!$E$27)/(25*12))^C57</f>
        <v>147204.01469987337</v>
      </c>
      <c r="H58" s="33">
        <f>IF('PV IN'!$D$19="YES",G58*'PV IN'!$E$21,0)</f>
        <v>0</v>
      </c>
      <c r="I58" s="33">
        <f>IF('PV IN'!$D$19="YES",'PV IN'!$E$22*BattCalcs!W58,0)</f>
        <v>0</v>
      </c>
      <c r="J58" s="33">
        <f>IF('PV IN'!$D$19="YES",'PV IN'!$E$23*BattCalcs!Y58,0)</f>
        <v>0</v>
      </c>
      <c r="K58" s="33">
        <f>BattCalcs!AF58</f>
        <v>25811.765833333331</v>
      </c>
      <c r="L58" s="33">
        <f t="shared" si="12"/>
        <v>25811.765833333331</v>
      </c>
      <c r="M58" s="33">
        <f>IF('PV IN'!$F$4="PV Only",G58,G58-SUM(H58:J58,L58))</f>
        <v>147204.01469987337</v>
      </c>
      <c r="N58" s="2">
        <f>IF(C58&lt;='PV IN'!$I$12*12,'PV IN'!$E$12*G58/1000,0)</f>
        <v>0</v>
      </c>
      <c r="O58" s="2">
        <f>IF(AND(C58&gt;'PV IN'!$I$12*12,C58&lt;='PV IN'!$I$13*12+'PV IN'!$I$12*12),'PV IN'!$E$13*PVCalcs!G58/1000,0)</f>
        <v>1913.6521910983538</v>
      </c>
      <c r="P58" s="2">
        <f>IF(AND(C58&gt;'PV IN'!$I$12*12+'PV IN'!$I$13*12,C58&lt;='PV IN'!$I$12*12+'PV IN'!$I$13*12+'PV IN'!$I$14*12),'PV IN'!$E$14*PVCalcs!G58/1000,0)</f>
        <v>0</v>
      </c>
      <c r="R58" s="10">
        <f>IF(AND('PV IN'!$D$35="YES",$C58&lt;='PV IN'!$E$35*12),-'PV IN'!$E$18*'PV IN'!$E$34/12,0)</f>
        <v>0</v>
      </c>
      <c r="S58" s="10">
        <f>IF(AND('PV IN'!$D$37="YES",$C58&lt;='PV IN'!$E$37*12),-'PV IN'!$E$18*'PV IN'!$E$36/12,0)</f>
        <v>0</v>
      </c>
      <c r="U58" s="2">
        <f t="shared" si="13"/>
        <v>11180.198857835572</v>
      </c>
      <c r="V58" s="10">
        <f>PVLoan!M85</f>
        <v>0</v>
      </c>
      <c r="W58" s="2">
        <f>IF(C58='PV IN'!$I$40,IF('PV IN'!$G$40="Non-Taxable",'PV IN'!$F$40,0),0)+IF(C58='PV IN'!$I$41,IF('PV IN'!$G$41="Non-Taxable",'PV IN'!$F$41,0),0)</f>
        <v>0</v>
      </c>
      <c r="X58" s="10"/>
      <c r="Y58" s="10">
        <f>IF('PV IN'!$E$15="Non-Taxable",SUM(N58:P58),0)</f>
        <v>1913.6521910983538</v>
      </c>
      <c r="Z58" s="10">
        <f>IF('PV IN'!$E$15="Taxable",SUM(N58:P58),0)</f>
        <v>0</v>
      </c>
      <c r="AA58" s="2">
        <f>IF(C58='PV IN'!$I$40,IF('PV IN'!$G$40="Taxable",'PV IN'!$F$40,0),0)+IF(C58='PV IN'!$I$41,IF('PV IN'!$G$41="Taxable",'PV IN'!$F$41,0),0)</f>
        <v>0</v>
      </c>
      <c r="AD58" s="10">
        <f>IF('PV IN'!$D$48="YES",-U58*'PV IN'!$E$8,0)</f>
        <v>0</v>
      </c>
      <c r="AE58" s="10">
        <f>IF('PV IN'!$N$10="Yes",-PVLoan!H86,-PVLoan!L86)</f>
        <v>0</v>
      </c>
      <c r="AF58" s="10">
        <f>IF('PV IN'!$N$10="Yes",-PVLoan!F86,0)</f>
        <v>0</v>
      </c>
      <c r="AG58" s="10">
        <f>IF(AND('PV IN'!$D$35="YES",$C58&lt;='PV IN'!$E$35*12),0,-'PV IN'!$E$18*'PV IN'!$E$34/12)</f>
        <v>-750</v>
      </c>
      <c r="AH58" s="10">
        <f>IF(AND('PV IN'!$D$37="YES",$C58&lt;='PV IN'!$E$37*12),0,-'PV IN'!$E$18*'PV IN'!$E$36/12)</f>
        <v>-625</v>
      </c>
      <c r="AI58" s="2">
        <f>IF(AND('PV IN'!$D$33="YES",PVCalcs!C58=ROUNDUP('PV IN'!$H$33*12,)),-'PV IN'!$E$33*'PV IN'!$E$18,0)</f>
        <v>0</v>
      </c>
      <c r="AK58" s="2">
        <f t="shared" si="16"/>
        <v>13093.851048933926</v>
      </c>
      <c r="AL58" s="2">
        <f t="shared" si="3"/>
        <v>-1375</v>
      </c>
      <c r="AM58" s="2">
        <f t="shared" si="4"/>
        <v>11718.851048933926</v>
      </c>
      <c r="AN58" s="43"/>
      <c r="AO58" s="2">
        <f t="shared" si="1"/>
        <v>0</v>
      </c>
      <c r="AP58" s="2">
        <f t="shared" si="14"/>
        <v>-1375</v>
      </c>
      <c r="AR58" s="2">
        <f t="shared" si="15"/>
        <v>-1375</v>
      </c>
      <c r="AS58" s="2">
        <f>-AR58*'PV IN'!$E$8</f>
        <v>288.75</v>
      </c>
      <c r="AT58" s="2">
        <f>IF('PV IN'!$F$4="Battery Only",0,AM58+AS58)</f>
        <v>12007.601048933926</v>
      </c>
      <c r="AV58" s="10">
        <f t="shared" si="5"/>
        <v>-547412.73712154501</v>
      </c>
      <c r="AW58" s="2">
        <f>AT58/(1+('PV IN'!$G$9))^(C58)</f>
        <v>9640.6075572144891</v>
      </c>
      <c r="AX58" s="2">
        <f>IF(C58&lt;='PV IN'!$O$22*12,AW58+AX57,NA())</f>
        <v>-677714.90128897515</v>
      </c>
      <c r="AZ58" s="10">
        <f t="shared" si="2"/>
        <v>-1375</v>
      </c>
      <c r="BA58" s="10">
        <f t="shared" si="6"/>
        <v>1913.6521910983538</v>
      </c>
      <c r="BB58" s="10">
        <f t="shared" si="7"/>
        <v>538.6521910983538</v>
      </c>
      <c r="BC58" s="10">
        <f t="shared" si="8"/>
        <v>0</v>
      </c>
      <c r="BD58" s="10">
        <f t="shared" si="9"/>
        <v>-1375</v>
      </c>
      <c r="BE58" s="2">
        <f t="shared" si="10"/>
        <v>0</v>
      </c>
      <c r="BF58" s="10">
        <f t="shared" si="11"/>
        <v>-1375</v>
      </c>
      <c r="BG58" s="2">
        <f>-BF58*'PV IN'!$E$8</f>
        <v>288.75</v>
      </c>
      <c r="BH58" s="2">
        <f>IF('PV IN'!$F$4="Battery Only",0,BB58+BG58)</f>
        <v>827.4021910983538</v>
      </c>
      <c r="BI58" s="2">
        <f>BH58/(1+('PV IN'!$G$9))^(C58)</f>
        <v>664.30086941194725</v>
      </c>
    </row>
    <row r="59" spans="2:61" x14ac:dyDescent="0.25">
      <c r="C59">
        <v>55</v>
      </c>
      <c r="D59" s="16">
        <f>D58*(1+('PV IN'!$G$6/12))</f>
        <v>7.5999999999999998E-2</v>
      </c>
      <c r="E59" s="16">
        <f>LkUP!$U$25</f>
        <v>7.5950366439599487E-2</v>
      </c>
      <c r="F59" s="16">
        <f>IF('PV IN'!$D$7="Table",E59,D59)</f>
        <v>7.5950366439599487E-2</v>
      </c>
      <c r="G59" s="33">
        <f>('PV IN'!$E$25*'PV IN'!$E$18/12)*(1-(1-'PV IN'!$E$27)/(25*12))^C58</f>
        <v>147105.87869007344</v>
      </c>
      <c r="H59" s="33">
        <f>IF('PV IN'!$D$19="YES",G59*'PV IN'!$E$21,0)</f>
        <v>0</v>
      </c>
      <c r="I59" s="33">
        <f>IF('PV IN'!$D$19="YES",'PV IN'!$E$22*BattCalcs!W59,0)</f>
        <v>0</v>
      </c>
      <c r="J59" s="33">
        <f>IF('PV IN'!$D$19="YES",'PV IN'!$E$23*BattCalcs!Y59,0)</f>
        <v>0</v>
      </c>
      <c r="K59" s="33">
        <f>BattCalcs!AF59</f>
        <v>25811.765833333331</v>
      </c>
      <c r="L59" s="33">
        <f t="shared" si="12"/>
        <v>25811.765833333331</v>
      </c>
      <c r="M59" s="33">
        <f>IF('PV IN'!$F$4="PV Only",G59,G59-SUM(H59:J59,L59))</f>
        <v>147105.87869007344</v>
      </c>
      <c r="N59" s="2">
        <f>IF(C59&lt;='PV IN'!$I$12*12,'PV IN'!$E$12*G59/1000,0)</f>
        <v>0</v>
      </c>
      <c r="O59" s="2">
        <f>IF(AND(C59&gt;'PV IN'!$I$12*12,C59&lt;='PV IN'!$I$13*12+'PV IN'!$I$12*12),'PV IN'!$E$13*PVCalcs!G59/1000,0)</f>
        <v>1912.3764229709548</v>
      </c>
      <c r="P59" s="2">
        <f>IF(AND(C59&gt;'PV IN'!$I$12*12+'PV IN'!$I$13*12,C59&lt;='PV IN'!$I$12*12+'PV IN'!$I$13*12+'PV IN'!$I$14*12),'PV IN'!$E$14*PVCalcs!G59/1000,0)</f>
        <v>0</v>
      </c>
      <c r="R59" s="10">
        <f>IF(AND('PV IN'!$D$35="YES",$C59&lt;='PV IN'!$E$35*12),-'PV IN'!$E$18*'PV IN'!$E$34/12,0)</f>
        <v>0</v>
      </c>
      <c r="S59" s="10">
        <f>IF(AND('PV IN'!$D$37="YES",$C59&lt;='PV IN'!$E$37*12),-'PV IN'!$E$18*'PV IN'!$E$36/12,0)</f>
        <v>0</v>
      </c>
      <c r="U59" s="2">
        <f t="shared" si="13"/>
        <v>11172.745391930348</v>
      </c>
      <c r="V59" s="10">
        <f>PVLoan!M86</f>
        <v>0</v>
      </c>
      <c r="W59" s="2">
        <f>IF(C59='PV IN'!$I$40,IF('PV IN'!$G$40="Non-Taxable",'PV IN'!$F$40,0),0)+IF(C59='PV IN'!$I$41,IF('PV IN'!$G$41="Non-Taxable",'PV IN'!$F$41,0),0)</f>
        <v>0</v>
      </c>
      <c r="X59" s="10"/>
      <c r="Y59" s="10">
        <f>IF('PV IN'!$E$15="Non-Taxable",SUM(N59:P59),0)</f>
        <v>1912.3764229709548</v>
      </c>
      <c r="Z59" s="10">
        <f>IF('PV IN'!$E$15="Taxable",SUM(N59:P59),0)</f>
        <v>0</v>
      </c>
      <c r="AA59" s="2">
        <f>IF(C59='PV IN'!$I$40,IF('PV IN'!$G$40="Taxable",'PV IN'!$F$40,0),0)+IF(C59='PV IN'!$I$41,IF('PV IN'!$G$41="Taxable",'PV IN'!$F$41,0),0)</f>
        <v>0</v>
      </c>
      <c r="AD59" s="10">
        <f>IF('PV IN'!$D$48="YES",-U59*'PV IN'!$E$8,0)</f>
        <v>0</v>
      </c>
      <c r="AE59" s="10">
        <f>IF('PV IN'!$N$10="Yes",-PVLoan!H87,-PVLoan!L87)</f>
        <v>0</v>
      </c>
      <c r="AF59" s="10">
        <f>IF('PV IN'!$N$10="Yes",-PVLoan!F87,0)</f>
        <v>0</v>
      </c>
      <c r="AG59" s="10">
        <f>IF(AND('PV IN'!$D$35="YES",$C59&lt;='PV IN'!$E$35*12),0,-'PV IN'!$E$18*'PV IN'!$E$34/12)</f>
        <v>-750</v>
      </c>
      <c r="AH59" s="10">
        <f>IF(AND('PV IN'!$D$37="YES",$C59&lt;='PV IN'!$E$37*12),0,-'PV IN'!$E$18*'PV IN'!$E$36/12)</f>
        <v>-625</v>
      </c>
      <c r="AI59" s="2">
        <f>IF(AND('PV IN'!$D$33="YES",PVCalcs!C59=ROUNDUP('PV IN'!$H$33*12,)),-'PV IN'!$E$33*'PV IN'!$E$18,0)</f>
        <v>0</v>
      </c>
      <c r="AK59" s="2">
        <f t="shared" si="16"/>
        <v>13085.121814901302</v>
      </c>
      <c r="AL59" s="2">
        <f t="shared" si="3"/>
        <v>-1375</v>
      </c>
      <c r="AM59" s="2">
        <f t="shared" si="4"/>
        <v>11710.121814901302</v>
      </c>
      <c r="AN59" s="43"/>
      <c r="AO59" s="2">
        <f t="shared" si="1"/>
        <v>0</v>
      </c>
      <c r="AP59" s="2">
        <f t="shared" si="14"/>
        <v>-1375</v>
      </c>
      <c r="AR59" s="2">
        <f t="shared" si="15"/>
        <v>-1375</v>
      </c>
      <c r="AS59" s="2">
        <f>-AR59*'PV IN'!$E$8</f>
        <v>288.75</v>
      </c>
      <c r="AT59" s="2">
        <f>IF('PV IN'!$F$4="Battery Only",0,AM59+AS59)</f>
        <v>11998.871814901302</v>
      </c>
      <c r="AV59" s="10">
        <f t="shared" si="5"/>
        <v>-535413.86530664365</v>
      </c>
      <c r="AW59" s="2">
        <f>AT59/(1+('PV IN'!$G$9))^(C59)</f>
        <v>9594.5098491349636</v>
      </c>
      <c r="AX59" s="2">
        <f>IF(C59&lt;='PV IN'!$O$22*12,AW59+AX58,NA())</f>
        <v>-668120.3914398402</v>
      </c>
      <c r="AZ59" s="10">
        <f t="shared" si="2"/>
        <v>-1375</v>
      </c>
      <c r="BA59" s="10">
        <f t="shared" si="6"/>
        <v>1912.3764229709541</v>
      </c>
      <c r="BB59" s="10">
        <f t="shared" si="7"/>
        <v>537.37642297095408</v>
      </c>
      <c r="BC59" s="10">
        <f t="shared" si="8"/>
        <v>0</v>
      </c>
      <c r="BD59" s="10">
        <f t="shared" si="9"/>
        <v>-1375</v>
      </c>
      <c r="BE59" s="2">
        <f t="shared" si="10"/>
        <v>0</v>
      </c>
      <c r="BF59" s="10">
        <f t="shared" si="11"/>
        <v>-1375</v>
      </c>
      <c r="BG59" s="2">
        <f>-BF59*'PV IN'!$E$8</f>
        <v>288.75</v>
      </c>
      <c r="BH59" s="2">
        <f>IF('PV IN'!$F$4="Battery Only",0,BB59+BG59)</f>
        <v>826.12642297095408</v>
      </c>
      <c r="BI59" s="2">
        <f>BH59/(1+('PV IN'!$G$9))^(C59)</f>
        <v>660.5852803579312</v>
      </c>
    </row>
    <row r="60" spans="2:61" x14ac:dyDescent="0.25">
      <c r="C60">
        <v>56</v>
      </c>
      <c r="D60" s="16">
        <f>D59*(1+('PV IN'!$G$6/12))</f>
        <v>7.5999999999999998E-2</v>
      </c>
      <c r="E60" s="16">
        <f>LkUP!$U$25</f>
        <v>7.5950366439599487E-2</v>
      </c>
      <c r="F60" s="16">
        <f>IF('PV IN'!$D$7="Table",E60,D60)</f>
        <v>7.5950366439599487E-2</v>
      </c>
      <c r="G60" s="33">
        <f>('PV IN'!$E$25*'PV IN'!$E$18/12)*(1-(1-'PV IN'!$E$27)/(25*12))^C59</f>
        <v>147007.80810428006</v>
      </c>
      <c r="H60" s="33">
        <f>IF('PV IN'!$D$19="YES",G60*'PV IN'!$E$21,0)</f>
        <v>0</v>
      </c>
      <c r="I60" s="33">
        <f>IF('PV IN'!$D$19="YES",'PV IN'!$E$22*BattCalcs!W60,0)</f>
        <v>0</v>
      </c>
      <c r="J60" s="33">
        <f>IF('PV IN'!$D$19="YES",'PV IN'!$E$23*BattCalcs!Y60,0)</f>
        <v>0</v>
      </c>
      <c r="K60" s="33">
        <f>BattCalcs!AF60</f>
        <v>25811.765833333331</v>
      </c>
      <c r="L60" s="33">
        <f t="shared" si="12"/>
        <v>25811.765833333331</v>
      </c>
      <c r="M60" s="33">
        <f>IF('PV IN'!$F$4="PV Only",G60,G60-SUM(H60:J60,L60))</f>
        <v>147007.80810428006</v>
      </c>
      <c r="N60" s="2">
        <f>IF(C60&lt;='PV IN'!$I$12*12,'PV IN'!$E$12*G60/1000,0)</f>
        <v>0</v>
      </c>
      <c r="O60" s="2">
        <f>IF(AND(C60&gt;'PV IN'!$I$12*12,C60&lt;='PV IN'!$I$13*12+'PV IN'!$I$12*12),'PV IN'!$E$13*PVCalcs!G60/1000,0)</f>
        <v>1911.1015053556407</v>
      </c>
      <c r="P60" s="2">
        <f>IF(AND(C60&gt;'PV IN'!$I$12*12+'PV IN'!$I$13*12,C60&lt;='PV IN'!$I$12*12+'PV IN'!$I$13*12+'PV IN'!$I$14*12),'PV IN'!$E$14*PVCalcs!G60/1000,0)</f>
        <v>0</v>
      </c>
      <c r="R60" s="10">
        <f>IF(AND('PV IN'!$D$35="YES",$C60&lt;='PV IN'!$E$35*12),-'PV IN'!$E$18*'PV IN'!$E$34/12,0)</f>
        <v>0</v>
      </c>
      <c r="S60" s="10">
        <f>IF(AND('PV IN'!$D$37="YES",$C60&lt;='PV IN'!$E$37*12),-'PV IN'!$E$18*'PV IN'!$E$36/12,0)</f>
        <v>0</v>
      </c>
      <c r="U60" s="2">
        <f t="shared" si="13"/>
        <v>11165.296895002393</v>
      </c>
      <c r="V60" s="10">
        <f>PVLoan!M87</f>
        <v>0</v>
      </c>
      <c r="W60" s="2">
        <f>IF(C60='PV IN'!$I$40,IF('PV IN'!$G$40="Non-Taxable",'PV IN'!$F$40,0),0)+IF(C60='PV IN'!$I$41,IF('PV IN'!$G$41="Non-Taxable",'PV IN'!$F$41,0),0)</f>
        <v>0</v>
      </c>
      <c r="X60" s="10"/>
      <c r="Y60" s="10">
        <f>IF('PV IN'!$E$15="Non-Taxable",SUM(N60:P60),0)</f>
        <v>1911.1015053556407</v>
      </c>
      <c r="Z60" s="10">
        <f>IF('PV IN'!$E$15="Taxable",SUM(N60:P60),0)</f>
        <v>0</v>
      </c>
      <c r="AA60" s="2">
        <f>IF(C60='PV IN'!$I$40,IF('PV IN'!$G$40="Taxable",'PV IN'!$F$40,0),0)+IF(C60='PV IN'!$I$41,IF('PV IN'!$G$41="Taxable",'PV IN'!$F$41,0),0)</f>
        <v>0</v>
      </c>
      <c r="AD60" s="10">
        <f>IF('PV IN'!$D$48="YES",-U60*'PV IN'!$E$8,0)</f>
        <v>0</v>
      </c>
      <c r="AE60" s="10">
        <f>IF('PV IN'!$N$10="Yes",-PVLoan!H88,-PVLoan!L88)</f>
        <v>0</v>
      </c>
      <c r="AF60" s="10">
        <f>IF('PV IN'!$N$10="Yes",-PVLoan!F88,0)</f>
        <v>0</v>
      </c>
      <c r="AG60" s="10">
        <f>IF(AND('PV IN'!$D$35="YES",$C60&lt;='PV IN'!$E$35*12),0,-'PV IN'!$E$18*'PV IN'!$E$34/12)</f>
        <v>-750</v>
      </c>
      <c r="AH60" s="10">
        <f>IF(AND('PV IN'!$D$37="YES",$C60&lt;='PV IN'!$E$37*12),0,-'PV IN'!$E$18*'PV IN'!$E$36/12)</f>
        <v>-625</v>
      </c>
      <c r="AI60" s="2">
        <f>IF(AND('PV IN'!$D$33="YES",PVCalcs!C60=ROUNDUP('PV IN'!$H$33*12,)),-'PV IN'!$E$33*'PV IN'!$E$18,0)</f>
        <v>0</v>
      </c>
      <c r="AK60" s="2">
        <f t="shared" si="16"/>
        <v>13076.398400358034</v>
      </c>
      <c r="AL60" s="2">
        <f t="shared" si="3"/>
        <v>-1375</v>
      </c>
      <c r="AM60" s="2">
        <f t="shared" si="4"/>
        <v>11701.398400358034</v>
      </c>
      <c r="AN60" s="43"/>
      <c r="AO60" s="2">
        <f t="shared" si="1"/>
        <v>0</v>
      </c>
      <c r="AP60" s="2">
        <f t="shared" si="14"/>
        <v>-1375</v>
      </c>
      <c r="AR60" s="2">
        <f t="shared" si="15"/>
        <v>-1375</v>
      </c>
      <c r="AS60" s="2">
        <f>-AR60*'PV IN'!$E$8</f>
        <v>288.75</v>
      </c>
      <c r="AT60" s="2">
        <f>IF('PV IN'!$F$4="Battery Only",0,AM60+AS60)</f>
        <v>11990.148400358034</v>
      </c>
      <c r="AV60" s="10">
        <f t="shared" si="5"/>
        <v>-523423.71690628561</v>
      </c>
      <c r="AW60" s="2">
        <f>AT60/(1+('PV IN'!$G$9))^(C60)</f>
        <v>9548.6321434603378</v>
      </c>
      <c r="AX60" s="2">
        <f>IF(C60&lt;='PV IN'!$O$22*12,AW60+AX59,NA())</f>
        <v>-658571.75929637987</v>
      </c>
      <c r="AZ60" s="10">
        <f t="shared" si="2"/>
        <v>-1375</v>
      </c>
      <c r="BA60" s="10">
        <f t="shared" si="6"/>
        <v>1911.1015053556403</v>
      </c>
      <c r="BB60" s="10">
        <f t="shared" si="7"/>
        <v>536.10150535564026</v>
      </c>
      <c r="BC60" s="10">
        <f t="shared" si="8"/>
        <v>0</v>
      </c>
      <c r="BD60" s="10">
        <f t="shared" si="9"/>
        <v>-1375</v>
      </c>
      <c r="BE60" s="2">
        <f t="shared" si="10"/>
        <v>0</v>
      </c>
      <c r="BF60" s="10">
        <f t="shared" si="11"/>
        <v>-1375</v>
      </c>
      <c r="BG60" s="2">
        <f>-BF60*'PV IN'!$E$8</f>
        <v>288.75</v>
      </c>
      <c r="BH60" s="2">
        <f>IF('PV IN'!$F$4="Battery Only",0,BB60+BG60)</f>
        <v>824.85150535564026</v>
      </c>
      <c r="BI60" s="2">
        <f>BH60/(1+('PV IN'!$G$9))^(C60)</f>
        <v>656.8895842344474</v>
      </c>
    </row>
    <row r="61" spans="2:61" x14ac:dyDescent="0.25">
      <c r="C61">
        <v>57</v>
      </c>
      <c r="D61" s="16">
        <f>D60*(1+('PV IN'!$G$6/12))</f>
        <v>7.5999999999999998E-2</v>
      </c>
      <c r="E61" s="16">
        <f>LkUP!$U$25</f>
        <v>7.5950366439599487E-2</v>
      </c>
      <c r="F61" s="16">
        <f>IF('PV IN'!$D$7="Table",E61,D61)</f>
        <v>7.5950366439599487E-2</v>
      </c>
      <c r="G61" s="33">
        <f>('PV IN'!$E$25*'PV IN'!$E$18/12)*(1-(1-'PV IN'!$E$27)/(25*12))^C60</f>
        <v>146909.80289887718</v>
      </c>
      <c r="H61" s="33">
        <f>IF('PV IN'!$D$19="YES",G61*'PV IN'!$E$21,0)</f>
        <v>0</v>
      </c>
      <c r="I61" s="33">
        <f>IF('PV IN'!$D$19="YES",'PV IN'!$E$22*BattCalcs!W61,0)</f>
        <v>0</v>
      </c>
      <c r="J61" s="33">
        <f>IF('PV IN'!$D$19="YES",'PV IN'!$E$23*BattCalcs!Y61,0)</f>
        <v>0</v>
      </c>
      <c r="K61" s="33">
        <f>BattCalcs!AF61</f>
        <v>25811.765833333331</v>
      </c>
      <c r="L61" s="33">
        <f t="shared" si="12"/>
        <v>25811.765833333331</v>
      </c>
      <c r="M61" s="33">
        <f>IF('PV IN'!$F$4="PV Only",G61,G61-SUM(H61:J61,L61))</f>
        <v>146909.80289887718</v>
      </c>
      <c r="N61" s="2">
        <f>IF(C61&lt;='PV IN'!$I$12*12,'PV IN'!$E$12*G61/1000,0)</f>
        <v>0</v>
      </c>
      <c r="O61" s="2">
        <f>IF(AND(C61&gt;'PV IN'!$I$12*12,C61&lt;='PV IN'!$I$13*12+'PV IN'!$I$12*12),'PV IN'!$E$13*PVCalcs!G61/1000,0)</f>
        <v>1909.8274376854035</v>
      </c>
      <c r="P61" s="2">
        <f>IF(AND(C61&gt;'PV IN'!$I$12*12+'PV IN'!$I$13*12,C61&lt;='PV IN'!$I$12*12+'PV IN'!$I$13*12+'PV IN'!$I$14*12),'PV IN'!$E$14*PVCalcs!G61/1000,0)</f>
        <v>0</v>
      </c>
      <c r="R61" s="10">
        <f>IF(AND('PV IN'!$D$35="YES",$C61&lt;='PV IN'!$E$35*12),-'PV IN'!$E$18*'PV IN'!$E$34/12,0)</f>
        <v>0</v>
      </c>
      <c r="S61" s="10">
        <f>IF(AND('PV IN'!$D$37="YES",$C61&lt;='PV IN'!$E$37*12),-'PV IN'!$E$18*'PV IN'!$E$36/12,0)</f>
        <v>0</v>
      </c>
      <c r="U61" s="2">
        <f t="shared" si="13"/>
        <v>11157.853363739057</v>
      </c>
      <c r="V61" s="10">
        <f>PVLoan!M88</f>
        <v>0</v>
      </c>
      <c r="W61" s="2">
        <f>IF(C61='PV IN'!$I$40,IF('PV IN'!$G$40="Non-Taxable",'PV IN'!$F$40,0),0)+IF(C61='PV IN'!$I$41,IF('PV IN'!$G$41="Non-Taxable",'PV IN'!$F$41,0),0)</f>
        <v>0</v>
      </c>
      <c r="X61" s="10"/>
      <c r="Y61" s="10">
        <f>IF('PV IN'!$E$15="Non-Taxable",SUM(N61:P61),0)</f>
        <v>1909.8274376854035</v>
      </c>
      <c r="Z61" s="10">
        <f>IF('PV IN'!$E$15="Taxable",SUM(N61:P61),0)</f>
        <v>0</v>
      </c>
      <c r="AA61" s="2">
        <f>IF(C61='PV IN'!$I$40,IF('PV IN'!$G$40="Taxable",'PV IN'!$F$40,0),0)+IF(C61='PV IN'!$I$41,IF('PV IN'!$G$41="Taxable",'PV IN'!$F$41,0),0)</f>
        <v>0</v>
      </c>
      <c r="AD61" s="10">
        <f>IF('PV IN'!$D$48="YES",-U61*'PV IN'!$E$8,0)</f>
        <v>0</v>
      </c>
      <c r="AE61" s="10">
        <f>IF('PV IN'!$N$10="Yes",-PVLoan!H89,-PVLoan!L89)</f>
        <v>0</v>
      </c>
      <c r="AF61" s="10">
        <f>IF('PV IN'!$N$10="Yes",-PVLoan!F89,0)</f>
        <v>0</v>
      </c>
      <c r="AG61" s="10">
        <f>IF(AND('PV IN'!$D$35="YES",$C61&lt;='PV IN'!$E$35*12),0,-'PV IN'!$E$18*'PV IN'!$E$34/12)</f>
        <v>-750</v>
      </c>
      <c r="AH61" s="10">
        <f>IF(AND('PV IN'!$D$37="YES",$C61&lt;='PV IN'!$E$37*12),0,-'PV IN'!$E$18*'PV IN'!$E$36/12)</f>
        <v>-625</v>
      </c>
      <c r="AI61" s="2">
        <f>IF(AND('PV IN'!$D$33="YES",PVCalcs!C61=ROUNDUP('PV IN'!$H$33*12,)),-'PV IN'!$E$33*'PV IN'!$E$18,0)</f>
        <v>0</v>
      </c>
      <c r="AK61" s="2">
        <f t="shared" si="16"/>
        <v>13067.680801424462</v>
      </c>
      <c r="AL61" s="2">
        <f t="shared" si="3"/>
        <v>-1375</v>
      </c>
      <c r="AM61" s="2">
        <f t="shared" si="4"/>
        <v>11692.680801424462</v>
      </c>
      <c r="AN61" s="43"/>
      <c r="AO61" s="2">
        <f t="shared" si="1"/>
        <v>0</v>
      </c>
      <c r="AP61" s="2">
        <f t="shared" si="14"/>
        <v>-1375</v>
      </c>
      <c r="AR61" s="2">
        <f t="shared" si="15"/>
        <v>-1375</v>
      </c>
      <c r="AS61" s="2">
        <f>-AR61*'PV IN'!$E$8</f>
        <v>288.75</v>
      </c>
      <c r="AT61" s="2">
        <f>IF('PV IN'!$F$4="Battery Only",0,AM61+AS61)</f>
        <v>11981.430801424462</v>
      </c>
      <c r="AV61" s="10">
        <f t="shared" si="5"/>
        <v>-511442.28610486112</v>
      </c>
      <c r="AW61" s="2">
        <f>AT61/(1+('PV IN'!$G$9))^(C61)</f>
        <v>9502.973391903708</v>
      </c>
      <c r="AX61" s="2">
        <f>IF(C61&lt;='PV IN'!$O$22*12,AW61+AX60,NA())</f>
        <v>-649068.78590447619</v>
      </c>
      <c r="AZ61" s="10">
        <f t="shared" si="2"/>
        <v>-1375</v>
      </c>
      <c r="BA61" s="10">
        <f t="shared" si="6"/>
        <v>1909.8274376854042</v>
      </c>
      <c r="BB61" s="10">
        <f t="shared" si="7"/>
        <v>534.82743768540422</v>
      </c>
      <c r="BC61" s="10">
        <f t="shared" si="8"/>
        <v>0</v>
      </c>
      <c r="BD61" s="10">
        <f t="shared" si="9"/>
        <v>-1375</v>
      </c>
      <c r="BE61" s="2">
        <f t="shared" si="10"/>
        <v>0</v>
      </c>
      <c r="BF61" s="10">
        <f t="shared" si="11"/>
        <v>-1375</v>
      </c>
      <c r="BG61" s="2">
        <f>-BF61*'PV IN'!$E$8</f>
        <v>288.75</v>
      </c>
      <c r="BH61" s="2">
        <f>IF('PV IN'!$F$4="Battery Only",0,BB61+BG61)</f>
        <v>823.57743768540422</v>
      </c>
      <c r="BI61" s="2">
        <f>BH61/(1+('PV IN'!$G$9))^(C61)</f>
        <v>653.21367758232623</v>
      </c>
    </row>
    <row r="62" spans="2:61" x14ac:dyDescent="0.25">
      <c r="C62">
        <v>58</v>
      </c>
      <c r="D62" s="16">
        <f>D61*(1+('PV IN'!$G$6/12))</f>
        <v>7.5999999999999998E-2</v>
      </c>
      <c r="E62" s="16">
        <f>LkUP!$U$25</f>
        <v>7.5950366439599487E-2</v>
      </c>
      <c r="F62" s="16">
        <f>IF('PV IN'!$D$7="Table",E62,D62)</f>
        <v>7.5950366439599487E-2</v>
      </c>
      <c r="G62" s="33">
        <f>('PV IN'!$E$25*'PV IN'!$E$18/12)*(1-(1-'PV IN'!$E$27)/(25*12))^C61</f>
        <v>146811.86303027795</v>
      </c>
      <c r="H62" s="33">
        <f>IF('PV IN'!$D$19="YES",G62*'PV IN'!$E$21,0)</f>
        <v>0</v>
      </c>
      <c r="I62" s="33">
        <f>IF('PV IN'!$D$19="YES",'PV IN'!$E$22*BattCalcs!W62,0)</f>
        <v>0</v>
      </c>
      <c r="J62" s="33">
        <f>IF('PV IN'!$D$19="YES",'PV IN'!$E$23*BattCalcs!Y62,0)</f>
        <v>0</v>
      </c>
      <c r="K62" s="33">
        <f>BattCalcs!AF62</f>
        <v>25811.765833333331</v>
      </c>
      <c r="L62" s="33">
        <f t="shared" si="12"/>
        <v>25811.765833333331</v>
      </c>
      <c r="M62" s="33">
        <f>IF('PV IN'!$F$4="PV Only",G62,G62-SUM(H62:J62,L62))</f>
        <v>146811.86303027795</v>
      </c>
      <c r="N62" s="2">
        <f>IF(C62&lt;='PV IN'!$I$12*12,'PV IN'!$E$12*G62/1000,0)</f>
        <v>0</v>
      </c>
      <c r="O62" s="2">
        <f>IF(AND(C62&gt;'PV IN'!$I$12*12,C62&lt;='PV IN'!$I$13*12+'PV IN'!$I$12*12),'PV IN'!$E$13*PVCalcs!G62/1000,0)</f>
        <v>1908.5542193936133</v>
      </c>
      <c r="P62" s="2">
        <f>IF(AND(C62&gt;'PV IN'!$I$12*12+'PV IN'!$I$13*12,C62&lt;='PV IN'!$I$12*12+'PV IN'!$I$13*12+'PV IN'!$I$14*12),'PV IN'!$E$14*PVCalcs!G62/1000,0)</f>
        <v>0</v>
      </c>
      <c r="R62" s="10">
        <f>IF(AND('PV IN'!$D$35="YES",$C62&lt;='PV IN'!$E$35*12),-'PV IN'!$E$18*'PV IN'!$E$34/12,0)</f>
        <v>0</v>
      </c>
      <c r="S62" s="10">
        <f>IF(AND('PV IN'!$D$37="YES",$C62&lt;='PV IN'!$E$37*12),-'PV IN'!$E$18*'PV IN'!$E$36/12,0)</f>
        <v>0</v>
      </c>
      <c r="U62" s="2">
        <f t="shared" si="13"/>
        <v>11150.4147948299</v>
      </c>
      <c r="V62" s="10">
        <f>PVLoan!M89</f>
        <v>0</v>
      </c>
      <c r="W62" s="2">
        <f>IF(C62='PV IN'!$I$40,IF('PV IN'!$G$40="Non-Taxable",'PV IN'!$F$40,0),0)+IF(C62='PV IN'!$I$41,IF('PV IN'!$G$41="Non-Taxable",'PV IN'!$F$41,0),0)</f>
        <v>0</v>
      </c>
      <c r="X62" s="10"/>
      <c r="Y62" s="10">
        <f>IF('PV IN'!$E$15="Non-Taxable",SUM(N62:P62),0)</f>
        <v>1908.5542193936133</v>
      </c>
      <c r="Z62" s="10">
        <f>IF('PV IN'!$E$15="Taxable",SUM(N62:P62),0)</f>
        <v>0</v>
      </c>
      <c r="AA62" s="2">
        <f>IF(C62='PV IN'!$I$40,IF('PV IN'!$G$40="Taxable",'PV IN'!$F$40,0),0)+IF(C62='PV IN'!$I$41,IF('PV IN'!$G$41="Taxable",'PV IN'!$F$41,0),0)</f>
        <v>0</v>
      </c>
      <c r="AD62" s="10">
        <f>IF('PV IN'!$D$48="YES",-U62*'PV IN'!$E$8,0)</f>
        <v>0</v>
      </c>
      <c r="AE62" s="10">
        <f>IF('PV IN'!$N$10="Yes",-PVLoan!H90,-PVLoan!L90)</f>
        <v>0</v>
      </c>
      <c r="AF62" s="10">
        <f>IF('PV IN'!$N$10="Yes",-PVLoan!F90,0)</f>
        <v>0</v>
      </c>
      <c r="AG62" s="10">
        <f>IF(AND('PV IN'!$D$35="YES",$C62&lt;='PV IN'!$E$35*12),0,-'PV IN'!$E$18*'PV IN'!$E$34/12)</f>
        <v>-750</v>
      </c>
      <c r="AH62" s="10">
        <f>IF(AND('PV IN'!$D$37="YES",$C62&lt;='PV IN'!$E$37*12),0,-'PV IN'!$E$18*'PV IN'!$E$36/12)</f>
        <v>-625</v>
      </c>
      <c r="AI62" s="2">
        <f>IF(AND('PV IN'!$D$33="YES",PVCalcs!C62=ROUNDUP('PV IN'!$H$33*12,)),-'PV IN'!$E$33*'PV IN'!$E$18,0)</f>
        <v>0</v>
      </c>
      <c r="AK62" s="2">
        <f t="shared" si="16"/>
        <v>13058.969014223512</v>
      </c>
      <c r="AL62" s="2">
        <f t="shared" si="3"/>
        <v>-1375</v>
      </c>
      <c r="AM62" s="2">
        <f t="shared" si="4"/>
        <v>11683.969014223512</v>
      </c>
      <c r="AN62" s="43"/>
      <c r="AO62" s="2">
        <f t="shared" si="1"/>
        <v>0</v>
      </c>
      <c r="AP62" s="2">
        <f t="shared" si="14"/>
        <v>-1375</v>
      </c>
      <c r="AR62" s="2">
        <f t="shared" si="15"/>
        <v>-1375</v>
      </c>
      <c r="AS62" s="2">
        <f>-AR62*'PV IN'!$E$8</f>
        <v>288.75</v>
      </c>
      <c r="AT62" s="2">
        <f>IF('PV IN'!$F$4="Battery Only",0,AM62+AS62)</f>
        <v>11972.719014223512</v>
      </c>
      <c r="AV62" s="10">
        <f t="shared" si="5"/>
        <v>-499469.56709063763</v>
      </c>
      <c r="AW62" s="2">
        <f>AT62/(1+('PV IN'!$G$9))^(C62)</f>
        <v>9457.5325511663905</v>
      </c>
      <c r="AX62" s="2">
        <f>IF(C62&lt;='PV IN'!$O$22*12,AW62+AX61,NA())</f>
        <v>-639611.25335330982</v>
      </c>
      <c r="AZ62" s="10">
        <f t="shared" si="2"/>
        <v>-1375</v>
      </c>
      <c r="BA62" s="10">
        <f t="shared" si="6"/>
        <v>1908.5542193936126</v>
      </c>
      <c r="BB62" s="10">
        <f t="shared" si="7"/>
        <v>533.55421939361258</v>
      </c>
      <c r="BC62" s="10">
        <f t="shared" si="8"/>
        <v>0</v>
      </c>
      <c r="BD62" s="10">
        <f t="shared" si="9"/>
        <v>-1375</v>
      </c>
      <c r="BE62" s="2">
        <f t="shared" si="10"/>
        <v>0</v>
      </c>
      <c r="BF62" s="10">
        <f t="shared" si="11"/>
        <v>-1375</v>
      </c>
      <c r="BG62" s="2">
        <f>-BF62*'PV IN'!$E$8</f>
        <v>288.75</v>
      </c>
      <c r="BH62" s="2">
        <f>IF('PV IN'!$F$4="Battery Only",0,BB62+BG62)</f>
        <v>822.30421939361258</v>
      </c>
      <c r="BI62" s="2">
        <f>BH62/(1+('PV IN'!$G$9))^(C62)</f>
        <v>649.55745746956654</v>
      </c>
    </row>
    <row r="63" spans="2:61" x14ac:dyDescent="0.25">
      <c r="C63">
        <v>59</v>
      </c>
      <c r="D63" s="16">
        <f>D62*(1+('PV IN'!$G$6/12))</f>
        <v>7.5999999999999998E-2</v>
      </c>
      <c r="E63" s="16">
        <f>LkUP!$U$25</f>
        <v>7.5950366439599487E-2</v>
      </c>
      <c r="F63" s="16">
        <f>IF('PV IN'!$D$7="Table",E63,D63)</f>
        <v>7.5950366439599487E-2</v>
      </c>
      <c r="G63" s="33">
        <f>('PV IN'!$E$25*'PV IN'!$E$18/12)*(1-(1-'PV IN'!$E$27)/(25*12))^C62</f>
        <v>146713.98845492443</v>
      </c>
      <c r="H63" s="33">
        <f>IF('PV IN'!$D$19="YES",G63*'PV IN'!$E$21,0)</f>
        <v>0</v>
      </c>
      <c r="I63" s="33">
        <f>IF('PV IN'!$D$19="YES",'PV IN'!$E$22*BattCalcs!W63,0)</f>
        <v>0</v>
      </c>
      <c r="J63" s="33">
        <f>IF('PV IN'!$D$19="YES",'PV IN'!$E$23*BattCalcs!Y63,0)</f>
        <v>0</v>
      </c>
      <c r="K63" s="33">
        <f>BattCalcs!AF63</f>
        <v>25811.765833333331</v>
      </c>
      <c r="L63" s="33">
        <f t="shared" si="12"/>
        <v>25811.765833333331</v>
      </c>
      <c r="M63" s="33">
        <f>IF('PV IN'!$F$4="PV Only",G63,G63-SUM(H63:J63,L63))</f>
        <v>146713.98845492443</v>
      </c>
      <c r="N63" s="2">
        <f>IF(C63&lt;='PV IN'!$I$12*12,'PV IN'!$E$12*G63/1000,0)</f>
        <v>0</v>
      </c>
      <c r="O63" s="2">
        <f>IF(AND(C63&gt;'PV IN'!$I$12*12,C63&lt;='PV IN'!$I$13*12+'PV IN'!$I$12*12),'PV IN'!$E$13*PVCalcs!G63/1000,0)</f>
        <v>1907.2818499140176</v>
      </c>
      <c r="P63" s="2">
        <f>IF(AND(C63&gt;'PV IN'!$I$12*12+'PV IN'!$I$13*12,C63&lt;='PV IN'!$I$12*12+'PV IN'!$I$13*12+'PV IN'!$I$14*12),'PV IN'!$E$14*PVCalcs!G63/1000,0)</f>
        <v>0</v>
      </c>
      <c r="R63" s="10">
        <f>IF(AND('PV IN'!$D$35="YES",$C63&lt;='PV IN'!$E$35*12),-'PV IN'!$E$18*'PV IN'!$E$34/12,0)</f>
        <v>0</v>
      </c>
      <c r="S63" s="10">
        <f>IF(AND('PV IN'!$D$37="YES",$C63&lt;='PV IN'!$E$37*12),-'PV IN'!$E$18*'PV IN'!$E$36/12,0)</f>
        <v>0</v>
      </c>
      <c r="U63" s="2">
        <f t="shared" si="13"/>
        <v>11142.981184966678</v>
      </c>
      <c r="V63" s="10">
        <f>PVLoan!M90</f>
        <v>0</v>
      </c>
      <c r="W63" s="2">
        <f>IF(C63='PV IN'!$I$40,IF('PV IN'!$G$40="Non-Taxable",'PV IN'!$F$40,0),0)+IF(C63='PV IN'!$I$41,IF('PV IN'!$G$41="Non-Taxable",'PV IN'!$F$41,0),0)</f>
        <v>0</v>
      </c>
      <c r="X63" s="10"/>
      <c r="Y63" s="10">
        <f>IF('PV IN'!$E$15="Non-Taxable",SUM(N63:P63),0)</f>
        <v>1907.2818499140176</v>
      </c>
      <c r="Z63" s="10">
        <f>IF('PV IN'!$E$15="Taxable",SUM(N63:P63),0)</f>
        <v>0</v>
      </c>
      <c r="AA63" s="2">
        <f>IF(C63='PV IN'!$I$40,IF('PV IN'!$G$40="Taxable",'PV IN'!$F$40,0),0)+IF(C63='PV IN'!$I$41,IF('PV IN'!$G$41="Taxable",'PV IN'!$F$41,0),0)</f>
        <v>0</v>
      </c>
      <c r="AD63" s="10">
        <f>IF('PV IN'!$D$48="YES",-U63*'PV IN'!$E$8,0)</f>
        <v>0</v>
      </c>
      <c r="AE63" s="10">
        <f>IF('PV IN'!$N$10="Yes",-PVLoan!H91,-PVLoan!L91)</f>
        <v>0</v>
      </c>
      <c r="AF63" s="10">
        <f>IF('PV IN'!$N$10="Yes",-PVLoan!F91,0)</f>
        <v>0</v>
      </c>
      <c r="AG63" s="10">
        <f>IF(AND('PV IN'!$D$35="YES",$C63&lt;='PV IN'!$E$35*12),0,-'PV IN'!$E$18*'PV IN'!$E$34/12)</f>
        <v>-750</v>
      </c>
      <c r="AH63" s="10">
        <f>IF(AND('PV IN'!$D$37="YES",$C63&lt;='PV IN'!$E$37*12),0,-'PV IN'!$E$18*'PV IN'!$E$36/12)</f>
        <v>-625</v>
      </c>
      <c r="AI63" s="2">
        <f>IF(AND('PV IN'!$D$33="YES",PVCalcs!C63=ROUNDUP('PV IN'!$H$33*12,)),-'PV IN'!$E$33*'PV IN'!$E$18,0)</f>
        <v>0</v>
      </c>
      <c r="AK63" s="2">
        <f t="shared" si="16"/>
        <v>13050.263034880696</v>
      </c>
      <c r="AL63" s="2">
        <f t="shared" si="3"/>
        <v>-1375</v>
      </c>
      <c r="AM63" s="2">
        <f t="shared" si="4"/>
        <v>11675.263034880696</v>
      </c>
      <c r="AN63" s="43"/>
      <c r="AO63" s="2">
        <f t="shared" si="1"/>
        <v>0</v>
      </c>
      <c r="AP63" s="2">
        <f t="shared" si="14"/>
        <v>-1375</v>
      </c>
      <c r="AR63" s="2">
        <f t="shared" si="15"/>
        <v>-1375</v>
      </c>
      <c r="AS63" s="2">
        <f>-AR63*'PV IN'!$E$8</f>
        <v>288.75</v>
      </c>
      <c r="AT63" s="2">
        <f>IF('PV IN'!$F$4="Battery Only",0,AM63+AS63)</f>
        <v>11964.013034880696</v>
      </c>
      <c r="AV63" s="10">
        <f t="shared" si="5"/>
        <v>-487505.55405575695</v>
      </c>
      <c r="AW63" s="2">
        <f>AT63/(1+('PV IN'!$G$9))^(C63)</f>
        <v>9412.3085829142165</v>
      </c>
      <c r="AX63" s="2">
        <f>IF(C63&lt;='PV IN'!$O$22*12,AW63+AX62,NA())</f>
        <v>-630198.94477039564</v>
      </c>
      <c r="AZ63" s="10">
        <f t="shared" si="2"/>
        <v>-1375</v>
      </c>
      <c r="BA63" s="10">
        <f t="shared" si="6"/>
        <v>1907.2818499140176</v>
      </c>
      <c r="BB63" s="10">
        <f t="shared" si="7"/>
        <v>532.28184991401758</v>
      </c>
      <c r="BC63" s="10">
        <f t="shared" si="8"/>
        <v>0</v>
      </c>
      <c r="BD63" s="10">
        <f t="shared" si="9"/>
        <v>-1375</v>
      </c>
      <c r="BE63" s="2">
        <f t="shared" si="10"/>
        <v>0</v>
      </c>
      <c r="BF63" s="10">
        <f t="shared" si="11"/>
        <v>-1375</v>
      </c>
      <c r="BG63" s="2">
        <f>-BF63*'PV IN'!$E$8</f>
        <v>288.75</v>
      </c>
      <c r="BH63" s="2">
        <f>IF('PV IN'!$F$4="Battery Only",0,BB63+BG63)</f>
        <v>821.03184991401758</v>
      </c>
      <c r="BI63" s="2">
        <f>BH63/(1+('PV IN'!$G$9))^(C63)</f>
        <v>645.92082148869918</v>
      </c>
    </row>
    <row r="64" spans="2:61" x14ac:dyDescent="0.25">
      <c r="B64">
        <v>5</v>
      </c>
      <c r="C64">
        <v>60</v>
      </c>
      <c r="D64" s="16">
        <f>D63*(1+('PV IN'!$G$6/12))</f>
        <v>7.5999999999999998E-2</v>
      </c>
      <c r="E64" s="16">
        <f>LkUP!$U$25</f>
        <v>7.5950366439599487E-2</v>
      </c>
      <c r="F64" s="16">
        <f>IF('PV IN'!$D$7="Table",E64,D64)</f>
        <v>7.5950366439599487E-2</v>
      </c>
      <c r="G64" s="33">
        <f>('PV IN'!$E$25*'PV IN'!$E$18/12)*(1-(1-'PV IN'!$E$27)/(25*12))^C63</f>
        <v>146616.1791292878</v>
      </c>
      <c r="H64" s="33">
        <f>IF('PV IN'!$D$19="YES",G64*'PV IN'!$E$21,0)</f>
        <v>0</v>
      </c>
      <c r="I64" s="33">
        <f>IF('PV IN'!$D$19="YES",'PV IN'!$E$22*BattCalcs!W64,0)</f>
        <v>0</v>
      </c>
      <c r="J64" s="33">
        <f>IF('PV IN'!$D$19="YES",'PV IN'!$E$23*BattCalcs!Y64,0)</f>
        <v>0</v>
      </c>
      <c r="K64" s="33">
        <f>BattCalcs!AF64</f>
        <v>25811.765833333331</v>
      </c>
      <c r="L64" s="33">
        <f t="shared" si="12"/>
        <v>25811.765833333331</v>
      </c>
      <c r="M64" s="33">
        <f>IF('PV IN'!$F$4="PV Only",G64,G64-SUM(H64:J64,L64))</f>
        <v>146616.1791292878</v>
      </c>
      <c r="N64" s="2">
        <f>IF(C64&lt;='PV IN'!$I$12*12,'PV IN'!$E$12*G64/1000,0)</f>
        <v>0</v>
      </c>
      <c r="O64" s="2">
        <f>IF(AND(C64&gt;'PV IN'!$I$12*12,C64&lt;='PV IN'!$I$13*12+'PV IN'!$I$12*12),'PV IN'!$E$13*PVCalcs!G64/1000,0)</f>
        <v>1906.0103286807414</v>
      </c>
      <c r="P64" s="2">
        <f>IF(AND(C64&gt;'PV IN'!$I$12*12+'PV IN'!$I$13*12,C64&lt;='PV IN'!$I$12*12+'PV IN'!$I$13*12+'PV IN'!$I$14*12),'PV IN'!$E$14*PVCalcs!G64/1000,0)</f>
        <v>0</v>
      </c>
      <c r="R64" s="10">
        <f>IF(AND('PV IN'!$D$35="YES",$C64&lt;='PV IN'!$E$35*12),-'PV IN'!$E$18*'PV IN'!$E$34/12,0)</f>
        <v>0</v>
      </c>
      <c r="S64" s="10">
        <f>IF(AND('PV IN'!$D$37="YES",$C64&lt;='PV IN'!$E$37*12),-'PV IN'!$E$18*'PV IN'!$E$36/12,0)</f>
        <v>0</v>
      </c>
      <c r="U64" s="2">
        <f t="shared" si="13"/>
        <v>11135.552530843368</v>
      </c>
      <c r="V64" s="10">
        <f>PVLoan!M91</f>
        <v>0</v>
      </c>
      <c r="W64" s="2">
        <f>IF(C64='PV IN'!$I$40,IF('PV IN'!$G$40="Non-Taxable",'PV IN'!$F$40,0),0)+IF(C64='PV IN'!$I$41,IF('PV IN'!$G$41="Non-Taxable",'PV IN'!$F$41,0),0)</f>
        <v>0</v>
      </c>
      <c r="Y64" s="10">
        <f>IF('PV IN'!$E$15="Non-Taxable",SUM(N64:P64),0)</f>
        <v>1906.0103286807414</v>
      </c>
      <c r="Z64" s="10">
        <f>IF('PV IN'!$E$15="Taxable",SUM(N64:P64),0)</f>
        <v>0</v>
      </c>
      <c r="AA64" s="2">
        <f>IF(C64='PV IN'!$I$40,IF('PV IN'!$G$40="Taxable",'PV IN'!$F$40,0),0)+IF(C64='PV IN'!$I$41,IF('PV IN'!$G$41="Taxable",'PV IN'!$F$41,0),0)</f>
        <v>0</v>
      </c>
      <c r="AD64" s="10">
        <f>IF('PV IN'!$D$48="YES",-U64*'PV IN'!$E$8,0)</f>
        <v>0</v>
      </c>
      <c r="AE64" s="10">
        <f>IF('PV IN'!$N$10="Yes",-PVLoan!H92,-PVLoan!L92)</f>
        <v>0</v>
      </c>
      <c r="AF64" s="10">
        <f>IF('PV IN'!$N$10="Yes",-PVLoan!F92,0)</f>
        <v>0</v>
      </c>
      <c r="AG64" s="10">
        <f>IF(AND('PV IN'!$D$35="YES",$C64&lt;='PV IN'!$E$35*12),0,-'PV IN'!$E$18*'PV IN'!$E$34/12)</f>
        <v>-750</v>
      </c>
      <c r="AH64" s="10">
        <f>IF(AND('PV IN'!$D$37="YES",$C64&lt;='PV IN'!$E$37*12),0,-'PV IN'!$E$18*'PV IN'!$E$36/12)</f>
        <v>-625</v>
      </c>
      <c r="AI64" s="2">
        <f>IF(AND('PV IN'!$D$33="YES",PVCalcs!C64=ROUNDUP('PV IN'!$H$33*12,)),-'PV IN'!$E$33*'PV IN'!$E$18,0)</f>
        <v>0</v>
      </c>
      <c r="AK64" s="2">
        <f t="shared" si="16"/>
        <v>13041.562859524109</v>
      </c>
      <c r="AL64" s="2">
        <f t="shared" si="3"/>
        <v>-1375</v>
      </c>
      <c r="AM64" s="2">
        <f t="shared" si="4"/>
        <v>11666.562859524109</v>
      </c>
      <c r="AN64" s="43"/>
      <c r="AO64" s="2">
        <f t="shared" si="1"/>
        <v>0</v>
      </c>
      <c r="AP64" s="2">
        <f t="shared" si="14"/>
        <v>-1375</v>
      </c>
      <c r="AQ64" s="2">
        <f>-Depr.!F11</f>
        <v>0</v>
      </c>
      <c r="AR64" s="2">
        <f t="shared" si="15"/>
        <v>-1375</v>
      </c>
      <c r="AS64" s="2">
        <f>-AR64*'PV IN'!$E$8</f>
        <v>288.75</v>
      </c>
      <c r="AT64" s="2">
        <f>IF('PV IN'!$F$4="Battery Only",0,AM64+AS64)</f>
        <v>11955.312859524109</v>
      </c>
      <c r="AV64" s="10">
        <f t="shared" si="5"/>
        <v>-475550.24119623285</v>
      </c>
      <c r="AW64" s="2">
        <f>AT64/(1+('PV IN'!$G$9))^(C64)</f>
        <v>9367.3004537539437</v>
      </c>
      <c r="AX64" s="2">
        <f>IF(C64&lt;='PV IN'!$O$22*12,AW64+AX63,NA())</f>
        <v>-620831.64431664173</v>
      </c>
      <c r="AZ64" s="10">
        <f t="shared" si="2"/>
        <v>-1375</v>
      </c>
      <c r="BA64" s="10">
        <f t="shared" si="6"/>
        <v>1906.0103286807407</v>
      </c>
      <c r="BB64" s="10">
        <f t="shared" si="7"/>
        <v>531.01032868074071</v>
      </c>
      <c r="BC64" s="10">
        <f t="shared" si="8"/>
        <v>0</v>
      </c>
      <c r="BD64" s="10">
        <f t="shared" si="9"/>
        <v>-1375</v>
      </c>
      <c r="BE64" s="2">
        <f t="shared" si="10"/>
        <v>0</v>
      </c>
      <c r="BF64" s="10">
        <f t="shared" si="11"/>
        <v>-1375</v>
      </c>
      <c r="BG64" s="2">
        <f>-BF64*'PV IN'!$E$8</f>
        <v>288.75</v>
      </c>
      <c r="BH64" s="2">
        <f>IF('PV IN'!$F$4="Battery Only",0,BB64+BG64)</f>
        <v>819.76032868074071</v>
      </c>
      <c r="BI64" s="2">
        <f>BH64/(1+('PV IN'!$G$9))^(C64)</f>
        <v>642.3036677541412</v>
      </c>
    </row>
    <row r="65" spans="2:61" x14ac:dyDescent="0.25">
      <c r="C65">
        <v>61</v>
      </c>
      <c r="D65" s="16">
        <f>D64*(1+('PV IN'!$G$6/12))</f>
        <v>7.5999999999999998E-2</v>
      </c>
      <c r="E65" s="16">
        <f>LkUP!$U$26</f>
        <v>7.6087305280047673E-2</v>
      </c>
      <c r="F65" s="16">
        <f>IF('PV IN'!$D$7="Table",E65,D65)</f>
        <v>7.6087305280047673E-2</v>
      </c>
      <c r="G65" s="33">
        <f>('PV IN'!$E$25*'PV IN'!$E$18/12)*(1-(1-'PV IN'!$E$27)/(25*12))^C64</f>
        <v>146518.43500986826</v>
      </c>
      <c r="H65" s="33">
        <f>IF('PV IN'!$D$19="YES",G65*'PV IN'!$E$21,0)</f>
        <v>0</v>
      </c>
      <c r="I65" s="33">
        <f>IF('PV IN'!$D$19="YES",'PV IN'!$E$22*BattCalcs!W65,0)</f>
        <v>0</v>
      </c>
      <c r="J65" s="33">
        <f>IF('PV IN'!$D$19="YES",'PV IN'!$E$23*BattCalcs!Y65,0)</f>
        <v>0</v>
      </c>
      <c r="K65" s="33">
        <f>BattCalcs!AF65</f>
        <v>25811.765833333331</v>
      </c>
      <c r="L65" s="33">
        <f t="shared" si="12"/>
        <v>25811.765833333331</v>
      </c>
      <c r="M65" s="33">
        <f>IF('PV IN'!$F$4="PV Only",G65,G65-SUM(H65:J65,L65))</f>
        <v>146518.43500986826</v>
      </c>
      <c r="N65" s="2">
        <f>IF(C65&lt;='PV IN'!$I$12*12,'PV IN'!$E$12*G65/1000,0)</f>
        <v>0</v>
      </c>
      <c r="O65" s="2">
        <f>IF(AND(C65&gt;'PV IN'!$I$12*12,C65&lt;='PV IN'!$I$13*12+'PV IN'!$I$12*12),'PV IN'!$E$13*PVCalcs!G65/1000,0)</f>
        <v>1904.7396551282875</v>
      </c>
      <c r="P65" s="2">
        <f>IF(AND(C65&gt;'PV IN'!$I$12*12+'PV IN'!$I$13*12,C65&lt;='PV IN'!$I$12*12+'PV IN'!$I$13*12+'PV IN'!$I$14*12),'PV IN'!$E$14*PVCalcs!G65/1000,0)</f>
        <v>0</v>
      </c>
      <c r="R65" s="10">
        <f>IF(AND('PV IN'!$D$35="YES",$C65&lt;='PV IN'!$E$35*12),-'PV IN'!$E$18*'PV IN'!$E$34/12,0)</f>
        <v>0</v>
      </c>
      <c r="S65" s="10">
        <f>IF(AND('PV IN'!$D$37="YES",$C65&lt;='PV IN'!$E$37*12),-'PV IN'!$E$18*'PV IN'!$E$36/12,0)</f>
        <v>0</v>
      </c>
      <c r="U65" s="2">
        <f t="shared" si="13"/>
        <v>11148.192893750671</v>
      </c>
      <c r="V65" s="10">
        <f>PVLoan!M92</f>
        <v>0</v>
      </c>
      <c r="W65" s="2">
        <f>IF(C65='PV IN'!$I$40,IF('PV IN'!$G$40="Non-Taxable",'PV IN'!$F$40,0),0)+IF(C65='PV IN'!$I$41,IF('PV IN'!$G$41="Non-Taxable",'PV IN'!$F$41,0),0)</f>
        <v>0</v>
      </c>
      <c r="X65" s="10"/>
      <c r="Y65" s="10">
        <f>IF('PV IN'!$E$15="Non-Taxable",SUM(N65:P65),0)</f>
        <v>1904.7396551282875</v>
      </c>
      <c r="Z65" s="10">
        <f>IF('PV IN'!$E$15="Taxable",SUM(N65:P65),0)</f>
        <v>0</v>
      </c>
      <c r="AA65" s="2">
        <f>IF(C65='PV IN'!$I$40,IF('PV IN'!$G$40="Taxable",'PV IN'!$F$40,0),0)+IF(C65='PV IN'!$I$41,IF('PV IN'!$G$41="Taxable",'PV IN'!$F$41,0),0)</f>
        <v>0</v>
      </c>
      <c r="AD65" s="10">
        <f>IF('PV IN'!$D$48="YES",-U65*'PV IN'!$E$8,0)</f>
        <v>0</v>
      </c>
      <c r="AE65" s="10">
        <f>IF('PV IN'!$N$10="Yes",-PVLoan!H93,-PVLoan!L93)</f>
        <v>0</v>
      </c>
      <c r="AF65" s="10">
        <f>IF('PV IN'!$N$10="Yes",-PVLoan!F93,0)</f>
        <v>0</v>
      </c>
      <c r="AG65" s="10">
        <f>IF(AND('PV IN'!$D$35="YES",$C65&lt;='PV IN'!$E$35*12),0,-'PV IN'!$E$18*'PV IN'!$E$34/12)</f>
        <v>-750</v>
      </c>
      <c r="AH65" s="10">
        <f>IF(AND('PV IN'!$D$37="YES",$C65&lt;='PV IN'!$E$37*12),0,-'PV IN'!$E$18*'PV IN'!$E$36/12)</f>
        <v>-625</v>
      </c>
      <c r="AI65" s="2">
        <f>IF(AND('PV IN'!$D$33="YES",PVCalcs!C65=ROUNDUP('PV IN'!$H$33*12,)),-'PV IN'!$E$33*'PV IN'!$E$18,0)</f>
        <v>0</v>
      </c>
      <c r="AK65" s="2">
        <f t="shared" si="16"/>
        <v>13052.932548878958</v>
      </c>
      <c r="AL65" s="2">
        <f t="shared" si="3"/>
        <v>-1375</v>
      </c>
      <c r="AM65" s="2">
        <f t="shared" si="4"/>
        <v>11677.932548878958</v>
      </c>
      <c r="AN65" s="43"/>
      <c r="AO65" s="2">
        <f t="shared" si="1"/>
        <v>0</v>
      </c>
      <c r="AP65" s="2">
        <f>SUM(AF65:AI65)</f>
        <v>-1375</v>
      </c>
      <c r="AR65" s="2">
        <f t="shared" si="15"/>
        <v>-1375</v>
      </c>
      <c r="AS65" s="2">
        <f>-AR65*'PV IN'!$E$8</f>
        <v>288.75</v>
      </c>
      <c r="AT65" s="2">
        <f>IF('PV IN'!$F$4="Battery Only",0,AM65+AS65)</f>
        <v>11966.682548878958</v>
      </c>
      <c r="AV65" s="10">
        <f t="shared" si="5"/>
        <v>-463583.5586473539</v>
      </c>
      <c r="AW65" s="2">
        <f>AT65/(1+('PV IN'!$G$9))^(C65)</f>
        <v>9338.1640665489485</v>
      </c>
      <c r="AX65" s="2">
        <f>IF(C65&lt;='PV IN'!$O$22*12,AW65+AX64,NA())</f>
        <v>-611493.48025009281</v>
      </c>
      <c r="AZ65" s="10">
        <f t="shared" si="2"/>
        <v>-1375</v>
      </c>
      <c r="BA65" s="10">
        <f t="shared" si="6"/>
        <v>1904.7396551282873</v>
      </c>
      <c r="BB65" s="10">
        <f t="shared" si="7"/>
        <v>529.73965512828727</v>
      </c>
      <c r="BC65" s="10">
        <f t="shared" si="8"/>
        <v>0</v>
      </c>
      <c r="BD65" s="10">
        <f t="shared" si="9"/>
        <v>-1375</v>
      </c>
      <c r="BE65" s="2">
        <f t="shared" si="10"/>
        <v>0</v>
      </c>
      <c r="BF65" s="10">
        <f t="shared" si="11"/>
        <v>-1375</v>
      </c>
      <c r="BG65" s="2">
        <f>-BF65*'PV IN'!$E$8</f>
        <v>288.75</v>
      </c>
      <c r="BH65" s="2">
        <f>IF('PV IN'!$F$4="Battery Only",0,BB65+BG65)</f>
        <v>818.48965512828727</v>
      </c>
      <c r="BI65" s="2">
        <f>BH65/(1+('PV IN'!$G$9))^(C65)</f>
        <v>638.70589489958763</v>
      </c>
    </row>
    <row r="66" spans="2:61" x14ac:dyDescent="0.25">
      <c r="C66">
        <v>62</v>
      </c>
      <c r="D66" s="16">
        <f>D65*(1+('PV IN'!$G$6/12))</f>
        <v>7.5999999999999998E-2</v>
      </c>
      <c r="E66" s="16">
        <f>LkUP!$U$26</f>
        <v>7.6087305280047673E-2</v>
      </c>
      <c r="F66" s="16">
        <f>IF('PV IN'!$D$7="Table",E66,D66)</f>
        <v>7.6087305280047673E-2</v>
      </c>
      <c r="G66" s="33">
        <f>('PV IN'!$E$25*'PV IN'!$E$18/12)*(1-(1-'PV IN'!$E$27)/(25*12))^C65</f>
        <v>146420.75605319504</v>
      </c>
      <c r="H66" s="33">
        <f>IF('PV IN'!$D$19="YES",G66*'PV IN'!$E$21,0)</f>
        <v>0</v>
      </c>
      <c r="I66" s="33">
        <f>IF('PV IN'!$D$19="YES",'PV IN'!$E$22*BattCalcs!W66,0)</f>
        <v>0</v>
      </c>
      <c r="J66" s="33">
        <f>IF('PV IN'!$D$19="YES",'PV IN'!$E$23*BattCalcs!Y66,0)</f>
        <v>0</v>
      </c>
      <c r="K66" s="33">
        <f>BattCalcs!AF66</f>
        <v>25811.765833333331</v>
      </c>
      <c r="L66" s="33">
        <f t="shared" si="12"/>
        <v>25811.765833333331</v>
      </c>
      <c r="M66" s="33">
        <f>IF('PV IN'!$F$4="PV Only",G66,G66-SUM(H66:J66,L66))</f>
        <v>146420.75605319504</v>
      </c>
      <c r="N66" s="2">
        <f>IF(C66&lt;='PV IN'!$I$12*12,'PV IN'!$E$12*G66/1000,0)</f>
        <v>0</v>
      </c>
      <c r="O66" s="2">
        <f>IF(AND(C66&gt;'PV IN'!$I$12*12,C66&lt;='PV IN'!$I$13*12+'PV IN'!$I$12*12),'PV IN'!$E$13*PVCalcs!G66/1000,0)</f>
        <v>1903.4698286915357</v>
      </c>
      <c r="P66" s="2">
        <f>IF(AND(C66&gt;'PV IN'!$I$12*12+'PV IN'!$I$13*12,C66&lt;='PV IN'!$I$12*12+'PV IN'!$I$13*12+'PV IN'!$I$14*12),'PV IN'!$E$14*PVCalcs!G66/1000,0)</f>
        <v>0</v>
      </c>
      <c r="R66" s="10">
        <f>IF(AND('PV IN'!$D$35="YES",$C66&lt;='PV IN'!$E$35*12),-'PV IN'!$E$18*'PV IN'!$E$34/12,0)</f>
        <v>0</v>
      </c>
      <c r="S66" s="10">
        <f>IF(AND('PV IN'!$D$37="YES",$C66&lt;='PV IN'!$E$37*12),-'PV IN'!$E$18*'PV IN'!$E$36/12,0)</f>
        <v>0</v>
      </c>
      <c r="U66" s="2">
        <f t="shared" si="13"/>
        <v>11140.760765154839</v>
      </c>
      <c r="V66" s="10">
        <f>PVLoan!M93</f>
        <v>0</v>
      </c>
      <c r="W66" s="2">
        <f>IF(C66='PV IN'!$I$40,IF('PV IN'!$G$40="Non-Taxable",'PV IN'!$F$40,0),0)+IF(C66='PV IN'!$I$41,IF('PV IN'!$G$41="Non-Taxable",'PV IN'!$F$41,0),0)</f>
        <v>0</v>
      </c>
      <c r="X66" s="10"/>
      <c r="Y66" s="10">
        <f>IF('PV IN'!$E$15="Non-Taxable",SUM(N66:P66),0)</f>
        <v>1903.4698286915357</v>
      </c>
      <c r="Z66" s="10">
        <f>IF('PV IN'!$E$15="Taxable",SUM(N66:P66),0)</f>
        <v>0</v>
      </c>
      <c r="AA66" s="2">
        <f>IF(C66='PV IN'!$I$40,IF('PV IN'!$G$40="Taxable",'PV IN'!$F$40,0),0)+IF(C66='PV IN'!$I$41,IF('PV IN'!$G$41="Taxable",'PV IN'!$F$41,0),0)</f>
        <v>0</v>
      </c>
      <c r="AD66" s="10">
        <f>IF('PV IN'!$D$48="YES",-U66*'PV IN'!$E$8,0)</f>
        <v>0</v>
      </c>
      <c r="AE66" s="10">
        <f>IF('PV IN'!$N$10="Yes",-PVLoan!H94,-PVLoan!L94)</f>
        <v>0</v>
      </c>
      <c r="AF66" s="10">
        <f>IF('PV IN'!$N$10="Yes",-PVLoan!F94,0)</f>
        <v>0</v>
      </c>
      <c r="AG66" s="10">
        <f>IF(AND('PV IN'!$D$35="YES",$C66&lt;='PV IN'!$E$35*12),0,-'PV IN'!$E$18*'PV IN'!$E$34/12)</f>
        <v>-750</v>
      </c>
      <c r="AH66" s="10">
        <f>IF(AND('PV IN'!$D$37="YES",$C66&lt;='PV IN'!$E$37*12),0,-'PV IN'!$E$18*'PV IN'!$E$36/12)</f>
        <v>-625</v>
      </c>
      <c r="AI66" s="2">
        <f>IF(AND('PV IN'!$D$33="YES",PVCalcs!C66=ROUNDUP('PV IN'!$H$33*12,)),-'PV IN'!$E$33*'PV IN'!$E$18,0)</f>
        <v>0</v>
      </c>
      <c r="AK66" s="2">
        <f t="shared" si="16"/>
        <v>13044.230593846374</v>
      </c>
      <c r="AL66" s="2">
        <f t="shared" si="3"/>
        <v>-1375</v>
      </c>
      <c r="AM66" s="2">
        <f t="shared" si="4"/>
        <v>11669.230593846374</v>
      </c>
      <c r="AN66" s="43"/>
      <c r="AO66" s="2">
        <f t="shared" si="1"/>
        <v>0</v>
      </c>
      <c r="AP66" s="2">
        <f t="shared" si="14"/>
        <v>-1375</v>
      </c>
      <c r="AR66" s="2">
        <f t="shared" si="15"/>
        <v>-1375</v>
      </c>
      <c r="AS66" s="2">
        <f>-AR66*'PV IN'!$E$8</f>
        <v>288.75</v>
      </c>
      <c r="AT66" s="2">
        <f>IF('PV IN'!$F$4="Battery Only",0,AM66+AS66)</f>
        <v>11957.980593846374</v>
      </c>
      <c r="AV66" s="10">
        <f t="shared" si="5"/>
        <v>-451625.57805350755</v>
      </c>
      <c r="AW66" s="2">
        <f>AT66/(1+('PV IN'!$G$9))^(C66)</f>
        <v>9293.5106099883596</v>
      </c>
      <c r="AX66" s="2">
        <f>IF(C66&lt;='PV IN'!$O$22*12,AW66+AX65,NA())</f>
        <v>-602199.96964010445</v>
      </c>
      <c r="AZ66" s="10">
        <f t="shared" si="2"/>
        <v>-1375</v>
      </c>
      <c r="BA66" s="10">
        <f t="shared" si="6"/>
        <v>1903.4698286915354</v>
      </c>
      <c r="BB66" s="10">
        <f t="shared" si="7"/>
        <v>528.46982869153544</v>
      </c>
      <c r="BC66" s="10">
        <f t="shared" si="8"/>
        <v>0</v>
      </c>
      <c r="BD66" s="10">
        <f t="shared" si="9"/>
        <v>-1375</v>
      </c>
      <c r="BE66" s="2">
        <f t="shared" si="10"/>
        <v>0</v>
      </c>
      <c r="BF66" s="10">
        <f t="shared" si="11"/>
        <v>-1375</v>
      </c>
      <c r="BG66" s="2">
        <f>-BF66*'PV IN'!$E$8</f>
        <v>288.75</v>
      </c>
      <c r="BH66" s="2">
        <f>IF('PV IN'!$F$4="Battery Only",0,BB66+BG66)</f>
        <v>817.21982869153544</v>
      </c>
      <c r="BI66" s="2">
        <f>BH66/(1+('PV IN'!$G$9))^(C66)</f>
        <v>635.12740207539639</v>
      </c>
    </row>
    <row r="67" spans="2:61" x14ac:dyDescent="0.25">
      <c r="C67">
        <v>63</v>
      </c>
      <c r="D67" s="16">
        <f>D66*(1+('PV IN'!$G$6/12))</f>
        <v>7.5999999999999998E-2</v>
      </c>
      <c r="E67" s="16">
        <f>LkUP!$U$26</f>
        <v>7.6087305280047673E-2</v>
      </c>
      <c r="F67" s="16">
        <f>IF('PV IN'!$D$7="Table",E67,D67)</f>
        <v>7.6087305280047673E-2</v>
      </c>
      <c r="G67" s="33">
        <f>('PV IN'!$E$25*'PV IN'!$E$18/12)*(1-(1-'PV IN'!$E$27)/(25*12))^C66</f>
        <v>146323.1422158262</v>
      </c>
      <c r="H67" s="33">
        <f>IF('PV IN'!$D$19="YES",G67*'PV IN'!$E$21,0)</f>
        <v>0</v>
      </c>
      <c r="I67" s="33">
        <f>IF('PV IN'!$D$19="YES",'PV IN'!$E$22*BattCalcs!W67,0)</f>
        <v>0</v>
      </c>
      <c r="J67" s="33">
        <f>IF('PV IN'!$D$19="YES",'PV IN'!$E$23*BattCalcs!Y67,0)</f>
        <v>0</v>
      </c>
      <c r="K67" s="33">
        <f>BattCalcs!AF67</f>
        <v>25811.765833333331</v>
      </c>
      <c r="L67" s="33">
        <f t="shared" si="12"/>
        <v>25811.765833333331</v>
      </c>
      <c r="M67" s="33">
        <f>IF('PV IN'!$F$4="PV Only",G67,G67-SUM(H67:J67,L67))</f>
        <v>146323.1422158262</v>
      </c>
      <c r="N67" s="2">
        <f>IF(C67&lt;='PV IN'!$I$12*12,'PV IN'!$E$12*G67/1000,0)</f>
        <v>0</v>
      </c>
      <c r="O67" s="2">
        <f>IF(AND(C67&gt;'PV IN'!$I$12*12,C67&lt;='PV IN'!$I$13*12+'PV IN'!$I$12*12),'PV IN'!$E$13*PVCalcs!G67/1000,0)</f>
        <v>1902.2008488057404</v>
      </c>
      <c r="P67" s="2">
        <f>IF(AND(C67&gt;'PV IN'!$I$12*12+'PV IN'!$I$13*12,C67&lt;='PV IN'!$I$12*12+'PV IN'!$I$13*12+'PV IN'!$I$14*12),'PV IN'!$E$14*PVCalcs!G67/1000,0)</f>
        <v>0</v>
      </c>
      <c r="R67" s="10">
        <f>IF(AND('PV IN'!$D$35="YES",$C67&lt;='PV IN'!$E$35*12),-'PV IN'!$E$18*'PV IN'!$E$34/12,0)</f>
        <v>0</v>
      </c>
      <c r="S67" s="10">
        <f>IF(AND('PV IN'!$D$37="YES",$C67&lt;='PV IN'!$E$37*12),-'PV IN'!$E$18*'PV IN'!$E$36/12,0)</f>
        <v>0</v>
      </c>
      <c r="U67" s="2">
        <f t="shared" si="13"/>
        <v>11133.333591311399</v>
      </c>
      <c r="V67" s="10">
        <f>PVLoan!M94</f>
        <v>0</v>
      </c>
      <c r="W67" s="2">
        <f>IF(C67='PV IN'!$I$40,IF('PV IN'!$G$40="Non-Taxable",'PV IN'!$F$40,0),0)+IF(C67='PV IN'!$I$41,IF('PV IN'!$G$41="Non-Taxable",'PV IN'!$F$41,0),0)</f>
        <v>0</v>
      </c>
      <c r="X67" s="10"/>
      <c r="Y67" s="10">
        <f>IF('PV IN'!$E$15="Non-Taxable",SUM(N67:P67),0)</f>
        <v>1902.2008488057404</v>
      </c>
      <c r="Z67" s="10">
        <f>IF('PV IN'!$E$15="Taxable",SUM(N67:P67),0)</f>
        <v>0</v>
      </c>
      <c r="AA67" s="2">
        <f>IF(C67='PV IN'!$I$40,IF('PV IN'!$G$40="Taxable",'PV IN'!$F$40,0),0)+IF(C67='PV IN'!$I$41,IF('PV IN'!$G$41="Taxable",'PV IN'!$F$41,0),0)</f>
        <v>0</v>
      </c>
      <c r="AD67" s="10">
        <f>IF('PV IN'!$D$48="YES",-U67*'PV IN'!$E$8,0)</f>
        <v>0</v>
      </c>
      <c r="AE67" s="10">
        <f>IF('PV IN'!$N$10="Yes",-PVLoan!H95,-PVLoan!L95)</f>
        <v>0</v>
      </c>
      <c r="AF67" s="10">
        <f>IF('PV IN'!$N$10="Yes",-PVLoan!F95,0)</f>
        <v>0</v>
      </c>
      <c r="AG67" s="10">
        <f>IF(AND('PV IN'!$D$35="YES",$C67&lt;='PV IN'!$E$35*12),0,-'PV IN'!$E$18*'PV IN'!$E$34/12)</f>
        <v>-750</v>
      </c>
      <c r="AH67" s="10">
        <f>IF(AND('PV IN'!$D$37="YES",$C67&lt;='PV IN'!$E$37*12),0,-'PV IN'!$E$18*'PV IN'!$E$36/12)</f>
        <v>-625</v>
      </c>
      <c r="AI67" s="2">
        <f>IF(AND('PV IN'!$D$33="YES",PVCalcs!C67=ROUNDUP('PV IN'!$H$33*12,)),-'PV IN'!$E$33*'PV IN'!$E$18,0)</f>
        <v>0</v>
      </c>
      <c r="AK67" s="2">
        <f t="shared" si="16"/>
        <v>13035.534440117139</v>
      </c>
      <c r="AL67" s="2">
        <f t="shared" si="3"/>
        <v>-1375</v>
      </c>
      <c r="AM67" s="2">
        <f t="shared" si="4"/>
        <v>11660.534440117139</v>
      </c>
      <c r="AN67" s="43"/>
      <c r="AO67" s="2">
        <f t="shared" si="1"/>
        <v>0</v>
      </c>
      <c r="AP67" s="2">
        <f t="shared" si="14"/>
        <v>-1375</v>
      </c>
      <c r="AR67" s="2">
        <f t="shared" si="15"/>
        <v>-1375</v>
      </c>
      <c r="AS67" s="2">
        <f>-AR67*'PV IN'!$E$8</f>
        <v>288.75</v>
      </c>
      <c r="AT67" s="2">
        <f>IF('PV IN'!$F$4="Battery Only",0,AM67+AS67)</f>
        <v>11949.284440117139</v>
      </c>
      <c r="AV67" s="10">
        <f t="shared" si="5"/>
        <v>-439676.29361339041</v>
      </c>
      <c r="AW67" s="2">
        <f>AT67/(1+('PV IN'!$G$9))^(C67)</f>
        <v>9249.0702707923137</v>
      </c>
      <c r="AX67" s="2">
        <f>IF(C67&lt;='PV IN'!$O$22*12,AW67+AX66,NA())</f>
        <v>-592950.8993693121</v>
      </c>
      <c r="AZ67" s="10">
        <f t="shared" si="2"/>
        <v>-1375</v>
      </c>
      <c r="BA67" s="10">
        <f t="shared" si="6"/>
        <v>1902.20084880574</v>
      </c>
      <c r="BB67" s="10">
        <f t="shared" si="7"/>
        <v>527.20084880573995</v>
      </c>
      <c r="BC67" s="10">
        <f t="shared" si="8"/>
        <v>0</v>
      </c>
      <c r="BD67" s="10">
        <f t="shared" si="9"/>
        <v>-1375</v>
      </c>
      <c r="BE67" s="2">
        <f t="shared" si="10"/>
        <v>0</v>
      </c>
      <c r="BF67" s="10">
        <f t="shared" si="11"/>
        <v>-1375</v>
      </c>
      <c r="BG67" s="2">
        <f>-BF67*'PV IN'!$E$8</f>
        <v>288.75</v>
      </c>
      <c r="BH67" s="2">
        <f>IF('PV IN'!$F$4="Battery Only",0,BB67+BG67)</f>
        <v>815.95084880573995</v>
      </c>
      <c r="BI67" s="2">
        <f>BH67/(1+('PV IN'!$G$9))^(C67)</f>
        <v>631.56808894599737</v>
      </c>
    </row>
    <row r="68" spans="2:61" x14ac:dyDescent="0.25">
      <c r="C68">
        <v>64</v>
      </c>
      <c r="D68" s="16">
        <f>D67*(1+('PV IN'!$G$6/12))</f>
        <v>7.5999999999999998E-2</v>
      </c>
      <c r="E68" s="16">
        <f>LkUP!$U$26</f>
        <v>7.6087305280047673E-2</v>
      </c>
      <c r="F68" s="16">
        <f>IF('PV IN'!$D$7="Table",E68,D68)</f>
        <v>7.6087305280047673E-2</v>
      </c>
      <c r="G68" s="33">
        <f>('PV IN'!$E$25*'PV IN'!$E$18/12)*(1-(1-'PV IN'!$E$27)/(25*12))^C67</f>
        <v>146225.593454349</v>
      </c>
      <c r="H68" s="33">
        <f>IF('PV IN'!$D$19="YES",G68*'PV IN'!$E$21,0)</f>
        <v>0</v>
      </c>
      <c r="I68" s="33">
        <f>IF('PV IN'!$D$19="YES",'PV IN'!$E$22*BattCalcs!W68,0)</f>
        <v>0</v>
      </c>
      <c r="J68" s="33">
        <f>IF('PV IN'!$D$19="YES",'PV IN'!$E$23*BattCalcs!Y68,0)</f>
        <v>0</v>
      </c>
      <c r="K68" s="33">
        <f>BattCalcs!AF68</f>
        <v>25811.765833333331</v>
      </c>
      <c r="L68" s="33">
        <f t="shared" si="12"/>
        <v>25811.765833333331</v>
      </c>
      <c r="M68" s="33">
        <f>IF('PV IN'!$F$4="PV Only",G68,G68-SUM(H68:J68,L68))</f>
        <v>146225.593454349</v>
      </c>
      <c r="N68" s="2">
        <f>IF(C68&lt;='PV IN'!$I$12*12,'PV IN'!$E$12*G68/1000,0)</f>
        <v>0</v>
      </c>
      <c r="O68" s="2">
        <f>IF(AND(C68&gt;'PV IN'!$I$12*12,C68&lt;='PV IN'!$I$13*12+'PV IN'!$I$12*12),'PV IN'!$E$13*PVCalcs!G68/1000,0)</f>
        <v>1900.9327149065371</v>
      </c>
      <c r="P68" s="2">
        <f>IF(AND(C68&gt;'PV IN'!$I$12*12+'PV IN'!$I$13*12,C68&lt;='PV IN'!$I$12*12+'PV IN'!$I$13*12+'PV IN'!$I$14*12),'PV IN'!$E$14*PVCalcs!G68/1000,0)</f>
        <v>0</v>
      </c>
      <c r="R68" s="10">
        <f>IF(AND('PV IN'!$D$35="YES",$C68&lt;='PV IN'!$E$35*12),-'PV IN'!$E$18*'PV IN'!$E$34/12,0)</f>
        <v>0</v>
      </c>
      <c r="S68" s="10">
        <f>IF(AND('PV IN'!$D$37="YES",$C68&lt;='PV IN'!$E$37*12),-'PV IN'!$E$18*'PV IN'!$E$36/12,0)</f>
        <v>0</v>
      </c>
      <c r="U68" s="2">
        <f t="shared" si="13"/>
        <v>11125.911368917194</v>
      </c>
      <c r="V68" s="10">
        <f>PVLoan!M95</f>
        <v>0</v>
      </c>
      <c r="W68" s="2">
        <f>IF(C68='PV IN'!$I$40,IF('PV IN'!$G$40="Non-Taxable",'PV IN'!$F$40,0),0)+IF(C68='PV IN'!$I$41,IF('PV IN'!$G$41="Non-Taxable",'PV IN'!$F$41,0),0)</f>
        <v>0</v>
      </c>
      <c r="X68" s="10"/>
      <c r="Y68" s="10">
        <f>IF('PV IN'!$E$15="Non-Taxable",SUM(N68:P68),0)</f>
        <v>1900.9327149065371</v>
      </c>
      <c r="Z68" s="10">
        <f>IF('PV IN'!$E$15="Taxable",SUM(N68:P68),0)</f>
        <v>0</v>
      </c>
      <c r="AA68" s="2">
        <f>IF(C68='PV IN'!$I$40,IF('PV IN'!$G$40="Taxable",'PV IN'!$F$40,0),0)+IF(C68='PV IN'!$I$41,IF('PV IN'!$G$41="Taxable",'PV IN'!$F$41,0),0)</f>
        <v>0</v>
      </c>
      <c r="AD68" s="10">
        <f>IF('PV IN'!$D$48="YES",-U68*'PV IN'!$E$8,0)</f>
        <v>0</v>
      </c>
      <c r="AE68" s="10">
        <f>IF('PV IN'!$N$10="Yes",-PVLoan!H96,-PVLoan!L96)</f>
        <v>0</v>
      </c>
      <c r="AF68" s="10">
        <f>IF('PV IN'!$N$10="Yes",-PVLoan!F96,0)</f>
        <v>0</v>
      </c>
      <c r="AG68" s="10">
        <f>IF(AND('PV IN'!$D$35="YES",$C68&lt;='PV IN'!$E$35*12),0,-'PV IN'!$E$18*'PV IN'!$E$34/12)</f>
        <v>-750</v>
      </c>
      <c r="AH68" s="10">
        <f>IF(AND('PV IN'!$D$37="YES",$C68&lt;='PV IN'!$E$37*12),0,-'PV IN'!$E$18*'PV IN'!$E$36/12)</f>
        <v>-625</v>
      </c>
      <c r="AI68" s="2">
        <f>IF(AND('PV IN'!$D$33="YES",PVCalcs!C68=ROUNDUP('PV IN'!$H$33*12,)),-'PV IN'!$E$33*'PV IN'!$E$18,0)</f>
        <v>0</v>
      </c>
      <c r="AK68" s="2">
        <f t="shared" ref="AK68:AK131" si="17">SUM(U68:AA68)</f>
        <v>13026.844083823731</v>
      </c>
      <c r="AL68" s="2">
        <f t="shared" ref="AL68:AL131" si="18">SUM(AC68:AI68)</f>
        <v>-1375</v>
      </c>
      <c r="AM68" s="2">
        <f t="shared" si="4"/>
        <v>11651.844083823731</v>
      </c>
      <c r="AN68" s="43"/>
      <c r="AO68" s="2">
        <f t="shared" ref="AO68:AO131" si="19">SUM(Z68:AA68)</f>
        <v>0</v>
      </c>
      <c r="AP68" s="2">
        <f t="shared" si="14"/>
        <v>-1375</v>
      </c>
      <c r="AR68" s="2">
        <f t="shared" si="15"/>
        <v>-1375</v>
      </c>
      <c r="AS68" s="2">
        <f>-AR68*'PV IN'!$E$8</f>
        <v>288.75</v>
      </c>
      <c r="AT68" s="2">
        <f>IF('PV IN'!$F$4="Battery Only",0,AM68+AS68)</f>
        <v>11940.594083823731</v>
      </c>
      <c r="AV68" s="10">
        <f t="shared" si="5"/>
        <v>-427735.69952956669</v>
      </c>
      <c r="AW68" s="2">
        <f>AT68/(1+('PV IN'!$G$9))^(C68)</f>
        <v>9204.8420334495149</v>
      </c>
      <c r="AX68" s="2">
        <f>IF(C68&lt;='PV IN'!$O$22*12,AW68+AX67,NA())</f>
        <v>-583746.05733586254</v>
      </c>
      <c r="AZ68" s="10">
        <f t="shared" ref="AZ68:AZ131" si="20">AL68-AD68</f>
        <v>-1375</v>
      </c>
      <c r="BA68" s="10">
        <f t="shared" ref="BA68:BA131" si="21">AK68-U68</f>
        <v>1900.9327149065375</v>
      </c>
      <c r="BB68" s="10">
        <f t="shared" si="7"/>
        <v>525.93271490653751</v>
      </c>
      <c r="BC68" s="10">
        <f t="shared" si="8"/>
        <v>0</v>
      </c>
      <c r="BD68" s="10">
        <f t="shared" si="9"/>
        <v>-1375</v>
      </c>
      <c r="BE68" s="2">
        <f t="shared" si="10"/>
        <v>0</v>
      </c>
      <c r="BF68" s="10">
        <f t="shared" si="11"/>
        <v>-1375</v>
      </c>
      <c r="BG68" s="2">
        <f>-BF68*'PV IN'!$E$8</f>
        <v>288.75</v>
      </c>
      <c r="BH68" s="2">
        <f>IF('PV IN'!$F$4="Battery Only",0,BB68+BG68)</f>
        <v>814.68271490653751</v>
      </c>
      <c r="BI68" s="2">
        <f>BH68/(1+('PV IN'!$G$9))^(C68)</f>
        <v>628.02785568731554</v>
      </c>
    </row>
    <row r="69" spans="2:61" x14ac:dyDescent="0.25">
      <c r="C69">
        <v>65</v>
      </c>
      <c r="D69" s="16">
        <f>D68*(1+('PV IN'!$G$6/12))</f>
        <v>7.5999999999999998E-2</v>
      </c>
      <c r="E69" s="16">
        <f>LkUP!$U$26</f>
        <v>7.6087305280047673E-2</v>
      </c>
      <c r="F69" s="16">
        <f>IF('PV IN'!$D$7="Table",E69,D69)</f>
        <v>7.6087305280047673E-2</v>
      </c>
      <c r="G69" s="33">
        <f>('PV IN'!$E$25*'PV IN'!$E$18/12)*(1-(1-'PV IN'!$E$27)/(25*12))^C68</f>
        <v>146128.10972537941</v>
      </c>
      <c r="H69" s="33">
        <f>IF('PV IN'!$D$19="YES",G69*'PV IN'!$E$21,0)</f>
        <v>0</v>
      </c>
      <c r="I69" s="33">
        <f>IF('PV IN'!$D$19="YES",'PV IN'!$E$22*BattCalcs!W69,0)</f>
        <v>0</v>
      </c>
      <c r="J69" s="33">
        <f>IF('PV IN'!$D$19="YES",'PV IN'!$E$23*BattCalcs!Y69,0)</f>
        <v>0</v>
      </c>
      <c r="K69" s="33">
        <f>BattCalcs!AF69</f>
        <v>25811.765833333331</v>
      </c>
      <c r="L69" s="33">
        <f t="shared" si="12"/>
        <v>25811.765833333331</v>
      </c>
      <c r="M69" s="33">
        <f>IF('PV IN'!$F$4="PV Only",G69,G69-SUM(H69:J69,L69))</f>
        <v>146128.10972537941</v>
      </c>
      <c r="N69" s="2">
        <f>IF(C69&lt;='PV IN'!$I$12*12,'PV IN'!$E$12*G69/1000,0)</f>
        <v>0</v>
      </c>
      <c r="O69" s="2">
        <f>IF(AND(C69&gt;'PV IN'!$I$12*12,C69&lt;='PV IN'!$I$13*12+'PV IN'!$I$12*12),'PV IN'!$E$13*PVCalcs!G69/1000,0)</f>
        <v>1899.6654264299325</v>
      </c>
      <c r="P69" s="2">
        <f>IF(AND(C69&gt;'PV IN'!$I$12*12+'PV IN'!$I$13*12,C69&lt;='PV IN'!$I$12*12+'PV IN'!$I$13*12+'PV IN'!$I$14*12),'PV IN'!$E$14*PVCalcs!G69/1000,0)</f>
        <v>0</v>
      </c>
      <c r="R69" s="10">
        <f>IF(AND('PV IN'!$D$35="YES",$C69&lt;='PV IN'!$E$35*12),-'PV IN'!$E$18*'PV IN'!$E$34/12,0)</f>
        <v>0</v>
      </c>
      <c r="S69" s="10">
        <f>IF(AND('PV IN'!$D$37="YES",$C69&lt;='PV IN'!$E$37*12),-'PV IN'!$E$18*'PV IN'!$E$36/12,0)</f>
        <v>0</v>
      </c>
      <c r="U69" s="2">
        <f t="shared" si="13"/>
        <v>11118.494094671247</v>
      </c>
      <c r="V69" s="10">
        <f>PVLoan!M96</f>
        <v>0</v>
      </c>
      <c r="W69" s="2">
        <f>IF(C69='PV IN'!$I$40,IF('PV IN'!$G$40="Non-Taxable",'PV IN'!$F$40,0),0)+IF(C69='PV IN'!$I$41,IF('PV IN'!$G$41="Non-Taxable",'PV IN'!$F$41,0),0)</f>
        <v>0</v>
      </c>
      <c r="X69" s="10"/>
      <c r="Y69" s="10">
        <f>IF('PV IN'!$E$15="Non-Taxable",SUM(N69:P69),0)</f>
        <v>1899.6654264299325</v>
      </c>
      <c r="Z69" s="10">
        <f>IF('PV IN'!$E$15="Taxable",SUM(N69:P69),0)</f>
        <v>0</v>
      </c>
      <c r="AA69" s="2">
        <f>IF(C69='PV IN'!$I$40,IF('PV IN'!$G$40="Taxable",'PV IN'!$F$40,0),0)+IF(C69='PV IN'!$I$41,IF('PV IN'!$G$41="Taxable",'PV IN'!$F$41,0),0)</f>
        <v>0</v>
      </c>
      <c r="AD69" s="10">
        <f>IF('PV IN'!$D$48="YES",-U69*'PV IN'!$E$8,0)</f>
        <v>0</v>
      </c>
      <c r="AE69" s="10">
        <f>IF('PV IN'!$N$10="Yes",-PVLoan!H97,-PVLoan!L97)</f>
        <v>0</v>
      </c>
      <c r="AF69" s="10">
        <f>IF('PV IN'!$N$10="Yes",-PVLoan!F97,0)</f>
        <v>0</v>
      </c>
      <c r="AG69" s="10">
        <f>IF(AND('PV IN'!$D$35="YES",$C69&lt;='PV IN'!$E$35*12),0,-'PV IN'!$E$18*'PV IN'!$E$34/12)</f>
        <v>-750</v>
      </c>
      <c r="AH69" s="10">
        <f>IF(AND('PV IN'!$D$37="YES",$C69&lt;='PV IN'!$E$37*12),0,-'PV IN'!$E$18*'PV IN'!$E$36/12)</f>
        <v>-625</v>
      </c>
      <c r="AI69" s="2">
        <f>IF(AND('PV IN'!$D$33="YES",PVCalcs!C69=ROUNDUP('PV IN'!$H$33*12,)),-'PV IN'!$E$33*'PV IN'!$E$18,0)</f>
        <v>0</v>
      </c>
      <c r="AK69" s="2">
        <f t="shared" si="17"/>
        <v>13018.159521101179</v>
      </c>
      <c r="AL69" s="2">
        <f t="shared" si="18"/>
        <v>-1375</v>
      </c>
      <c r="AM69" s="2">
        <f t="shared" ref="AM69:AM132" si="22">AK69+AL69</f>
        <v>11643.159521101179</v>
      </c>
      <c r="AN69" s="43"/>
      <c r="AO69" s="2">
        <f t="shared" si="19"/>
        <v>0</v>
      </c>
      <c r="AP69" s="2">
        <f t="shared" ref="AP69:AP132" si="23">SUM(AF69:AI69)</f>
        <v>-1375</v>
      </c>
      <c r="AR69" s="2">
        <f t="shared" ref="AR69:AR132" si="24">SUM(AO69:AQ69)</f>
        <v>-1375</v>
      </c>
      <c r="AS69" s="2">
        <f>-AR69*'PV IN'!$E$8</f>
        <v>288.75</v>
      </c>
      <c r="AT69" s="2">
        <f>IF('PV IN'!$F$4="Battery Only",0,AM69+AS69)</f>
        <v>11931.909521101179</v>
      </c>
      <c r="AV69" s="10">
        <f t="shared" ref="AV69:AV132" si="25">AV68+AT69</f>
        <v>-415803.79000846553</v>
      </c>
      <c r="AW69" s="2">
        <f>AT69/(1+('PV IN'!$G$9))^(C69)</f>
        <v>9160.8248872810364</v>
      </c>
      <c r="AX69" s="2">
        <f>IF(C69&lt;='PV IN'!$O$22*12,AW69+AX68,NA())</f>
        <v>-574585.23244858149</v>
      </c>
      <c r="AZ69" s="10">
        <f t="shared" si="20"/>
        <v>-1375</v>
      </c>
      <c r="BA69" s="10">
        <f t="shared" si="21"/>
        <v>1899.6654264299323</v>
      </c>
      <c r="BB69" s="10">
        <f t="shared" ref="BB69:BB132" si="26">AZ69+BA69</f>
        <v>524.66542642993227</v>
      </c>
      <c r="BC69" s="10">
        <f t="shared" ref="BC69:BC132" si="27">AO69</f>
        <v>0</v>
      </c>
      <c r="BD69" s="10">
        <f t="shared" ref="BD69:BD132" si="28">AP69</f>
        <v>-1375</v>
      </c>
      <c r="BE69" s="2">
        <f t="shared" ref="BE69:BE132" si="29">AQ69</f>
        <v>0</v>
      </c>
      <c r="BF69" s="10">
        <f t="shared" ref="BF69:BF132" si="30">SUM(BC69:BE69)</f>
        <v>-1375</v>
      </c>
      <c r="BG69" s="2">
        <f>-BF69*'PV IN'!$E$8</f>
        <v>288.75</v>
      </c>
      <c r="BH69" s="2">
        <f>IF('PV IN'!$F$4="Battery Only",0,BB69+BG69)</f>
        <v>813.41542642993227</v>
      </c>
      <c r="BI69" s="2">
        <f>BH69/(1+('PV IN'!$G$9))^(C69)</f>
        <v>624.50660298419245</v>
      </c>
    </row>
    <row r="70" spans="2:61" x14ac:dyDescent="0.25">
      <c r="C70">
        <v>66</v>
      </c>
      <c r="D70" s="16">
        <f>D69*(1+('PV IN'!$G$6/12))</f>
        <v>7.5999999999999998E-2</v>
      </c>
      <c r="E70" s="16">
        <f>LkUP!$U$26</f>
        <v>7.6087305280047673E-2</v>
      </c>
      <c r="F70" s="16">
        <f>IF('PV IN'!$D$7="Table",E70,D70)</f>
        <v>7.6087305280047673E-2</v>
      </c>
      <c r="G70" s="33">
        <f>('PV IN'!$E$25*'PV IN'!$E$18/12)*(1-(1-'PV IN'!$E$27)/(25*12))^C69</f>
        <v>146030.69098556251</v>
      </c>
      <c r="H70" s="33">
        <f>IF('PV IN'!$D$19="YES",G70*'PV IN'!$E$21,0)</f>
        <v>0</v>
      </c>
      <c r="I70" s="33">
        <f>IF('PV IN'!$D$19="YES",'PV IN'!$E$22*BattCalcs!W70,0)</f>
        <v>0</v>
      </c>
      <c r="J70" s="33">
        <f>IF('PV IN'!$D$19="YES",'PV IN'!$E$23*BattCalcs!Y70,0)</f>
        <v>0</v>
      </c>
      <c r="K70" s="33">
        <f>BattCalcs!AF70</f>
        <v>25811.765833333331</v>
      </c>
      <c r="L70" s="33">
        <f t="shared" ref="L70:L133" si="31">IF(SUM(H70:K70)&lt;=G70,K70,G70-SUM(H70:J70))</f>
        <v>25811.765833333331</v>
      </c>
      <c r="M70" s="33">
        <f>IF('PV IN'!$F$4="PV Only",G70,G70-SUM(H70:J70,L70))</f>
        <v>146030.69098556251</v>
      </c>
      <c r="N70" s="2">
        <f>IF(C70&lt;='PV IN'!$I$12*12,'PV IN'!$E$12*G70/1000,0)</f>
        <v>0</v>
      </c>
      <c r="O70" s="2">
        <f>IF(AND(C70&gt;'PV IN'!$I$12*12,C70&lt;='PV IN'!$I$13*12+'PV IN'!$I$12*12),'PV IN'!$E$13*PVCalcs!G70/1000,0)</f>
        <v>1898.3989828123126</v>
      </c>
      <c r="P70" s="2">
        <f>IF(AND(C70&gt;'PV IN'!$I$12*12+'PV IN'!$I$13*12,C70&lt;='PV IN'!$I$12*12+'PV IN'!$I$13*12+'PV IN'!$I$14*12),'PV IN'!$E$14*PVCalcs!G70/1000,0)</f>
        <v>0</v>
      </c>
      <c r="R70" s="10">
        <f>IF(AND('PV IN'!$D$35="YES",$C70&lt;='PV IN'!$E$35*12),-'PV IN'!$E$18*'PV IN'!$E$34/12,0)</f>
        <v>0</v>
      </c>
      <c r="S70" s="10">
        <f>IF(AND('PV IN'!$D$37="YES",$C70&lt;='PV IN'!$E$37*12),-'PV IN'!$E$18*'PV IN'!$E$36/12,0)</f>
        <v>0</v>
      </c>
      <c r="U70" s="2">
        <f t="shared" ref="U70:U133" si="32">F70*M70</f>
        <v>11111.081765274801</v>
      </c>
      <c r="V70" s="10">
        <f>PVLoan!M97</f>
        <v>0</v>
      </c>
      <c r="W70" s="2">
        <f>IF(C70='PV IN'!$I$40,IF('PV IN'!$G$40="Non-Taxable",'PV IN'!$F$40,0),0)+IF(C70='PV IN'!$I$41,IF('PV IN'!$G$41="Non-Taxable",'PV IN'!$F$41,0),0)</f>
        <v>0</v>
      </c>
      <c r="X70" s="10"/>
      <c r="Y70" s="10">
        <f>IF('PV IN'!$E$15="Non-Taxable",SUM(N70:P70),0)</f>
        <v>1898.3989828123126</v>
      </c>
      <c r="Z70" s="10">
        <f>IF('PV IN'!$E$15="Taxable",SUM(N70:P70),0)</f>
        <v>0</v>
      </c>
      <c r="AA70" s="2">
        <f>IF(C70='PV IN'!$I$40,IF('PV IN'!$G$40="Taxable",'PV IN'!$F$40,0),0)+IF(C70='PV IN'!$I$41,IF('PV IN'!$G$41="Taxable",'PV IN'!$F$41,0),0)</f>
        <v>0</v>
      </c>
      <c r="AD70" s="10">
        <f>IF('PV IN'!$D$48="YES",-U70*'PV IN'!$E$8,0)</f>
        <v>0</v>
      </c>
      <c r="AE70" s="10">
        <f>IF('PV IN'!$N$10="Yes",-PVLoan!H98,-PVLoan!L98)</f>
        <v>0</v>
      </c>
      <c r="AF70" s="10">
        <f>IF('PV IN'!$N$10="Yes",-PVLoan!F98,0)</f>
        <v>0</v>
      </c>
      <c r="AG70" s="10">
        <f>IF(AND('PV IN'!$D$35="YES",$C70&lt;='PV IN'!$E$35*12),0,-'PV IN'!$E$18*'PV IN'!$E$34/12)</f>
        <v>-750</v>
      </c>
      <c r="AH70" s="10">
        <f>IF(AND('PV IN'!$D$37="YES",$C70&lt;='PV IN'!$E$37*12),0,-'PV IN'!$E$18*'PV IN'!$E$36/12)</f>
        <v>-625</v>
      </c>
      <c r="AI70" s="2">
        <f>IF(AND('PV IN'!$D$33="YES",PVCalcs!C70=ROUNDUP('PV IN'!$H$33*12,)),-'PV IN'!$E$33*'PV IN'!$E$18,0)</f>
        <v>0</v>
      </c>
      <c r="AK70" s="2">
        <f t="shared" si="17"/>
        <v>13009.480748087113</v>
      </c>
      <c r="AL70" s="2">
        <f t="shared" si="18"/>
        <v>-1375</v>
      </c>
      <c r="AM70" s="2">
        <f t="shared" si="22"/>
        <v>11634.480748087113</v>
      </c>
      <c r="AN70" s="43"/>
      <c r="AO70" s="2">
        <f t="shared" si="19"/>
        <v>0</v>
      </c>
      <c r="AP70" s="2">
        <f t="shared" si="23"/>
        <v>-1375</v>
      </c>
      <c r="AR70" s="2">
        <f t="shared" si="24"/>
        <v>-1375</v>
      </c>
      <c r="AS70" s="2">
        <f>-AR70*'PV IN'!$E$8</f>
        <v>288.75</v>
      </c>
      <c r="AT70" s="2">
        <f>IF('PV IN'!$F$4="Battery Only",0,AM70+AS70)</f>
        <v>11923.230748087113</v>
      </c>
      <c r="AV70" s="10">
        <f t="shared" si="25"/>
        <v>-403880.55926037842</v>
      </c>
      <c r="AW70" s="2">
        <f>AT70/(1+('PV IN'!$G$9))^(C70)</f>
        <v>9117.0178264173865</v>
      </c>
      <c r="AX70" s="2">
        <f>IF(C70&lt;='PV IN'!$O$22*12,AW70+AX69,NA())</f>
        <v>-565468.21462216415</v>
      </c>
      <c r="AZ70" s="10">
        <f t="shared" si="20"/>
        <v>-1375</v>
      </c>
      <c r="BA70" s="10">
        <f t="shared" si="21"/>
        <v>1898.3989828123122</v>
      </c>
      <c r="BB70" s="10">
        <f t="shared" si="26"/>
        <v>523.39898281231217</v>
      </c>
      <c r="BC70" s="10">
        <f t="shared" si="27"/>
        <v>0</v>
      </c>
      <c r="BD70" s="10">
        <f t="shared" si="28"/>
        <v>-1375</v>
      </c>
      <c r="BE70" s="2">
        <f t="shared" si="29"/>
        <v>0</v>
      </c>
      <c r="BF70" s="10">
        <f t="shared" si="30"/>
        <v>-1375</v>
      </c>
      <c r="BG70" s="2">
        <f>-BF70*'PV IN'!$E$8</f>
        <v>288.75</v>
      </c>
      <c r="BH70" s="2">
        <f>IF('PV IN'!$F$4="Battery Only",0,BB70+BG70)</f>
        <v>812.14898281231217</v>
      </c>
      <c r="BI70" s="2">
        <f>BH70/(1+('PV IN'!$G$9))^(C70)</f>
        <v>621.0042320278427</v>
      </c>
    </row>
    <row r="71" spans="2:61" x14ac:dyDescent="0.25">
      <c r="C71">
        <v>67</v>
      </c>
      <c r="D71" s="16">
        <f>D70*(1+('PV IN'!$G$6/12))</f>
        <v>7.5999999999999998E-2</v>
      </c>
      <c r="E71" s="16">
        <f>LkUP!$U$26</f>
        <v>7.6087305280047673E-2</v>
      </c>
      <c r="F71" s="16">
        <f>IF('PV IN'!$D$7="Table",E71,D71)</f>
        <v>7.6087305280047673E-2</v>
      </c>
      <c r="G71" s="33">
        <f>('PV IN'!$E$25*'PV IN'!$E$18/12)*(1-(1-'PV IN'!$E$27)/(25*12))^C70</f>
        <v>145933.33719157212</v>
      </c>
      <c r="H71" s="33">
        <f>IF('PV IN'!$D$19="YES",G71*'PV IN'!$E$21,0)</f>
        <v>0</v>
      </c>
      <c r="I71" s="33">
        <f>IF('PV IN'!$D$19="YES",'PV IN'!$E$22*BattCalcs!W71,0)</f>
        <v>0</v>
      </c>
      <c r="J71" s="33">
        <f>IF('PV IN'!$D$19="YES",'PV IN'!$E$23*BattCalcs!Y71,0)</f>
        <v>0</v>
      </c>
      <c r="K71" s="33">
        <f>BattCalcs!AF71</f>
        <v>25811.765833333331</v>
      </c>
      <c r="L71" s="33">
        <f t="shared" si="31"/>
        <v>25811.765833333331</v>
      </c>
      <c r="M71" s="33">
        <f>IF('PV IN'!$F$4="PV Only",G71,G71-SUM(H71:J71,L71))</f>
        <v>145933.33719157212</v>
      </c>
      <c r="N71" s="2">
        <f>IF(C71&lt;='PV IN'!$I$12*12,'PV IN'!$E$12*G71/1000,0)</f>
        <v>0</v>
      </c>
      <c r="O71" s="2">
        <f>IF(AND(C71&gt;'PV IN'!$I$12*12,C71&lt;='PV IN'!$I$13*12+'PV IN'!$I$12*12),'PV IN'!$E$13*PVCalcs!G71/1000,0)</f>
        <v>1897.1333834904376</v>
      </c>
      <c r="P71" s="2">
        <f>IF(AND(C71&gt;'PV IN'!$I$12*12+'PV IN'!$I$13*12,C71&lt;='PV IN'!$I$12*12+'PV IN'!$I$13*12+'PV IN'!$I$14*12),'PV IN'!$E$14*PVCalcs!G71/1000,0)</f>
        <v>0</v>
      </c>
      <c r="R71" s="10">
        <f>IF(AND('PV IN'!$D$35="YES",$C71&lt;='PV IN'!$E$35*12),-'PV IN'!$E$18*'PV IN'!$E$34/12,0)</f>
        <v>0</v>
      </c>
      <c r="S71" s="10">
        <f>IF(AND('PV IN'!$D$37="YES",$C71&lt;='PV IN'!$E$37*12),-'PV IN'!$E$18*'PV IN'!$E$36/12,0)</f>
        <v>0</v>
      </c>
      <c r="U71" s="2">
        <f t="shared" si="32"/>
        <v>11103.674377431284</v>
      </c>
      <c r="V71" s="10">
        <f>PVLoan!M98</f>
        <v>0</v>
      </c>
      <c r="W71" s="2">
        <f>IF(C71='PV IN'!$I$40,IF('PV IN'!$G$40="Non-Taxable",'PV IN'!$F$40,0),0)+IF(C71='PV IN'!$I$41,IF('PV IN'!$G$41="Non-Taxable",'PV IN'!$F$41,0),0)</f>
        <v>0</v>
      </c>
      <c r="X71" s="10"/>
      <c r="Y71" s="10">
        <f>IF('PV IN'!$E$15="Non-Taxable",SUM(N71:P71),0)</f>
        <v>1897.1333834904376</v>
      </c>
      <c r="Z71" s="10">
        <f>IF('PV IN'!$E$15="Taxable",SUM(N71:P71),0)</f>
        <v>0</v>
      </c>
      <c r="AA71" s="2">
        <f>IF(C71='PV IN'!$I$40,IF('PV IN'!$G$40="Taxable",'PV IN'!$F$40,0),0)+IF(C71='PV IN'!$I$41,IF('PV IN'!$G$41="Taxable",'PV IN'!$F$41,0),0)</f>
        <v>0</v>
      </c>
      <c r="AD71" s="10">
        <f>IF('PV IN'!$D$48="YES",-U71*'PV IN'!$E$8,0)</f>
        <v>0</v>
      </c>
      <c r="AE71" s="10">
        <f>IF('PV IN'!$N$10="Yes",-PVLoan!H99,-PVLoan!L99)</f>
        <v>0</v>
      </c>
      <c r="AF71" s="10">
        <f>IF('PV IN'!$N$10="Yes",-PVLoan!F99,0)</f>
        <v>0</v>
      </c>
      <c r="AG71" s="10">
        <f>IF(AND('PV IN'!$D$35="YES",$C71&lt;='PV IN'!$E$35*12),0,-'PV IN'!$E$18*'PV IN'!$E$34/12)</f>
        <v>-750</v>
      </c>
      <c r="AH71" s="10">
        <f>IF(AND('PV IN'!$D$37="YES",$C71&lt;='PV IN'!$E$37*12),0,-'PV IN'!$E$18*'PV IN'!$E$36/12)</f>
        <v>-625</v>
      </c>
      <c r="AI71" s="2">
        <f>IF(AND('PV IN'!$D$33="YES",PVCalcs!C71=ROUNDUP('PV IN'!$H$33*12,)),-'PV IN'!$E$33*'PV IN'!$E$18,0)</f>
        <v>0</v>
      </c>
      <c r="AK71" s="2">
        <f t="shared" si="17"/>
        <v>13000.807760921722</v>
      </c>
      <c r="AL71" s="2">
        <f t="shared" si="18"/>
        <v>-1375</v>
      </c>
      <c r="AM71" s="2">
        <f t="shared" si="22"/>
        <v>11625.807760921722</v>
      </c>
      <c r="AN71" s="43"/>
      <c r="AO71" s="2">
        <f t="shared" si="19"/>
        <v>0</v>
      </c>
      <c r="AP71" s="2">
        <f t="shared" si="23"/>
        <v>-1375</v>
      </c>
      <c r="AR71" s="2">
        <f t="shared" si="24"/>
        <v>-1375</v>
      </c>
      <c r="AS71" s="2">
        <f>-AR71*'PV IN'!$E$8</f>
        <v>288.75</v>
      </c>
      <c r="AT71" s="2">
        <f>IF('PV IN'!$F$4="Battery Only",0,AM71+AS71)</f>
        <v>11914.557760921722</v>
      </c>
      <c r="AV71" s="10">
        <f t="shared" si="25"/>
        <v>-391966.0014994567</v>
      </c>
      <c r="AW71" s="2">
        <f>AT71/(1+('PV IN'!$G$9))^(C71)</f>
        <v>9073.4198497756279</v>
      </c>
      <c r="AX71" s="2">
        <f>IF(C71&lt;='PV IN'!$O$22*12,AW71+AX70,NA())</f>
        <v>-556394.79477238853</v>
      </c>
      <c r="AZ71" s="10">
        <f t="shared" si="20"/>
        <v>-1375</v>
      </c>
      <c r="BA71" s="10">
        <f t="shared" si="21"/>
        <v>1897.1333834904381</v>
      </c>
      <c r="BB71" s="10">
        <f t="shared" si="26"/>
        <v>522.13338349043806</v>
      </c>
      <c r="BC71" s="10">
        <f t="shared" si="27"/>
        <v>0</v>
      </c>
      <c r="BD71" s="10">
        <f t="shared" si="28"/>
        <v>-1375</v>
      </c>
      <c r="BE71" s="2">
        <f t="shared" si="29"/>
        <v>0</v>
      </c>
      <c r="BF71" s="10">
        <f t="shared" si="30"/>
        <v>-1375</v>
      </c>
      <c r="BG71" s="2">
        <f>-BF71*'PV IN'!$E$8</f>
        <v>288.75</v>
      </c>
      <c r="BH71" s="2">
        <f>IF('PV IN'!$F$4="Battery Only",0,BB71+BG71)</f>
        <v>810.88338349043806</v>
      </c>
      <c r="BI71" s="2">
        <f>BH71/(1+('PV IN'!$G$9))^(C71)</f>
        <v>617.52064451330352</v>
      </c>
    </row>
    <row r="72" spans="2:61" x14ac:dyDescent="0.25">
      <c r="C72">
        <v>68</v>
      </c>
      <c r="D72" s="16">
        <f>D71*(1+('PV IN'!$G$6/12))</f>
        <v>7.5999999999999998E-2</v>
      </c>
      <c r="E72" s="16">
        <f>LkUP!$U$26</f>
        <v>7.6087305280047673E-2</v>
      </c>
      <c r="F72" s="16">
        <f>IF('PV IN'!$D$7="Table",E72,D72)</f>
        <v>7.6087305280047673E-2</v>
      </c>
      <c r="G72" s="33">
        <f>('PV IN'!$E$25*'PV IN'!$E$18/12)*(1-(1-'PV IN'!$E$27)/(25*12))^C71</f>
        <v>145836.04830011106</v>
      </c>
      <c r="H72" s="33">
        <f>IF('PV IN'!$D$19="YES",G72*'PV IN'!$E$21,0)</f>
        <v>0</v>
      </c>
      <c r="I72" s="33">
        <f>IF('PV IN'!$D$19="YES",'PV IN'!$E$22*BattCalcs!W72,0)</f>
        <v>0</v>
      </c>
      <c r="J72" s="33">
        <f>IF('PV IN'!$D$19="YES",'PV IN'!$E$23*BattCalcs!Y72,0)</f>
        <v>0</v>
      </c>
      <c r="K72" s="33">
        <f>BattCalcs!AF72</f>
        <v>25811.765833333331</v>
      </c>
      <c r="L72" s="33">
        <f t="shared" si="31"/>
        <v>25811.765833333331</v>
      </c>
      <c r="M72" s="33">
        <f>IF('PV IN'!$F$4="PV Only",G72,G72-SUM(H72:J72,L72))</f>
        <v>145836.04830011106</v>
      </c>
      <c r="N72" s="2">
        <f>IF(C72&lt;='PV IN'!$I$12*12,'PV IN'!$E$12*G72/1000,0)</f>
        <v>0</v>
      </c>
      <c r="O72" s="2">
        <f>IF(AND(C72&gt;'PV IN'!$I$12*12,C72&lt;='PV IN'!$I$13*12+'PV IN'!$I$12*12),'PV IN'!$E$13*PVCalcs!G72/1000,0)</f>
        <v>1895.8686279014437</v>
      </c>
      <c r="P72" s="2">
        <f>IF(AND(C72&gt;'PV IN'!$I$12*12+'PV IN'!$I$13*12,C72&lt;='PV IN'!$I$12*12+'PV IN'!$I$13*12+'PV IN'!$I$14*12),'PV IN'!$E$14*PVCalcs!G72/1000,0)</f>
        <v>0</v>
      </c>
      <c r="R72" s="10">
        <f>IF(AND('PV IN'!$D$35="YES",$C72&lt;='PV IN'!$E$35*12),-'PV IN'!$E$18*'PV IN'!$E$34/12,0)</f>
        <v>0</v>
      </c>
      <c r="S72" s="10">
        <f>IF(AND('PV IN'!$D$37="YES",$C72&lt;='PV IN'!$E$37*12),-'PV IN'!$E$18*'PV IN'!$E$36/12,0)</f>
        <v>0</v>
      </c>
      <c r="U72" s="2">
        <f t="shared" si="32"/>
        <v>11096.271927846328</v>
      </c>
      <c r="V72" s="10">
        <f>PVLoan!M99</f>
        <v>0</v>
      </c>
      <c r="W72" s="2">
        <f>IF(C72='PV IN'!$I$40,IF('PV IN'!$G$40="Non-Taxable",'PV IN'!$F$40,0),0)+IF(C72='PV IN'!$I$41,IF('PV IN'!$G$41="Non-Taxable",'PV IN'!$F$41,0),0)</f>
        <v>0</v>
      </c>
      <c r="X72" s="10"/>
      <c r="Y72" s="10">
        <f>IF('PV IN'!$E$15="Non-Taxable",SUM(N72:P72),0)</f>
        <v>1895.8686279014437</v>
      </c>
      <c r="Z72" s="10">
        <f>IF('PV IN'!$E$15="Taxable",SUM(N72:P72),0)</f>
        <v>0</v>
      </c>
      <c r="AA72" s="2">
        <f>IF(C72='PV IN'!$I$40,IF('PV IN'!$G$40="Taxable",'PV IN'!$F$40,0),0)+IF(C72='PV IN'!$I$41,IF('PV IN'!$G$41="Taxable",'PV IN'!$F$41,0),0)</f>
        <v>0</v>
      </c>
      <c r="AD72" s="10">
        <f>IF('PV IN'!$D$48="YES",-U72*'PV IN'!$E$8,0)</f>
        <v>0</v>
      </c>
      <c r="AE72" s="10">
        <f>IF('PV IN'!$N$10="Yes",-PVLoan!H100,-PVLoan!L100)</f>
        <v>0</v>
      </c>
      <c r="AF72" s="10">
        <f>IF('PV IN'!$N$10="Yes",-PVLoan!F100,0)</f>
        <v>0</v>
      </c>
      <c r="AG72" s="10">
        <f>IF(AND('PV IN'!$D$35="YES",$C72&lt;='PV IN'!$E$35*12),0,-'PV IN'!$E$18*'PV IN'!$E$34/12)</f>
        <v>-750</v>
      </c>
      <c r="AH72" s="10">
        <f>IF(AND('PV IN'!$D$37="YES",$C72&lt;='PV IN'!$E$37*12),0,-'PV IN'!$E$18*'PV IN'!$E$36/12)</f>
        <v>-625</v>
      </c>
      <c r="AI72" s="2">
        <f>IF(AND('PV IN'!$D$33="YES",PVCalcs!C72=ROUNDUP('PV IN'!$H$33*12,)),-'PV IN'!$E$33*'PV IN'!$E$18,0)</f>
        <v>0</v>
      </c>
      <c r="AK72" s="2">
        <f t="shared" si="17"/>
        <v>12992.140555747772</v>
      </c>
      <c r="AL72" s="2">
        <f t="shared" si="18"/>
        <v>-1375</v>
      </c>
      <c r="AM72" s="2">
        <f t="shared" si="22"/>
        <v>11617.140555747772</v>
      </c>
      <c r="AN72" s="43"/>
      <c r="AO72" s="2">
        <f t="shared" si="19"/>
        <v>0</v>
      </c>
      <c r="AP72" s="2">
        <f t="shared" si="23"/>
        <v>-1375</v>
      </c>
      <c r="AR72" s="2">
        <f t="shared" si="24"/>
        <v>-1375</v>
      </c>
      <c r="AS72" s="2">
        <f>-AR72*'PV IN'!$E$8</f>
        <v>288.75</v>
      </c>
      <c r="AT72" s="2">
        <f>IF('PV IN'!$F$4="Battery Only",0,AM72+AS72)</f>
        <v>11905.890555747772</v>
      </c>
      <c r="AV72" s="10">
        <f t="shared" si="25"/>
        <v>-380060.11094370892</v>
      </c>
      <c r="AW72" s="2">
        <f>AT72/(1+('PV IN'!$G$9))^(C72)</f>
        <v>9030.0299610366328</v>
      </c>
      <c r="AX72" s="2">
        <f>IF(C72&lt;='PV IN'!$O$22*12,AW72+AX71,NA())</f>
        <v>-547364.7648113519</v>
      </c>
      <c r="AZ72" s="10">
        <f t="shared" si="20"/>
        <v>-1375</v>
      </c>
      <c r="BA72" s="10">
        <f t="shared" si="21"/>
        <v>1895.8686279014437</v>
      </c>
      <c r="BB72" s="10">
        <f t="shared" si="26"/>
        <v>520.86862790144369</v>
      </c>
      <c r="BC72" s="10">
        <f t="shared" si="27"/>
        <v>0</v>
      </c>
      <c r="BD72" s="10">
        <f t="shared" si="28"/>
        <v>-1375</v>
      </c>
      <c r="BE72" s="2">
        <f t="shared" si="29"/>
        <v>0</v>
      </c>
      <c r="BF72" s="10">
        <f t="shared" si="30"/>
        <v>-1375</v>
      </c>
      <c r="BG72" s="2">
        <f>-BF72*'PV IN'!$E$8</f>
        <v>288.75</v>
      </c>
      <c r="BH72" s="2">
        <f>IF('PV IN'!$F$4="Battery Only",0,BB72+BG72)</f>
        <v>809.61862790144369</v>
      </c>
      <c r="BI72" s="2">
        <f>BH72/(1+('PV IN'!$G$9))^(C72)</f>
        <v>614.05574263690448</v>
      </c>
    </row>
    <row r="73" spans="2:61" x14ac:dyDescent="0.25">
      <c r="C73">
        <v>69</v>
      </c>
      <c r="D73" s="16">
        <f>D72*(1+('PV IN'!$G$6/12))</f>
        <v>7.5999999999999998E-2</v>
      </c>
      <c r="E73" s="16">
        <f>LkUP!$U$26</f>
        <v>7.6087305280047673E-2</v>
      </c>
      <c r="F73" s="16">
        <f>IF('PV IN'!$D$7="Table",E73,D73)</f>
        <v>7.6087305280047673E-2</v>
      </c>
      <c r="G73" s="33">
        <f>('PV IN'!$E$25*'PV IN'!$E$18/12)*(1-(1-'PV IN'!$E$27)/(25*12))^C72</f>
        <v>145738.824267911</v>
      </c>
      <c r="H73" s="33">
        <f>IF('PV IN'!$D$19="YES",G73*'PV IN'!$E$21,0)</f>
        <v>0</v>
      </c>
      <c r="I73" s="33">
        <f>IF('PV IN'!$D$19="YES",'PV IN'!$E$22*BattCalcs!W73,0)</f>
        <v>0</v>
      </c>
      <c r="J73" s="33">
        <f>IF('PV IN'!$D$19="YES",'PV IN'!$E$23*BattCalcs!Y73,0)</f>
        <v>0</v>
      </c>
      <c r="K73" s="33">
        <f>BattCalcs!AF73</f>
        <v>25811.765833333331</v>
      </c>
      <c r="L73" s="33">
        <f t="shared" si="31"/>
        <v>25811.765833333331</v>
      </c>
      <c r="M73" s="33">
        <f>IF('PV IN'!$F$4="PV Only",G73,G73-SUM(H73:J73,L73))</f>
        <v>145738.824267911</v>
      </c>
      <c r="N73" s="2">
        <f>IF(C73&lt;='PV IN'!$I$12*12,'PV IN'!$E$12*G73/1000,0)</f>
        <v>0</v>
      </c>
      <c r="O73" s="2">
        <f>IF(AND(C73&gt;'PV IN'!$I$12*12,C73&lt;='PV IN'!$I$13*12+'PV IN'!$I$12*12),'PV IN'!$E$13*PVCalcs!G73/1000,0)</f>
        <v>1894.6047154828429</v>
      </c>
      <c r="P73" s="2">
        <f>IF(AND(C73&gt;'PV IN'!$I$12*12+'PV IN'!$I$13*12,C73&lt;='PV IN'!$I$12*12+'PV IN'!$I$13*12+'PV IN'!$I$14*12),'PV IN'!$E$14*PVCalcs!G73/1000,0)</f>
        <v>0</v>
      </c>
      <c r="R73" s="10">
        <f>IF(AND('PV IN'!$D$35="YES",$C73&lt;='PV IN'!$E$35*12),-'PV IN'!$E$18*'PV IN'!$E$34/12,0)</f>
        <v>0</v>
      </c>
      <c r="S73" s="10">
        <f>IF(AND('PV IN'!$D$37="YES",$C73&lt;='PV IN'!$E$37*12),-'PV IN'!$E$18*'PV IN'!$E$36/12,0)</f>
        <v>0</v>
      </c>
      <c r="U73" s="2">
        <f t="shared" si="32"/>
        <v>11088.874413227764</v>
      </c>
      <c r="V73" s="10">
        <f>PVLoan!M100</f>
        <v>0</v>
      </c>
      <c r="W73" s="2">
        <f>IF(C73='PV IN'!$I$40,IF('PV IN'!$G$40="Non-Taxable",'PV IN'!$F$40,0),0)+IF(C73='PV IN'!$I$41,IF('PV IN'!$G$41="Non-Taxable",'PV IN'!$F$41,0),0)</f>
        <v>0</v>
      </c>
      <c r="X73" s="10"/>
      <c r="Y73" s="10">
        <f>IF('PV IN'!$E$15="Non-Taxable",SUM(N73:P73),0)</f>
        <v>1894.6047154828429</v>
      </c>
      <c r="Z73" s="10">
        <f>IF('PV IN'!$E$15="Taxable",SUM(N73:P73),0)</f>
        <v>0</v>
      </c>
      <c r="AA73" s="2">
        <f>IF(C73='PV IN'!$I$40,IF('PV IN'!$G$40="Taxable",'PV IN'!$F$40,0),0)+IF(C73='PV IN'!$I$41,IF('PV IN'!$G$41="Taxable",'PV IN'!$F$41,0),0)</f>
        <v>0</v>
      </c>
      <c r="AD73" s="10">
        <f>IF('PV IN'!$D$48="YES",-U73*'PV IN'!$E$8,0)</f>
        <v>0</v>
      </c>
      <c r="AE73" s="10">
        <f>IF('PV IN'!$N$10="Yes",-PVLoan!H101,-PVLoan!L101)</f>
        <v>0</v>
      </c>
      <c r="AF73" s="10">
        <f>IF('PV IN'!$N$10="Yes",-PVLoan!F101,0)</f>
        <v>0</v>
      </c>
      <c r="AG73" s="10">
        <f>IF(AND('PV IN'!$D$35="YES",$C73&lt;='PV IN'!$E$35*12),0,-'PV IN'!$E$18*'PV IN'!$E$34/12)</f>
        <v>-750</v>
      </c>
      <c r="AH73" s="10">
        <f>IF(AND('PV IN'!$D$37="YES",$C73&lt;='PV IN'!$E$37*12),0,-'PV IN'!$E$18*'PV IN'!$E$36/12)</f>
        <v>-625</v>
      </c>
      <c r="AI73" s="2">
        <f>IF(AND('PV IN'!$D$33="YES",PVCalcs!C73=ROUNDUP('PV IN'!$H$33*12,)),-'PV IN'!$E$33*'PV IN'!$E$18,0)</f>
        <v>0</v>
      </c>
      <c r="AK73" s="2">
        <f t="shared" si="17"/>
        <v>12983.479128710607</v>
      </c>
      <c r="AL73" s="2">
        <f t="shared" si="18"/>
        <v>-1375</v>
      </c>
      <c r="AM73" s="2">
        <f t="shared" si="22"/>
        <v>11608.479128710607</v>
      </c>
      <c r="AN73" s="43"/>
      <c r="AO73" s="2">
        <f t="shared" si="19"/>
        <v>0</v>
      </c>
      <c r="AP73" s="2">
        <f t="shared" si="23"/>
        <v>-1375</v>
      </c>
      <c r="AR73" s="2">
        <f t="shared" si="24"/>
        <v>-1375</v>
      </c>
      <c r="AS73" s="2">
        <f>-AR73*'PV IN'!$E$8</f>
        <v>288.75</v>
      </c>
      <c r="AT73" s="2">
        <f>IF('PV IN'!$F$4="Battery Only",0,AM73+AS73)</f>
        <v>11897.229128710607</v>
      </c>
      <c r="AV73" s="10">
        <f t="shared" si="25"/>
        <v>-368162.88181499828</v>
      </c>
      <c r="AW73" s="2">
        <f>AT73/(1+('PV IN'!$G$9))^(C73)</f>
        <v>8986.8471686224439</v>
      </c>
      <c r="AX73" s="2">
        <f>IF(C73&lt;='PV IN'!$O$22*12,AW73+AX72,NA())</f>
        <v>-538377.91764272947</v>
      </c>
      <c r="AZ73" s="10">
        <f t="shared" si="20"/>
        <v>-1375</v>
      </c>
      <c r="BA73" s="10">
        <f t="shared" si="21"/>
        <v>1894.6047154828429</v>
      </c>
      <c r="BB73" s="10">
        <f t="shared" si="26"/>
        <v>519.60471548284295</v>
      </c>
      <c r="BC73" s="10">
        <f t="shared" si="27"/>
        <v>0</v>
      </c>
      <c r="BD73" s="10">
        <f t="shared" si="28"/>
        <v>-1375</v>
      </c>
      <c r="BE73" s="2">
        <f t="shared" si="29"/>
        <v>0</v>
      </c>
      <c r="BF73" s="10">
        <f t="shared" si="30"/>
        <v>-1375</v>
      </c>
      <c r="BG73" s="2">
        <f>-BF73*'PV IN'!$E$8</f>
        <v>288.75</v>
      </c>
      <c r="BH73" s="2">
        <f>IF('PV IN'!$F$4="Battery Only",0,BB73+BG73)</f>
        <v>808.35471548284295</v>
      </c>
      <c r="BI73" s="2">
        <f>BH73/(1+('PV IN'!$G$9))^(C73)</f>
        <v>610.60942909375603</v>
      </c>
    </row>
    <row r="74" spans="2:61" x14ac:dyDescent="0.25">
      <c r="C74">
        <v>70</v>
      </c>
      <c r="D74" s="16">
        <f>D73*(1+('PV IN'!$G$6/12))</f>
        <v>7.5999999999999998E-2</v>
      </c>
      <c r="E74" s="16">
        <f>LkUP!$U$26</f>
        <v>7.6087305280047673E-2</v>
      </c>
      <c r="F74" s="16">
        <f>IF('PV IN'!$D$7="Table",E74,D74)</f>
        <v>7.6087305280047673E-2</v>
      </c>
      <c r="G74" s="33">
        <f>('PV IN'!$E$25*'PV IN'!$E$18/12)*(1-(1-'PV IN'!$E$27)/(25*12))^C73</f>
        <v>145641.66505173239</v>
      </c>
      <c r="H74" s="33">
        <f>IF('PV IN'!$D$19="YES",G74*'PV IN'!$E$21,0)</f>
        <v>0</v>
      </c>
      <c r="I74" s="33">
        <f>IF('PV IN'!$D$19="YES",'PV IN'!$E$22*BattCalcs!W74,0)</f>
        <v>0</v>
      </c>
      <c r="J74" s="33">
        <f>IF('PV IN'!$D$19="YES",'PV IN'!$E$23*BattCalcs!Y74,0)</f>
        <v>0</v>
      </c>
      <c r="K74" s="33">
        <f>BattCalcs!AF74</f>
        <v>25811.765833333331</v>
      </c>
      <c r="L74" s="33">
        <f t="shared" si="31"/>
        <v>25811.765833333331</v>
      </c>
      <c r="M74" s="33">
        <f>IF('PV IN'!$F$4="PV Only",G74,G74-SUM(H74:J74,L74))</f>
        <v>145641.66505173239</v>
      </c>
      <c r="N74" s="2">
        <f>IF(C74&lt;='PV IN'!$I$12*12,'PV IN'!$E$12*G74/1000,0)</f>
        <v>0</v>
      </c>
      <c r="O74" s="2">
        <f>IF(AND(C74&gt;'PV IN'!$I$12*12,C74&lt;='PV IN'!$I$13*12+'PV IN'!$I$12*12),'PV IN'!$E$13*PVCalcs!G74/1000,0)</f>
        <v>1893.3416456725211</v>
      </c>
      <c r="P74" s="2">
        <f>IF(AND(C74&gt;'PV IN'!$I$12*12+'PV IN'!$I$13*12,C74&lt;='PV IN'!$I$12*12+'PV IN'!$I$13*12+'PV IN'!$I$14*12),'PV IN'!$E$14*PVCalcs!G74/1000,0)</f>
        <v>0</v>
      </c>
      <c r="R74" s="10">
        <f>IF(AND('PV IN'!$D$35="YES",$C74&lt;='PV IN'!$E$35*12),-'PV IN'!$E$18*'PV IN'!$E$34/12,0)</f>
        <v>0</v>
      </c>
      <c r="S74" s="10">
        <f>IF(AND('PV IN'!$D$37="YES",$C74&lt;='PV IN'!$E$37*12),-'PV IN'!$E$18*'PV IN'!$E$36/12,0)</f>
        <v>0</v>
      </c>
      <c r="U74" s="2">
        <f t="shared" si="32"/>
        <v>11081.481830285613</v>
      </c>
      <c r="V74" s="10">
        <f>PVLoan!M101</f>
        <v>0</v>
      </c>
      <c r="W74" s="2">
        <f>IF(C74='PV IN'!$I$40,IF('PV IN'!$G$40="Non-Taxable",'PV IN'!$F$40,0),0)+IF(C74='PV IN'!$I$41,IF('PV IN'!$G$41="Non-Taxable",'PV IN'!$F$41,0),0)</f>
        <v>0</v>
      </c>
      <c r="X74" s="10"/>
      <c r="Y74" s="10">
        <f>IF('PV IN'!$E$15="Non-Taxable",SUM(N74:P74),0)</f>
        <v>1893.3416456725211</v>
      </c>
      <c r="Z74" s="10">
        <f>IF('PV IN'!$E$15="Taxable",SUM(N74:P74),0)</f>
        <v>0</v>
      </c>
      <c r="AA74" s="2">
        <f>IF(C74='PV IN'!$I$40,IF('PV IN'!$G$40="Taxable",'PV IN'!$F$40,0),0)+IF(C74='PV IN'!$I$41,IF('PV IN'!$G$41="Taxable",'PV IN'!$F$41,0),0)</f>
        <v>0</v>
      </c>
      <c r="AD74" s="10">
        <f>IF('PV IN'!$D$48="YES",-U74*'PV IN'!$E$8,0)</f>
        <v>0</v>
      </c>
      <c r="AE74" s="10">
        <f>IF('PV IN'!$N$10="Yes",-PVLoan!H102,-PVLoan!L102)</f>
        <v>0</v>
      </c>
      <c r="AF74" s="10">
        <f>IF('PV IN'!$N$10="Yes",-PVLoan!F102,0)</f>
        <v>0</v>
      </c>
      <c r="AG74" s="10">
        <f>IF(AND('PV IN'!$D$35="YES",$C74&lt;='PV IN'!$E$35*12),0,-'PV IN'!$E$18*'PV IN'!$E$34/12)</f>
        <v>-750</v>
      </c>
      <c r="AH74" s="10">
        <f>IF(AND('PV IN'!$D$37="YES",$C74&lt;='PV IN'!$E$37*12),0,-'PV IN'!$E$18*'PV IN'!$E$36/12)</f>
        <v>-625</v>
      </c>
      <c r="AI74" s="2">
        <f>IF(AND('PV IN'!$D$33="YES",PVCalcs!C74=ROUNDUP('PV IN'!$H$33*12,)),-'PV IN'!$E$33*'PV IN'!$E$18,0)</f>
        <v>0</v>
      </c>
      <c r="AK74" s="2">
        <f t="shared" si="17"/>
        <v>12974.823475958134</v>
      </c>
      <c r="AL74" s="2">
        <f t="shared" si="18"/>
        <v>-1375</v>
      </c>
      <c r="AM74" s="2">
        <f t="shared" si="22"/>
        <v>11599.823475958134</v>
      </c>
      <c r="AN74" s="43"/>
      <c r="AO74" s="2">
        <f t="shared" si="19"/>
        <v>0</v>
      </c>
      <c r="AP74" s="2">
        <f t="shared" si="23"/>
        <v>-1375</v>
      </c>
      <c r="AR74" s="2">
        <f t="shared" si="24"/>
        <v>-1375</v>
      </c>
      <c r="AS74" s="2">
        <f>-AR74*'PV IN'!$E$8</f>
        <v>288.75</v>
      </c>
      <c r="AT74" s="2">
        <f>IF('PV IN'!$F$4="Battery Only",0,AM74+AS74)</f>
        <v>11888.573475958134</v>
      </c>
      <c r="AV74" s="10">
        <f t="shared" si="25"/>
        <v>-356274.30833904014</v>
      </c>
      <c r="AW74" s="2">
        <f>AT74/(1+('PV IN'!$G$9))^(C74)</f>
        <v>8943.8704856737313</v>
      </c>
      <c r="AX74" s="2">
        <f>IF(C74&lt;='PV IN'!$O$22*12,AW74+AX73,NA())</f>
        <v>-529434.0471570557</v>
      </c>
      <c r="AZ74" s="10">
        <f t="shared" si="20"/>
        <v>-1375</v>
      </c>
      <c r="BA74" s="10">
        <f t="shared" si="21"/>
        <v>1893.3416456725208</v>
      </c>
      <c r="BB74" s="10">
        <f t="shared" si="26"/>
        <v>518.34164567252083</v>
      </c>
      <c r="BC74" s="10">
        <f t="shared" si="27"/>
        <v>0</v>
      </c>
      <c r="BD74" s="10">
        <f t="shared" si="28"/>
        <v>-1375</v>
      </c>
      <c r="BE74" s="2">
        <f t="shared" si="29"/>
        <v>0</v>
      </c>
      <c r="BF74" s="10">
        <f t="shared" si="30"/>
        <v>-1375</v>
      </c>
      <c r="BG74" s="2">
        <f>-BF74*'PV IN'!$E$8</f>
        <v>288.75</v>
      </c>
      <c r="BH74" s="2">
        <f>IF('PV IN'!$F$4="Battery Only",0,BB74+BG74)</f>
        <v>807.09164567252083</v>
      </c>
      <c r="BI74" s="2">
        <f>BH74/(1+('PV IN'!$G$9))^(C74)</f>
        <v>607.18160707523737</v>
      </c>
    </row>
    <row r="75" spans="2:61" x14ac:dyDescent="0.25">
      <c r="C75">
        <v>71</v>
      </c>
      <c r="D75" s="16">
        <f>D74*(1+('PV IN'!$G$6/12))</f>
        <v>7.5999999999999998E-2</v>
      </c>
      <c r="E75" s="16">
        <f>LkUP!$U$26</f>
        <v>7.6087305280047673E-2</v>
      </c>
      <c r="F75" s="16">
        <f>IF('PV IN'!$D$7="Table",E75,D75)</f>
        <v>7.6087305280047673E-2</v>
      </c>
      <c r="G75" s="33">
        <f>('PV IN'!$E$25*'PV IN'!$E$18/12)*(1-(1-'PV IN'!$E$27)/(25*12))^C74</f>
        <v>145544.57060836453</v>
      </c>
      <c r="H75" s="33">
        <f>IF('PV IN'!$D$19="YES",G75*'PV IN'!$E$21,0)</f>
        <v>0</v>
      </c>
      <c r="I75" s="33">
        <f>IF('PV IN'!$D$19="YES",'PV IN'!$E$22*BattCalcs!W75,0)</f>
        <v>0</v>
      </c>
      <c r="J75" s="33">
        <f>IF('PV IN'!$D$19="YES",'PV IN'!$E$23*BattCalcs!Y75,0)</f>
        <v>0</v>
      </c>
      <c r="K75" s="33">
        <f>BattCalcs!AF75</f>
        <v>25811.765833333331</v>
      </c>
      <c r="L75" s="33">
        <f t="shared" si="31"/>
        <v>25811.765833333331</v>
      </c>
      <c r="M75" s="33">
        <f>IF('PV IN'!$F$4="PV Only",G75,G75-SUM(H75:J75,L75))</f>
        <v>145544.57060836453</v>
      </c>
      <c r="N75" s="2">
        <f>IF(C75&lt;='PV IN'!$I$12*12,'PV IN'!$E$12*G75/1000,0)</f>
        <v>0</v>
      </c>
      <c r="O75" s="2">
        <f>IF(AND(C75&gt;'PV IN'!$I$12*12,C75&lt;='PV IN'!$I$13*12+'PV IN'!$I$12*12),'PV IN'!$E$13*PVCalcs!G75/1000,0)</f>
        <v>1892.0794179087388</v>
      </c>
      <c r="P75" s="2">
        <f>IF(AND(C75&gt;'PV IN'!$I$12*12+'PV IN'!$I$13*12,C75&lt;='PV IN'!$I$12*12+'PV IN'!$I$13*12+'PV IN'!$I$14*12),'PV IN'!$E$14*PVCalcs!G75/1000,0)</f>
        <v>0</v>
      </c>
      <c r="R75" s="10">
        <f>IF(AND('PV IN'!$D$35="YES",$C75&lt;='PV IN'!$E$35*12),-'PV IN'!$E$18*'PV IN'!$E$34/12,0)</f>
        <v>0</v>
      </c>
      <c r="S75" s="10">
        <f>IF(AND('PV IN'!$D$37="YES",$C75&lt;='PV IN'!$E$37*12),-'PV IN'!$E$18*'PV IN'!$E$36/12,0)</f>
        <v>0</v>
      </c>
      <c r="U75" s="2">
        <f t="shared" si="32"/>
        <v>11074.094175732087</v>
      </c>
      <c r="V75" s="10">
        <f>PVLoan!M102</f>
        <v>0</v>
      </c>
      <c r="W75" s="2">
        <f>IF(C75='PV IN'!$I$40,IF('PV IN'!$G$40="Non-Taxable",'PV IN'!$F$40,0),0)+IF(C75='PV IN'!$I$41,IF('PV IN'!$G$41="Non-Taxable",'PV IN'!$F$41,0),0)</f>
        <v>0</v>
      </c>
      <c r="X75" s="10"/>
      <c r="Y75" s="10">
        <f>IF('PV IN'!$E$15="Non-Taxable",SUM(N75:P75),0)</f>
        <v>1892.0794179087388</v>
      </c>
      <c r="Z75" s="10">
        <f>IF('PV IN'!$E$15="Taxable",SUM(N75:P75),0)</f>
        <v>0</v>
      </c>
      <c r="AA75" s="2">
        <f>IF(C75='PV IN'!$I$40,IF('PV IN'!$G$40="Taxable",'PV IN'!$F$40,0),0)+IF(C75='PV IN'!$I$41,IF('PV IN'!$G$41="Taxable",'PV IN'!$F$41,0),0)</f>
        <v>0</v>
      </c>
      <c r="AD75" s="10">
        <f>IF('PV IN'!$D$48="YES",-U75*'PV IN'!$E$8,0)</f>
        <v>0</v>
      </c>
      <c r="AE75" s="10">
        <f>IF('PV IN'!$N$10="Yes",-PVLoan!H103,-PVLoan!L103)</f>
        <v>0</v>
      </c>
      <c r="AF75" s="10">
        <f>IF('PV IN'!$N$10="Yes",-PVLoan!F103,0)</f>
        <v>0</v>
      </c>
      <c r="AG75" s="10">
        <f>IF(AND('PV IN'!$D$35="YES",$C75&lt;='PV IN'!$E$35*12),0,-'PV IN'!$E$18*'PV IN'!$E$34/12)</f>
        <v>-750</v>
      </c>
      <c r="AH75" s="10">
        <f>IF(AND('PV IN'!$D$37="YES",$C75&lt;='PV IN'!$E$37*12),0,-'PV IN'!$E$18*'PV IN'!$E$36/12)</f>
        <v>-625</v>
      </c>
      <c r="AI75" s="2">
        <f>IF(AND('PV IN'!$D$33="YES",PVCalcs!C75=ROUNDUP('PV IN'!$H$33*12,)),-'PV IN'!$E$33*'PV IN'!$E$18,0)</f>
        <v>0</v>
      </c>
      <c r="AK75" s="2">
        <f t="shared" si="17"/>
        <v>12966.173593640826</v>
      </c>
      <c r="AL75" s="2">
        <f t="shared" si="18"/>
        <v>-1375</v>
      </c>
      <c r="AM75" s="2">
        <f t="shared" si="22"/>
        <v>11591.173593640826</v>
      </c>
      <c r="AN75" s="43"/>
      <c r="AO75" s="2">
        <f t="shared" si="19"/>
        <v>0</v>
      </c>
      <c r="AP75" s="2">
        <f t="shared" si="23"/>
        <v>-1375</v>
      </c>
      <c r="AR75" s="2">
        <f t="shared" si="24"/>
        <v>-1375</v>
      </c>
      <c r="AS75" s="2">
        <f>-AR75*'PV IN'!$E$8</f>
        <v>288.75</v>
      </c>
      <c r="AT75" s="2">
        <f>IF('PV IN'!$F$4="Battery Only",0,AM75+AS75)</f>
        <v>11879.923593640826</v>
      </c>
      <c r="AV75" s="10">
        <f t="shared" si="25"/>
        <v>-344394.38474539929</v>
      </c>
      <c r="AW75" s="2">
        <f>AT75/(1+('PV IN'!$G$9))^(C75)</f>
        <v>8901.0989300273668</v>
      </c>
      <c r="AX75" s="2">
        <f>IF(C75&lt;='PV IN'!$O$22*12,AW75+AX74,NA())</f>
        <v>-520532.9482270283</v>
      </c>
      <c r="AZ75" s="10">
        <f t="shared" si="20"/>
        <v>-1375</v>
      </c>
      <c r="BA75" s="10">
        <f t="shared" si="21"/>
        <v>1892.0794179087388</v>
      </c>
      <c r="BB75" s="10">
        <f t="shared" si="26"/>
        <v>517.07941790873883</v>
      </c>
      <c r="BC75" s="10">
        <f t="shared" si="27"/>
        <v>0</v>
      </c>
      <c r="BD75" s="10">
        <f t="shared" si="28"/>
        <v>-1375</v>
      </c>
      <c r="BE75" s="2">
        <f t="shared" si="29"/>
        <v>0</v>
      </c>
      <c r="BF75" s="10">
        <f t="shared" si="30"/>
        <v>-1375</v>
      </c>
      <c r="BG75" s="2">
        <f>-BF75*'PV IN'!$E$8</f>
        <v>288.75</v>
      </c>
      <c r="BH75" s="2">
        <f>IF('PV IN'!$F$4="Battery Only",0,BB75+BG75)</f>
        <v>805.82941790873883</v>
      </c>
      <c r="BI75" s="2">
        <f>BH75/(1+('PV IN'!$G$9))^(C75)</f>
        <v>603.77218026650803</v>
      </c>
    </row>
    <row r="76" spans="2:61" x14ac:dyDescent="0.25">
      <c r="B76">
        <v>6</v>
      </c>
      <c r="C76">
        <v>72</v>
      </c>
      <c r="D76" s="16">
        <f>D75*(1+('PV IN'!$G$6/12))</f>
        <v>7.5999999999999998E-2</v>
      </c>
      <c r="E76" s="16">
        <f>LkUP!$U$26</f>
        <v>7.6087305280047673E-2</v>
      </c>
      <c r="F76" s="16">
        <f>IF('PV IN'!$D$7="Table",E76,D76)</f>
        <v>7.6087305280047673E-2</v>
      </c>
      <c r="G76" s="33">
        <f>('PV IN'!$E$25*'PV IN'!$E$18/12)*(1-(1-'PV IN'!$E$27)/(25*12))^C75</f>
        <v>145447.54089462565</v>
      </c>
      <c r="H76" s="33">
        <f>IF('PV IN'!$D$19="YES",G76*'PV IN'!$E$21,0)</f>
        <v>0</v>
      </c>
      <c r="I76" s="33">
        <f>IF('PV IN'!$D$19="YES",'PV IN'!$E$22*BattCalcs!W76,0)</f>
        <v>0</v>
      </c>
      <c r="J76" s="33">
        <f>IF('PV IN'!$D$19="YES",'PV IN'!$E$23*BattCalcs!Y76,0)</f>
        <v>0</v>
      </c>
      <c r="K76" s="33">
        <f>BattCalcs!AF76</f>
        <v>25811.765833333331</v>
      </c>
      <c r="L76" s="33">
        <f t="shared" si="31"/>
        <v>25811.765833333331</v>
      </c>
      <c r="M76" s="33">
        <f>IF('PV IN'!$F$4="PV Only",G76,G76-SUM(H76:J76,L76))</f>
        <v>145447.54089462565</v>
      </c>
      <c r="N76" s="2">
        <f>IF(C76&lt;='PV IN'!$I$12*12,'PV IN'!$E$12*G76/1000,0)</f>
        <v>0</v>
      </c>
      <c r="O76" s="2">
        <f>IF(AND(C76&gt;'PV IN'!$I$12*12,C76&lt;='PV IN'!$I$13*12+'PV IN'!$I$12*12),'PV IN'!$E$13*PVCalcs!G76/1000,0)</f>
        <v>1890.8180316301334</v>
      </c>
      <c r="P76" s="2">
        <f>IF(AND(C76&gt;'PV IN'!$I$12*12+'PV IN'!$I$13*12,C76&lt;='PV IN'!$I$12*12+'PV IN'!$I$13*12+'PV IN'!$I$14*12),'PV IN'!$E$14*PVCalcs!G76/1000,0)</f>
        <v>0</v>
      </c>
      <c r="R76" s="10">
        <f>IF(AND('PV IN'!$D$35="YES",$C76&lt;='PV IN'!$E$35*12),-'PV IN'!$E$18*'PV IN'!$E$34/12,0)</f>
        <v>0</v>
      </c>
      <c r="S76" s="10">
        <f>IF(AND('PV IN'!$D$37="YES",$C76&lt;='PV IN'!$E$37*12),-'PV IN'!$E$18*'PV IN'!$E$36/12,0)</f>
        <v>0</v>
      </c>
      <c r="U76" s="2">
        <f t="shared" si="32"/>
        <v>11066.711446281601</v>
      </c>
      <c r="V76" s="10">
        <f>PVLoan!M103</f>
        <v>0</v>
      </c>
      <c r="W76" s="2">
        <f>IF(C76='PV IN'!$I$40,IF('PV IN'!$G$40="Non-Taxable",'PV IN'!$F$40,0),0)+IF(C76='PV IN'!$I$41,IF('PV IN'!$G$41="Non-Taxable",'PV IN'!$F$41,0),0)</f>
        <v>0</v>
      </c>
      <c r="Y76" s="10">
        <f>IF('PV IN'!$E$15="Non-Taxable",SUM(N76:P76),0)</f>
        <v>1890.8180316301334</v>
      </c>
      <c r="Z76" s="10">
        <f>IF('PV IN'!$E$15="Taxable",SUM(N76:P76),0)</f>
        <v>0</v>
      </c>
      <c r="AA76" s="2">
        <f>IF(C76='PV IN'!$I$40,IF('PV IN'!$G$40="Taxable",'PV IN'!$F$40,0),0)+IF(C76='PV IN'!$I$41,IF('PV IN'!$G$41="Taxable",'PV IN'!$F$41,0),0)</f>
        <v>0</v>
      </c>
      <c r="AD76" s="10">
        <f>IF('PV IN'!$D$48="YES",-U76*'PV IN'!$E$8,0)</f>
        <v>0</v>
      </c>
      <c r="AE76" s="10">
        <f>IF('PV IN'!$N$10="Yes",-PVLoan!H104,-PVLoan!L104)</f>
        <v>0</v>
      </c>
      <c r="AF76" s="10">
        <f>IF('PV IN'!$N$10="Yes",-PVLoan!F104,0)</f>
        <v>0</v>
      </c>
      <c r="AG76" s="10">
        <f>IF(AND('PV IN'!$D$35="YES",$C76&lt;='PV IN'!$E$35*12),0,-'PV IN'!$E$18*'PV IN'!$E$34/12)</f>
        <v>-750</v>
      </c>
      <c r="AH76" s="10">
        <f>IF(AND('PV IN'!$D$37="YES",$C76&lt;='PV IN'!$E$37*12),0,-'PV IN'!$E$18*'PV IN'!$E$36/12)</f>
        <v>-625</v>
      </c>
      <c r="AI76" s="2">
        <f>IF(AND('PV IN'!$D$33="YES",PVCalcs!C76=ROUNDUP('PV IN'!$H$33*12,)),-'PV IN'!$E$33*'PV IN'!$E$18,0)</f>
        <v>0</v>
      </c>
      <c r="AK76" s="2">
        <f t="shared" si="17"/>
        <v>12957.529477911734</v>
      </c>
      <c r="AL76" s="2">
        <f t="shared" si="18"/>
        <v>-1375</v>
      </c>
      <c r="AM76" s="2">
        <f t="shared" si="22"/>
        <v>11582.529477911734</v>
      </c>
      <c r="AN76" s="43"/>
      <c r="AO76" s="2">
        <f t="shared" si="19"/>
        <v>0</v>
      </c>
      <c r="AP76" s="2">
        <f t="shared" si="23"/>
        <v>-1375</v>
      </c>
      <c r="AQ76" s="2">
        <f>-Depr.!F12</f>
        <v>0</v>
      </c>
      <c r="AR76" s="2">
        <f t="shared" si="24"/>
        <v>-1375</v>
      </c>
      <c r="AS76" s="2">
        <f>-AR76*'PV IN'!$E$8</f>
        <v>288.75</v>
      </c>
      <c r="AT76" s="2">
        <f>IF('PV IN'!$F$4="Battery Only",0,AM76+AS76)</f>
        <v>11871.279477911734</v>
      </c>
      <c r="AV76" s="10">
        <f t="shared" si="25"/>
        <v>-332523.10526748758</v>
      </c>
      <c r="AW76" s="2">
        <f>AT76/(1+('PV IN'!$G$9))^(C76)</f>
        <v>8858.5315241941043</v>
      </c>
      <c r="AX76" s="2">
        <f>IF(C76&lt;='PV IN'!$O$22*12,AW76+AX75,NA())</f>
        <v>-511674.41670283419</v>
      </c>
      <c r="AZ76" s="10">
        <f t="shared" si="20"/>
        <v>-1375</v>
      </c>
      <c r="BA76" s="10">
        <f t="shared" si="21"/>
        <v>1890.8180316301332</v>
      </c>
      <c r="BB76" s="10">
        <f t="shared" si="26"/>
        <v>515.81803163013319</v>
      </c>
      <c r="BC76" s="10">
        <f t="shared" si="27"/>
        <v>0</v>
      </c>
      <c r="BD76" s="10">
        <f t="shared" si="28"/>
        <v>-1375</v>
      </c>
      <c r="BE76" s="2">
        <f t="shared" si="29"/>
        <v>0</v>
      </c>
      <c r="BF76" s="10">
        <f t="shared" si="30"/>
        <v>-1375</v>
      </c>
      <c r="BG76" s="2">
        <f>-BF76*'PV IN'!$E$8</f>
        <v>288.75</v>
      </c>
      <c r="BH76" s="2">
        <f>IF('PV IN'!$F$4="Battery Only",0,BB76+BG76)</f>
        <v>804.56803163013319</v>
      </c>
      <c r="BI76" s="2">
        <f>BH76/(1+('PV IN'!$G$9))^(C76)</f>
        <v>600.38105284402661</v>
      </c>
    </row>
    <row r="77" spans="2:61" x14ac:dyDescent="0.25">
      <c r="C77">
        <v>73</v>
      </c>
      <c r="D77" s="16">
        <f>D76*(1+('PV IN'!$G$6/12))</f>
        <v>7.5999999999999998E-2</v>
      </c>
      <c r="E77" s="16">
        <f>LkUP!$U$27</f>
        <v>7.6535864542804394E-2</v>
      </c>
      <c r="F77" s="16">
        <f>IF('PV IN'!$D$7="Table",E77,D77)</f>
        <v>7.6535864542804394E-2</v>
      </c>
      <c r="G77" s="33">
        <f>('PV IN'!$E$25*'PV IN'!$E$18/12)*(1-(1-'PV IN'!$E$27)/(25*12))^C76</f>
        <v>145350.57586736255</v>
      </c>
      <c r="H77" s="33">
        <f>IF('PV IN'!$D$19="YES",G77*'PV IN'!$E$21,0)</f>
        <v>0</v>
      </c>
      <c r="I77" s="33">
        <f>IF('PV IN'!$D$19="YES",'PV IN'!$E$22*BattCalcs!W77,0)</f>
        <v>0</v>
      </c>
      <c r="J77" s="33">
        <f>IF('PV IN'!$D$19="YES",'PV IN'!$E$23*BattCalcs!Y77,0)</f>
        <v>0</v>
      </c>
      <c r="K77" s="33">
        <f>BattCalcs!AF77</f>
        <v>25811.765833333331</v>
      </c>
      <c r="L77" s="33">
        <f t="shared" si="31"/>
        <v>25811.765833333331</v>
      </c>
      <c r="M77" s="33">
        <f>IF('PV IN'!$F$4="PV Only",G77,G77-SUM(H77:J77,L77))</f>
        <v>145350.57586736255</v>
      </c>
      <c r="N77" s="2">
        <f>IF(C77&lt;='PV IN'!$I$12*12,'PV IN'!$E$12*G77/1000,0)</f>
        <v>0</v>
      </c>
      <c r="O77" s="2">
        <f>IF(AND(C77&gt;'PV IN'!$I$12*12,C77&lt;='PV IN'!$I$13*12+'PV IN'!$I$12*12),'PV IN'!$E$13*PVCalcs!G77/1000,0)</f>
        <v>1889.5574862757132</v>
      </c>
      <c r="P77" s="2">
        <f>IF(AND(C77&gt;'PV IN'!$I$12*12+'PV IN'!$I$13*12,C77&lt;='PV IN'!$I$12*12+'PV IN'!$I$13*12+'PV IN'!$I$14*12),'PV IN'!$E$14*PVCalcs!G77/1000,0)</f>
        <v>0</v>
      </c>
      <c r="R77" s="10">
        <f>IF(AND('PV IN'!$D$35="YES",$C77&lt;='PV IN'!$E$35*12),-'PV IN'!$E$18*'PV IN'!$E$34/12,0)</f>
        <v>0</v>
      </c>
      <c r="S77" s="10">
        <f>IF(AND('PV IN'!$D$37="YES",$C77&lt;='PV IN'!$E$37*12),-'PV IN'!$E$18*'PV IN'!$E$36/12,0)</f>
        <v>0</v>
      </c>
      <c r="U77" s="2">
        <f t="shared" si="32"/>
        <v>11124.531985803074</v>
      </c>
      <c r="V77" s="10">
        <f>PVLoan!M104</f>
        <v>0</v>
      </c>
      <c r="W77" s="2">
        <f>IF(C77='PV IN'!$I$40,IF('PV IN'!$G$40="Non-Taxable",'PV IN'!$F$40,0),0)+IF(C77='PV IN'!$I$41,IF('PV IN'!$G$41="Non-Taxable",'PV IN'!$F$41,0),0)</f>
        <v>0</v>
      </c>
      <c r="X77" s="10"/>
      <c r="Y77" s="10">
        <f>IF('PV IN'!$E$15="Non-Taxable",SUM(N77:P77),0)</f>
        <v>1889.5574862757132</v>
      </c>
      <c r="Z77" s="10">
        <f>IF('PV IN'!$E$15="Taxable",SUM(N77:P77),0)</f>
        <v>0</v>
      </c>
      <c r="AA77" s="2">
        <f>IF(C77='PV IN'!$I$40,IF('PV IN'!$G$40="Taxable",'PV IN'!$F$40,0),0)+IF(C77='PV IN'!$I$41,IF('PV IN'!$G$41="Taxable",'PV IN'!$F$41,0),0)</f>
        <v>0</v>
      </c>
      <c r="AD77" s="10">
        <f>IF('PV IN'!$D$48="YES",-U77*'PV IN'!$E$8,0)</f>
        <v>0</v>
      </c>
      <c r="AE77" s="10">
        <f>IF('PV IN'!$N$10="Yes",-PVLoan!H105,-PVLoan!L105)</f>
        <v>0</v>
      </c>
      <c r="AF77" s="10">
        <f>IF('PV IN'!$N$10="Yes",-PVLoan!F105,0)</f>
        <v>0</v>
      </c>
      <c r="AG77" s="10">
        <f>IF(AND('PV IN'!$D$35="YES",$C77&lt;='PV IN'!$E$35*12),0,-'PV IN'!$E$18*'PV IN'!$E$34/12)</f>
        <v>-750</v>
      </c>
      <c r="AH77" s="10">
        <f>IF(AND('PV IN'!$D$37="YES",$C77&lt;='PV IN'!$E$37*12),0,-'PV IN'!$E$18*'PV IN'!$E$36/12)</f>
        <v>-625</v>
      </c>
      <c r="AI77" s="2">
        <f>IF(AND('PV IN'!$D$33="YES",PVCalcs!C77=ROUNDUP('PV IN'!$H$33*12,)),-'PV IN'!$E$33*'PV IN'!$E$18,0)</f>
        <v>0</v>
      </c>
      <c r="AK77" s="2">
        <f t="shared" si="17"/>
        <v>13014.089472078787</v>
      </c>
      <c r="AL77" s="2">
        <f t="shared" si="18"/>
        <v>-1375</v>
      </c>
      <c r="AM77" s="2">
        <f t="shared" si="22"/>
        <v>11639.089472078787</v>
      </c>
      <c r="AN77" s="43"/>
      <c r="AO77" s="2">
        <f t="shared" si="19"/>
        <v>0</v>
      </c>
      <c r="AP77" s="2">
        <f t="shared" si="23"/>
        <v>-1375</v>
      </c>
      <c r="AR77" s="2">
        <f t="shared" si="24"/>
        <v>-1375</v>
      </c>
      <c r="AS77" s="2">
        <f>-AR77*'PV IN'!$E$8</f>
        <v>288.75</v>
      </c>
      <c r="AT77" s="2">
        <f>IF('PV IN'!$F$4="Battery Only",0,AM77+AS77)</f>
        <v>11927.839472078787</v>
      </c>
      <c r="AV77" s="10">
        <f t="shared" si="25"/>
        <v>-320595.26579540881</v>
      </c>
      <c r="AW77" s="2">
        <f>AT77/(1+('PV IN'!$G$9))^(C77)</f>
        <v>8864.6218957766014</v>
      </c>
      <c r="AX77" s="2">
        <f>IF(C77&lt;='PV IN'!$O$22*12,AW77+AX76,NA())</f>
        <v>-502809.79480705759</v>
      </c>
      <c r="AZ77" s="10">
        <f t="shared" si="20"/>
        <v>-1375</v>
      </c>
      <c r="BA77" s="10">
        <f t="shared" si="21"/>
        <v>1889.557486275713</v>
      </c>
      <c r="BB77" s="10">
        <f t="shared" si="26"/>
        <v>514.55748627571302</v>
      </c>
      <c r="BC77" s="10">
        <f t="shared" si="27"/>
        <v>0</v>
      </c>
      <c r="BD77" s="10">
        <f t="shared" si="28"/>
        <v>-1375</v>
      </c>
      <c r="BE77" s="2">
        <f t="shared" si="29"/>
        <v>0</v>
      </c>
      <c r="BF77" s="10">
        <f t="shared" si="30"/>
        <v>-1375</v>
      </c>
      <c r="BG77" s="2">
        <f>-BF77*'PV IN'!$E$8</f>
        <v>288.75</v>
      </c>
      <c r="BH77" s="2">
        <f>IF('PV IN'!$F$4="Battery Only",0,BB77+BG77)</f>
        <v>803.30748627571302</v>
      </c>
      <c r="BI77" s="2">
        <f>BH77/(1+('PV IN'!$G$9))^(C77)</f>
        <v>597.00812947308168</v>
      </c>
    </row>
    <row r="78" spans="2:61" x14ac:dyDescent="0.25">
      <c r="C78">
        <v>74</v>
      </c>
      <c r="D78" s="16">
        <f>D77*(1+('PV IN'!$G$6/12))</f>
        <v>7.5999999999999998E-2</v>
      </c>
      <c r="E78" s="16">
        <f>LkUP!$U$27</f>
        <v>7.6535864542804394E-2</v>
      </c>
      <c r="F78" s="16">
        <f>IF('PV IN'!$D$7="Table",E78,D78)</f>
        <v>7.6535864542804394E-2</v>
      </c>
      <c r="G78" s="33">
        <f>('PV IN'!$E$25*'PV IN'!$E$18/12)*(1-(1-'PV IN'!$E$27)/(25*12))^C77</f>
        <v>145253.67548345096</v>
      </c>
      <c r="H78" s="33">
        <f>IF('PV IN'!$D$19="YES",G78*'PV IN'!$E$21,0)</f>
        <v>0</v>
      </c>
      <c r="I78" s="33">
        <f>IF('PV IN'!$D$19="YES",'PV IN'!$E$22*BattCalcs!W78,0)</f>
        <v>0</v>
      </c>
      <c r="J78" s="33">
        <f>IF('PV IN'!$D$19="YES",'PV IN'!$E$23*BattCalcs!Y78,0)</f>
        <v>0</v>
      </c>
      <c r="K78" s="33">
        <f>BattCalcs!AF78</f>
        <v>25811.765833333331</v>
      </c>
      <c r="L78" s="33">
        <f t="shared" si="31"/>
        <v>25811.765833333331</v>
      </c>
      <c r="M78" s="33">
        <f>IF('PV IN'!$F$4="PV Only",G78,G78-SUM(H78:J78,L78))</f>
        <v>145253.67548345096</v>
      </c>
      <c r="N78" s="2">
        <f>IF(C78&lt;='PV IN'!$I$12*12,'PV IN'!$E$12*G78/1000,0)</f>
        <v>0</v>
      </c>
      <c r="O78" s="2">
        <f>IF(AND(C78&gt;'PV IN'!$I$12*12,C78&lt;='PV IN'!$I$13*12+'PV IN'!$I$12*12),'PV IN'!$E$13*PVCalcs!G78/1000,0)</f>
        <v>1888.2977812848624</v>
      </c>
      <c r="P78" s="2">
        <f>IF(AND(C78&gt;'PV IN'!$I$12*12+'PV IN'!$I$13*12,C78&lt;='PV IN'!$I$12*12+'PV IN'!$I$13*12+'PV IN'!$I$14*12),'PV IN'!$E$14*PVCalcs!G78/1000,0)</f>
        <v>0</v>
      </c>
      <c r="R78" s="10">
        <f>IF(AND('PV IN'!$D$35="YES",$C78&lt;='PV IN'!$E$35*12),-'PV IN'!$E$18*'PV IN'!$E$34/12,0)</f>
        <v>0</v>
      </c>
      <c r="S78" s="10">
        <f>IF(AND('PV IN'!$D$37="YES",$C78&lt;='PV IN'!$E$37*12),-'PV IN'!$E$18*'PV IN'!$E$36/12,0)</f>
        <v>0</v>
      </c>
      <c r="U78" s="2">
        <f t="shared" si="32"/>
        <v>11117.115631145871</v>
      </c>
      <c r="V78" s="10">
        <f>PVLoan!M105</f>
        <v>0</v>
      </c>
      <c r="W78" s="2">
        <f>IF(C78='PV IN'!$I$40,IF('PV IN'!$G$40="Non-Taxable",'PV IN'!$F$40,0),0)+IF(C78='PV IN'!$I$41,IF('PV IN'!$G$41="Non-Taxable",'PV IN'!$F$41,0),0)</f>
        <v>0</v>
      </c>
      <c r="X78" s="10"/>
      <c r="Y78" s="10">
        <f>IF('PV IN'!$E$15="Non-Taxable",SUM(N78:P78),0)</f>
        <v>1888.2977812848624</v>
      </c>
      <c r="Z78" s="10">
        <f>IF('PV IN'!$E$15="Taxable",SUM(N78:P78),0)</f>
        <v>0</v>
      </c>
      <c r="AA78" s="2">
        <f>IF(C78='PV IN'!$I$40,IF('PV IN'!$G$40="Taxable",'PV IN'!$F$40,0),0)+IF(C78='PV IN'!$I$41,IF('PV IN'!$G$41="Taxable",'PV IN'!$F$41,0),0)</f>
        <v>0</v>
      </c>
      <c r="AD78" s="10">
        <f>IF('PV IN'!$D$48="YES",-U78*'PV IN'!$E$8,0)</f>
        <v>0</v>
      </c>
      <c r="AE78" s="10">
        <f>IF('PV IN'!$N$10="Yes",-PVLoan!H106,-PVLoan!L106)</f>
        <v>0</v>
      </c>
      <c r="AF78" s="10">
        <f>IF('PV IN'!$N$10="Yes",-PVLoan!F106,0)</f>
        <v>0</v>
      </c>
      <c r="AG78" s="10">
        <f>IF(AND('PV IN'!$D$35="YES",$C78&lt;='PV IN'!$E$35*12),0,-'PV IN'!$E$18*'PV IN'!$E$34/12)</f>
        <v>-750</v>
      </c>
      <c r="AH78" s="10">
        <f>IF(AND('PV IN'!$D$37="YES",$C78&lt;='PV IN'!$E$37*12),0,-'PV IN'!$E$18*'PV IN'!$E$36/12)</f>
        <v>-625</v>
      </c>
      <c r="AI78" s="2">
        <f>IF(AND('PV IN'!$D$33="YES",PVCalcs!C78=ROUNDUP('PV IN'!$H$33*12,)),-'PV IN'!$E$33*'PV IN'!$E$18,0)</f>
        <v>0</v>
      </c>
      <c r="AK78" s="2">
        <f t="shared" si="17"/>
        <v>13005.413412430733</v>
      </c>
      <c r="AL78" s="2">
        <f t="shared" si="18"/>
        <v>-1375</v>
      </c>
      <c r="AM78" s="2">
        <f t="shared" si="22"/>
        <v>11630.413412430733</v>
      </c>
      <c r="AN78" s="43"/>
      <c r="AO78" s="2">
        <f t="shared" si="19"/>
        <v>0</v>
      </c>
      <c r="AP78" s="2">
        <f t="shared" si="23"/>
        <v>-1375</v>
      </c>
      <c r="AR78" s="2">
        <f t="shared" si="24"/>
        <v>-1375</v>
      </c>
      <c r="AS78" s="2">
        <f>-AR78*'PV IN'!$E$8</f>
        <v>288.75</v>
      </c>
      <c r="AT78" s="2">
        <f>IF('PV IN'!$F$4="Battery Only",0,AM78+AS78)</f>
        <v>11919.163412430733</v>
      </c>
      <c r="AV78" s="10">
        <f t="shared" si="25"/>
        <v>-308676.10238297808</v>
      </c>
      <c r="AW78" s="2">
        <f>AT78/(1+('PV IN'!$G$9))^(C78)</f>
        <v>8822.2310946615125</v>
      </c>
      <c r="AX78" s="2">
        <f>IF(C78&lt;='PV IN'!$O$22*12,AW78+AX77,NA())</f>
        <v>-493987.56371239608</v>
      </c>
      <c r="AZ78" s="10">
        <f t="shared" si="20"/>
        <v>-1375</v>
      </c>
      <c r="BA78" s="10">
        <f t="shared" si="21"/>
        <v>1888.2977812848621</v>
      </c>
      <c r="BB78" s="10">
        <f t="shared" si="26"/>
        <v>513.29778128486214</v>
      </c>
      <c r="BC78" s="10">
        <f t="shared" si="27"/>
        <v>0</v>
      </c>
      <c r="BD78" s="10">
        <f t="shared" si="28"/>
        <v>-1375</v>
      </c>
      <c r="BE78" s="2">
        <f t="shared" si="29"/>
        <v>0</v>
      </c>
      <c r="BF78" s="10">
        <f t="shared" si="30"/>
        <v>-1375</v>
      </c>
      <c r="BG78" s="2">
        <f>-BF78*'PV IN'!$E$8</f>
        <v>288.75</v>
      </c>
      <c r="BH78" s="2">
        <f>IF('PV IN'!$F$4="Battery Only",0,BB78+BG78)</f>
        <v>802.04778128486214</v>
      </c>
      <c r="BI78" s="2">
        <f>BH78/(1+('PV IN'!$G$9))^(C78)</f>
        <v>593.65331530533774</v>
      </c>
    </row>
    <row r="79" spans="2:61" x14ac:dyDescent="0.25">
      <c r="C79">
        <v>75</v>
      </c>
      <c r="D79" s="16">
        <f>D78*(1+('PV IN'!$G$6/12))</f>
        <v>7.5999999999999998E-2</v>
      </c>
      <c r="E79" s="16">
        <f>LkUP!$U$27</f>
        <v>7.6535864542804394E-2</v>
      </c>
      <c r="F79" s="16">
        <f>IF('PV IN'!$D$7="Table",E79,D79)</f>
        <v>7.6535864542804394E-2</v>
      </c>
      <c r="G79" s="33">
        <f>('PV IN'!$E$25*'PV IN'!$E$18/12)*(1-(1-'PV IN'!$E$27)/(25*12))^C78</f>
        <v>145156.83969979532</v>
      </c>
      <c r="H79" s="33">
        <f>IF('PV IN'!$D$19="YES",G79*'PV IN'!$E$21,0)</f>
        <v>0</v>
      </c>
      <c r="I79" s="33">
        <f>IF('PV IN'!$D$19="YES",'PV IN'!$E$22*BattCalcs!W79,0)</f>
        <v>0</v>
      </c>
      <c r="J79" s="33">
        <f>IF('PV IN'!$D$19="YES",'PV IN'!$E$23*BattCalcs!Y79,0)</f>
        <v>0</v>
      </c>
      <c r="K79" s="33">
        <f>BattCalcs!AF79</f>
        <v>25811.765833333331</v>
      </c>
      <c r="L79" s="33">
        <f t="shared" si="31"/>
        <v>25811.765833333331</v>
      </c>
      <c r="M79" s="33">
        <f>IF('PV IN'!$F$4="PV Only",G79,G79-SUM(H79:J79,L79))</f>
        <v>145156.83969979532</v>
      </c>
      <c r="N79" s="2">
        <f>IF(C79&lt;='PV IN'!$I$12*12,'PV IN'!$E$12*G79/1000,0)</f>
        <v>0</v>
      </c>
      <c r="O79" s="2">
        <f>IF(AND(C79&gt;'PV IN'!$I$12*12,C79&lt;='PV IN'!$I$13*12+'PV IN'!$I$12*12),'PV IN'!$E$13*PVCalcs!G79/1000,0)</f>
        <v>1887.0389160973393</v>
      </c>
      <c r="P79" s="2">
        <f>IF(AND(C79&gt;'PV IN'!$I$12*12+'PV IN'!$I$13*12,C79&lt;='PV IN'!$I$12*12+'PV IN'!$I$13*12+'PV IN'!$I$14*12),'PV IN'!$E$14*PVCalcs!G79/1000,0)</f>
        <v>0</v>
      </c>
      <c r="R79" s="10">
        <f>IF(AND('PV IN'!$D$35="YES",$C79&lt;='PV IN'!$E$35*12),-'PV IN'!$E$18*'PV IN'!$E$34/12,0)</f>
        <v>0</v>
      </c>
      <c r="S79" s="10">
        <f>IF(AND('PV IN'!$D$37="YES",$C79&lt;='PV IN'!$E$37*12),-'PV IN'!$E$18*'PV IN'!$E$36/12,0)</f>
        <v>0</v>
      </c>
      <c r="U79" s="2">
        <f t="shared" si="32"/>
        <v>11109.704220725107</v>
      </c>
      <c r="V79" s="10">
        <f>PVLoan!M106</f>
        <v>0</v>
      </c>
      <c r="W79" s="2">
        <f>IF(C79='PV IN'!$I$40,IF('PV IN'!$G$40="Non-Taxable",'PV IN'!$F$40,0),0)+IF(C79='PV IN'!$I$41,IF('PV IN'!$G$41="Non-Taxable",'PV IN'!$F$41,0),0)</f>
        <v>0</v>
      </c>
      <c r="X79" s="10"/>
      <c r="Y79" s="10">
        <f>IF('PV IN'!$E$15="Non-Taxable",SUM(N79:P79),0)</f>
        <v>1887.0389160973393</v>
      </c>
      <c r="Z79" s="10">
        <f>IF('PV IN'!$E$15="Taxable",SUM(N79:P79),0)</f>
        <v>0</v>
      </c>
      <c r="AA79" s="2">
        <f>IF(C79='PV IN'!$I$40,IF('PV IN'!$G$40="Taxable",'PV IN'!$F$40,0),0)+IF(C79='PV IN'!$I$41,IF('PV IN'!$G$41="Taxable",'PV IN'!$F$41,0),0)</f>
        <v>0</v>
      </c>
      <c r="AD79" s="10">
        <f>IF('PV IN'!$D$48="YES",-U79*'PV IN'!$E$8,0)</f>
        <v>0</v>
      </c>
      <c r="AE79" s="10">
        <f>IF('PV IN'!$N$10="Yes",-PVLoan!H107,-PVLoan!L107)</f>
        <v>0</v>
      </c>
      <c r="AF79" s="10">
        <f>IF('PV IN'!$N$10="Yes",-PVLoan!F107,0)</f>
        <v>0</v>
      </c>
      <c r="AG79" s="10">
        <f>IF(AND('PV IN'!$D$35="YES",$C79&lt;='PV IN'!$E$35*12),0,-'PV IN'!$E$18*'PV IN'!$E$34/12)</f>
        <v>-750</v>
      </c>
      <c r="AH79" s="10">
        <f>IF(AND('PV IN'!$D$37="YES",$C79&lt;='PV IN'!$E$37*12),0,-'PV IN'!$E$18*'PV IN'!$E$36/12)</f>
        <v>-625</v>
      </c>
      <c r="AI79" s="2">
        <f>IF(AND('PV IN'!$D$33="YES",PVCalcs!C79=ROUNDUP('PV IN'!$H$33*12,)),-'PV IN'!$E$33*'PV IN'!$E$18,0)</f>
        <v>0</v>
      </c>
      <c r="AK79" s="2">
        <f t="shared" si="17"/>
        <v>12996.743136822446</v>
      </c>
      <c r="AL79" s="2">
        <f t="shared" si="18"/>
        <v>-1375</v>
      </c>
      <c r="AM79" s="2">
        <f t="shared" si="22"/>
        <v>11621.743136822446</v>
      </c>
      <c r="AN79" s="43"/>
      <c r="AO79" s="2">
        <f t="shared" si="19"/>
        <v>0</v>
      </c>
      <c r="AP79" s="2">
        <f t="shared" si="23"/>
        <v>-1375</v>
      </c>
      <c r="AR79" s="2">
        <f t="shared" si="24"/>
        <v>-1375</v>
      </c>
      <c r="AS79" s="2">
        <f>-AR79*'PV IN'!$E$8</f>
        <v>288.75</v>
      </c>
      <c r="AT79" s="2">
        <f>IF('PV IN'!$F$4="Battery Only",0,AM79+AS79)</f>
        <v>11910.493136822446</v>
      </c>
      <c r="AV79" s="10">
        <f t="shared" si="25"/>
        <v>-296765.60924615565</v>
      </c>
      <c r="AW79" s="2">
        <f>AT79/(1+('PV IN'!$G$9))^(C79)</f>
        <v>8780.0426189154459</v>
      </c>
      <c r="AX79" s="2">
        <f>IF(C79&lt;='PV IN'!$O$22*12,AW79+AX78,NA())</f>
        <v>-485207.52109348064</v>
      </c>
      <c r="AZ79" s="10">
        <f t="shared" si="20"/>
        <v>-1375</v>
      </c>
      <c r="BA79" s="10">
        <f t="shared" si="21"/>
        <v>1887.0389160973391</v>
      </c>
      <c r="BB79" s="10">
        <f t="shared" si="26"/>
        <v>512.0389160973391</v>
      </c>
      <c r="BC79" s="10">
        <f t="shared" si="27"/>
        <v>0</v>
      </c>
      <c r="BD79" s="10">
        <f t="shared" si="28"/>
        <v>-1375</v>
      </c>
      <c r="BE79" s="2">
        <f t="shared" si="29"/>
        <v>0</v>
      </c>
      <c r="BF79" s="10">
        <f t="shared" si="30"/>
        <v>-1375</v>
      </c>
      <c r="BG79" s="2">
        <f>-BF79*'PV IN'!$E$8</f>
        <v>288.75</v>
      </c>
      <c r="BH79" s="2">
        <f>IF('PV IN'!$F$4="Battery Only",0,BB79+BG79)</f>
        <v>800.7889160973391</v>
      </c>
      <c r="BI79" s="2">
        <f>BH79/(1+('PV IN'!$G$9))^(C79)</f>
        <v>590.31651597639097</v>
      </c>
    </row>
    <row r="80" spans="2:61" x14ac:dyDescent="0.25">
      <c r="C80">
        <v>76</v>
      </c>
      <c r="D80" s="16">
        <f>D79*(1+('PV IN'!$G$6/12))</f>
        <v>7.5999999999999998E-2</v>
      </c>
      <c r="E80" s="16">
        <f>LkUP!$U$27</f>
        <v>7.6535864542804394E-2</v>
      </c>
      <c r="F80" s="16">
        <f>IF('PV IN'!$D$7="Table",E80,D80)</f>
        <v>7.6535864542804394E-2</v>
      </c>
      <c r="G80" s="33">
        <f>('PV IN'!$E$25*'PV IN'!$E$18/12)*(1-(1-'PV IN'!$E$27)/(25*12))^C79</f>
        <v>145060.06847332878</v>
      </c>
      <c r="H80" s="33">
        <f>IF('PV IN'!$D$19="YES",G80*'PV IN'!$E$21,0)</f>
        <v>0</v>
      </c>
      <c r="I80" s="33">
        <f>IF('PV IN'!$D$19="YES",'PV IN'!$E$22*BattCalcs!W80,0)</f>
        <v>0</v>
      </c>
      <c r="J80" s="33">
        <f>IF('PV IN'!$D$19="YES",'PV IN'!$E$23*BattCalcs!Y80,0)</f>
        <v>0</v>
      </c>
      <c r="K80" s="33">
        <f>BattCalcs!AF80</f>
        <v>25811.765833333331</v>
      </c>
      <c r="L80" s="33">
        <f t="shared" si="31"/>
        <v>25811.765833333331</v>
      </c>
      <c r="M80" s="33">
        <f>IF('PV IN'!$F$4="PV Only",G80,G80-SUM(H80:J80,L80))</f>
        <v>145060.06847332878</v>
      </c>
      <c r="N80" s="2">
        <f>IF(C80&lt;='PV IN'!$I$12*12,'PV IN'!$E$12*G80/1000,0)</f>
        <v>0</v>
      </c>
      <c r="O80" s="2">
        <f>IF(AND(C80&gt;'PV IN'!$I$12*12,C80&lt;='PV IN'!$I$13*12+'PV IN'!$I$12*12),'PV IN'!$E$13*PVCalcs!G80/1000,0)</f>
        <v>1885.7808901532742</v>
      </c>
      <c r="P80" s="2">
        <f>IF(AND(C80&gt;'PV IN'!$I$12*12+'PV IN'!$I$13*12,C80&lt;='PV IN'!$I$12*12+'PV IN'!$I$13*12+'PV IN'!$I$14*12),'PV IN'!$E$14*PVCalcs!G80/1000,0)</f>
        <v>0</v>
      </c>
      <c r="R80" s="10">
        <f>IF(AND('PV IN'!$D$35="YES",$C80&lt;='PV IN'!$E$35*12),-'PV IN'!$E$18*'PV IN'!$E$34/12,0)</f>
        <v>0</v>
      </c>
      <c r="S80" s="10">
        <f>IF(AND('PV IN'!$D$37="YES",$C80&lt;='PV IN'!$E$37*12),-'PV IN'!$E$18*'PV IN'!$E$36/12,0)</f>
        <v>0</v>
      </c>
      <c r="U80" s="2">
        <f t="shared" si="32"/>
        <v>11102.297751244621</v>
      </c>
      <c r="V80" s="10">
        <f>PVLoan!M107</f>
        <v>0</v>
      </c>
      <c r="W80" s="2">
        <f>IF(C80='PV IN'!$I$40,IF('PV IN'!$G$40="Non-Taxable",'PV IN'!$F$40,0),0)+IF(C80='PV IN'!$I$41,IF('PV IN'!$G$41="Non-Taxable",'PV IN'!$F$41,0),0)</f>
        <v>0</v>
      </c>
      <c r="X80" s="10"/>
      <c r="Y80" s="10">
        <f>IF('PV IN'!$E$15="Non-Taxable",SUM(N80:P80),0)</f>
        <v>1885.7808901532742</v>
      </c>
      <c r="Z80" s="10">
        <f>IF('PV IN'!$E$15="Taxable",SUM(N80:P80),0)</f>
        <v>0</v>
      </c>
      <c r="AA80" s="2">
        <f>IF(C80='PV IN'!$I$40,IF('PV IN'!$G$40="Taxable",'PV IN'!$F$40,0),0)+IF(C80='PV IN'!$I$41,IF('PV IN'!$G$41="Taxable",'PV IN'!$F$41,0),0)</f>
        <v>0</v>
      </c>
      <c r="AD80" s="10">
        <f>IF('PV IN'!$D$48="YES",-U80*'PV IN'!$E$8,0)</f>
        <v>0</v>
      </c>
      <c r="AE80" s="10">
        <f>IF('PV IN'!$N$10="Yes",-PVLoan!H108,-PVLoan!L108)</f>
        <v>0</v>
      </c>
      <c r="AF80" s="10">
        <f>IF('PV IN'!$N$10="Yes",-PVLoan!F108,0)</f>
        <v>0</v>
      </c>
      <c r="AG80" s="10">
        <f>IF(AND('PV IN'!$D$35="YES",$C80&lt;='PV IN'!$E$35*12),0,-'PV IN'!$E$18*'PV IN'!$E$34/12)</f>
        <v>-750</v>
      </c>
      <c r="AH80" s="10">
        <f>IF(AND('PV IN'!$D$37="YES",$C80&lt;='PV IN'!$E$37*12),0,-'PV IN'!$E$18*'PV IN'!$E$36/12)</f>
        <v>-625</v>
      </c>
      <c r="AI80" s="2">
        <f>IF(AND('PV IN'!$D$33="YES",PVCalcs!C80=ROUNDUP('PV IN'!$H$33*12,)),-'PV IN'!$E$33*'PV IN'!$E$18,0)</f>
        <v>0</v>
      </c>
      <c r="AK80" s="2">
        <f t="shared" si="17"/>
        <v>12988.078641397895</v>
      </c>
      <c r="AL80" s="2">
        <f t="shared" si="18"/>
        <v>-1375</v>
      </c>
      <c r="AM80" s="2">
        <f t="shared" si="22"/>
        <v>11613.078641397895</v>
      </c>
      <c r="AN80" s="43"/>
      <c r="AO80" s="2">
        <f t="shared" si="19"/>
        <v>0</v>
      </c>
      <c r="AP80" s="2">
        <f t="shared" si="23"/>
        <v>-1375</v>
      </c>
      <c r="AR80" s="2">
        <f t="shared" si="24"/>
        <v>-1375</v>
      </c>
      <c r="AS80" s="2">
        <f>-AR80*'PV IN'!$E$8</f>
        <v>288.75</v>
      </c>
      <c r="AT80" s="2">
        <f>IF('PV IN'!$F$4="Battery Only",0,AM80+AS80)</f>
        <v>11901.828641397895</v>
      </c>
      <c r="AV80" s="10">
        <f t="shared" si="25"/>
        <v>-284863.78060475778</v>
      </c>
      <c r="AW80" s="2">
        <f>AT80/(1+('PV IN'!$G$9))^(C80)</f>
        <v>8738.0555044233242</v>
      </c>
      <c r="AX80" s="2">
        <f>IF(C80&lt;='PV IN'!$O$22*12,AW80+AX79,NA())</f>
        <v>-476469.4655890573</v>
      </c>
      <c r="AZ80" s="10">
        <f t="shared" si="20"/>
        <v>-1375</v>
      </c>
      <c r="BA80" s="10">
        <f t="shared" si="21"/>
        <v>1885.7808901532735</v>
      </c>
      <c r="BB80" s="10">
        <f t="shared" si="26"/>
        <v>510.7808901532735</v>
      </c>
      <c r="BC80" s="10">
        <f t="shared" si="27"/>
        <v>0</v>
      </c>
      <c r="BD80" s="10">
        <f t="shared" si="28"/>
        <v>-1375</v>
      </c>
      <c r="BE80" s="2">
        <f t="shared" si="29"/>
        <v>0</v>
      </c>
      <c r="BF80" s="10">
        <f t="shared" si="30"/>
        <v>-1375</v>
      </c>
      <c r="BG80" s="2">
        <f>-BF80*'PV IN'!$E$8</f>
        <v>288.75</v>
      </c>
      <c r="BH80" s="2">
        <f>IF('PV IN'!$F$4="Battery Only",0,BB80+BG80)</f>
        <v>799.5308901532735</v>
      </c>
      <c r="BI80" s="2">
        <f>BH80/(1+('PV IN'!$G$9))^(C80)</f>
        <v>586.99763760333644</v>
      </c>
    </row>
    <row r="81" spans="2:61" x14ac:dyDescent="0.25">
      <c r="C81">
        <v>77</v>
      </c>
      <c r="D81" s="16">
        <f>D80*(1+('PV IN'!$G$6/12))</f>
        <v>7.5999999999999998E-2</v>
      </c>
      <c r="E81" s="16">
        <f>LkUP!$U$27</f>
        <v>7.6535864542804394E-2</v>
      </c>
      <c r="F81" s="16">
        <f>IF('PV IN'!$D$7="Table",E81,D81)</f>
        <v>7.6535864542804394E-2</v>
      </c>
      <c r="G81" s="33">
        <f>('PV IN'!$E$25*'PV IN'!$E$18/12)*(1-(1-'PV IN'!$E$27)/(25*12))^C80</f>
        <v>144963.36176101325</v>
      </c>
      <c r="H81" s="33">
        <f>IF('PV IN'!$D$19="YES",G81*'PV IN'!$E$21,0)</f>
        <v>0</v>
      </c>
      <c r="I81" s="33">
        <f>IF('PV IN'!$D$19="YES",'PV IN'!$E$22*BattCalcs!W81,0)</f>
        <v>0</v>
      </c>
      <c r="J81" s="33">
        <f>IF('PV IN'!$D$19="YES",'PV IN'!$E$23*BattCalcs!Y81,0)</f>
        <v>0</v>
      </c>
      <c r="K81" s="33">
        <f>BattCalcs!AF81</f>
        <v>25811.765833333331</v>
      </c>
      <c r="L81" s="33">
        <f t="shared" si="31"/>
        <v>25811.765833333331</v>
      </c>
      <c r="M81" s="33">
        <f>IF('PV IN'!$F$4="PV Only",G81,G81-SUM(H81:J81,L81))</f>
        <v>144963.36176101325</v>
      </c>
      <c r="N81" s="2">
        <f>IF(C81&lt;='PV IN'!$I$12*12,'PV IN'!$E$12*G81/1000,0)</f>
        <v>0</v>
      </c>
      <c r="O81" s="2">
        <f>IF(AND(C81&gt;'PV IN'!$I$12*12,C81&lt;='PV IN'!$I$13*12+'PV IN'!$I$12*12),'PV IN'!$E$13*PVCalcs!G81/1000,0)</f>
        <v>1884.5237028931722</v>
      </c>
      <c r="P81" s="2">
        <f>IF(AND(C81&gt;'PV IN'!$I$12*12+'PV IN'!$I$13*12,C81&lt;='PV IN'!$I$12*12+'PV IN'!$I$13*12+'PV IN'!$I$14*12),'PV IN'!$E$14*PVCalcs!G81/1000,0)</f>
        <v>0</v>
      </c>
      <c r="R81" s="10">
        <f>IF(AND('PV IN'!$D$35="YES",$C81&lt;='PV IN'!$E$35*12),-'PV IN'!$E$18*'PV IN'!$E$34/12,0)</f>
        <v>0</v>
      </c>
      <c r="S81" s="10">
        <f>IF(AND('PV IN'!$D$37="YES",$C81&lt;='PV IN'!$E$37*12),-'PV IN'!$E$18*'PV IN'!$E$36/12,0)</f>
        <v>0</v>
      </c>
      <c r="U81" s="2">
        <f t="shared" si="32"/>
        <v>11094.896219410461</v>
      </c>
      <c r="V81" s="10">
        <f>PVLoan!M108</f>
        <v>0</v>
      </c>
      <c r="W81" s="2">
        <f>IF(C81='PV IN'!$I$40,IF('PV IN'!$G$40="Non-Taxable",'PV IN'!$F$40,0),0)+IF(C81='PV IN'!$I$41,IF('PV IN'!$G$41="Non-Taxable",'PV IN'!$F$41,0),0)</f>
        <v>0</v>
      </c>
      <c r="X81" s="10"/>
      <c r="Y81" s="10">
        <f>IF('PV IN'!$E$15="Non-Taxable",SUM(N81:P81),0)</f>
        <v>1884.5237028931722</v>
      </c>
      <c r="Z81" s="10">
        <f>IF('PV IN'!$E$15="Taxable",SUM(N81:P81),0)</f>
        <v>0</v>
      </c>
      <c r="AA81" s="2">
        <f>IF(C81='PV IN'!$I$40,IF('PV IN'!$G$40="Taxable",'PV IN'!$F$40,0),0)+IF(C81='PV IN'!$I$41,IF('PV IN'!$G$41="Taxable",'PV IN'!$F$41,0),0)</f>
        <v>0</v>
      </c>
      <c r="AD81" s="10">
        <f>IF('PV IN'!$D$48="YES",-U81*'PV IN'!$E$8,0)</f>
        <v>0</v>
      </c>
      <c r="AE81" s="10">
        <f>IF('PV IN'!$N$10="Yes",-PVLoan!H109,-PVLoan!L109)</f>
        <v>0</v>
      </c>
      <c r="AF81" s="10">
        <f>IF('PV IN'!$N$10="Yes",-PVLoan!F109,0)</f>
        <v>0</v>
      </c>
      <c r="AG81" s="10">
        <f>IF(AND('PV IN'!$D$35="YES",$C81&lt;='PV IN'!$E$35*12),0,-'PV IN'!$E$18*'PV IN'!$E$34/12)</f>
        <v>-750</v>
      </c>
      <c r="AH81" s="10">
        <f>IF(AND('PV IN'!$D$37="YES",$C81&lt;='PV IN'!$E$37*12),0,-'PV IN'!$E$18*'PV IN'!$E$36/12)</f>
        <v>-625</v>
      </c>
      <c r="AI81" s="2">
        <f>IF(AND('PV IN'!$D$33="YES",PVCalcs!C81=ROUNDUP('PV IN'!$H$33*12,)),-'PV IN'!$E$33*'PV IN'!$E$18,0)</f>
        <v>0</v>
      </c>
      <c r="AK81" s="2">
        <f t="shared" si="17"/>
        <v>12979.419922303632</v>
      </c>
      <c r="AL81" s="2">
        <f t="shared" si="18"/>
        <v>-1375</v>
      </c>
      <c r="AM81" s="2">
        <f t="shared" si="22"/>
        <v>11604.419922303632</v>
      </c>
      <c r="AN81" s="43"/>
      <c r="AO81" s="2">
        <f t="shared" si="19"/>
        <v>0</v>
      </c>
      <c r="AP81" s="2">
        <f t="shared" si="23"/>
        <v>-1375</v>
      </c>
      <c r="AR81" s="2">
        <f t="shared" si="24"/>
        <v>-1375</v>
      </c>
      <c r="AS81" s="2">
        <f>-AR81*'PV IN'!$E$8</f>
        <v>288.75</v>
      </c>
      <c r="AT81" s="2">
        <f>IF('PV IN'!$F$4="Battery Only",0,AM81+AS81)</f>
        <v>11893.169922303632</v>
      </c>
      <c r="AV81" s="10">
        <f t="shared" si="25"/>
        <v>-272970.61068245413</v>
      </c>
      <c r="AW81" s="2">
        <f>AT81/(1+('PV IN'!$G$9))^(C81)</f>
        <v>8696.2687916580126</v>
      </c>
      <c r="AX81" s="2">
        <f>IF(C81&lt;='PV IN'!$O$22*12,AW81+AX80,NA())</f>
        <v>-467773.19679739932</v>
      </c>
      <c r="AZ81" s="10">
        <f t="shared" si="20"/>
        <v>-1375</v>
      </c>
      <c r="BA81" s="10">
        <f t="shared" si="21"/>
        <v>1884.5237028931715</v>
      </c>
      <c r="BB81" s="10">
        <f t="shared" si="26"/>
        <v>509.5237028931715</v>
      </c>
      <c r="BC81" s="10">
        <f t="shared" si="27"/>
        <v>0</v>
      </c>
      <c r="BD81" s="10">
        <f t="shared" si="28"/>
        <v>-1375</v>
      </c>
      <c r="BE81" s="2">
        <f t="shared" si="29"/>
        <v>0</v>
      </c>
      <c r="BF81" s="10">
        <f t="shared" si="30"/>
        <v>-1375</v>
      </c>
      <c r="BG81" s="2">
        <f>-BF81*'PV IN'!$E$8</f>
        <v>288.75</v>
      </c>
      <c r="BH81" s="2">
        <f>IF('PV IN'!$F$4="Battery Only",0,BB81+BG81)</f>
        <v>798.2737028931715</v>
      </c>
      <c r="BI81" s="2">
        <f>BH81/(1+('PV IN'!$G$9))^(C81)</f>
        <v>583.69658678235271</v>
      </c>
    </row>
    <row r="82" spans="2:61" x14ac:dyDescent="0.25">
      <c r="C82">
        <v>78</v>
      </c>
      <c r="D82" s="16">
        <f>D81*(1+('PV IN'!$G$6/12))</f>
        <v>7.5999999999999998E-2</v>
      </c>
      <c r="E82" s="16">
        <f>LkUP!$U$27</f>
        <v>7.6535864542804394E-2</v>
      </c>
      <c r="F82" s="16">
        <f>IF('PV IN'!$D$7="Table",E82,D82)</f>
        <v>7.6535864542804394E-2</v>
      </c>
      <c r="G82" s="33">
        <f>('PV IN'!$E$25*'PV IN'!$E$18/12)*(1-(1-'PV IN'!$E$27)/(25*12))^C81</f>
        <v>144866.71951983921</v>
      </c>
      <c r="H82" s="33">
        <f>IF('PV IN'!$D$19="YES",G82*'PV IN'!$E$21,0)</f>
        <v>0</v>
      </c>
      <c r="I82" s="33">
        <f>IF('PV IN'!$D$19="YES",'PV IN'!$E$22*BattCalcs!W82,0)</f>
        <v>0</v>
      </c>
      <c r="J82" s="33">
        <f>IF('PV IN'!$D$19="YES",'PV IN'!$E$23*BattCalcs!Y82,0)</f>
        <v>0</v>
      </c>
      <c r="K82" s="33">
        <f>BattCalcs!AF82</f>
        <v>25811.765833333331</v>
      </c>
      <c r="L82" s="33">
        <f t="shared" si="31"/>
        <v>25811.765833333331</v>
      </c>
      <c r="M82" s="33">
        <f>IF('PV IN'!$F$4="PV Only",G82,G82-SUM(H82:J82,L82))</f>
        <v>144866.71951983921</v>
      </c>
      <c r="N82" s="2">
        <f>IF(C82&lt;='PV IN'!$I$12*12,'PV IN'!$E$12*G82/1000,0)</f>
        <v>0</v>
      </c>
      <c r="O82" s="2">
        <f>IF(AND(C82&gt;'PV IN'!$I$12*12,C82&lt;='PV IN'!$I$13*12+'PV IN'!$I$12*12),'PV IN'!$E$13*PVCalcs!G82/1000,0)</f>
        <v>1883.2673537579096</v>
      </c>
      <c r="P82" s="2">
        <f>IF(AND(C82&gt;'PV IN'!$I$12*12+'PV IN'!$I$13*12,C82&lt;='PV IN'!$I$12*12+'PV IN'!$I$13*12+'PV IN'!$I$14*12),'PV IN'!$E$14*PVCalcs!G82/1000,0)</f>
        <v>0</v>
      </c>
      <c r="R82" s="10">
        <f>IF(AND('PV IN'!$D$35="YES",$C82&lt;='PV IN'!$E$35*12),-'PV IN'!$E$18*'PV IN'!$E$34/12,0)</f>
        <v>0</v>
      </c>
      <c r="S82" s="10">
        <f>IF(AND('PV IN'!$D$37="YES",$C82&lt;='PV IN'!$E$37*12),-'PV IN'!$E$18*'PV IN'!$E$36/12,0)</f>
        <v>0</v>
      </c>
      <c r="U82" s="2">
        <f t="shared" si="32"/>
        <v>11087.49962193085</v>
      </c>
      <c r="V82" s="10">
        <f>PVLoan!M109</f>
        <v>0</v>
      </c>
      <c r="W82" s="2">
        <f>IF(C82='PV IN'!$I$40,IF('PV IN'!$G$40="Non-Taxable",'PV IN'!$F$40,0),0)+IF(C82='PV IN'!$I$41,IF('PV IN'!$G$41="Non-Taxable",'PV IN'!$F$41,0),0)</f>
        <v>0</v>
      </c>
      <c r="X82" s="10"/>
      <c r="Y82" s="10">
        <f>IF('PV IN'!$E$15="Non-Taxable",SUM(N82:P82),0)</f>
        <v>1883.2673537579096</v>
      </c>
      <c r="Z82" s="10">
        <f>IF('PV IN'!$E$15="Taxable",SUM(N82:P82),0)</f>
        <v>0</v>
      </c>
      <c r="AA82" s="2">
        <f>IF(C82='PV IN'!$I$40,IF('PV IN'!$G$40="Taxable",'PV IN'!$F$40,0),0)+IF(C82='PV IN'!$I$41,IF('PV IN'!$G$41="Taxable",'PV IN'!$F$41,0),0)</f>
        <v>0</v>
      </c>
      <c r="AD82" s="10">
        <f>IF('PV IN'!$D$48="YES",-U82*'PV IN'!$E$8,0)</f>
        <v>0</v>
      </c>
      <c r="AE82" s="10">
        <f>IF('PV IN'!$N$10="Yes",-PVLoan!H110,-PVLoan!L110)</f>
        <v>0</v>
      </c>
      <c r="AF82" s="10">
        <f>IF('PV IN'!$N$10="Yes",-PVLoan!F110,0)</f>
        <v>0</v>
      </c>
      <c r="AG82" s="10">
        <f>IF(AND('PV IN'!$D$35="YES",$C82&lt;='PV IN'!$E$35*12),0,-'PV IN'!$E$18*'PV IN'!$E$34/12)</f>
        <v>-750</v>
      </c>
      <c r="AH82" s="10">
        <f>IF(AND('PV IN'!$D$37="YES",$C82&lt;='PV IN'!$E$37*12),0,-'PV IN'!$E$18*'PV IN'!$E$36/12)</f>
        <v>-625</v>
      </c>
      <c r="AI82" s="2">
        <f>IF(AND('PV IN'!$D$33="YES",PVCalcs!C82=ROUNDUP('PV IN'!$H$33*12,)),-'PV IN'!$E$33*'PV IN'!$E$18,0)</f>
        <v>0</v>
      </c>
      <c r="AK82" s="2">
        <f t="shared" si="17"/>
        <v>12970.766975688761</v>
      </c>
      <c r="AL82" s="2">
        <f t="shared" si="18"/>
        <v>-1375</v>
      </c>
      <c r="AM82" s="2">
        <f t="shared" si="22"/>
        <v>11595.766975688761</v>
      </c>
      <c r="AN82" s="43"/>
      <c r="AO82" s="2">
        <f t="shared" si="19"/>
        <v>0</v>
      </c>
      <c r="AP82" s="2">
        <f t="shared" si="23"/>
        <v>-1375</v>
      </c>
      <c r="AR82" s="2">
        <f t="shared" si="24"/>
        <v>-1375</v>
      </c>
      <c r="AS82" s="2">
        <f>-AR82*'PV IN'!$E$8</f>
        <v>288.75</v>
      </c>
      <c r="AT82" s="2">
        <f>IF('PV IN'!$F$4="Battery Only",0,AM82+AS82)</f>
        <v>11884.516975688761</v>
      </c>
      <c r="AV82" s="10">
        <f t="shared" si="25"/>
        <v>-261086.09370676539</v>
      </c>
      <c r="AW82" s="2">
        <f>AT82/(1+('PV IN'!$G$9))^(C82)</f>
        <v>8654.681525658485</v>
      </c>
      <c r="AX82" s="2">
        <f>IF(C82&lt;='PV IN'!$O$22*12,AW82+AX81,NA())</f>
        <v>-459118.51527174085</v>
      </c>
      <c r="AZ82" s="10">
        <f t="shared" si="20"/>
        <v>-1375</v>
      </c>
      <c r="BA82" s="10">
        <f t="shared" si="21"/>
        <v>1883.2673537579103</v>
      </c>
      <c r="BB82" s="10">
        <f t="shared" si="26"/>
        <v>508.26735375791031</v>
      </c>
      <c r="BC82" s="10">
        <f t="shared" si="27"/>
        <v>0</v>
      </c>
      <c r="BD82" s="10">
        <f t="shared" si="28"/>
        <v>-1375</v>
      </c>
      <c r="BE82" s="2">
        <f t="shared" si="29"/>
        <v>0</v>
      </c>
      <c r="BF82" s="10">
        <f t="shared" si="30"/>
        <v>-1375</v>
      </c>
      <c r="BG82" s="2">
        <f>-BF82*'PV IN'!$E$8</f>
        <v>288.75</v>
      </c>
      <c r="BH82" s="2">
        <f>IF('PV IN'!$F$4="Battery Only",0,BB82+BG82)</f>
        <v>797.01735375791031</v>
      </c>
      <c r="BI82" s="2">
        <f>BH82/(1+('PV IN'!$G$9))^(C82)</f>
        <v>580.41327058629008</v>
      </c>
    </row>
    <row r="83" spans="2:61" x14ac:dyDescent="0.25">
      <c r="C83">
        <v>79</v>
      </c>
      <c r="D83" s="16">
        <f>D82*(1+('PV IN'!$G$6/12))</f>
        <v>7.5999999999999998E-2</v>
      </c>
      <c r="E83" s="16">
        <f>LkUP!$U$27</f>
        <v>7.6535864542804394E-2</v>
      </c>
      <c r="F83" s="16">
        <f>IF('PV IN'!$D$7="Table",E83,D83)</f>
        <v>7.6535864542804394E-2</v>
      </c>
      <c r="G83" s="33">
        <f>('PV IN'!$E$25*'PV IN'!$E$18/12)*(1-(1-'PV IN'!$E$27)/(25*12))^C82</f>
        <v>144770.14170682599</v>
      </c>
      <c r="H83" s="33">
        <f>IF('PV IN'!$D$19="YES",G83*'PV IN'!$E$21,0)</f>
        <v>0</v>
      </c>
      <c r="I83" s="33">
        <f>IF('PV IN'!$D$19="YES",'PV IN'!$E$22*BattCalcs!W83,0)</f>
        <v>0</v>
      </c>
      <c r="J83" s="33">
        <f>IF('PV IN'!$D$19="YES",'PV IN'!$E$23*BattCalcs!Y83,0)</f>
        <v>0</v>
      </c>
      <c r="K83" s="33">
        <f>BattCalcs!AF83</f>
        <v>25811.765833333331</v>
      </c>
      <c r="L83" s="33">
        <f t="shared" si="31"/>
        <v>25811.765833333331</v>
      </c>
      <c r="M83" s="33">
        <f>IF('PV IN'!$F$4="PV Only",G83,G83-SUM(H83:J83,L83))</f>
        <v>144770.14170682599</v>
      </c>
      <c r="N83" s="2">
        <f>IF(C83&lt;='PV IN'!$I$12*12,'PV IN'!$E$12*G83/1000,0)</f>
        <v>0</v>
      </c>
      <c r="O83" s="2">
        <f>IF(AND(C83&gt;'PV IN'!$I$12*12,C83&lt;='PV IN'!$I$13*12+'PV IN'!$I$12*12),'PV IN'!$E$13*PVCalcs!G83/1000,0)</f>
        <v>1882.0118421887378</v>
      </c>
      <c r="P83" s="2">
        <f>IF(AND(C83&gt;'PV IN'!$I$12*12+'PV IN'!$I$13*12,C83&lt;='PV IN'!$I$12*12+'PV IN'!$I$13*12+'PV IN'!$I$14*12),'PV IN'!$E$14*PVCalcs!G83/1000,0)</f>
        <v>0</v>
      </c>
      <c r="R83" s="10">
        <f>IF(AND('PV IN'!$D$35="YES",$C83&lt;='PV IN'!$E$35*12),-'PV IN'!$E$18*'PV IN'!$E$34/12,0)</f>
        <v>0</v>
      </c>
      <c r="S83" s="10">
        <f>IF(AND('PV IN'!$D$37="YES",$C83&lt;='PV IN'!$E$37*12),-'PV IN'!$E$18*'PV IN'!$E$36/12,0)</f>
        <v>0</v>
      </c>
      <c r="U83" s="2">
        <f t="shared" si="32"/>
        <v>11080.107955516231</v>
      </c>
      <c r="V83" s="10">
        <f>PVLoan!M110</f>
        <v>0</v>
      </c>
      <c r="W83" s="2">
        <f>IF(C83='PV IN'!$I$40,IF('PV IN'!$G$40="Non-Taxable",'PV IN'!$F$40,0),0)+IF(C83='PV IN'!$I$41,IF('PV IN'!$G$41="Non-Taxable",'PV IN'!$F$41,0),0)</f>
        <v>0</v>
      </c>
      <c r="X83" s="10"/>
      <c r="Y83" s="10">
        <f>IF('PV IN'!$E$15="Non-Taxable",SUM(N83:P83),0)</f>
        <v>1882.0118421887378</v>
      </c>
      <c r="Z83" s="10">
        <f>IF('PV IN'!$E$15="Taxable",SUM(N83:P83),0)</f>
        <v>0</v>
      </c>
      <c r="AA83" s="2">
        <f>IF(C83='PV IN'!$I$40,IF('PV IN'!$G$40="Taxable",'PV IN'!$F$40,0),0)+IF(C83='PV IN'!$I$41,IF('PV IN'!$G$41="Taxable",'PV IN'!$F$41,0),0)</f>
        <v>0</v>
      </c>
      <c r="AD83" s="10">
        <f>IF('PV IN'!$D$48="YES",-U83*'PV IN'!$E$8,0)</f>
        <v>0</v>
      </c>
      <c r="AE83" s="10">
        <f>IF('PV IN'!$N$10="Yes",-PVLoan!H111,-PVLoan!L111)</f>
        <v>0</v>
      </c>
      <c r="AF83" s="10">
        <f>IF('PV IN'!$N$10="Yes",-PVLoan!F111,0)</f>
        <v>0</v>
      </c>
      <c r="AG83" s="10">
        <f>IF(AND('PV IN'!$D$35="YES",$C83&lt;='PV IN'!$E$35*12),0,-'PV IN'!$E$18*'PV IN'!$E$34/12)</f>
        <v>-750</v>
      </c>
      <c r="AH83" s="10">
        <f>IF(AND('PV IN'!$D$37="YES",$C83&lt;='PV IN'!$E$37*12),0,-'PV IN'!$E$18*'PV IN'!$E$36/12)</f>
        <v>-625</v>
      </c>
      <c r="AI83" s="2">
        <f>IF(AND('PV IN'!$D$33="YES",PVCalcs!C83=ROUNDUP('PV IN'!$H$33*12,)),-'PV IN'!$E$33*'PV IN'!$E$18,0)</f>
        <v>0</v>
      </c>
      <c r="AK83" s="2">
        <f t="shared" si="17"/>
        <v>12962.119797704969</v>
      </c>
      <c r="AL83" s="2">
        <f t="shared" si="18"/>
        <v>-1375</v>
      </c>
      <c r="AM83" s="2">
        <f t="shared" si="22"/>
        <v>11587.119797704969</v>
      </c>
      <c r="AN83" s="43"/>
      <c r="AO83" s="2">
        <f t="shared" si="19"/>
        <v>0</v>
      </c>
      <c r="AP83" s="2">
        <f t="shared" si="23"/>
        <v>-1375</v>
      </c>
      <c r="AR83" s="2">
        <f t="shared" si="24"/>
        <v>-1375</v>
      </c>
      <c r="AS83" s="2">
        <f>-AR83*'PV IN'!$E$8</f>
        <v>288.75</v>
      </c>
      <c r="AT83" s="2">
        <f>IF('PV IN'!$F$4="Battery Only",0,AM83+AS83)</f>
        <v>11875.869797704969</v>
      </c>
      <c r="AV83" s="10">
        <f t="shared" si="25"/>
        <v>-249210.22390906041</v>
      </c>
      <c r="AW83" s="2">
        <f>AT83/(1+('PV IN'!$G$9))^(C83)</f>
        <v>8613.2927560081407</v>
      </c>
      <c r="AX83" s="2">
        <f>IF(C83&lt;='PV IN'!$O$22*12,AW83+AX82,NA())</f>
        <v>-450505.22251573269</v>
      </c>
      <c r="AZ83" s="10">
        <f t="shared" si="20"/>
        <v>-1375</v>
      </c>
      <c r="BA83" s="10">
        <f t="shared" si="21"/>
        <v>1882.0118421887382</v>
      </c>
      <c r="BB83" s="10">
        <f t="shared" si="26"/>
        <v>507.01184218873823</v>
      </c>
      <c r="BC83" s="10">
        <f t="shared" si="27"/>
        <v>0</v>
      </c>
      <c r="BD83" s="10">
        <f t="shared" si="28"/>
        <v>-1375</v>
      </c>
      <c r="BE83" s="2">
        <f t="shared" si="29"/>
        <v>0</v>
      </c>
      <c r="BF83" s="10">
        <f t="shared" si="30"/>
        <v>-1375</v>
      </c>
      <c r="BG83" s="2">
        <f>-BF83*'PV IN'!$E$8</f>
        <v>288.75</v>
      </c>
      <c r="BH83" s="2">
        <f>IF('PV IN'!$F$4="Battery Only",0,BB83+BG83)</f>
        <v>795.76184218873823</v>
      </c>
      <c r="BI83" s="2">
        <f>BH83/(1+('PV IN'!$G$9))^(C83)</f>
        <v>577.14759656227659</v>
      </c>
    </row>
    <row r="84" spans="2:61" x14ac:dyDescent="0.25">
      <c r="C84">
        <v>80</v>
      </c>
      <c r="D84" s="16">
        <f>D83*(1+('PV IN'!$G$6/12))</f>
        <v>7.5999999999999998E-2</v>
      </c>
      <c r="E84" s="16">
        <f>LkUP!$U$27</f>
        <v>7.6535864542804394E-2</v>
      </c>
      <c r="F84" s="16">
        <f>IF('PV IN'!$D$7="Table",E84,D84)</f>
        <v>7.6535864542804394E-2</v>
      </c>
      <c r="G84" s="33">
        <f>('PV IN'!$E$25*'PV IN'!$E$18/12)*(1-(1-'PV IN'!$E$27)/(25*12))^C83</f>
        <v>144673.62827902145</v>
      </c>
      <c r="H84" s="33">
        <f>IF('PV IN'!$D$19="YES",G84*'PV IN'!$E$21,0)</f>
        <v>0</v>
      </c>
      <c r="I84" s="33">
        <f>IF('PV IN'!$D$19="YES",'PV IN'!$E$22*BattCalcs!W84,0)</f>
        <v>0</v>
      </c>
      <c r="J84" s="33">
        <f>IF('PV IN'!$D$19="YES",'PV IN'!$E$23*BattCalcs!Y84,0)</f>
        <v>0</v>
      </c>
      <c r="K84" s="33">
        <f>BattCalcs!AF84</f>
        <v>25811.765833333331</v>
      </c>
      <c r="L84" s="33">
        <f t="shared" si="31"/>
        <v>25811.765833333331</v>
      </c>
      <c r="M84" s="33">
        <f>IF('PV IN'!$F$4="PV Only",G84,G84-SUM(H84:J84,L84))</f>
        <v>144673.62827902145</v>
      </c>
      <c r="N84" s="2">
        <f>IF(C84&lt;='PV IN'!$I$12*12,'PV IN'!$E$12*G84/1000,0)</f>
        <v>0</v>
      </c>
      <c r="O84" s="2">
        <f>IF(AND(C84&gt;'PV IN'!$I$12*12,C84&lt;='PV IN'!$I$13*12+'PV IN'!$I$12*12),'PV IN'!$E$13*PVCalcs!G84/1000,0)</f>
        <v>1880.7571676272787</v>
      </c>
      <c r="P84" s="2">
        <f>IF(AND(C84&gt;'PV IN'!$I$12*12+'PV IN'!$I$13*12,C84&lt;='PV IN'!$I$12*12+'PV IN'!$I$13*12+'PV IN'!$I$14*12),'PV IN'!$E$14*PVCalcs!G84/1000,0)</f>
        <v>0</v>
      </c>
      <c r="R84" s="10">
        <f>IF(AND('PV IN'!$D$35="YES",$C84&lt;='PV IN'!$E$35*12),-'PV IN'!$E$18*'PV IN'!$E$34/12,0)</f>
        <v>0</v>
      </c>
      <c r="S84" s="10">
        <f>IF(AND('PV IN'!$D$37="YES",$C84&lt;='PV IN'!$E$37*12),-'PV IN'!$E$18*'PV IN'!$E$36/12,0)</f>
        <v>0</v>
      </c>
      <c r="U84" s="2">
        <f t="shared" si="32"/>
        <v>11072.721216879221</v>
      </c>
      <c r="V84" s="10">
        <f>PVLoan!M111</f>
        <v>0</v>
      </c>
      <c r="W84" s="2">
        <f>IF(C84='PV IN'!$I$40,IF('PV IN'!$G$40="Non-Taxable",'PV IN'!$F$40,0),0)+IF(C84='PV IN'!$I$41,IF('PV IN'!$G$41="Non-Taxable",'PV IN'!$F$41,0),0)</f>
        <v>0</v>
      </c>
      <c r="X84" s="10"/>
      <c r="Y84" s="10">
        <f>IF('PV IN'!$E$15="Non-Taxable",SUM(N84:P84),0)</f>
        <v>1880.7571676272787</v>
      </c>
      <c r="Z84" s="10">
        <f>IF('PV IN'!$E$15="Taxable",SUM(N84:P84),0)</f>
        <v>0</v>
      </c>
      <c r="AA84" s="2">
        <f>IF(C84='PV IN'!$I$40,IF('PV IN'!$G$40="Taxable",'PV IN'!$F$40,0),0)+IF(C84='PV IN'!$I$41,IF('PV IN'!$G$41="Taxable",'PV IN'!$F$41,0),0)</f>
        <v>0</v>
      </c>
      <c r="AD84" s="10">
        <f>IF('PV IN'!$D$48="YES",-U84*'PV IN'!$E$8,0)</f>
        <v>0</v>
      </c>
      <c r="AE84" s="10">
        <f>IF('PV IN'!$N$10="Yes",-PVLoan!H112,-PVLoan!L112)</f>
        <v>0</v>
      </c>
      <c r="AF84" s="10">
        <f>IF('PV IN'!$N$10="Yes",-PVLoan!F112,0)</f>
        <v>0</v>
      </c>
      <c r="AG84" s="10">
        <f>IF(AND('PV IN'!$D$35="YES",$C84&lt;='PV IN'!$E$35*12),0,-'PV IN'!$E$18*'PV IN'!$E$34/12)</f>
        <v>-750</v>
      </c>
      <c r="AH84" s="10">
        <f>IF(AND('PV IN'!$D$37="YES",$C84&lt;='PV IN'!$E$37*12),0,-'PV IN'!$E$18*'PV IN'!$E$36/12)</f>
        <v>-625</v>
      </c>
      <c r="AI84" s="2">
        <f>IF(AND('PV IN'!$D$33="YES",PVCalcs!C84=ROUNDUP('PV IN'!$H$33*12,)),-'PV IN'!$E$33*'PV IN'!$E$18,0)</f>
        <v>0</v>
      </c>
      <c r="AK84" s="2">
        <f t="shared" si="17"/>
        <v>12953.478384506499</v>
      </c>
      <c r="AL84" s="2">
        <f t="shared" si="18"/>
        <v>-1375</v>
      </c>
      <c r="AM84" s="2">
        <f t="shared" si="22"/>
        <v>11578.478384506499</v>
      </c>
      <c r="AN84" s="43"/>
      <c r="AO84" s="2">
        <f t="shared" si="19"/>
        <v>0</v>
      </c>
      <c r="AP84" s="2">
        <f t="shared" si="23"/>
        <v>-1375</v>
      </c>
      <c r="AR84" s="2">
        <f t="shared" si="24"/>
        <v>-1375</v>
      </c>
      <c r="AS84" s="2">
        <f>-AR84*'PV IN'!$E$8</f>
        <v>288.75</v>
      </c>
      <c r="AT84" s="2">
        <f>IF('PV IN'!$F$4="Battery Only",0,AM84+AS84)</f>
        <v>11867.228384506499</v>
      </c>
      <c r="AV84" s="10">
        <f t="shared" si="25"/>
        <v>-237342.9955245539</v>
      </c>
      <c r="AW84" s="2">
        <f>AT84/(1+('PV IN'!$G$9))^(C84)</f>
        <v>8572.1015368131939</v>
      </c>
      <c r="AX84" s="2">
        <f>IF(C84&lt;='PV IN'!$O$22*12,AW84+AX83,NA())</f>
        <v>-441933.1209789195</v>
      </c>
      <c r="AZ84" s="10">
        <f t="shared" si="20"/>
        <v>-1375</v>
      </c>
      <c r="BA84" s="10">
        <f t="shared" si="21"/>
        <v>1880.7571676272782</v>
      </c>
      <c r="BB84" s="10">
        <f t="shared" si="26"/>
        <v>505.75716762727825</v>
      </c>
      <c r="BC84" s="10">
        <f t="shared" si="27"/>
        <v>0</v>
      </c>
      <c r="BD84" s="10">
        <f t="shared" si="28"/>
        <v>-1375</v>
      </c>
      <c r="BE84" s="2">
        <f t="shared" si="29"/>
        <v>0</v>
      </c>
      <c r="BF84" s="10">
        <f t="shared" si="30"/>
        <v>-1375</v>
      </c>
      <c r="BG84" s="2">
        <f>-BF84*'PV IN'!$E$8</f>
        <v>288.75</v>
      </c>
      <c r="BH84" s="2">
        <f>IF('PV IN'!$F$4="Battery Only",0,BB84+BG84)</f>
        <v>794.50716762727825</v>
      </c>
      <c r="BI84" s="2">
        <f>BH84/(1+('PV IN'!$G$9))^(C84)</f>
        <v>573.89947272933603</v>
      </c>
    </row>
    <row r="85" spans="2:61" x14ac:dyDescent="0.25">
      <c r="C85">
        <v>81</v>
      </c>
      <c r="D85" s="16">
        <f>D84*(1+('PV IN'!$G$6/12))</f>
        <v>7.5999999999999998E-2</v>
      </c>
      <c r="E85" s="16">
        <f>LkUP!$U$27</f>
        <v>7.6535864542804394E-2</v>
      </c>
      <c r="F85" s="16">
        <f>IF('PV IN'!$D$7="Table",E85,D85)</f>
        <v>7.6535864542804394E-2</v>
      </c>
      <c r="G85" s="33">
        <f>('PV IN'!$E$25*'PV IN'!$E$18/12)*(1-(1-'PV IN'!$E$27)/(25*12))^C84</f>
        <v>144577.17919350209</v>
      </c>
      <c r="H85" s="33">
        <f>IF('PV IN'!$D$19="YES",G85*'PV IN'!$E$21,0)</f>
        <v>0</v>
      </c>
      <c r="I85" s="33">
        <f>IF('PV IN'!$D$19="YES",'PV IN'!$E$22*BattCalcs!W85,0)</f>
        <v>0</v>
      </c>
      <c r="J85" s="33">
        <f>IF('PV IN'!$D$19="YES",'PV IN'!$E$23*BattCalcs!Y85,0)</f>
        <v>0</v>
      </c>
      <c r="K85" s="33">
        <f>BattCalcs!AF85</f>
        <v>25811.765833333331</v>
      </c>
      <c r="L85" s="33">
        <f t="shared" si="31"/>
        <v>25811.765833333331</v>
      </c>
      <c r="M85" s="33">
        <f>IF('PV IN'!$F$4="PV Only",G85,G85-SUM(H85:J85,L85))</f>
        <v>144577.17919350209</v>
      </c>
      <c r="N85" s="2">
        <f>IF(C85&lt;='PV IN'!$I$12*12,'PV IN'!$E$12*G85/1000,0)</f>
        <v>0</v>
      </c>
      <c r="O85" s="2">
        <f>IF(AND(C85&gt;'PV IN'!$I$12*12,C85&lt;='PV IN'!$I$13*12+'PV IN'!$I$12*12),'PV IN'!$E$13*PVCalcs!G85/1000,0)</f>
        <v>1879.5033295155272</v>
      </c>
      <c r="P85" s="2">
        <f>IF(AND(C85&gt;'PV IN'!$I$12*12+'PV IN'!$I$13*12,C85&lt;='PV IN'!$I$12*12+'PV IN'!$I$13*12+'PV IN'!$I$14*12),'PV IN'!$E$14*PVCalcs!G85/1000,0)</f>
        <v>0</v>
      </c>
      <c r="R85" s="10">
        <f>IF(AND('PV IN'!$D$35="YES",$C85&lt;='PV IN'!$E$35*12),-'PV IN'!$E$18*'PV IN'!$E$34/12,0)</f>
        <v>0</v>
      </c>
      <c r="S85" s="10">
        <f>IF(AND('PV IN'!$D$37="YES",$C85&lt;='PV IN'!$E$37*12),-'PV IN'!$E$18*'PV IN'!$E$36/12,0)</f>
        <v>0</v>
      </c>
      <c r="U85" s="2">
        <f t="shared" si="32"/>
        <v>11065.339402734633</v>
      </c>
      <c r="V85" s="10">
        <f>PVLoan!M112</f>
        <v>0</v>
      </c>
      <c r="W85" s="2">
        <f>IF(C85='PV IN'!$I$40,IF('PV IN'!$G$40="Non-Taxable",'PV IN'!$F$40,0),0)+IF(C85='PV IN'!$I$41,IF('PV IN'!$G$41="Non-Taxable",'PV IN'!$F$41,0),0)</f>
        <v>0</v>
      </c>
      <c r="X85" s="10"/>
      <c r="Y85" s="10">
        <f>IF('PV IN'!$E$15="Non-Taxable",SUM(N85:P85),0)</f>
        <v>1879.5033295155272</v>
      </c>
      <c r="Z85" s="10">
        <f>IF('PV IN'!$E$15="Taxable",SUM(N85:P85),0)</f>
        <v>0</v>
      </c>
      <c r="AA85" s="2">
        <f>IF(C85='PV IN'!$I$40,IF('PV IN'!$G$40="Taxable",'PV IN'!$F$40,0),0)+IF(C85='PV IN'!$I$41,IF('PV IN'!$G$41="Taxable",'PV IN'!$F$41,0),0)</f>
        <v>0</v>
      </c>
      <c r="AD85" s="10">
        <f>IF('PV IN'!$D$48="YES",-U85*'PV IN'!$E$8,0)</f>
        <v>0</v>
      </c>
      <c r="AE85" s="10">
        <f>IF('PV IN'!$N$10="Yes",-PVLoan!H113,-PVLoan!L113)</f>
        <v>0</v>
      </c>
      <c r="AF85" s="10">
        <f>IF('PV IN'!$N$10="Yes",-PVLoan!F113,0)</f>
        <v>0</v>
      </c>
      <c r="AG85" s="10">
        <f>IF(AND('PV IN'!$D$35="YES",$C85&lt;='PV IN'!$E$35*12),0,-'PV IN'!$E$18*'PV IN'!$E$34/12)</f>
        <v>-750</v>
      </c>
      <c r="AH85" s="10">
        <f>IF(AND('PV IN'!$D$37="YES",$C85&lt;='PV IN'!$E$37*12),0,-'PV IN'!$E$18*'PV IN'!$E$36/12)</f>
        <v>-625</v>
      </c>
      <c r="AI85" s="2">
        <f>IF(AND('PV IN'!$D$33="YES",PVCalcs!C85=ROUNDUP('PV IN'!$H$33*12,)),-'PV IN'!$E$33*'PV IN'!$E$18,0)</f>
        <v>0</v>
      </c>
      <c r="AK85" s="2">
        <f t="shared" si="17"/>
        <v>12944.842732250159</v>
      </c>
      <c r="AL85" s="2">
        <f t="shared" si="18"/>
        <v>-1375</v>
      </c>
      <c r="AM85" s="2">
        <f t="shared" si="22"/>
        <v>11569.842732250159</v>
      </c>
      <c r="AN85" s="43"/>
      <c r="AO85" s="2">
        <f t="shared" si="19"/>
        <v>0</v>
      </c>
      <c r="AP85" s="2">
        <f t="shared" si="23"/>
        <v>-1375</v>
      </c>
      <c r="AR85" s="2">
        <f t="shared" si="24"/>
        <v>-1375</v>
      </c>
      <c r="AS85" s="2">
        <f>-AR85*'PV IN'!$E$8</f>
        <v>288.75</v>
      </c>
      <c r="AT85" s="2">
        <f>IF('PV IN'!$F$4="Battery Only",0,AM85+AS85)</f>
        <v>11858.592732250159</v>
      </c>
      <c r="AV85" s="10">
        <f t="shared" si="25"/>
        <v>-225484.40279230374</v>
      </c>
      <c r="AW85" s="2">
        <f>AT85/(1+('PV IN'!$G$9))^(C85)</f>
        <v>8531.1069266811755</v>
      </c>
      <c r="AX85" s="2">
        <f>IF(C85&lt;='PV IN'!$O$22*12,AW85+AX84,NA())</f>
        <v>-433402.01405223832</v>
      </c>
      <c r="AZ85" s="10">
        <f t="shared" si="20"/>
        <v>-1375</v>
      </c>
      <c r="BA85" s="10">
        <f t="shared" si="21"/>
        <v>1879.5033295155263</v>
      </c>
      <c r="BB85" s="10">
        <f t="shared" si="26"/>
        <v>504.50332951552627</v>
      </c>
      <c r="BC85" s="10">
        <f t="shared" si="27"/>
        <v>0</v>
      </c>
      <c r="BD85" s="10">
        <f t="shared" si="28"/>
        <v>-1375</v>
      </c>
      <c r="BE85" s="2">
        <f t="shared" si="29"/>
        <v>0</v>
      </c>
      <c r="BF85" s="10">
        <f t="shared" si="30"/>
        <v>-1375</v>
      </c>
      <c r="BG85" s="2">
        <f>-BF85*'PV IN'!$E$8</f>
        <v>288.75</v>
      </c>
      <c r="BH85" s="2">
        <f>IF('PV IN'!$F$4="Battery Only",0,BB85+BG85)</f>
        <v>793.25332951552627</v>
      </c>
      <c r="BI85" s="2">
        <f>BH85/(1+('PV IN'!$G$9))^(C85)</f>
        <v>570.66880757601632</v>
      </c>
    </row>
    <row r="86" spans="2:61" x14ac:dyDescent="0.25">
      <c r="C86">
        <v>82</v>
      </c>
      <c r="D86" s="16">
        <f>D85*(1+('PV IN'!$G$6/12))</f>
        <v>7.5999999999999998E-2</v>
      </c>
      <c r="E86" s="16">
        <f>LkUP!$U$27</f>
        <v>7.6535864542804394E-2</v>
      </c>
      <c r="F86" s="16">
        <f>IF('PV IN'!$D$7="Table",E86,D86)</f>
        <v>7.6535864542804394E-2</v>
      </c>
      <c r="G86" s="33">
        <f>('PV IN'!$E$25*'PV IN'!$E$18/12)*(1-(1-'PV IN'!$E$27)/(25*12))^C85</f>
        <v>144480.79440737306</v>
      </c>
      <c r="H86" s="33">
        <f>IF('PV IN'!$D$19="YES",G86*'PV IN'!$E$21,0)</f>
        <v>0</v>
      </c>
      <c r="I86" s="33">
        <f>IF('PV IN'!$D$19="YES",'PV IN'!$E$22*BattCalcs!W86,0)</f>
        <v>0</v>
      </c>
      <c r="J86" s="33">
        <f>IF('PV IN'!$D$19="YES",'PV IN'!$E$23*BattCalcs!Y86,0)</f>
        <v>0</v>
      </c>
      <c r="K86" s="33">
        <f>BattCalcs!AF86</f>
        <v>25811.765833333331</v>
      </c>
      <c r="L86" s="33">
        <f t="shared" si="31"/>
        <v>25811.765833333331</v>
      </c>
      <c r="M86" s="33">
        <f>IF('PV IN'!$F$4="PV Only",G86,G86-SUM(H86:J86,L86))</f>
        <v>144480.79440737306</v>
      </c>
      <c r="N86" s="2">
        <f>IF(C86&lt;='PV IN'!$I$12*12,'PV IN'!$E$12*G86/1000,0)</f>
        <v>0</v>
      </c>
      <c r="O86" s="2">
        <f>IF(AND(C86&gt;'PV IN'!$I$12*12,C86&lt;='PV IN'!$I$13*12+'PV IN'!$I$12*12),'PV IN'!$E$13*PVCalcs!G86/1000,0)</f>
        <v>1878.2503272958497</v>
      </c>
      <c r="P86" s="2">
        <f>IF(AND(C86&gt;'PV IN'!$I$12*12+'PV IN'!$I$13*12,C86&lt;='PV IN'!$I$12*12+'PV IN'!$I$13*12+'PV IN'!$I$14*12),'PV IN'!$E$14*PVCalcs!G86/1000,0)</f>
        <v>0</v>
      </c>
      <c r="R86" s="10">
        <f>IF(AND('PV IN'!$D$35="YES",$C86&lt;='PV IN'!$E$35*12),-'PV IN'!$E$18*'PV IN'!$E$34/12,0)</f>
        <v>0</v>
      </c>
      <c r="S86" s="10">
        <f>IF(AND('PV IN'!$D$37="YES",$C86&lt;='PV IN'!$E$37*12),-'PV IN'!$E$18*'PV IN'!$E$36/12,0)</f>
        <v>0</v>
      </c>
      <c r="U86" s="2">
        <f t="shared" si="32"/>
        <v>11057.962509799476</v>
      </c>
      <c r="V86" s="10">
        <f>PVLoan!M113</f>
        <v>0</v>
      </c>
      <c r="W86" s="2">
        <f>IF(C86='PV IN'!$I$40,IF('PV IN'!$G$40="Non-Taxable",'PV IN'!$F$40,0),0)+IF(C86='PV IN'!$I$41,IF('PV IN'!$G$41="Non-Taxable",'PV IN'!$F$41,0),0)</f>
        <v>0</v>
      </c>
      <c r="X86" s="10"/>
      <c r="Y86" s="10">
        <f>IF('PV IN'!$E$15="Non-Taxable",SUM(N86:P86),0)</f>
        <v>1878.2503272958497</v>
      </c>
      <c r="Z86" s="10">
        <f>IF('PV IN'!$E$15="Taxable",SUM(N86:P86),0)</f>
        <v>0</v>
      </c>
      <c r="AA86" s="2">
        <f>IF(C86='PV IN'!$I$40,IF('PV IN'!$G$40="Taxable",'PV IN'!$F$40,0),0)+IF(C86='PV IN'!$I$41,IF('PV IN'!$G$41="Taxable",'PV IN'!$F$41,0),0)</f>
        <v>0</v>
      </c>
      <c r="AD86" s="10">
        <f>IF('PV IN'!$D$48="YES",-U86*'PV IN'!$E$8,0)</f>
        <v>0</v>
      </c>
      <c r="AE86" s="10">
        <f>IF('PV IN'!$N$10="Yes",-PVLoan!H114,-PVLoan!L114)</f>
        <v>0</v>
      </c>
      <c r="AF86" s="10">
        <f>IF('PV IN'!$N$10="Yes",-PVLoan!F114,0)</f>
        <v>0</v>
      </c>
      <c r="AG86" s="10">
        <f>IF(AND('PV IN'!$D$35="YES",$C86&lt;='PV IN'!$E$35*12),0,-'PV IN'!$E$18*'PV IN'!$E$34/12)</f>
        <v>-750</v>
      </c>
      <c r="AH86" s="10">
        <f>IF(AND('PV IN'!$D$37="YES",$C86&lt;='PV IN'!$E$37*12),0,-'PV IN'!$E$18*'PV IN'!$E$36/12)</f>
        <v>-625</v>
      </c>
      <c r="AI86" s="2">
        <f>IF(AND('PV IN'!$D$33="YES",PVCalcs!C86=ROUNDUP('PV IN'!$H$33*12,)),-'PV IN'!$E$33*'PV IN'!$E$18,0)</f>
        <v>0</v>
      </c>
      <c r="AK86" s="2">
        <f t="shared" si="17"/>
        <v>12936.212837095325</v>
      </c>
      <c r="AL86" s="2">
        <f t="shared" si="18"/>
        <v>-1375</v>
      </c>
      <c r="AM86" s="2">
        <f t="shared" si="22"/>
        <v>11561.212837095325</v>
      </c>
      <c r="AN86" s="43"/>
      <c r="AO86" s="2">
        <f t="shared" si="19"/>
        <v>0</v>
      </c>
      <c r="AP86" s="2">
        <f t="shared" si="23"/>
        <v>-1375</v>
      </c>
      <c r="AR86" s="2">
        <f t="shared" si="24"/>
        <v>-1375</v>
      </c>
      <c r="AS86" s="2">
        <f>-AR86*'PV IN'!$E$8</f>
        <v>288.75</v>
      </c>
      <c r="AT86" s="2">
        <f>IF('PV IN'!$F$4="Battery Only",0,AM86+AS86)</f>
        <v>11849.962837095325</v>
      </c>
      <c r="AV86" s="10">
        <f t="shared" si="25"/>
        <v>-213634.43995520842</v>
      </c>
      <c r="AW86" s="2">
        <f>AT86/(1+('PV IN'!$G$9))^(C86)</f>
        <v>8490.3079886995456</v>
      </c>
      <c r="AX86" s="2">
        <f>IF(C86&lt;='PV IN'!$O$22*12,AW86+AX85,NA())</f>
        <v>-424911.70606353879</v>
      </c>
      <c r="AZ86" s="10">
        <f t="shared" si="20"/>
        <v>-1375</v>
      </c>
      <c r="BA86" s="10">
        <f t="shared" si="21"/>
        <v>1878.2503272958493</v>
      </c>
      <c r="BB86" s="10">
        <f t="shared" si="26"/>
        <v>503.25032729584927</v>
      </c>
      <c r="BC86" s="10">
        <f t="shared" si="27"/>
        <v>0</v>
      </c>
      <c r="BD86" s="10">
        <f t="shared" si="28"/>
        <v>-1375</v>
      </c>
      <c r="BE86" s="2">
        <f t="shared" si="29"/>
        <v>0</v>
      </c>
      <c r="BF86" s="10">
        <f t="shared" si="30"/>
        <v>-1375</v>
      </c>
      <c r="BG86" s="2">
        <f>-BF86*'PV IN'!$E$8</f>
        <v>288.75</v>
      </c>
      <c r="BH86" s="2">
        <f>IF('PV IN'!$F$4="Battery Only",0,BB86+BG86)</f>
        <v>792.00032729584927</v>
      </c>
      <c r="BI86" s="2">
        <f>BH86/(1+('PV IN'!$G$9))^(C86)</f>
        <v>567.45551005802793</v>
      </c>
    </row>
    <row r="87" spans="2:61" x14ac:dyDescent="0.25">
      <c r="C87">
        <v>83</v>
      </c>
      <c r="D87" s="16">
        <f>D86*(1+('PV IN'!$G$6/12))</f>
        <v>7.5999999999999998E-2</v>
      </c>
      <c r="E87" s="16">
        <f>LkUP!$U$27</f>
        <v>7.6535864542804394E-2</v>
      </c>
      <c r="F87" s="16">
        <f>IF('PV IN'!$D$7="Table",E87,D87)</f>
        <v>7.6535864542804394E-2</v>
      </c>
      <c r="G87" s="33">
        <f>('PV IN'!$E$25*'PV IN'!$E$18/12)*(1-(1-'PV IN'!$E$27)/(25*12))^C86</f>
        <v>144384.47387776815</v>
      </c>
      <c r="H87" s="33">
        <f>IF('PV IN'!$D$19="YES",G87*'PV IN'!$E$21,0)</f>
        <v>0</v>
      </c>
      <c r="I87" s="33">
        <f>IF('PV IN'!$D$19="YES",'PV IN'!$E$22*BattCalcs!W87,0)</f>
        <v>0</v>
      </c>
      <c r="J87" s="33">
        <f>IF('PV IN'!$D$19="YES",'PV IN'!$E$23*BattCalcs!Y87,0)</f>
        <v>0</v>
      </c>
      <c r="K87" s="33">
        <f>BattCalcs!AF87</f>
        <v>25811.765833333331</v>
      </c>
      <c r="L87" s="33">
        <f t="shared" si="31"/>
        <v>25811.765833333331</v>
      </c>
      <c r="M87" s="33">
        <f>IF('PV IN'!$F$4="PV Only",G87,G87-SUM(H87:J87,L87))</f>
        <v>144384.47387776815</v>
      </c>
      <c r="N87" s="2">
        <f>IF(C87&lt;='PV IN'!$I$12*12,'PV IN'!$E$12*G87/1000,0)</f>
        <v>0</v>
      </c>
      <c r="O87" s="2">
        <f>IF(AND(C87&gt;'PV IN'!$I$12*12,C87&lt;='PV IN'!$I$13*12+'PV IN'!$I$12*12),'PV IN'!$E$13*PVCalcs!G87/1000,0)</f>
        <v>1876.9981604109857</v>
      </c>
      <c r="P87" s="2">
        <f>IF(AND(C87&gt;'PV IN'!$I$12*12+'PV IN'!$I$13*12,C87&lt;='PV IN'!$I$12*12+'PV IN'!$I$13*12+'PV IN'!$I$14*12),'PV IN'!$E$14*PVCalcs!G87/1000,0)</f>
        <v>0</v>
      </c>
      <c r="R87" s="10">
        <f>IF(AND('PV IN'!$D$35="YES",$C87&lt;='PV IN'!$E$35*12),-'PV IN'!$E$18*'PV IN'!$E$34/12,0)</f>
        <v>0</v>
      </c>
      <c r="S87" s="10">
        <f>IF(AND('PV IN'!$D$37="YES",$C87&lt;='PV IN'!$E$37*12),-'PV IN'!$E$18*'PV IN'!$E$36/12,0)</f>
        <v>0</v>
      </c>
      <c r="U87" s="2">
        <f t="shared" si="32"/>
        <v>11050.590534792942</v>
      </c>
      <c r="V87" s="10">
        <f>PVLoan!M114</f>
        <v>0</v>
      </c>
      <c r="W87" s="2">
        <f>IF(C87='PV IN'!$I$40,IF('PV IN'!$G$40="Non-Taxable",'PV IN'!$F$40,0),0)+IF(C87='PV IN'!$I$41,IF('PV IN'!$G$41="Non-Taxable",'PV IN'!$F$41,0),0)</f>
        <v>0</v>
      </c>
      <c r="X87" s="10"/>
      <c r="Y87" s="10">
        <f>IF('PV IN'!$E$15="Non-Taxable",SUM(N87:P87),0)</f>
        <v>1876.9981604109857</v>
      </c>
      <c r="Z87" s="10">
        <f>IF('PV IN'!$E$15="Taxable",SUM(N87:P87),0)</f>
        <v>0</v>
      </c>
      <c r="AA87" s="2">
        <f>IF(C87='PV IN'!$I$40,IF('PV IN'!$G$40="Taxable",'PV IN'!$F$40,0),0)+IF(C87='PV IN'!$I$41,IF('PV IN'!$G$41="Taxable",'PV IN'!$F$41,0),0)</f>
        <v>0</v>
      </c>
      <c r="AD87" s="10">
        <f>IF('PV IN'!$D$48="YES",-U87*'PV IN'!$E$8,0)</f>
        <v>0</v>
      </c>
      <c r="AE87" s="10">
        <f>IF('PV IN'!$N$10="Yes",-PVLoan!H115,-PVLoan!L115)</f>
        <v>0</v>
      </c>
      <c r="AF87" s="10">
        <f>IF('PV IN'!$N$10="Yes",-PVLoan!F115,0)</f>
        <v>0</v>
      </c>
      <c r="AG87" s="10">
        <f>IF(AND('PV IN'!$D$35="YES",$C87&lt;='PV IN'!$E$35*12),0,-'PV IN'!$E$18*'PV IN'!$E$34/12)</f>
        <v>-750</v>
      </c>
      <c r="AH87" s="10">
        <f>IF(AND('PV IN'!$D$37="YES",$C87&lt;='PV IN'!$E$37*12),0,-'PV IN'!$E$18*'PV IN'!$E$36/12)</f>
        <v>-625</v>
      </c>
      <c r="AI87" s="2">
        <f>IF(AND('PV IN'!$D$33="YES",PVCalcs!C87=ROUNDUP('PV IN'!$H$33*12,)),-'PV IN'!$E$33*'PV IN'!$E$18,0)</f>
        <v>0</v>
      </c>
      <c r="AK87" s="2">
        <f t="shared" si="17"/>
        <v>12927.588695203927</v>
      </c>
      <c r="AL87" s="2">
        <f t="shared" si="18"/>
        <v>-1375</v>
      </c>
      <c r="AM87" s="2">
        <f t="shared" si="22"/>
        <v>11552.588695203927</v>
      </c>
      <c r="AN87" s="43"/>
      <c r="AO87" s="2">
        <f t="shared" si="19"/>
        <v>0</v>
      </c>
      <c r="AP87" s="2">
        <f t="shared" si="23"/>
        <v>-1375</v>
      </c>
      <c r="AR87" s="2">
        <f t="shared" si="24"/>
        <v>-1375</v>
      </c>
      <c r="AS87" s="2">
        <f>-AR87*'PV IN'!$E$8</f>
        <v>288.75</v>
      </c>
      <c r="AT87" s="2">
        <f>IF('PV IN'!$F$4="Battery Only",0,AM87+AS87)</f>
        <v>11841.338695203927</v>
      </c>
      <c r="AV87" s="10">
        <f t="shared" si="25"/>
        <v>-201793.10126000451</v>
      </c>
      <c r="AW87" s="2">
        <f>AT87/(1+('PV IN'!$G$9))^(C87)</f>
        <v>8449.7037904143872</v>
      </c>
      <c r="AX87" s="2">
        <f>IF(C87&lt;='PV IN'!$O$22*12,AW87+AX86,NA())</f>
        <v>-416462.00227312441</v>
      </c>
      <c r="AZ87" s="10">
        <f t="shared" si="20"/>
        <v>-1375</v>
      </c>
      <c r="BA87" s="10">
        <f t="shared" si="21"/>
        <v>1876.9981604109853</v>
      </c>
      <c r="BB87" s="10">
        <f t="shared" si="26"/>
        <v>501.99816041098529</v>
      </c>
      <c r="BC87" s="10">
        <f t="shared" si="27"/>
        <v>0</v>
      </c>
      <c r="BD87" s="10">
        <f t="shared" si="28"/>
        <v>-1375</v>
      </c>
      <c r="BE87" s="2">
        <f t="shared" si="29"/>
        <v>0</v>
      </c>
      <c r="BF87" s="10">
        <f t="shared" si="30"/>
        <v>-1375</v>
      </c>
      <c r="BG87" s="2">
        <f>-BF87*'PV IN'!$E$8</f>
        <v>288.75</v>
      </c>
      <c r="BH87" s="2">
        <f>IF('PV IN'!$F$4="Battery Only",0,BB87+BG87)</f>
        <v>790.74816041098529</v>
      </c>
      <c r="BI87" s="2">
        <f>BH87/(1+('PV IN'!$G$9))^(C87)</f>
        <v>564.25948959589641</v>
      </c>
    </row>
    <row r="88" spans="2:61" x14ac:dyDescent="0.25">
      <c r="B88">
        <v>7</v>
      </c>
      <c r="C88">
        <v>84</v>
      </c>
      <c r="D88" s="16">
        <f>D87*(1+('PV IN'!$G$6/12))</f>
        <v>7.5999999999999998E-2</v>
      </c>
      <c r="E88" s="16">
        <f>LkUP!$U$27</f>
        <v>7.6535864542804394E-2</v>
      </c>
      <c r="F88" s="16">
        <f>IF('PV IN'!$D$7="Table",E88,D88)</f>
        <v>7.6535864542804394E-2</v>
      </c>
      <c r="G88" s="33">
        <f>('PV IN'!$E$25*'PV IN'!$E$18/12)*(1-(1-'PV IN'!$E$27)/(25*12))^C87</f>
        <v>144288.21756184963</v>
      </c>
      <c r="H88" s="33">
        <f>IF('PV IN'!$D$19="YES",G88*'PV IN'!$E$21,0)</f>
        <v>0</v>
      </c>
      <c r="I88" s="33">
        <f>IF('PV IN'!$D$19="YES",'PV IN'!$E$22*BattCalcs!W88,0)</f>
        <v>0</v>
      </c>
      <c r="J88" s="33">
        <f>IF('PV IN'!$D$19="YES",'PV IN'!$E$23*BattCalcs!Y88,0)</f>
        <v>0</v>
      </c>
      <c r="K88" s="33">
        <f>BattCalcs!AF88</f>
        <v>25811.765833333331</v>
      </c>
      <c r="L88" s="33">
        <f t="shared" si="31"/>
        <v>25811.765833333331</v>
      </c>
      <c r="M88" s="33">
        <f>IF('PV IN'!$F$4="PV Only",G88,G88-SUM(H88:J88,L88))</f>
        <v>144288.21756184963</v>
      </c>
      <c r="N88" s="2">
        <f>IF(C88&lt;='PV IN'!$I$12*12,'PV IN'!$E$12*G88/1000,0)</f>
        <v>0</v>
      </c>
      <c r="O88" s="2">
        <f>IF(AND(C88&gt;'PV IN'!$I$12*12,C88&lt;='PV IN'!$I$13*12+'PV IN'!$I$12*12),'PV IN'!$E$13*PVCalcs!G88/1000,0)</f>
        <v>1875.746828304045</v>
      </c>
      <c r="P88" s="2">
        <f>IF(AND(C88&gt;'PV IN'!$I$12*12+'PV IN'!$I$13*12,C88&lt;='PV IN'!$I$12*12+'PV IN'!$I$13*12+'PV IN'!$I$14*12),'PV IN'!$E$14*PVCalcs!G88/1000,0)</f>
        <v>0</v>
      </c>
      <c r="R88" s="10">
        <f>IF(AND('PV IN'!$D$35="YES",$C88&lt;='PV IN'!$E$35*12),-'PV IN'!$E$18*'PV IN'!$E$34/12,0)</f>
        <v>0</v>
      </c>
      <c r="S88" s="10">
        <f>IF(AND('PV IN'!$D$37="YES",$C88&lt;='PV IN'!$E$37*12),-'PV IN'!$E$18*'PV IN'!$E$36/12,0)</f>
        <v>0</v>
      </c>
      <c r="U88" s="2">
        <f t="shared" si="32"/>
        <v>11043.223474436412</v>
      </c>
      <c r="V88" s="10">
        <f>PVLoan!M115</f>
        <v>0</v>
      </c>
      <c r="W88" s="2">
        <f>IF(C88='PV IN'!$I$40,IF('PV IN'!$G$40="Non-Taxable",'PV IN'!$F$40,0),0)+IF(C88='PV IN'!$I$41,IF('PV IN'!$G$41="Non-Taxable",'PV IN'!$F$41,0),0)</f>
        <v>0</v>
      </c>
      <c r="X88" s="10"/>
      <c r="Y88" s="10">
        <f>IF('PV IN'!$E$15="Non-Taxable",SUM(N88:P88),0)</f>
        <v>1875.746828304045</v>
      </c>
      <c r="Z88" s="10">
        <f>IF('PV IN'!$E$15="Taxable",SUM(N88:P88),0)</f>
        <v>0</v>
      </c>
      <c r="AA88" s="2">
        <f>IF(C88='PV IN'!$I$40,IF('PV IN'!$G$40="Taxable",'PV IN'!$F$40,0),0)+IF(C88='PV IN'!$I$41,IF('PV IN'!$G$41="Taxable",'PV IN'!$F$41,0),0)</f>
        <v>0</v>
      </c>
      <c r="AD88" s="10">
        <f>IF('PV IN'!$D$48="YES",-U88*'PV IN'!$E$8,0)</f>
        <v>0</v>
      </c>
      <c r="AE88" s="10">
        <f>IF('PV IN'!$N$10="Yes",-PVLoan!H116,-PVLoan!L116)</f>
        <v>0</v>
      </c>
      <c r="AF88" s="10">
        <f>IF('PV IN'!$N$10="Yes",-PVLoan!F116,0)</f>
        <v>0</v>
      </c>
      <c r="AG88" s="10">
        <f>IF(AND('PV IN'!$D$35="YES",$C88&lt;='PV IN'!$E$35*12),0,-'PV IN'!$E$18*'PV IN'!$E$34/12)</f>
        <v>-750</v>
      </c>
      <c r="AH88" s="10">
        <f>IF(AND('PV IN'!$D$37="YES",$C88&lt;='PV IN'!$E$37*12),0,-'PV IN'!$E$18*'PV IN'!$E$36/12)</f>
        <v>-625</v>
      </c>
      <c r="AI88" s="2">
        <f>IF(AND('PV IN'!$D$33="YES",PVCalcs!C88=ROUNDUP('PV IN'!$H$33*12,)),-'PV IN'!$E$33*'PV IN'!$E$18,0)</f>
        <v>0</v>
      </c>
      <c r="AK88" s="2">
        <f t="shared" si="17"/>
        <v>12918.970302740458</v>
      </c>
      <c r="AL88" s="2">
        <f t="shared" si="18"/>
        <v>-1375</v>
      </c>
      <c r="AM88" s="2">
        <f t="shared" si="22"/>
        <v>11543.970302740458</v>
      </c>
      <c r="AN88" s="43"/>
      <c r="AO88" s="2">
        <f t="shared" si="19"/>
        <v>0</v>
      </c>
      <c r="AP88" s="2">
        <f t="shared" si="23"/>
        <v>-1375</v>
      </c>
      <c r="AR88" s="2">
        <f t="shared" si="24"/>
        <v>-1375</v>
      </c>
      <c r="AS88" s="2">
        <f>-AR88*'PV IN'!$E$8</f>
        <v>288.75</v>
      </c>
      <c r="AT88" s="2">
        <f>IF('PV IN'!$F$4="Battery Only",0,AM88+AS88)</f>
        <v>11832.720302740458</v>
      </c>
      <c r="AV88" s="10">
        <f t="shared" si="25"/>
        <v>-189960.38095726405</v>
      </c>
      <c r="AW88" s="2">
        <f>AT88/(1+('PV IN'!$G$9))^(C88)</f>
        <v>8409.2934038092189</v>
      </c>
      <c r="AX88" s="2">
        <f>IF(C88&lt;='PV IN'!$O$22*12,AW88+AX87,NA())</f>
        <v>-408052.70886931522</v>
      </c>
      <c r="AZ88" s="10">
        <f t="shared" si="20"/>
        <v>-1375</v>
      </c>
      <c r="BA88" s="10">
        <f t="shared" si="21"/>
        <v>1875.7468283040453</v>
      </c>
      <c r="BB88" s="10">
        <f t="shared" si="26"/>
        <v>500.74682830404527</v>
      </c>
      <c r="BC88" s="10">
        <f t="shared" si="27"/>
        <v>0</v>
      </c>
      <c r="BD88" s="10">
        <f t="shared" si="28"/>
        <v>-1375</v>
      </c>
      <c r="BE88" s="2">
        <f t="shared" si="29"/>
        <v>0</v>
      </c>
      <c r="BF88" s="10">
        <f t="shared" si="30"/>
        <v>-1375</v>
      </c>
      <c r="BG88" s="2">
        <f>-BF88*'PV IN'!$E$8</f>
        <v>288.75</v>
      </c>
      <c r="BH88" s="2">
        <f>IF('PV IN'!$F$4="Battery Only",0,BB88+BG88)</f>
        <v>789.49682830404527</v>
      </c>
      <c r="BI88" s="2">
        <f>BH88/(1+('PV IN'!$G$9))^(C88)</f>
        <v>561.08065607262677</v>
      </c>
    </row>
    <row r="89" spans="2:61" x14ac:dyDescent="0.25">
      <c r="C89">
        <v>85</v>
      </c>
      <c r="D89" s="16">
        <f>D88*(1+('PV IN'!$G$6/12))</f>
        <v>7.5999999999999998E-2</v>
      </c>
      <c r="E89" s="16">
        <f>LkUP!$U$28</f>
        <v>7.6982989165910107E-2</v>
      </c>
      <c r="F89" s="16">
        <f>IF('PV IN'!$D$7="Table",E89,D89)</f>
        <v>7.6982989165910107E-2</v>
      </c>
      <c r="G89" s="33">
        <f>('PV IN'!$E$25*'PV IN'!$E$18/12)*(1-(1-'PV IN'!$E$27)/(25*12))^C88</f>
        <v>144192.02541680841</v>
      </c>
      <c r="H89" s="33">
        <f>IF('PV IN'!$D$19="YES",G89*'PV IN'!$E$21,0)</f>
        <v>0</v>
      </c>
      <c r="I89" s="33">
        <f>IF('PV IN'!$D$19="YES",'PV IN'!$E$22*BattCalcs!W89,0)</f>
        <v>0</v>
      </c>
      <c r="J89" s="33">
        <f>IF('PV IN'!$D$19="YES",'PV IN'!$E$23*BattCalcs!Y89,0)</f>
        <v>0</v>
      </c>
      <c r="K89" s="33">
        <f>BattCalcs!AF89</f>
        <v>25811.765833333331</v>
      </c>
      <c r="L89" s="33">
        <f t="shared" si="31"/>
        <v>25811.765833333331</v>
      </c>
      <c r="M89" s="33">
        <f>IF('PV IN'!$F$4="PV Only",G89,G89-SUM(H89:J89,L89))</f>
        <v>144192.02541680841</v>
      </c>
      <c r="N89" s="2">
        <f>IF(C89&lt;='PV IN'!$I$12*12,'PV IN'!$E$12*G89/1000,0)</f>
        <v>0</v>
      </c>
      <c r="O89" s="2">
        <f>IF(AND(C89&gt;'PV IN'!$I$12*12,C89&lt;='PV IN'!$I$13*12+'PV IN'!$I$12*12),'PV IN'!$E$13*PVCalcs!G89/1000,0)</f>
        <v>1874.4963304185092</v>
      </c>
      <c r="P89" s="2">
        <f>IF(AND(C89&gt;'PV IN'!$I$12*12+'PV IN'!$I$13*12,C89&lt;='PV IN'!$I$12*12+'PV IN'!$I$13*12+'PV IN'!$I$14*12),'PV IN'!$E$14*PVCalcs!G89/1000,0)</f>
        <v>0</v>
      </c>
      <c r="R89" s="10">
        <f>IF(AND('PV IN'!$D$35="YES",$C89&lt;='PV IN'!$E$35*12),-'PV IN'!$E$18*'PV IN'!$E$34/12,0)</f>
        <v>0</v>
      </c>
      <c r="S89" s="10">
        <f>IF(AND('PV IN'!$D$37="YES",$C89&lt;='PV IN'!$E$37*12),-'PV IN'!$E$18*'PV IN'!$E$36/12,0)</f>
        <v>0</v>
      </c>
      <c r="U89" s="2">
        <f t="shared" si="32"/>
        <v>11100.333130472796</v>
      </c>
      <c r="V89" s="10">
        <f>PVLoan!M116</f>
        <v>0</v>
      </c>
      <c r="W89" s="2">
        <f>IF(C89='PV IN'!$I$40,IF('PV IN'!$G$40="Non-Taxable",'PV IN'!$F$40,0),0)+IF(C89='PV IN'!$I$41,IF('PV IN'!$G$41="Non-Taxable",'PV IN'!$F$41,0),0)</f>
        <v>0</v>
      </c>
      <c r="X89" s="10"/>
      <c r="Y89" s="10">
        <f>IF('PV IN'!$E$15="Non-Taxable",SUM(N89:P89),0)</f>
        <v>1874.4963304185092</v>
      </c>
      <c r="Z89" s="10">
        <f>IF('PV IN'!$E$15="Taxable",SUM(N89:P89),0)</f>
        <v>0</v>
      </c>
      <c r="AA89" s="2">
        <f>IF(C89='PV IN'!$I$40,IF('PV IN'!$G$40="Taxable",'PV IN'!$F$40,0),0)+IF(C89='PV IN'!$I$41,IF('PV IN'!$G$41="Taxable",'PV IN'!$F$41,0),0)</f>
        <v>0</v>
      </c>
      <c r="AD89" s="10">
        <f>IF('PV IN'!$D$48="YES",-U89*'PV IN'!$E$8,0)</f>
        <v>0</v>
      </c>
      <c r="AE89" s="10">
        <f>IF('PV IN'!$N$10="Yes",-PVLoan!H117,-PVLoan!L117)</f>
        <v>0</v>
      </c>
      <c r="AF89" s="10">
        <f>IF('PV IN'!$N$10="Yes",-PVLoan!F117,0)</f>
        <v>0</v>
      </c>
      <c r="AG89" s="10">
        <f>IF(AND('PV IN'!$D$35="YES",$C89&lt;='PV IN'!$E$35*12),0,-'PV IN'!$E$18*'PV IN'!$E$34/12)</f>
        <v>-750</v>
      </c>
      <c r="AH89" s="10">
        <f>IF(AND('PV IN'!$D$37="YES",$C89&lt;='PV IN'!$E$37*12),0,-'PV IN'!$E$18*'PV IN'!$E$36/12)</f>
        <v>-625</v>
      </c>
      <c r="AI89" s="2">
        <f>IF(AND('PV IN'!$D$33="YES",PVCalcs!C89=ROUNDUP('PV IN'!$H$33*12,)),-'PV IN'!$E$33*'PV IN'!$E$18,0)</f>
        <v>0</v>
      </c>
      <c r="AK89" s="2">
        <f t="shared" si="17"/>
        <v>12974.829460891306</v>
      </c>
      <c r="AL89" s="2">
        <f t="shared" si="18"/>
        <v>-1375</v>
      </c>
      <c r="AM89" s="2">
        <f t="shared" si="22"/>
        <v>11599.829460891306</v>
      </c>
      <c r="AN89" s="43"/>
      <c r="AO89" s="2">
        <f t="shared" si="19"/>
        <v>0</v>
      </c>
      <c r="AP89" s="2">
        <f t="shared" si="23"/>
        <v>-1375</v>
      </c>
      <c r="AR89" s="2">
        <f t="shared" si="24"/>
        <v>-1375</v>
      </c>
      <c r="AS89" s="2">
        <f>-AR89*'PV IN'!$E$8</f>
        <v>288.75</v>
      </c>
      <c r="AT89" s="2">
        <f>IF('PV IN'!$F$4="Battery Only",0,AM89+AS89)</f>
        <v>11888.579460891306</v>
      </c>
      <c r="AV89" s="10">
        <f t="shared" si="25"/>
        <v>-178071.80149637273</v>
      </c>
      <c r="AW89" s="2">
        <f>AT89/(1+('PV IN'!$G$9))^(C89)</f>
        <v>8414.7088989660551</v>
      </c>
      <c r="AX89" s="2">
        <f>IF(C89&lt;='PV IN'!$O$22*12,AW89+AX88,NA())</f>
        <v>-399637.99997034913</v>
      </c>
      <c r="AZ89" s="10">
        <f t="shared" si="20"/>
        <v>-1375</v>
      </c>
      <c r="BA89" s="10">
        <f t="shared" si="21"/>
        <v>1874.4963304185094</v>
      </c>
      <c r="BB89" s="10">
        <f t="shared" si="26"/>
        <v>499.49633041850939</v>
      </c>
      <c r="BC89" s="10">
        <f t="shared" si="27"/>
        <v>0</v>
      </c>
      <c r="BD89" s="10">
        <f t="shared" si="28"/>
        <v>-1375</v>
      </c>
      <c r="BE89" s="2">
        <f t="shared" si="29"/>
        <v>0</v>
      </c>
      <c r="BF89" s="10">
        <f t="shared" si="30"/>
        <v>-1375</v>
      </c>
      <c r="BG89" s="2">
        <f>-BF89*'PV IN'!$E$8</f>
        <v>288.75</v>
      </c>
      <c r="BH89" s="2">
        <f>IF('PV IN'!$F$4="Battery Only",0,BB89+BG89)</f>
        <v>788.24633041850939</v>
      </c>
      <c r="BI89" s="2">
        <f>BH89/(1+('PV IN'!$G$9))^(C89)</f>
        <v>557.9189198313768</v>
      </c>
    </row>
    <row r="90" spans="2:61" x14ac:dyDescent="0.25">
      <c r="C90">
        <v>86</v>
      </c>
      <c r="D90" s="16">
        <f>D89*(1+('PV IN'!$G$6/12))</f>
        <v>7.5999999999999998E-2</v>
      </c>
      <c r="E90" s="16">
        <f>LkUP!$U$28</f>
        <v>7.6982989165910107E-2</v>
      </c>
      <c r="F90" s="16">
        <f>IF('PV IN'!$D$7="Table",E90,D90)</f>
        <v>7.6982989165910107E-2</v>
      </c>
      <c r="G90" s="33">
        <f>('PV IN'!$E$25*'PV IN'!$E$18/12)*(1-(1-'PV IN'!$E$27)/(25*12))^C89</f>
        <v>144095.89739986384</v>
      </c>
      <c r="H90" s="33">
        <f>IF('PV IN'!$D$19="YES",G90*'PV IN'!$E$21,0)</f>
        <v>0</v>
      </c>
      <c r="I90" s="33">
        <f>IF('PV IN'!$D$19="YES",'PV IN'!$E$22*BattCalcs!W90,0)</f>
        <v>0</v>
      </c>
      <c r="J90" s="33">
        <f>IF('PV IN'!$D$19="YES",'PV IN'!$E$23*BattCalcs!Y90,0)</f>
        <v>0</v>
      </c>
      <c r="K90" s="33">
        <f>BattCalcs!AF90</f>
        <v>25811.765833333331</v>
      </c>
      <c r="L90" s="33">
        <f t="shared" si="31"/>
        <v>25811.765833333331</v>
      </c>
      <c r="M90" s="33">
        <f>IF('PV IN'!$F$4="PV Only",G90,G90-SUM(H90:J90,L90))</f>
        <v>144095.89739986384</v>
      </c>
      <c r="N90" s="2">
        <f>IF(C90&lt;='PV IN'!$I$12*12,'PV IN'!$E$12*G90/1000,0)</f>
        <v>0</v>
      </c>
      <c r="O90" s="2">
        <f>IF(AND(C90&gt;'PV IN'!$I$12*12,C90&lt;='PV IN'!$I$13*12+'PV IN'!$I$12*12),'PV IN'!$E$13*PVCalcs!G90/1000,0)</f>
        <v>1873.2466661982298</v>
      </c>
      <c r="P90" s="2">
        <f>IF(AND(C90&gt;'PV IN'!$I$12*12+'PV IN'!$I$13*12,C90&lt;='PV IN'!$I$12*12+'PV IN'!$I$13*12+'PV IN'!$I$14*12),'PV IN'!$E$14*PVCalcs!G90/1000,0)</f>
        <v>0</v>
      </c>
      <c r="R90" s="10">
        <f>IF(AND('PV IN'!$D$35="YES",$C90&lt;='PV IN'!$E$35*12),-'PV IN'!$E$18*'PV IN'!$E$34/12,0)</f>
        <v>0</v>
      </c>
      <c r="S90" s="10">
        <f>IF(AND('PV IN'!$D$37="YES",$C90&lt;='PV IN'!$E$37*12),-'PV IN'!$E$18*'PV IN'!$E$36/12,0)</f>
        <v>0</v>
      </c>
      <c r="U90" s="2">
        <f t="shared" si="32"/>
        <v>11092.932908385812</v>
      </c>
      <c r="V90" s="10">
        <f>PVLoan!M117</f>
        <v>0</v>
      </c>
      <c r="W90" s="2">
        <f>IF(C90='PV IN'!$I$40,IF('PV IN'!$G$40="Non-Taxable",'PV IN'!$F$40,0),0)+IF(C90='PV IN'!$I$41,IF('PV IN'!$G$41="Non-Taxable",'PV IN'!$F$41,0),0)</f>
        <v>0</v>
      </c>
      <c r="X90" s="10"/>
      <c r="Y90" s="10">
        <f>IF('PV IN'!$E$15="Non-Taxable",SUM(N90:P90),0)</f>
        <v>1873.2466661982298</v>
      </c>
      <c r="Z90" s="10">
        <f>IF('PV IN'!$E$15="Taxable",SUM(N90:P90),0)</f>
        <v>0</v>
      </c>
      <c r="AA90" s="2">
        <f>IF(C90='PV IN'!$I$40,IF('PV IN'!$G$40="Taxable",'PV IN'!$F$40,0),0)+IF(C90='PV IN'!$I$41,IF('PV IN'!$G$41="Taxable",'PV IN'!$F$41,0),0)</f>
        <v>0</v>
      </c>
      <c r="AD90" s="10">
        <f>IF('PV IN'!$D$48="YES",-U90*'PV IN'!$E$8,0)</f>
        <v>0</v>
      </c>
      <c r="AE90" s="10">
        <f>IF('PV IN'!$N$10="Yes",-PVLoan!H118,-PVLoan!L118)</f>
        <v>0</v>
      </c>
      <c r="AF90" s="10">
        <f>IF('PV IN'!$N$10="Yes",-PVLoan!F118,0)</f>
        <v>0</v>
      </c>
      <c r="AG90" s="10">
        <f>IF(AND('PV IN'!$D$35="YES",$C90&lt;='PV IN'!$E$35*12),0,-'PV IN'!$E$18*'PV IN'!$E$34/12)</f>
        <v>-750</v>
      </c>
      <c r="AH90" s="10">
        <f>IF(AND('PV IN'!$D$37="YES",$C90&lt;='PV IN'!$E$37*12),0,-'PV IN'!$E$18*'PV IN'!$E$36/12)</f>
        <v>-625</v>
      </c>
      <c r="AI90" s="2">
        <f>IF(AND('PV IN'!$D$33="YES",PVCalcs!C90=ROUNDUP('PV IN'!$H$33*12,)),-'PV IN'!$E$33*'PV IN'!$E$18,0)</f>
        <v>0</v>
      </c>
      <c r="AK90" s="2">
        <f t="shared" si="17"/>
        <v>12966.179574584043</v>
      </c>
      <c r="AL90" s="2">
        <f t="shared" si="18"/>
        <v>-1375</v>
      </c>
      <c r="AM90" s="2">
        <f t="shared" si="22"/>
        <v>11591.179574584043</v>
      </c>
      <c r="AN90" s="43"/>
      <c r="AO90" s="2">
        <f t="shared" si="19"/>
        <v>0</v>
      </c>
      <c r="AP90" s="2">
        <f t="shared" si="23"/>
        <v>-1375</v>
      </c>
      <c r="AR90" s="2">
        <f t="shared" si="24"/>
        <v>-1375</v>
      </c>
      <c r="AS90" s="2">
        <f>-AR90*'PV IN'!$E$8</f>
        <v>288.75</v>
      </c>
      <c r="AT90" s="2">
        <f>IF('PV IN'!$F$4="Battery Only",0,AM90+AS90)</f>
        <v>11879.929574584043</v>
      </c>
      <c r="AV90" s="10">
        <f t="shared" si="25"/>
        <v>-166191.8719217887</v>
      </c>
      <c r="AW90" s="2">
        <f>AT90/(1+('PV IN'!$G$9))^(C90)</f>
        <v>8374.4679106603617</v>
      </c>
      <c r="AX90" s="2">
        <f>IF(C90&lt;='PV IN'!$O$22*12,AW90+AX89,NA())</f>
        <v>-391263.53205968876</v>
      </c>
      <c r="AZ90" s="10">
        <f t="shared" si="20"/>
        <v>-1375</v>
      </c>
      <c r="BA90" s="10">
        <f t="shared" si="21"/>
        <v>1873.2466661982307</v>
      </c>
      <c r="BB90" s="10">
        <f t="shared" si="26"/>
        <v>498.24666619823074</v>
      </c>
      <c r="BC90" s="10">
        <f t="shared" si="27"/>
        <v>0</v>
      </c>
      <c r="BD90" s="10">
        <f t="shared" si="28"/>
        <v>-1375</v>
      </c>
      <c r="BE90" s="2">
        <f t="shared" si="29"/>
        <v>0</v>
      </c>
      <c r="BF90" s="10">
        <f t="shared" si="30"/>
        <v>-1375</v>
      </c>
      <c r="BG90" s="2">
        <f>-BF90*'PV IN'!$E$8</f>
        <v>288.75</v>
      </c>
      <c r="BH90" s="2">
        <f>IF('PV IN'!$F$4="Battery Only",0,BB90+BG90)</f>
        <v>786.99666619823074</v>
      </c>
      <c r="BI90" s="2">
        <f>BH90/(1+('PV IN'!$G$9))^(C90)</f>
        <v>554.77419167314633</v>
      </c>
    </row>
    <row r="91" spans="2:61" x14ac:dyDescent="0.25">
      <c r="C91">
        <v>87</v>
      </c>
      <c r="D91" s="16">
        <f>D90*(1+('PV IN'!$G$6/12))</f>
        <v>7.5999999999999998E-2</v>
      </c>
      <c r="E91" s="16">
        <f>LkUP!$U$28</f>
        <v>7.6982989165910107E-2</v>
      </c>
      <c r="F91" s="16">
        <f>IF('PV IN'!$D$7="Table",E91,D91)</f>
        <v>7.6982989165910107E-2</v>
      </c>
      <c r="G91" s="33">
        <f>('PV IN'!$E$25*'PV IN'!$E$18/12)*(1-(1-'PV IN'!$E$27)/(25*12))^C90</f>
        <v>143999.83346826394</v>
      </c>
      <c r="H91" s="33">
        <f>IF('PV IN'!$D$19="YES",G91*'PV IN'!$E$21,0)</f>
        <v>0</v>
      </c>
      <c r="I91" s="33">
        <f>IF('PV IN'!$D$19="YES",'PV IN'!$E$22*BattCalcs!W91,0)</f>
        <v>0</v>
      </c>
      <c r="J91" s="33">
        <f>IF('PV IN'!$D$19="YES",'PV IN'!$E$23*BattCalcs!Y91,0)</f>
        <v>0</v>
      </c>
      <c r="K91" s="33">
        <f>BattCalcs!AF91</f>
        <v>25811.765833333331</v>
      </c>
      <c r="L91" s="33">
        <f t="shared" si="31"/>
        <v>25811.765833333331</v>
      </c>
      <c r="M91" s="33">
        <f>IF('PV IN'!$F$4="PV Only",G91,G91-SUM(H91:J91,L91))</f>
        <v>143999.83346826394</v>
      </c>
      <c r="N91" s="2">
        <f>IF(C91&lt;='PV IN'!$I$12*12,'PV IN'!$E$12*G91/1000,0)</f>
        <v>0</v>
      </c>
      <c r="O91" s="2">
        <f>IF(AND(C91&gt;'PV IN'!$I$12*12,C91&lt;='PV IN'!$I$13*12+'PV IN'!$I$12*12),'PV IN'!$E$13*PVCalcs!G91/1000,0)</f>
        <v>1871.9978350874312</v>
      </c>
      <c r="P91" s="2">
        <f>IF(AND(C91&gt;'PV IN'!$I$12*12+'PV IN'!$I$13*12,C91&lt;='PV IN'!$I$12*12+'PV IN'!$I$13*12+'PV IN'!$I$14*12),'PV IN'!$E$14*PVCalcs!G91/1000,0)</f>
        <v>0</v>
      </c>
      <c r="R91" s="10">
        <f>IF(AND('PV IN'!$D$35="YES",$C91&lt;='PV IN'!$E$35*12),-'PV IN'!$E$18*'PV IN'!$E$34/12,0)</f>
        <v>0</v>
      </c>
      <c r="S91" s="10">
        <f>IF(AND('PV IN'!$D$37="YES",$C91&lt;='PV IN'!$E$37*12),-'PV IN'!$E$18*'PV IN'!$E$36/12,0)</f>
        <v>0</v>
      </c>
      <c r="U91" s="2">
        <f t="shared" si="32"/>
        <v>11085.537619780222</v>
      </c>
      <c r="V91" s="10">
        <f>PVLoan!M118</f>
        <v>0</v>
      </c>
      <c r="W91" s="2">
        <f>IF(C91='PV IN'!$I$40,IF('PV IN'!$G$40="Non-Taxable",'PV IN'!$F$40,0),0)+IF(C91='PV IN'!$I$41,IF('PV IN'!$G$41="Non-Taxable",'PV IN'!$F$41,0),0)</f>
        <v>0</v>
      </c>
      <c r="X91" s="10"/>
      <c r="Y91" s="10">
        <f>IF('PV IN'!$E$15="Non-Taxable",SUM(N91:P91),0)</f>
        <v>1871.9978350874312</v>
      </c>
      <c r="Z91" s="10">
        <f>IF('PV IN'!$E$15="Taxable",SUM(N91:P91),0)</f>
        <v>0</v>
      </c>
      <c r="AA91" s="2">
        <f>IF(C91='PV IN'!$I$40,IF('PV IN'!$G$40="Taxable",'PV IN'!$F$40,0),0)+IF(C91='PV IN'!$I$41,IF('PV IN'!$G$41="Taxable",'PV IN'!$F$41,0),0)</f>
        <v>0</v>
      </c>
      <c r="AD91" s="10">
        <f>IF('PV IN'!$D$48="YES",-U91*'PV IN'!$E$8,0)</f>
        <v>0</v>
      </c>
      <c r="AE91" s="10">
        <f>IF('PV IN'!$N$10="Yes",-PVLoan!H119,-PVLoan!L119)</f>
        <v>0</v>
      </c>
      <c r="AF91" s="10">
        <f>IF('PV IN'!$N$10="Yes",-PVLoan!F119,0)</f>
        <v>0</v>
      </c>
      <c r="AG91" s="10">
        <f>IF(AND('PV IN'!$D$35="YES",$C91&lt;='PV IN'!$E$35*12),0,-'PV IN'!$E$18*'PV IN'!$E$34/12)</f>
        <v>-750</v>
      </c>
      <c r="AH91" s="10">
        <f>IF(AND('PV IN'!$D$37="YES",$C91&lt;='PV IN'!$E$37*12),0,-'PV IN'!$E$18*'PV IN'!$E$36/12)</f>
        <v>-625</v>
      </c>
      <c r="AI91" s="2">
        <f>IF(AND('PV IN'!$D$33="YES",PVCalcs!C91=ROUNDUP('PV IN'!$H$33*12,)),-'PV IN'!$E$33*'PV IN'!$E$18,0)</f>
        <v>0</v>
      </c>
      <c r="AK91" s="2">
        <f t="shared" si="17"/>
        <v>12957.535454867653</v>
      </c>
      <c r="AL91" s="2">
        <f t="shared" si="18"/>
        <v>-1375</v>
      </c>
      <c r="AM91" s="2">
        <f t="shared" si="22"/>
        <v>11582.535454867653</v>
      </c>
      <c r="AN91" s="43"/>
      <c r="AO91" s="2">
        <f t="shared" si="19"/>
        <v>0</v>
      </c>
      <c r="AP91" s="2">
        <f t="shared" si="23"/>
        <v>-1375</v>
      </c>
      <c r="AR91" s="2">
        <f t="shared" si="24"/>
        <v>-1375</v>
      </c>
      <c r="AS91" s="2">
        <f>-AR91*'PV IN'!$E$8</f>
        <v>288.75</v>
      </c>
      <c r="AT91" s="2">
        <f>IF('PV IN'!$F$4="Battery Only",0,AM91+AS91)</f>
        <v>11871.285454867653</v>
      </c>
      <c r="AV91" s="10">
        <f t="shared" si="25"/>
        <v>-154320.58646692106</v>
      </c>
      <c r="AW91" s="2">
        <f>AT91/(1+('PV IN'!$G$9))^(C91)</f>
        <v>8334.4189936991297</v>
      </c>
      <c r="AX91" s="2">
        <f>IF(C91&lt;='PV IN'!$O$22*12,AW91+AX90,NA())</f>
        <v>-382929.11306598963</v>
      </c>
      <c r="AZ91" s="10">
        <f t="shared" si="20"/>
        <v>-1375</v>
      </c>
      <c r="BA91" s="10">
        <f t="shared" si="21"/>
        <v>1871.9978350874317</v>
      </c>
      <c r="BB91" s="10">
        <f t="shared" si="26"/>
        <v>496.99783508743167</v>
      </c>
      <c r="BC91" s="10">
        <f t="shared" si="27"/>
        <v>0</v>
      </c>
      <c r="BD91" s="10">
        <f t="shared" si="28"/>
        <v>-1375</v>
      </c>
      <c r="BE91" s="2">
        <f t="shared" si="29"/>
        <v>0</v>
      </c>
      <c r="BF91" s="10">
        <f t="shared" si="30"/>
        <v>-1375</v>
      </c>
      <c r="BG91" s="2">
        <f>-BF91*'PV IN'!$E$8</f>
        <v>288.75</v>
      </c>
      <c r="BH91" s="2">
        <f>IF('PV IN'!$F$4="Battery Only",0,BB91+BG91)</f>
        <v>785.74783508743167</v>
      </c>
      <c r="BI91" s="2">
        <f>BH91/(1+('PV IN'!$G$9))^(C91)</f>
        <v>551.64638285447336</v>
      </c>
    </row>
    <row r="92" spans="2:61" x14ac:dyDescent="0.25">
      <c r="C92">
        <v>88</v>
      </c>
      <c r="D92" s="16">
        <f>D91*(1+('PV IN'!$G$6/12))</f>
        <v>7.5999999999999998E-2</v>
      </c>
      <c r="E92" s="16">
        <f>LkUP!$U$28</f>
        <v>7.6982989165910107E-2</v>
      </c>
      <c r="F92" s="16">
        <f>IF('PV IN'!$D$7="Table",E92,D92)</f>
        <v>7.6982989165910107E-2</v>
      </c>
      <c r="G92" s="33">
        <f>('PV IN'!$E$25*'PV IN'!$E$18/12)*(1-(1-'PV IN'!$E$27)/(25*12))^C91</f>
        <v>143903.8335792851</v>
      </c>
      <c r="H92" s="33">
        <f>IF('PV IN'!$D$19="YES",G92*'PV IN'!$E$21,0)</f>
        <v>0</v>
      </c>
      <c r="I92" s="33">
        <f>IF('PV IN'!$D$19="YES",'PV IN'!$E$22*BattCalcs!W92,0)</f>
        <v>0</v>
      </c>
      <c r="J92" s="33">
        <f>IF('PV IN'!$D$19="YES",'PV IN'!$E$23*BattCalcs!Y92,0)</f>
        <v>0</v>
      </c>
      <c r="K92" s="33">
        <f>BattCalcs!AF92</f>
        <v>25811.765833333331</v>
      </c>
      <c r="L92" s="33">
        <f t="shared" si="31"/>
        <v>25811.765833333331</v>
      </c>
      <c r="M92" s="33">
        <f>IF('PV IN'!$F$4="PV Only",G92,G92-SUM(H92:J92,L92))</f>
        <v>143903.8335792851</v>
      </c>
      <c r="N92" s="2">
        <f>IF(C92&lt;='PV IN'!$I$12*12,'PV IN'!$E$12*G92/1000,0)</f>
        <v>0</v>
      </c>
      <c r="O92" s="2">
        <f>IF(AND(C92&gt;'PV IN'!$I$12*12,C92&lt;='PV IN'!$I$13*12+'PV IN'!$I$12*12),'PV IN'!$E$13*PVCalcs!G92/1000,0)</f>
        <v>1870.7498365307065</v>
      </c>
      <c r="P92" s="2">
        <f>IF(AND(C92&gt;'PV IN'!$I$12*12+'PV IN'!$I$13*12,C92&lt;='PV IN'!$I$12*12+'PV IN'!$I$13*12+'PV IN'!$I$14*12),'PV IN'!$E$14*PVCalcs!G92/1000,0)</f>
        <v>0</v>
      </c>
      <c r="R92" s="10">
        <f>IF(AND('PV IN'!$D$35="YES",$C92&lt;='PV IN'!$E$35*12),-'PV IN'!$E$18*'PV IN'!$E$34/12,0)</f>
        <v>0</v>
      </c>
      <c r="S92" s="10">
        <f>IF(AND('PV IN'!$D$37="YES",$C92&lt;='PV IN'!$E$37*12),-'PV IN'!$E$18*'PV IN'!$E$36/12,0)</f>
        <v>0</v>
      </c>
      <c r="U92" s="2">
        <f t="shared" si="32"/>
        <v>11078.147261367036</v>
      </c>
      <c r="V92" s="10">
        <f>PVLoan!M119</f>
        <v>0</v>
      </c>
      <c r="W92" s="2">
        <f>IF(C92='PV IN'!$I$40,IF('PV IN'!$G$40="Non-Taxable",'PV IN'!$F$40,0),0)+IF(C92='PV IN'!$I$41,IF('PV IN'!$G$41="Non-Taxable",'PV IN'!$F$41,0),0)</f>
        <v>0</v>
      </c>
      <c r="X92" s="10"/>
      <c r="Y92" s="10">
        <f>IF('PV IN'!$E$15="Non-Taxable",SUM(N92:P92),0)</f>
        <v>1870.7498365307065</v>
      </c>
      <c r="Z92" s="10">
        <f>IF('PV IN'!$E$15="Taxable",SUM(N92:P92),0)</f>
        <v>0</v>
      </c>
      <c r="AA92" s="2">
        <f>IF(C92='PV IN'!$I$40,IF('PV IN'!$G$40="Taxable",'PV IN'!$F$40,0),0)+IF(C92='PV IN'!$I$41,IF('PV IN'!$G$41="Taxable",'PV IN'!$F$41,0),0)</f>
        <v>0</v>
      </c>
      <c r="AD92" s="10">
        <f>IF('PV IN'!$D$48="YES",-U92*'PV IN'!$E$8,0)</f>
        <v>0</v>
      </c>
      <c r="AE92" s="10">
        <f>IF('PV IN'!$N$10="Yes",-PVLoan!H120,-PVLoan!L120)</f>
        <v>0</v>
      </c>
      <c r="AF92" s="10">
        <f>IF('PV IN'!$N$10="Yes",-PVLoan!F120,0)</f>
        <v>0</v>
      </c>
      <c r="AG92" s="10">
        <f>IF(AND('PV IN'!$D$35="YES",$C92&lt;='PV IN'!$E$35*12),0,-'PV IN'!$E$18*'PV IN'!$E$34/12)</f>
        <v>-750</v>
      </c>
      <c r="AH92" s="10">
        <f>IF(AND('PV IN'!$D$37="YES",$C92&lt;='PV IN'!$E$37*12),0,-'PV IN'!$E$18*'PV IN'!$E$36/12)</f>
        <v>-625</v>
      </c>
      <c r="AI92" s="2">
        <f>IF(AND('PV IN'!$D$33="YES",PVCalcs!C92=ROUNDUP('PV IN'!$H$33*12,)),-'PV IN'!$E$33*'PV IN'!$E$18,0)</f>
        <v>0</v>
      </c>
      <c r="AK92" s="2">
        <f t="shared" si="17"/>
        <v>12948.897097897741</v>
      </c>
      <c r="AL92" s="2">
        <f t="shared" si="18"/>
        <v>-1375</v>
      </c>
      <c r="AM92" s="2">
        <f t="shared" si="22"/>
        <v>11573.897097897741</v>
      </c>
      <c r="AN92" s="43"/>
      <c r="AO92" s="2">
        <f t="shared" si="19"/>
        <v>0</v>
      </c>
      <c r="AP92" s="2">
        <f t="shared" si="23"/>
        <v>-1375</v>
      </c>
      <c r="AR92" s="2">
        <f t="shared" si="24"/>
        <v>-1375</v>
      </c>
      <c r="AS92" s="2">
        <f>-AR92*'PV IN'!$E$8</f>
        <v>288.75</v>
      </c>
      <c r="AT92" s="2">
        <f>IF('PV IN'!$F$4="Battery Only",0,AM92+AS92)</f>
        <v>11862.647097897741</v>
      </c>
      <c r="AV92" s="10">
        <f t="shared" si="25"/>
        <v>-142457.93936902331</v>
      </c>
      <c r="AW92" s="2">
        <f>AT92/(1+('PV IN'!$G$9))^(C92)</f>
        <v>8294.5612328024454</v>
      </c>
      <c r="AX92" s="2">
        <f>IF(C92&lt;='PV IN'!$O$22*12,AW92+AX91,NA())</f>
        <v>-374634.55183318717</v>
      </c>
      <c r="AZ92" s="10">
        <f t="shared" si="20"/>
        <v>-1375</v>
      </c>
      <c r="BA92" s="10">
        <f t="shared" si="21"/>
        <v>1870.7498365307056</v>
      </c>
      <c r="BB92" s="10">
        <f t="shared" si="26"/>
        <v>495.74983653070558</v>
      </c>
      <c r="BC92" s="10">
        <f t="shared" si="27"/>
        <v>0</v>
      </c>
      <c r="BD92" s="10">
        <f t="shared" si="28"/>
        <v>-1375</v>
      </c>
      <c r="BE92" s="2">
        <f t="shared" si="29"/>
        <v>0</v>
      </c>
      <c r="BF92" s="10">
        <f t="shared" si="30"/>
        <v>-1375</v>
      </c>
      <c r="BG92" s="2">
        <f>-BF92*'PV IN'!$E$8</f>
        <v>288.75</v>
      </c>
      <c r="BH92" s="2">
        <f>IF('PV IN'!$F$4="Battery Only",0,BB92+BG92)</f>
        <v>784.49983653070558</v>
      </c>
      <c r="BI92" s="2">
        <f>BH92/(1+('PV IN'!$G$9))^(C92)</f>
        <v>548.53540508514402</v>
      </c>
    </row>
    <row r="93" spans="2:61" x14ac:dyDescent="0.25">
      <c r="C93">
        <v>89</v>
      </c>
      <c r="D93" s="16">
        <f>D92*(1+('PV IN'!$G$6/12))</f>
        <v>7.5999999999999998E-2</v>
      </c>
      <c r="E93" s="16">
        <f>LkUP!$U$28</f>
        <v>7.6982989165910107E-2</v>
      </c>
      <c r="F93" s="16">
        <f>IF('PV IN'!$D$7="Table",E93,D93)</f>
        <v>7.6982989165910107E-2</v>
      </c>
      <c r="G93" s="33">
        <f>('PV IN'!$E$25*'PV IN'!$E$18/12)*(1-(1-'PV IN'!$E$27)/(25*12))^C92</f>
        <v>143807.89769023223</v>
      </c>
      <c r="H93" s="33">
        <f>IF('PV IN'!$D$19="YES",G93*'PV IN'!$E$21,0)</f>
        <v>0</v>
      </c>
      <c r="I93" s="33">
        <f>IF('PV IN'!$D$19="YES",'PV IN'!$E$22*BattCalcs!W93,0)</f>
        <v>0</v>
      </c>
      <c r="J93" s="33">
        <f>IF('PV IN'!$D$19="YES",'PV IN'!$E$23*BattCalcs!Y93,0)</f>
        <v>0</v>
      </c>
      <c r="K93" s="33">
        <f>BattCalcs!AF93</f>
        <v>25811.765833333331</v>
      </c>
      <c r="L93" s="33">
        <f t="shared" si="31"/>
        <v>25811.765833333331</v>
      </c>
      <c r="M93" s="33">
        <f>IF('PV IN'!$F$4="PV Only",G93,G93-SUM(H93:J93,L93))</f>
        <v>143807.89769023223</v>
      </c>
      <c r="N93" s="2">
        <f>IF(C93&lt;='PV IN'!$I$12*12,'PV IN'!$E$12*G93/1000,0)</f>
        <v>0</v>
      </c>
      <c r="O93" s="2">
        <f>IF(AND(C93&gt;'PV IN'!$I$12*12,C93&lt;='PV IN'!$I$13*12+'PV IN'!$I$12*12),'PV IN'!$E$13*PVCalcs!G93/1000,0)</f>
        <v>1869.502669973019</v>
      </c>
      <c r="P93" s="2">
        <f>IF(AND(C93&gt;'PV IN'!$I$12*12+'PV IN'!$I$13*12,C93&lt;='PV IN'!$I$12*12+'PV IN'!$I$13*12+'PV IN'!$I$14*12),'PV IN'!$E$14*PVCalcs!G93/1000,0)</f>
        <v>0</v>
      </c>
      <c r="R93" s="10">
        <f>IF(AND('PV IN'!$D$35="YES",$C93&lt;='PV IN'!$E$35*12),-'PV IN'!$E$18*'PV IN'!$E$34/12,0)</f>
        <v>0</v>
      </c>
      <c r="S93" s="10">
        <f>IF(AND('PV IN'!$D$37="YES",$C93&lt;='PV IN'!$E$37*12),-'PV IN'!$E$18*'PV IN'!$E$36/12,0)</f>
        <v>0</v>
      </c>
      <c r="U93" s="2">
        <f t="shared" si="32"/>
        <v>11070.761829859457</v>
      </c>
      <c r="V93" s="10">
        <f>PVLoan!M120</f>
        <v>0</v>
      </c>
      <c r="W93" s="2">
        <f>IF(C93='PV IN'!$I$40,IF('PV IN'!$G$40="Non-Taxable",'PV IN'!$F$40,0),0)+IF(C93='PV IN'!$I$41,IF('PV IN'!$G$41="Non-Taxable",'PV IN'!$F$41,0),0)</f>
        <v>0</v>
      </c>
      <c r="X93" s="10"/>
      <c r="Y93" s="10">
        <f>IF('PV IN'!$E$15="Non-Taxable",SUM(N93:P93),0)</f>
        <v>1869.502669973019</v>
      </c>
      <c r="Z93" s="10">
        <f>IF('PV IN'!$E$15="Taxable",SUM(N93:P93),0)</f>
        <v>0</v>
      </c>
      <c r="AA93" s="2">
        <f>IF(C93='PV IN'!$I$40,IF('PV IN'!$G$40="Taxable",'PV IN'!$F$40,0),0)+IF(C93='PV IN'!$I$41,IF('PV IN'!$G$41="Taxable",'PV IN'!$F$41,0),0)</f>
        <v>0</v>
      </c>
      <c r="AD93" s="10">
        <f>IF('PV IN'!$D$48="YES",-U93*'PV IN'!$E$8,0)</f>
        <v>0</v>
      </c>
      <c r="AE93" s="10">
        <f>IF('PV IN'!$N$10="Yes",-PVLoan!H121,-PVLoan!L121)</f>
        <v>0</v>
      </c>
      <c r="AF93" s="10">
        <f>IF('PV IN'!$N$10="Yes",-PVLoan!F121,0)</f>
        <v>0</v>
      </c>
      <c r="AG93" s="10">
        <f>IF(AND('PV IN'!$D$35="YES",$C93&lt;='PV IN'!$E$35*12),0,-'PV IN'!$E$18*'PV IN'!$E$34/12)</f>
        <v>-750</v>
      </c>
      <c r="AH93" s="10">
        <f>IF(AND('PV IN'!$D$37="YES",$C93&lt;='PV IN'!$E$37*12),0,-'PV IN'!$E$18*'PV IN'!$E$36/12)</f>
        <v>-625</v>
      </c>
      <c r="AI93" s="2">
        <f>IF(AND('PV IN'!$D$33="YES",PVCalcs!C93=ROUNDUP('PV IN'!$H$33*12,)),-'PV IN'!$E$33*'PV IN'!$E$18,0)</f>
        <v>0</v>
      </c>
      <c r="AK93" s="2">
        <f t="shared" si="17"/>
        <v>12940.264499832476</v>
      </c>
      <c r="AL93" s="2">
        <f t="shared" si="18"/>
        <v>-1375</v>
      </c>
      <c r="AM93" s="2">
        <f t="shared" si="22"/>
        <v>11565.264499832476</v>
      </c>
      <c r="AN93" s="43"/>
      <c r="AO93" s="2">
        <f t="shared" si="19"/>
        <v>0</v>
      </c>
      <c r="AP93" s="2">
        <f t="shared" si="23"/>
        <v>-1375</v>
      </c>
      <c r="AR93" s="2">
        <f t="shared" si="24"/>
        <v>-1375</v>
      </c>
      <c r="AS93" s="2">
        <f>-AR93*'PV IN'!$E$8</f>
        <v>288.75</v>
      </c>
      <c r="AT93" s="2">
        <f>IF('PV IN'!$F$4="Battery Only",0,AM93+AS93)</f>
        <v>11854.014499832476</v>
      </c>
      <c r="AV93" s="10">
        <f t="shared" si="25"/>
        <v>-130603.92486919084</v>
      </c>
      <c r="AW93" s="2">
        <f>AT93/(1+('PV IN'!$G$9))^(C93)</f>
        <v>8254.8937170460522</v>
      </c>
      <c r="AX93" s="2">
        <f>IF(C93&lt;='PV IN'!$O$22*12,AW93+AX92,NA())</f>
        <v>-366379.6581161411</v>
      </c>
      <c r="AZ93" s="10">
        <f t="shared" si="20"/>
        <v>-1375</v>
      </c>
      <c r="BA93" s="10">
        <f t="shared" si="21"/>
        <v>1869.5026699730188</v>
      </c>
      <c r="BB93" s="10">
        <f t="shared" si="26"/>
        <v>494.50266997301878</v>
      </c>
      <c r="BC93" s="10">
        <f t="shared" si="27"/>
        <v>0</v>
      </c>
      <c r="BD93" s="10">
        <f t="shared" si="28"/>
        <v>-1375</v>
      </c>
      <c r="BE93" s="2">
        <f t="shared" si="29"/>
        <v>0</v>
      </c>
      <c r="BF93" s="10">
        <f t="shared" si="30"/>
        <v>-1375</v>
      </c>
      <c r="BG93" s="2">
        <f>-BF93*'PV IN'!$E$8</f>
        <v>288.75</v>
      </c>
      <c r="BH93" s="2">
        <f>IF('PV IN'!$F$4="Battery Only",0,BB93+BG93)</f>
        <v>783.25266997301878</v>
      </c>
      <c r="BI93" s="2">
        <f>BH93/(1+('PV IN'!$G$9))^(C93)</f>
        <v>545.44117052591696</v>
      </c>
    </row>
    <row r="94" spans="2:61" x14ac:dyDescent="0.25">
      <c r="C94">
        <v>90</v>
      </c>
      <c r="D94" s="16">
        <f>D93*(1+('PV IN'!$G$6/12))</f>
        <v>7.5999999999999998E-2</v>
      </c>
      <c r="E94" s="16">
        <f>LkUP!$U$28</f>
        <v>7.6982989165910107E-2</v>
      </c>
      <c r="F94" s="16">
        <f>IF('PV IN'!$D$7="Table",E94,D94)</f>
        <v>7.6982989165910107E-2</v>
      </c>
      <c r="G94" s="33">
        <f>('PV IN'!$E$25*'PV IN'!$E$18/12)*(1-(1-'PV IN'!$E$27)/(25*12))^C93</f>
        <v>143712.02575843874</v>
      </c>
      <c r="H94" s="33">
        <f>IF('PV IN'!$D$19="YES",G94*'PV IN'!$E$21,0)</f>
        <v>0</v>
      </c>
      <c r="I94" s="33">
        <f>IF('PV IN'!$D$19="YES",'PV IN'!$E$22*BattCalcs!W94,0)</f>
        <v>0</v>
      </c>
      <c r="J94" s="33">
        <f>IF('PV IN'!$D$19="YES",'PV IN'!$E$23*BattCalcs!Y94,0)</f>
        <v>0</v>
      </c>
      <c r="K94" s="33">
        <f>BattCalcs!AF94</f>
        <v>25811.765833333331</v>
      </c>
      <c r="L94" s="33">
        <f t="shared" si="31"/>
        <v>25811.765833333331</v>
      </c>
      <c r="M94" s="33">
        <f>IF('PV IN'!$F$4="PV Only",G94,G94-SUM(H94:J94,L94))</f>
        <v>143712.02575843874</v>
      </c>
      <c r="N94" s="2">
        <f>IF(C94&lt;='PV IN'!$I$12*12,'PV IN'!$E$12*G94/1000,0)</f>
        <v>0</v>
      </c>
      <c r="O94" s="2">
        <f>IF(AND(C94&gt;'PV IN'!$I$12*12,C94&lt;='PV IN'!$I$13*12+'PV IN'!$I$12*12),'PV IN'!$E$13*PVCalcs!G94/1000,0)</f>
        <v>1868.2563348597037</v>
      </c>
      <c r="P94" s="2">
        <f>IF(AND(C94&gt;'PV IN'!$I$12*12+'PV IN'!$I$13*12,C94&lt;='PV IN'!$I$12*12+'PV IN'!$I$13*12+'PV IN'!$I$14*12),'PV IN'!$E$14*PVCalcs!G94/1000,0)</f>
        <v>0</v>
      </c>
      <c r="R94" s="10">
        <f>IF(AND('PV IN'!$D$35="YES",$C94&lt;='PV IN'!$E$35*12),-'PV IN'!$E$18*'PV IN'!$E$34/12,0)</f>
        <v>0</v>
      </c>
      <c r="S94" s="10">
        <f>IF(AND('PV IN'!$D$37="YES",$C94&lt;='PV IN'!$E$37*12),-'PV IN'!$E$18*'PV IN'!$E$36/12,0)</f>
        <v>0</v>
      </c>
      <c r="U94" s="2">
        <f t="shared" si="32"/>
        <v>11063.381321972884</v>
      </c>
      <c r="V94" s="10">
        <f>PVLoan!M121</f>
        <v>0</v>
      </c>
      <c r="W94" s="2">
        <f>IF(C94='PV IN'!$I$40,IF('PV IN'!$G$40="Non-Taxable",'PV IN'!$F$40,0),0)+IF(C94='PV IN'!$I$41,IF('PV IN'!$G$41="Non-Taxable",'PV IN'!$F$41,0),0)</f>
        <v>0</v>
      </c>
      <c r="X94" s="10"/>
      <c r="Y94" s="10">
        <f>IF('PV IN'!$E$15="Non-Taxable",SUM(N94:P94),0)</f>
        <v>1868.2563348597037</v>
      </c>
      <c r="Z94" s="10">
        <f>IF('PV IN'!$E$15="Taxable",SUM(N94:P94),0)</f>
        <v>0</v>
      </c>
      <c r="AA94" s="2">
        <f>IF(C94='PV IN'!$I$40,IF('PV IN'!$G$40="Taxable",'PV IN'!$F$40,0),0)+IF(C94='PV IN'!$I$41,IF('PV IN'!$G$41="Taxable",'PV IN'!$F$41,0),0)</f>
        <v>0</v>
      </c>
      <c r="AD94" s="10">
        <f>IF('PV IN'!$D$48="YES",-U94*'PV IN'!$E$8,0)</f>
        <v>0</v>
      </c>
      <c r="AE94" s="10">
        <f>IF('PV IN'!$N$10="Yes",-PVLoan!H122,-PVLoan!L122)</f>
        <v>0</v>
      </c>
      <c r="AF94" s="10">
        <f>IF('PV IN'!$N$10="Yes",-PVLoan!F122,0)</f>
        <v>0</v>
      </c>
      <c r="AG94" s="10">
        <f>IF(AND('PV IN'!$D$35="YES",$C94&lt;='PV IN'!$E$35*12),0,-'PV IN'!$E$18*'PV IN'!$E$34/12)</f>
        <v>-750</v>
      </c>
      <c r="AH94" s="10">
        <f>IF(AND('PV IN'!$D$37="YES",$C94&lt;='PV IN'!$E$37*12),0,-'PV IN'!$E$18*'PV IN'!$E$36/12)</f>
        <v>-625</v>
      </c>
      <c r="AI94" s="2">
        <f>IF(AND('PV IN'!$D$33="YES",PVCalcs!C94=ROUNDUP('PV IN'!$H$33*12,)),-'PV IN'!$E$33*'PV IN'!$E$18,0)</f>
        <v>0</v>
      </c>
      <c r="AK94" s="2">
        <f t="shared" si="17"/>
        <v>12931.637656832587</v>
      </c>
      <c r="AL94" s="2">
        <f t="shared" si="18"/>
        <v>-1375</v>
      </c>
      <c r="AM94" s="2">
        <f t="shared" si="22"/>
        <v>11556.637656832587</v>
      </c>
      <c r="AN94" s="43"/>
      <c r="AO94" s="2">
        <f t="shared" si="19"/>
        <v>0</v>
      </c>
      <c r="AP94" s="2">
        <f t="shared" si="23"/>
        <v>-1375</v>
      </c>
      <c r="AR94" s="2">
        <f t="shared" si="24"/>
        <v>-1375</v>
      </c>
      <c r="AS94" s="2">
        <f>-AR94*'PV IN'!$E$8</f>
        <v>288.75</v>
      </c>
      <c r="AT94" s="2">
        <f>IF('PV IN'!$F$4="Battery Only",0,AM94+AS94)</f>
        <v>11845.387656832587</v>
      </c>
      <c r="AV94" s="10">
        <f t="shared" si="25"/>
        <v>-118758.53721235826</v>
      </c>
      <c r="AW94" s="2">
        <f>AT94/(1+('PV IN'!$G$9))^(C94)</f>
        <v>8215.4155398406328</v>
      </c>
      <c r="AX94" s="2">
        <f>IF(C94&lt;='PV IN'!$O$22*12,AW94+AX93,NA())</f>
        <v>-358164.24257630046</v>
      </c>
      <c r="AZ94" s="10">
        <f t="shared" si="20"/>
        <v>-1375</v>
      </c>
      <c r="BA94" s="10">
        <f t="shared" si="21"/>
        <v>1868.2563348597032</v>
      </c>
      <c r="BB94" s="10">
        <f t="shared" si="26"/>
        <v>493.2563348597032</v>
      </c>
      <c r="BC94" s="10">
        <f t="shared" si="27"/>
        <v>0</v>
      </c>
      <c r="BD94" s="10">
        <f t="shared" si="28"/>
        <v>-1375</v>
      </c>
      <c r="BE94" s="2">
        <f t="shared" si="29"/>
        <v>0</v>
      </c>
      <c r="BF94" s="10">
        <f t="shared" si="30"/>
        <v>-1375</v>
      </c>
      <c r="BG94" s="2">
        <f>-BF94*'PV IN'!$E$8</f>
        <v>288.75</v>
      </c>
      <c r="BH94" s="2">
        <f>IF('PV IN'!$F$4="Battery Only",0,BB94+BG94)</f>
        <v>782.0063348597032</v>
      </c>
      <c r="BI94" s="2">
        <f>BH94/(1+('PV IN'!$G$9))^(C94)</f>
        <v>542.36359178624912</v>
      </c>
    </row>
    <row r="95" spans="2:61" x14ac:dyDescent="0.25">
      <c r="C95">
        <v>91</v>
      </c>
      <c r="D95" s="16">
        <f>D94*(1+('PV IN'!$G$6/12))</f>
        <v>7.5999999999999998E-2</v>
      </c>
      <c r="E95" s="16">
        <f>LkUP!$U$28</f>
        <v>7.6982989165910107E-2</v>
      </c>
      <c r="F95" s="16">
        <f>IF('PV IN'!$D$7="Table",E95,D95)</f>
        <v>7.6982989165910107E-2</v>
      </c>
      <c r="G95" s="33">
        <f>('PV IN'!$E$25*'PV IN'!$E$18/12)*(1-(1-'PV IN'!$E$27)/(25*12))^C94</f>
        <v>143616.21774126645</v>
      </c>
      <c r="H95" s="33">
        <f>IF('PV IN'!$D$19="YES",G95*'PV IN'!$E$21,0)</f>
        <v>0</v>
      </c>
      <c r="I95" s="33">
        <f>IF('PV IN'!$D$19="YES",'PV IN'!$E$22*BattCalcs!W95,0)</f>
        <v>0</v>
      </c>
      <c r="J95" s="33">
        <f>IF('PV IN'!$D$19="YES",'PV IN'!$E$23*BattCalcs!Y95,0)</f>
        <v>0</v>
      </c>
      <c r="K95" s="33">
        <f>BattCalcs!AF95</f>
        <v>25811.765833333331</v>
      </c>
      <c r="L95" s="33">
        <f t="shared" si="31"/>
        <v>25811.765833333331</v>
      </c>
      <c r="M95" s="33">
        <f>IF('PV IN'!$F$4="PV Only",G95,G95-SUM(H95:J95,L95))</f>
        <v>143616.21774126645</v>
      </c>
      <c r="N95" s="2">
        <f>IF(C95&lt;='PV IN'!$I$12*12,'PV IN'!$E$12*G95/1000,0)</f>
        <v>0</v>
      </c>
      <c r="O95" s="2">
        <f>IF(AND(C95&gt;'PV IN'!$I$12*12,C95&lt;='PV IN'!$I$13*12+'PV IN'!$I$12*12),'PV IN'!$E$13*PVCalcs!G95/1000,0)</f>
        <v>1867.0108306364639</v>
      </c>
      <c r="P95" s="2">
        <f>IF(AND(C95&gt;'PV IN'!$I$12*12+'PV IN'!$I$13*12,C95&lt;='PV IN'!$I$12*12+'PV IN'!$I$13*12+'PV IN'!$I$14*12),'PV IN'!$E$14*PVCalcs!G95/1000,0)</f>
        <v>0</v>
      </c>
      <c r="R95" s="10">
        <f>IF(AND('PV IN'!$D$35="YES",$C95&lt;='PV IN'!$E$35*12),-'PV IN'!$E$18*'PV IN'!$E$34/12,0)</f>
        <v>0</v>
      </c>
      <c r="S95" s="10">
        <f>IF(AND('PV IN'!$D$37="YES",$C95&lt;='PV IN'!$E$37*12),-'PV IN'!$E$18*'PV IN'!$E$36/12,0)</f>
        <v>0</v>
      </c>
      <c r="U95" s="2">
        <f t="shared" si="32"/>
        <v>11056.005734424902</v>
      </c>
      <c r="V95" s="10">
        <f>PVLoan!M122</f>
        <v>0</v>
      </c>
      <c r="W95" s="2">
        <f>IF(C95='PV IN'!$I$40,IF('PV IN'!$G$40="Non-Taxable",'PV IN'!$F$40,0),0)+IF(C95='PV IN'!$I$41,IF('PV IN'!$G$41="Non-Taxable",'PV IN'!$F$41,0),0)</f>
        <v>0</v>
      </c>
      <c r="X95" s="10"/>
      <c r="Y95" s="10">
        <f>IF('PV IN'!$E$15="Non-Taxable",SUM(N95:P95),0)</f>
        <v>1867.0108306364639</v>
      </c>
      <c r="Z95" s="10">
        <f>IF('PV IN'!$E$15="Taxable",SUM(N95:P95),0)</f>
        <v>0</v>
      </c>
      <c r="AA95" s="2">
        <f>IF(C95='PV IN'!$I$40,IF('PV IN'!$G$40="Taxable",'PV IN'!$F$40,0),0)+IF(C95='PV IN'!$I$41,IF('PV IN'!$G$41="Taxable",'PV IN'!$F$41,0),0)</f>
        <v>0</v>
      </c>
      <c r="AD95" s="10">
        <f>IF('PV IN'!$D$48="YES",-U95*'PV IN'!$E$8,0)</f>
        <v>0</v>
      </c>
      <c r="AE95" s="10">
        <f>IF('PV IN'!$N$10="Yes",-PVLoan!H123,-PVLoan!L123)</f>
        <v>0</v>
      </c>
      <c r="AF95" s="10">
        <f>IF('PV IN'!$N$10="Yes",-PVLoan!F123,0)</f>
        <v>0</v>
      </c>
      <c r="AG95" s="10">
        <f>IF(AND('PV IN'!$D$35="YES",$C95&lt;='PV IN'!$E$35*12),0,-'PV IN'!$E$18*'PV IN'!$E$34/12)</f>
        <v>-750</v>
      </c>
      <c r="AH95" s="10">
        <f>IF(AND('PV IN'!$D$37="YES",$C95&lt;='PV IN'!$E$37*12),0,-'PV IN'!$E$18*'PV IN'!$E$36/12)</f>
        <v>-625</v>
      </c>
      <c r="AI95" s="2">
        <f>IF(AND('PV IN'!$D$33="YES",PVCalcs!C95=ROUNDUP('PV IN'!$H$33*12,)),-'PV IN'!$E$33*'PV IN'!$E$18,0)</f>
        <v>0</v>
      </c>
      <c r="AK95" s="2">
        <f t="shared" si="17"/>
        <v>12923.016565061365</v>
      </c>
      <c r="AL95" s="2">
        <f t="shared" si="18"/>
        <v>-1375</v>
      </c>
      <c r="AM95" s="2">
        <f t="shared" si="22"/>
        <v>11548.016565061365</v>
      </c>
      <c r="AN95" s="43"/>
      <c r="AO95" s="2">
        <f t="shared" si="19"/>
        <v>0</v>
      </c>
      <c r="AP95" s="2">
        <f t="shared" si="23"/>
        <v>-1375</v>
      </c>
      <c r="AR95" s="2">
        <f t="shared" si="24"/>
        <v>-1375</v>
      </c>
      <c r="AS95" s="2">
        <f>-AR95*'PV IN'!$E$8</f>
        <v>288.75</v>
      </c>
      <c r="AT95" s="2">
        <f>IF('PV IN'!$F$4="Battery Only",0,AM95+AS95)</f>
        <v>11836.766565061365</v>
      </c>
      <c r="AV95" s="10">
        <f t="shared" si="25"/>
        <v>-106921.7706472969</v>
      </c>
      <c r="AW95" s="2">
        <f>AT95/(1+('PV IN'!$G$9))^(C95)</f>
        <v>8176.1257989112073</v>
      </c>
      <c r="AX95" s="2">
        <f>IF(C95&lt;='PV IN'!$O$22*12,AW95+AX94,NA())</f>
        <v>-349988.11677738925</v>
      </c>
      <c r="AZ95" s="10">
        <f t="shared" si="20"/>
        <v>-1375</v>
      </c>
      <c r="BA95" s="10">
        <f t="shared" si="21"/>
        <v>1867.0108306364637</v>
      </c>
      <c r="BB95" s="10">
        <f t="shared" si="26"/>
        <v>492.01083063646365</v>
      </c>
      <c r="BC95" s="10">
        <f t="shared" si="27"/>
        <v>0</v>
      </c>
      <c r="BD95" s="10">
        <f t="shared" si="28"/>
        <v>-1375</v>
      </c>
      <c r="BE95" s="2">
        <f t="shared" si="29"/>
        <v>0</v>
      </c>
      <c r="BF95" s="10">
        <f t="shared" si="30"/>
        <v>-1375</v>
      </c>
      <c r="BG95" s="2">
        <f>-BF95*'PV IN'!$E$8</f>
        <v>288.75</v>
      </c>
      <c r="BH95" s="2">
        <f>IF('PV IN'!$F$4="Battery Only",0,BB95+BG95)</f>
        <v>780.76083063646365</v>
      </c>
      <c r="BI95" s="2">
        <f>BH95/(1+('PV IN'!$G$9))^(C95)</f>
        <v>539.30258192204531</v>
      </c>
    </row>
    <row r="96" spans="2:61" x14ac:dyDescent="0.25">
      <c r="C96">
        <v>92</v>
      </c>
      <c r="D96" s="16">
        <f>D95*(1+('PV IN'!$G$6/12))</f>
        <v>7.5999999999999998E-2</v>
      </c>
      <c r="E96" s="16">
        <f>LkUP!$U$28</f>
        <v>7.6982989165910107E-2</v>
      </c>
      <c r="F96" s="16">
        <f>IF('PV IN'!$D$7="Table",E96,D96)</f>
        <v>7.6982989165910107E-2</v>
      </c>
      <c r="G96" s="33">
        <f>('PV IN'!$E$25*'PV IN'!$E$18/12)*(1-(1-'PV IN'!$E$27)/(25*12))^C95</f>
        <v>143520.47359610558</v>
      </c>
      <c r="H96" s="33">
        <f>IF('PV IN'!$D$19="YES",G96*'PV IN'!$E$21,0)</f>
        <v>0</v>
      </c>
      <c r="I96" s="33">
        <f>IF('PV IN'!$D$19="YES",'PV IN'!$E$22*BattCalcs!W96,0)</f>
        <v>0</v>
      </c>
      <c r="J96" s="33">
        <f>IF('PV IN'!$D$19="YES",'PV IN'!$E$23*BattCalcs!Y96,0)</f>
        <v>0</v>
      </c>
      <c r="K96" s="33">
        <f>BattCalcs!AF96</f>
        <v>25811.765833333331</v>
      </c>
      <c r="L96" s="33">
        <f t="shared" si="31"/>
        <v>25811.765833333331</v>
      </c>
      <c r="M96" s="33">
        <f>IF('PV IN'!$F$4="PV Only",G96,G96-SUM(H96:J96,L96))</f>
        <v>143520.47359610558</v>
      </c>
      <c r="N96" s="2">
        <f>IF(C96&lt;='PV IN'!$I$12*12,'PV IN'!$E$12*G96/1000,0)</f>
        <v>0</v>
      </c>
      <c r="O96" s="2">
        <f>IF(AND(C96&gt;'PV IN'!$I$12*12,C96&lt;='PV IN'!$I$13*12+'PV IN'!$I$12*12),'PV IN'!$E$13*PVCalcs!G96/1000,0)</f>
        <v>1865.7661567493726</v>
      </c>
      <c r="P96" s="2">
        <f>IF(AND(C96&gt;'PV IN'!$I$12*12+'PV IN'!$I$13*12,C96&lt;='PV IN'!$I$12*12+'PV IN'!$I$13*12+'PV IN'!$I$14*12),'PV IN'!$E$14*PVCalcs!G96/1000,0)</f>
        <v>0</v>
      </c>
      <c r="R96" s="10">
        <f>IF(AND('PV IN'!$D$35="YES",$C96&lt;='PV IN'!$E$35*12),-'PV IN'!$E$18*'PV IN'!$E$34/12,0)</f>
        <v>0</v>
      </c>
      <c r="S96" s="10">
        <f>IF(AND('PV IN'!$D$37="YES",$C96&lt;='PV IN'!$E$37*12),-'PV IN'!$E$18*'PV IN'!$E$36/12,0)</f>
        <v>0</v>
      </c>
      <c r="U96" s="2">
        <f t="shared" si="32"/>
        <v>11048.635063935284</v>
      </c>
      <c r="V96" s="10">
        <f>PVLoan!M123</f>
        <v>0</v>
      </c>
      <c r="W96" s="2">
        <f>IF(C96='PV IN'!$I$40,IF('PV IN'!$G$40="Non-Taxable",'PV IN'!$F$40,0),0)+IF(C96='PV IN'!$I$41,IF('PV IN'!$G$41="Non-Taxable",'PV IN'!$F$41,0),0)</f>
        <v>0</v>
      </c>
      <c r="X96" s="10"/>
      <c r="Y96" s="10">
        <f>IF('PV IN'!$E$15="Non-Taxable",SUM(N96:P96),0)</f>
        <v>1865.7661567493726</v>
      </c>
      <c r="Z96" s="10">
        <f>IF('PV IN'!$E$15="Taxable",SUM(N96:P96),0)</f>
        <v>0</v>
      </c>
      <c r="AA96" s="2">
        <f>IF(C96='PV IN'!$I$40,IF('PV IN'!$G$40="Taxable",'PV IN'!$F$40,0),0)+IF(C96='PV IN'!$I$41,IF('PV IN'!$G$41="Taxable",'PV IN'!$F$41,0),0)</f>
        <v>0</v>
      </c>
      <c r="AD96" s="10">
        <f>IF('PV IN'!$D$48="YES",-U96*'PV IN'!$E$8,0)</f>
        <v>0</v>
      </c>
      <c r="AE96" s="10">
        <f>IF('PV IN'!$N$10="Yes",-PVLoan!H124,-PVLoan!L124)</f>
        <v>0</v>
      </c>
      <c r="AF96" s="10">
        <f>IF('PV IN'!$N$10="Yes",-PVLoan!F124,0)</f>
        <v>0</v>
      </c>
      <c r="AG96" s="10">
        <f>IF(AND('PV IN'!$D$35="YES",$C96&lt;='PV IN'!$E$35*12),0,-'PV IN'!$E$18*'PV IN'!$E$34/12)</f>
        <v>-750</v>
      </c>
      <c r="AH96" s="10">
        <f>IF(AND('PV IN'!$D$37="YES",$C96&lt;='PV IN'!$E$37*12),0,-'PV IN'!$E$18*'PV IN'!$E$36/12)</f>
        <v>-625</v>
      </c>
      <c r="AI96" s="2">
        <f>IF(AND('PV IN'!$D$33="YES",PVCalcs!C96=ROUNDUP('PV IN'!$H$33*12,)),-'PV IN'!$E$33*'PV IN'!$E$18,0)</f>
        <v>0</v>
      </c>
      <c r="AK96" s="2">
        <f t="shared" si="17"/>
        <v>12914.401220684656</v>
      </c>
      <c r="AL96" s="2">
        <f t="shared" si="18"/>
        <v>-1375</v>
      </c>
      <c r="AM96" s="2">
        <f t="shared" si="22"/>
        <v>11539.401220684656</v>
      </c>
      <c r="AN96" s="43"/>
      <c r="AO96" s="2">
        <f t="shared" si="19"/>
        <v>0</v>
      </c>
      <c r="AP96" s="2">
        <f t="shared" si="23"/>
        <v>-1375</v>
      </c>
      <c r="AR96" s="2">
        <f t="shared" si="24"/>
        <v>-1375</v>
      </c>
      <c r="AS96" s="2">
        <f>-AR96*'PV IN'!$E$8</f>
        <v>288.75</v>
      </c>
      <c r="AT96" s="2">
        <f>IF('PV IN'!$F$4="Battery Only",0,AM96+AS96)</f>
        <v>11828.151220684656</v>
      </c>
      <c r="AV96" s="10">
        <f t="shared" si="25"/>
        <v>-95093.619426612247</v>
      </c>
      <c r="AW96" s="2">
        <f>AT96/(1+('PV IN'!$G$9))^(C96)</f>
        <v>8137.0235962766174</v>
      </c>
      <c r="AX96" s="2">
        <f>IF(C96&lt;='PV IN'!$O$22*12,AW96+AX95,NA())</f>
        <v>-341851.09318111261</v>
      </c>
      <c r="AZ96" s="10">
        <f t="shared" si="20"/>
        <v>-1375</v>
      </c>
      <c r="BA96" s="10">
        <f t="shared" si="21"/>
        <v>1865.7661567493724</v>
      </c>
      <c r="BB96" s="10">
        <f t="shared" si="26"/>
        <v>490.76615674937239</v>
      </c>
      <c r="BC96" s="10">
        <f t="shared" si="27"/>
        <v>0</v>
      </c>
      <c r="BD96" s="10">
        <f t="shared" si="28"/>
        <v>-1375</v>
      </c>
      <c r="BE96" s="2">
        <f t="shared" si="29"/>
        <v>0</v>
      </c>
      <c r="BF96" s="10">
        <f t="shared" si="30"/>
        <v>-1375</v>
      </c>
      <c r="BG96" s="2">
        <f>-BF96*'PV IN'!$E$8</f>
        <v>288.75</v>
      </c>
      <c r="BH96" s="2">
        <f>IF('PV IN'!$F$4="Battery Only",0,BB96+BG96)</f>
        <v>779.51615674937239</v>
      </c>
      <c r="BI96" s="2">
        <f>BH96/(1+('PV IN'!$G$9))^(C96)</f>
        <v>536.25805443340903</v>
      </c>
    </row>
    <row r="97" spans="2:61" x14ac:dyDescent="0.25">
      <c r="C97">
        <v>93</v>
      </c>
      <c r="D97" s="16">
        <f>D96*(1+('PV IN'!$G$6/12))</f>
        <v>7.5999999999999998E-2</v>
      </c>
      <c r="E97" s="16">
        <f>LkUP!$U$28</f>
        <v>7.6982989165910107E-2</v>
      </c>
      <c r="F97" s="16">
        <f>IF('PV IN'!$D$7="Table",E97,D97)</f>
        <v>7.6982989165910107E-2</v>
      </c>
      <c r="G97" s="33">
        <f>('PV IN'!$E$25*'PV IN'!$E$18/12)*(1-(1-'PV IN'!$E$27)/(25*12))^C96</f>
        <v>143424.79328037487</v>
      </c>
      <c r="H97" s="33">
        <f>IF('PV IN'!$D$19="YES",G97*'PV IN'!$E$21,0)</f>
        <v>0</v>
      </c>
      <c r="I97" s="33">
        <f>IF('PV IN'!$D$19="YES",'PV IN'!$E$22*BattCalcs!W97,0)</f>
        <v>0</v>
      </c>
      <c r="J97" s="33">
        <f>IF('PV IN'!$D$19="YES",'PV IN'!$E$23*BattCalcs!Y97,0)</f>
        <v>0</v>
      </c>
      <c r="K97" s="33">
        <f>BattCalcs!AF97</f>
        <v>25811.765833333331</v>
      </c>
      <c r="L97" s="33">
        <f t="shared" si="31"/>
        <v>25811.765833333331</v>
      </c>
      <c r="M97" s="33">
        <f>IF('PV IN'!$F$4="PV Only",G97,G97-SUM(H97:J97,L97))</f>
        <v>143424.79328037487</v>
      </c>
      <c r="N97" s="2">
        <f>IF(C97&lt;='PV IN'!$I$12*12,'PV IN'!$E$12*G97/1000,0)</f>
        <v>0</v>
      </c>
      <c r="O97" s="2">
        <f>IF(AND(C97&gt;'PV IN'!$I$12*12,C97&lt;='PV IN'!$I$13*12+'PV IN'!$I$12*12),'PV IN'!$E$13*PVCalcs!G97/1000,0)</f>
        <v>1864.5223126448732</v>
      </c>
      <c r="P97" s="2">
        <f>IF(AND(C97&gt;'PV IN'!$I$12*12+'PV IN'!$I$13*12,C97&lt;='PV IN'!$I$12*12+'PV IN'!$I$13*12+'PV IN'!$I$14*12),'PV IN'!$E$14*PVCalcs!G97/1000,0)</f>
        <v>0</v>
      </c>
      <c r="R97" s="10">
        <f>IF(AND('PV IN'!$D$35="YES",$C97&lt;='PV IN'!$E$35*12),-'PV IN'!$E$18*'PV IN'!$E$34/12,0)</f>
        <v>0</v>
      </c>
      <c r="S97" s="10">
        <f>IF(AND('PV IN'!$D$37="YES",$C97&lt;='PV IN'!$E$37*12),-'PV IN'!$E$18*'PV IN'!$E$36/12,0)</f>
        <v>0</v>
      </c>
      <c r="U97" s="2">
        <f t="shared" si="32"/>
        <v>11041.269307225995</v>
      </c>
      <c r="V97" s="10">
        <f>PVLoan!M124</f>
        <v>0</v>
      </c>
      <c r="W97" s="2">
        <f>IF(C97='PV IN'!$I$40,IF('PV IN'!$G$40="Non-Taxable",'PV IN'!$F$40,0),0)+IF(C97='PV IN'!$I$41,IF('PV IN'!$G$41="Non-Taxable",'PV IN'!$F$41,0),0)</f>
        <v>0</v>
      </c>
      <c r="X97" s="10"/>
      <c r="Y97" s="10">
        <f>IF('PV IN'!$E$15="Non-Taxable",SUM(N97:P97),0)</f>
        <v>1864.5223126448732</v>
      </c>
      <c r="Z97" s="10">
        <f>IF('PV IN'!$E$15="Taxable",SUM(N97:P97),0)</f>
        <v>0</v>
      </c>
      <c r="AA97" s="2">
        <f>IF(C97='PV IN'!$I$40,IF('PV IN'!$G$40="Taxable",'PV IN'!$F$40,0),0)+IF(C97='PV IN'!$I$41,IF('PV IN'!$G$41="Taxable",'PV IN'!$F$41,0),0)</f>
        <v>0</v>
      </c>
      <c r="AD97" s="10">
        <f>IF('PV IN'!$D$48="YES",-U97*'PV IN'!$E$8,0)</f>
        <v>0</v>
      </c>
      <c r="AE97" s="10">
        <f>IF('PV IN'!$N$10="Yes",-PVLoan!H125,-PVLoan!L125)</f>
        <v>0</v>
      </c>
      <c r="AF97" s="10">
        <f>IF('PV IN'!$N$10="Yes",-PVLoan!F125,0)</f>
        <v>0</v>
      </c>
      <c r="AG97" s="10">
        <f>IF(AND('PV IN'!$D$35="YES",$C97&lt;='PV IN'!$E$35*12),0,-'PV IN'!$E$18*'PV IN'!$E$34/12)</f>
        <v>-750</v>
      </c>
      <c r="AH97" s="10">
        <f>IF(AND('PV IN'!$D$37="YES",$C97&lt;='PV IN'!$E$37*12),0,-'PV IN'!$E$18*'PV IN'!$E$36/12)</f>
        <v>-625</v>
      </c>
      <c r="AI97" s="2">
        <f>IF(AND('PV IN'!$D$33="YES",PVCalcs!C97=ROUNDUP('PV IN'!$H$33*12,)),-'PV IN'!$E$33*'PV IN'!$E$18,0)</f>
        <v>0</v>
      </c>
      <c r="AK97" s="2">
        <f t="shared" si="17"/>
        <v>12905.791619870868</v>
      </c>
      <c r="AL97" s="2">
        <f t="shared" si="18"/>
        <v>-1375</v>
      </c>
      <c r="AM97" s="2">
        <f t="shared" si="22"/>
        <v>11530.791619870868</v>
      </c>
      <c r="AN97" s="43"/>
      <c r="AO97" s="2">
        <f t="shared" si="19"/>
        <v>0</v>
      </c>
      <c r="AP97" s="2">
        <f t="shared" si="23"/>
        <v>-1375</v>
      </c>
      <c r="AR97" s="2">
        <f t="shared" si="24"/>
        <v>-1375</v>
      </c>
      <c r="AS97" s="2">
        <f>-AR97*'PV IN'!$E$8</f>
        <v>288.75</v>
      </c>
      <c r="AT97" s="2">
        <f>IF('PV IN'!$F$4="Battery Only",0,AM97+AS97)</f>
        <v>11819.541619870868</v>
      </c>
      <c r="AV97" s="10">
        <f t="shared" si="25"/>
        <v>-83274.077806741378</v>
      </c>
      <c r="AW97" s="2">
        <f>AT97/(1+('PV IN'!$G$9))^(C97)</f>
        <v>8098.1080382291393</v>
      </c>
      <c r="AX97" s="2">
        <f>IF(C97&lt;='PV IN'!$O$22*12,AW97+AX96,NA())</f>
        <v>-333752.9851428835</v>
      </c>
      <c r="AZ97" s="10">
        <f t="shared" si="20"/>
        <v>-1375</v>
      </c>
      <c r="BA97" s="10">
        <f t="shared" si="21"/>
        <v>1864.5223126448727</v>
      </c>
      <c r="BB97" s="10">
        <f t="shared" si="26"/>
        <v>489.52231264487273</v>
      </c>
      <c r="BC97" s="10">
        <f t="shared" si="27"/>
        <v>0</v>
      </c>
      <c r="BD97" s="10">
        <f t="shared" si="28"/>
        <v>-1375</v>
      </c>
      <c r="BE97" s="2">
        <f t="shared" si="29"/>
        <v>0</v>
      </c>
      <c r="BF97" s="10">
        <f t="shared" si="30"/>
        <v>-1375</v>
      </c>
      <c r="BG97" s="2">
        <f>-BF97*'PV IN'!$E$8</f>
        <v>288.75</v>
      </c>
      <c r="BH97" s="2">
        <f>IF('PV IN'!$F$4="Battery Only",0,BB97+BG97)</f>
        <v>778.27231264487273</v>
      </c>
      <c r="BI97" s="2">
        <f>BH97/(1+('PV IN'!$G$9))^(C97)</f>
        <v>533.22992326241183</v>
      </c>
    </row>
    <row r="98" spans="2:61" x14ac:dyDescent="0.25">
      <c r="C98">
        <v>94</v>
      </c>
      <c r="D98" s="16">
        <f>D97*(1+('PV IN'!$G$6/12))</f>
        <v>7.5999999999999998E-2</v>
      </c>
      <c r="E98" s="16">
        <f>LkUP!$U$28</f>
        <v>7.6982989165910107E-2</v>
      </c>
      <c r="F98" s="16">
        <f>IF('PV IN'!$D$7="Table",E98,D98)</f>
        <v>7.6982989165910107E-2</v>
      </c>
      <c r="G98" s="33">
        <f>('PV IN'!$E$25*'PV IN'!$E$18/12)*(1-(1-'PV IN'!$E$27)/(25*12))^C97</f>
        <v>143329.17675152127</v>
      </c>
      <c r="H98" s="33">
        <f>IF('PV IN'!$D$19="YES",G98*'PV IN'!$E$21,0)</f>
        <v>0</v>
      </c>
      <c r="I98" s="33">
        <f>IF('PV IN'!$D$19="YES",'PV IN'!$E$22*BattCalcs!W98,0)</f>
        <v>0</v>
      </c>
      <c r="J98" s="33">
        <f>IF('PV IN'!$D$19="YES",'PV IN'!$E$23*BattCalcs!Y98,0)</f>
        <v>0</v>
      </c>
      <c r="K98" s="33">
        <f>BattCalcs!AF98</f>
        <v>25811.765833333331</v>
      </c>
      <c r="L98" s="33">
        <f t="shared" si="31"/>
        <v>25811.765833333331</v>
      </c>
      <c r="M98" s="33">
        <f>IF('PV IN'!$F$4="PV Only",G98,G98-SUM(H98:J98,L98))</f>
        <v>143329.17675152127</v>
      </c>
      <c r="N98" s="2">
        <f>IF(C98&lt;='PV IN'!$I$12*12,'PV IN'!$E$12*G98/1000,0)</f>
        <v>0</v>
      </c>
      <c r="O98" s="2">
        <f>IF(AND(C98&gt;'PV IN'!$I$12*12,C98&lt;='PV IN'!$I$13*12+'PV IN'!$I$12*12),'PV IN'!$E$13*PVCalcs!G98/1000,0)</f>
        <v>1863.2792977697766</v>
      </c>
      <c r="P98" s="2">
        <f>IF(AND(C98&gt;'PV IN'!$I$12*12+'PV IN'!$I$13*12,C98&lt;='PV IN'!$I$12*12+'PV IN'!$I$13*12+'PV IN'!$I$14*12),'PV IN'!$E$14*PVCalcs!G98/1000,0)</f>
        <v>0</v>
      </c>
      <c r="R98" s="10">
        <f>IF(AND('PV IN'!$D$35="YES",$C98&lt;='PV IN'!$E$35*12),-'PV IN'!$E$18*'PV IN'!$E$34/12,0)</f>
        <v>0</v>
      </c>
      <c r="S98" s="10">
        <f>IF(AND('PV IN'!$D$37="YES",$C98&lt;='PV IN'!$E$37*12),-'PV IN'!$E$18*'PV IN'!$E$36/12,0)</f>
        <v>0</v>
      </c>
      <c r="U98" s="2">
        <f t="shared" si="32"/>
        <v>11033.908461021178</v>
      </c>
      <c r="V98" s="10">
        <f>PVLoan!M125</f>
        <v>0</v>
      </c>
      <c r="W98" s="2">
        <f>IF(C98='PV IN'!$I$40,IF('PV IN'!$G$40="Non-Taxable",'PV IN'!$F$40,0),0)+IF(C98='PV IN'!$I$41,IF('PV IN'!$G$41="Non-Taxable",'PV IN'!$F$41,0),0)</f>
        <v>0</v>
      </c>
      <c r="X98" s="10"/>
      <c r="Y98" s="10">
        <f>IF('PV IN'!$E$15="Non-Taxable",SUM(N98:P98),0)</f>
        <v>1863.2792977697766</v>
      </c>
      <c r="Z98" s="10">
        <f>IF('PV IN'!$E$15="Taxable",SUM(N98:P98),0)</f>
        <v>0</v>
      </c>
      <c r="AA98" s="2">
        <f>IF(C98='PV IN'!$I$40,IF('PV IN'!$G$40="Taxable",'PV IN'!$F$40,0),0)+IF(C98='PV IN'!$I$41,IF('PV IN'!$G$41="Taxable",'PV IN'!$F$41,0),0)</f>
        <v>0</v>
      </c>
      <c r="AD98" s="10">
        <f>IF('PV IN'!$D$48="YES",-U98*'PV IN'!$E$8,0)</f>
        <v>0</v>
      </c>
      <c r="AE98" s="10">
        <f>IF('PV IN'!$N$10="Yes",-PVLoan!H126,-PVLoan!L126)</f>
        <v>0</v>
      </c>
      <c r="AF98" s="10">
        <f>IF('PV IN'!$N$10="Yes",-PVLoan!F126,0)</f>
        <v>0</v>
      </c>
      <c r="AG98" s="10">
        <f>IF(AND('PV IN'!$D$35="YES",$C98&lt;='PV IN'!$E$35*12),0,-'PV IN'!$E$18*'PV IN'!$E$34/12)</f>
        <v>-750</v>
      </c>
      <c r="AH98" s="10">
        <f>IF(AND('PV IN'!$D$37="YES",$C98&lt;='PV IN'!$E$37*12),0,-'PV IN'!$E$18*'PV IN'!$E$36/12)</f>
        <v>-625</v>
      </c>
      <c r="AI98" s="2">
        <f>IF(AND('PV IN'!$D$33="YES",PVCalcs!C98=ROUNDUP('PV IN'!$H$33*12,)),-'PV IN'!$E$33*'PV IN'!$E$18,0)</f>
        <v>0</v>
      </c>
      <c r="AK98" s="2">
        <f t="shared" si="17"/>
        <v>12897.187758790955</v>
      </c>
      <c r="AL98" s="2">
        <f t="shared" si="18"/>
        <v>-1375</v>
      </c>
      <c r="AM98" s="2">
        <f t="shared" si="22"/>
        <v>11522.187758790955</v>
      </c>
      <c r="AN98" s="43"/>
      <c r="AO98" s="2">
        <f t="shared" si="19"/>
        <v>0</v>
      </c>
      <c r="AP98" s="2">
        <f t="shared" si="23"/>
        <v>-1375</v>
      </c>
      <c r="AR98" s="2">
        <f t="shared" si="24"/>
        <v>-1375</v>
      </c>
      <c r="AS98" s="2">
        <f>-AR98*'PV IN'!$E$8</f>
        <v>288.75</v>
      </c>
      <c r="AT98" s="2">
        <f>IF('PV IN'!$F$4="Battery Only",0,AM98+AS98)</f>
        <v>11810.937758790955</v>
      </c>
      <c r="AV98" s="10">
        <f t="shared" si="25"/>
        <v>-71463.140047950423</v>
      </c>
      <c r="AW98" s="2">
        <f>AT98/(1+('PV IN'!$G$9))^(C98)</f>
        <v>8059.3782353141414</v>
      </c>
      <c r="AX98" s="2">
        <f>IF(C98&lt;='PV IN'!$O$22*12,AW98+AX97,NA())</f>
        <v>-325693.60690756934</v>
      </c>
      <c r="AZ98" s="10">
        <f t="shared" si="20"/>
        <v>-1375</v>
      </c>
      <c r="BA98" s="10">
        <f t="shared" si="21"/>
        <v>1863.2792977697773</v>
      </c>
      <c r="BB98" s="10">
        <f t="shared" si="26"/>
        <v>488.27929776977726</v>
      </c>
      <c r="BC98" s="10">
        <f t="shared" si="27"/>
        <v>0</v>
      </c>
      <c r="BD98" s="10">
        <f t="shared" si="28"/>
        <v>-1375</v>
      </c>
      <c r="BE98" s="2">
        <f t="shared" si="29"/>
        <v>0</v>
      </c>
      <c r="BF98" s="10">
        <f t="shared" si="30"/>
        <v>-1375</v>
      </c>
      <c r="BG98" s="2">
        <f>-BF98*'PV IN'!$E$8</f>
        <v>288.75</v>
      </c>
      <c r="BH98" s="2">
        <f>IF('PV IN'!$F$4="Battery Only",0,BB98+BG98)</f>
        <v>777.02929776977726</v>
      </c>
      <c r="BI98" s="2">
        <f>BH98/(1+('PV IN'!$G$9))^(C98)</f>
        <v>530.21810279086856</v>
      </c>
    </row>
    <row r="99" spans="2:61" x14ac:dyDescent="0.25">
      <c r="C99">
        <v>95</v>
      </c>
      <c r="D99" s="16">
        <f>D98*(1+('PV IN'!$G$6/12))</f>
        <v>7.5999999999999998E-2</v>
      </c>
      <c r="E99" s="16">
        <f>LkUP!$U$28</f>
        <v>7.6982989165910107E-2</v>
      </c>
      <c r="F99" s="16">
        <f>IF('PV IN'!$D$7="Table",E99,D99)</f>
        <v>7.6982989165910107E-2</v>
      </c>
      <c r="G99" s="33">
        <f>('PV IN'!$E$25*'PV IN'!$E$18/12)*(1-(1-'PV IN'!$E$27)/(25*12))^C98</f>
        <v>143233.62396702022</v>
      </c>
      <c r="H99" s="33">
        <f>IF('PV IN'!$D$19="YES",G99*'PV IN'!$E$21,0)</f>
        <v>0</v>
      </c>
      <c r="I99" s="33">
        <f>IF('PV IN'!$D$19="YES",'PV IN'!$E$22*BattCalcs!W99,0)</f>
        <v>0</v>
      </c>
      <c r="J99" s="33">
        <f>IF('PV IN'!$D$19="YES",'PV IN'!$E$23*BattCalcs!Y99,0)</f>
        <v>0</v>
      </c>
      <c r="K99" s="33">
        <f>BattCalcs!AF99</f>
        <v>25811.765833333331</v>
      </c>
      <c r="L99" s="33">
        <f t="shared" si="31"/>
        <v>25811.765833333331</v>
      </c>
      <c r="M99" s="33">
        <f>IF('PV IN'!$F$4="PV Only",G99,G99-SUM(H99:J99,L99))</f>
        <v>143233.62396702022</v>
      </c>
      <c r="N99" s="2">
        <f>IF(C99&lt;='PV IN'!$I$12*12,'PV IN'!$E$12*G99/1000,0)</f>
        <v>0</v>
      </c>
      <c r="O99" s="2">
        <f>IF(AND(C99&gt;'PV IN'!$I$12*12,C99&lt;='PV IN'!$I$13*12+'PV IN'!$I$12*12),'PV IN'!$E$13*PVCalcs!G99/1000,0)</f>
        <v>1862.0371115712628</v>
      </c>
      <c r="P99" s="2">
        <f>IF(AND(C99&gt;'PV IN'!$I$12*12+'PV IN'!$I$13*12,C99&lt;='PV IN'!$I$12*12+'PV IN'!$I$13*12+'PV IN'!$I$14*12),'PV IN'!$E$14*PVCalcs!G99/1000,0)</f>
        <v>0</v>
      </c>
      <c r="R99" s="10">
        <f>IF(AND('PV IN'!$D$35="YES",$C99&lt;='PV IN'!$E$35*12),-'PV IN'!$E$18*'PV IN'!$E$34/12,0)</f>
        <v>0</v>
      </c>
      <c r="S99" s="10">
        <f>IF(AND('PV IN'!$D$37="YES",$C99&lt;='PV IN'!$E$37*12),-'PV IN'!$E$18*'PV IN'!$E$36/12,0)</f>
        <v>0</v>
      </c>
      <c r="U99" s="2">
        <f t="shared" si="32"/>
        <v>11026.552522047159</v>
      </c>
      <c r="V99" s="10">
        <f>PVLoan!M126</f>
        <v>0</v>
      </c>
      <c r="W99" s="2">
        <f>IF(C99='PV IN'!$I$40,IF('PV IN'!$G$40="Non-Taxable",'PV IN'!$F$40,0),0)+IF(C99='PV IN'!$I$41,IF('PV IN'!$G$41="Non-Taxable",'PV IN'!$F$41,0),0)</f>
        <v>0</v>
      </c>
      <c r="X99" s="10"/>
      <c r="Y99" s="10">
        <f>IF('PV IN'!$E$15="Non-Taxable",SUM(N99:P99),0)</f>
        <v>1862.0371115712628</v>
      </c>
      <c r="Z99" s="10">
        <f>IF('PV IN'!$E$15="Taxable",SUM(N99:P99),0)</f>
        <v>0</v>
      </c>
      <c r="AA99" s="2">
        <f>IF(C99='PV IN'!$I$40,IF('PV IN'!$G$40="Taxable",'PV IN'!$F$40,0),0)+IF(C99='PV IN'!$I$41,IF('PV IN'!$G$41="Taxable",'PV IN'!$F$41,0),0)</f>
        <v>0</v>
      </c>
      <c r="AD99" s="10">
        <f>IF('PV IN'!$D$48="YES",-U99*'PV IN'!$E$8,0)</f>
        <v>0</v>
      </c>
      <c r="AE99" s="10">
        <f>IF('PV IN'!$N$10="Yes",-PVLoan!H127,-PVLoan!L127)</f>
        <v>0</v>
      </c>
      <c r="AF99" s="10">
        <f>IF('PV IN'!$N$10="Yes",-PVLoan!F127,0)</f>
        <v>0</v>
      </c>
      <c r="AG99" s="10">
        <f>IF(AND('PV IN'!$D$35="YES",$C99&lt;='PV IN'!$E$35*12),0,-'PV IN'!$E$18*'PV IN'!$E$34/12)</f>
        <v>-750</v>
      </c>
      <c r="AH99" s="10">
        <f>IF(AND('PV IN'!$D$37="YES",$C99&lt;='PV IN'!$E$37*12),0,-'PV IN'!$E$18*'PV IN'!$E$36/12)</f>
        <v>-625</v>
      </c>
      <c r="AI99" s="2">
        <f>IF(AND('PV IN'!$D$33="YES",PVCalcs!C99=ROUNDUP('PV IN'!$H$33*12,)),-'PV IN'!$E$33*'PV IN'!$E$18,0)</f>
        <v>0</v>
      </c>
      <c r="AK99" s="2">
        <f t="shared" si="17"/>
        <v>12888.589633618421</v>
      </c>
      <c r="AL99" s="2">
        <f t="shared" si="18"/>
        <v>-1375</v>
      </c>
      <c r="AM99" s="2">
        <f t="shared" si="22"/>
        <v>11513.589633618421</v>
      </c>
      <c r="AN99" s="43"/>
      <c r="AO99" s="2">
        <f t="shared" si="19"/>
        <v>0</v>
      </c>
      <c r="AP99" s="2">
        <f t="shared" si="23"/>
        <v>-1375</v>
      </c>
      <c r="AR99" s="2">
        <f t="shared" si="24"/>
        <v>-1375</v>
      </c>
      <c r="AS99" s="2">
        <f>-AR99*'PV IN'!$E$8</f>
        <v>288.75</v>
      </c>
      <c r="AT99" s="2">
        <f>IF('PV IN'!$F$4="Battery Only",0,AM99+AS99)</f>
        <v>11802.339633618421</v>
      </c>
      <c r="AV99" s="10">
        <f t="shared" si="25"/>
        <v>-59660.800414331999</v>
      </c>
      <c r="AW99" s="2">
        <f>AT99/(1+('PV IN'!$G$9))^(C99)</f>
        <v>8020.8333023098812</v>
      </c>
      <c r="AX99" s="2">
        <f>IF(C99&lt;='PV IN'!$O$22*12,AW99+AX98,NA())</f>
        <v>-317672.77360525948</v>
      </c>
      <c r="AZ99" s="10">
        <f t="shared" si="20"/>
        <v>-1375</v>
      </c>
      <c r="BA99" s="10">
        <f t="shared" si="21"/>
        <v>1862.0371115712624</v>
      </c>
      <c r="BB99" s="10">
        <f t="shared" si="26"/>
        <v>487.03711157126236</v>
      </c>
      <c r="BC99" s="10">
        <f t="shared" si="27"/>
        <v>0</v>
      </c>
      <c r="BD99" s="10">
        <f t="shared" si="28"/>
        <v>-1375</v>
      </c>
      <c r="BE99" s="2">
        <f t="shared" si="29"/>
        <v>0</v>
      </c>
      <c r="BF99" s="10">
        <f t="shared" si="30"/>
        <v>-1375</v>
      </c>
      <c r="BG99" s="2">
        <f>-BF99*'PV IN'!$E$8</f>
        <v>288.75</v>
      </c>
      <c r="BH99" s="2">
        <f>IF('PV IN'!$F$4="Battery Only",0,BB99+BG99)</f>
        <v>775.78711157126236</v>
      </c>
      <c r="BI99" s="2">
        <f>BH99/(1+('PV IN'!$G$9))^(C99)</f>
        <v>527.22250783812251</v>
      </c>
    </row>
    <row r="100" spans="2:61" x14ac:dyDescent="0.25">
      <c r="B100">
        <v>8</v>
      </c>
      <c r="C100">
        <v>96</v>
      </c>
      <c r="D100" s="16">
        <f>D99*(1+('PV IN'!$G$6/12))</f>
        <v>7.5999999999999998E-2</v>
      </c>
      <c r="E100" s="16">
        <f>LkUP!$U$28</f>
        <v>7.6982989165910107E-2</v>
      </c>
      <c r="F100" s="16">
        <f>IF('PV IN'!$D$7="Table",E100,D100)</f>
        <v>7.6982989165910107E-2</v>
      </c>
      <c r="G100" s="33">
        <f>('PV IN'!$E$25*'PV IN'!$E$18/12)*(1-(1-'PV IN'!$E$27)/(25*12))^C99</f>
        <v>143138.13488437558</v>
      </c>
      <c r="H100" s="33">
        <f>IF('PV IN'!$D$19="YES",G100*'PV IN'!$E$21,0)</f>
        <v>0</v>
      </c>
      <c r="I100" s="33">
        <f>IF('PV IN'!$D$19="YES",'PV IN'!$E$22*BattCalcs!W100,0)</f>
        <v>0</v>
      </c>
      <c r="J100" s="33">
        <f>IF('PV IN'!$D$19="YES",'PV IN'!$E$23*BattCalcs!Y100,0)</f>
        <v>0</v>
      </c>
      <c r="K100" s="33">
        <f>BattCalcs!AF100</f>
        <v>25811.765833333331</v>
      </c>
      <c r="L100" s="33">
        <f t="shared" si="31"/>
        <v>25811.765833333331</v>
      </c>
      <c r="M100" s="33">
        <f>IF('PV IN'!$F$4="PV Only",G100,G100-SUM(H100:J100,L100))</f>
        <v>143138.13488437558</v>
      </c>
      <c r="N100" s="2">
        <f>IF(C100&lt;='PV IN'!$I$12*12,'PV IN'!$E$12*G100/1000,0)</f>
        <v>0</v>
      </c>
      <c r="O100" s="2">
        <f>IF(AND(C100&gt;'PV IN'!$I$12*12,C100&lt;='PV IN'!$I$13*12+'PV IN'!$I$12*12),'PV IN'!$E$13*PVCalcs!G100/1000,0)</f>
        <v>1860.7957534968825</v>
      </c>
      <c r="P100" s="2">
        <f>IF(AND(C100&gt;'PV IN'!$I$12*12+'PV IN'!$I$13*12,C100&lt;='PV IN'!$I$12*12+'PV IN'!$I$13*12+'PV IN'!$I$14*12),'PV IN'!$E$14*PVCalcs!G100/1000,0)</f>
        <v>0</v>
      </c>
      <c r="R100" s="10">
        <f>IF(AND('PV IN'!$D$35="YES",$C100&lt;='PV IN'!$E$35*12),-'PV IN'!$E$18*'PV IN'!$E$34/12,0)</f>
        <v>0</v>
      </c>
      <c r="S100" s="10">
        <f>IF(AND('PV IN'!$D$37="YES",$C100&lt;='PV IN'!$E$37*12),-'PV IN'!$E$18*'PV IN'!$E$36/12,0)</f>
        <v>0</v>
      </c>
      <c r="U100" s="2">
        <f t="shared" si="32"/>
        <v>11019.201487032466</v>
      </c>
      <c r="V100" s="10">
        <f>PVLoan!M127</f>
        <v>0</v>
      </c>
      <c r="W100" s="2">
        <f>IF(C100='PV IN'!$I$40,IF('PV IN'!$G$40="Non-Taxable",'PV IN'!$F$40,0),0)+IF(C100='PV IN'!$I$41,IF('PV IN'!$G$41="Non-Taxable",'PV IN'!$F$41,0),0)</f>
        <v>0</v>
      </c>
      <c r="X100" s="10"/>
      <c r="Y100" s="10">
        <f>IF('PV IN'!$E$15="Non-Taxable",SUM(N100:P100),0)</f>
        <v>1860.7957534968825</v>
      </c>
      <c r="Z100" s="10">
        <f>IF('PV IN'!$E$15="Taxable",SUM(N100:P100),0)</f>
        <v>0</v>
      </c>
      <c r="AA100" s="2">
        <f>IF(C100='PV IN'!$I$40,IF('PV IN'!$G$40="Taxable",'PV IN'!$F$40,0),0)+IF(C100='PV IN'!$I$41,IF('PV IN'!$G$41="Taxable",'PV IN'!$F$41,0),0)</f>
        <v>0</v>
      </c>
      <c r="AD100" s="10">
        <f>IF('PV IN'!$D$48="YES",-U100*'PV IN'!$E$8,0)</f>
        <v>0</v>
      </c>
      <c r="AE100" s="10">
        <f>IF('PV IN'!$N$10="Yes",-PVLoan!H128,-PVLoan!L128)</f>
        <v>0</v>
      </c>
      <c r="AF100" s="10">
        <f>IF('PV IN'!$N$10="Yes",-PVLoan!F128,0)</f>
        <v>0</v>
      </c>
      <c r="AG100" s="10">
        <f>IF(AND('PV IN'!$D$35="YES",$C100&lt;='PV IN'!$E$35*12),0,-'PV IN'!$E$18*'PV IN'!$E$34/12)</f>
        <v>-750</v>
      </c>
      <c r="AH100" s="10">
        <f>IF(AND('PV IN'!$D$37="YES",$C100&lt;='PV IN'!$E$37*12),0,-'PV IN'!$E$18*'PV IN'!$E$36/12)</f>
        <v>-625</v>
      </c>
      <c r="AI100" s="2">
        <f>IF(AND('PV IN'!$D$33="YES",PVCalcs!C100=ROUNDUP('PV IN'!$H$33*12,)),-'PV IN'!$E$33*'PV IN'!$E$18,0)</f>
        <v>0</v>
      </c>
      <c r="AK100" s="2">
        <f t="shared" si="17"/>
        <v>12879.997240529348</v>
      </c>
      <c r="AL100" s="2">
        <f t="shared" si="18"/>
        <v>-1375</v>
      </c>
      <c r="AM100" s="2">
        <f t="shared" si="22"/>
        <v>11504.997240529348</v>
      </c>
      <c r="AN100" s="43"/>
      <c r="AO100" s="2">
        <f t="shared" si="19"/>
        <v>0</v>
      </c>
      <c r="AP100" s="2">
        <f t="shared" si="23"/>
        <v>-1375</v>
      </c>
      <c r="AR100" s="2">
        <f t="shared" si="24"/>
        <v>-1375</v>
      </c>
      <c r="AS100" s="2">
        <f>-AR100*'PV IN'!$E$8</f>
        <v>288.75</v>
      </c>
      <c r="AT100" s="2">
        <f>IF('PV IN'!$F$4="Battery Only",0,AM100+AS100)</f>
        <v>11793.747240529348</v>
      </c>
      <c r="AV100" s="10">
        <f t="shared" si="25"/>
        <v>-47867.053173802648</v>
      </c>
      <c r="AW100" s="2">
        <f>AT100/(1+('PV IN'!$G$9))^(C100)</f>
        <v>7982.472358207403</v>
      </c>
      <c r="AX100" s="2">
        <f>IF(C100&lt;='PV IN'!$O$22*12,AW100+AX99,NA())</f>
        <v>-309690.30124705209</v>
      </c>
      <c r="AZ100" s="10">
        <f t="shared" si="20"/>
        <v>-1375</v>
      </c>
      <c r="BA100" s="10">
        <f t="shared" si="21"/>
        <v>1860.7957534968828</v>
      </c>
      <c r="BB100" s="10">
        <f t="shared" si="26"/>
        <v>485.79575349688275</v>
      </c>
      <c r="BC100" s="10">
        <f t="shared" si="27"/>
        <v>0</v>
      </c>
      <c r="BD100" s="10">
        <f t="shared" si="28"/>
        <v>-1375</v>
      </c>
      <c r="BE100" s="2">
        <f t="shared" si="29"/>
        <v>0</v>
      </c>
      <c r="BF100" s="10">
        <f t="shared" si="30"/>
        <v>-1375</v>
      </c>
      <c r="BG100" s="2">
        <f>-BF100*'PV IN'!$E$8</f>
        <v>288.75</v>
      </c>
      <c r="BH100" s="2">
        <f>IF('PV IN'!$F$4="Battery Only",0,BB100+BG100)</f>
        <v>774.54575349688275</v>
      </c>
      <c r="BI100" s="2">
        <f>BH100/(1+('PV IN'!$G$9))^(C100)</f>
        <v>524.24305365885425</v>
      </c>
    </row>
    <row r="101" spans="2:61" x14ac:dyDescent="0.25">
      <c r="C101">
        <v>97</v>
      </c>
      <c r="D101" s="16">
        <f>D100*(1+('PV IN'!$G$6/12))</f>
        <v>7.5999999999999998E-2</v>
      </c>
      <c r="E101" s="16">
        <f>LkUP!$U$29</f>
        <v>7.9451292012060609E-2</v>
      </c>
      <c r="F101" s="16">
        <f>IF('PV IN'!$D$7="Table",E101,D101)</f>
        <v>7.9451292012060609E-2</v>
      </c>
      <c r="G101" s="33">
        <f>('PV IN'!$E$25*'PV IN'!$E$18/12)*(1-(1-'PV IN'!$E$27)/(25*12))^C100</f>
        <v>143042.70946111929</v>
      </c>
      <c r="H101" s="33">
        <f>IF('PV IN'!$D$19="YES",G101*'PV IN'!$E$21,0)</f>
        <v>0</v>
      </c>
      <c r="I101" s="33">
        <f>IF('PV IN'!$D$19="YES",'PV IN'!$E$22*BattCalcs!W101,0)</f>
        <v>0</v>
      </c>
      <c r="J101" s="33">
        <f>IF('PV IN'!$D$19="YES",'PV IN'!$E$23*BattCalcs!Y101,0)</f>
        <v>0</v>
      </c>
      <c r="K101" s="33">
        <f>BattCalcs!AF101</f>
        <v>25811.765833333331</v>
      </c>
      <c r="L101" s="33">
        <f t="shared" si="31"/>
        <v>25811.765833333331</v>
      </c>
      <c r="M101" s="33">
        <f>IF('PV IN'!$F$4="PV Only",G101,G101-SUM(H101:J101,L101))</f>
        <v>143042.70946111929</v>
      </c>
      <c r="N101" s="2">
        <f>IF(C101&lt;='PV IN'!$I$12*12,'PV IN'!$E$12*G101/1000,0)</f>
        <v>0</v>
      </c>
      <c r="O101" s="2">
        <f>IF(AND(C101&gt;'PV IN'!$I$12*12,C101&lt;='PV IN'!$I$13*12+'PV IN'!$I$12*12),'PV IN'!$E$13*PVCalcs!G101/1000,0)</f>
        <v>1859.5552229945508</v>
      </c>
      <c r="P101" s="2">
        <f>IF(AND(C101&gt;'PV IN'!$I$12*12+'PV IN'!$I$13*12,C101&lt;='PV IN'!$I$12*12+'PV IN'!$I$13*12+'PV IN'!$I$14*12),'PV IN'!$E$14*PVCalcs!G101/1000,0)</f>
        <v>0</v>
      </c>
      <c r="R101" s="10">
        <f>IF(AND('PV IN'!$D$35="YES",$C101&lt;='PV IN'!$E$35*12),-'PV IN'!$E$18*'PV IN'!$E$34/12,0)</f>
        <v>0</v>
      </c>
      <c r="S101" s="10">
        <f>IF(AND('PV IN'!$D$37="YES",$C101&lt;='PV IN'!$E$37*12),-'PV IN'!$E$18*'PV IN'!$E$36/12,0)</f>
        <v>0</v>
      </c>
      <c r="U101" s="2">
        <f t="shared" si="32"/>
        <v>11364.928079591733</v>
      </c>
      <c r="V101" s="10">
        <f>PVLoan!M128</f>
        <v>0</v>
      </c>
      <c r="W101" s="2">
        <f>IF(C101='PV IN'!$I$40,IF('PV IN'!$G$40="Non-Taxable",'PV IN'!$F$40,0),0)+IF(C101='PV IN'!$I$41,IF('PV IN'!$G$41="Non-Taxable",'PV IN'!$F$41,0),0)</f>
        <v>0</v>
      </c>
      <c r="X101" s="10"/>
      <c r="Y101" s="10">
        <f>IF('PV IN'!$E$15="Non-Taxable",SUM(N101:P101),0)</f>
        <v>1859.5552229945508</v>
      </c>
      <c r="Z101" s="10">
        <f>IF('PV IN'!$E$15="Taxable",SUM(N101:P101),0)</f>
        <v>0</v>
      </c>
      <c r="AA101" s="2">
        <f>IF(C101='PV IN'!$I$40,IF('PV IN'!$G$40="Taxable",'PV IN'!$F$40,0),0)+IF(C101='PV IN'!$I$41,IF('PV IN'!$G$41="Taxable",'PV IN'!$F$41,0),0)</f>
        <v>0</v>
      </c>
      <c r="AD101" s="10">
        <f>IF('PV IN'!$D$48="YES",-U101*'PV IN'!$E$8,0)</f>
        <v>0</v>
      </c>
      <c r="AE101" s="10">
        <f>IF('PV IN'!$N$10="Yes",-PVLoan!H129,-PVLoan!L129)</f>
        <v>0</v>
      </c>
      <c r="AF101" s="10">
        <f>IF('PV IN'!$N$10="Yes",-PVLoan!F129,0)</f>
        <v>0</v>
      </c>
      <c r="AG101" s="10">
        <f>IF(AND('PV IN'!$D$35="YES",$C101&lt;='PV IN'!$E$35*12),0,-'PV IN'!$E$18*'PV IN'!$E$34/12)</f>
        <v>-750</v>
      </c>
      <c r="AH101" s="10">
        <f>IF(AND('PV IN'!$D$37="YES",$C101&lt;='PV IN'!$E$37*12),0,-'PV IN'!$E$18*'PV IN'!$E$36/12)</f>
        <v>-625</v>
      </c>
      <c r="AI101" s="2">
        <f>IF(AND('PV IN'!$D$33="YES",PVCalcs!C101=ROUNDUP('PV IN'!$H$33*12,)),-'PV IN'!$E$33*'PV IN'!$E$18,0)</f>
        <v>0</v>
      </c>
      <c r="AK101" s="2">
        <f t="shared" si="17"/>
        <v>13224.483302586284</v>
      </c>
      <c r="AL101" s="2">
        <f t="shared" si="18"/>
        <v>-1375</v>
      </c>
      <c r="AM101" s="2">
        <f t="shared" si="22"/>
        <v>11849.483302586284</v>
      </c>
      <c r="AN101" s="43"/>
      <c r="AO101" s="2">
        <f t="shared" si="19"/>
        <v>0</v>
      </c>
      <c r="AP101" s="2">
        <f t="shared" si="23"/>
        <v>-1375</v>
      </c>
      <c r="AR101" s="2">
        <f t="shared" si="24"/>
        <v>-1375</v>
      </c>
      <c r="AS101" s="2">
        <f>-AR101*'PV IN'!$E$8</f>
        <v>288.75</v>
      </c>
      <c r="AT101" s="2">
        <f>IF('PV IN'!$F$4="Battery Only",0,AM101+AS101)</f>
        <v>12138.233302586284</v>
      </c>
      <c r="AV101" s="10">
        <f t="shared" si="25"/>
        <v>-35728.819871216365</v>
      </c>
      <c r="AW101" s="2">
        <f>AT101/(1+('PV IN'!$G$9))^(C101)</f>
        <v>8182.2983882094804</v>
      </c>
      <c r="AX101" s="2">
        <f>IF(C101&lt;='PV IN'!$O$22*12,AW101+AX100,NA())</f>
        <v>-301508.00285884261</v>
      </c>
      <c r="AZ101" s="10">
        <f t="shared" si="20"/>
        <v>-1375</v>
      </c>
      <c r="BA101" s="10">
        <f t="shared" si="21"/>
        <v>1859.5552229945515</v>
      </c>
      <c r="BB101" s="10">
        <f t="shared" si="26"/>
        <v>484.55522299455151</v>
      </c>
      <c r="BC101" s="10">
        <f t="shared" si="27"/>
        <v>0</v>
      </c>
      <c r="BD101" s="10">
        <f t="shared" si="28"/>
        <v>-1375</v>
      </c>
      <c r="BE101" s="2">
        <f t="shared" si="29"/>
        <v>0</v>
      </c>
      <c r="BF101" s="10">
        <f t="shared" si="30"/>
        <v>-1375</v>
      </c>
      <c r="BG101" s="2">
        <f>-BF101*'PV IN'!$E$8</f>
        <v>288.75</v>
      </c>
      <c r="BH101" s="2">
        <f>IF('PV IN'!$F$4="Battery Only",0,BB101+BG101)</f>
        <v>773.30522299455151</v>
      </c>
      <c r="BI101" s="2">
        <f>BH101/(1+('PV IN'!$G$9))^(C101)</f>
        <v>521.27965594087846</v>
      </c>
    </row>
    <row r="102" spans="2:61" x14ac:dyDescent="0.25">
      <c r="C102">
        <v>98</v>
      </c>
      <c r="D102" s="16">
        <f>D101*(1+('PV IN'!$G$6/12))</f>
        <v>7.5999999999999998E-2</v>
      </c>
      <c r="E102" s="16">
        <f>LkUP!$U$29</f>
        <v>7.9451292012060609E-2</v>
      </c>
      <c r="F102" s="16">
        <f>IF('PV IN'!$D$7="Table",E102,D102)</f>
        <v>7.9451292012060609E-2</v>
      </c>
      <c r="G102" s="33">
        <f>('PV IN'!$E$25*'PV IN'!$E$18/12)*(1-(1-'PV IN'!$E$27)/(25*12))^C101</f>
        <v>142947.34765481189</v>
      </c>
      <c r="H102" s="33">
        <f>IF('PV IN'!$D$19="YES",G102*'PV IN'!$E$21,0)</f>
        <v>0</v>
      </c>
      <c r="I102" s="33">
        <f>IF('PV IN'!$D$19="YES",'PV IN'!$E$22*BattCalcs!W102,0)</f>
        <v>0</v>
      </c>
      <c r="J102" s="33">
        <f>IF('PV IN'!$D$19="YES",'PV IN'!$E$23*BattCalcs!Y102,0)</f>
        <v>0</v>
      </c>
      <c r="K102" s="33">
        <f>BattCalcs!AF102</f>
        <v>25811.765833333331</v>
      </c>
      <c r="L102" s="33">
        <f t="shared" si="31"/>
        <v>25811.765833333331</v>
      </c>
      <c r="M102" s="33">
        <f>IF('PV IN'!$F$4="PV Only",G102,G102-SUM(H102:J102,L102))</f>
        <v>142947.34765481189</v>
      </c>
      <c r="N102" s="2">
        <f>IF(C102&lt;='PV IN'!$I$12*12,'PV IN'!$E$12*G102/1000,0)</f>
        <v>0</v>
      </c>
      <c r="O102" s="2">
        <f>IF(AND(C102&gt;'PV IN'!$I$12*12,C102&lt;='PV IN'!$I$13*12+'PV IN'!$I$12*12),'PV IN'!$E$13*PVCalcs!G102/1000,0)</f>
        <v>1858.3155195125546</v>
      </c>
      <c r="P102" s="2">
        <f>IF(AND(C102&gt;'PV IN'!$I$12*12+'PV IN'!$I$13*12,C102&lt;='PV IN'!$I$12*12+'PV IN'!$I$13*12+'PV IN'!$I$14*12),'PV IN'!$E$14*PVCalcs!G102/1000,0)</f>
        <v>0</v>
      </c>
      <c r="R102" s="10">
        <f>IF(AND('PV IN'!$D$35="YES",$C102&lt;='PV IN'!$E$35*12),-'PV IN'!$E$18*'PV IN'!$E$34/12,0)</f>
        <v>0</v>
      </c>
      <c r="S102" s="10">
        <f>IF(AND('PV IN'!$D$37="YES",$C102&lt;='PV IN'!$E$37*12),-'PV IN'!$E$18*'PV IN'!$E$36/12,0)</f>
        <v>0</v>
      </c>
      <c r="U102" s="2">
        <f t="shared" si="32"/>
        <v>11357.351460872007</v>
      </c>
      <c r="V102" s="10">
        <f>PVLoan!M129</f>
        <v>0</v>
      </c>
      <c r="W102" s="2">
        <f>IF(C102='PV IN'!$I$40,IF('PV IN'!$G$40="Non-Taxable",'PV IN'!$F$40,0),0)+IF(C102='PV IN'!$I$41,IF('PV IN'!$G$41="Non-Taxable",'PV IN'!$F$41,0),0)</f>
        <v>0</v>
      </c>
      <c r="X102" s="10"/>
      <c r="Y102" s="10">
        <f>IF('PV IN'!$E$15="Non-Taxable",SUM(N102:P102),0)</f>
        <v>1858.3155195125546</v>
      </c>
      <c r="Z102" s="10">
        <f>IF('PV IN'!$E$15="Taxable",SUM(N102:P102),0)</f>
        <v>0</v>
      </c>
      <c r="AA102" s="2">
        <f>IF(C102='PV IN'!$I$40,IF('PV IN'!$G$40="Taxable",'PV IN'!$F$40,0),0)+IF(C102='PV IN'!$I$41,IF('PV IN'!$G$41="Taxable",'PV IN'!$F$41,0),0)</f>
        <v>0</v>
      </c>
      <c r="AD102" s="10">
        <f>IF('PV IN'!$D$48="YES",-U102*'PV IN'!$E$8,0)</f>
        <v>0</v>
      </c>
      <c r="AE102" s="10">
        <f>IF('PV IN'!$N$10="Yes",-PVLoan!H130,-PVLoan!L130)</f>
        <v>0</v>
      </c>
      <c r="AF102" s="10">
        <f>IF('PV IN'!$N$10="Yes",-PVLoan!F130,0)</f>
        <v>0</v>
      </c>
      <c r="AG102" s="10">
        <f>IF(AND('PV IN'!$D$35="YES",$C102&lt;='PV IN'!$E$35*12),0,-'PV IN'!$E$18*'PV IN'!$E$34/12)</f>
        <v>-750</v>
      </c>
      <c r="AH102" s="10">
        <f>IF(AND('PV IN'!$D$37="YES",$C102&lt;='PV IN'!$E$37*12),0,-'PV IN'!$E$18*'PV IN'!$E$36/12)</f>
        <v>-625</v>
      </c>
      <c r="AI102" s="2">
        <f>IF(AND('PV IN'!$D$33="YES",PVCalcs!C102=ROUNDUP('PV IN'!$H$33*12,)),-'PV IN'!$E$33*'PV IN'!$E$18,0)</f>
        <v>0</v>
      </c>
      <c r="AK102" s="2">
        <f t="shared" si="17"/>
        <v>13215.666980384562</v>
      </c>
      <c r="AL102" s="2">
        <f t="shared" si="18"/>
        <v>-1375</v>
      </c>
      <c r="AM102" s="2">
        <f t="shared" si="22"/>
        <v>11840.666980384562</v>
      </c>
      <c r="AN102" s="43"/>
      <c r="AO102" s="2">
        <f t="shared" si="19"/>
        <v>0</v>
      </c>
      <c r="AP102" s="2">
        <f t="shared" si="23"/>
        <v>-1375</v>
      </c>
      <c r="AR102" s="2">
        <f t="shared" si="24"/>
        <v>-1375</v>
      </c>
      <c r="AS102" s="2">
        <f>-AR102*'PV IN'!$E$8</f>
        <v>288.75</v>
      </c>
      <c r="AT102" s="2">
        <f>IF('PV IN'!$F$4="Battery Only",0,AM102+AS102)</f>
        <v>12129.416980384562</v>
      </c>
      <c r="AV102" s="10">
        <f t="shared" si="25"/>
        <v>-23599.402890831803</v>
      </c>
      <c r="AW102" s="2">
        <f>AT102/(1+('PV IN'!$G$9))^(C102)</f>
        <v>8143.1790474875343</v>
      </c>
      <c r="AX102" s="2">
        <f>IF(C102&lt;='PV IN'!$O$22*12,AW102+AX101,NA())</f>
        <v>-293364.82381135505</v>
      </c>
      <c r="AZ102" s="10">
        <f t="shared" si="20"/>
        <v>-1375</v>
      </c>
      <c r="BA102" s="10">
        <f t="shared" si="21"/>
        <v>1858.3155195125546</v>
      </c>
      <c r="BB102" s="10">
        <f t="shared" si="26"/>
        <v>483.3155195125546</v>
      </c>
      <c r="BC102" s="10">
        <f t="shared" si="27"/>
        <v>0</v>
      </c>
      <c r="BD102" s="10">
        <f t="shared" si="28"/>
        <v>-1375</v>
      </c>
      <c r="BE102" s="2">
        <f t="shared" si="29"/>
        <v>0</v>
      </c>
      <c r="BF102" s="10">
        <f t="shared" si="30"/>
        <v>-1375</v>
      </c>
      <c r="BG102" s="2">
        <f>-BF102*'PV IN'!$E$8</f>
        <v>288.75</v>
      </c>
      <c r="BH102" s="2">
        <f>IF('PV IN'!$F$4="Battery Only",0,BB102+BG102)</f>
        <v>772.0655195125546</v>
      </c>
      <c r="BI102" s="2">
        <f>BH102/(1+('PV IN'!$G$9))^(C102)</f>
        <v>518.33223080297489</v>
      </c>
    </row>
    <row r="103" spans="2:61" x14ac:dyDescent="0.25">
      <c r="C103">
        <v>99</v>
      </c>
      <c r="D103" s="16">
        <f>D102*(1+('PV IN'!$G$6/12))</f>
        <v>7.5999999999999998E-2</v>
      </c>
      <c r="E103" s="16">
        <f>LkUP!$U$29</f>
        <v>7.9451292012060609E-2</v>
      </c>
      <c r="F103" s="16">
        <f>IF('PV IN'!$D$7="Table",E103,D103)</f>
        <v>7.9451292012060609E-2</v>
      </c>
      <c r="G103" s="33">
        <f>('PV IN'!$E$25*'PV IN'!$E$18/12)*(1-(1-'PV IN'!$E$27)/(25*12))^C102</f>
        <v>142852.04942304199</v>
      </c>
      <c r="H103" s="33">
        <f>IF('PV IN'!$D$19="YES",G103*'PV IN'!$E$21,0)</f>
        <v>0</v>
      </c>
      <c r="I103" s="33">
        <f>IF('PV IN'!$D$19="YES",'PV IN'!$E$22*BattCalcs!W103,0)</f>
        <v>0</v>
      </c>
      <c r="J103" s="33">
        <f>IF('PV IN'!$D$19="YES",'PV IN'!$E$23*BattCalcs!Y103,0)</f>
        <v>0</v>
      </c>
      <c r="K103" s="33">
        <f>BattCalcs!AF103</f>
        <v>25811.765833333331</v>
      </c>
      <c r="L103" s="33">
        <f t="shared" si="31"/>
        <v>25811.765833333331</v>
      </c>
      <c r="M103" s="33">
        <f>IF('PV IN'!$F$4="PV Only",G103,G103-SUM(H103:J103,L103))</f>
        <v>142852.04942304199</v>
      </c>
      <c r="N103" s="2">
        <f>IF(C103&lt;='PV IN'!$I$12*12,'PV IN'!$E$12*G103/1000,0)</f>
        <v>0</v>
      </c>
      <c r="O103" s="2">
        <f>IF(AND(C103&gt;'PV IN'!$I$12*12,C103&lt;='PV IN'!$I$13*12+'PV IN'!$I$12*12),'PV IN'!$E$13*PVCalcs!G103/1000,0)</f>
        <v>1857.0766424995459</v>
      </c>
      <c r="P103" s="2">
        <f>IF(AND(C103&gt;'PV IN'!$I$12*12+'PV IN'!$I$13*12,C103&lt;='PV IN'!$I$12*12+'PV IN'!$I$13*12+'PV IN'!$I$14*12),'PV IN'!$E$14*PVCalcs!G103/1000,0)</f>
        <v>0</v>
      </c>
      <c r="R103" s="10">
        <f>IF(AND('PV IN'!$D$35="YES",$C103&lt;='PV IN'!$E$35*12),-'PV IN'!$E$18*'PV IN'!$E$34/12,0)</f>
        <v>0</v>
      </c>
      <c r="S103" s="10">
        <f>IF(AND('PV IN'!$D$37="YES",$C103&lt;='PV IN'!$E$37*12),-'PV IN'!$E$18*'PV IN'!$E$36/12,0)</f>
        <v>0</v>
      </c>
      <c r="U103" s="2">
        <f t="shared" si="32"/>
        <v>11349.779893231424</v>
      </c>
      <c r="V103" s="10">
        <f>PVLoan!M130</f>
        <v>0</v>
      </c>
      <c r="W103" s="2">
        <f>IF(C103='PV IN'!$I$40,IF('PV IN'!$G$40="Non-Taxable",'PV IN'!$F$40,0),0)+IF(C103='PV IN'!$I$41,IF('PV IN'!$G$41="Non-Taxable",'PV IN'!$F$41,0),0)</f>
        <v>0</v>
      </c>
      <c r="X103" s="10"/>
      <c r="Y103" s="10">
        <f>IF('PV IN'!$E$15="Non-Taxable",SUM(N103:P103),0)</f>
        <v>1857.0766424995459</v>
      </c>
      <c r="Z103" s="10">
        <f>IF('PV IN'!$E$15="Taxable",SUM(N103:P103),0)</f>
        <v>0</v>
      </c>
      <c r="AA103" s="2">
        <f>IF(C103='PV IN'!$I$40,IF('PV IN'!$G$40="Taxable",'PV IN'!$F$40,0),0)+IF(C103='PV IN'!$I$41,IF('PV IN'!$G$41="Taxable",'PV IN'!$F$41,0),0)</f>
        <v>0</v>
      </c>
      <c r="AD103" s="10">
        <f>IF('PV IN'!$D$48="YES",-U103*'PV IN'!$E$8,0)</f>
        <v>0</v>
      </c>
      <c r="AE103" s="10">
        <f>IF('PV IN'!$N$10="Yes",-PVLoan!H131,-PVLoan!L131)</f>
        <v>0</v>
      </c>
      <c r="AF103" s="10">
        <f>IF('PV IN'!$N$10="Yes",-PVLoan!F131,0)</f>
        <v>0</v>
      </c>
      <c r="AG103" s="10">
        <f>IF(AND('PV IN'!$D$35="YES",$C103&lt;='PV IN'!$E$35*12),0,-'PV IN'!$E$18*'PV IN'!$E$34/12)</f>
        <v>-750</v>
      </c>
      <c r="AH103" s="10">
        <f>IF(AND('PV IN'!$D$37="YES",$C103&lt;='PV IN'!$E$37*12),0,-'PV IN'!$E$18*'PV IN'!$E$36/12)</f>
        <v>-625</v>
      </c>
      <c r="AI103" s="2">
        <f>IF(AND('PV IN'!$D$33="YES",PVCalcs!C103=ROUNDUP('PV IN'!$H$33*12,)),-'PV IN'!$E$33*'PV IN'!$E$18,0)</f>
        <v>0</v>
      </c>
      <c r="AK103" s="2">
        <f t="shared" si="17"/>
        <v>13206.856535730969</v>
      </c>
      <c r="AL103" s="2">
        <f t="shared" si="18"/>
        <v>-1375</v>
      </c>
      <c r="AM103" s="2">
        <f t="shared" si="22"/>
        <v>11831.856535730969</v>
      </c>
      <c r="AN103" s="43"/>
      <c r="AO103" s="2">
        <f t="shared" si="19"/>
        <v>0</v>
      </c>
      <c r="AP103" s="2">
        <f t="shared" si="23"/>
        <v>-1375</v>
      </c>
      <c r="AR103" s="2">
        <f t="shared" si="24"/>
        <v>-1375</v>
      </c>
      <c r="AS103" s="2">
        <f>-AR103*'PV IN'!$E$8</f>
        <v>288.75</v>
      </c>
      <c r="AT103" s="2">
        <f>IF('PV IN'!$F$4="Battery Only",0,AM103+AS103)</f>
        <v>12120.606535730969</v>
      </c>
      <c r="AV103" s="10">
        <f t="shared" si="25"/>
        <v>-11478.796355100834</v>
      </c>
      <c r="AW103" s="2">
        <f>AT103/(1+('PV IN'!$G$9))^(C103)</f>
        <v>8104.2463835551262</v>
      </c>
      <c r="AX103" s="2">
        <f>IF(C103&lt;='PV IN'!$O$22*12,AW103+AX102,NA())</f>
        <v>-285260.57742779993</v>
      </c>
      <c r="AZ103" s="10">
        <f t="shared" si="20"/>
        <v>-1375</v>
      </c>
      <c r="BA103" s="10">
        <f t="shared" si="21"/>
        <v>1857.0766424995454</v>
      </c>
      <c r="BB103" s="10">
        <f t="shared" si="26"/>
        <v>482.07664249954541</v>
      </c>
      <c r="BC103" s="10">
        <f t="shared" si="27"/>
        <v>0</v>
      </c>
      <c r="BD103" s="10">
        <f t="shared" si="28"/>
        <v>-1375</v>
      </c>
      <c r="BE103" s="2">
        <f t="shared" si="29"/>
        <v>0</v>
      </c>
      <c r="BF103" s="10">
        <f t="shared" si="30"/>
        <v>-1375</v>
      </c>
      <c r="BG103" s="2">
        <f>-BF103*'PV IN'!$E$8</f>
        <v>288.75</v>
      </c>
      <c r="BH103" s="2">
        <f>IF('PV IN'!$F$4="Battery Only",0,BB103+BG103)</f>
        <v>770.82664249954541</v>
      </c>
      <c r="BI103" s="2">
        <f>BH103/(1+('PV IN'!$G$9))^(C103)</f>
        <v>515.40069479271642</v>
      </c>
    </row>
    <row r="104" spans="2:61" x14ac:dyDescent="0.25">
      <c r="C104">
        <v>100</v>
      </c>
      <c r="D104" s="16">
        <f>D103*(1+('PV IN'!$G$6/12))</f>
        <v>7.5999999999999998E-2</v>
      </c>
      <c r="E104" s="16">
        <f>LkUP!$U$29</f>
        <v>7.9451292012060609E-2</v>
      </c>
      <c r="F104" s="16">
        <f>IF('PV IN'!$D$7="Table",E104,D104)</f>
        <v>7.9451292012060609E-2</v>
      </c>
      <c r="G104" s="33">
        <f>('PV IN'!$E$25*'PV IN'!$E$18/12)*(1-(1-'PV IN'!$E$27)/(25*12))^C103</f>
        <v>142756.81472342665</v>
      </c>
      <c r="H104" s="33">
        <f>IF('PV IN'!$D$19="YES",G104*'PV IN'!$E$21,0)</f>
        <v>0</v>
      </c>
      <c r="I104" s="33">
        <f>IF('PV IN'!$D$19="YES",'PV IN'!$E$22*BattCalcs!W104,0)</f>
        <v>0</v>
      </c>
      <c r="J104" s="33">
        <f>IF('PV IN'!$D$19="YES",'PV IN'!$E$23*BattCalcs!Y104,0)</f>
        <v>0</v>
      </c>
      <c r="K104" s="33">
        <f>BattCalcs!AF104</f>
        <v>25811.765833333331</v>
      </c>
      <c r="L104" s="33">
        <f t="shared" si="31"/>
        <v>25811.765833333331</v>
      </c>
      <c r="M104" s="33">
        <f>IF('PV IN'!$F$4="PV Only",G104,G104-SUM(H104:J104,L104))</f>
        <v>142756.81472342665</v>
      </c>
      <c r="N104" s="2">
        <f>IF(C104&lt;='PV IN'!$I$12*12,'PV IN'!$E$12*G104/1000,0)</f>
        <v>0</v>
      </c>
      <c r="O104" s="2">
        <f>IF(AND(C104&gt;'PV IN'!$I$12*12,C104&lt;='PV IN'!$I$13*12+'PV IN'!$I$12*12),'PV IN'!$E$13*PVCalcs!G104/1000,0)</f>
        <v>1855.8385914045466</v>
      </c>
      <c r="P104" s="2">
        <f>IF(AND(C104&gt;'PV IN'!$I$12*12+'PV IN'!$I$13*12,C104&lt;='PV IN'!$I$12*12+'PV IN'!$I$13*12+'PV IN'!$I$14*12),'PV IN'!$E$14*PVCalcs!G104/1000,0)</f>
        <v>0</v>
      </c>
      <c r="R104" s="10">
        <f>IF(AND('PV IN'!$D$35="YES",$C104&lt;='PV IN'!$E$35*12),-'PV IN'!$E$18*'PV IN'!$E$34/12,0)</f>
        <v>0</v>
      </c>
      <c r="S104" s="10">
        <f>IF(AND('PV IN'!$D$37="YES",$C104&lt;='PV IN'!$E$37*12),-'PV IN'!$E$18*'PV IN'!$E$36/12,0)</f>
        <v>0</v>
      </c>
      <c r="U104" s="2">
        <f t="shared" si="32"/>
        <v>11342.213373302604</v>
      </c>
      <c r="V104" s="10">
        <f>PVLoan!M131</f>
        <v>0</v>
      </c>
      <c r="W104" s="2">
        <f>IF(C104='PV IN'!$I$40,IF('PV IN'!$G$40="Non-Taxable",'PV IN'!$F$40,0),0)+IF(C104='PV IN'!$I$41,IF('PV IN'!$G$41="Non-Taxable",'PV IN'!$F$41,0),0)</f>
        <v>0</v>
      </c>
      <c r="X104" s="10"/>
      <c r="Y104" s="10">
        <f>IF('PV IN'!$E$15="Non-Taxable",SUM(N104:P104),0)</f>
        <v>1855.8385914045466</v>
      </c>
      <c r="Z104" s="10">
        <f>IF('PV IN'!$E$15="Taxable",SUM(N104:P104),0)</f>
        <v>0</v>
      </c>
      <c r="AA104" s="2">
        <f>IF(C104='PV IN'!$I$40,IF('PV IN'!$G$40="Taxable",'PV IN'!$F$40,0),0)+IF(C104='PV IN'!$I$41,IF('PV IN'!$G$41="Taxable",'PV IN'!$F$41,0),0)</f>
        <v>0</v>
      </c>
      <c r="AD104" s="10">
        <f>IF('PV IN'!$D$48="YES",-U104*'PV IN'!$E$8,0)</f>
        <v>0</v>
      </c>
      <c r="AE104" s="10">
        <f>IF('PV IN'!$N$10="Yes",-PVLoan!H132,-PVLoan!L132)</f>
        <v>0</v>
      </c>
      <c r="AF104" s="10">
        <f>IF('PV IN'!$N$10="Yes",-PVLoan!F132,0)</f>
        <v>0</v>
      </c>
      <c r="AG104" s="10">
        <f>IF(AND('PV IN'!$D$35="YES",$C104&lt;='PV IN'!$E$35*12),0,-'PV IN'!$E$18*'PV IN'!$E$34/12)</f>
        <v>-750</v>
      </c>
      <c r="AH104" s="10">
        <f>IF(AND('PV IN'!$D$37="YES",$C104&lt;='PV IN'!$E$37*12),0,-'PV IN'!$E$18*'PV IN'!$E$36/12)</f>
        <v>-625</v>
      </c>
      <c r="AI104" s="2">
        <f>IF(AND('PV IN'!$D$33="YES",PVCalcs!C104=ROUNDUP('PV IN'!$H$33*12,)),-'PV IN'!$E$33*'PV IN'!$E$18,0)</f>
        <v>0</v>
      </c>
      <c r="AK104" s="2">
        <f t="shared" si="17"/>
        <v>13198.051964707151</v>
      </c>
      <c r="AL104" s="2">
        <f t="shared" si="18"/>
        <v>-1375</v>
      </c>
      <c r="AM104" s="2">
        <f t="shared" si="22"/>
        <v>11823.051964707151</v>
      </c>
      <c r="AN104" s="43"/>
      <c r="AO104" s="2">
        <f t="shared" si="19"/>
        <v>0</v>
      </c>
      <c r="AP104" s="2">
        <f t="shared" si="23"/>
        <v>-1375</v>
      </c>
      <c r="AR104" s="2">
        <f t="shared" si="24"/>
        <v>-1375</v>
      </c>
      <c r="AS104" s="2">
        <f>-AR104*'PV IN'!$E$8</f>
        <v>288.75</v>
      </c>
      <c r="AT104" s="2">
        <f>IF('PV IN'!$F$4="Battery Only",0,AM104+AS104)</f>
        <v>12111.801964707151</v>
      </c>
      <c r="AV104" s="10">
        <f t="shared" si="25"/>
        <v>633.00560960631628</v>
      </c>
      <c r="AW104" s="2">
        <f>AT104/(1+('PV IN'!$G$9))^(C104)</f>
        <v>8065.4995070032619</v>
      </c>
      <c r="AX104" s="2">
        <f>IF(C104&lt;='PV IN'!$O$22*12,AW104+AX103,NA())</f>
        <v>-277195.07792079664</v>
      </c>
      <c r="AZ104" s="10">
        <f t="shared" si="20"/>
        <v>-1375</v>
      </c>
      <c r="BA104" s="10">
        <f t="shared" si="21"/>
        <v>1855.8385914045466</v>
      </c>
      <c r="BB104" s="10">
        <f t="shared" si="26"/>
        <v>480.83859140454661</v>
      </c>
      <c r="BC104" s="10">
        <f t="shared" si="27"/>
        <v>0</v>
      </c>
      <c r="BD104" s="10">
        <f t="shared" si="28"/>
        <v>-1375</v>
      </c>
      <c r="BE104" s="2">
        <f t="shared" si="29"/>
        <v>0</v>
      </c>
      <c r="BF104" s="10">
        <f t="shared" si="30"/>
        <v>-1375</v>
      </c>
      <c r="BG104" s="2">
        <f>-BF104*'PV IN'!$E$8</f>
        <v>288.75</v>
      </c>
      <c r="BH104" s="2">
        <f>IF('PV IN'!$F$4="Battery Only",0,BB104+BG104)</f>
        <v>769.58859140454661</v>
      </c>
      <c r="BI104" s="2">
        <f>BH104/(1+('PV IN'!$G$9))^(C104)</f>
        <v>512.48496488431363</v>
      </c>
    </row>
    <row r="105" spans="2:61" x14ac:dyDescent="0.25">
      <c r="C105">
        <v>101</v>
      </c>
      <c r="D105" s="16">
        <f>D104*(1+('PV IN'!$G$6/12))</f>
        <v>7.5999999999999998E-2</v>
      </c>
      <c r="E105" s="16">
        <f>LkUP!$U$29</f>
        <v>7.9451292012060609E-2</v>
      </c>
      <c r="F105" s="16">
        <f>IF('PV IN'!$D$7="Table",E105,D105)</f>
        <v>7.9451292012060609E-2</v>
      </c>
      <c r="G105" s="33">
        <f>('PV IN'!$E$25*'PV IN'!$E$18/12)*(1-(1-'PV IN'!$E$27)/(25*12))^C104</f>
        <v>142661.64351361102</v>
      </c>
      <c r="H105" s="33">
        <f>IF('PV IN'!$D$19="YES",G105*'PV IN'!$E$21,0)</f>
        <v>0</v>
      </c>
      <c r="I105" s="33">
        <f>IF('PV IN'!$D$19="YES",'PV IN'!$E$22*BattCalcs!W105,0)</f>
        <v>0</v>
      </c>
      <c r="J105" s="33">
        <f>IF('PV IN'!$D$19="YES",'PV IN'!$E$23*BattCalcs!Y105,0)</f>
        <v>0</v>
      </c>
      <c r="K105" s="33">
        <f>BattCalcs!AF105</f>
        <v>25811.765833333331</v>
      </c>
      <c r="L105" s="33">
        <f t="shared" si="31"/>
        <v>25811.765833333331</v>
      </c>
      <c r="M105" s="33">
        <f>IF('PV IN'!$F$4="PV Only",G105,G105-SUM(H105:J105,L105))</f>
        <v>142661.64351361102</v>
      </c>
      <c r="N105" s="2">
        <f>IF(C105&lt;='PV IN'!$I$12*12,'PV IN'!$E$12*G105/1000,0)</f>
        <v>0</v>
      </c>
      <c r="O105" s="2">
        <f>IF(AND(C105&gt;'PV IN'!$I$12*12,C105&lt;='PV IN'!$I$13*12+'PV IN'!$I$12*12),'PV IN'!$E$13*PVCalcs!G105/1000,0)</f>
        <v>1854.6013656769433</v>
      </c>
      <c r="P105" s="2">
        <f>IF(AND(C105&gt;'PV IN'!$I$12*12+'PV IN'!$I$13*12,C105&lt;='PV IN'!$I$12*12+'PV IN'!$I$13*12+'PV IN'!$I$14*12),'PV IN'!$E$14*PVCalcs!G105/1000,0)</f>
        <v>0</v>
      </c>
      <c r="R105" s="10">
        <f>IF(AND('PV IN'!$D$35="YES",$C105&lt;='PV IN'!$E$35*12),-'PV IN'!$E$18*'PV IN'!$E$34/12,0)</f>
        <v>0</v>
      </c>
      <c r="S105" s="10">
        <f>IF(AND('PV IN'!$D$37="YES",$C105&lt;='PV IN'!$E$37*12),-'PV IN'!$E$18*'PV IN'!$E$36/12,0)</f>
        <v>0</v>
      </c>
      <c r="U105" s="2">
        <f t="shared" si="32"/>
        <v>11334.651897720401</v>
      </c>
      <c r="V105" s="10">
        <f>PVLoan!M132</f>
        <v>0</v>
      </c>
      <c r="W105" s="2">
        <f>IF(C105='PV IN'!$I$40,IF('PV IN'!$G$40="Non-Taxable",'PV IN'!$F$40,0),0)+IF(C105='PV IN'!$I$41,IF('PV IN'!$G$41="Non-Taxable",'PV IN'!$F$41,0),0)</f>
        <v>0</v>
      </c>
      <c r="X105" s="10"/>
      <c r="Y105" s="10">
        <f>IF('PV IN'!$E$15="Non-Taxable",SUM(N105:P105),0)</f>
        <v>1854.6013656769433</v>
      </c>
      <c r="Z105" s="10">
        <f>IF('PV IN'!$E$15="Taxable",SUM(N105:P105),0)</f>
        <v>0</v>
      </c>
      <c r="AA105" s="2">
        <f>IF(C105='PV IN'!$I$40,IF('PV IN'!$G$40="Taxable",'PV IN'!$F$40,0),0)+IF(C105='PV IN'!$I$41,IF('PV IN'!$G$41="Taxable",'PV IN'!$F$41,0),0)</f>
        <v>0</v>
      </c>
      <c r="AD105" s="10">
        <f>IF('PV IN'!$D$48="YES",-U105*'PV IN'!$E$8,0)</f>
        <v>0</v>
      </c>
      <c r="AE105" s="10">
        <f>IF('PV IN'!$N$10="Yes",-PVLoan!H133,-PVLoan!L133)</f>
        <v>0</v>
      </c>
      <c r="AF105" s="10">
        <f>IF('PV IN'!$N$10="Yes",-PVLoan!F133,0)</f>
        <v>0</v>
      </c>
      <c r="AG105" s="10">
        <f>IF(AND('PV IN'!$D$35="YES",$C105&lt;='PV IN'!$E$35*12),0,-'PV IN'!$E$18*'PV IN'!$E$34/12)</f>
        <v>-750</v>
      </c>
      <c r="AH105" s="10">
        <f>IF(AND('PV IN'!$D$37="YES",$C105&lt;='PV IN'!$E$37*12),0,-'PV IN'!$E$18*'PV IN'!$E$36/12)</f>
        <v>-625</v>
      </c>
      <c r="AI105" s="2">
        <f>IF(AND('PV IN'!$D$33="YES",PVCalcs!C105=ROUNDUP('PV IN'!$H$33*12,)),-'PV IN'!$E$33*'PV IN'!$E$18,0)</f>
        <v>0</v>
      </c>
      <c r="AK105" s="2">
        <f t="shared" si="17"/>
        <v>13189.253263397344</v>
      </c>
      <c r="AL105" s="2">
        <f t="shared" si="18"/>
        <v>-1375</v>
      </c>
      <c r="AM105" s="2">
        <f t="shared" si="22"/>
        <v>11814.253263397344</v>
      </c>
      <c r="AN105" s="43"/>
      <c r="AO105" s="2">
        <f t="shared" si="19"/>
        <v>0</v>
      </c>
      <c r="AP105" s="2">
        <f t="shared" si="23"/>
        <v>-1375</v>
      </c>
      <c r="AR105" s="2">
        <f t="shared" si="24"/>
        <v>-1375</v>
      </c>
      <c r="AS105" s="2">
        <f>-AR105*'PV IN'!$E$8</f>
        <v>288.75</v>
      </c>
      <c r="AT105" s="2">
        <f>IF('PV IN'!$F$4="Battery Only",0,AM105+AS105)</f>
        <v>12103.003263397344</v>
      </c>
      <c r="AV105" s="10">
        <f t="shared" si="25"/>
        <v>12736.00887300366</v>
      </c>
      <c r="AW105" s="2">
        <f>AT105/(1+('PV IN'!$G$9))^(C105)</f>
        <v>8026.9375326548006</v>
      </c>
      <c r="AX105" s="2">
        <f>IF(C105&lt;='PV IN'!$O$22*12,AW105+AX104,NA())</f>
        <v>-269168.14038814185</v>
      </c>
      <c r="AZ105" s="10">
        <f t="shared" si="20"/>
        <v>-1375</v>
      </c>
      <c r="BA105" s="10">
        <f t="shared" si="21"/>
        <v>1854.6013656769428</v>
      </c>
      <c r="BB105" s="10">
        <f t="shared" si="26"/>
        <v>479.60136567694281</v>
      </c>
      <c r="BC105" s="10">
        <f t="shared" si="27"/>
        <v>0</v>
      </c>
      <c r="BD105" s="10">
        <f t="shared" si="28"/>
        <v>-1375</v>
      </c>
      <c r="BE105" s="2">
        <f t="shared" si="29"/>
        <v>0</v>
      </c>
      <c r="BF105" s="10">
        <f t="shared" si="30"/>
        <v>-1375</v>
      </c>
      <c r="BG105" s="2">
        <f>-BF105*'PV IN'!$E$8</f>
        <v>288.75</v>
      </c>
      <c r="BH105" s="2">
        <f>IF('PV IN'!$F$4="Battery Only",0,BB105+BG105)</f>
        <v>768.35136567694281</v>
      </c>
      <c r="BI105" s="2">
        <f>BH105/(1+('PV IN'!$G$9))^(C105)</f>
        <v>509.58495847646253</v>
      </c>
    </row>
    <row r="106" spans="2:61" x14ac:dyDescent="0.25">
      <c r="C106">
        <v>102</v>
      </c>
      <c r="D106" s="16">
        <f>D105*(1+('PV IN'!$G$6/12))</f>
        <v>7.5999999999999998E-2</v>
      </c>
      <c r="E106" s="16">
        <f>LkUP!$U$29</f>
        <v>7.9451292012060609E-2</v>
      </c>
      <c r="F106" s="16">
        <f>IF('PV IN'!$D$7="Table",E106,D106)</f>
        <v>7.9451292012060609E-2</v>
      </c>
      <c r="G106" s="33">
        <f>('PV IN'!$E$25*'PV IN'!$E$18/12)*(1-(1-'PV IN'!$E$27)/(25*12))^C105</f>
        <v>142566.53575126862</v>
      </c>
      <c r="H106" s="33">
        <f>IF('PV IN'!$D$19="YES",G106*'PV IN'!$E$21,0)</f>
        <v>0</v>
      </c>
      <c r="I106" s="33">
        <f>IF('PV IN'!$D$19="YES",'PV IN'!$E$22*BattCalcs!W106,0)</f>
        <v>0</v>
      </c>
      <c r="J106" s="33">
        <f>IF('PV IN'!$D$19="YES",'PV IN'!$E$23*BattCalcs!Y106,0)</f>
        <v>0</v>
      </c>
      <c r="K106" s="33">
        <f>BattCalcs!AF106</f>
        <v>25811.765833333331</v>
      </c>
      <c r="L106" s="33">
        <f t="shared" si="31"/>
        <v>25811.765833333331</v>
      </c>
      <c r="M106" s="33">
        <f>IF('PV IN'!$F$4="PV Only",G106,G106-SUM(H106:J106,L106))</f>
        <v>142566.53575126862</v>
      </c>
      <c r="N106" s="2">
        <f>IF(C106&lt;='PV IN'!$I$12*12,'PV IN'!$E$12*G106/1000,0)</f>
        <v>0</v>
      </c>
      <c r="O106" s="2">
        <f>IF(AND(C106&gt;'PV IN'!$I$12*12,C106&lt;='PV IN'!$I$13*12+'PV IN'!$I$12*12),'PV IN'!$E$13*PVCalcs!G106/1000,0)</f>
        <v>1853.3649647664922</v>
      </c>
      <c r="P106" s="2">
        <f>IF(AND(C106&gt;'PV IN'!$I$12*12+'PV IN'!$I$13*12,C106&lt;='PV IN'!$I$12*12+'PV IN'!$I$13*12+'PV IN'!$I$14*12),'PV IN'!$E$14*PVCalcs!G106/1000,0)</f>
        <v>0</v>
      </c>
      <c r="R106" s="10">
        <f>IF(AND('PV IN'!$D$35="YES",$C106&lt;='PV IN'!$E$35*12),-'PV IN'!$E$18*'PV IN'!$E$34/12,0)</f>
        <v>0</v>
      </c>
      <c r="S106" s="10">
        <f>IF(AND('PV IN'!$D$37="YES",$C106&lt;='PV IN'!$E$37*12),-'PV IN'!$E$18*'PV IN'!$E$36/12,0)</f>
        <v>0</v>
      </c>
      <c r="U106" s="2">
        <f t="shared" si="32"/>
        <v>11327.095463121921</v>
      </c>
      <c r="V106" s="10">
        <f>PVLoan!M133</f>
        <v>0</v>
      </c>
      <c r="W106" s="2">
        <f>IF(C106='PV IN'!$I$40,IF('PV IN'!$G$40="Non-Taxable",'PV IN'!$F$40,0),0)+IF(C106='PV IN'!$I$41,IF('PV IN'!$G$41="Non-Taxable",'PV IN'!$F$41,0),0)</f>
        <v>0</v>
      </c>
      <c r="X106" s="10"/>
      <c r="Y106" s="10">
        <f>IF('PV IN'!$E$15="Non-Taxable",SUM(N106:P106),0)</f>
        <v>1853.3649647664922</v>
      </c>
      <c r="Z106" s="10">
        <f>IF('PV IN'!$E$15="Taxable",SUM(N106:P106),0)</f>
        <v>0</v>
      </c>
      <c r="AA106" s="2">
        <f>IF(C106='PV IN'!$I$40,IF('PV IN'!$G$40="Taxable",'PV IN'!$F$40,0),0)+IF(C106='PV IN'!$I$41,IF('PV IN'!$G$41="Taxable",'PV IN'!$F$41,0),0)</f>
        <v>0</v>
      </c>
      <c r="AD106" s="10">
        <f>IF('PV IN'!$D$48="YES",-U106*'PV IN'!$E$8,0)</f>
        <v>0</v>
      </c>
      <c r="AE106" s="10">
        <f>IF('PV IN'!$N$10="Yes",-PVLoan!H134,-PVLoan!L134)</f>
        <v>0</v>
      </c>
      <c r="AF106" s="10">
        <f>IF('PV IN'!$N$10="Yes",-PVLoan!F134,0)</f>
        <v>0</v>
      </c>
      <c r="AG106" s="10">
        <f>IF(AND('PV IN'!$D$35="YES",$C106&lt;='PV IN'!$E$35*12),0,-'PV IN'!$E$18*'PV IN'!$E$34/12)</f>
        <v>-750</v>
      </c>
      <c r="AH106" s="10">
        <f>IF(AND('PV IN'!$D$37="YES",$C106&lt;='PV IN'!$E$37*12),0,-'PV IN'!$E$18*'PV IN'!$E$36/12)</f>
        <v>-625</v>
      </c>
      <c r="AI106" s="2">
        <f>IF(AND('PV IN'!$D$33="YES",PVCalcs!C106=ROUNDUP('PV IN'!$H$33*12,)),-'PV IN'!$E$33*'PV IN'!$E$18,0)</f>
        <v>0</v>
      </c>
      <c r="AK106" s="2">
        <f t="shared" si="17"/>
        <v>13180.460427888413</v>
      </c>
      <c r="AL106" s="2">
        <f t="shared" si="18"/>
        <v>-1375</v>
      </c>
      <c r="AM106" s="2">
        <f t="shared" si="22"/>
        <v>11805.460427888413</v>
      </c>
      <c r="AN106" s="43"/>
      <c r="AO106" s="2">
        <f t="shared" si="19"/>
        <v>0</v>
      </c>
      <c r="AP106" s="2">
        <f t="shared" si="23"/>
        <v>-1375</v>
      </c>
      <c r="AR106" s="2">
        <f t="shared" si="24"/>
        <v>-1375</v>
      </c>
      <c r="AS106" s="2">
        <f>-AR106*'PV IN'!$E$8</f>
        <v>288.75</v>
      </c>
      <c r="AT106" s="2">
        <f>IF('PV IN'!$F$4="Battery Only",0,AM106+AS106)</f>
        <v>12094.210427888413</v>
      </c>
      <c r="AV106" s="10">
        <f t="shared" si="25"/>
        <v>24830.219300892073</v>
      </c>
      <c r="AW106" s="2">
        <f>AT106/(1+('PV IN'!$G$9))^(C106)</f>
        <v>7988.5595795443751</v>
      </c>
      <c r="AX106" s="2">
        <f>IF(C106&lt;='PV IN'!$O$22*12,AW106+AX105,NA())</f>
        <v>-261179.58080859747</v>
      </c>
      <c r="AZ106" s="10">
        <f t="shared" si="20"/>
        <v>-1375</v>
      </c>
      <c r="BA106" s="10">
        <f t="shared" si="21"/>
        <v>1853.3649647664915</v>
      </c>
      <c r="BB106" s="10">
        <f t="shared" si="26"/>
        <v>478.36496476649154</v>
      </c>
      <c r="BC106" s="10">
        <f t="shared" si="27"/>
        <v>0</v>
      </c>
      <c r="BD106" s="10">
        <f t="shared" si="28"/>
        <v>-1375</v>
      </c>
      <c r="BE106" s="2">
        <f t="shared" si="29"/>
        <v>0</v>
      </c>
      <c r="BF106" s="10">
        <f t="shared" si="30"/>
        <v>-1375</v>
      </c>
      <c r="BG106" s="2">
        <f>-BF106*'PV IN'!$E$8</f>
        <v>288.75</v>
      </c>
      <c r="BH106" s="2">
        <f>IF('PV IN'!$F$4="Battery Only",0,BB106+BG106)</f>
        <v>767.11496476649154</v>
      </c>
      <c r="BI106" s="2">
        <f>BH106/(1+('PV IN'!$G$9))^(C106)</f>
        <v>506.7005933902164</v>
      </c>
    </row>
    <row r="107" spans="2:61" x14ac:dyDescent="0.25">
      <c r="C107">
        <v>103</v>
      </c>
      <c r="D107" s="16">
        <f>D106*(1+('PV IN'!$G$6/12))</f>
        <v>7.5999999999999998E-2</v>
      </c>
      <c r="E107" s="16">
        <f>LkUP!$U$29</f>
        <v>7.9451292012060609E-2</v>
      </c>
      <c r="F107" s="16">
        <f>IF('PV IN'!$D$7="Table",E107,D107)</f>
        <v>7.9451292012060609E-2</v>
      </c>
      <c r="G107" s="33">
        <f>('PV IN'!$E$25*'PV IN'!$E$18/12)*(1-(1-'PV IN'!$E$27)/(25*12))^C106</f>
        <v>142471.49139410109</v>
      </c>
      <c r="H107" s="33">
        <f>IF('PV IN'!$D$19="YES",G107*'PV IN'!$E$21,0)</f>
        <v>0</v>
      </c>
      <c r="I107" s="33">
        <f>IF('PV IN'!$D$19="YES",'PV IN'!$E$22*BattCalcs!W107,0)</f>
        <v>0</v>
      </c>
      <c r="J107" s="33">
        <f>IF('PV IN'!$D$19="YES",'PV IN'!$E$23*BattCalcs!Y107,0)</f>
        <v>0</v>
      </c>
      <c r="K107" s="33">
        <f>BattCalcs!AF107</f>
        <v>25811.765833333331</v>
      </c>
      <c r="L107" s="33">
        <f t="shared" si="31"/>
        <v>25811.765833333331</v>
      </c>
      <c r="M107" s="33">
        <f>IF('PV IN'!$F$4="PV Only",G107,G107-SUM(H107:J107,L107))</f>
        <v>142471.49139410109</v>
      </c>
      <c r="N107" s="2">
        <f>IF(C107&lt;='PV IN'!$I$12*12,'PV IN'!$E$12*G107/1000,0)</f>
        <v>0</v>
      </c>
      <c r="O107" s="2">
        <f>IF(AND(C107&gt;'PV IN'!$I$12*12,C107&lt;='PV IN'!$I$13*12+'PV IN'!$I$12*12),'PV IN'!$E$13*PVCalcs!G107/1000,0)</f>
        <v>1852.1293881233141</v>
      </c>
      <c r="P107" s="2">
        <f>IF(AND(C107&gt;'PV IN'!$I$12*12+'PV IN'!$I$13*12,C107&lt;='PV IN'!$I$12*12+'PV IN'!$I$13*12+'PV IN'!$I$14*12),'PV IN'!$E$14*PVCalcs!G107/1000,0)</f>
        <v>0</v>
      </c>
      <c r="R107" s="10">
        <f>IF(AND('PV IN'!$D$35="YES",$C107&lt;='PV IN'!$E$35*12),-'PV IN'!$E$18*'PV IN'!$E$34/12,0)</f>
        <v>0</v>
      </c>
      <c r="S107" s="10">
        <f>IF(AND('PV IN'!$D$37="YES",$C107&lt;='PV IN'!$E$37*12),-'PV IN'!$E$18*'PV IN'!$E$36/12,0)</f>
        <v>0</v>
      </c>
      <c r="U107" s="2">
        <f t="shared" si="32"/>
        <v>11319.544066146505</v>
      </c>
      <c r="V107" s="10">
        <f>PVLoan!M134</f>
        <v>0</v>
      </c>
      <c r="W107" s="2">
        <f>IF(C107='PV IN'!$I$40,IF('PV IN'!$G$40="Non-Taxable",'PV IN'!$F$40,0),0)+IF(C107='PV IN'!$I$41,IF('PV IN'!$G$41="Non-Taxable",'PV IN'!$F$41,0),0)</f>
        <v>0</v>
      </c>
      <c r="X107" s="10"/>
      <c r="Y107" s="10">
        <f>IF('PV IN'!$E$15="Non-Taxable",SUM(N107:P107),0)</f>
        <v>1852.1293881233141</v>
      </c>
      <c r="Z107" s="10">
        <f>IF('PV IN'!$E$15="Taxable",SUM(N107:P107),0)</f>
        <v>0</v>
      </c>
      <c r="AA107" s="2">
        <f>IF(C107='PV IN'!$I$40,IF('PV IN'!$G$40="Taxable",'PV IN'!$F$40,0),0)+IF(C107='PV IN'!$I$41,IF('PV IN'!$G$41="Taxable",'PV IN'!$F$41,0),0)</f>
        <v>0</v>
      </c>
      <c r="AD107" s="10">
        <f>IF('PV IN'!$D$48="YES",-U107*'PV IN'!$E$8,0)</f>
        <v>0</v>
      </c>
      <c r="AE107" s="10">
        <f>IF('PV IN'!$N$10="Yes",-PVLoan!H135,-PVLoan!L135)</f>
        <v>0</v>
      </c>
      <c r="AF107" s="10">
        <f>IF('PV IN'!$N$10="Yes",-PVLoan!F135,0)</f>
        <v>0</v>
      </c>
      <c r="AG107" s="10">
        <f>IF(AND('PV IN'!$D$35="YES",$C107&lt;='PV IN'!$E$35*12),0,-'PV IN'!$E$18*'PV IN'!$E$34/12)</f>
        <v>-750</v>
      </c>
      <c r="AH107" s="10">
        <f>IF(AND('PV IN'!$D$37="YES",$C107&lt;='PV IN'!$E$37*12),0,-'PV IN'!$E$18*'PV IN'!$E$36/12)</f>
        <v>-625</v>
      </c>
      <c r="AI107" s="2">
        <f>IF(AND('PV IN'!$D$33="YES",PVCalcs!C107=ROUNDUP('PV IN'!$H$33*12,)),-'PV IN'!$E$33*'PV IN'!$E$18,0)</f>
        <v>0</v>
      </c>
      <c r="AK107" s="2">
        <f t="shared" si="17"/>
        <v>13171.67345426982</v>
      </c>
      <c r="AL107" s="2">
        <f t="shared" si="18"/>
        <v>-1375</v>
      </c>
      <c r="AM107" s="2">
        <f t="shared" si="22"/>
        <v>11796.67345426982</v>
      </c>
      <c r="AN107" s="43"/>
      <c r="AO107" s="2">
        <f t="shared" si="19"/>
        <v>0</v>
      </c>
      <c r="AP107" s="2">
        <f t="shared" si="23"/>
        <v>-1375</v>
      </c>
      <c r="AR107" s="2">
        <f t="shared" si="24"/>
        <v>-1375</v>
      </c>
      <c r="AS107" s="2">
        <f>-AR107*'PV IN'!$E$8</f>
        <v>288.75</v>
      </c>
      <c r="AT107" s="2">
        <f>IF('PV IN'!$F$4="Battery Only",0,AM107+AS107)</f>
        <v>12085.42345426982</v>
      </c>
      <c r="AV107" s="10">
        <f t="shared" si="25"/>
        <v>36915.642755161891</v>
      </c>
      <c r="AW107" s="2">
        <f>AT107/(1+('PV IN'!$G$9))^(C107)</f>
        <v>7950.3647708983526</v>
      </c>
      <c r="AX107" s="2">
        <f>IF(C107&lt;='PV IN'!$O$22*12,AW107+AX106,NA())</f>
        <v>-253229.21603769911</v>
      </c>
      <c r="AZ107" s="10">
        <f t="shared" si="20"/>
        <v>-1375</v>
      </c>
      <c r="BA107" s="10">
        <f t="shared" si="21"/>
        <v>1852.1293881233141</v>
      </c>
      <c r="BB107" s="10">
        <f t="shared" si="26"/>
        <v>477.12938812331413</v>
      </c>
      <c r="BC107" s="10">
        <f t="shared" si="27"/>
        <v>0</v>
      </c>
      <c r="BD107" s="10">
        <f t="shared" si="28"/>
        <v>-1375</v>
      </c>
      <c r="BE107" s="2">
        <f t="shared" si="29"/>
        <v>0</v>
      </c>
      <c r="BF107" s="10">
        <f t="shared" si="30"/>
        <v>-1375</v>
      </c>
      <c r="BG107" s="2">
        <f>-BF107*'PV IN'!$E$8</f>
        <v>288.75</v>
      </c>
      <c r="BH107" s="2">
        <f>IF('PV IN'!$F$4="Battery Only",0,BB107+BG107)</f>
        <v>765.87938812331413</v>
      </c>
      <c r="BI107" s="2">
        <f>BH107/(1+('PV IN'!$G$9))^(C107)</f>
        <v>503.83178786685477</v>
      </c>
    </row>
    <row r="108" spans="2:61" x14ac:dyDescent="0.25">
      <c r="C108">
        <v>104</v>
      </c>
      <c r="D108" s="16">
        <f>D107*(1+('PV IN'!$G$6/12))</f>
        <v>7.5999999999999998E-2</v>
      </c>
      <c r="E108" s="16">
        <f>LkUP!$U$29</f>
        <v>7.9451292012060609E-2</v>
      </c>
      <c r="F108" s="16">
        <f>IF('PV IN'!$D$7="Table",E108,D108)</f>
        <v>7.9451292012060609E-2</v>
      </c>
      <c r="G108" s="33">
        <f>('PV IN'!$E$25*'PV IN'!$E$18/12)*(1-(1-'PV IN'!$E$27)/(25*12))^C107</f>
        <v>142376.51039983836</v>
      </c>
      <c r="H108" s="33">
        <f>IF('PV IN'!$D$19="YES",G108*'PV IN'!$E$21,0)</f>
        <v>0</v>
      </c>
      <c r="I108" s="33">
        <f>IF('PV IN'!$D$19="YES",'PV IN'!$E$22*BattCalcs!W108,0)</f>
        <v>0</v>
      </c>
      <c r="J108" s="33">
        <f>IF('PV IN'!$D$19="YES",'PV IN'!$E$23*BattCalcs!Y108,0)</f>
        <v>0</v>
      </c>
      <c r="K108" s="33">
        <f>BattCalcs!AF108</f>
        <v>25811.765833333331</v>
      </c>
      <c r="L108" s="33">
        <f t="shared" si="31"/>
        <v>25811.765833333331</v>
      </c>
      <c r="M108" s="33">
        <f>IF('PV IN'!$F$4="PV Only",G108,G108-SUM(H108:J108,L108))</f>
        <v>142376.51039983836</v>
      </c>
      <c r="N108" s="2">
        <f>IF(C108&lt;='PV IN'!$I$12*12,'PV IN'!$E$12*G108/1000,0)</f>
        <v>0</v>
      </c>
      <c r="O108" s="2">
        <f>IF(AND(C108&gt;'PV IN'!$I$12*12,C108&lt;='PV IN'!$I$13*12+'PV IN'!$I$12*12),'PV IN'!$E$13*PVCalcs!G108/1000,0)</f>
        <v>1850.8946351978987</v>
      </c>
      <c r="P108" s="2">
        <f>IF(AND(C108&gt;'PV IN'!$I$12*12+'PV IN'!$I$13*12,C108&lt;='PV IN'!$I$12*12+'PV IN'!$I$13*12+'PV IN'!$I$14*12),'PV IN'!$E$14*PVCalcs!G108/1000,0)</f>
        <v>0</v>
      </c>
      <c r="R108" s="10">
        <f>IF(AND('PV IN'!$D$35="YES",$C108&lt;='PV IN'!$E$35*12),-'PV IN'!$E$18*'PV IN'!$E$34/12,0)</f>
        <v>0</v>
      </c>
      <c r="S108" s="10">
        <f>IF(AND('PV IN'!$D$37="YES",$C108&lt;='PV IN'!$E$37*12),-'PV IN'!$E$18*'PV IN'!$E$36/12,0)</f>
        <v>0</v>
      </c>
      <c r="U108" s="2">
        <f t="shared" si="32"/>
        <v>11311.997703435742</v>
      </c>
      <c r="V108" s="10">
        <f>PVLoan!M135</f>
        <v>0</v>
      </c>
      <c r="W108" s="2">
        <f>IF(C108='PV IN'!$I$40,IF('PV IN'!$G$40="Non-Taxable",'PV IN'!$F$40,0),0)+IF(C108='PV IN'!$I$41,IF('PV IN'!$G$41="Non-Taxable",'PV IN'!$F$41,0),0)</f>
        <v>0</v>
      </c>
      <c r="X108" s="10"/>
      <c r="Y108" s="10">
        <f>IF('PV IN'!$E$15="Non-Taxable",SUM(N108:P108),0)</f>
        <v>1850.8946351978987</v>
      </c>
      <c r="Z108" s="10">
        <f>IF('PV IN'!$E$15="Taxable",SUM(N108:P108),0)</f>
        <v>0</v>
      </c>
      <c r="AA108" s="2">
        <f>IF(C108='PV IN'!$I$40,IF('PV IN'!$G$40="Taxable",'PV IN'!$F$40,0),0)+IF(C108='PV IN'!$I$41,IF('PV IN'!$G$41="Taxable",'PV IN'!$F$41,0),0)</f>
        <v>0</v>
      </c>
      <c r="AD108" s="10">
        <f>IF('PV IN'!$D$48="YES",-U108*'PV IN'!$E$8,0)</f>
        <v>0</v>
      </c>
      <c r="AE108" s="10">
        <f>IF('PV IN'!$N$10="Yes",-PVLoan!H136,-PVLoan!L136)</f>
        <v>0</v>
      </c>
      <c r="AF108" s="10">
        <f>IF('PV IN'!$N$10="Yes",-PVLoan!F136,0)</f>
        <v>0</v>
      </c>
      <c r="AG108" s="10">
        <f>IF(AND('PV IN'!$D$35="YES",$C108&lt;='PV IN'!$E$35*12),0,-'PV IN'!$E$18*'PV IN'!$E$34/12)</f>
        <v>-750</v>
      </c>
      <c r="AH108" s="10">
        <f>IF(AND('PV IN'!$D$37="YES",$C108&lt;='PV IN'!$E$37*12),0,-'PV IN'!$E$18*'PV IN'!$E$36/12)</f>
        <v>-625</v>
      </c>
      <c r="AI108" s="2">
        <f>IF(AND('PV IN'!$D$33="YES",PVCalcs!C108=ROUNDUP('PV IN'!$H$33*12,)),-'PV IN'!$E$33*'PV IN'!$E$18,0)</f>
        <v>0</v>
      </c>
      <c r="AK108" s="2">
        <f t="shared" si="17"/>
        <v>13162.892338633641</v>
      </c>
      <c r="AL108" s="2">
        <f t="shared" si="18"/>
        <v>-1375</v>
      </c>
      <c r="AM108" s="2">
        <f t="shared" si="22"/>
        <v>11787.892338633641</v>
      </c>
      <c r="AN108" s="43"/>
      <c r="AO108" s="2">
        <f t="shared" si="19"/>
        <v>0</v>
      </c>
      <c r="AP108" s="2">
        <f t="shared" si="23"/>
        <v>-1375</v>
      </c>
      <c r="AR108" s="2">
        <f t="shared" si="24"/>
        <v>-1375</v>
      </c>
      <c r="AS108" s="2">
        <f>-AR108*'PV IN'!$E$8</f>
        <v>288.75</v>
      </c>
      <c r="AT108" s="2">
        <f>IF('PV IN'!$F$4="Battery Only",0,AM108+AS108)</f>
        <v>12076.642338633641</v>
      </c>
      <c r="AV108" s="10">
        <f t="shared" si="25"/>
        <v>48992.28509379553</v>
      </c>
      <c r="AW108" s="2">
        <f>AT108/(1+('PV IN'!$G$9))^(C108)</f>
        <v>7912.3522341149228</v>
      </c>
      <c r="AX108" s="2">
        <f>IF(C108&lt;='PV IN'!$O$22*12,AW108+AX107,NA())</f>
        <v>-245316.86380358419</v>
      </c>
      <c r="AZ108" s="10">
        <f t="shared" si="20"/>
        <v>-1375</v>
      </c>
      <c r="BA108" s="10">
        <f t="shared" si="21"/>
        <v>1850.8946351978993</v>
      </c>
      <c r="BB108" s="10">
        <f t="shared" si="26"/>
        <v>475.89463519789933</v>
      </c>
      <c r="BC108" s="10">
        <f t="shared" si="27"/>
        <v>0</v>
      </c>
      <c r="BD108" s="10">
        <f t="shared" si="28"/>
        <v>-1375</v>
      </c>
      <c r="BE108" s="2">
        <f t="shared" si="29"/>
        <v>0</v>
      </c>
      <c r="BF108" s="10">
        <f t="shared" si="30"/>
        <v>-1375</v>
      </c>
      <c r="BG108" s="2">
        <f>-BF108*'PV IN'!$E$8</f>
        <v>288.75</v>
      </c>
      <c r="BH108" s="2">
        <f>IF('PV IN'!$F$4="Battery Only",0,BB108+BG108)</f>
        <v>764.64463519789933</v>
      </c>
      <c r="BI108" s="2">
        <f>BH108/(1+('PV IN'!$G$9))^(C108)</f>
        <v>500.9784605657706</v>
      </c>
    </row>
    <row r="109" spans="2:61" x14ac:dyDescent="0.25">
      <c r="C109">
        <v>105</v>
      </c>
      <c r="D109" s="16">
        <f>D108*(1+('PV IN'!$G$6/12))</f>
        <v>7.5999999999999998E-2</v>
      </c>
      <c r="E109" s="16">
        <f>LkUP!$U$29</f>
        <v>7.9451292012060609E-2</v>
      </c>
      <c r="F109" s="16">
        <f>IF('PV IN'!$D$7="Table",E109,D109)</f>
        <v>7.9451292012060609E-2</v>
      </c>
      <c r="G109" s="33">
        <f>('PV IN'!$E$25*'PV IN'!$E$18/12)*(1-(1-'PV IN'!$E$27)/(25*12))^C108</f>
        <v>142281.59272623845</v>
      </c>
      <c r="H109" s="33">
        <f>IF('PV IN'!$D$19="YES",G109*'PV IN'!$E$21,0)</f>
        <v>0</v>
      </c>
      <c r="I109" s="33">
        <f>IF('PV IN'!$D$19="YES",'PV IN'!$E$22*BattCalcs!W109,0)</f>
        <v>0</v>
      </c>
      <c r="J109" s="33">
        <f>IF('PV IN'!$D$19="YES",'PV IN'!$E$23*BattCalcs!Y109,0)</f>
        <v>0</v>
      </c>
      <c r="K109" s="33">
        <f>BattCalcs!AF109</f>
        <v>25811.765833333331</v>
      </c>
      <c r="L109" s="33">
        <f t="shared" si="31"/>
        <v>25811.765833333331</v>
      </c>
      <c r="M109" s="33">
        <f>IF('PV IN'!$F$4="PV Only",G109,G109-SUM(H109:J109,L109))</f>
        <v>142281.59272623845</v>
      </c>
      <c r="N109" s="2">
        <f>IF(C109&lt;='PV IN'!$I$12*12,'PV IN'!$E$12*G109/1000,0)</f>
        <v>0</v>
      </c>
      <c r="O109" s="2">
        <f>IF(AND(C109&gt;'PV IN'!$I$12*12,C109&lt;='PV IN'!$I$13*12+'PV IN'!$I$12*12),'PV IN'!$E$13*PVCalcs!G109/1000,0)</f>
        <v>1849.6607054410999</v>
      </c>
      <c r="P109" s="2">
        <f>IF(AND(C109&gt;'PV IN'!$I$12*12+'PV IN'!$I$13*12,C109&lt;='PV IN'!$I$12*12+'PV IN'!$I$13*12+'PV IN'!$I$14*12),'PV IN'!$E$14*PVCalcs!G109/1000,0)</f>
        <v>0</v>
      </c>
      <c r="R109" s="10">
        <f>IF(AND('PV IN'!$D$35="YES",$C109&lt;='PV IN'!$E$35*12),-'PV IN'!$E$18*'PV IN'!$E$34/12,0)</f>
        <v>0</v>
      </c>
      <c r="S109" s="10">
        <f>IF(AND('PV IN'!$D$37="YES",$C109&lt;='PV IN'!$E$37*12),-'PV IN'!$E$18*'PV IN'!$E$36/12,0)</f>
        <v>0</v>
      </c>
      <c r="U109" s="2">
        <f t="shared" si="32"/>
        <v>11304.456371633451</v>
      </c>
      <c r="V109" s="10">
        <f>PVLoan!M136</f>
        <v>0</v>
      </c>
      <c r="W109" s="2">
        <f>IF(C109='PV IN'!$I$40,IF('PV IN'!$G$40="Non-Taxable",'PV IN'!$F$40,0),0)+IF(C109='PV IN'!$I$41,IF('PV IN'!$G$41="Non-Taxable",'PV IN'!$F$41,0),0)</f>
        <v>0</v>
      </c>
      <c r="X109" s="10"/>
      <c r="Y109" s="10">
        <f>IF('PV IN'!$E$15="Non-Taxable",SUM(N109:P109),0)</f>
        <v>1849.6607054410999</v>
      </c>
      <c r="Z109" s="10">
        <f>IF('PV IN'!$E$15="Taxable",SUM(N109:P109),0)</f>
        <v>0</v>
      </c>
      <c r="AA109" s="2">
        <f>IF(C109='PV IN'!$I$40,IF('PV IN'!$G$40="Taxable",'PV IN'!$F$40,0),0)+IF(C109='PV IN'!$I$41,IF('PV IN'!$G$41="Taxable",'PV IN'!$F$41,0),0)</f>
        <v>0</v>
      </c>
      <c r="AD109" s="10">
        <f>IF('PV IN'!$D$48="YES",-U109*'PV IN'!$E$8,0)</f>
        <v>0</v>
      </c>
      <c r="AE109" s="10">
        <f>IF('PV IN'!$N$10="Yes",-PVLoan!H137,-PVLoan!L137)</f>
        <v>0</v>
      </c>
      <c r="AF109" s="10">
        <f>IF('PV IN'!$N$10="Yes",-PVLoan!F137,0)</f>
        <v>0</v>
      </c>
      <c r="AG109" s="10">
        <f>IF(AND('PV IN'!$D$35="YES",$C109&lt;='PV IN'!$E$35*12),0,-'PV IN'!$E$18*'PV IN'!$E$34/12)</f>
        <v>-750</v>
      </c>
      <c r="AH109" s="10">
        <f>IF(AND('PV IN'!$D$37="YES",$C109&lt;='PV IN'!$E$37*12),0,-'PV IN'!$E$18*'PV IN'!$E$36/12)</f>
        <v>-625</v>
      </c>
      <c r="AI109" s="2">
        <f>IF(AND('PV IN'!$D$33="YES",PVCalcs!C109=ROUNDUP('PV IN'!$H$33*12,)),-'PV IN'!$E$33*'PV IN'!$E$18,0)</f>
        <v>0</v>
      </c>
      <c r="AK109" s="2">
        <f t="shared" si="17"/>
        <v>13154.11707707455</v>
      </c>
      <c r="AL109" s="2">
        <f t="shared" si="18"/>
        <v>-1375</v>
      </c>
      <c r="AM109" s="2">
        <f t="shared" si="22"/>
        <v>11779.11707707455</v>
      </c>
      <c r="AN109" s="43"/>
      <c r="AO109" s="2">
        <f t="shared" si="19"/>
        <v>0</v>
      </c>
      <c r="AP109" s="2">
        <f t="shared" si="23"/>
        <v>-1375</v>
      </c>
      <c r="AR109" s="2">
        <f t="shared" si="24"/>
        <v>-1375</v>
      </c>
      <c r="AS109" s="2">
        <f>-AR109*'PV IN'!$E$8</f>
        <v>288.75</v>
      </c>
      <c r="AT109" s="2">
        <f>IF('PV IN'!$F$4="Battery Only",0,AM109+AS109)</f>
        <v>12067.86707707455</v>
      </c>
      <c r="AV109" s="10">
        <f t="shared" si="25"/>
        <v>61060.152170870082</v>
      </c>
      <c r="AW109" s="2">
        <f>AT109/(1+('PV IN'!$G$9))^(C109)</f>
        <v>7874.5211007442613</v>
      </c>
      <c r="AX109" s="2">
        <f>IF(C109&lt;='PV IN'!$O$22*12,AW109+AX108,NA())</f>
        <v>-237442.34270283993</v>
      </c>
      <c r="AZ109" s="10">
        <f t="shared" si="20"/>
        <v>-1375</v>
      </c>
      <c r="BA109" s="10">
        <f t="shared" si="21"/>
        <v>1849.6607054410997</v>
      </c>
      <c r="BB109" s="10">
        <f t="shared" si="26"/>
        <v>474.66070544109971</v>
      </c>
      <c r="BC109" s="10">
        <f t="shared" si="27"/>
        <v>0</v>
      </c>
      <c r="BD109" s="10">
        <f t="shared" si="28"/>
        <v>-1375</v>
      </c>
      <c r="BE109" s="2">
        <f t="shared" si="29"/>
        <v>0</v>
      </c>
      <c r="BF109" s="10">
        <f t="shared" si="30"/>
        <v>-1375</v>
      </c>
      <c r="BG109" s="2">
        <f>-BF109*'PV IN'!$E$8</f>
        <v>288.75</v>
      </c>
      <c r="BH109" s="2">
        <f>IF('PV IN'!$F$4="Battery Only",0,BB109+BG109)</f>
        <v>763.41070544109971</v>
      </c>
      <c r="BI109" s="2">
        <f>BH109/(1+('PV IN'!$G$9))^(C109)</f>
        <v>498.14053056236406</v>
      </c>
    </row>
    <row r="110" spans="2:61" x14ac:dyDescent="0.25">
      <c r="C110">
        <v>106</v>
      </c>
      <c r="D110" s="16">
        <f>D109*(1+('PV IN'!$G$6/12))</f>
        <v>7.5999999999999998E-2</v>
      </c>
      <c r="E110" s="16">
        <f>LkUP!$U$29</f>
        <v>7.9451292012060609E-2</v>
      </c>
      <c r="F110" s="16">
        <f>IF('PV IN'!$D$7="Table",E110,D110)</f>
        <v>7.9451292012060609E-2</v>
      </c>
      <c r="G110" s="33">
        <f>('PV IN'!$E$25*'PV IN'!$E$18/12)*(1-(1-'PV IN'!$E$27)/(25*12))^C109</f>
        <v>142186.73833108763</v>
      </c>
      <c r="H110" s="33">
        <f>IF('PV IN'!$D$19="YES",G110*'PV IN'!$E$21,0)</f>
        <v>0</v>
      </c>
      <c r="I110" s="33">
        <f>IF('PV IN'!$D$19="YES",'PV IN'!$E$22*BattCalcs!W110,0)</f>
        <v>0</v>
      </c>
      <c r="J110" s="33">
        <f>IF('PV IN'!$D$19="YES",'PV IN'!$E$23*BattCalcs!Y110,0)</f>
        <v>0</v>
      </c>
      <c r="K110" s="33">
        <f>BattCalcs!AF110</f>
        <v>25811.765833333331</v>
      </c>
      <c r="L110" s="33">
        <f t="shared" si="31"/>
        <v>25811.765833333331</v>
      </c>
      <c r="M110" s="33">
        <f>IF('PV IN'!$F$4="PV Only",G110,G110-SUM(H110:J110,L110))</f>
        <v>142186.73833108763</v>
      </c>
      <c r="N110" s="2">
        <f>IF(C110&lt;='PV IN'!$I$12*12,'PV IN'!$E$12*G110/1000,0)</f>
        <v>0</v>
      </c>
      <c r="O110" s="2">
        <f>IF(AND(C110&gt;'PV IN'!$I$12*12,C110&lt;='PV IN'!$I$13*12+'PV IN'!$I$12*12),'PV IN'!$E$13*PVCalcs!G110/1000,0)</f>
        <v>1848.4275983041391</v>
      </c>
      <c r="P110" s="2">
        <f>IF(AND(C110&gt;'PV IN'!$I$12*12+'PV IN'!$I$13*12,C110&lt;='PV IN'!$I$12*12+'PV IN'!$I$13*12+'PV IN'!$I$14*12),'PV IN'!$E$14*PVCalcs!G110/1000,0)</f>
        <v>0</v>
      </c>
      <c r="R110" s="10">
        <f>IF(AND('PV IN'!$D$35="YES",$C110&lt;='PV IN'!$E$35*12),-'PV IN'!$E$18*'PV IN'!$E$34/12,0)</f>
        <v>0</v>
      </c>
      <c r="S110" s="10">
        <f>IF(AND('PV IN'!$D$37="YES",$C110&lt;='PV IN'!$E$37*12),-'PV IN'!$E$18*'PV IN'!$E$36/12,0)</f>
        <v>0</v>
      </c>
      <c r="U110" s="2">
        <f t="shared" si="32"/>
        <v>11296.920067385694</v>
      </c>
      <c r="V110" s="10">
        <f>PVLoan!M137</f>
        <v>0</v>
      </c>
      <c r="W110" s="2">
        <f>IF(C110='PV IN'!$I$40,IF('PV IN'!$G$40="Non-Taxable",'PV IN'!$F$40,0),0)+IF(C110='PV IN'!$I$41,IF('PV IN'!$G$41="Non-Taxable",'PV IN'!$F$41,0),0)</f>
        <v>0</v>
      </c>
      <c r="X110" s="10"/>
      <c r="Y110" s="10">
        <f>IF('PV IN'!$E$15="Non-Taxable",SUM(N110:P110),0)</f>
        <v>1848.4275983041391</v>
      </c>
      <c r="Z110" s="10">
        <f>IF('PV IN'!$E$15="Taxable",SUM(N110:P110),0)</f>
        <v>0</v>
      </c>
      <c r="AA110" s="2">
        <f>IF(C110='PV IN'!$I$40,IF('PV IN'!$G$40="Taxable",'PV IN'!$F$40,0),0)+IF(C110='PV IN'!$I$41,IF('PV IN'!$G$41="Taxable",'PV IN'!$F$41,0),0)</f>
        <v>0</v>
      </c>
      <c r="AD110" s="10">
        <f>IF('PV IN'!$D$48="YES",-U110*'PV IN'!$E$8,0)</f>
        <v>0</v>
      </c>
      <c r="AE110" s="10">
        <f>IF('PV IN'!$N$10="Yes",-PVLoan!H138,-PVLoan!L138)</f>
        <v>0</v>
      </c>
      <c r="AF110" s="10">
        <f>IF('PV IN'!$N$10="Yes",-PVLoan!F138,0)</f>
        <v>0</v>
      </c>
      <c r="AG110" s="10">
        <f>IF(AND('PV IN'!$D$35="YES",$C110&lt;='PV IN'!$E$35*12),0,-'PV IN'!$E$18*'PV IN'!$E$34/12)</f>
        <v>-750</v>
      </c>
      <c r="AH110" s="10">
        <f>IF(AND('PV IN'!$D$37="YES",$C110&lt;='PV IN'!$E$37*12),0,-'PV IN'!$E$18*'PV IN'!$E$36/12)</f>
        <v>-625</v>
      </c>
      <c r="AI110" s="2">
        <f>IF(AND('PV IN'!$D$33="YES",PVCalcs!C110=ROUNDUP('PV IN'!$H$33*12,)),-'PV IN'!$E$33*'PV IN'!$E$18,0)</f>
        <v>0</v>
      </c>
      <c r="AK110" s="2">
        <f t="shared" si="17"/>
        <v>13145.347665689833</v>
      </c>
      <c r="AL110" s="2">
        <f t="shared" si="18"/>
        <v>-1375</v>
      </c>
      <c r="AM110" s="2">
        <f t="shared" si="22"/>
        <v>11770.347665689833</v>
      </c>
      <c r="AN110" s="43"/>
      <c r="AO110" s="2">
        <f t="shared" si="19"/>
        <v>0</v>
      </c>
      <c r="AP110" s="2">
        <f t="shared" si="23"/>
        <v>-1375</v>
      </c>
      <c r="AR110" s="2">
        <f t="shared" si="24"/>
        <v>-1375</v>
      </c>
      <c r="AS110" s="2">
        <f>-AR110*'PV IN'!$E$8</f>
        <v>288.75</v>
      </c>
      <c r="AT110" s="2">
        <f>IF('PV IN'!$F$4="Battery Only",0,AM110+AS110)</f>
        <v>12059.097665689833</v>
      </c>
      <c r="AV110" s="10">
        <f t="shared" si="25"/>
        <v>73119.249836559917</v>
      </c>
      <c r="AW110" s="2">
        <f>AT110/(1+('PV IN'!$G$9))^(C110)</f>
        <v>7836.8705064688129</v>
      </c>
      <c r="AX110" s="2">
        <f>IF(C110&lt;='PV IN'!$O$22*12,AW110+AX109,NA())</f>
        <v>-229605.47219637112</v>
      </c>
      <c r="AZ110" s="10">
        <f t="shared" si="20"/>
        <v>-1375</v>
      </c>
      <c r="BA110" s="10">
        <f t="shared" si="21"/>
        <v>1848.4275983041389</v>
      </c>
      <c r="BB110" s="10">
        <f t="shared" si="26"/>
        <v>473.42759830413888</v>
      </c>
      <c r="BC110" s="10">
        <f t="shared" si="27"/>
        <v>0</v>
      </c>
      <c r="BD110" s="10">
        <f t="shared" si="28"/>
        <v>-1375</v>
      </c>
      <c r="BE110" s="2">
        <f t="shared" si="29"/>
        <v>0</v>
      </c>
      <c r="BF110" s="10">
        <f t="shared" si="30"/>
        <v>-1375</v>
      </c>
      <c r="BG110" s="2">
        <f>-BF110*'PV IN'!$E$8</f>
        <v>288.75</v>
      </c>
      <c r="BH110" s="2">
        <f>IF('PV IN'!$F$4="Battery Only",0,BB110+BG110)</f>
        <v>762.17759830413888</v>
      </c>
      <c r="BI110" s="2">
        <f>BH110/(1+('PV IN'!$G$9))^(C110)</f>
        <v>495.31791734595373</v>
      </c>
    </row>
    <row r="111" spans="2:61" x14ac:dyDescent="0.25">
      <c r="C111">
        <v>107</v>
      </c>
      <c r="D111" s="16">
        <f>D110*(1+('PV IN'!$G$6/12))</f>
        <v>7.5999999999999998E-2</v>
      </c>
      <c r="E111" s="16">
        <f>LkUP!$U$29</f>
        <v>7.9451292012060609E-2</v>
      </c>
      <c r="F111" s="16">
        <f>IF('PV IN'!$D$7="Table",E111,D111)</f>
        <v>7.9451292012060609E-2</v>
      </c>
      <c r="G111" s="33">
        <f>('PV IN'!$E$25*'PV IN'!$E$18/12)*(1-(1-'PV IN'!$E$27)/(25*12))^C110</f>
        <v>142091.94717220022</v>
      </c>
      <c r="H111" s="33">
        <f>IF('PV IN'!$D$19="YES",G111*'PV IN'!$E$21,0)</f>
        <v>0</v>
      </c>
      <c r="I111" s="33">
        <f>IF('PV IN'!$D$19="YES",'PV IN'!$E$22*BattCalcs!W111,0)</f>
        <v>0</v>
      </c>
      <c r="J111" s="33">
        <f>IF('PV IN'!$D$19="YES",'PV IN'!$E$23*BattCalcs!Y111,0)</f>
        <v>0</v>
      </c>
      <c r="K111" s="33">
        <f>BattCalcs!AF111</f>
        <v>25811.765833333331</v>
      </c>
      <c r="L111" s="33">
        <f t="shared" si="31"/>
        <v>25811.765833333331</v>
      </c>
      <c r="M111" s="33">
        <f>IF('PV IN'!$F$4="PV Only",G111,G111-SUM(H111:J111,L111))</f>
        <v>142091.94717220022</v>
      </c>
      <c r="N111" s="2">
        <f>IF(C111&lt;='PV IN'!$I$12*12,'PV IN'!$E$12*G111/1000,0)</f>
        <v>0</v>
      </c>
      <c r="O111" s="2">
        <f>IF(AND(C111&gt;'PV IN'!$I$12*12,C111&lt;='PV IN'!$I$13*12+'PV IN'!$I$12*12),'PV IN'!$E$13*PVCalcs!G111/1000,0)</f>
        <v>1847.1953132386029</v>
      </c>
      <c r="P111" s="2">
        <f>IF(AND(C111&gt;'PV IN'!$I$12*12+'PV IN'!$I$13*12,C111&lt;='PV IN'!$I$12*12+'PV IN'!$I$13*12+'PV IN'!$I$14*12),'PV IN'!$E$14*PVCalcs!G111/1000,0)</f>
        <v>0</v>
      </c>
      <c r="R111" s="10">
        <f>IF(AND('PV IN'!$D$35="YES",$C111&lt;='PV IN'!$E$35*12),-'PV IN'!$E$18*'PV IN'!$E$34/12,0)</f>
        <v>0</v>
      </c>
      <c r="S111" s="10">
        <f>IF(AND('PV IN'!$D$37="YES",$C111&lt;='PV IN'!$E$37*12),-'PV IN'!$E$18*'PV IN'!$E$36/12,0)</f>
        <v>0</v>
      </c>
      <c r="U111" s="2">
        <f t="shared" si="32"/>
        <v>11289.388787340769</v>
      </c>
      <c r="V111" s="10">
        <f>PVLoan!M138</f>
        <v>0</v>
      </c>
      <c r="W111" s="2">
        <f>IF(C111='PV IN'!$I$40,IF('PV IN'!$G$40="Non-Taxable",'PV IN'!$F$40,0),0)+IF(C111='PV IN'!$I$41,IF('PV IN'!$G$41="Non-Taxable",'PV IN'!$F$41,0),0)</f>
        <v>0</v>
      </c>
      <c r="X111" s="10"/>
      <c r="Y111" s="10">
        <f>IF('PV IN'!$E$15="Non-Taxable",SUM(N111:P111),0)</f>
        <v>1847.1953132386029</v>
      </c>
      <c r="Z111" s="10">
        <f>IF('PV IN'!$E$15="Taxable",SUM(N111:P111),0)</f>
        <v>0</v>
      </c>
      <c r="AA111" s="2">
        <f>IF(C111='PV IN'!$I$40,IF('PV IN'!$G$40="Taxable",'PV IN'!$F$40,0),0)+IF(C111='PV IN'!$I$41,IF('PV IN'!$G$41="Taxable",'PV IN'!$F$41,0),0)</f>
        <v>0</v>
      </c>
      <c r="AD111" s="10">
        <f>IF('PV IN'!$D$48="YES",-U111*'PV IN'!$E$8,0)</f>
        <v>0</v>
      </c>
      <c r="AE111" s="10">
        <f>IF('PV IN'!$N$10="Yes",-PVLoan!H139,-PVLoan!L139)</f>
        <v>0</v>
      </c>
      <c r="AF111" s="10">
        <f>IF('PV IN'!$N$10="Yes",-PVLoan!F139,0)</f>
        <v>0</v>
      </c>
      <c r="AG111" s="10">
        <f>IF(AND('PV IN'!$D$35="YES",$C111&lt;='PV IN'!$E$35*12),0,-'PV IN'!$E$18*'PV IN'!$E$34/12)</f>
        <v>-750</v>
      </c>
      <c r="AH111" s="10">
        <f>IF(AND('PV IN'!$D$37="YES",$C111&lt;='PV IN'!$E$37*12),0,-'PV IN'!$E$18*'PV IN'!$E$36/12)</f>
        <v>-625</v>
      </c>
      <c r="AI111" s="2">
        <f>IF(AND('PV IN'!$D$33="YES",PVCalcs!C111=ROUNDUP('PV IN'!$H$33*12,)),-'PV IN'!$E$33*'PV IN'!$E$18,0)</f>
        <v>0</v>
      </c>
      <c r="AK111" s="2">
        <f t="shared" si="17"/>
        <v>13136.584100579372</v>
      </c>
      <c r="AL111" s="2">
        <f t="shared" si="18"/>
        <v>-1375</v>
      </c>
      <c r="AM111" s="2">
        <f t="shared" si="22"/>
        <v>11761.584100579372</v>
      </c>
      <c r="AN111" s="43"/>
      <c r="AO111" s="2">
        <f t="shared" si="19"/>
        <v>0</v>
      </c>
      <c r="AP111" s="2">
        <f t="shared" si="23"/>
        <v>-1375</v>
      </c>
      <c r="AR111" s="2">
        <f t="shared" si="24"/>
        <v>-1375</v>
      </c>
      <c r="AS111" s="2">
        <f>-AR111*'PV IN'!$E$8</f>
        <v>288.75</v>
      </c>
      <c r="AT111" s="2">
        <f>IF('PV IN'!$F$4="Battery Only",0,AM111+AS111)</f>
        <v>12050.334100579372</v>
      </c>
      <c r="AV111" s="10">
        <f t="shared" si="25"/>
        <v>85169.583937139294</v>
      </c>
      <c r="AW111" s="2">
        <f>AT111/(1+('PV IN'!$G$9))^(C111)</f>
        <v>7799.3995910836284</v>
      </c>
      <c r="AX111" s="2">
        <f>IF(C111&lt;='PV IN'!$O$22*12,AW111+AX110,NA())</f>
        <v>-221806.07260528748</v>
      </c>
      <c r="AZ111" s="10">
        <f t="shared" si="20"/>
        <v>-1375</v>
      </c>
      <c r="BA111" s="10">
        <f t="shared" si="21"/>
        <v>1847.1953132386025</v>
      </c>
      <c r="BB111" s="10">
        <f t="shared" si="26"/>
        <v>472.19531323860247</v>
      </c>
      <c r="BC111" s="10">
        <f t="shared" si="27"/>
        <v>0</v>
      </c>
      <c r="BD111" s="10">
        <f t="shared" si="28"/>
        <v>-1375</v>
      </c>
      <c r="BE111" s="2">
        <f t="shared" si="29"/>
        <v>0</v>
      </c>
      <c r="BF111" s="10">
        <f t="shared" si="30"/>
        <v>-1375</v>
      </c>
      <c r="BG111" s="2">
        <f>-BF111*'PV IN'!$E$8</f>
        <v>288.75</v>
      </c>
      <c r="BH111" s="2">
        <f>IF('PV IN'!$F$4="Battery Only",0,BB111+BG111)</f>
        <v>760.94531323860247</v>
      </c>
      <c r="BI111" s="2">
        <f>BH111/(1+('PV IN'!$G$9))^(C111)</f>
        <v>492.51054081768677</v>
      </c>
    </row>
    <row r="112" spans="2:61" x14ac:dyDescent="0.25">
      <c r="B112">
        <v>9</v>
      </c>
      <c r="C112">
        <v>108</v>
      </c>
      <c r="D112" s="16">
        <f>D111*(1+('PV IN'!$G$6/12))</f>
        <v>7.5999999999999998E-2</v>
      </c>
      <c r="E112" s="16">
        <f>LkUP!$U$29</f>
        <v>7.9451292012060609E-2</v>
      </c>
      <c r="F112" s="16">
        <f>IF('PV IN'!$D$7="Table",E112,D112)</f>
        <v>7.9451292012060609E-2</v>
      </c>
      <c r="G112" s="33">
        <f>('PV IN'!$E$25*'PV IN'!$E$18/12)*(1-(1-'PV IN'!$E$27)/(25*12))^C111</f>
        <v>141997.21920741876</v>
      </c>
      <c r="H112" s="33">
        <f>IF('PV IN'!$D$19="YES",G112*'PV IN'!$E$21,0)</f>
        <v>0</v>
      </c>
      <c r="I112" s="33">
        <f>IF('PV IN'!$D$19="YES",'PV IN'!$E$22*BattCalcs!W112,0)</f>
        <v>0</v>
      </c>
      <c r="J112" s="33">
        <f>IF('PV IN'!$D$19="YES",'PV IN'!$E$23*BattCalcs!Y112,0)</f>
        <v>0</v>
      </c>
      <c r="K112" s="33">
        <f>BattCalcs!AF112</f>
        <v>25811.765833333331</v>
      </c>
      <c r="L112" s="33">
        <f t="shared" si="31"/>
        <v>25811.765833333331</v>
      </c>
      <c r="M112" s="33">
        <f>IF('PV IN'!$F$4="PV Only",G112,G112-SUM(H112:J112,L112))</f>
        <v>141997.21920741876</v>
      </c>
      <c r="N112" s="2">
        <f>IF(C112&lt;='PV IN'!$I$12*12,'PV IN'!$E$12*G112/1000,0)</f>
        <v>0</v>
      </c>
      <c r="O112" s="2">
        <f>IF(AND(C112&gt;'PV IN'!$I$12*12,C112&lt;='PV IN'!$I$13*12+'PV IN'!$I$12*12),'PV IN'!$E$13*PVCalcs!G112/1000,0)</f>
        <v>1845.963849696444</v>
      </c>
      <c r="P112" s="2">
        <f>IF(AND(C112&gt;'PV IN'!$I$12*12+'PV IN'!$I$13*12,C112&lt;='PV IN'!$I$12*12+'PV IN'!$I$13*12+'PV IN'!$I$14*12),'PV IN'!$E$14*PVCalcs!G112/1000,0)</f>
        <v>0</v>
      </c>
      <c r="R112" s="10">
        <f>IF(AND('PV IN'!$D$35="YES",$C112&lt;='PV IN'!$E$35*12),-'PV IN'!$E$18*'PV IN'!$E$34/12,0)</f>
        <v>0</v>
      </c>
      <c r="S112" s="10">
        <f>IF(AND('PV IN'!$D$37="YES",$C112&lt;='PV IN'!$E$37*12),-'PV IN'!$E$18*'PV IN'!$E$36/12,0)</f>
        <v>0</v>
      </c>
      <c r="U112" s="2">
        <f t="shared" si="32"/>
        <v>11281.86252814921</v>
      </c>
      <c r="V112" s="10">
        <f>PVLoan!M139</f>
        <v>0</v>
      </c>
      <c r="W112" s="2">
        <f>IF(C112='PV IN'!$I$40,IF('PV IN'!$G$40="Non-Taxable",'PV IN'!$F$40,0),0)+IF(C112='PV IN'!$I$41,IF('PV IN'!$G$41="Non-Taxable",'PV IN'!$F$41,0),0)</f>
        <v>0</v>
      </c>
      <c r="X112" s="10"/>
      <c r="Y112" s="10">
        <f>IF('PV IN'!$E$15="Non-Taxable",SUM(N112:P112),0)</f>
        <v>1845.963849696444</v>
      </c>
      <c r="Z112" s="10">
        <f>IF('PV IN'!$E$15="Taxable",SUM(N112:P112),0)</f>
        <v>0</v>
      </c>
      <c r="AA112" s="2">
        <f>IF(C112='PV IN'!$I$40,IF('PV IN'!$G$40="Taxable",'PV IN'!$F$40,0),0)+IF(C112='PV IN'!$I$41,IF('PV IN'!$G$41="Taxable",'PV IN'!$F$41,0),0)</f>
        <v>0</v>
      </c>
      <c r="AD112" s="10">
        <f>IF('PV IN'!$D$48="YES",-U112*'PV IN'!$E$8,0)</f>
        <v>0</v>
      </c>
      <c r="AE112" s="10">
        <f>IF('PV IN'!$N$10="Yes",-PVLoan!H140,-PVLoan!L140)</f>
        <v>0</v>
      </c>
      <c r="AF112" s="10">
        <f>IF('PV IN'!$N$10="Yes",-PVLoan!F140,0)</f>
        <v>0</v>
      </c>
      <c r="AG112" s="10">
        <f>IF(AND('PV IN'!$D$35="YES",$C112&lt;='PV IN'!$E$35*12),0,-'PV IN'!$E$18*'PV IN'!$E$34/12)</f>
        <v>-750</v>
      </c>
      <c r="AH112" s="10">
        <f>IF(AND('PV IN'!$D$37="YES",$C112&lt;='PV IN'!$E$37*12),0,-'PV IN'!$E$18*'PV IN'!$E$36/12)</f>
        <v>-625</v>
      </c>
      <c r="AI112" s="2">
        <f>IF(AND('PV IN'!$D$33="YES",PVCalcs!C112=ROUNDUP('PV IN'!$H$33*12,)),-'PV IN'!$E$33*'PV IN'!$E$18,0)</f>
        <v>0</v>
      </c>
      <c r="AK112" s="2">
        <f t="shared" si="17"/>
        <v>13127.826377845653</v>
      </c>
      <c r="AL112" s="2">
        <f t="shared" si="18"/>
        <v>-1375</v>
      </c>
      <c r="AM112" s="2">
        <f t="shared" si="22"/>
        <v>11752.826377845653</v>
      </c>
      <c r="AN112" s="43"/>
      <c r="AO112" s="2">
        <f t="shared" si="19"/>
        <v>0</v>
      </c>
      <c r="AP112" s="2">
        <f t="shared" si="23"/>
        <v>-1375</v>
      </c>
      <c r="AR112" s="2">
        <f t="shared" si="24"/>
        <v>-1375</v>
      </c>
      <c r="AS112" s="2">
        <f>-AR112*'PV IN'!$E$8</f>
        <v>288.75</v>
      </c>
      <c r="AT112" s="2">
        <f>IF('PV IN'!$F$4="Battery Only",0,AM112+AS112)</f>
        <v>12041.576377845653</v>
      </c>
      <c r="AV112" s="10">
        <f t="shared" si="25"/>
        <v>97211.16031498494</v>
      </c>
      <c r="AW112" s="2">
        <f>AT112/(1+('PV IN'!$G$9))^(C112)</f>
        <v>7762.1074984768384</v>
      </c>
      <c r="AX112" s="2">
        <f>IF(C112&lt;='PV IN'!$O$22*12,AW112+AX111,NA())</f>
        <v>-214043.96510681065</v>
      </c>
      <c r="AZ112" s="10">
        <f t="shared" si="20"/>
        <v>-1375</v>
      </c>
      <c r="BA112" s="10">
        <f t="shared" si="21"/>
        <v>1845.9638496964435</v>
      </c>
      <c r="BB112" s="10">
        <f t="shared" si="26"/>
        <v>470.9638496964435</v>
      </c>
      <c r="BC112" s="10">
        <f t="shared" si="27"/>
        <v>0</v>
      </c>
      <c r="BD112" s="10">
        <f t="shared" si="28"/>
        <v>-1375</v>
      </c>
      <c r="BE112" s="2">
        <f t="shared" si="29"/>
        <v>0</v>
      </c>
      <c r="BF112" s="10">
        <f t="shared" si="30"/>
        <v>-1375</v>
      </c>
      <c r="BG112" s="2">
        <f>-BF112*'PV IN'!$E$8</f>
        <v>288.75</v>
      </c>
      <c r="BH112" s="2">
        <f>IF('PV IN'!$F$4="Battery Only",0,BB112+BG112)</f>
        <v>759.7138496964435</v>
      </c>
      <c r="BI112" s="2">
        <f>BH112/(1+('PV IN'!$G$9))^(C112)</f>
        <v>489.71832128847012</v>
      </c>
    </row>
    <row r="113" spans="2:61" x14ac:dyDescent="0.25">
      <c r="C113">
        <v>109</v>
      </c>
      <c r="D113" s="16">
        <f>D112*(1+('PV IN'!$G$6/12))</f>
        <v>7.5999999999999998E-2</v>
      </c>
      <c r="E113" s="16">
        <f>LkUP!$U$30</f>
        <v>8.0139322461707824E-2</v>
      </c>
      <c r="F113" s="16">
        <f>IF('PV IN'!$D$7="Table",E113,D113)</f>
        <v>8.0139322461707824E-2</v>
      </c>
      <c r="G113" s="33">
        <f>('PV IN'!$E$25*'PV IN'!$E$18/12)*(1-(1-'PV IN'!$E$27)/(25*12))^C112</f>
        <v>141902.55439461381</v>
      </c>
      <c r="H113" s="33">
        <f>IF('PV IN'!$D$19="YES",G113*'PV IN'!$E$21,0)</f>
        <v>0</v>
      </c>
      <c r="I113" s="33">
        <f>IF('PV IN'!$D$19="YES",'PV IN'!$E$22*BattCalcs!W113,0)</f>
        <v>0</v>
      </c>
      <c r="J113" s="33">
        <f>IF('PV IN'!$D$19="YES",'PV IN'!$E$23*BattCalcs!Y113,0)</f>
        <v>0</v>
      </c>
      <c r="K113" s="33">
        <f>BattCalcs!AF113</f>
        <v>25811.765833333331</v>
      </c>
      <c r="L113" s="33">
        <f t="shared" si="31"/>
        <v>25811.765833333331</v>
      </c>
      <c r="M113" s="33">
        <f>IF('PV IN'!$F$4="PV Only",G113,G113-SUM(H113:J113,L113))</f>
        <v>141902.55439461381</v>
      </c>
      <c r="N113" s="2">
        <f>IF(C113&lt;='PV IN'!$I$12*12,'PV IN'!$E$12*G113/1000,0)</f>
        <v>0</v>
      </c>
      <c r="O113" s="2">
        <f>IF(AND(C113&gt;'PV IN'!$I$12*12,C113&lt;='PV IN'!$I$13*12+'PV IN'!$I$12*12),'PV IN'!$E$13*PVCalcs!G113/1000,0)</f>
        <v>1844.7332071299795</v>
      </c>
      <c r="P113" s="2">
        <f>IF(AND(C113&gt;'PV IN'!$I$12*12+'PV IN'!$I$13*12,C113&lt;='PV IN'!$I$12*12+'PV IN'!$I$13*12+'PV IN'!$I$14*12),'PV IN'!$E$14*PVCalcs!G113/1000,0)</f>
        <v>0</v>
      </c>
      <c r="R113" s="10">
        <f>IF(AND('PV IN'!$D$35="YES",$C113&lt;='PV IN'!$E$35*12),-'PV IN'!$E$18*'PV IN'!$E$34/12,0)</f>
        <v>0</v>
      </c>
      <c r="S113" s="10">
        <f>IF(AND('PV IN'!$D$37="YES",$C113&lt;='PV IN'!$E$37*12),-'PV IN'!$E$18*'PV IN'!$E$36/12,0)</f>
        <v>0</v>
      </c>
      <c r="U113" s="2">
        <f t="shared" si="32"/>
        <v>11371.974564769991</v>
      </c>
      <c r="V113" s="10">
        <f>PVLoan!M140</f>
        <v>0</v>
      </c>
      <c r="W113" s="2">
        <f>IF(C113='PV IN'!$I$40,IF('PV IN'!$G$40="Non-Taxable",'PV IN'!$F$40,0),0)+IF(C113='PV IN'!$I$41,IF('PV IN'!$G$41="Non-Taxable",'PV IN'!$F$41,0),0)</f>
        <v>0</v>
      </c>
      <c r="X113" s="10"/>
      <c r="Y113" s="10">
        <f>IF('PV IN'!$E$15="Non-Taxable",SUM(N113:P113),0)</f>
        <v>1844.7332071299795</v>
      </c>
      <c r="Z113" s="10">
        <f>IF('PV IN'!$E$15="Taxable",SUM(N113:P113),0)</f>
        <v>0</v>
      </c>
      <c r="AA113" s="2">
        <f>IF(C113='PV IN'!$I$40,IF('PV IN'!$G$40="Taxable",'PV IN'!$F$40,0),0)+IF(C113='PV IN'!$I$41,IF('PV IN'!$G$41="Taxable",'PV IN'!$F$41,0),0)</f>
        <v>0</v>
      </c>
      <c r="AD113" s="10">
        <f>IF('PV IN'!$D$48="YES",-U113*'PV IN'!$E$8,0)</f>
        <v>0</v>
      </c>
      <c r="AE113" s="10">
        <f>IF('PV IN'!$N$10="Yes",-PVLoan!H141,-PVLoan!L141)</f>
        <v>0</v>
      </c>
      <c r="AF113" s="10">
        <f>IF('PV IN'!$N$10="Yes",-PVLoan!F141,0)</f>
        <v>0</v>
      </c>
      <c r="AG113" s="10">
        <f>IF(AND('PV IN'!$D$35="YES",$C113&lt;='PV IN'!$E$35*12),0,-'PV IN'!$E$18*'PV IN'!$E$34/12)</f>
        <v>-750</v>
      </c>
      <c r="AH113" s="10">
        <f>IF(AND('PV IN'!$D$37="YES",$C113&lt;='PV IN'!$E$37*12),0,-'PV IN'!$E$18*'PV IN'!$E$36/12)</f>
        <v>-625</v>
      </c>
      <c r="AI113" s="2">
        <f>IF(AND('PV IN'!$D$33="YES",PVCalcs!C113=ROUNDUP('PV IN'!$H$33*12,)),-'PV IN'!$E$33*'PV IN'!$E$18,0)</f>
        <v>0</v>
      </c>
      <c r="AK113" s="2">
        <f t="shared" si="17"/>
        <v>13216.70777189997</v>
      </c>
      <c r="AL113" s="2">
        <f t="shared" si="18"/>
        <v>-1375</v>
      </c>
      <c r="AM113" s="2">
        <f t="shared" si="22"/>
        <v>11841.70777189997</v>
      </c>
      <c r="AN113" s="43"/>
      <c r="AO113" s="2">
        <f t="shared" si="19"/>
        <v>0</v>
      </c>
      <c r="AP113" s="2">
        <f t="shared" si="23"/>
        <v>-1375</v>
      </c>
      <c r="AR113" s="2">
        <f t="shared" si="24"/>
        <v>-1375</v>
      </c>
      <c r="AS113" s="2">
        <f>-AR113*'PV IN'!$E$8</f>
        <v>288.75</v>
      </c>
      <c r="AT113" s="2">
        <f>IF('PV IN'!$F$4="Battery Only",0,AM113+AS113)</f>
        <v>12130.45777189997</v>
      </c>
      <c r="AV113" s="10">
        <f t="shared" si="25"/>
        <v>109341.6180868849</v>
      </c>
      <c r="AW113" s="2">
        <f>AT113/(1+('PV IN'!$G$9))^(C113)</f>
        <v>7787.6732925894958</v>
      </c>
      <c r="AX113" s="2">
        <f>IF(C113&lt;='PV IN'!$O$22*12,AW113+AX112,NA())</f>
        <v>-206256.29181422116</v>
      </c>
      <c r="AZ113" s="10">
        <f t="shared" si="20"/>
        <v>-1375</v>
      </c>
      <c r="BA113" s="10">
        <f t="shared" si="21"/>
        <v>1844.7332071299788</v>
      </c>
      <c r="BB113" s="10">
        <f t="shared" si="26"/>
        <v>469.73320712997884</v>
      </c>
      <c r="BC113" s="10">
        <f t="shared" si="27"/>
        <v>0</v>
      </c>
      <c r="BD113" s="10">
        <f t="shared" si="28"/>
        <v>-1375</v>
      </c>
      <c r="BE113" s="2">
        <f t="shared" si="29"/>
        <v>0</v>
      </c>
      <c r="BF113" s="10">
        <f t="shared" si="30"/>
        <v>-1375</v>
      </c>
      <c r="BG113" s="2">
        <f>-BF113*'PV IN'!$E$8</f>
        <v>288.75</v>
      </c>
      <c r="BH113" s="2">
        <f>IF('PV IN'!$F$4="Battery Only",0,BB113+BG113)</f>
        <v>758.48320712997884</v>
      </c>
      <c r="BI113" s="2">
        <f>BH113/(1+('PV IN'!$G$9))^(C113)</f>
        <v>486.94117947690518</v>
      </c>
    </row>
    <row r="114" spans="2:61" x14ac:dyDescent="0.25">
      <c r="C114">
        <v>110</v>
      </c>
      <c r="D114" s="16">
        <f>D113*(1+('PV IN'!$G$6/12))</f>
        <v>7.5999999999999998E-2</v>
      </c>
      <c r="E114" s="16">
        <f>LkUP!$U$30</f>
        <v>8.0139322461707824E-2</v>
      </c>
      <c r="F114" s="16">
        <f>IF('PV IN'!$D$7="Table",E114,D114)</f>
        <v>8.0139322461707824E-2</v>
      </c>
      <c r="G114" s="33">
        <f>('PV IN'!$E$25*'PV IN'!$E$18/12)*(1-(1-'PV IN'!$E$27)/(25*12))^C113</f>
        <v>141807.95269168407</v>
      </c>
      <c r="H114" s="33">
        <f>IF('PV IN'!$D$19="YES",G114*'PV IN'!$E$21,0)</f>
        <v>0</v>
      </c>
      <c r="I114" s="33">
        <f>IF('PV IN'!$D$19="YES",'PV IN'!$E$22*BattCalcs!W114,0)</f>
        <v>0</v>
      </c>
      <c r="J114" s="33">
        <f>IF('PV IN'!$D$19="YES",'PV IN'!$E$23*BattCalcs!Y114,0)</f>
        <v>0</v>
      </c>
      <c r="K114" s="33">
        <f>BattCalcs!AF114</f>
        <v>25811.765833333331</v>
      </c>
      <c r="L114" s="33">
        <f t="shared" si="31"/>
        <v>25811.765833333331</v>
      </c>
      <c r="M114" s="33">
        <f>IF('PV IN'!$F$4="PV Only",G114,G114-SUM(H114:J114,L114))</f>
        <v>141807.95269168407</v>
      </c>
      <c r="N114" s="2">
        <f>IF(C114&lt;='PV IN'!$I$12*12,'PV IN'!$E$12*G114/1000,0)</f>
        <v>0</v>
      </c>
      <c r="O114" s="2">
        <f>IF(AND(C114&gt;'PV IN'!$I$12*12,C114&lt;='PV IN'!$I$13*12+'PV IN'!$I$12*12),'PV IN'!$E$13*PVCalcs!G114/1000,0)</f>
        <v>1843.5033849918927</v>
      </c>
      <c r="P114" s="2">
        <f>IF(AND(C114&gt;'PV IN'!$I$12*12+'PV IN'!$I$13*12,C114&lt;='PV IN'!$I$12*12+'PV IN'!$I$13*12+'PV IN'!$I$14*12),'PV IN'!$E$14*PVCalcs!G114/1000,0)</f>
        <v>0</v>
      </c>
      <c r="R114" s="10">
        <f>IF(AND('PV IN'!$D$35="YES",$C114&lt;='PV IN'!$E$35*12),-'PV IN'!$E$18*'PV IN'!$E$34/12,0)</f>
        <v>0</v>
      </c>
      <c r="S114" s="10">
        <f>IF(AND('PV IN'!$D$37="YES",$C114&lt;='PV IN'!$E$37*12),-'PV IN'!$E$18*'PV IN'!$E$36/12,0)</f>
        <v>0</v>
      </c>
      <c r="U114" s="2">
        <f t="shared" si="32"/>
        <v>11364.393248393477</v>
      </c>
      <c r="V114" s="10">
        <f>PVLoan!M141</f>
        <v>0</v>
      </c>
      <c r="W114" s="2">
        <f>IF(C114='PV IN'!$I$40,IF('PV IN'!$G$40="Non-Taxable",'PV IN'!$F$40,0),0)+IF(C114='PV IN'!$I$41,IF('PV IN'!$G$41="Non-Taxable",'PV IN'!$F$41,0),0)</f>
        <v>0</v>
      </c>
      <c r="X114" s="10"/>
      <c r="Y114" s="10">
        <f>IF('PV IN'!$E$15="Non-Taxable",SUM(N114:P114),0)</f>
        <v>1843.5033849918927</v>
      </c>
      <c r="Z114" s="10">
        <f>IF('PV IN'!$E$15="Taxable",SUM(N114:P114),0)</f>
        <v>0</v>
      </c>
      <c r="AA114" s="2">
        <f>IF(C114='PV IN'!$I$40,IF('PV IN'!$G$40="Taxable",'PV IN'!$F$40,0),0)+IF(C114='PV IN'!$I$41,IF('PV IN'!$G$41="Taxable",'PV IN'!$F$41,0),0)</f>
        <v>0</v>
      </c>
      <c r="AD114" s="10">
        <f>IF('PV IN'!$D$48="YES",-U114*'PV IN'!$E$8,0)</f>
        <v>0</v>
      </c>
      <c r="AE114" s="10">
        <f>IF('PV IN'!$N$10="Yes",-PVLoan!H142,-PVLoan!L142)</f>
        <v>0</v>
      </c>
      <c r="AF114" s="10">
        <f>IF('PV IN'!$N$10="Yes",-PVLoan!F142,0)</f>
        <v>0</v>
      </c>
      <c r="AG114" s="10">
        <f>IF(AND('PV IN'!$D$35="YES",$C114&lt;='PV IN'!$E$35*12),0,-'PV IN'!$E$18*'PV IN'!$E$34/12)</f>
        <v>-750</v>
      </c>
      <c r="AH114" s="10">
        <f>IF(AND('PV IN'!$D$37="YES",$C114&lt;='PV IN'!$E$37*12),0,-'PV IN'!$E$18*'PV IN'!$E$36/12)</f>
        <v>-625</v>
      </c>
      <c r="AI114" s="2">
        <f>IF(AND('PV IN'!$D$33="YES",PVCalcs!C114=ROUNDUP('PV IN'!$H$33*12,)),-'PV IN'!$E$33*'PV IN'!$E$18,0)</f>
        <v>0</v>
      </c>
      <c r="AK114" s="2">
        <f t="shared" si="17"/>
        <v>13207.89663338537</v>
      </c>
      <c r="AL114" s="2">
        <f t="shared" si="18"/>
        <v>-1375</v>
      </c>
      <c r="AM114" s="2">
        <f t="shared" si="22"/>
        <v>11832.89663338537</v>
      </c>
      <c r="AN114" s="43"/>
      <c r="AO114" s="2">
        <f t="shared" si="19"/>
        <v>0</v>
      </c>
      <c r="AP114" s="2">
        <f t="shared" si="23"/>
        <v>-1375</v>
      </c>
      <c r="AR114" s="2">
        <f t="shared" si="24"/>
        <v>-1375</v>
      </c>
      <c r="AS114" s="2">
        <f>-AR114*'PV IN'!$E$8</f>
        <v>288.75</v>
      </c>
      <c r="AT114" s="2">
        <f>IF('PV IN'!$F$4="Battery Only",0,AM114+AS114)</f>
        <v>12121.64663338537</v>
      </c>
      <c r="AV114" s="10">
        <f t="shared" si="25"/>
        <v>121463.26472027028</v>
      </c>
      <c r="AW114" s="2">
        <f>AT114/(1+('PV IN'!$G$9))^(C114)</f>
        <v>7750.4403468550609</v>
      </c>
      <c r="AX114" s="2">
        <f>IF(C114&lt;='PV IN'!$O$22*12,AW114+AX113,NA())</f>
        <v>-198505.8514673661</v>
      </c>
      <c r="AZ114" s="10">
        <f t="shared" si="20"/>
        <v>-1375</v>
      </c>
      <c r="BA114" s="10">
        <f t="shared" si="21"/>
        <v>1843.5033849918927</v>
      </c>
      <c r="BB114" s="10">
        <f t="shared" si="26"/>
        <v>468.50338499189274</v>
      </c>
      <c r="BC114" s="10">
        <f t="shared" si="27"/>
        <v>0</v>
      </c>
      <c r="BD114" s="10">
        <f t="shared" si="28"/>
        <v>-1375</v>
      </c>
      <c r="BE114" s="2">
        <f t="shared" si="29"/>
        <v>0</v>
      </c>
      <c r="BF114" s="10">
        <f t="shared" si="30"/>
        <v>-1375</v>
      </c>
      <c r="BG114" s="2">
        <f>-BF114*'PV IN'!$E$8</f>
        <v>288.75</v>
      </c>
      <c r="BH114" s="2">
        <f>IF('PV IN'!$F$4="Battery Only",0,BB114+BG114)</f>
        <v>757.25338499189274</v>
      </c>
      <c r="BI114" s="2">
        <f>BH114/(1+('PV IN'!$G$9))^(C114)</f>
        <v>484.1790365072381</v>
      </c>
    </row>
    <row r="115" spans="2:61" x14ac:dyDescent="0.25">
      <c r="C115">
        <v>111</v>
      </c>
      <c r="D115" s="16">
        <f>D114*(1+('PV IN'!$G$6/12))</f>
        <v>7.5999999999999998E-2</v>
      </c>
      <c r="E115" s="16">
        <f>LkUP!$U$30</f>
        <v>8.0139322461707824E-2</v>
      </c>
      <c r="F115" s="16">
        <f>IF('PV IN'!$D$7="Table",E115,D115)</f>
        <v>8.0139322461707824E-2</v>
      </c>
      <c r="G115" s="33">
        <f>('PV IN'!$E$25*'PV IN'!$E$18/12)*(1-(1-'PV IN'!$E$27)/(25*12))^C114</f>
        <v>141713.41405655627</v>
      </c>
      <c r="H115" s="33">
        <f>IF('PV IN'!$D$19="YES",G115*'PV IN'!$E$21,0)</f>
        <v>0</v>
      </c>
      <c r="I115" s="33">
        <f>IF('PV IN'!$D$19="YES",'PV IN'!$E$22*BattCalcs!W115,0)</f>
        <v>0</v>
      </c>
      <c r="J115" s="33">
        <f>IF('PV IN'!$D$19="YES",'PV IN'!$E$23*BattCalcs!Y115,0)</f>
        <v>0</v>
      </c>
      <c r="K115" s="33">
        <f>BattCalcs!AF115</f>
        <v>25811.765833333331</v>
      </c>
      <c r="L115" s="33">
        <f t="shared" si="31"/>
        <v>25811.765833333331</v>
      </c>
      <c r="M115" s="33">
        <f>IF('PV IN'!$F$4="PV Only",G115,G115-SUM(H115:J115,L115))</f>
        <v>141713.41405655627</v>
      </c>
      <c r="N115" s="2">
        <f>IF(C115&lt;='PV IN'!$I$12*12,'PV IN'!$E$12*G115/1000,0)</f>
        <v>0</v>
      </c>
      <c r="O115" s="2">
        <f>IF(AND(C115&gt;'PV IN'!$I$12*12,C115&lt;='PV IN'!$I$13*12+'PV IN'!$I$12*12),'PV IN'!$E$13*PVCalcs!G115/1000,0)</f>
        <v>1842.2743827352315</v>
      </c>
      <c r="P115" s="2">
        <f>IF(AND(C115&gt;'PV IN'!$I$12*12+'PV IN'!$I$13*12,C115&lt;='PV IN'!$I$12*12+'PV IN'!$I$13*12+'PV IN'!$I$14*12),'PV IN'!$E$14*PVCalcs!G115/1000,0)</f>
        <v>0</v>
      </c>
      <c r="R115" s="10">
        <f>IF(AND('PV IN'!$D$35="YES",$C115&lt;='PV IN'!$E$35*12),-'PV IN'!$E$18*'PV IN'!$E$34/12,0)</f>
        <v>0</v>
      </c>
      <c r="S115" s="10">
        <f>IF(AND('PV IN'!$D$37="YES",$C115&lt;='PV IN'!$E$37*12),-'PV IN'!$E$18*'PV IN'!$E$36/12,0)</f>
        <v>0</v>
      </c>
      <c r="U115" s="2">
        <f t="shared" si="32"/>
        <v>11356.816986227881</v>
      </c>
      <c r="V115" s="10">
        <f>PVLoan!M142</f>
        <v>0</v>
      </c>
      <c r="W115" s="2">
        <f>IF(C115='PV IN'!$I$40,IF('PV IN'!$G$40="Non-Taxable",'PV IN'!$F$40,0),0)+IF(C115='PV IN'!$I$41,IF('PV IN'!$G$41="Non-Taxable",'PV IN'!$F$41,0),0)</f>
        <v>0</v>
      </c>
      <c r="X115" s="10"/>
      <c r="Y115" s="10">
        <f>IF('PV IN'!$E$15="Non-Taxable",SUM(N115:P115),0)</f>
        <v>1842.2743827352315</v>
      </c>
      <c r="Z115" s="10">
        <f>IF('PV IN'!$E$15="Taxable",SUM(N115:P115),0)</f>
        <v>0</v>
      </c>
      <c r="AA115" s="2">
        <f>IF(C115='PV IN'!$I$40,IF('PV IN'!$G$40="Taxable",'PV IN'!$F$40,0),0)+IF(C115='PV IN'!$I$41,IF('PV IN'!$G$41="Taxable",'PV IN'!$F$41,0),0)</f>
        <v>0</v>
      </c>
      <c r="AD115" s="10">
        <f>IF('PV IN'!$D$48="YES",-U115*'PV IN'!$E$8,0)</f>
        <v>0</v>
      </c>
      <c r="AE115" s="10">
        <f>IF('PV IN'!$N$10="Yes",-PVLoan!H143,-PVLoan!L143)</f>
        <v>0</v>
      </c>
      <c r="AF115" s="10">
        <f>IF('PV IN'!$N$10="Yes",-PVLoan!F143,0)</f>
        <v>0</v>
      </c>
      <c r="AG115" s="10">
        <f>IF(AND('PV IN'!$D$35="YES",$C115&lt;='PV IN'!$E$35*12),0,-'PV IN'!$E$18*'PV IN'!$E$34/12)</f>
        <v>-750</v>
      </c>
      <c r="AH115" s="10">
        <f>IF(AND('PV IN'!$D$37="YES",$C115&lt;='PV IN'!$E$37*12),0,-'PV IN'!$E$18*'PV IN'!$E$36/12)</f>
        <v>-625</v>
      </c>
      <c r="AI115" s="2">
        <f>IF(AND('PV IN'!$D$33="YES",PVCalcs!C115=ROUNDUP('PV IN'!$H$33*12,)),-'PV IN'!$E$33*'PV IN'!$E$18,0)</f>
        <v>0</v>
      </c>
      <c r="AK115" s="2">
        <f t="shared" si="17"/>
        <v>13199.091368963112</v>
      </c>
      <c r="AL115" s="2">
        <f t="shared" si="18"/>
        <v>-1375</v>
      </c>
      <c r="AM115" s="2">
        <f t="shared" si="22"/>
        <v>11824.091368963112</v>
      </c>
      <c r="AN115" s="43"/>
      <c r="AO115" s="2">
        <f t="shared" si="19"/>
        <v>0</v>
      </c>
      <c r="AP115" s="2">
        <f t="shared" si="23"/>
        <v>-1375</v>
      </c>
      <c r="AR115" s="2">
        <f t="shared" si="24"/>
        <v>-1375</v>
      </c>
      <c r="AS115" s="2">
        <f>-AR115*'PV IN'!$E$8</f>
        <v>288.75</v>
      </c>
      <c r="AT115" s="2">
        <f>IF('PV IN'!$F$4="Battery Only",0,AM115+AS115)</f>
        <v>12112.841368963112</v>
      </c>
      <c r="AV115" s="10">
        <f t="shared" si="25"/>
        <v>133576.10608923339</v>
      </c>
      <c r="AW115" s="2">
        <f>AT115/(1+('PV IN'!$G$9))^(C115)</f>
        <v>7713.3850772557962</v>
      </c>
      <c r="AX115" s="2">
        <f>IF(C115&lt;='PV IN'!$O$22*12,AW115+AX114,NA())</f>
        <v>-190792.46639011029</v>
      </c>
      <c r="AZ115" s="10">
        <f t="shared" si="20"/>
        <v>-1375</v>
      </c>
      <c r="BA115" s="10">
        <f t="shared" si="21"/>
        <v>1842.2743827352315</v>
      </c>
      <c r="BB115" s="10">
        <f t="shared" si="26"/>
        <v>467.27438273523148</v>
      </c>
      <c r="BC115" s="10">
        <f t="shared" si="27"/>
        <v>0</v>
      </c>
      <c r="BD115" s="10">
        <f t="shared" si="28"/>
        <v>-1375</v>
      </c>
      <c r="BE115" s="2">
        <f t="shared" si="29"/>
        <v>0</v>
      </c>
      <c r="BF115" s="10">
        <f t="shared" si="30"/>
        <v>-1375</v>
      </c>
      <c r="BG115" s="2">
        <f>-BF115*'PV IN'!$E$8</f>
        <v>288.75</v>
      </c>
      <c r="BH115" s="2">
        <f>IF('PV IN'!$F$4="Battery Only",0,BB115+BG115)</f>
        <v>756.02438273523148</v>
      </c>
      <c r="BI115" s="2">
        <f>BH115/(1+('PV IN'!$G$9))^(C115)</f>
        <v>481.4318139073136</v>
      </c>
    </row>
    <row r="116" spans="2:61" x14ac:dyDescent="0.25">
      <c r="C116">
        <v>112</v>
      </c>
      <c r="D116" s="16">
        <f>D115*(1+('PV IN'!$G$6/12))</f>
        <v>7.5999999999999998E-2</v>
      </c>
      <c r="E116" s="16">
        <f>LkUP!$U$30</f>
        <v>8.0139322461707824E-2</v>
      </c>
      <c r="F116" s="16">
        <f>IF('PV IN'!$D$7="Table",E116,D116)</f>
        <v>8.0139322461707824E-2</v>
      </c>
      <c r="G116" s="33">
        <f>('PV IN'!$E$25*'PV IN'!$E$18/12)*(1-(1-'PV IN'!$E$27)/(25*12))^C115</f>
        <v>141618.93844718524</v>
      </c>
      <c r="H116" s="33">
        <f>IF('PV IN'!$D$19="YES",G116*'PV IN'!$E$21,0)</f>
        <v>0</v>
      </c>
      <c r="I116" s="33">
        <f>IF('PV IN'!$D$19="YES",'PV IN'!$E$22*BattCalcs!W116,0)</f>
        <v>0</v>
      </c>
      <c r="J116" s="33">
        <f>IF('PV IN'!$D$19="YES",'PV IN'!$E$23*BattCalcs!Y116,0)</f>
        <v>0</v>
      </c>
      <c r="K116" s="33">
        <f>BattCalcs!AF116</f>
        <v>25811.765833333331</v>
      </c>
      <c r="L116" s="33">
        <f t="shared" si="31"/>
        <v>25811.765833333331</v>
      </c>
      <c r="M116" s="33">
        <f>IF('PV IN'!$F$4="PV Only",G116,G116-SUM(H116:J116,L116))</f>
        <v>141618.93844718524</v>
      </c>
      <c r="N116" s="2">
        <f>IF(C116&lt;='PV IN'!$I$12*12,'PV IN'!$E$12*G116/1000,0)</f>
        <v>0</v>
      </c>
      <c r="O116" s="2">
        <f>IF(AND(C116&gt;'PV IN'!$I$12*12,C116&lt;='PV IN'!$I$13*12+'PV IN'!$I$12*12),'PV IN'!$E$13*PVCalcs!G116/1000,0)</f>
        <v>1841.0461998134081</v>
      </c>
      <c r="P116" s="2">
        <f>IF(AND(C116&gt;'PV IN'!$I$12*12+'PV IN'!$I$13*12,C116&lt;='PV IN'!$I$12*12+'PV IN'!$I$13*12+'PV IN'!$I$14*12),'PV IN'!$E$14*PVCalcs!G116/1000,0)</f>
        <v>0</v>
      </c>
      <c r="R116" s="10">
        <f>IF(AND('PV IN'!$D$35="YES",$C116&lt;='PV IN'!$E$35*12),-'PV IN'!$E$18*'PV IN'!$E$34/12,0)</f>
        <v>0</v>
      </c>
      <c r="S116" s="10">
        <f>IF(AND('PV IN'!$D$37="YES",$C116&lt;='PV IN'!$E$37*12),-'PV IN'!$E$18*'PV IN'!$E$36/12,0)</f>
        <v>0</v>
      </c>
      <c r="U116" s="2">
        <f t="shared" si="32"/>
        <v>11349.245774903729</v>
      </c>
      <c r="V116" s="10">
        <f>PVLoan!M143</f>
        <v>0</v>
      </c>
      <c r="W116" s="2">
        <f>IF(C116='PV IN'!$I$40,IF('PV IN'!$G$40="Non-Taxable",'PV IN'!$F$40,0),0)+IF(C116='PV IN'!$I$41,IF('PV IN'!$G$41="Non-Taxable",'PV IN'!$F$41,0),0)</f>
        <v>0</v>
      </c>
      <c r="X116" s="10"/>
      <c r="Y116" s="10">
        <f>IF('PV IN'!$E$15="Non-Taxable",SUM(N116:P116),0)</f>
        <v>1841.0461998134081</v>
      </c>
      <c r="Z116" s="10">
        <f>IF('PV IN'!$E$15="Taxable",SUM(N116:P116),0)</f>
        <v>0</v>
      </c>
      <c r="AA116" s="2">
        <f>IF(C116='PV IN'!$I$40,IF('PV IN'!$G$40="Taxable",'PV IN'!$F$40,0),0)+IF(C116='PV IN'!$I$41,IF('PV IN'!$G$41="Taxable",'PV IN'!$F$41,0),0)</f>
        <v>0</v>
      </c>
      <c r="AD116" s="10">
        <f>IF('PV IN'!$D$48="YES",-U116*'PV IN'!$E$8,0)</f>
        <v>0</v>
      </c>
      <c r="AE116" s="10">
        <f>IF('PV IN'!$N$10="Yes",-PVLoan!H144,-PVLoan!L144)</f>
        <v>0</v>
      </c>
      <c r="AF116" s="10">
        <f>IF('PV IN'!$N$10="Yes",-PVLoan!F144,0)</f>
        <v>0</v>
      </c>
      <c r="AG116" s="10">
        <f>IF(AND('PV IN'!$D$35="YES",$C116&lt;='PV IN'!$E$35*12),0,-'PV IN'!$E$18*'PV IN'!$E$34/12)</f>
        <v>-750</v>
      </c>
      <c r="AH116" s="10">
        <f>IF(AND('PV IN'!$D$37="YES",$C116&lt;='PV IN'!$E$37*12),0,-'PV IN'!$E$18*'PV IN'!$E$36/12)</f>
        <v>-625</v>
      </c>
      <c r="AI116" s="2">
        <f>IF(AND('PV IN'!$D$33="YES",PVCalcs!C116=ROUNDUP('PV IN'!$H$33*12,)),-'PV IN'!$E$33*'PV IN'!$E$18,0)</f>
        <v>0</v>
      </c>
      <c r="AK116" s="2">
        <f t="shared" si="17"/>
        <v>13190.291974717138</v>
      </c>
      <c r="AL116" s="2">
        <f t="shared" si="18"/>
        <v>-1375</v>
      </c>
      <c r="AM116" s="2">
        <f t="shared" si="22"/>
        <v>11815.291974717138</v>
      </c>
      <c r="AN116" s="43"/>
      <c r="AO116" s="2">
        <f t="shared" si="19"/>
        <v>0</v>
      </c>
      <c r="AP116" s="2">
        <f t="shared" si="23"/>
        <v>-1375</v>
      </c>
      <c r="AR116" s="2">
        <f t="shared" si="24"/>
        <v>-1375</v>
      </c>
      <c r="AS116" s="2">
        <f>-AR116*'PV IN'!$E$8</f>
        <v>288.75</v>
      </c>
      <c r="AT116" s="2">
        <f>IF('PV IN'!$F$4="Battery Only",0,AM116+AS116)</f>
        <v>12104.041974717138</v>
      </c>
      <c r="AV116" s="10">
        <f t="shared" si="25"/>
        <v>145680.14806395053</v>
      </c>
      <c r="AW116" s="2">
        <f>AT116/(1+('PV IN'!$G$9))^(C116)</f>
        <v>7676.506637260939</v>
      </c>
      <c r="AX116" s="2">
        <f>IF(C116&lt;='PV IN'!$O$22*12,AW116+AX115,NA())</f>
        <v>-183115.95975284936</v>
      </c>
      <c r="AZ116" s="10">
        <f t="shared" si="20"/>
        <v>-1375</v>
      </c>
      <c r="BA116" s="10">
        <f t="shared" si="21"/>
        <v>1841.0461998134087</v>
      </c>
      <c r="BB116" s="10">
        <f t="shared" si="26"/>
        <v>466.04619981340875</v>
      </c>
      <c r="BC116" s="10">
        <f t="shared" si="27"/>
        <v>0</v>
      </c>
      <c r="BD116" s="10">
        <f t="shared" si="28"/>
        <v>-1375</v>
      </c>
      <c r="BE116" s="2">
        <f t="shared" si="29"/>
        <v>0</v>
      </c>
      <c r="BF116" s="10">
        <f t="shared" si="30"/>
        <v>-1375</v>
      </c>
      <c r="BG116" s="2">
        <f>-BF116*'PV IN'!$E$8</f>
        <v>288.75</v>
      </c>
      <c r="BH116" s="2">
        <f>IF('PV IN'!$F$4="Battery Only",0,BB116+BG116)</f>
        <v>754.79619981340875</v>
      </c>
      <c r="BI116" s="2">
        <f>BH116/(1+('PV IN'!$G$9))^(C116)</f>
        <v>478.69943360654713</v>
      </c>
    </row>
    <row r="117" spans="2:61" x14ac:dyDescent="0.25">
      <c r="C117">
        <v>113</v>
      </c>
      <c r="D117" s="16">
        <f>D116*(1+('PV IN'!$G$6/12))</f>
        <v>7.5999999999999998E-2</v>
      </c>
      <c r="E117" s="16">
        <f>LkUP!$U$30</f>
        <v>8.0139322461707824E-2</v>
      </c>
      <c r="F117" s="16">
        <f>IF('PV IN'!$D$7="Table",E117,D117)</f>
        <v>8.0139322461707824E-2</v>
      </c>
      <c r="G117" s="33">
        <f>('PV IN'!$E$25*'PV IN'!$E$18/12)*(1-(1-'PV IN'!$E$27)/(25*12))^C116</f>
        <v>141524.52582155375</v>
      </c>
      <c r="H117" s="33">
        <f>IF('PV IN'!$D$19="YES",G117*'PV IN'!$E$21,0)</f>
        <v>0</v>
      </c>
      <c r="I117" s="33">
        <f>IF('PV IN'!$D$19="YES",'PV IN'!$E$22*BattCalcs!W117,0)</f>
        <v>0</v>
      </c>
      <c r="J117" s="33">
        <f>IF('PV IN'!$D$19="YES",'PV IN'!$E$23*BattCalcs!Y117,0)</f>
        <v>0</v>
      </c>
      <c r="K117" s="33">
        <f>BattCalcs!AF117</f>
        <v>25811.765833333331</v>
      </c>
      <c r="L117" s="33">
        <f t="shared" si="31"/>
        <v>25811.765833333331</v>
      </c>
      <c r="M117" s="33">
        <f>IF('PV IN'!$F$4="PV Only",G117,G117-SUM(H117:J117,L117))</f>
        <v>141524.52582155375</v>
      </c>
      <c r="N117" s="2">
        <f>IF(C117&lt;='PV IN'!$I$12*12,'PV IN'!$E$12*G117/1000,0)</f>
        <v>0</v>
      </c>
      <c r="O117" s="2">
        <f>IF(AND(C117&gt;'PV IN'!$I$12*12,C117&lt;='PV IN'!$I$13*12+'PV IN'!$I$12*12),'PV IN'!$E$13*PVCalcs!G117/1000,0)</f>
        <v>1839.8188356801986</v>
      </c>
      <c r="P117" s="2">
        <f>IF(AND(C117&gt;'PV IN'!$I$12*12+'PV IN'!$I$13*12,C117&lt;='PV IN'!$I$12*12+'PV IN'!$I$13*12+'PV IN'!$I$14*12),'PV IN'!$E$14*PVCalcs!G117/1000,0)</f>
        <v>0</v>
      </c>
      <c r="R117" s="10">
        <f>IF(AND('PV IN'!$D$35="YES",$C117&lt;='PV IN'!$E$35*12),-'PV IN'!$E$18*'PV IN'!$E$34/12,0)</f>
        <v>0</v>
      </c>
      <c r="S117" s="10">
        <f>IF(AND('PV IN'!$D$37="YES",$C117&lt;='PV IN'!$E$37*12),-'PV IN'!$E$18*'PV IN'!$E$36/12,0)</f>
        <v>0</v>
      </c>
      <c r="U117" s="2">
        <f t="shared" si="32"/>
        <v>11341.679611053791</v>
      </c>
      <c r="V117" s="10">
        <f>PVLoan!M144</f>
        <v>0</v>
      </c>
      <c r="W117" s="2">
        <f>IF(C117='PV IN'!$I$40,IF('PV IN'!$G$40="Non-Taxable",'PV IN'!$F$40,0),0)+IF(C117='PV IN'!$I$41,IF('PV IN'!$G$41="Non-Taxable",'PV IN'!$F$41,0),0)</f>
        <v>0</v>
      </c>
      <c r="X117" s="10"/>
      <c r="Y117" s="10">
        <f>IF('PV IN'!$E$15="Non-Taxable",SUM(N117:P117),0)</f>
        <v>1839.8188356801986</v>
      </c>
      <c r="Z117" s="10">
        <f>IF('PV IN'!$E$15="Taxable",SUM(N117:P117),0)</f>
        <v>0</v>
      </c>
      <c r="AA117" s="2">
        <f>IF(C117='PV IN'!$I$40,IF('PV IN'!$G$40="Taxable",'PV IN'!$F$40,0),0)+IF(C117='PV IN'!$I$41,IF('PV IN'!$G$41="Taxable",'PV IN'!$F$41,0),0)</f>
        <v>0</v>
      </c>
      <c r="AD117" s="10">
        <f>IF('PV IN'!$D$48="YES",-U117*'PV IN'!$E$8,0)</f>
        <v>0</v>
      </c>
      <c r="AE117" s="10">
        <f>IF('PV IN'!$N$10="Yes",-PVLoan!H145,-PVLoan!L145)</f>
        <v>0</v>
      </c>
      <c r="AF117" s="10">
        <f>IF('PV IN'!$N$10="Yes",-PVLoan!F145,0)</f>
        <v>0</v>
      </c>
      <c r="AG117" s="10">
        <f>IF(AND('PV IN'!$D$35="YES",$C117&lt;='PV IN'!$E$35*12),0,-'PV IN'!$E$18*'PV IN'!$E$34/12)</f>
        <v>-750</v>
      </c>
      <c r="AH117" s="10">
        <f>IF(AND('PV IN'!$D$37="YES",$C117&lt;='PV IN'!$E$37*12),0,-'PV IN'!$E$18*'PV IN'!$E$36/12)</f>
        <v>-625</v>
      </c>
      <c r="AI117" s="2">
        <f>IF(AND('PV IN'!$D$33="YES",PVCalcs!C117=ROUNDUP('PV IN'!$H$33*12,)),-'PV IN'!$E$33*'PV IN'!$E$18,0)</f>
        <v>0</v>
      </c>
      <c r="AK117" s="2">
        <f t="shared" si="17"/>
        <v>13181.498446733989</v>
      </c>
      <c r="AL117" s="2">
        <f t="shared" si="18"/>
        <v>-1375</v>
      </c>
      <c r="AM117" s="2">
        <f t="shared" si="22"/>
        <v>11806.498446733989</v>
      </c>
      <c r="AN117" s="43"/>
      <c r="AO117" s="2">
        <f t="shared" si="19"/>
        <v>0</v>
      </c>
      <c r="AP117" s="2">
        <f t="shared" si="23"/>
        <v>-1375</v>
      </c>
      <c r="AR117" s="2">
        <f t="shared" si="24"/>
        <v>-1375</v>
      </c>
      <c r="AS117" s="2">
        <f>-AR117*'PV IN'!$E$8</f>
        <v>288.75</v>
      </c>
      <c r="AT117" s="2">
        <f>IF('PV IN'!$F$4="Battery Only",0,AM117+AS117)</f>
        <v>12095.248446733989</v>
      </c>
      <c r="AV117" s="10">
        <f t="shared" si="25"/>
        <v>157775.39651068451</v>
      </c>
      <c r="AW117" s="2">
        <f>AT117/(1+('PV IN'!$G$9))^(C117)</f>
        <v>7639.804184367601</v>
      </c>
      <c r="AX117" s="2">
        <f>IF(C117&lt;='PV IN'!$O$22*12,AW117+AX116,NA())</f>
        <v>-175476.15556848177</v>
      </c>
      <c r="AZ117" s="10">
        <f t="shared" si="20"/>
        <v>-1375</v>
      </c>
      <c r="BA117" s="10">
        <f t="shared" si="21"/>
        <v>1839.8188356801984</v>
      </c>
      <c r="BB117" s="10">
        <f t="shared" si="26"/>
        <v>464.81883568019839</v>
      </c>
      <c r="BC117" s="10">
        <f t="shared" si="27"/>
        <v>0</v>
      </c>
      <c r="BD117" s="10">
        <f t="shared" si="28"/>
        <v>-1375</v>
      </c>
      <c r="BE117" s="2">
        <f t="shared" si="29"/>
        <v>0</v>
      </c>
      <c r="BF117" s="10">
        <f t="shared" si="30"/>
        <v>-1375</v>
      </c>
      <c r="BG117" s="2">
        <f>-BF117*'PV IN'!$E$8</f>
        <v>288.75</v>
      </c>
      <c r="BH117" s="2">
        <f>IF('PV IN'!$F$4="Battery Only",0,BB117+BG117)</f>
        <v>753.56883568019839</v>
      </c>
      <c r="BI117" s="2">
        <f>BH117/(1+('PV IN'!$G$9))^(C117)</f>
        <v>475.98181793389801</v>
      </c>
    </row>
    <row r="118" spans="2:61" x14ac:dyDescent="0.25">
      <c r="C118">
        <v>114</v>
      </c>
      <c r="D118" s="16">
        <f>D117*(1+('PV IN'!$G$6/12))</f>
        <v>7.5999999999999998E-2</v>
      </c>
      <c r="E118" s="16">
        <f>LkUP!$U$30</f>
        <v>8.0139322461707824E-2</v>
      </c>
      <c r="F118" s="16">
        <f>IF('PV IN'!$D$7="Table",E118,D118)</f>
        <v>8.0139322461707824E-2</v>
      </c>
      <c r="G118" s="33">
        <f>('PV IN'!$E$25*'PV IN'!$E$18/12)*(1-(1-'PV IN'!$E$27)/(25*12))^C117</f>
        <v>141430.17613767271</v>
      </c>
      <c r="H118" s="33">
        <f>IF('PV IN'!$D$19="YES",G118*'PV IN'!$E$21,0)</f>
        <v>0</v>
      </c>
      <c r="I118" s="33">
        <f>IF('PV IN'!$D$19="YES",'PV IN'!$E$22*BattCalcs!W118,0)</f>
        <v>0</v>
      </c>
      <c r="J118" s="33">
        <f>IF('PV IN'!$D$19="YES",'PV IN'!$E$23*BattCalcs!Y118,0)</f>
        <v>0</v>
      </c>
      <c r="K118" s="33">
        <f>BattCalcs!AF118</f>
        <v>25811.765833333331</v>
      </c>
      <c r="L118" s="33">
        <f t="shared" si="31"/>
        <v>25811.765833333331</v>
      </c>
      <c r="M118" s="33">
        <f>IF('PV IN'!$F$4="PV Only",G118,G118-SUM(H118:J118,L118))</f>
        <v>141430.17613767271</v>
      </c>
      <c r="N118" s="2">
        <f>IF(C118&lt;='PV IN'!$I$12*12,'PV IN'!$E$12*G118/1000,0)</f>
        <v>0</v>
      </c>
      <c r="O118" s="2">
        <f>IF(AND(C118&gt;'PV IN'!$I$12*12,C118&lt;='PV IN'!$I$13*12+'PV IN'!$I$12*12),'PV IN'!$E$13*PVCalcs!G118/1000,0)</f>
        <v>1838.5922897897451</v>
      </c>
      <c r="P118" s="2">
        <f>IF(AND(C118&gt;'PV IN'!$I$12*12+'PV IN'!$I$13*12,C118&lt;='PV IN'!$I$12*12+'PV IN'!$I$13*12+'PV IN'!$I$14*12),'PV IN'!$E$14*PVCalcs!G118/1000,0)</f>
        <v>0</v>
      </c>
      <c r="R118" s="10">
        <f>IF(AND('PV IN'!$D$35="YES",$C118&lt;='PV IN'!$E$35*12),-'PV IN'!$E$18*'PV IN'!$E$34/12,0)</f>
        <v>0</v>
      </c>
      <c r="S118" s="10">
        <f>IF(AND('PV IN'!$D$37="YES",$C118&lt;='PV IN'!$E$37*12),-'PV IN'!$E$18*'PV IN'!$E$36/12,0)</f>
        <v>0</v>
      </c>
      <c r="U118" s="2">
        <f t="shared" si="32"/>
        <v>11334.118491313089</v>
      </c>
      <c r="V118" s="10">
        <f>PVLoan!M145</f>
        <v>0</v>
      </c>
      <c r="W118" s="2">
        <f>IF(C118='PV IN'!$I$40,IF('PV IN'!$G$40="Non-Taxable",'PV IN'!$F$40,0),0)+IF(C118='PV IN'!$I$41,IF('PV IN'!$G$41="Non-Taxable",'PV IN'!$F$41,0),0)</f>
        <v>0</v>
      </c>
      <c r="X118" s="10"/>
      <c r="Y118" s="10">
        <f>IF('PV IN'!$E$15="Non-Taxable",SUM(N118:P118),0)</f>
        <v>1838.5922897897451</v>
      </c>
      <c r="Z118" s="10">
        <f>IF('PV IN'!$E$15="Taxable",SUM(N118:P118),0)</f>
        <v>0</v>
      </c>
      <c r="AA118" s="2">
        <f>IF(C118='PV IN'!$I$40,IF('PV IN'!$G$40="Taxable",'PV IN'!$F$40,0),0)+IF(C118='PV IN'!$I$41,IF('PV IN'!$G$41="Taxable",'PV IN'!$F$41,0),0)</f>
        <v>0</v>
      </c>
      <c r="AD118" s="10">
        <f>IF('PV IN'!$D$48="YES",-U118*'PV IN'!$E$8,0)</f>
        <v>0</v>
      </c>
      <c r="AE118" s="10">
        <f>IF('PV IN'!$N$10="Yes",-PVLoan!H146,-PVLoan!L146)</f>
        <v>0</v>
      </c>
      <c r="AF118" s="10">
        <f>IF('PV IN'!$N$10="Yes",-PVLoan!F146,0)</f>
        <v>0</v>
      </c>
      <c r="AG118" s="10">
        <f>IF(AND('PV IN'!$D$35="YES",$C118&lt;='PV IN'!$E$35*12),0,-'PV IN'!$E$18*'PV IN'!$E$34/12)</f>
        <v>-750</v>
      </c>
      <c r="AH118" s="10">
        <f>IF(AND('PV IN'!$D$37="YES",$C118&lt;='PV IN'!$E$37*12),0,-'PV IN'!$E$18*'PV IN'!$E$36/12)</f>
        <v>-625</v>
      </c>
      <c r="AI118" s="2">
        <f>IF(AND('PV IN'!$D$33="YES",PVCalcs!C118=ROUNDUP('PV IN'!$H$33*12,)),-'PV IN'!$E$33*'PV IN'!$E$18,0)</f>
        <v>0</v>
      </c>
      <c r="AK118" s="2">
        <f t="shared" si="17"/>
        <v>13172.710781102835</v>
      </c>
      <c r="AL118" s="2">
        <f t="shared" si="18"/>
        <v>-1375</v>
      </c>
      <c r="AM118" s="2">
        <f t="shared" si="22"/>
        <v>11797.710781102835</v>
      </c>
      <c r="AN118" s="43"/>
      <c r="AO118" s="2">
        <f t="shared" si="19"/>
        <v>0</v>
      </c>
      <c r="AP118" s="2">
        <f t="shared" si="23"/>
        <v>-1375</v>
      </c>
      <c r="AR118" s="2">
        <f t="shared" si="24"/>
        <v>-1375</v>
      </c>
      <c r="AS118" s="2">
        <f>-AR118*'PV IN'!$E$8</f>
        <v>288.75</v>
      </c>
      <c r="AT118" s="2">
        <f>IF('PV IN'!$F$4="Battery Only",0,AM118+AS118)</f>
        <v>12086.460781102835</v>
      </c>
      <c r="AV118" s="10">
        <f t="shared" si="25"/>
        <v>169861.85729178734</v>
      </c>
      <c r="AW118" s="2">
        <f>AT118/(1+('PV IN'!$G$9))^(C118)</f>
        <v>7603.2768800816211</v>
      </c>
      <c r="AX118" s="2">
        <f>IF(C118&lt;='PV IN'!$O$22*12,AW118+AX117,NA())</f>
        <v>-167872.87868840015</v>
      </c>
      <c r="AZ118" s="10">
        <f t="shared" si="20"/>
        <v>-1375</v>
      </c>
      <c r="BA118" s="10">
        <f t="shared" si="21"/>
        <v>1838.5922897897453</v>
      </c>
      <c r="BB118" s="10">
        <f t="shared" si="26"/>
        <v>463.59228978974534</v>
      </c>
      <c r="BC118" s="10">
        <f t="shared" si="27"/>
        <v>0</v>
      </c>
      <c r="BD118" s="10">
        <f t="shared" si="28"/>
        <v>-1375</v>
      </c>
      <c r="BE118" s="2">
        <f t="shared" si="29"/>
        <v>0</v>
      </c>
      <c r="BF118" s="10">
        <f t="shared" si="30"/>
        <v>-1375</v>
      </c>
      <c r="BG118" s="2">
        <f>-BF118*'PV IN'!$E$8</f>
        <v>288.75</v>
      </c>
      <c r="BH118" s="2">
        <f>IF('PV IN'!$F$4="Battery Only",0,BB118+BG118)</f>
        <v>752.34228978974534</v>
      </c>
      <c r="BI118" s="2">
        <f>BH118/(1+('PV IN'!$G$9))^(C118)</f>
        <v>473.27888961586405</v>
      </c>
    </row>
    <row r="119" spans="2:61" x14ac:dyDescent="0.25">
      <c r="C119">
        <v>115</v>
      </c>
      <c r="D119" s="16">
        <f>D118*(1+('PV IN'!$G$6/12))</f>
        <v>7.5999999999999998E-2</v>
      </c>
      <c r="E119" s="16">
        <f>LkUP!$U$30</f>
        <v>8.0139322461707824E-2</v>
      </c>
      <c r="F119" s="16">
        <f>IF('PV IN'!$D$7="Table",E119,D119)</f>
        <v>8.0139322461707824E-2</v>
      </c>
      <c r="G119" s="33">
        <f>('PV IN'!$E$25*'PV IN'!$E$18/12)*(1-(1-'PV IN'!$E$27)/(25*12))^C118</f>
        <v>141335.88935358095</v>
      </c>
      <c r="H119" s="33">
        <f>IF('PV IN'!$D$19="YES",G119*'PV IN'!$E$21,0)</f>
        <v>0</v>
      </c>
      <c r="I119" s="33">
        <f>IF('PV IN'!$D$19="YES",'PV IN'!$E$22*BattCalcs!W119,0)</f>
        <v>0</v>
      </c>
      <c r="J119" s="33">
        <f>IF('PV IN'!$D$19="YES",'PV IN'!$E$23*BattCalcs!Y119,0)</f>
        <v>0</v>
      </c>
      <c r="K119" s="33">
        <f>BattCalcs!AF119</f>
        <v>25811.765833333331</v>
      </c>
      <c r="L119" s="33">
        <f t="shared" si="31"/>
        <v>25811.765833333331</v>
      </c>
      <c r="M119" s="33">
        <f>IF('PV IN'!$F$4="PV Only",G119,G119-SUM(H119:J119,L119))</f>
        <v>141335.88935358095</v>
      </c>
      <c r="N119" s="2">
        <f>IF(C119&lt;='PV IN'!$I$12*12,'PV IN'!$E$12*G119/1000,0)</f>
        <v>0</v>
      </c>
      <c r="O119" s="2">
        <f>IF(AND(C119&gt;'PV IN'!$I$12*12,C119&lt;='PV IN'!$I$13*12+'PV IN'!$I$12*12),'PV IN'!$E$13*PVCalcs!G119/1000,0)</f>
        <v>1837.3665615965524</v>
      </c>
      <c r="P119" s="2">
        <f>IF(AND(C119&gt;'PV IN'!$I$12*12+'PV IN'!$I$13*12,C119&lt;='PV IN'!$I$12*12+'PV IN'!$I$13*12+'PV IN'!$I$14*12),'PV IN'!$E$14*PVCalcs!G119/1000,0)</f>
        <v>0</v>
      </c>
      <c r="R119" s="10">
        <f>IF(AND('PV IN'!$D$35="YES",$C119&lt;='PV IN'!$E$35*12),-'PV IN'!$E$18*'PV IN'!$E$34/12,0)</f>
        <v>0</v>
      </c>
      <c r="S119" s="10">
        <f>IF(AND('PV IN'!$D$37="YES",$C119&lt;='PV IN'!$E$37*12),-'PV IN'!$E$18*'PV IN'!$E$36/12,0)</f>
        <v>0</v>
      </c>
      <c r="U119" s="2">
        <f t="shared" si="32"/>
        <v>11326.562412318881</v>
      </c>
      <c r="V119" s="10">
        <f>PVLoan!M146</f>
        <v>0</v>
      </c>
      <c r="W119" s="2">
        <f>IF(C119='PV IN'!$I$40,IF('PV IN'!$G$40="Non-Taxable",'PV IN'!$F$40,0),0)+IF(C119='PV IN'!$I$41,IF('PV IN'!$G$41="Non-Taxable",'PV IN'!$F$41,0),0)</f>
        <v>0</v>
      </c>
      <c r="X119" s="10"/>
      <c r="Y119" s="10">
        <f>IF('PV IN'!$E$15="Non-Taxable",SUM(N119:P119),0)</f>
        <v>1837.3665615965524</v>
      </c>
      <c r="Z119" s="10">
        <f>IF('PV IN'!$E$15="Taxable",SUM(N119:P119),0)</f>
        <v>0</v>
      </c>
      <c r="AA119" s="2">
        <f>IF(C119='PV IN'!$I$40,IF('PV IN'!$G$40="Taxable",'PV IN'!$F$40,0),0)+IF(C119='PV IN'!$I$41,IF('PV IN'!$G$41="Taxable",'PV IN'!$F$41,0),0)</f>
        <v>0</v>
      </c>
      <c r="AD119" s="10">
        <f>IF('PV IN'!$D$48="YES",-U119*'PV IN'!$E$8,0)</f>
        <v>0</v>
      </c>
      <c r="AE119" s="10">
        <f>IF('PV IN'!$N$10="Yes",-PVLoan!H147,-PVLoan!L147)</f>
        <v>0</v>
      </c>
      <c r="AF119" s="10">
        <f>IF('PV IN'!$N$10="Yes",-PVLoan!F147,0)</f>
        <v>0</v>
      </c>
      <c r="AG119" s="10">
        <f>IF(AND('PV IN'!$D$35="YES",$C119&lt;='PV IN'!$E$35*12),0,-'PV IN'!$E$18*'PV IN'!$E$34/12)</f>
        <v>-750</v>
      </c>
      <c r="AH119" s="10">
        <f>IF(AND('PV IN'!$D$37="YES",$C119&lt;='PV IN'!$E$37*12),0,-'PV IN'!$E$18*'PV IN'!$E$36/12)</f>
        <v>-625</v>
      </c>
      <c r="AI119" s="2">
        <f>IF(AND('PV IN'!$D$33="YES",PVCalcs!C119=ROUNDUP('PV IN'!$H$33*12,)),-'PV IN'!$E$33*'PV IN'!$E$18,0)</f>
        <v>0</v>
      </c>
      <c r="AK119" s="2">
        <f t="shared" si="17"/>
        <v>13163.928973915434</v>
      </c>
      <c r="AL119" s="2">
        <f t="shared" si="18"/>
        <v>-1375</v>
      </c>
      <c r="AM119" s="2">
        <f t="shared" si="22"/>
        <v>11788.928973915434</v>
      </c>
      <c r="AN119" s="43"/>
      <c r="AO119" s="2">
        <f t="shared" si="19"/>
        <v>0</v>
      </c>
      <c r="AP119" s="2">
        <f t="shared" si="23"/>
        <v>-1375</v>
      </c>
      <c r="AR119" s="2">
        <f t="shared" si="24"/>
        <v>-1375</v>
      </c>
      <c r="AS119" s="2">
        <f>-AR119*'PV IN'!$E$8</f>
        <v>288.75</v>
      </c>
      <c r="AT119" s="2">
        <f>IF('PV IN'!$F$4="Battery Only",0,AM119+AS119)</f>
        <v>12077.678973915434</v>
      </c>
      <c r="AV119" s="10">
        <f t="shared" si="25"/>
        <v>181939.53626570277</v>
      </c>
      <c r="AW119" s="2">
        <f>AT119/(1+('PV IN'!$G$9))^(C119)</f>
        <v>7566.9238898985213</v>
      </c>
      <c r="AX119" s="2">
        <f>IF(C119&lt;='PV IN'!$O$22*12,AW119+AX118,NA())</f>
        <v>-160305.95479850163</v>
      </c>
      <c r="AZ119" s="10">
        <f t="shared" si="20"/>
        <v>-1375</v>
      </c>
      <c r="BA119" s="10">
        <f t="shared" si="21"/>
        <v>1837.3665615965529</v>
      </c>
      <c r="BB119" s="10">
        <f t="shared" si="26"/>
        <v>462.36656159655286</v>
      </c>
      <c r="BC119" s="10">
        <f t="shared" si="27"/>
        <v>0</v>
      </c>
      <c r="BD119" s="10">
        <f t="shared" si="28"/>
        <v>-1375</v>
      </c>
      <c r="BE119" s="2">
        <f t="shared" si="29"/>
        <v>0</v>
      </c>
      <c r="BF119" s="10">
        <f t="shared" si="30"/>
        <v>-1375</v>
      </c>
      <c r="BG119" s="2">
        <f>-BF119*'PV IN'!$E$8</f>
        <v>288.75</v>
      </c>
      <c r="BH119" s="2">
        <f>IF('PV IN'!$F$4="Battery Only",0,BB119+BG119)</f>
        <v>751.11656159655286</v>
      </c>
      <c r="BI119" s="2">
        <f>BH119/(1+('PV IN'!$G$9))^(C119)</f>
        <v>470.59057177447266</v>
      </c>
    </row>
    <row r="120" spans="2:61" x14ac:dyDescent="0.25">
      <c r="C120">
        <v>116</v>
      </c>
      <c r="D120" s="16">
        <f>D119*(1+('PV IN'!$G$6/12))</f>
        <v>7.5999999999999998E-2</v>
      </c>
      <c r="E120" s="16">
        <f>LkUP!$U$30</f>
        <v>8.0139322461707824E-2</v>
      </c>
      <c r="F120" s="16">
        <f>IF('PV IN'!$D$7="Table",E120,D120)</f>
        <v>8.0139322461707824E-2</v>
      </c>
      <c r="G120" s="33">
        <f>('PV IN'!$E$25*'PV IN'!$E$18/12)*(1-(1-'PV IN'!$E$27)/(25*12))^C119</f>
        <v>141241.6654273452</v>
      </c>
      <c r="H120" s="33">
        <f>IF('PV IN'!$D$19="YES",G120*'PV IN'!$E$21,0)</f>
        <v>0</v>
      </c>
      <c r="I120" s="33">
        <f>IF('PV IN'!$D$19="YES",'PV IN'!$E$22*BattCalcs!W120,0)</f>
        <v>0</v>
      </c>
      <c r="J120" s="33">
        <f>IF('PV IN'!$D$19="YES",'PV IN'!$E$23*BattCalcs!Y120,0)</f>
        <v>0</v>
      </c>
      <c r="K120" s="33">
        <f>BattCalcs!AF120</f>
        <v>25811.765833333331</v>
      </c>
      <c r="L120" s="33">
        <f t="shared" si="31"/>
        <v>25811.765833333331</v>
      </c>
      <c r="M120" s="33">
        <f>IF('PV IN'!$F$4="PV Only",G120,G120-SUM(H120:J120,L120))</f>
        <v>141241.6654273452</v>
      </c>
      <c r="N120" s="2">
        <f>IF(C120&lt;='PV IN'!$I$12*12,'PV IN'!$E$12*G120/1000,0)</f>
        <v>0</v>
      </c>
      <c r="O120" s="2">
        <f>IF(AND(C120&gt;'PV IN'!$I$12*12,C120&lt;='PV IN'!$I$13*12+'PV IN'!$I$12*12),'PV IN'!$E$13*PVCalcs!G120/1000,0)</f>
        <v>1836.1416505554878</v>
      </c>
      <c r="P120" s="2">
        <f>IF(AND(C120&gt;'PV IN'!$I$12*12+'PV IN'!$I$13*12,C120&lt;='PV IN'!$I$12*12+'PV IN'!$I$13*12+'PV IN'!$I$14*12),'PV IN'!$E$14*PVCalcs!G120/1000,0)</f>
        <v>0</v>
      </c>
      <c r="R120" s="10">
        <f>IF(AND('PV IN'!$D$35="YES",$C120&lt;='PV IN'!$E$35*12),-'PV IN'!$E$18*'PV IN'!$E$34/12,0)</f>
        <v>0</v>
      </c>
      <c r="S120" s="10">
        <f>IF(AND('PV IN'!$D$37="YES",$C120&lt;='PV IN'!$E$37*12),-'PV IN'!$E$18*'PV IN'!$E$36/12,0)</f>
        <v>0</v>
      </c>
      <c r="U120" s="2">
        <f t="shared" si="32"/>
        <v>11319.011370710667</v>
      </c>
      <c r="V120" s="10">
        <f>PVLoan!M147</f>
        <v>0</v>
      </c>
      <c r="W120" s="2">
        <f>IF(C120='PV IN'!$I$40,IF('PV IN'!$G$40="Non-Taxable",'PV IN'!$F$40,0),0)+IF(C120='PV IN'!$I$41,IF('PV IN'!$G$41="Non-Taxable",'PV IN'!$F$41,0),0)</f>
        <v>0</v>
      </c>
      <c r="X120" s="10"/>
      <c r="Y120" s="10">
        <f>IF('PV IN'!$E$15="Non-Taxable",SUM(N120:P120),0)</f>
        <v>1836.1416505554878</v>
      </c>
      <c r="Z120" s="10">
        <f>IF('PV IN'!$E$15="Taxable",SUM(N120:P120),0)</f>
        <v>0</v>
      </c>
      <c r="AA120" s="2">
        <f>IF(C120='PV IN'!$I$40,IF('PV IN'!$G$40="Taxable",'PV IN'!$F$40,0),0)+IF(C120='PV IN'!$I$41,IF('PV IN'!$G$41="Taxable",'PV IN'!$F$41,0),0)</f>
        <v>0</v>
      </c>
      <c r="AD120" s="10">
        <f>IF('PV IN'!$D$48="YES",-U120*'PV IN'!$E$8,0)</f>
        <v>0</v>
      </c>
      <c r="AE120" s="10">
        <f>IF('PV IN'!$N$10="Yes",-PVLoan!H148,-PVLoan!L148)</f>
        <v>0</v>
      </c>
      <c r="AF120" s="10">
        <f>IF('PV IN'!$N$10="Yes",-PVLoan!F148,0)</f>
        <v>0</v>
      </c>
      <c r="AG120" s="10">
        <f>IF(AND('PV IN'!$D$35="YES",$C120&lt;='PV IN'!$E$35*12),0,-'PV IN'!$E$18*'PV IN'!$E$34/12)</f>
        <v>-750</v>
      </c>
      <c r="AH120" s="10">
        <f>IF(AND('PV IN'!$D$37="YES",$C120&lt;='PV IN'!$E$37*12),0,-'PV IN'!$E$18*'PV IN'!$E$36/12)</f>
        <v>-625</v>
      </c>
      <c r="AI120" s="2">
        <f>IF(AND('PV IN'!$D$33="YES",PVCalcs!C120=ROUNDUP('PV IN'!$H$33*12,)),-'PV IN'!$E$33*'PV IN'!$E$18,0)</f>
        <v>0</v>
      </c>
      <c r="AK120" s="2">
        <f t="shared" si="17"/>
        <v>13155.153021266155</v>
      </c>
      <c r="AL120" s="2">
        <f t="shared" si="18"/>
        <v>-1375</v>
      </c>
      <c r="AM120" s="2">
        <f t="shared" si="22"/>
        <v>11780.153021266155</v>
      </c>
      <c r="AN120" s="43"/>
      <c r="AO120" s="2">
        <f t="shared" si="19"/>
        <v>0</v>
      </c>
      <c r="AP120" s="2">
        <f t="shared" si="23"/>
        <v>-1375</v>
      </c>
      <c r="AR120" s="2">
        <f t="shared" si="24"/>
        <v>-1375</v>
      </c>
      <c r="AS120" s="2">
        <f>-AR120*'PV IN'!$E$8</f>
        <v>288.75</v>
      </c>
      <c r="AT120" s="2">
        <f>IF('PV IN'!$F$4="Battery Only",0,AM120+AS120)</f>
        <v>12068.903021266155</v>
      </c>
      <c r="AV120" s="10">
        <f t="shared" si="25"/>
        <v>194008.43928696893</v>
      </c>
      <c r="AW120" s="2">
        <f>AT120/(1+('PV IN'!$G$9))^(C120)</f>
        <v>7530.7443832845283</v>
      </c>
      <c r="AX120" s="2">
        <f>IF(C120&lt;='PV IN'!$O$22*12,AW120+AX119,NA())</f>
        <v>-152775.21041521709</v>
      </c>
      <c r="AZ120" s="10">
        <f t="shared" si="20"/>
        <v>-1375</v>
      </c>
      <c r="BA120" s="10">
        <f t="shared" si="21"/>
        <v>1836.141650555488</v>
      </c>
      <c r="BB120" s="10">
        <f t="shared" si="26"/>
        <v>461.14165055548801</v>
      </c>
      <c r="BC120" s="10">
        <f t="shared" si="27"/>
        <v>0</v>
      </c>
      <c r="BD120" s="10">
        <f t="shared" si="28"/>
        <v>-1375</v>
      </c>
      <c r="BE120" s="2">
        <f t="shared" si="29"/>
        <v>0</v>
      </c>
      <c r="BF120" s="10">
        <f t="shared" si="30"/>
        <v>-1375</v>
      </c>
      <c r="BG120" s="2">
        <f>-BF120*'PV IN'!$E$8</f>
        <v>288.75</v>
      </c>
      <c r="BH120" s="2">
        <f>IF('PV IN'!$F$4="Battery Only",0,BB120+BG120)</f>
        <v>749.89165055548801</v>
      </c>
      <c r="BI120" s="2">
        <f>BH120/(1+('PV IN'!$G$9))^(C120)</f>
        <v>467.91678792529154</v>
      </c>
    </row>
    <row r="121" spans="2:61" x14ac:dyDescent="0.25">
      <c r="C121">
        <v>117</v>
      </c>
      <c r="D121" s="16">
        <f>D120*(1+('PV IN'!$G$6/12))</f>
        <v>7.5999999999999998E-2</v>
      </c>
      <c r="E121" s="16">
        <f>LkUP!$U$30</f>
        <v>8.0139322461707824E-2</v>
      </c>
      <c r="F121" s="16">
        <f>IF('PV IN'!$D$7="Table",E121,D121)</f>
        <v>8.0139322461707824E-2</v>
      </c>
      <c r="G121" s="33">
        <f>('PV IN'!$E$25*'PV IN'!$E$18/12)*(1-(1-'PV IN'!$E$27)/(25*12))^C120</f>
        <v>141147.50431706029</v>
      </c>
      <c r="H121" s="33">
        <f>IF('PV IN'!$D$19="YES",G121*'PV IN'!$E$21,0)</f>
        <v>0</v>
      </c>
      <c r="I121" s="33">
        <f>IF('PV IN'!$D$19="YES",'PV IN'!$E$22*BattCalcs!W121,0)</f>
        <v>0</v>
      </c>
      <c r="J121" s="33">
        <f>IF('PV IN'!$D$19="YES",'PV IN'!$E$23*BattCalcs!Y121,0)</f>
        <v>0</v>
      </c>
      <c r="K121" s="33">
        <f>BattCalcs!AF121</f>
        <v>25811.765833333331</v>
      </c>
      <c r="L121" s="33">
        <f t="shared" si="31"/>
        <v>25811.765833333331</v>
      </c>
      <c r="M121" s="33">
        <f>IF('PV IN'!$F$4="PV Only",G121,G121-SUM(H121:J121,L121))</f>
        <v>141147.50431706029</v>
      </c>
      <c r="N121" s="2">
        <f>IF(C121&lt;='PV IN'!$I$12*12,'PV IN'!$E$12*G121/1000,0)</f>
        <v>0</v>
      </c>
      <c r="O121" s="2">
        <f>IF(AND(C121&gt;'PV IN'!$I$12*12,C121&lt;='PV IN'!$I$13*12+'PV IN'!$I$12*12),'PV IN'!$E$13*PVCalcs!G121/1000,0)</f>
        <v>1834.9175561217837</v>
      </c>
      <c r="P121" s="2">
        <f>IF(AND(C121&gt;'PV IN'!$I$12*12+'PV IN'!$I$13*12,C121&lt;='PV IN'!$I$12*12+'PV IN'!$I$13*12+'PV IN'!$I$14*12),'PV IN'!$E$14*PVCalcs!G121/1000,0)</f>
        <v>0</v>
      </c>
      <c r="R121" s="10">
        <f>IF(AND('PV IN'!$D$35="YES",$C121&lt;='PV IN'!$E$35*12),-'PV IN'!$E$18*'PV IN'!$E$34/12,0)</f>
        <v>0</v>
      </c>
      <c r="S121" s="10">
        <f>IF(AND('PV IN'!$D$37="YES",$C121&lt;='PV IN'!$E$37*12),-'PV IN'!$E$18*'PV IN'!$E$36/12,0)</f>
        <v>0</v>
      </c>
      <c r="U121" s="2">
        <f t="shared" si="32"/>
        <v>11311.465363130192</v>
      </c>
      <c r="V121" s="10">
        <f>PVLoan!M148</f>
        <v>0</v>
      </c>
      <c r="W121" s="2">
        <f>IF(C121='PV IN'!$I$40,IF('PV IN'!$G$40="Non-Taxable",'PV IN'!$F$40,0),0)+IF(C121='PV IN'!$I$41,IF('PV IN'!$G$41="Non-Taxable",'PV IN'!$F$41,0),0)</f>
        <v>0</v>
      </c>
      <c r="X121" s="10"/>
      <c r="Y121" s="10">
        <f>IF('PV IN'!$E$15="Non-Taxable",SUM(N121:P121),0)</f>
        <v>1834.9175561217837</v>
      </c>
      <c r="Z121" s="10">
        <f>IF('PV IN'!$E$15="Taxable",SUM(N121:P121),0)</f>
        <v>0</v>
      </c>
      <c r="AA121" s="2">
        <f>IF(C121='PV IN'!$I$40,IF('PV IN'!$G$40="Taxable",'PV IN'!$F$40,0),0)+IF(C121='PV IN'!$I$41,IF('PV IN'!$G$41="Taxable",'PV IN'!$F$41,0),0)</f>
        <v>0</v>
      </c>
      <c r="AD121" s="10">
        <f>IF('PV IN'!$D$48="YES",-U121*'PV IN'!$E$8,0)</f>
        <v>0</v>
      </c>
      <c r="AE121" s="10">
        <f>IF('PV IN'!$N$10="Yes",-PVLoan!H149,-PVLoan!L149)</f>
        <v>0</v>
      </c>
      <c r="AF121" s="10">
        <f>IF('PV IN'!$N$10="Yes",-PVLoan!F149,0)</f>
        <v>0</v>
      </c>
      <c r="AG121" s="10">
        <f>IF(AND('PV IN'!$D$35="YES",$C121&lt;='PV IN'!$E$35*12),0,-'PV IN'!$E$18*'PV IN'!$E$34/12)</f>
        <v>-750</v>
      </c>
      <c r="AH121" s="10">
        <f>IF(AND('PV IN'!$D$37="YES",$C121&lt;='PV IN'!$E$37*12),0,-'PV IN'!$E$18*'PV IN'!$E$36/12)</f>
        <v>-625</v>
      </c>
      <c r="AI121" s="2">
        <f>IF(AND('PV IN'!$D$33="YES",PVCalcs!C121=ROUNDUP('PV IN'!$H$33*12,)),-'PV IN'!$E$33*'PV IN'!$E$18,0)</f>
        <v>0</v>
      </c>
      <c r="AK121" s="2">
        <f t="shared" si="17"/>
        <v>13146.382919251975</v>
      </c>
      <c r="AL121" s="2">
        <f t="shared" si="18"/>
        <v>-1375</v>
      </c>
      <c r="AM121" s="2">
        <f t="shared" si="22"/>
        <v>11771.382919251975</v>
      </c>
      <c r="AN121" s="43"/>
      <c r="AO121" s="2">
        <f t="shared" si="19"/>
        <v>0</v>
      </c>
      <c r="AP121" s="2">
        <f t="shared" si="23"/>
        <v>-1375</v>
      </c>
      <c r="AR121" s="2">
        <f t="shared" si="24"/>
        <v>-1375</v>
      </c>
      <c r="AS121" s="2">
        <f>-AR121*'PV IN'!$E$8</f>
        <v>288.75</v>
      </c>
      <c r="AT121" s="2">
        <f>IF('PV IN'!$F$4="Battery Only",0,AM121+AS121)</f>
        <v>12060.132919251975</v>
      </c>
      <c r="AV121" s="10">
        <f t="shared" si="25"/>
        <v>206068.57220622091</v>
      </c>
      <c r="AW121" s="2">
        <f>AT121/(1+('PV IN'!$G$9))^(C121)</f>
        <v>7494.7375336577234</v>
      </c>
      <c r="AX121" s="2">
        <f>IF(C121&lt;='PV IN'!$O$22*12,AW121+AX120,NA())</f>
        <v>-145280.47288155937</v>
      </c>
      <c r="AZ121" s="10">
        <f t="shared" si="20"/>
        <v>-1375</v>
      </c>
      <c r="BA121" s="10">
        <f t="shared" si="21"/>
        <v>1834.9175561217835</v>
      </c>
      <c r="BB121" s="10">
        <f t="shared" si="26"/>
        <v>459.91755612178349</v>
      </c>
      <c r="BC121" s="10">
        <f t="shared" si="27"/>
        <v>0</v>
      </c>
      <c r="BD121" s="10">
        <f t="shared" si="28"/>
        <v>-1375</v>
      </c>
      <c r="BE121" s="2">
        <f t="shared" si="29"/>
        <v>0</v>
      </c>
      <c r="BF121" s="10">
        <f t="shared" si="30"/>
        <v>-1375</v>
      </c>
      <c r="BG121" s="2">
        <f>-BF121*'PV IN'!$E$8</f>
        <v>288.75</v>
      </c>
      <c r="BH121" s="2">
        <f>IF('PV IN'!$F$4="Battery Only",0,BB121+BG121)</f>
        <v>748.66755612178349</v>
      </c>
      <c r="BI121" s="2">
        <f>BH121/(1+('PV IN'!$G$9))^(C121)</f>
        <v>465.25746197544851</v>
      </c>
    </row>
    <row r="122" spans="2:61" x14ac:dyDescent="0.25">
      <c r="C122">
        <v>118</v>
      </c>
      <c r="D122" s="16">
        <f>D121*(1+('PV IN'!$G$6/12))</f>
        <v>7.5999999999999998E-2</v>
      </c>
      <c r="E122" s="16">
        <f>LkUP!$U$30</f>
        <v>8.0139322461707824E-2</v>
      </c>
      <c r="F122" s="16">
        <f>IF('PV IN'!$D$7="Table",E122,D122)</f>
        <v>8.0139322461707824E-2</v>
      </c>
      <c r="G122" s="33">
        <f>('PV IN'!$E$25*'PV IN'!$E$18/12)*(1-(1-'PV IN'!$E$27)/(25*12))^C121</f>
        <v>141053.40598084891</v>
      </c>
      <c r="H122" s="33">
        <f>IF('PV IN'!$D$19="YES",G122*'PV IN'!$E$21,0)</f>
        <v>0</v>
      </c>
      <c r="I122" s="33">
        <f>IF('PV IN'!$D$19="YES",'PV IN'!$E$22*BattCalcs!W122,0)</f>
        <v>0</v>
      </c>
      <c r="J122" s="33">
        <f>IF('PV IN'!$D$19="YES",'PV IN'!$E$23*BattCalcs!Y122,0)</f>
        <v>0</v>
      </c>
      <c r="K122" s="33">
        <f>BattCalcs!AF122</f>
        <v>25811.765833333331</v>
      </c>
      <c r="L122" s="33">
        <f t="shared" si="31"/>
        <v>25811.765833333331</v>
      </c>
      <c r="M122" s="33">
        <f>IF('PV IN'!$F$4="PV Only",G122,G122-SUM(H122:J122,L122))</f>
        <v>141053.40598084891</v>
      </c>
      <c r="N122" s="2">
        <f>IF(C122&lt;='PV IN'!$I$12*12,'PV IN'!$E$12*G122/1000,0)</f>
        <v>0</v>
      </c>
      <c r="O122" s="2">
        <f>IF(AND(C122&gt;'PV IN'!$I$12*12,C122&lt;='PV IN'!$I$13*12+'PV IN'!$I$12*12),'PV IN'!$E$13*PVCalcs!G122/1000,0)</f>
        <v>1833.6942777510358</v>
      </c>
      <c r="P122" s="2">
        <f>IF(AND(C122&gt;'PV IN'!$I$12*12+'PV IN'!$I$13*12,C122&lt;='PV IN'!$I$12*12+'PV IN'!$I$13*12+'PV IN'!$I$14*12),'PV IN'!$E$14*PVCalcs!G122/1000,0)</f>
        <v>0</v>
      </c>
      <c r="R122" s="10">
        <f>IF(AND('PV IN'!$D$35="YES",$C122&lt;='PV IN'!$E$35*12),-'PV IN'!$E$18*'PV IN'!$E$34/12,0)</f>
        <v>0</v>
      </c>
      <c r="S122" s="10">
        <f>IF(AND('PV IN'!$D$37="YES",$C122&lt;='PV IN'!$E$37*12),-'PV IN'!$E$18*'PV IN'!$E$36/12,0)</f>
        <v>0</v>
      </c>
      <c r="U122" s="2">
        <f t="shared" si="32"/>
        <v>11303.924386221437</v>
      </c>
      <c r="V122" s="10">
        <f>PVLoan!M149</f>
        <v>0</v>
      </c>
      <c r="W122" s="2">
        <f>IF(C122='PV IN'!$I$40,IF('PV IN'!$G$40="Non-Taxable",'PV IN'!$F$40,0),0)+IF(C122='PV IN'!$I$41,IF('PV IN'!$G$41="Non-Taxable",'PV IN'!$F$41,0),0)</f>
        <v>0</v>
      </c>
      <c r="X122" s="10"/>
      <c r="Y122" s="10">
        <f>IF('PV IN'!$E$15="Non-Taxable",SUM(N122:P122),0)</f>
        <v>1833.6942777510358</v>
      </c>
      <c r="Z122" s="10">
        <f>IF('PV IN'!$E$15="Taxable",SUM(N122:P122),0)</f>
        <v>0</v>
      </c>
      <c r="AA122" s="2">
        <f>IF(C122='PV IN'!$I$40,IF('PV IN'!$G$40="Taxable",'PV IN'!$F$40,0),0)+IF(C122='PV IN'!$I$41,IF('PV IN'!$G$41="Taxable",'PV IN'!$F$41,0),0)</f>
        <v>0</v>
      </c>
      <c r="AD122" s="10">
        <f>IF('PV IN'!$D$48="YES",-U122*'PV IN'!$E$8,0)</f>
        <v>0</v>
      </c>
      <c r="AE122" s="10">
        <f>IF('PV IN'!$N$10="Yes",-PVLoan!H150,-PVLoan!L150)</f>
        <v>0</v>
      </c>
      <c r="AF122" s="10">
        <f>IF('PV IN'!$N$10="Yes",-PVLoan!F150,0)</f>
        <v>0</v>
      </c>
      <c r="AG122" s="10">
        <f>IF(AND('PV IN'!$D$35="YES",$C122&lt;='PV IN'!$E$35*12),0,-'PV IN'!$E$18*'PV IN'!$E$34/12)</f>
        <v>-750</v>
      </c>
      <c r="AH122" s="10">
        <f>IF(AND('PV IN'!$D$37="YES",$C122&lt;='PV IN'!$E$37*12),0,-'PV IN'!$E$18*'PV IN'!$E$36/12)</f>
        <v>-625</v>
      </c>
      <c r="AI122" s="2">
        <f>IF(AND('PV IN'!$D$33="YES",PVCalcs!C122=ROUNDUP('PV IN'!$H$33*12,)),-'PV IN'!$E$33*'PV IN'!$E$18,0)</f>
        <v>0</v>
      </c>
      <c r="AK122" s="2">
        <f t="shared" si="17"/>
        <v>13137.618663972473</v>
      </c>
      <c r="AL122" s="2">
        <f t="shared" si="18"/>
        <v>-1375</v>
      </c>
      <c r="AM122" s="2">
        <f t="shared" si="22"/>
        <v>11762.618663972473</v>
      </c>
      <c r="AN122" s="43"/>
      <c r="AO122" s="2">
        <f t="shared" si="19"/>
        <v>0</v>
      </c>
      <c r="AP122" s="2">
        <f t="shared" si="23"/>
        <v>-1375</v>
      </c>
      <c r="AR122" s="2">
        <f t="shared" si="24"/>
        <v>-1375</v>
      </c>
      <c r="AS122" s="2">
        <f>-AR122*'PV IN'!$E$8</f>
        <v>288.75</v>
      </c>
      <c r="AT122" s="2">
        <f>IF('PV IN'!$F$4="Battery Only",0,AM122+AS122)</f>
        <v>12051.368663972473</v>
      </c>
      <c r="AV122" s="10">
        <f t="shared" si="25"/>
        <v>218119.94087019339</v>
      </c>
      <c r="AW122" s="2">
        <f>AT122/(1+('PV IN'!$G$9))^(C122)</f>
        <v>7458.9025183692402</v>
      </c>
      <c r="AX122" s="2">
        <f>IF(C122&lt;='PV IN'!$O$22*12,AW122+AX121,NA())</f>
        <v>-137821.57036319014</v>
      </c>
      <c r="AZ122" s="10">
        <f t="shared" si="20"/>
        <v>-1375</v>
      </c>
      <c r="BA122" s="10">
        <f t="shared" si="21"/>
        <v>1833.6942777510358</v>
      </c>
      <c r="BB122" s="10">
        <f t="shared" si="26"/>
        <v>458.69427775103577</v>
      </c>
      <c r="BC122" s="10">
        <f t="shared" si="27"/>
        <v>0</v>
      </c>
      <c r="BD122" s="10">
        <f t="shared" si="28"/>
        <v>-1375</v>
      </c>
      <c r="BE122" s="2">
        <f t="shared" si="29"/>
        <v>0</v>
      </c>
      <c r="BF122" s="10">
        <f t="shared" si="30"/>
        <v>-1375</v>
      </c>
      <c r="BG122" s="2">
        <f>-BF122*'PV IN'!$E$8</f>
        <v>288.75</v>
      </c>
      <c r="BH122" s="2">
        <f>IF('PV IN'!$F$4="Battery Only",0,BB122+BG122)</f>
        <v>747.44427775103577</v>
      </c>
      <c r="BI122" s="2">
        <f>BH122/(1+('PV IN'!$G$9))^(C122)</f>
        <v>462.61251822165752</v>
      </c>
    </row>
    <row r="123" spans="2:61" x14ac:dyDescent="0.25">
      <c r="C123">
        <v>119</v>
      </c>
      <c r="D123" s="16">
        <f>D122*(1+('PV IN'!$G$6/12))</f>
        <v>7.5999999999999998E-2</v>
      </c>
      <c r="E123" s="16">
        <f>LkUP!$U$30</f>
        <v>8.0139322461707824E-2</v>
      </c>
      <c r="F123" s="16">
        <f>IF('PV IN'!$D$7="Table",E123,D123)</f>
        <v>8.0139322461707824E-2</v>
      </c>
      <c r="G123" s="33">
        <f>('PV IN'!$E$25*'PV IN'!$E$18/12)*(1-(1-'PV IN'!$E$27)/(25*12))^C122</f>
        <v>140959.37037686168</v>
      </c>
      <c r="H123" s="33">
        <f>IF('PV IN'!$D$19="YES",G123*'PV IN'!$E$21,0)</f>
        <v>0</v>
      </c>
      <c r="I123" s="33">
        <f>IF('PV IN'!$D$19="YES",'PV IN'!$E$22*BattCalcs!W123,0)</f>
        <v>0</v>
      </c>
      <c r="J123" s="33">
        <f>IF('PV IN'!$D$19="YES",'PV IN'!$E$23*BattCalcs!Y123,0)</f>
        <v>0</v>
      </c>
      <c r="K123" s="33">
        <f>BattCalcs!AF123</f>
        <v>25811.765833333331</v>
      </c>
      <c r="L123" s="33">
        <f t="shared" si="31"/>
        <v>25811.765833333331</v>
      </c>
      <c r="M123" s="33">
        <f>IF('PV IN'!$F$4="PV Only",G123,G123-SUM(H123:J123,L123))</f>
        <v>140959.37037686168</v>
      </c>
      <c r="N123" s="2">
        <f>IF(C123&lt;='PV IN'!$I$12*12,'PV IN'!$E$12*G123/1000,0)</f>
        <v>0</v>
      </c>
      <c r="O123" s="2">
        <f>IF(AND(C123&gt;'PV IN'!$I$12*12,C123&lt;='PV IN'!$I$13*12+'PV IN'!$I$12*12),'PV IN'!$E$13*PVCalcs!G123/1000,0)</f>
        <v>1832.4718148992019</v>
      </c>
      <c r="P123" s="2">
        <f>IF(AND(C123&gt;'PV IN'!$I$12*12+'PV IN'!$I$13*12,C123&lt;='PV IN'!$I$12*12+'PV IN'!$I$13*12+'PV IN'!$I$14*12),'PV IN'!$E$14*PVCalcs!G123/1000,0)</f>
        <v>0</v>
      </c>
      <c r="R123" s="10">
        <f>IF(AND('PV IN'!$D$35="YES",$C123&lt;='PV IN'!$E$35*12),-'PV IN'!$E$18*'PV IN'!$E$34/12,0)</f>
        <v>0</v>
      </c>
      <c r="S123" s="10">
        <f>IF(AND('PV IN'!$D$37="YES",$C123&lt;='PV IN'!$E$37*12),-'PV IN'!$E$18*'PV IN'!$E$36/12,0)</f>
        <v>0</v>
      </c>
      <c r="U123" s="2">
        <f t="shared" si="32"/>
        <v>11296.388436630625</v>
      </c>
      <c r="V123" s="10">
        <f>PVLoan!M150</f>
        <v>0</v>
      </c>
      <c r="W123" s="2">
        <f>IF(C123='PV IN'!$I$40,IF('PV IN'!$G$40="Non-Taxable",'PV IN'!$F$40,0),0)+IF(C123='PV IN'!$I$41,IF('PV IN'!$G$41="Non-Taxable",'PV IN'!$F$41,0),0)</f>
        <v>0</v>
      </c>
      <c r="X123" s="10"/>
      <c r="Y123" s="10">
        <f>IF('PV IN'!$E$15="Non-Taxable",SUM(N123:P123),0)</f>
        <v>1832.4718148992019</v>
      </c>
      <c r="Z123" s="10">
        <f>IF('PV IN'!$E$15="Taxable",SUM(N123:P123),0)</f>
        <v>0</v>
      </c>
      <c r="AA123" s="2">
        <f>IF(C123='PV IN'!$I$40,IF('PV IN'!$G$40="Taxable",'PV IN'!$F$40,0),0)+IF(C123='PV IN'!$I$41,IF('PV IN'!$G$41="Taxable",'PV IN'!$F$41,0),0)</f>
        <v>0</v>
      </c>
      <c r="AD123" s="10">
        <f>IF('PV IN'!$D$48="YES",-U123*'PV IN'!$E$8,0)</f>
        <v>0</v>
      </c>
      <c r="AE123" s="10">
        <f>IF('PV IN'!$N$10="Yes",-PVLoan!H151,-PVLoan!L151)</f>
        <v>0</v>
      </c>
      <c r="AF123" s="10">
        <f>IF('PV IN'!$N$10="Yes",-PVLoan!F151,0)</f>
        <v>0</v>
      </c>
      <c r="AG123" s="10">
        <f>IF(AND('PV IN'!$D$35="YES",$C123&lt;='PV IN'!$E$35*12),0,-'PV IN'!$E$18*'PV IN'!$E$34/12)</f>
        <v>-750</v>
      </c>
      <c r="AH123" s="10">
        <f>IF(AND('PV IN'!$D$37="YES",$C123&lt;='PV IN'!$E$37*12),0,-'PV IN'!$E$18*'PV IN'!$E$36/12)</f>
        <v>-625</v>
      </c>
      <c r="AI123" s="2">
        <f>IF(AND('PV IN'!$D$33="YES",PVCalcs!C123=ROUNDUP('PV IN'!$H$33*12,)),-'PV IN'!$E$33*'PV IN'!$E$18,0)</f>
        <v>0</v>
      </c>
      <c r="AK123" s="2">
        <f t="shared" si="17"/>
        <v>13128.860251529826</v>
      </c>
      <c r="AL123" s="2">
        <f t="shared" si="18"/>
        <v>-1375</v>
      </c>
      <c r="AM123" s="2">
        <f t="shared" si="22"/>
        <v>11753.860251529826</v>
      </c>
      <c r="AN123" s="43"/>
      <c r="AO123" s="2">
        <f t="shared" si="19"/>
        <v>0</v>
      </c>
      <c r="AP123" s="2">
        <f t="shared" si="23"/>
        <v>-1375</v>
      </c>
      <c r="AR123" s="2">
        <f t="shared" si="24"/>
        <v>-1375</v>
      </c>
      <c r="AS123" s="2">
        <f>-AR123*'PV IN'!$E$8</f>
        <v>288.75</v>
      </c>
      <c r="AT123" s="2">
        <f>IF('PV IN'!$F$4="Battery Only",0,AM123+AS123)</f>
        <v>12042.610251529826</v>
      </c>
      <c r="AV123" s="10">
        <f t="shared" si="25"/>
        <v>230162.5511217232</v>
      </c>
      <c r="AW123" s="2">
        <f>AT123/(1+('PV IN'!$G$9))^(C123)</f>
        <v>7423.2385186845877</v>
      </c>
      <c r="AX123" s="2">
        <f>IF(C123&lt;='PV IN'!$O$22*12,AW123+AX122,NA())</f>
        <v>-130398.33184450555</v>
      </c>
      <c r="AZ123" s="10">
        <f t="shared" si="20"/>
        <v>-1375</v>
      </c>
      <c r="BA123" s="10">
        <f t="shared" si="21"/>
        <v>1832.4718148992015</v>
      </c>
      <c r="BB123" s="10">
        <f t="shared" si="26"/>
        <v>457.47181489920149</v>
      </c>
      <c r="BC123" s="10">
        <f t="shared" si="27"/>
        <v>0</v>
      </c>
      <c r="BD123" s="10">
        <f t="shared" si="28"/>
        <v>-1375</v>
      </c>
      <c r="BE123" s="2">
        <f t="shared" si="29"/>
        <v>0</v>
      </c>
      <c r="BF123" s="10">
        <f t="shared" si="30"/>
        <v>-1375</v>
      </c>
      <c r="BG123" s="2">
        <f>-BF123*'PV IN'!$E$8</f>
        <v>288.75</v>
      </c>
      <c r="BH123" s="2">
        <f>IF('PV IN'!$F$4="Battery Only",0,BB123+BG123)</f>
        <v>746.22181489920149</v>
      </c>
      <c r="BI123" s="2">
        <f>BH123/(1+('PV IN'!$G$9))^(C123)</f>
        <v>459.98188134825511</v>
      </c>
    </row>
    <row r="124" spans="2:61" x14ac:dyDescent="0.25">
      <c r="B124">
        <v>10</v>
      </c>
      <c r="C124">
        <v>120</v>
      </c>
      <c r="D124" s="16">
        <f>D123*(1+('PV IN'!$G$6/12))</f>
        <v>7.5999999999999998E-2</v>
      </c>
      <c r="E124" s="16">
        <f>LkUP!$U$30</f>
        <v>8.0139322461707824E-2</v>
      </c>
      <c r="F124" s="16">
        <f>IF('PV IN'!$D$7="Table",E124,D124)</f>
        <v>8.0139322461707824E-2</v>
      </c>
      <c r="G124" s="33">
        <f>('PV IN'!$E$25*'PV IN'!$E$18/12)*(1-(1-'PV IN'!$E$27)/(25*12))^C123</f>
        <v>140865.3974632771</v>
      </c>
      <c r="H124" s="33">
        <f>IF('PV IN'!$D$19="YES",G124*'PV IN'!$E$21,0)</f>
        <v>0</v>
      </c>
      <c r="I124" s="33">
        <f>IF('PV IN'!$D$19="YES",'PV IN'!$E$22*BattCalcs!W124,0)</f>
        <v>0</v>
      </c>
      <c r="J124" s="33">
        <f>IF('PV IN'!$D$19="YES",'PV IN'!$E$23*BattCalcs!Y124,0)</f>
        <v>0</v>
      </c>
      <c r="K124" s="33">
        <f>BattCalcs!AF124</f>
        <v>25811.765833333331</v>
      </c>
      <c r="L124" s="33">
        <f t="shared" si="31"/>
        <v>25811.765833333331</v>
      </c>
      <c r="M124" s="33">
        <f>IF('PV IN'!$F$4="PV Only",G124,G124-SUM(H124:J124,L124))</f>
        <v>140865.3974632771</v>
      </c>
      <c r="N124" s="2">
        <f>IF(C124&lt;='PV IN'!$I$12*12,'PV IN'!$E$12*G124/1000,0)</f>
        <v>0</v>
      </c>
      <c r="O124" s="2">
        <f>IF(AND(C124&gt;'PV IN'!$I$12*12,C124&lt;='PV IN'!$I$13*12+'PV IN'!$I$12*12),'PV IN'!$E$13*PVCalcs!G124/1000,0)</f>
        <v>1831.2501670226022</v>
      </c>
      <c r="P124" s="2">
        <f>IF(AND(C124&gt;'PV IN'!$I$12*12+'PV IN'!$I$13*12,C124&lt;='PV IN'!$I$12*12+'PV IN'!$I$13*12+'PV IN'!$I$14*12),'PV IN'!$E$14*PVCalcs!G124/1000,0)</f>
        <v>0</v>
      </c>
      <c r="R124" s="10">
        <f>IF(AND('PV IN'!$D$35="YES",$C124&lt;='PV IN'!$E$35*12),-'PV IN'!$E$18*'PV IN'!$E$34/12,0)</f>
        <v>0</v>
      </c>
      <c r="S124" s="10">
        <f>IF(AND('PV IN'!$D$37="YES",$C124&lt;='PV IN'!$E$37*12),-'PV IN'!$E$18*'PV IN'!$E$36/12,0)</f>
        <v>0</v>
      </c>
      <c r="U124" s="2">
        <f t="shared" si="32"/>
        <v>11288.857511006203</v>
      </c>
      <c r="V124" s="10">
        <f>PVLoan!M151</f>
        <v>0</v>
      </c>
      <c r="W124" s="2">
        <f>IF(C124='PV IN'!$I$40,IF('PV IN'!$G$40="Non-Taxable",'PV IN'!$F$40,0),0)+IF(C124='PV IN'!$I$41,IF('PV IN'!$G$41="Non-Taxable",'PV IN'!$F$41,0),0)</f>
        <v>0</v>
      </c>
      <c r="X124" s="10"/>
      <c r="Y124" s="10">
        <f>IF('PV IN'!$E$15="Non-Taxable",SUM(N124:P124),0)</f>
        <v>1831.2501670226022</v>
      </c>
      <c r="Z124" s="10">
        <f>IF('PV IN'!$E$15="Taxable",SUM(N124:P124),0)</f>
        <v>0</v>
      </c>
      <c r="AA124" s="2">
        <f>IF(C124='PV IN'!$I$40,IF('PV IN'!$G$40="Taxable",'PV IN'!$F$40,0),0)+IF(C124='PV IN'!$I$41,IF('PV IN'!$G$41="Taxable",'PV IN'!$F$41,0),0)</f>
        <v>0</v>
      </c>
      <c r="AD124" s="10">
        <f>IF('PV IN'!$D$48="YES",-U124*'PV IN'!$E$8,0)</f>
        <v>0</v>
      </c>
      <c r="AE124" s="10">
        <f>IF('PV IN'!$N$10="Yes",-PVLoan!H152,-PVLoan!L152)</f>
        <v>0</v>
      </c>
      <c r="AF124" s="10">
        <f>IF('PV IN'!$N$10="Yes",-PVLoan!F152,0)</f>
        <v>0</v>
      </c>
      <c r="AG124" s="10">
        <f>IF(AND('PV IN'!$D$35="YES",$C124&lt;='PV IN'!$E$35*12),0,-'PV IN'!$E$18*'PV IN'!$E$34/12)</f>
        <v>-750</v>
      </c>
      <c r="AH124" s="10">
        <f>IF(AND('PV IN'!$D$37="YES",$C124&lt;='PV IN'!$E$37*12),0,-'PV IN'!$E$18*'PV IN'!$E$36/12)</f>
        <v>-625</v>
      </c>
      <c r="AI124" s="2">
        <f>IF(AND('PV IN'!$D$33="YES",PVCalcs!C124=ROUNDUP('PV IN'!$H$33*12,)),-'PV IN'!$E$33*'PV IN'!$E$18,0)</f>
        <v>0</v>
      </c>
      <c r="AK124" s="2">
        <f t="shared" si="17"/>
        <v>13120.107678028806</v>
      </c>
      <c r="AL124" s="2">
        <f t="shared" si="18"/>
        <v>-1375</v>
      </c>
      <c r="AM124" s="2">
        <f t="shared" si="22"/>
        <v>11745.107678028806</v>
      </c>
      <c r="AN124" s="43"/>
      <c r="AO124" s="2">
        <f t="shared" si="19"/>
        <v>0</v>
      </c>
      <c r="AP124" s="2">
        <f t="shared" si="23"/>
        <v>-1375</v>
      </c>
      <c r="AR124" s="2">
        <f t="shared" si="24"/>
        <v>-1375</v>
      </c>
      <c r="AS124" s="2">
        <f>-AR124*'PV IN'!$E$8</f>
        <v>288.75</v>
      </c>
      <c r="AT124" s="2">
        <f>IF('PV IN'!$F$4="Battery Only",0,AM124+AS124)</f>
        <v>12033.857678028806</v>
      </c>
      <c r="AV124" s="10">
        <f t="shared" si="25"/>
        <v>242196.40879975201</v>
      </c>
      <c r="AW124" s="2">
        <f>AT124/(1+('PV IN'!$G$9))^(C124)</f>
        <v>7387.744719765029</v>
      </c>
      <c r="AX124" s="2">
        <f>IF(C124&lt;='PV IN'!$O$22*12,AW124+AX123,NA())</f>
        <v>-123010.58712474052</v>
      </c>
      <c r="AZ124" s="10">
        <f t="shared" si="20"/>
        <v>-1375</v>
      </c>
      <c r="BA124" s="10">
        <f t="shared" si="21"/>
        <v>1831.2501670226029</v>
      </c>
      <c r="BB124" s="10">
        <f t="shared" si="26"/>
        <v>456.25016702260291</v>
      </c>
      <c r="BC124" s="10">
        <f t="shared" si="27"/>
        <v>0</v>
      </c>
      <c r="BD124" s="10">
        <f t="shared" si="28"/>
        <v>-1375</v>
      </c>
      <c r="BE124" s="2">
        <f t="shared" si="29"/>
        <v>0</v>
      </c>
      <c r="BF124" s="10">
        <f t="shared" si="30"/>
        <v>-1375</v>
      </c>
      <c r="BG124" s="2">
        <f>-BF124*'PV IN'!$E$8</f>
        <v>288.75</v>
      </c>
      <c r="BH124" s="2">
        <f>IF('PV IN'!$F$4="Battery Only",0,BB124+BG124)</f>
        <v>745.00016702260291</v>
      </c>
      <c r="BI124" s="2">
        <f>BH124/(1+('PV IN'!$G$9))^(C124)</f>
        <v>457.36547642525016</v>
      </c>
    </row>
    <row r="125" spans="2:61" x14ac:dyDescent="0.25">
      <c r="C125">
        <v>121</v>
      </c>
      <c r="D125" s="16">
        <f>D124*(1+('PV IN'!$G$6/12))</f>
        <v>7.5999999999999998E-2</v>
      </c>
      <c r="E125" s="16">
        <f>LkUP!$U$31</f>
        <v>8.0758328633592641E-2</v>
      </c>
      <c r="F125" s="16">
        <f>IF('PV IN'!$D$7="Table",E125,D125)</f>
        <v>8.0758328633592641E-2</v>
      </c>
      <c r="G125" s="33">
        <f>('PV IN'!$E$25*'PV IN'!$E$18/12)*(1-(1-'PV IN'!$E$27)/(25*12))^C124</f>
        <v>140771.48719830159</v>
      </c>
      <c r="H125" s="33">
        <f>IF('PV IN'!$D$19="YES",G125*'PV IN'!$E$21,0)</f>
        <v>0</v>
      </c>
      <c r="I125" s="33">
        <f>IF('PV IN'!$D$19="YES",'PV IN'!$E$22*BattCalcs!W125,0)</f>
        <v>0</v>
      </c>
      <c r="J125" s="33">
        <f>IF('PV IN'!$D$19="YES",'PV IN'!$E$23*BattCalcs!Y125,0)</f>
        <v>0</v>
      </c>
      <c r="K125" s="33">
        <f>BattCalcs!AF125</f>
        <v>25811.765833333331</v>
      </c>
      <c r="L125" s="33">
        <f t="shared" si="31"/>
        <v>25811.765833333331</v>
      </c>
      <c r="M125" s="33">
        <f>IF('PV IN'!$F$4="PV Only",G125,G125-SUM(H125:J125,L125))</f>
        <v>140771.48719830159</v>
      </c>
      <c r="N125" s="2">
        <f>IF(C125&lt;='PV IN'!$I$12*12,'PV IN'!$E$12*G125/1000,0)</f>
        <v>0</v>
      </c>
      <c r="O125" s="2">
        <f>IF(AND(C125&gt;'PV IN'!$I$12*12,C125&lt;='PV IN'!$I$13*12+'PV IN'!$I$12*12),'PV IN'!$E$13*PVCalcs!G125/1000,0)</f>
        <v>0</v>
      </c>
      <c r="P125" s="2">
        <f>IF(AND(C125&gt;'PV IN'!$I$12*12+'PV IN'!$I$13*12,C125&lt;='PV IN'!$I$12*12+'PV IN'!$I$13*12+'PV IN'!$I$14*12),'PV IN'!$E$14*PVCalcs!G125/1000,0)</f>
        <v>1830.0293335779206</v>
      </c>
      <c r="R125" s="10">
        <f>IF(AND('PV IN'!$D$35="YES",$C125&lt;='PV IN'!$E$35*12),-'PV IN'!$E$18*'PV IN'!$E$34/12,0)</f>
        <v>0</v>
      </c>
      <c r="S125" s="10">
        <f>IF(AND('PV IN'!$D$37="YES",$C125&lt;='PV IN'!$E$37*12),-'PV IN'!$E$18*'PV IN'!$E$36/12,0)</f>
        <v>0</v>
      </c>
      <c r="U125" s="2">
        <f t="shared" si="32"/>
        <v>11368.47002540002</v>
      </c>
      <c r="V125" s="10">
        <f>PVLoan!M152</f>
        <v>0</v>
      </c>
      <c r="W125" s="2">
        <f>IF(C125='PV IN'!$I$40,IF('PV IN'!$G$40="Non-Taxable",'PV IN'!$F$40,0),0)+IF(C125='PV IN'!$I$41,IF('PV IN'!$G$41="Non-Taxable",'PV IN'!$F$41,0),0)</f>
        <v>0</v>
      </c>
      <c r="X125" s="10"/>
      <c r="Y125" s="10">
        <f>IF('PV IN'!$E$15="Non-Taxable",SUM(N125:P125),0)</f>
        <v>1830.0293335779206</v>
      </c>
      <c r="Z125" s="10">
        <f>IF('PV IN'!$E$15="Taxable",SUM(N125:P125),0)</f>
        <v>0</v>
      </c>
      <c r="AA125" s="2">
        <f>IF(C125='PV IN'!$I$40,IF('PV IN'!$G$40="Taxable",'PV IN'!$F$40,0),0)+IF(C125='PV IN'!$I$41,IF('PV IN'!$G$41="Taxable",'PV IN'!$F$41,0),0)</f>
        <v>0</v>
      </c>
      <c r="AD125" s="10">
        <f>IF('PV IN'!$D$48="YES",-U125*'PV IN'!$E$8,0)</f>
        <v>0</v>
      </c>
      <c r="AE125" s="10">
        <f>IF('PV IN'!$N$10="Yes",-PVLoan!H153,-PVLoan!L153)</f>
        <v>0</v>
      </c>
      <c r="AF125" s="10">
        <f>IF('PV IN'!$N$10="Yes",-PVLoan!F153,0)</f>
        <v>0</v>
      </c>
      <c r="AG125" s="10">
        <f>IF(AND('PV IN'!$D$35="YES",$C125&lt;='PV IN'!$E$35*12),0,-'PV IN'!$E$18*'PV IN'!$E$34/12)</f>
        <v>-750</v>
      </c>
      <c r="AH125" s="10">
        <f>IF(AND('PV IN'!$D$37="YES",$C125&lt;='PV IN'!$E$37*12),0,-'PV IN'!$E$18*'PV IN'!$E$36/12)</f>
        <v>-625</v>
      </c>
      <c r="AI125" s="2">
        <f>IF(AND('PV IN'!$D$33="YES",PVCalcs!C125=ROUNDUP('PV IN'!$H$33*12,)),-'PV IN'!$E$33*'PV IN'!$E$18,0)</f>
        <v>0</v>
      </c>
      <c r="AK125" s="2">
        <f t="shared" si="17"/>
        <v>13198.499358977941</v>
      </c>
      <c r="AL125" s="2">
        <f t="shared" si="18"/>
        <v>-1375</v>
      </c>
      <c r="AM125" s="2">
        <f t="shared" si="22"/>
        <v>11823.499358977941</v>
      </c>
      <c r="AN125" s="43"/>
      <c r="AO125" s="2">
        <f t="shared" si="19"/>
        <v>0</v>
      </c>
      <c r="AP125" s="2">
        <f t="shared" si="23"/>
        <v>-1375</v>
      </c>
      <c r="AR125" s="2">
        <f t="shared" si="24"/>
        <v>-1375</v>
      </c>
      <c r="AS125" s="2">
        <f>-AR125*'PV IN'!$E$8</f>
        <v>288.75</v>
      </c>
      <c r="AT125" s="2">
        <f>IF('PV IN'!$F$4="Battery Only",0,AM125+AS125)</f>
        <v>12112.249358977941</v>
      </c>
      <c r="AV125" s="10">
        <f t="shared" si="25"/>
        <v>254308.65815872996</v>
      </c>
      <c r="AW125" s="2">
        <f>AT125/(1+('PV IN'!$G$9))^(C125)</f>
        <v>7405.6986785462423</v>
      </c>
      <c r="AX125" s="2">
        <f>IF(C125&lt;='PV IN'!$O$22*12,AW125+AX124,NA())</f>
        <v>-115604.88844619428</v>
      </c>
      <c r="AZ125" s="10">
        <f t="shared" si="20"/>
        <v>-1375</v>
      </c>
      <c r="BA125" s="10">
        <f t="shared" si="21"/>
        <v>1830.0293335779206</v>
      </c>
      <c r="BB125" s="10">
        <f t="shared" si="26"/>
        <v>455.02933357792062</v>
      </c>
      <c r="BC125" s="10">
        <f t="shared" si="27"/>
        <v>0</v>
      </c>
      <c r="BD125" s="10">
        <f t="shared" si="28"/>
        <v>-1375</v>
      </c>
      <c r="BE125" s="2">
        <f t="shared" si="29"/>
        <v>0</v>
      </c>
      <c r="BF125" s="10">
        <f t="shared" si="30"/>
        <v>-1375</v>
      </c>
      <c r="BG125" s="2">
        <f>-BF125*'PV IN'!$E$8</f>
        <v>288.75</v>
      </c>
      <c r="BH125" s="2">
        <f>IF('PV IN'!$F$4="Battery Only",0,BB125+BG125)</f>
        <v>743.77933357792062</v>
      </c>
      <c r="BI125" s="2">
        <f>BH125/(1+('PV IN'!$G$9))^(C125)</f>
        <v>454.76322890637766</v>
      </c>
    </row>
    <row r="126" spans="2:61" x14ac:dyDescent="0.25">
      <c r="C126">
        <v>122</v>
      </c>
      <c r="D126" s="16">
        <f>D125*(1+('PV IN'!$G$6/12))</f>
        <v>7.5999999999999998E-2</v>
      </c>
      <c r="E126" s="16">
        <f>LkUP!$U$31</f>
        <v>8.0758328633592641E-2</v>
      </c>
      <c r="F126" s="16">
        <f>IF('PV IN'!$D$7="Table",E126,D126)</f>
        <v>8.0758328633592641E-2</v>
      </c>
      <c r="G126" s="33">
        <f>('PV IN'!$E$25*'PV IN'!$E$18/12)*(1-(1-'PV IN'!$E$27)/(25*12))^C125</f>
        <v>140677.63954016939</v>
      </c>
      <c r="H126" s="33">
        <f>IF('PV IN'!$D$19="YES",G126*'PV IN'!$E$21,0)</f>
        <v>0</v>
      </c>
      <c r="I126" s="33">
        <f>IF('PV IN'!$D$19="YES",'PV IN'!$E$22*BattCalcs!W126,0)</f>
        <v>0</v>
      </c>
      <c r="J126" s="33">
        <f>IF('PV IN'!$D$19="YES",'PV IN'!$E$23*BattCalcs!Y126,0)</f>
        <v>0</v>
      </c>
      <c r="K126" s="33">
        <f>BattCalcs!AF126</f>
        <v>25811.765833333331</v>
      </c>
      <c r="L126" s="33">
        <f t="shared" si="31"/>
        <v>25811.765833333331</v>
      </c>
      <c r="M126" s="33">
        <f>IF('PV IN'!$F$4="PV Only",G126,G126-SUM(H126:J126,L126))</f>
        <v>140677.63954016939</v>
      </c>
      <c r="N126" s="2">
        <f>IF(C126&lt;='PV IN'!$I$12*12,'PV IN'!$E$12*G126/1000,0)</f>
        <v>0</v>
      </c>
      <c r="O126" s="2">
        <f>IF(AND(C126&gt;'PV IN'!$I$12*12,C126&lt;='PV IN'!$I$13*12+'PV IN'!$I$12*12),'PV IN'!$E$13*PVCalcs!G126/1000,0)</f>
        <v>0</v>
      </c>
      <c r="P126" s="2">
        <f>IF(AND(C126&gt;'PV IN'!$I$12*12+'PV IN'!$I$13*12,C126&lt;='PV IN'!$I$12*12+'PV IN'!$I$13*12+'PV IN'!$I$14*12),'PV IN'!$E$14*PVCalcs!G126/1000,0)</f>
        <v>1828.809314022202</v>
      </c>
      <c r="R126" s="10">
        <f>IF(AND('PV IN'!$D$35="YES",$C126&lt;='PV IN'!$E$35*12),-'PV IN'!$E$18*'PV IN'!$E$34/12,0)</f>
        <v>0</v>
      </c>
      <c r="S126" s="10">
        <f>IF(AND('PV IN'!$D$37="YES",$C126&lt;='PV IN'!$E$37*12),-'PV IN'!$E$18*'PV IN'!$E$36/12,0)</f>
        <v>0</v>
      </c>
      <c r="U126" s="2">
        <f t="shared" si="32"/>
        <v>11360.891045383085</v>
      </c>
      <c r="V126" s="10">
        <f>PVLoan!M153</f>
        <v>0</v>
      </c>
      <c r="W126" s="2">
        <f>IF(C126='PV IN'!$I$40,IF('PV IN'!$G$40="Non-Taxable",'PV IN'!$F$40,0),0)+IF(C126='PV IN'!$I$41,IF('PV IN'!$G$41="Non-Taxable",'PV IN'!$F$41,0),0)</f>
        <v>0</v>
      </c>
      <c r="X126" s="10"/>
      <c r="Y126" s="10">
        <f>IF('PV IN'!$E$15="Non-Taxable",SUM(N126:P126),0)</f>
        <v>1828.809314022202</v>
      </c>
      <c r="Z126" s="10">
        <f>IF('PV IN'!$E$15="Taxable",SUM(N126:P126),0)</f>
        <v>0</v>
      </c>
      <c r="AA126" s="2">
        <f>IF(C126='PV IN'!$I$40,IF('PV IN'!$G$40="Taxable",'PV IN'!$F$40,0),0)+IF(C126='PV IN'!$I$41,IF('PV IN'!$G$41="Taxable",'PV IN'!$F$41,0),0)</f>
        <v>0</v>
      </c>
      <c r="AD126" s="10">
        <f>IF('PV IN'!$D$48="YES",-U126*'PV IN'!$E$8,0)</f>
        <v>0</v>
      </c>
      <c r="AE126" s="10">
        <f>IF('PV IN'!$N$10="Yes",-PVLoan!H154,-PVLoan!L154)</f>
        <v>0</v>
      </c>
      <c r="AF126" s="10">
        <f>IF('PV IN'!$N$10="Yes",-PVLoan!F154,0)</f>
        <v>0</v>
      </c>
      <c r="AG126" s="10">
        <f>IF(AND('PV IN'!$D$35="YES",$C126&lt;='PV IN'!$E$35*12),0,-'PV IN'!$E$18*'PV IN'!$E$34/12)</f>
        <v>-750</v>
      </c>
      <c r="AH126" s="10">
        <f>IF(AND('PV IN'!$D$37="YES",$C126&lt;='PV IN'!$E$37*12),0,-'PV IN'!$E$18*'PV IN'!$E$36/12)</f>
        <v>-625</v>
      </c>
      <c r="AI126" s="2">
        <f>IF(AND('PV IN'!$D$33="YES",PVCalcs!C126=ROUNDUP('PV IN'!$H$33*12,)),-'PV IN'!$E$33*'PV IN'!$E$18,0)</f>
        <v>0</v>
      </c>
      <c r="AK126" s="2">
        <f t="shared" si="17"/>
        <v>13189.700359405288</v>
      </c>
      <c r="AL126" s="2">
        <f t="shared" si="18"/>
        <v>-1375</v>
      </c>
      <c r="AM126" s="2">
        <f t="shared" si="22"/>
        <v>11814.700359405288</v>
      </c>
      <c r="AN126" s="43"/>
      <c r="AO126" s="2">
        <f t="shared" si="19"/>
        <v>0</v>
      </c>
      <c r="AP126" s="2">
        <f t="shared" si="23"/>
        <v>-1375</v>
      </c>
      <c r="AR126" s="2">
        <f t="shared" si="24"/>
        <v>-1375</v>
      </c>
      <c r="AS126" s="2">
        <f>-AR126*'PV IN'!$E$8</f>
        <v>288.75</v>
      </c>
      <c r="AT126" s="2">
        <f>IF('PV IN'!$F$4="Battery Only",0,AM126+AS126)</f>
        <v>12103.450359405288</v>
      </c>
      <c r="AV126" s="10">
        <f t="shared" si="25"/>
        <v>266412.10851813527</v>
      </c>
      <c r="AW126" s="2">
        <f>AT126/(1+('PV IN'!$G$9))^(C126)</f>
        <v>7370.2912954266649</v>
      </c>
      <c r="AX126" s="2">
        <f>IF(C126&lt;='PV IN'!$O$22*12,AW126+AX125,NA())</f>
        <v>-108234.59715076761</v>
      </c>
      <c r="AZ126" s="10">
        <f t="shared" si="20"/>
        <v>-1375</v>
      </c>
      <c r="BA126" s="10">
        <f t="shared" si="21"/>
        <v>1828.8093140222027</v>
      </c>
      <c r="BB126" s="10">
        <f t="shared" si="26"/>
        <v>453.80931402220267</v>
      </c>
      <c r="BC126" s="10">
        <f t="shared" si="27"/>
        <v>0</v>
      </c>
      <c r="BD126" s="10">
        <f t="shared" si="28"/>
        <v>-1375</v>
      </c>
      <c r="BE126" s="2">
        <f t="shared" si="29"/>
        <v>0</v>
      </c>
      <c r="BF126" s="10">
        <f t="shared" si="30"/>
        <v>-1375</v>
      </c>
      <c r="BG126" s="2">
        <f>-BF126*'PV IN'!$E$8</f>
        <v>288.75</v>
      </c>
      <c r="BH126" s="2">
        <f>IF('PV IN'!$F$4="Battery Only",0,BB126+BG126)</f>
        <v>742.55931402220267</v>
      </c>
      <c r="BI126" s="2">
        <f>BH126/(1+('PV IN'!$G$9))^(C126)</f>
        <v>452.17506462717051</v>
      </c>
    </row>
    <row r="127" spans="2:61" x14ac:dyDescent="0.25">
      <c r="C127">
        <v>123</v>
      </c>
      <c r="D127" s="16">
        <f>D126*(1+('PV IN'!$G$6/12))</f>
        <v>7.5999999999999998E-2</v>
      </c>
      <c r="E127" s="16">
        <f>LkUP!$U$31</f>
        <v>8.0758328633592641E-2</v>
      </c>
      <c r="F127" s="16">
        <f>IF('PV IN'!$D$7="Table",E127,D127)</f>
        <v>8.0758328633592641E-2</v>
      </c>
      <c r="G127" s="33">
        <f>('PV IN'!$E$25*'PV IN'!$E$18/12)*(1-(1-'PV IN'!$E$27)/(25*12))^C126</f>
        <v>140583.8544471426</v>
      </c>
      <c r="H127" s="33">
        <f>IF('PV IN'!$D$19="YES",G127*'PV IN'!$E$21,0)</f>
        <v>0</v>
      </c>
      <c r="I127" s="33">
        <f>IF('PV IN'!$D$19="YES",'PV IN'!$E$22*BattCalcs!W127,0)</f>
        <v>0</v>
      </c>
      <c r="J127" s="33">
        <f>IF('PV IN'!$D$19="YES",'PV IN'!$E$23*BattCalcs!Y127,0)</f>
        <v>0</v>
      </c>
      <c r="K127" s="33">
        <f>BattCalcs!AF127</f>
        <v>25811.765833333331</v>
      </c>
      <c r="L127" s="33">
        <f t="shared" si="31"/>
        <v>25811.765833333331</v>
      </c>
      <c r="M127" s="33">
        <f>IF('PV IN'!$F$4="PV Only",G127,G127-SUM(H127:J127,L127))</f>
        <v>140583.8544471426</v>
      </c>
      <c r="N127" s="2">
        <f>IF(C127&lt;='PV IN'!$I$12*12,'PV IN'!$E$12*G127/1000,0)</f>
        <v>0</v>
      </c>
      <c r="O127" s="2">
        <f>IF(AND(C127&gt;'PV IN'!$I$12*12,C127&lt;='PV IN'!$I$13*12+'PV IN'!$I$12*12),'PV IN'!$E$13*PVCalcs!G127/1000,0)</f>
        <v>0</v>
      </c>
      <c r="P127" s="2">
        <f>IF(AND(C127&gt;'PV IN'!$I$12*12+'PV IN'!$I$13*12,C127&lt;='PV IN'!$I$12*12+'PV IN'!$I$13*12+'PV IN'!$I$14*12),'PV IN'!$E$14*PVCalcs!G127/1000,0)</f>
        <v>1827.5901078128538</v>
      </c>
      <c r="R127" s="10">
        <f>IF(AND('PV IN'!$D$35="YES",$C127&lt;='PV IN'!$E$35*12),-'PV IN'!$E$18*'PV IN'!$E$34/12,0)</f>
        <v>0</v>
      </c>
      <c r="S127" s="10">
        <f>IF(AND('PV IN'!$D$37="YES",$C127&lt;='PV IN'!$E$37*12),-'PV IN'!$E$18*'PV IN'!$E$36/12,0)</f>
        <v>0</v>
      </c>
      <c r="U127" s="2">
        <f t="shared" si="32"/>
        <v>11353.317118019497</v>
      </c>
      <c r="V127" s="10">
        <f>PVLoan!M154</f>
        <v>0</v>
      </c>
      <c r="W127" s="2">
        <f>IF(C127='PV IN'!$I$40,IF('PV IN'!$G$40="Non-Taxable",'PV IN'!$F$40,0),0)+IF(C127='PV IN'!$I$41,IF('PV IN'!$G$41="Non-Taxable",'PV IN'!$F$41,0),0)</f>
        <v>0</v>
      </c>
      <c r="X127" s="10"/>
      <c r="Y127" s="10">
        <f>IF('PV IN'!$E$15="Non-Taxable",SUM(N127:P127),0)</f>
        <v>1827.5901078128538</v>
      </c>
      <c r="Z127" s="10">
        <f>IF('PV IN'!$E$15="Taxable",SUM(N127:P127),0)</f>
        <v>0</v>
      </c>
      <c r="AA127" s="2">
        <f>IF(C127='PV IN'!$I$40,IF('PV IN'!$G$40="Taxable",'PV IN'!$F$40,0),0)+IF(C127='PV IN'!$I$41,IF('PV IN'!$G$41="Taxable",'PV IN'!$F$41,0),0)</f>
        <v>0</v>
      </c>
      <c r="AD127" s="10">
        <f>IF('PV IN'!$D$48="YES",-U127*'PV IN'!$E$8,0)</f>
        <v>0</v>
      </c>
      <c r="AE127" s="10">
        <f>IF('PV IN'!$N$10="Yes",-PVLoan!H155,-PVLoan!L155)</f>
        <v>0</v>
      </c>
      <c r="AF127" s="10">
        <f>IF('PV IN'!$N$10="Yes",-PVLoan!F155,0)</f>
        <v>0</v>
      </c>
      <c r="AG127" s="10">
        <f>IF(AND('PV IN'!$D$35="YES",$C127&lt;='PV IN'!$E$35*12),0,-'PV IN'!$E$18*'PV IN'!$E$34/12)</f>
        <v>-750</v>
      </c>
      <c r="AH127" s="10">
        <f>IF(AND('PV IN'!$D$37="YES",$C127&lt;='PV IN'!$E$37*12),0,-'PV IN'!$E$18*'PV IN'!$E$36/12)</f>
        <v>-625</v>
      </c>
      <c r="AI127" s="2">
        <f>IF(AND('PV IN'!$D$33="YES",PVCalcs!C127=ROUNDUP('PV IN'!$H$33*12,)),-'PV IN'!$E$33*'PV IN'!$E$18,0)</f>
        <v>0</v>
      </c>
      <c r="AK127" s="2">
        <f t="shared" si="17"/>
        <v>13180.90722583235</v>
      </c>
      <c r="AL127" s="2">
        <f t="shared" si="18"/>
        <v>-1375</v>
      </c>
      <c r="AM127" s="2">
        <f t="shared" si="22"/>
        <v>11805.90722583235</v>
      </c>
      <c r="AN127" s="43"/>
      <c r="AO127" s="2">
        <f t="shared" si="19"/>
        <v>0</v>
      </c>
      <c r="AP127" s="2">
        <f t="shared" si="23"/>
        <v>-1375</v>
      </c>
      <c r="AR127" s="2">
        <f t="shared" si="24"/>
        <v>-1375</v>
      </c>
      <c r="AS127" s="2">
        <f>-AR127*'PV IN'!$E$8</f>
        <v>288.75</v>
      </c>
      <c r="AT127" s="2">
        <f>IF('PV IN'!$F$4="Battery Only",0,AM127+AS127)</f>
        <v>12094.65722583235</v>
      </c>
      <c r="AV127" s="10">
        <f t="shared" si="25"/>
        <v>278506.76574396761</v>
      </c>
      <c r="AW127" s="2">
        <f>AT127/(1+('PV IN'!$G$9))^(C127)</f>
        <v>7335.0528794844749</v>
      </c>
      <c r="AX127" s="2">
        <f>IF(C127&lt;='PV IN'!$O$22*12,AW127+AX126,NA())</f>
        <v>-100899.54427128314</v>
      </c>
      <c r="AZ127" s="10">
        <f t="shared" si="20"/>
        <v>-1375</v>
      </c>
      <c r="BA127" s="10">
        <f t="shared" si="21"/>
        <v>1827.5901078128536</v>
      </c>
      <c r="BB127" s="10">
        <f t="shared" si="26"/>
        <v>452.5901078128536</v>
      </c>
      <c r="BC127" s="10">
        <f t="shared" si="27"/>
        <v>0</v>
      </c>
      <c r="BD127" s="10">
        <f t="shared" si="28"/>
        <v>-1375</v>
      </c>
      <c r="BE127" s="2">
        <f t="shared" si="29"/>
        <v>0</v>
      </c>
      <c r="BF127" s="10">
        <f t="shared" si="30"/>
        <v>-1375</v>
      </c>
      <c r="BG127" s="2">
        <f>-BF127*'PV IN'!$E$8</f>
        <v>288.75</v>
      </c>
      <c r="BH127" s="2">
        <f>IF('PV IN'!$F$4="Battery Only",0,BB127+BG127)</f>
        <v>741.3401078128536</v>
      </c>
      <c r="BI127" s="2">
        <f>BH127/(1+('PV IN'!$G$9))^(C127)</f>
        <v>449.60090980302897</v>
      </c>
    </row>
    <row r="128" spans="2:61" x14ac:dyDescent="0.25">
      <c r="C128">
        <v>124</v>
      </c>
      <c r="D128" s="16">
        <f>D127*(1+('PV IN'!$G$6/12))</f>
        <v>7.5999999999999998E-2</v>
      </c>
      <c r="E128" s="16">
        <f>LkUP!$U$31</f>
        <v>8.0758328633592641E-2</v>
      </c>
      <c r="F128" s="16">
        <f>IF('PV IN'!$D$7="Table",E128,D128)</f>
        <v>8.0758328633592641E-2</v>
      </c>
      <c r="G128" s="33">
        <f>('PV IN'!$E$25*'PV IN'!$E$18/12)*(1-(1-'PV IN'!$E$27)/(25*12))^C127</f>
        <v>140490.13187751116</v>
      </c>
      <c r="H128" s="33">
        <f>IF('PV IN'!$D$19="YES",G128*'PV IN'!$E$21,0)</f>
        <v>0</v>
      </c>
      <c r="I128" s="33">
        <f>IF('PV IN'!$D$19="YES",'PV IN'!$E$22*BattCalcs!W128,0)</f>
        <v>0</v>
      </c>
      <c r="J128" s="33">
        <f>IF('PV IN'!$D$19="YES",'PV IN'!$E$23*BattCalcs!Y128,0)</f>
        <v>0</v>
      </c>
      <c r="K128" s="33">
        <f>BattCalcs!AF128</f>
        <v>25811.765833333331</v>
      </c>
      <c r="L128" s="33">
        <f t="shared" si="31"/>
        <v>25811.765833333331</v>
      </c>
      <c r="M128" s="33">
        <f>IF('PV IN'!$F$4="PV Only",G128,G128-SUM(H128:J128,L128))</f>
        <v>140490.13187751116</v>
      </c>
      <c r="N128" s="2">
        <f>IF(C128&lt;='PV IN'!$I$12*12,'PV IN'!$E$12*G128/1000,0)</f>
        <v>0</v>
      </c>
      <c r="O128" s="2">
        <f>IF(AND(C128&gt;'PV IN'!$I$12*12,C128&lt;='PV IN'!$I$13*12+'PV IN'!$I$12*12),'PV IN'!$E$13*PVCalcs!G128/1000,0)</f>
        <v>0</v>
      </c>
      <c r="P128" s="2">
        <f>IF(AND(C128&gt;'PV IN'!$I$12*12+'PV IN'!$I$13*12,C128&lt;='PV IN'!$I$12*12+'PV IN'!$I$13*12+'PV IN'!$I$14*12),'PV IN'!$E$14*PVCalcs!G128/1000,0)</f>
        <v>1826.3717144076452</v>
      </c>
      <c r="R128" s="10">
        <f>IF(AND('PV IN'!$D$35="YES",$C128&lt;='PV IN'!$E$35*12),-'PV IN'!$E$18*'PV IN'!$E$34/12,0)</f>
        <v>0</v>
      </c>
      <c r="S128" s="10">
        <f>IF(AND('PV IN'!$D$37="YES",$C128&lt;='PV IN'!$E$37*12),-'PV IN'!$E$18*'PV IN'!$E$36/12,0)</f>
        <v>0</v>
      </c>
      <c r="U128" s="2">
        <f t="shared" si="32"/>
        <v>11345.748239940816</v>
      </c>
      <c r="V128" s="10">
        <f>PVLoan!M155</f>
        <v>0</v>
      </c>
      <c r="W128" s="2">
        <f>IF(C128='PV IN'!$I$40,IF('PV IN'!$G$40="Non-Taxable",'PV IN'!$F$40,0),0)+IF(C128='PV IN'!$I$41,IF('PV IN'!$G$41="Non-Taxable",'PV IN'!$F$41,0),0)</f>
        <v>0</v>
      </c>
      <c r="X128" s="10"/>
      <c r="Y128" s="10">
        <f>IF('PV IN'!$E$15="Non-Taxable",SUM(N128:P128),0)</f>
        <v>1826.3717144076452</v>
      </c>
      <c r="Z128" s="10">
        <f>IF('PV IN'!$E$15="Taxable",SUM(N128:P128),0)</f>
        <v>0</v>
      </c>
      <c r="AA128" s="2">
        <f>IF(C128='PV IN'!$I$40,IF('PV IN'!$G$40="Taxable",'PV IN'!$F$40,0),0)+IF(C128='PV IN'!$I$41,IF('PV IN'!$G$41="Taxable",'PV IN'!$F$41,0),0)</f>
        <v>0</v>
      </c>
      <c r="AD128" s="10">
        <f>IF('PV IN'!$D$48="YES",-U128*'PV IN'!$E$8,0)</f>
        <v>0</v>
      </c>
      <c r="AE128" s="10">
        <f>IF('PV IN'!$N$10="Yes",-PVLoan!H156,-PVLoan!L156)</f>
        <v>0</v>
      </c>
      <c r="AF128" s="10">
        <f>IF('PV IN'!$N$10="Yes",-PVLoan!F156,0)</f>
        <v>0</v>
      </c>
      <c r="AG128" s="10">
        <f>IF(AND('PV IN'!$D$35="YES",$C128&lt;='PV IN'!$E$35*12),0,-'PV IN'!$E$18*'PV IN'!$E$34/12)</f>
        <v>-750</v>
      </c>
      <c r="AH128" s="10">
        <f>IF(AND('PV IN'!$D$37="YES",$C128&lt;='PV IN'!$E$37*12),0,-'PV IN'!$E$18*'PV IN'!$E$36/12)</f>
        <v>-625</v>
      </c>
      <c r="AI128" s="2">
        <f>IF(AND('PV IN'!$D$33="YES",PVCalcs!C128=ROUNDUP('PV IN'!$H$33*12,)),-'PV IN'!$E$33*'PV IN'!$E$18,0)</f>
        <v>0</v>
      </c>
      <c r="AK128" s="2">
        <f t="shared" si="17"/>
        <v>13172.119954348462</v>
      </c>
      <c r="AL128" s="2">
        <f t="shared" si="18"/>
        <v>-1375</v>
      </c>
      <c r="AM128" s="2">
        <f t="shared" si="22"/>
        <v>11797.119954348462</v>
      </c>
      <c r="AN128" s="43"/>
      <c r="AO128" s="2">
        <f t="shared" si="19"/>
        <v>0</v>
      </c>
      <c r="AP128" s="2">
        <f t="shared" si="23"/>
        <v>-1375</v>
      </c>
      <c r="AR128" s="2">
        <f t="shared" si="24"/>
        <v>-1375</v>
      </c>
      <c r="AS128" s="2">
        <f>-AR128*'PV IN'!$E$8</f>
        <v>288.75</v>
      </c>
      <c r="AT128" s="2">
        <f>IF('PV IN'!$F$4="Battery Only",0,AM128+AS128)</f>
        <v>12085.869954348462</v>
      </c>
      <c r="AV128" s="10">
        <f t="shared" si="25"/>
        <v>290592.63569831609</v>
      </c>
      <c r="AW128" s="2">
        <f>AT128/(1+('PV IN'!$G$9))^(C128)</f>
        <v>7299.9826256717433</v>
      </c>
      <c r="AX128" s="2">
        <f>IF(C128&lt;='PV IN'!$O$22*12,AW128+AX127,NA())</f>
        <v>-93599.561645611393</v>
      </c>
      <c r="AZ128" s="10">
        <f t="shared" si="20"/>
        <v>-1375</v>
      </c>
      <c r="BA128" s="10">
        <f t="shared" si="21"/>
        <v>1826.3717144076454</v>
      </c>
      <c r="BB128" s="10">
        <f t="shared" si="26"/>
        <v>451.37171440764541</v>
      </c>
      <c r="BC128" s="10">
        <f t="shared" si="27"/>
        <v>0</v>
      </c>
      <c r="BD128" s="10">
        <f t="shared" si="28"/>
        <v>-1375</v>
      </c>
      <c r="BE128" s="2">
        <f t="shared" si="29"/>
        <v>0</v>
      </c>
      <c r="BF128" s="10">
        <f t="shared" si="30"/>
        <v>-1375</v>
      </c>
      <c r="BG128" s="2">
        <f>-BF128*'PV IN'!$E$8</f>
        <v>288.75</v>
      </c>
      <c r="BH128" s="2">
        <f>IF('PV IN'!$F$4="Battery Only",0,BB128+BG128)</f>
        <v>740.12171440764541</v>
      </c>
      <c r="BI128" s="2">
        <f>BH128/(1+('PV IN'!$G$9))^(C128)</f>
        <v>447.04069102731461</v>
      </c>
    </row>
    <row r="129" spans="2:61" x14ac:dyDescent="0.25">
      <c r="C129">
        <v>125</v>
      </c>
      <c r="D129" s="16">
        <f>D128*(1+('PV IN'!$G$6/12))</f>
        <v>7.5999999999999998E-2</v>
      </c>
      <c r="E129" s="16">
        <f>LkUP!$U$31</f>
        <v>8.0758328633592641E-2</v>
      </c>
      <c r="F129" s="16">
        <f>IF('PV IN'!$D$7="Table",E129,D129)</f>
        <v>8.0758328633592641E-2</v>
      </c>
      <c r="G129" s="33">
        <f>('PV IN'!$E$25*'PV IN'!$E$18/12)*(1-(1-'PV IN'!$E$27)/(25*12))^C128</f>
        <v>140396.47178959282</v>
      </c>
      <c r="H129" s="33">
        <f>IF('PV IN'!$D$19="YES",G129*'PV IN'!$E$21,0)</f>
        <v>0</v>
      </c>
      <c r="I129" s="33">
        <f>IF('PV IN'!$D$19="YES",'PV IN'!$E$22*BattCalcs!W129,0)</f>
        <v>0</v>
      </c>
      <c r="J129" s="33">
        <f>IF('PV IN'!$D$19="YES",'PV IN'!$E$23*BattCalcs!Y129,0)</f>
        <v>0</v>
      </c>
      <c r="K129" s="33">
        <f>BattCalcs!AF129</f>
        <v>25811.765833333331</v>
      </c>
      <c r="L129" s="33">
        <f t="shared" si="31"/>
        <v>25811.765833333331</v>
      </c>
      <c r="M129" s="33">
        <f>IF('PV IN'!$F$4="PV Only",G129,G129-SUM(H129:J129,L129))</f>
        <v>140396.47178959282</v>
      </c>
      <c r="N129" s="2">
        <f>IF(C129&lt;='PV IN'!$I$12*12,'PV IN'!$E$12*G129/1000,0)</f>
        <v>0</v>
      </c>
      <c r="O129" s="2">
        <f>IF(AND(C129&gt;'PV IN'!$I$12*12,C129&lt;='PV IN'!$I$13*12+'PV IN'!$I$12*12),'PV IN'!$E$13*PVCalcs!G129/1000,0)</f>
        <v>0</v>
      </c>
      <c r="P129" s="2">
        <f>IF(AND(C129&gt;'PV IN'!$I$12*12+'PV IN'!$I$13*12,C129&lt;='PV IN'!$I$12*12+'PV IN'!$I$13*12+'PV IN'!$I$14*12),'PV IN'!$E$14*PVCalcs!G129/1000,0)</f>
        <v>1825.1541332647066</v>
      </c>
      <c r="R129" s="10">
        <f>IF(AND('PV IN'!$D$35="YES",$C129&lt;='PV IN'!$E$35*12),-'PV IN'!$E$18*'PV IN'!$E$34/12,0)</f>
        <v>0</v>
      </c>
      <c r="S129" s="10">
        <f>IF(AND('PV IN'!$D$37="YES",$C129&lt;='PV IN'!$E$37*12),-'PV IN'!$E$18*'PV IN'!$E$36/12,0)</f>
        <v>0</v>
      </c>
      <c r="U129" s="2">
        <f t="shared" si="32"/>
        <v>11338.184407780855</v>
      </c>
      <c r="V129" s="10">
        <f>PVLoan!M156</f>
        <v>0</v>
      </c>
      <c r="W129" s="2">
        <f>IF(C129='PV IN'!$I$40,IF('PV IN'!$G$40="Non-Taxable",'PV IN'!$F$40,0),0)+IF(C129='PV IN'!$I$41,IF('PV IN'!$G$41="Non-Taxable",'PV IN'!$F$41,0),0)</f>
        <v>0</v>
      </c>
      <c r="X129" s="10"/>
      <c r="Y129" s="10">
        <f>IF('PV IN'!$E$15="Non-Taxable",SUM(N129:P129),0)</f>
        <v>1825.1541332647066</v>
      </c>
      <c r="Z129" s="10">
        <f>IF('PV IN'!$E$15="Taxable",SUM(N129:P129),0)</f>
        <v>0</v>
      </c>
      <c r="AA129" s="2">
        <f>IF(C129='PV IN'!$I$40,IF('PV IN'!$G$40="Taxable",'PV IN'!$F$40,0),0)+IF(C129='PV IN'!$I$41,IF('PV IN'!$G$41="Taxable",'PV IN'!$F$41,0),0)</f>
        <v>0</v>
      </c>
      <c r="AD129" s="10">
        <f>IF('PV IN'!$D$48="YES",-U129*'PV IN'!$E$8,0)</f>
        <v>0</v>
      </c>
      <c r="AE129" s="10">
        <f>IF('PV IN'!$N$10="Yes",-PVLoan!H157,-PVLoan!L157)</f>
        <v>0</v>
      </c>
      <c r="AF129" s="10">
        <f>IF('PV IN'!$N$10="Yes",-PVLoan!F157,0)</f>
        <v>0</v>
      </c>
      <c r="AG129" s="10">
        <f>IF(AND('PV IN'!$D$35="YES",$C129&lt;='PV IN'!$E$35*12),0,-'PV IN'!$E$18*'PV IN'!$E$34/12)</f>
        <v>-750</v>
      </c>
      <c r="AH129" s="10">
        <f>IF(AND('PV IN'!$D$37="YES",$C129&lt;='PV IN'!$E$37*12),0,-'PV IN'!$E$18*'PV IN'!$E$36/12)</f>
        <v>-625</v>
      </c>
      <c r="AI129" s="2">
        <f>IF(AND('PV IN'!$D$33="YES",PVCalcs!C129=ROUNDUP('PV IN'!$H$33*12,)),-'PV IN'!$E$33*'PV IN'!$E$18,0)</f>
        <v>0</v>
      </c>
      <c r="AK129" s="2">
        <f t="shared" si="17"/>
        <v>13163.338541045561</v>
      </c>
      <c r="AL129" s="2">
        <f t="shared" si="18"/>
        <v>-1375</v>
      </c>
      <c r="AM129" s="2">
        <f t="shared" si="22"/>
        <v>11788.338541045561</v>
      </c>
      <c r="AN129" s="43"/>
      <c r="AO129" s="2">
        <f t="shared" si="19"/>
        <v>0</v>
      </c>
      <c r="AP129" s="2">
        <f t="shared" si="23"/>
        <v>-1375</v>
      </c>
      <c r="AR129" s="2">
        <f t="shared" si="24"/>
        <v>-1375</v>
      </c>
      <c r="AS129" s="2">
        <f>-AR129*'PV IN'!$E$8</f>
        <v>288.75</v>
      </c>
      <c r="AT129" s="2">
        <f>IF('PV IN'!$F$4="Battery Only",0,AM129+AS129)</f>
        <v>12077.088541045561</v>
      </c>
      <c r="AV129" s="10">
        <f t="shared" si="25"/>
        <v>302669.72423936165</v>
      </c>
      <c r="AW129" s="2">
        <f>AT129/(1+('PV IN'!$G$9))^(C129)</f>
        <v>7265.0797327710698</v>
      </c>
      <c r="AX129" s="2">
        <f>IF(C129&lt;='PV IN'!$O$22*12,AW129+AX128,NA())</f>
        <v>-86334.481912840318</v>
      </c>
      <c r="AZ129" s="10">
        <f t="shared" si="20"/>
        <v>-1375</v>
      </c>
      <c r="BA129" s="10">
        <f t="shared" si="21"/>
        <v>1825.1541332647066</v>
      </c>
      <c r="BB129" s="10">
        <f t="shared" si="26"/>
        <v>450.15413326470662</v>
      </c>
      <c r="BC129" s="10">
        <f t="shared" si="27"/>
        <v>0</v>
      </c>
      <c r="BD129" s="10">
        <f t="shared" si="28"/>
        <v>-1375</v>
      </c>
      <c r="BE129" s="2">
        <f t="shared" si="29"/>
        <v>0</v>
      </c>
      <c r="BF129" s="10">
        <f t="shared" si="30"/>
        <v>-1375</v>
      </c>
      <c r="BG129" s="2">
        <f>-BF129*'PV IN'!$E$8</f>
        <v>288.75</v>
      </c>
      <c r="BH129" s="2">
        <f>IF('PV IN'!$F$4="Battery Only",0,BB129+BG129)</f>
        <v>738.90413326470662</v>
      </c>
      <c r="BI129" s="2">
        <f>BH129/(1+('PV IN'!$G$9))^(C129)</f>
        <v>444.49433526943801</v>
      </c>
    </row>
    <row r="130" spans="2:61" x14ac:dyDescent="0.25">
      <c r="C130">
        <v>126</v>
      </c>
      <c r="D130" s="16">
        <f>D129*(1+('PV IN'!$G$6/12))</f>
        <v>7.5999999999999998E-2</v>
      </c>
      <c r="E130" s="16">
        <f>LkUP!$U$31</f>
        <v>8.0758328633592641E-2</v>
      </c>
      <c r="F130" s="16">
        <f>IF('PV IN'!$D$7="Table",E130,D130)</f>
        <v>8.0758328633592641E-2</v>
      </c>
      <c r="G130" s="33">
        <f>('PV IN'!$E$25*'PV IN'!$E$18/12)*(1-(1-'PV IN'!$E$27)/(25*12))^C129</f>
        <v>140302.8741417331</v>
      </c>
      <c r="H130" s="33">
        <f>IF('PV IN'!$D$19="YES",G130*'PV IN'!$E$21,0)</f>
        <v>0</v>
      </c>
      <c r="I130" s="33">
        <f>IF('PV IN'!$D$19="YES",'PV IN'!$E$22*BattCalcs!W130,0)</f>
        <v>0</v>
      </c>
      <c r="J130" s="33">
        <f>IF('PV IN'!$D$19="YES",'PV IN'!$E$23*BattCalcs!Y130,0)</f>
        <v>0</v>
      </c>
      <c r="K130" s="33">
        <f>BattCalcs!AF130</f>
        <v>25811.765833333331</v>
      </c>
      <c r="L130" s="33">
        <f t="shared" si="31"/>
        <v>25811.765833333331</v>
      </c>
      <c r="M130" s="33">
        <f>IF('PV IN'!$F$4="PV Only",G130,G130-SUM(H130:J130,L130))</f>
        <v>140302.8741417331</v>
      </c>
      <c r="N130" s="2">
        <f>IF(C130&lt;='PV IN'!$I$12*12,'PV IN'!$E$12*G130/1000,0)</f>
        <v>0</v>
      </c>
      <c r="O130" s="2">
        <f>IF(AND(C130&gt;'PV IN'!$I$12*12,C130&lt;='PV IN'!$I$13*12+'PV IN'!$I$12*12),'PV IN'!$E$13*PVCalcs!G130/1000,0)</f>
        <v>0</v>
      </c>
      <c r="P130" s="2">
        <f>IF(AND(C130&gt;'PV IN'!$I$12*12+'PV IN'!$I$13*12,C130&lt;='PV IN'!$I$12*12+'PV IN'!$I$13*12+'PV IN'!$I$14*12),'PV IN'!$E$14*PVCalcs!G130/1000,0)</f>
        <v>1823.9373638425304</v>
      </c>
      <c r="R130" s="10">
        <f>IF(AND('PV IN'!$D$35="YES",$C130&lt;='PV IN'!$E$35*12),-'PV IN'!$E$18*'PV IN'!$E$34/12,0)</f>
        <v>0</v>
      </c>
      <c r="S130" s="10">
        <f>IF(AND('PV IN'!$D$37="YES",$C130&lt;='PV IN'!$E$37*12),-'PV IN'!$E$18*'PV IN'!$E$36/12,0)</f>
        <v>0</v>
      </c>
      <c r="U130" s="2">
        <f t="shared" si="32"/>
        <v>11330.625618175669</v>
      </c>
      <c r="V130" s="10">
        <f>PVLoan!M157</f>
        <v>0</v>
      </c>
      <c r="W130" s="2">
        <f>IF(C130='PV IN'!$I$40,IF('PV IN'!$G$40="Non-Taxable",'PV IN'!$F$40,0),0)+IF(C130='PV IN'!$I$41,IF('PV IN'!$G$41="Non-Taxable",'PV IN'!$F$41,0),0)</f>
        <v>0</v>
      </c>
      <c r="X130" s="10"/>
      <c r="Y130" s="10">
        <f>IF('PV IN'!$E$15="Non-Taxable",SUM(N130:P130),0)</f>
        <v>1823.9373638425304</v>
      </c>
      <c r="Z130" s="10">
        <f>IF('PV IN'!$E$15="Taxable",SUM(N130:P130),0)</f>
        <v>0</v>
      </c>
      <c r="AA130" s="2">
        <f>IF(C130='PV IN'!$I$40,IF('PV IN'!$G$40="Taxable",'PV IN'!$F$40,0),0)+IF(C130='PV IN'!$I$41,IF('PV IN'!$G$41="Taxable",'PV IN'!$F$41,0),0)</f>
        <v>0</v>
      </c>
      <c r="AD130" s="10">
        <f>IF('PV IN'!$D$48="YES",-U130*'PV IN'!$E$8,0)</f>
        <v>0</v>
      </c>
      <c r="AE130" s="10">
        <f>IF('PV IN'!$N$10="Yes",-PVLoan!H158,-PVLoan!L158)</f>
        <v>0</v>
      </c>
      <c r="AF130" s="10">
        <f>IF('PV IN'!$N$10="Yes",-PVLoan!F158,0)</f>
        <v>0</v>
      </c>
      <c r="AG130" s="10">
        <f>IF(AND('PV IN'!$D$35="YES",$C130&lt;='PV IN'!$E$35*12),0,-'PV IN'!$E$18*'PV IN'!$E$34/12)</f>
        <v>-750</v>
      </c>
      <c r="AH130" s="10">
        <f>IF(AND('PV IN'!$D$37="YES",$C130&lt;='PV IN'!$E$37*12),0,-'PV IN'!$E$18*'PV IN'!$E$36/12)</f>
        <v>-625</v>
      </c>
      <c r="AI130" s="2">
        <f>IF(AND('PV IN'!$D$33="YES",PVCalcs!C130=ROUNDUP('PV IN'!$H$33*12,)),-'PV IN'!$E$33*'PV IN'!$E$18,0)</f>
        <v>0</v>
      </c>
      <c r="AK130" s="2">
        <f t="shared" si="17"/>
        <v>13154.5629820182</v>
      </c>
      <c r="AL130" s="2">
        <f t="shared" si="18"/>
        <v>-1375</v>
      </c>
      <c r="AM130" s="2">
        <f t="shared" si="22"/>
        <v>11779.5629820182</v>
      </c>
      <c r="AN130" s="43"/>
      <c r="AO130" s="2">
        <f t="shared" si="19"/>
        <v>0</v>
      </c>
      <c r="AP130" s="2">
        <f t="shared" si="23"/>
        <v>-1375</v>
      </c>
      <c r="AR130" s="2">
        <f t="shared" si="24"/>
        <v>-1375</v>
      </c>
      <c r="AS130" s="2">
        <f>-AR130*'PV IN'!$E$8</f>
        <v>288.75</v>
      </c>
      <c r="AT130" s="2">
        <f>IF('PV IN'!$F$4="Battery Only",0,AM130+AS130)</f>
        <v>12068.3129820182</v>
      </c>
      <c r="AV130" s="10">
        <f t="shared" si="25"/>
        <v>314738.03722137987</v>
      </c>
      <c r="AW130" s="2">
        <f>AT130/(1+('PV IN'!$G$9))^(C130)</f>
        <v>7230.3434033773938</v>
      </c>
      <c r="AX130" s="2">
        <f>IF(C130&lt;='PV IN'!$O$22*12,AW130+AX129,NA())</f>
        <v>-79104.138509462922</v>
      </c>
      <c r="AZ130" s="10">
        <f t="shared" si="20"/>
        <v>-1375</v>
      </c>
      <c r="BA130" s="10">
        <f t="shared" si="21"/>
        <v>1823.9373638425313</v>
      </c>
      <c r="BB130" s="10">
        <f t="shared" si="26"/>
        <v>448.93736384253134</v>
      </c>
      <c r="BC130" s="10">
        <f t="shared" si="27"/>
        <v>0</v>
      </c>
      <c r="BD130" s="10">
        <f t="shared" si="28"/>
        <v>-1375</v>
      </c>
      <c r="BE130" s="2">
        <f t="shared" si="29"/>
        <v>0</v>
      </c>
      <c r="BF130" s="10">
        <f t="shared" si="30"/>
        <v>-1375</v>
      </c>
      <c r="BG130" s="2">
        <f>-BF130*'PV IN'!$E$8</f>
        <v>288.75</v>
      </c>
      <c r="BH130" s="2">
        <f>IF('PV IN'!$F$4="Battery Only",0,BB130+BG130)</f>
        <v>737.68736384253134</v>
      </c>
      <c r="BI130" s="2">
        <f>BH130/(1+('PV IN'!$G$9))^(C130)</f>
        <v>441.96176987297014</v>
      </c>
    </row>
    <row r="131" spans="2:61" x14ac:dyDescent="0.25">
      <c r="C131">
        <v>127</v>
      </c>
      <c r="D131" s="16">
        <f>D130*(1+('PV IN'!$G$6/12))</f>
        <v>7.5999999999999998E-2</v>
      </c>
      <c r="E131" s="16">
        <f>LkUP!$U$31</f>
        <v>8.0758328633592641E-2</v>
      </c>
      <c r="F131" s="16">
        <f>IF('PV IN'!$D$7="Table",E131,D131)</f>
        <v>8.0758328633592641E-2</v>
      </c>
      <c r="G131" s="33">
        <f>('PV IN'!$E$25*'PV IN'!$E$18/12)*(1-(1-'PV IN'!$E$27)/(25*12))^C130</f>
        <v>140209.33889230524</v>
      </c>
      <c r="H131" s="33">
        <f>IF('PV IN'!$D$19="YES",G131*'PV IN'!$E$21,0)</f>
        <v>0</v>
      </c>
      <c r="I131" s="33">
        <f>IF('PV IN'!$D$19="YES",'PV IN'!$E$22*BattCalcs!W131,0)</f>
        <v>0</v>
      </c>
      <c r="J131" s="33">
        <f>IF('PV IN'!$D$19="YES",'PV IN'!$E$23*BattCalcs!Y131,0)</f>
        <v>0</v>
      </c>
      <c r="K131" s="33">
        <f>BattCalcs!AF131</f>
        <v>25811.765833333331</v>
      </c>
      <c r="L131" s="33">
        <f t="shared" si="31"/>
        <v>25811.765833333331</v>
      </c>
      <c r="M131" s="33">
        <f>IF('PV IN'!$F$4="PV Only",G131,G131-SUM(H131:J131,L131))</f>
        <v>140209.33889230524</v>
      </c>
      <c r="N131" s="2">
        <f>IF(C131&lt;='PV IN'!$I$12*12,'PV IN'!$E$12*G131/1000,0)</f>
        <v>0</v>
      </c>
      <c r="O131" s="2">
        <f>IF(AND(C131&gt;'PV IN'!$I$12*12,C131&lt;='PV IN'!$I$13*12+'PV IN'!$I$12*12),'PV IN'!$E$13*PVCalcs!G131/1000,0)</f>
        <v>0</v>
      </c>
      <c r="P131" s="2">
        <f>IF(AND(C131&gt;'PV IN'!$I$12*12+'PV IN'!$I$13*12,C131&lt;='PV IN'!$I$12*12+'PV IN'!$I$13*12+'PV IN'!$I$14*12),'PV IN'!$E$14*PVCalcs!G131/1000,0)</f>
        <v>1822.721405599968</v>
      </c>
      <c r="R131" s="10">
        <f>IF(AND('PV IN'!$D$35="YES",$C131&lt;='PV IN'!$E$35*12),-'PV IN'!$E$18*'PV IN'!$E$34/12,0)</f>
        <v>0</v>
      </c>
      <c r="S131" s="10">
        <f>IF(AND('PV IN'!$D$37="YES",$C131&lt;='PV IN'!$E$37*12),-'PV IN'!$E$18*'PV IN'!$E$36/12,0)</f>
        <v>0</v>
      </c>
      <c r="U131" s="2">
        <f t="shared" si="32"/>
        <v>11323.071867763549</v>
      </c>
      <c r="V131" s="10">
        <f>PVLoan!M158</f>
        <v>0</v>
      </c>
      <c r="W131" s="2">
        <f>IF(C131='PV IN'!$I$40,IF('PV IN'!$G$40="Non-Taxable",'PV IN'!$F$40,0),0)+IF(C131='PV IN'!$I$41,IF('PV IN'!$G$41="Non-Taxable",'PV IN'!$F$41,0),0)</f>
        <v>0</v>
      </c>
      <c r="X131" s="10"/>
      <c r="Y131" s="10">
        <f>IF('PV IN'!$E$15="Non-Taxable",SUM(N131:P131),0)</f>
        <v>1822.721405599968</v>
      </c>
      <c r="Z131" s="10">
        <f>IF('PV IN'!$E$15="Taxable",SUM(N131:P131),0)</f>
        <v>0</v>
      </c>
      <c r="AA131" s="2">
        <f>IF(C131='PV IN'!$I$40,IF('PV IN'!$G$40="Taxable",'PV IN'!$F$40,0),0)+IF(C131='PV IN'!$I$41,IF('PV IN'!$G$41="Taxable",'PV IN'!$F$41,0),0)</f>
        <v>0</v>
      </c>
      <c r="AD131" s="10">
        <f>IF('PV IN'!$D$48="YES",-U131*'PV IN'!$E$8,0)</f>
        <v>0</v>
      </c>
      <c r="AE131" s="10">
        <f>IF('PV IN'!$N$10="Yes",-PVLoan!H159,-PVLoan!L159)</f>
        <v>0</v>
      </c>
      <c r="AF131" s="10">
        <f>IF('PV IN'!$N$10="Yes",-PVLoan!F159,0)</f>
        <v>0</v>
      </c>
      <c r="AG131" s="10">
        <f>IF(AND('PV IN'!$D$35="YES",$C131&lt;='PV IN'!$E$35*12),0,-'PV IN'!$E$18*'PV IN'!$E$34/12)</f>
        <v>-750</v>
      </c>
      <c r="AH131" s="10">
        <f>IF(AND('PV IN'!$D$37="YES",$C131&lt;='PV IN'!$E$37*12),0,-'PV IN'!$E$18*'PV IN'!$E$36/12)</f>
        <v>-625</v>
      </c>
      <c r="AI131" s="2">
        <f>IF(AND('PV IN'!$D$33="YES",PVCalcs!C131=ROUNDUP('PV IN'!$H$33*12,)),-'PV IN'!$E$33*'PV IN'!$E$18,0)</f>
        <v>0</v>
      </c>
      <c r="AK131" s="2">
        <f t="shared" si="17"/>
        <v>13145.793273363517</v>
      </c>
      <c r="AL131" s="2">
        <f t="shared" si="18"/>
        <v>-1375</v>
      </c>
      <c r="AM131" s="2">
        <f t="shared" si="22"/>
        <v>11770.793273363517</v>
      </c>
      <c r="AN131" s="43"/>
      <c r="AO131" s="2">
        <f t="shared" si="19"/>
        <v>0</v>
      </c>
      <c r="AP131" s="2">
        <f t="shared" si="23"/>
        <v>-1375</v>
      </c>
      <c r="AR131" s="2">
        <f t="shared" si="24"/>
        <v>-1375</v>
      </c>
      <c r="AS131" s="2">
        <f>-AR131*'PV IN'!$E$8</f>
        <v>288.75</v>
      </c>
      <c r="AT131" s="2">
        <f>IF('PV IN'!$F$4="Battery Only",0,AM131+AS131)</f>
        <v>12059.543273363517</v>
      </c>
      <c r="AV131" s="10">
        <f t="shared" si="25"/>
        <v>326797.58049474336</v>
      </c>
      <c r="AW131" s="2">
        <f>AT131/(1+('PV IN'!$G$9))^(C131)</f>
        <v>7195.7728438798513</v>
      </c>
      <c r="AX131" s="2">
        <f>IF(C131&lt;='PV IN'!$O$22*12,AW131+AX130,NA())</f>
        <v>-71908.365665583071</v>
      </c>
      <c r="AZ131" s="10">
        <f t="shared" si="20"/>
        <v>-1375</v>
      </c>
      <c r="BA131" s="10">
        <f t="shared" si="21"/>
        <v>1822.7214055999684</v>
      </c>
      <c r="BB131" s="10">
        <f t="shared" si="26"/>
        <v>447.72140559996842</v>
      </c>
      <c r="BC131" s="10">
        <f t="shared" si="27"/>
        <v>0</v>
      </c>
      <c r="BD131" s="10">
        <f t="shared" si="28"/>
        <v>-1375</v>
      </c>
      <c r="BE131" s="2">
        <f t="shared" si="29"/>
        <v>0</v>
      </c>
      <c r="BF131" s="10">
        <f t="shared" si="30"/>
        <v>-1375</v>
      </c>
      <c r="BG131" s="2">
        <f>-BF131*'PV IN'!$E$8</f>
        <v>288.75</v>
      </c>
      <c r="BH131" s="2">
        <f>IF('PV IN'!$F$4="Battery Only",0,BB131+BG131)</f>
        <v>736.47140559996842</v>
      </c>
      <c r="BI131" s="2">
        <f>BH131/(1+('PV IN'!$G$9))^(C131)</f>
        <v>439.44292255374961</v>
      </c>
    </row>
    <row r="132" spans="2:61" x14ac:dyDescent="0.25">
      <c r="C132">
        <v>128</v>
      </c>
      <c r="D132" s="16">
        <f>D131*(1+('PV IN'!$G$6/12))</f>
        <v>7.5999999999999998E-2</v>
      </c>
      <c r="E132" s="16">
        <f>LkUP!$U$31</f>
        <v>8.0758328633592641E-2</v>
      </c>
      <c r="F132" s="16">
        <f>IF('PV IN'!$D$7="Table",E132,D132)</f>
        <v>8.0758328633592641E-2</v>
      </c>
      <c r="G132" s="33">
        <f>('PV IN'!$E$25*'PV IN'!$E$18/12)*(1-(1-'PV IN'!$E$27)/(25*12))^C131</f>
        <v>140115.8659997104</v>
      </c>
      <c r="H132" s="33">
        <f>IF('PV IN'!$D$19="YES",G132*'PV IN'!$E$21,0)</f>
        <v>0</v>
      </c>
      <c r="I132" s="33">
        <f>IF('PV IN'!$D$19="YES",'PV IN'!$E$22*BattCalcs!W132,0)</f>
        <v>0</v>
      </c>
      <c r="J132" s="33">
        <f>IF('PV IN'!$D$19="YES",'PV IN'!$E$23*BattCalcs!Y132,0)</f>
        <v>0</v>
      </c>
      <c r="K132" s="33">
        <f>BattCalcs!AF132</f>
        <v>25811.765833333331</v>
      </c>
      <c r="L132" s="33">
        <f t="shared" si="31"/>
        <v>25811.765833333331</v>
      </c>
      <c r="M132" s="33">
        <f>IF('PV IN'!$F$4="PV Only",G132,G132-SUM(H132:J132,L132))</f>
        <v>140115.8659997104</v>
      </c>
      <c r="N132" s="2">
        <f>IF(C132&lt;='PV IN'!$I$12*12,'PV IN'!$E$12*G132/1000,0)</f>
        <v>0</v>
      </c>
      <c r="O132" s="2">
        <f>IF(AND(C132&gt;'PV IN'!$I$12*12,C132&lt;='PV IN'!$I$13*12+'PV IN'!$I$12*12),'PV IN'!$E$13*PVCalcs!G132/1000,0)</f>
        <v>0</v>
      </c>
      <c r="P132" s="2">
        <f>IF(AND(C132&gt;'PV IN'!$I$12*12+'PV IN'!$I$13*12,C132&lt;='PV IN'!$I$12*12+'PV IN'!$I$13*12+'PV IN'!$I$14*12),'PV IN'!$E$14*PVCalcs!G132/1000,0)</f>
        <v>1821.506257996235</v>
      </c>
      <c r="R132" s="10">
        <f>IF(AND('PV IN'!$D$35="YES",$C132&lt;='PV IN'!$E$35*12),-'PV IN'!$E$18*'PV IN'!$E$34/12,0)</f>
        <v>0</v>
      </c>
      <c r="S132" s="10">
        <f>IF(AND('PV IN'!$D$37="YES",$C132&lt;='PV IN'!$E$37*12),-'PV IN'!$E$18*'PV IN'!$E$36/12,0)</f>
        <v>0</v>
      </c>
      <c r="U132" s="2">
        <f t="shared" si="32"/>
        <v>11315.523153185042</v>
      </c>
      <c r="V132" s="10">
        <f>PVLoan!M159</f>
        <v>0</v>
      </c>
      <c r="W132" s="2">
        <f>IF(C132='PV IN'!$I$40,IF('PV IN'!$G$40="Non-Taxable",'PV IN'!$F$40,0),0)+IF(C132='PV IN'!$I$41,IF('PV IN'!$G$41="Non-Taxable",'PV IN'!$F$41,0),0)</f>
        <v>0</v>
      </c>
      <c r="X132" s="10"/>
      <c r="Y132" s="10">
        <f>IF('PV IN'!$E$15="Non-Taxable",SUM(N132:P132),0)</f>
        <v>1821.506257996235</v>
      </c>
      <c r="Z132" s="10">
        <f>IF('PV IN'!$E$15="Taxable",SUM(N132:P132),0)</f>
        <v>0</v>
      </c>
      <c r="AA132" s="2">
        <f>IF(C132='PV IN'!$I$40,IF('PV IN'!$G$40="Taxable",'PV IN'!$F$40,0),0)+IF(C132='PV IN'!$I$41,IF('PV IN'!$G$41="Taxable",'PV IN'!$F$41,0),0)</f>
        <v>0</v>
      </c>
      <c r="AD132" s="10">
        <f>IF('PV IN'!$D$48="YES",-U132*'PV IN'!$E$8,0)</f>
        <v>0</v>
      </c>
      <c r="AE132" s="10">
        <f>IF('PV IN'!$N$10="Yes",-PVLoan!H160,-PVLoan!L160)</f>
        <v>0</v>
      </c>
      <c r="AF132" s="10">
        <f>IF('PV IN'!$N$10="Yes",-PVLoan!F160,0)</f>
        <v>0</v>
      </c>
      <c r="AG132" s="10">
        <f>IF(AND('PV IN'!$D$35="YES",$C132&lt;='PV IN'!$E$35*12),0,-'PV IN'!$E$18*'PV IN'!$E$34/12)</f>
        <v>-750</v>
      </c>
      <c r="AH132" s="10">
        <f>IF(AND('PV IN'!$D$37="YES",$C132&lt;='PV IN'!$E$37*12),0,-'PV IN'!$E$18*'PV IN'!$E$36/12)</f>
        <v>-625</v>
      </c>
      <c r="AI132" s="2">
        <f>IF(AND('PV IN'!$D$33="YES",PVCalcs!C132=ROUNDUP('PV IN'!$H$33*12,)),-'PV IN'!$E$33*'PV IN'!$E$18,0)</f>
        <v>0</v>
      </c>
      <c r="AK132" s="2">
        <f t="shared" ref="AK132:AK195" si="33">SUM(U132:AA132)</f>
        <v>13137.029411181276</v>
      </c>
      <c r="AL132" s="2">
        <f t="shared" ref="AL132:AL195" si="34">SUM(AC132:AI132)</f>
        <v>-1375</v>
      </c>
      <c r="AM132" s="2">
        <f t="shared" si="22"/>
        <v>11762.029411181276</v>
      </c>
      <c r="AN132" s="43"/>
      <c r="AO132" s="2">
        <f t="shared" ref="AO132:AO195" si="35">SUM(Z132:AA132)</f>
        <v>0</v>
      </c>
      <c r="AP132" s="2">
        <f t="shared" si="23"/>
        <v>-1375</v>
      </c>
      <c r="AR132" s="2">
        <f t="shared" si="24"/>
        <v>-1375</v>
      </c>
      <c r="AS132" s="2">
        <f>-AR132*'PV IN'!$E$8</f>
        <v>288.75</v>
      </c>
      <c r="AT132" s="2">
        <f>IF('PV IN'!$F$4="Battery Only",0,AM132+AS132)</f>
        <v>12050.779411181276</v>
      </c>
      <c r="AV132" s="10">
        <f t="shared" si="25"/>
        <v>338848.35990592465</v>
      </c>
      <c r="AW132" s="2">
        <f>AT132/(1+('PV IN'!$G$9))^(C132)</f>
        <v>7161.3672644437765</v>
      </c>
      <c r="AX132" s="2">
        <f>IF(C132&lt;='PV IN'!$O$22*12,AW132+AX131,NA())</f>
        <v>-64746.998401139295</v>
      </c>
      <c r="AZ132" s="10">
        <f t="shared" ref="AZ132:AZ195" si="36">AL132-AD132</f>
        <v>-1375</v>
      </c>
      <c r="BA132" s="10">
        <f t="shared" ref="BA132:BA195" si="37">AK132-U132</f>
        <v>1821.5062579962341</v>
      </c>
      <c r="BB132" s="10">
        <f t="shared" si="26"/>
        <v>446.50625799623413</v>
      </c>
      <c r="BC132" s="10">
        <f t="shared" si="27"/>
        <v>0</v>
      </c>
      <c r="BD132" s="10">
        <f t="shared" si="28"/>
        <v>-1375</v>
      </c>
      <c r="BE132" s="2">
        <f t="shared" si="29"/>
        <v>0</v>
      </c>
      <c r="BF132" s="10">
        <f t="shared" si="30"/>
        <v>-1375</v>
      </c>
      <c r="BG132" s="2">
        <f>-BF132*'PV IN'!$E$8</f>
        <v>288.75</v>
      </c>
      <c r="BH132" s="2">
        <f>IF('PV IN'!$F$4="Battery Only",0,BB132+BG132)</f>
        <v>735.25625799623413</v>
      </c>
      <c r="BI132" s="2">
        <f>BH132/(1+('PV IN'!$G$9))^(C132)</f>
        <v>436.9377213980149</v>
      </c>
    </row>
    <row r="133" spans="2:61" x14ac:dyDescent="0.25">
      <c r="C133">
        <v>129</v>
      </c>
      <c r="D133" s="16">
        <f>D132*(1+('PV IN'!$G$6/12))</f>
        <v>7.5999999999999998E-2</v>
      </c>
      <c r="E133" s="16">
        <f>LkUP!$U$31</f>
        <v>8.0758328633592641E-2</v>
      </c>
      <c r="F133" s="16">
        <f>IF('PV IN'!$D$7="Table",E133,D133)</f>
        <v>8.0758328633592641E-2</v>
      </c>
      <c r="G133" s="33">
        <f>('PV IN'!$E$25*'PV IN'!$E$18/12)*(1-(1-'PV IN'!$E$27)/(25*12))^C132</f>
        <v>140022.45542237724</v>
      </c>
      <c r="H133" s="33">
        <f>IF('PV IN'!$D$19="YES",G133*'PV IN'!$E$21,0)</f>
        <v>0</v>
      </c>
      <c r="I133" s="33">
        <f>IF('PV IN'!$D$19="YES",'PV IN'!$E$22*BattCalcs!W133,0)</f>
        <v>0</v>
      </c>
      <c r="J133" s="33">
        <f>IF('PV IN'!$D$19="YES",'PV IN'!$E$23*BattCalcs!Y133,0)</f>
        <v>0</v>
      </c>
      <c r="K133" s="33">
        <f>BattCalcs!AF133</f>
        <v>25811.765833333331</v>
      </c>
      <c r="L133" s="33">
        <f t="shared" si="31"/>
        <v>25811.765833333331</v>
      </c>
      <c r="M133" s="33">
        <f>IF('PV IN'!$F$4="PV Only",G133,G133-SUM(H133:J133,L133))</f>
        <v>140022.45542237724</v>
      </c>
      <c r="N133" s="2">
        <f>IF(C133&lt;='PV IN'!$I$12*12,'PV IN'!$E$12*G133/1000,0)</f>
        <v>0</v>
      </c>
      <c r="O133" s="2">
        <f>IF(AND(C133&gt;'PV IN'!$I$12*12,C133&lt;='PV IN'!$I$13*12+'PV IN'!$I$12*12),'PV IN'!$E$13*PVCalcs!G133/1000,0)</f>
        <v>0</v>
      </c>
      <c r="P133" s="2">
        <f>IF(AND(C133&gt;'PV IN'!$I$12*12+'PV IN'!$I$13*12,C133&lt;='PV IN'!$I$12*12+'PV IN'!$I$13*12+'PV IN'!$I$14*12),'PV IN'!$E$14*PVCalcs!G133/1000,0)</f>
        <v>1820.2919204909042</v>
      </c>
      <c r="R133" s="10">
        <f>IF(AND('PV IN'!$D$35="YES",$C133&lt;='PV IN'!$E$35*12),-'PV IN'!$E$18*'PV IN'!$E$34/12,0)</f>
        <v>0</v>
      </c>
      <c r="S133" s="10">
        <f>IF(AND('PV IN'!$D$37="YES",$C133&lt;='PV IN'!$E$37*12),-'PV IN'!$E$18*'PV IN'!$E$36/12,0)</f>
        <v>0</v>
      </c>
      <c r="U133" s="2">
        <f t="shared" si="32"/>
        <v>11307.979471082917</v>
      </c>
      <c r="V133" s="10">
        <f>PVLoan!M160</f>
        <v>0</v>
      </c>
      <c r="W133" s="2">
        <f>IF(C133='PV IN'!$I$40,IF('PV IN'!$G$40="Non-Taxable",'PV IN'!$F$40,0),0)+IF(C133='PV IN'!$I$41,IF('PV IN'!$G$41="Non-Taxable",'PV IN'!$F$41,0),0)</f>
        <v>0</v>
      </c>
      <c r="X133" s="10"/>
      <c r="Y133" s="10">
        <f>IF('PV IN'!$E$15="Non-Taxable",SUM(N133:P133),0)</f>
        <v>1820.2919204909042</v>
      </c>
      <c r="Z133" s="10">
        <f>IF('PV IN'!$E$15="Taxable",SUM(N133:P133),0)</f>
        <v>0</v>
      </c>
      <c r="AA133" s="2">
        <f>IF(C133='PV IN'!$I$40,IF('PV IN'!$G$40="Taxable",'PV IN'!$F$40,0),0)+IF(C133='PV IN'!$I$41,IF('PV IN'!$G$41="Taxable",'PV IN'!$F$41,0),0)</f>
        <v>0</v>
      </c>
      <c r="AD133" s="10">
        <f>IF('PV IN'!$D$48="YES",-U133*'PV IN'!$E$8,0)</f>
        <v>0</v>
      </c>
      <c r="AE133" s="10">
        <f>IF('PV IN'!$N$10="Yes",-PVLoan!H161,-PVLoan!L161)</f>
        <v>0</v>
      </c>
      <c r="AF133" s="10">
        <f>IF('PV IN'!$N$10="Yes",-PVLoan!F161,0)</f>
        <v>0</v>
      </c>
      <c r="AG133" s="10">
        <f>IF(AND('PV IN'!$D$35="YES",$C133&lt;='PV IN'!$E$35*12),0,-'PV IN'!$E$18*'PV IN'!$E$34/12)</f>
        <v>-750</v>
      </c>
      <c r="AH133" s="10">
        <f>IF(AND('PV IN'!$D$37="YES",$C133&lt;='PV IN'!$E$37*12),0,-'PV IN'!$E$18*'PV IN'!$E$36/12)</f>
        <v>-625</v>
      </c>
      <c r="AI133" s="2">
        <f>IF(AND('PV IN'!$D$33="YES",PVCalcs!C133=ROUNDUP('PV IN'!$H$33*12,)),-'PV IN'!$E$33*'PV IN'!$E$18,0)</f>
        <v>0</v>
      </c>
      <c r="AK133" s="2">
        <f t="shared" si="33"/>
        <v>13128.271391573822</v>
      </c>
      <c r="AL133" s="2">
        <f t="shared" si="34"/>
        <v>-1375</v>
      </c>
      <c r="AM133" s="2">
        <f t="shared" ref="AM133:AM196" si="38">AK133+AL133</f>
        <v>11753.271391573822</v>
      </c>
      <c r="AN133" s="43"/>
      <c r="AO133" s="2">
        <f t="shared" si="35"/>
        <v>0</v>
      </c>
      <c r="AP133" s="2">
        <f t="shared" ref="AP133:AP196" si="39">SUM(AF133:AI133)</f>
        <v>-1375</v>
      </c>
      <c r="AR133" s="2">
        <f t="shared" ref="AR133:AR196" si="40">SUM(AO133:AQ133)</f>
        <v>-1375</v>
      </c>
      <c r="AS133" s="2">
        <f>-AR133*'PV IN'!$E$8</f>
        <v>288.75</v>
      </c>
      <c r="AT133" s="2">
        <f>IF('PV IN'!$F$4="Battery Only",0,AM133+AS133)</f>
        <v>12042.021391573822</v>
      </c>
      <c r="AV133" s="10">
        <f t="shared" ref="AV133:AV196" si="41">AV132+AT133</f>
        <v>350890.38129749848</v>
      </c>
      <c r="AW133" s="2">
        <f>AT133/(1+('PV IN'!$G$9))^(C133)</f>
        <v>7127.1258789927206</v>
      </c>
      <c r="AX133" s="2">
        <f>IF(C133&lt;='PV IN'!$O$22*12,AW133+AX132,NA())</f>
        <v>-57619.872522146572</v>
      </c>
      <c r="AZ133" s="10">
        <f t="shared" si="36"/>
        <v>-1375</v>
      </c>
      <c r="BA133" s="10">
        <f t="shared" si="37"/>
        <v>1820.2919204909049</v>
      </c>
      <c r="BB133" s="10">
        <f t="shared" ref="BB133:BB196" si="42">AZ133+BA133</f>
        <v>445.29192049090489</v>
      </c>
      <c r="BC133" s="10">
        <f t="shared" ref="BC133:BC196" si="43">AO133</f>
        <v>0</v>
      </c>
      <c r="BD133" s="10">
        <f t="shared" ref="BD133:BD196" si="44">AP133</f>
        <v>-1375</v>
      </c>
      <c r="BE133" s="2">
        <f t="shared" ref="BE133:BE196" si="45">AQ133</f>
        <v>0</v>
      </c>
      <c r="BF133" s="10">
        <f t="shared" ref="BF133:BF196" si="46">SUM(BC133:BE133)</f>
        <v>-1375</v>
      </c>
      <c r="BG133" s="2">
        <f>-BF133*'PV IN'!$E$8</f>
        <v>288.75</v>
      </c>
      <c r="BH133" s="2">
        <f>IF('PV IN'!$F$4="Battery Only",0,BB133+BG133)</f>
        <v>734.04192049090489</v>
      </c>
      <c r="BI133" s="2">
        <f>BH133/(1+('PV IN'!$G$9))^(C133)</f>
        <v>434.44609486053275</v>
      </c>
    </row>
    <row r="134" spans="2:61" x14ac:dyDescent="0.25">
      <c r="C134">
        <v>130</v>
      </c>
      <c r="D134" s="16">
        <f>D133*(1+('PV IN'!$G$6/12))</f>
        <v>7.5999999999999998E-2</v>
      </c>
      <c r="E134" s="16">
        <f>LkUP!$U$31</f>
        <v>8.0758328633592641E-2</v>
      </c>
      <c r="F134" s="16">
        <f>IF('PV IN'!$D$7="Table",E134,D134)</f>
        <v>8.0758328633592641E-2</v>
      </c>
      <c r="G134" s="33">
        <f>('PV IN'!$E$25*'PV IN'!$E$18/12)*(1-(1-'PV IN'!$E$27)/(25*12))^C133</f>
        <v>139929.10711876233</v>
      </c>
      <c r="H134" s="33">
        <f>IF('PV IN'!$D$19="YES",G134*'PV IN'!$E$21,0)</f>
        <v>0</v>
      </c>
      <c r="I134" s="33">
        <f>IF('PV IN'!$D$19="YES",'PV IN'!$E$22*BattCalcs!W134,0)</f>
        <v>0</v>
      </c>
      <c r="J134" s="33">
        <f>IF('PV IN'!$D$19="YES",'PV IN'!$E$23*BattCalcs!Y134,0)</f>
        <v>0</v>
      </c>
      <c r="K134" s="33">
        <f>BattCalcs!AF134</f>
        <v>25811.765833333331</v>
      </c>
      <c r="L134" s="33">
        <f t="shared" ref="L134:L197" si="47">IF(SUM(H134:K134)&lt;=G134,K134,G134-SUM(H134:J134))</f>
        <v>25811.765833333331</v>
      </c>
      <c r="M134" s="33">
        <f>IF('PV IN'!$F$4="PV Only",G134,G134-SUM(H134:J134,L134))</f>
        <v>139929.10711876233</v>
      </c>
      <c r="N134" s="2">
        <f>IF(C134&lt;='PV IN'!$I$12*12,'PV IN'!$E$12*G134/1000,0)</f>
        <v>0</v>
      </c>
      <c r="O134" s="2">
        <f>IF(AND(C134&gt;'PV IN'!$I$12*12,C134&lt;='PV IN'!$I$13*12+'PV IN'!$I$12*12),'PV IN'!$E$13*PVCalcs!G134/1000,0)</f>
        <v>0</v>
      </c>
      <c r="P134" s="2">
        <f>IF(AND(C134&gt;'PV IN'!$I$12*12+'PV IN'!$I$13*12,C134&lt;='PV IN'!$I$12*12+'PV IN'!$I$13*12+'PV IN'!$I$14*12),'PV IN'!$E$14*PVCalcs!G134/1000,0)</f>
        <v>1819.0783925439102</v>
      </c>
      <c r="R134" s="10">
        <f>IF(AND('PV IN'!$D$35="YES",$C134&lt;='PV IN'!$E$35*12),-'PV IN'!$E$18*'PV IN'!$E$34/12,0)</f>
        <v>0</v>
      </c>
      <c r="S134" s="10">
        <f>IF(AND('PV IN'!$D$37="YES",$C134&lt;='PV IN'!$E$37*12),-'PV IN'!$E$18*'PV IN'!$E$36/12,0)</f>
        <v>0</v>
      </c>
      <c r="U134" s="2">
        <f t="shared" ref="U134:U197" si="48">F134*M134</f>
        <v>11300.440818102195</v>
      </c>
      <c r="V134" s="10">
        <f>PVLoan!M161</f>
        <v>0</v>
      </c>
      <c r="W134" s="2">
        <f>IF(C134='PV IN'!$I$40,IF('PV IN'!$G$40="Non-Taxable",'PV IN'!$F$40,0),0)+IF(C134='PV IN'!$I$41,IF('PV IN'!$G$41="Non-Taxable",'PV IN'!$F$41,0),0)</f>
        <v>0</v>
      </c>
      <c r="X134" s="10"/>
      <c r="Y134" s="10">
        <f>IF('PV IN'!$E$15="Non-Taxable",SUM(N134:P134),0)</f>
        <v>1819.0783925439102</v>
      </c>
      <c r="Z134" s="10">
        <f>IF('PV IN'!$E$15="Taxable",SUM(N134:P134),0)</f>
        <v>0</v>
      </c>
      <c r="AA134" s="2">
        <f>IF(C134='PV IN'!$I$40,IF('PV IN'!$G$40="Taxable",'PV IN'!$F$40,0),0)+IF(C134='PV IN'!$I$41,IF('PV IN'!$G$41="Taxable",'PV IN'!$F$41,0),0)</f>
        <v>0</v>
      </c>
      <c r="AD134" s="10">
        <f>IF('PV IN'!$D$48="YES",-U134*'PV IN'!$E$8,0)</f>
        <v>0</v>
      </c>
      <c r="AE134" s="10">
        <f>IF('PV IN'!$N$10="Yes",-PVLoan!H162,-PVLoan!L162)</f>
        <v>0</v>
      </c>
      <c r="AF134" s="10">
        <f>IF('PV IN'!$N$10="Yes",-PVLoan!F162,0)</f>
        <v>0</v>
      </c>
      <c r="AG134" s="10">
        <f>IF(AND('PV IN'!$D$35="YES",$C134&lt;='PV IN'!$E$35*12),0,-'PV IN'!$E$18*'PV IN'!$E$34/12)</f>
        <v>-750</v>
      </c>
      <c r="AH134" s="10">
        <f>IF(AND('PV IN'!$D$37="YES",$C134&lt;='PV IN'!$E$37*12),0,-'PV IN'!$E$18*'PV IN'!$E$36/12)</f>
        <v>-625</v>
      </c>
      <c r="AI134" s="2">
        <f>IF(AND('PV IN'!$D$33="YES",PVCalcs!C134=ROUNDUP('PV IN'!$H$33*12,)),-'PV IN'!$E$33*'PV IN'!$E$18,0)</f>
        <v>0</v>
      </c>
      <c r="AK134" s="2">
        <f t="shared" si="33"/>
        <v>13119.519210646105</v>
      </c>
      <c r="AL134" s="2">
        <f t="shared" si="34"/>
        <v>-1375</v>
      </c>
      <c r="AM134" s="2">
        <f t="shared" si="38"/>
        <v>11744.519210646105</v>
      </c>
      <c r="AN134" s="43"/>
      <c r="AO134" s="2">
        <f t="shared" si="35"/>
        <v>0</v>
      </c>
      <c r="AP134" s="2">
        <f t="shared" si="39"/>
        <v>-1375</v>
      </c>
      <c r="AR134" s="2">
        <f t="shared" si="40"/>
        <v>-1375</v>
      </c>
      <c r="AS134" s="2">
        <f>-AR134*'PV IN'!$E$8</f>
        <v>288.75</v>
      </c>
      <c r="AT134" s="2">
        <f>IF('PV IN'!$F$4="Battery Only",0,AM134+AS134)</f>
        <v>12033.269210646105</v>
      </c>
      <c r="AV134" s="10">
        <f t="shared" si="41"/>
        <v>362923.65050814458</v>
      </c>
      <c r="AW134" s="2">
        <f>AT134/(1+('PV IN'!$G$9))^(C134)</f>
        <v>7093.0479051906077</v>
      </c>
      <c r="AX134" s="2">
        <f>IF(C134&lt;='PV IN'!$O$22*12,AW134+AX133,NA())</f>
        <v>-50526.824616955964</v>
      </c>
      <c r="AZ134" s="10">
        <f t="shared" si="36"/>
        <v>-1375</v>
      </c>
      <c r="BA134" s="10">
        <f t="shared" si="37"/>
        <v>1819.07839254391</v>
      </c>
      <c r="BB134" s="10">
        <f t="shared" si="42"/>
        <v>444.07839254391001</v>
      </c>
      <c r="BC134" s="10">
        <f t="shared" si="43"/>
        <v>0</v>
      </c>
      <c r="BD134" s="10">
        <f t="shared" si="44"/>
        <v>-1375</v>
      </c>
      <c r="BE134" s="2">
        <f t="shared" si="45"/>
        <v>0</v>
      </c>
      <c r="BF134" s="10">
        <f t="shared" si="46"/>
        <v>-1375</v>
      </c>
      <c r="BG134" s="2">
        <f>-BF134*'PV IN'!$E$8</f>
        <v>288.75</v>
      </c>
      <c r="BH134" s="2">
        <f>IF('PV IN'!$F$4="Battery Only",0,BB134+BG134)</f>
        <v>732.82839254391001</v>
      </c>
      <c r="BI134" s="2">
        <f>BH134/(1+('PV IN'!$G$9))^(C134)</f>
        <v>431.96797176273628</v>
      </c>
    </row>
    <row r="135" spans="2:61" x14ac:dyDescent="0.25">
      <c r="C135">
        <v>131</v>
      </c>
      <c r="D135" s="16">
        <f>D134*(1+('PV IN'!$G$6/12))</f>
        <v>7.5999999999999998E-2</v>
      </c>
      <c r="E135" s="16">
        <f>LkUP!$U$31</f>
        <v>8.0758328633592641E-2</v>
      </c>
      <c r="F135" s="16">
        <f>IF('PV IN'!$D$7="Table",E135,D135)</f>
        <v>8.0758328633592641E-2</v>
      </c>
      <c r="G135" s="33">
        <f>('PV IN'!$E$25*'PV IN'!$E$18/12)*(1-(1-'PV IN'!$E$27)/(25*12))^C134</f>
        <v>139835.8210473498</v>
      </c>
      <c r="H135" s="33">
        <f>IF('PV IN'!$D$19="YES",G135*'PV IN'!$E$21,0)</f>
        <v>0</v>
      </c>
      <c r="I135" s="33">
        <f>IF('PV IN'!$D$19="YES",'PV IN'!$E$22*BattCalcs!W135,0)</f>
        <v>0</v>
      </c>
      <c r="J135" s="33">
        <f>IF('PV IN'!$D$19="YES",'PV IN'!$E$23*BattCalcs!Y135,0)</f>
        <v>0</v>
      </c>
      <c r="K135" s="33">
        <f>BattCalcs!AF135</f>
        <v>25811.765833333331</v>
      </c>
      <c r="L135" s="33">
        <f t="shared" si="47"/>
        <v>25811.765833333331</v>
      </c>
      <c r="M135" s="33">
        <f>IF('PV IN'!$F$4="PV Only",G135,G135-SUM(H135:J135,L135))</f>
        <v>139835.8210473498</v>
      </c>
      <c r="N135" s="2">
        <f>IF(C135&lt;='PV IN'!$I$12*12,'PV IN'!$E$12*G135/1000,0)</f>
        <v>0</v>
      </c>
      <c r="O135" s="2">
        <f>IF(AND(C135&gt;'PV IN'!$I$12*12,C135&lt;='PV IN'!$I$13*12+'PV IN'!$I$12*12),'PV IN'!$E$13*PVCalcs!G135/1000,0)</f>
        <v>0</v>
      </c>
      <c r="P135" s="2">
        <f>IF(AND(C135&gt;'PV IN'!$I$12*12+'PV IN'!$I$13*12,C135&lt;='PV IN'!$I$12*12+'PV IN'!$I$13*12+'PV IN'!$I$14*12),'PV IN'!$E$14*PVCalcs!G135/1000,0)</f>
        <v>1817.8656736155474</v>
      </c>
      <c r="R135" s="10">
        <f>IF(AND('PV IN'!$D$35="YES",$C135&lt;='PV IN'!$E$35*12),-'PV IN'!$E$18*'PV IN'!$E$34/12,0)</f>
        <v>0</v>
      </c>
      <c r="S135" s="10">
        <f>IF(AND('PV IN'!$D$37="YES",$C135&lt;='PV IN'!$E$37*12),-'PV IN'!$E$18*'PV IN'!$E$36/12,0)</f>
        <v>0</v>
      </c>
      <c r="U135" s="2">
        <f t="shared" si="48"/>
        <v>11292.907190890126</v>
      </c>
      <c r="V135" s="10">
        <f>PVLoan!M162</f>
        <v>0</v>
      </c>
      <c r="W135" s="2">
        <f>IF(C135='PV IN'!$I$40,IF('PV IN'!$G$40="Non-Taxable",'PV IN'!$F$40,0),0)+IF(C135='PV IN'!$I$41,IF('PV IN'!$G$41="Non-Taxable",'PV IN'!$F$41,0),0)</f>
        <v>0</v>
      </c>
      <c r="X135" s="10"/>
      <c r="Y135" s="10">
        <f>IF('PV IN'!$E$15="Non-Taxable",SUM(N135:P135),0)</f>
        <v>1817.8656736155474</v>
      </c>
      <c r="Z135" s="10">
        <f>IF('PV IN'!$E$15="Taxable",SUM(N135:P135),0)</f>
        <v>0</v>
      </c>
      <c r="AA135" s="2">
        <f>IF(C135='PV IN'!$I$40,IF('PV IN'!$G$40="Taxable",'PV IN'!$F$40,0),0)+IF(C135='PV IN'!$I$41,IF('PV IN'!$G$41="Taxable",'PV IN'!$F$41,0),0)</f>
        <v>0</v>
      </c>
      <c r="AD135" s="10">
        <f>IF('PV IN'!$D$48="YES",-U135*'PV IN'!$E$8,0)</f>
        <v>0</v>
      </c>
      <c r="AE135" s="10">
        <f>IF('PV IN'!$N$10="Yes",-PVLoan!H163,-PVLoan!L163)</f>
        <v>0</v>
      </c>
      <c r="AF135" s="10">
        <f>IF('PV IN'!$N$10="Yes",-PVLoan!F163,0)</f>
        <v>0</v>
      </c>
      <c r="AG135" s="10">
        <f>IF(AND('PV IN'!$D$35="YES",$C135&lt;='PV IN'!$E$35*12),0,-'PV IN'!$E$18*'PV IN'!$E$34/12)</f>
        <v>-750</v>
      </c>
      <c r="AH135" s="10">
        <f>IF(AND('PV IN'!$D$37="YES",$C135&lt;='PV IN'!$E$37*12),0,-'PV IN'!$E$18*'PV IN'!$E$36/12)</f>
        <v>-625</v>
      </c>
      <c r="AI135" s="2">
        <f>IF(AND('PV IN'!$D$33="YES",PVCalcs!C135=ROUNDUP('PV IN'!$H$33*12,)),-'PV IN'!$E$33*'PV IN'!$E$18,0)</f>
        <v>0</v>
      </c>
      <c r="AK135" s="2">
        <f t="shared" si="33"/>
        <v>13110.772864505674</v>
      </c>
      <c r="AL135" s="2">
        <f t="shared" si="34"/>
        <v>-1375</v>
      </c>
      <c r="AM135" s="2">
        <f t="shared" si="38"/>
        <v>11735.772864505674</v>
      </c>
      <c r="AN135" s="43"/>
      <c r="AO135" s="2">
        <f t="shared" si="35"/>
        <v>0</v>
      </c>
      <c r="AP135" s="2">
        <f t="shared" si="39"/>
        <v>-1375</v>
      </c>
      <c r="AR135" s="2">
        <f t="shared" si="40"/>
        <v>-1375</v>
      </c>
      <c r="AS135" s="2">
        <f>-AR135*'PV IN'!$E$8</f>
        <v>288.75</v>
      </c>
      <c r="AT135" s="2">
        <f>IF('PV IN'!$F$4="Battery Only",0,AM135+AS135)</f>
        <v>12024.522864505674</v>
      </c>
      <c r="AV135" s="10">
        <f t="shared" si="41"/>
        <v>374948.17337265023</v>
      </c>
      <c r="AW135" s="2">
        <f>AT135/(1+('PV IN'!$G$9))^(C135)</f>
        <v>7059.1325644239541</v>
      </c>
      <c r="AX135" s="2">
        <f>IF(C135&lt;='PV IN'!$O$22*12,AW135+AX134,NA())</f>
        <v>-43467.692052532009</v>
      </c>
      <c r="AZ135" s="10">
        <f t="shared" si="36"/>
        <v>-1375</v>
      </c>
      <c r="BA135" s="10">
        <f t="shared" si="37"/>
        <v>1817.8656736155481</v>
      </c>
      <c r="BB135" s="10">
        <f t="shared" si="42"/>
        <v>442.86567361554808</v>
      </c>
      <c r="BC135" s="10">
        <f t="shared" si="43"/>
        <v>0</v>
      </c>
      <c r="BD135" s="10">
        <f t="shared" si="44"/>
        <v>-1375</v>
      </c>
      <c r="BE135" s="2">
        <f t="shared" si="45"/>
        <v>0</v>
      </c>
      <c r="BF135" s="10">
        <f t="shared" si="46"/>
        <v>-1375</v>
      </c>
      <c r="BG135" s="2">
        <f>-BF135*'PV IN'!$E$8</f>
        <v>288.75</v>
      </c>
      <c r="BH135" s="2">
        <f>IF('PV IN'!$F$4="Battery Only",0,BB135+BG135)</f>
        <v>731.61567361554808</v>
      </c>
      <c r="BI135" s="2">
        <f>BH135/(1+('PV IN'!$G$9))^(C135)</f>
        <v>429.50328129088695</v>
      </c>
    </row>
    <row r="136" spans="2:61" x14ac:dyDescent="0.25">
      <c r="B136">
        <v>11</v>
      </c>
      <c r="C136">
        <v>132</v>
      </c>
      <c r="D136" s="16">
        <f>D135*(1+('PV IN'!$G$6/12))</f>
        <v>7.5999999999999998E-2</v>
      </c>
      <c r="E136" s="16">
        <f>LkUP!$U$31</f>
        <v>8.0758328633592641E-2</v>
      </c>
      <c r="F136" s="16">
        <f>IF('PV IN'!$D$7="Table",E136,D136)</f>
        <v>8.0758328633592641E-2</v>
      </c>
      <c r="G136" s="33">
        <f>('PV IN'!$E$25*'PV IN'!$E$18/12)*(1-(1-'PV IN'!$E$27)/(25*12))^C135</f>
        <v>139742.59716665157</v>
      </c>
      <c r="H136" s="33">
        <f>IF('PV IN'!$D$19="YES",G136*'PV IN'!$E$21,0)</f>
        <v>0</v>
      </c>
      <c r="I136" s="33">
        <f>IF('PV IN'!$D$19="YES",'PV IN'!$E$22*BattCalcs!W136,0)</f>
        <v>0</v>
      </c>
      <c r="J136" s="33">
        <f>IF('PV IN'!$D$19="YES",'PV IN'!$E$23*BattCalcs!Y136,0)</f>
        <v>0</v>
      </c>
      <c r="K136" s="33">
        <f>BattCalcs!AF136</f>
        <v>25811.765833333331</v>
      </c>
      <c r="L136" s="33">
        <f t="shared" si="47"/>
        <v>25811.765833333331</v>
      </c>
      <c r="M136" s="33">
        <f>IF('PV IN'!$F$4="PV Only",G136,G136-SUM(H136:J136,L136))</f>
        <v>139742.59716665157</v>
      </c>
      <c r="N136" s="2">
        <f>IF(C136&lt;='PV IN'!$I$12*12,'PV IN'!$E$12*G136/1000,0)</f>
        <v>0</v>
      </c>
      <c r="O136" s="2">
        <f>IF(AND(C136&gt;'PV IN'!$I$12*12,C136&lt;='PV IN'!$I$13*12+'PV IN'!$I$12*12),'PV IN'!$E$13*PVCalcs!G136/1000,0)</f>
        <v>0</v>
      </c>
      <c r="P136" s="2">
        <f>IF(AND(C136&gt;'PV IN'!$I$12*12+'PV IN'!$I$13*12,C136&lt;='PV IN'!$I$12*12+'PV IN'!$I$13*12+'PV IN'!$I$14*12),'PV IN'!$E$14*PVCalcs!G136/1000,0)</f>
        <v>1816.6537631664705</v>
      </c>
      <c r="R136" s="10">
        <f>IF(AND('PV IN'!$D$35="YES",$C136&lt;='PV IN'!$E$35*12),-'PV IN'!$E$18*'PV IN'!$E$34/12,0)</f>
        <v>0</v>
      </c>
      <c r="S136" s="10">
        <f>IF(AND('PV IN'!$D$37="YES",$C136&lt;='PV IN'!$E$37*12),-'PV IN'!$E$18*'PV IN'!$E$36/12,0)</f>
        <v>0</v>
      </c>
      <c r="U136" s="2">
        <f t="shared" si="48"/>
        <v>11285.3785860962</v>
      </c>
      <c r="V136" s="10">
        <f>PVLoan!M163</f>
        <v>0</v>
      </c>
      <c r="W136" s="2">
        <f>IF(C136='PV IN'!$I$40,IF('PV IN'!$G$40="Non-Taxable",'PV IN'!$F$40,0),0)+IF(C136='PV IN'!$I$41,IF('PV IN'!$G$41="Non-Taxable",'PV IN'!$F$41,0),0)</f>
        <v>0</v>
      </c>
      <c r="X136" s="10"/>
      <c r="Y136" s="10">
        <f>IF('PV IN'!$E$15="Non-Taxable",SUM(N136:P136),0)</f>
        <v>1816.6537631664705</v>
      </c>
      <c r="Z136" s="10">
        <f>IF('PV IN'!$E$15="Taxable",SUM(N136:P136),0)</f>
        <v>0</v>
      </c>
      <c r="AA136" s="2">
        <f>IF(C136='PV IN'!$I$40,IF('PV IN'!$G$40="Taxable",'PV IN'!$F$40,0),0)+IF(C136='PV IN'!$I$41,IF('PV IN'!$G$41="Taxable",'PV IN'!$F$41,0),0)</f>
        <v>0</v>
      </c>
      <c r="AD136" s="10">
        <f>IF('PV IN'!$D$48="YES",-U136*'PV IN'!$E$8,0)</f>
        <v>0</v>
      </c>
      <c r="AE136" s="10">
        <f>IF('PV IN'!$N$10="Yes",-PVLoan!H164,-PVLoan!L164)</f>
        <v>0</v>
      </c>
      <c r="AF136" s="10">
        <f>IF('PV IN'!$N$10="Yes",-PVLoan!F164,0)</f>
        <v>0</v>
      </c>
      <c r="AG136" s="10">
        <f>IF(AND('PV IN'!$D$35="YES",$C136&lt;='PV IN'!$E$35*12),0,-'PV IN'!$E$18*'PV IN'!$E$34/12)</f>
        <v>-750</v>
      </c>
      <c r="AH136" s="10">
        <f>IF(AND('PV IN'!$D$37="YES",$C136&lt;='PV IN'!$E$37*12),0,-'PV IN'!$E$18*'PV IN'!$E$36/12)</f>
        <v>-625</v>
      </c>
      <c r="AI136" s="2">
        <f>IF(AND('PV IN'!$D$33="YES",PVCalcs!C136=ROUNDUP('PV IN'!$H$33*12,)),-'PV IN'!$E$33*'PV IN'!$E$18,0)</f>
        <v>0</v>
      </c>
      <c r="AK136" s="2">
        <f t="shared" si="33"/>
        <v>13102.03234926267</v>
      </c>
      <c r="AL136" s="2">
        <f t="shared" si="34"/>
        <v>-1375</v>
      </c>
      <c r="AM136" s="2">
        <f t="shared" si="38"/>
        <v>11727.03234926267</v>
      </c>
      <c r="AN136" s="43"/>
      <c r="AO136" s="2">
        <f t="shared" si="35"/>
        <v>0</v>
      </c>
      <c r="AP136" s="2">
        <f t="shared" si="39"/>
        <v>-1375</v>
      </c>
      <c r="AR136" s="2">
        <f t="shared" si="40"/>
        <v>-1375</v>
      </c>
      <c r="AS136" s="2">
        <f>-AR136*'PV IN'!$E$8</f>
        <v>288.75</v>
      </c>
      <c r="AT136" s="2">
        <f>IF('PV IN'!$F$4="Battery Only",0,AM136+AS136)</f>
        <v>12015.78234926267</v>
      </c>
      <c r="AV136" s="10">
        <f t="shared" si="41"/>
        <v>386963.95572191291</v>
      </c>
      <c r="AW136" s="2">
        <f>AT136/(1+('PV IN'!$G$9))^(C136)</f>
        <v>7025.3790817841755</v>
      </c>
      <c r="AX136" s="2">
        <f>IF(C136&lt;='PV IN'!$O$22*12,AW136+AX135,NA())</f>
        <v>-36442.312970747837</v>
      </c>
      <c r="AZ136" s="10">
        <f t="shared" si="36"/>
        <v>-1375</v>
      </c>
      <c r="BA136" s="10">
        <f t="shared" si="37"/>
        <v>1816.6537631664705</v>
      </c>
      <c r="BB136" s="10">
        <f t="shared" si="42"/>
        <v>441.65376316647053</v>
      </c>
      <c r="BC136" s="10">
        <f t="shared" si="43"/>
        <v>0</v>
      </c>
      <c r="BD136" s="10">
        <f t="shared" si="44"/>
        <v>-1375</v>
      </c>
      <c r="BE136" s="2">
        <f t="shared" si="45"/>
        <v>0</v>
      </c>
      <c r="BF136" s="10">
        <f t="shared" si="46"/>
        <v>-1375</v>
      </c>
      <c r="BG136" s="2">
        <f>-BF136*'PV IN'!$E$8</f>
        <v>288.75</v>
      </c>
      <c r="BH136" s="2">
        <f>IF('PV IN'!$F$4="Battery Only",0,BB136+BG136)</f>
        <v>730.40376316647053</v>
      </c>
      <c r="BI136" s="2">
        <f>BH136/(1+('PV IN'!$G$9))^(C136)</f>
        <v>427.05195299422542</v>
      </c>
    </row>
    <row r="137" spans="2:61" x14ac:dyDescent="0.25">
      <c r="C137">
        <v>133</v>
      </c>
      <c r="D137" s="16">
        <f>D136*(1+('PV IN'!$G$6/12))</f>
        <v>7.5999999999999998E-2</v>
      </c>
      <c r="E137" s="16">
        <f>LkUP!$U$32</f>
        <v>8.0358632345087277E-2</v>
      </c>
      <c r="F137" s="16">
        <f>IF('PV IN'!$D$7="Table",E137,D137)</f>
        <v>8.0358632345087277E-2</v>
      </c>
      <c r="G137" s="33">
        <f>('PV IN'!$E$25*'PV IN'!$E$18/12)*(1-(1-'PV IN'!$E$27)/(25*12))^C136</f>
        <v>139649.43543520712</v>
      </c>
      <c r="H137" s="33">
        <f>IF('PV IN'!$D$19="YES",G137*'PV IN'!$E$21,0)</f>
        <v>0</v>
      </c>
      <c r="I137" s="33">
        <f>IF('PV IN'!$D$19="YES",'PV IN'!$E$22*BattCalcs!W137,0)</f>
        <v>0</v>
      </c>
      <c r="J137" s="33">
        <f>IF('PV IN'!$D$19="YES",'PV IN'!$E$23*BattCalcs!Y137,0)</f>
        <v>0</v>
      </c>
      <c r="K137" s="33">
        <f>BattCalcs!AF137</f>
        <v>25811.765833333331</v>
      </c>
      <c r="L137" s="33">
        <f t="shared" si="47"/>
        <v>25811.765833333331</v>
      </c>
      <c r="M137" s="33">
        <f>IF('PV IN'!$F$4="PV Only",G137,G137-SUM(H137:J137,L137))</f>
        <v>139649.43543520712</v>
      </c>
      <c r="N137" s="2">
        <f>IF(C137&lt;='PV IN'!$I$12*12,'PV IN'!$E$12*G137/1000,0)</f>
        <v>0</v>
      </c>
      <c r="O137" s="2">
        <f>IF(AND(C137&gt;'PV IN'!$I$12*12,C137&lt;='PV IN'!$I$13*12+'PV IN'!$I$12*12),'PV IN'!$E$13*PVCalcs!G137/1000,0)</f>
        <v>0</v>
      </c>
      <c r="P137" s="2">
        <f>IF(AND(C137&gt;'PV IN'!$I$12*12+'PV IN'!$I$13*12,C137&lt;='PV IN'!$I$12*12+'PV IN'!$I$13*12+'PV IN'!$I$14*12),'PV IN'!$E$14*PVCalcs!G137/1000,0)</f>
        <v>1815.4426606576926</v>
      </c>
      <c r="R137" s="10">
        <f>IF(AND('PV IN'!$D$35="YES",$C137&lt;='PV IN'!$E$35*12),-'PV IN'!$E$18*'PV IN'!$E$34/12,0)</f>
        <v>0</v>
      </c>
      <c r="S137" s="10">
        <f>IF(AND('PV IN'!$D$37="YES",$C137&lt;='PV IN'!$E$37*12),-'PV IN'!$E$18*'PV IN'!$E$36/12,0)</f>
        <v>0</v>
      </c>
      <c r="U137" s="2">
        <f t="shared" si="48"/>
        <v>11222.037639336813</v>
      </c>
      <c r="V137" s="10">
        <f>PVLoan!M164</f>
        <v>0</v>
      </c>
      <c r="W137" s="2">
        <f>IF(C137='PV IN'!$I$40,IF('PV IN'!$G$40="Non-Taxable",'PV IN'!$F$40,0),0)+IF(C137='PV IN'!$I$41,IF('PV IN'!$G$41="Non-Taxable",'PV IN'!$F$41,0),0)</f>
        <v>0</v>
      </c>
      <c r="X137" s="10"/>
      <c r="Y137" s="10">
        <f>IF('PV IN'!$E$15="Non-Taxable",SUM(N137:P137),0)</f>
        <v>1815.4426606576926</v>
      </c>
      <c r="Z137" s="10">
        <f>IF('PV IN'!$E$15="Taxable",SUM(N137:P137),0)</f>
        <v>0</v>
      </c>
      <c r="AA137" s="2">
        <f>IF(C137='PV IN'!$I$40,IF('PV IN'!$G$40="Taxable",'PV IN'!$F$40,0),0)+IF(C137='PV IN'!$I$41,IF('PV IN'!$G$41="Taxable",'PV IN'!$F$41,0),0)</f>
        <v>0</v>
      </c>
      <c r="AD137" s="10">
        <f>IF('PV IN'!$D$48="YES",-U137*'PV IN'!$E$8,0)</f>
        <v>0</v>
      </c>
      <c r="AE137" s="10">
        <f>IF('PV IN'!$N$10="Yes",-PVLoan!H165,-PVLoan!L165)</f>
        <v>0</v>
      </c>
      <c r="AF137" s="10">
        <f>IF('PV IN'!$N$10="Yes",-PVLoan!F165,0)</f>
        <v>0</v>
      </c>
      <c r="AG137" s="10">
        <f>IF(AND('PV IN'!$D$35="YES",$C137&lt;='PV IN'!$E$35*12),0,-'PV IN'!$E$18*'PV IN'!$E$34/12)</f>
        <v>-750</v>
      </c>
      <c r="AH137" s="10">
        <f>IF(AND('PV IN'!$D$37="YES",$C137&lt;='PV IN'!$E$37*12),0,-'PV IN'!$E$18*'PV IN'!$E$36/12)</f>
        <v>-625</v>
      </c>
      <c r="AI137" s="2">
        <f>IF(AND('PV IN'!$D$33="YES",PVCalcs!C137=ROUNDUP('PV IN'!$H$33*12,)),-'PV IN'!$E$33*'PV IN'!$E$18,0)</f>
        <v>0</v>
      </c>
      <c r="AK137" s="2">
        <f t="shared" si="33"/>
        <v>13037.480299994506</v>
      </c>
      <c r="AL137" s="2">
        <f t="shared" si="34"/>
        <v>-1375</v>
      </c>
      <c r="AM137" s="2">
        <f t="shared" si="38"/>
        <v>11662.480299994506</v>
      </c>
      <c r="AN137" s="43"/>
      <c r="AO137" s="2">
        <f t="shared" si="35"/>
        <v>0</v>
      </c>
      <c r="AP137" s="2">
        <f t="shared" si="39"/>
        <v>-1375</v>
      </c>
      <c r="AR137" s="2">
        <f t="shared" si="40"/>
        <v>-1375</v>
      </c>
      <c r="AS137" s="2">
        <f>-AR137*'PV IN'!$E$8</f>
        <v>288.75</v>
      </c>
      <c r="AT137" s="2">
        <f>IF('PV IN'!$F$4="Battery Only",0,AM137+AS137)</f>
        <v>11951.230299994506</v>
      </c>
      <c r="AV137" s="10">
        <f t="shared" si="41"/>
        <v>398915.18602190743</v>
      </c>
      <c r="AW137" s="2">
        <f>AT137/(1+('PV IN'!$G$9))^(C137)</f>
        <v>6959.2838516518186</v>
      </c>
      <c r="AX137" s="2">
        <f>IF(C137&lt;='PV IN'!$O$22*12,AW137+AX136,NA())</f>
        <v>-29483.02911909602</v>
      </c>
      <c r="AZ137" s="10">
        <f t="shared" si="36"/>
        <v>-1375</v>
      </c>
      <c r="BA137" s="10">
        <f t="shared" si="37"/>
        <v>1815.4426606576926</v>
      </c>
      <c r="BB137" s="10">
        <f t="shared" si="42"/>
        <v>440.44266065769261</v>
      </c>
      <c r="BC137" s="10">
        <f t="shared" si="43"/>
        <v>0</v>
      </c>
      <c r="BD137" s="10">
        <f t="shared" si="44"/>
        <v>-1375</v>
      </c>
      <c r="BE137" s="2">
        <f t="shared" si="45"/>
        <v>0</v>
      </c>
      <c r="BF137" s="10">
        <f t="shared" si="46"/>
        <v>-1375</v>
      </c>
      <c r="BG137" s="2">
        <f>-BF137*'PV IN'!$E$8</f>
        <v>288.75</v>
      </c>
      <c r="BH137" s="2">
        <f>IF('PV IN'!$F$4="Battery Only",0,BB137+BG137)</f>
        <v>729.19266065769261</v>
      </c>
      <c r="BI137" s="2">
        <f>BH137/(1+('PV IN'!$G$9))^(C137)</f>
        <v>424.61391678314806</v>
      </c>
    </row>
    <row r="138" spans="2:61" x14ac:dyDescent="0.25">
      <c r="C138">
        <v>134</v>
      </c>
      <c r="D138" s="16">
        <f>D137*(1+('PV IN'!$G$6/12))</f>
        <v>7.5999999999999998E-2</v>
      </c>
      <c r="E138" s="16">
        <f>LkUP!$U$32</f>
        <v>8.0358632345087277E-2</v>
      </c>
      <c r="F138" s="16">
        <f>IF('PV IN'!$D$7="Table",E138,D138)</f>
        <v>8.0358632345087277E-2</v>
      </c>
      <c r="G138" s="33">
        <f>('PV IN'!$E$25*'PV IN'!$E$18/12)*(1-(1-'PV IN'!$E$27)/(25*12))^C137</f>
        <v>139556.33581158365</v>
      </c>
      <c r="H138" s="33">
        <f>IF('PV IN'!$D$19="YES",G138*'PV IN'!$E$21,0)</f>
        <v>0</v>
      </c>
      <c r="I138" s="33">
        <f>IF('PV IN'!$D$19="YES",'PV IN'!$E$22*BattCalcs!W138,0)</f>
        <v>0</v>
      </c>
      <c r="J138" s="33">
        <f>IF('PV IN'!$D$19="YES",'PV IN'!$E$23*BattCalcs!Y138,0)</f>
        <v>0</v>
      </c>
      <c r="K138" s="33">
        <f>BattCalcs!AF138</f>
        <v>25811.765833333331</v>
      </c>
      <c r="L138" s="33">
        <f t="shared" si="47"/>
        <v>25811.765833333331</v>
      </c>
      <c r="M138" s="33">
        <f>IF('PV IN'!$F$4="PV Only",G138,G138-SUM(H138:J138,L138))</f>
        <v>139556.33581158365</v>
      </c>
      <c r="N138" s="2">
        <f>IF(C138&lt;='PV IN'!$I$12*12,'PV IN'!$E$12*G138/1000,0)</f>
        <v>0</v>
      </c>
      <c r="O138" s="2">
        <f>IF(AND(C138&gt;'PV IN'!$I$12*12,C138&lt;='PV IN'!$I$13*12+'PV IN'!$I$12*12),'PV IN'!$E$13*PVCalcs!G138/1000,0)</f>
        <v>0</v>
      </c>
      <c r="P138" s="2">
        <f>IF(AND(C138&gt;'PV IN'!$I$12*12+'PV IN'!$I$13*12,C138&lt;='PV IN'!$I$12*12+'PV IN'!$I$13*12+'PV IN'!$I$14*12),'PV IN'!$E$14*PVCalcs!G138/1000,0)</f>
        <v>1814.2323655505875</v>
      </c>
      <c r="R138" s="10">
        <f>IF(AND('PV IN'!$D$35="YES",$C138&lt;='PV IN'!$E$35*12),-'PV IN'!$E$18*'PV IN'!$E$34/12,0)</f>
        <v>0</v>
      </c>
      <c r="S138" s="10">
        <f>IF(AND('PV IN'!$D$37="YES",$C138&lt;='PV IN'!$E$37*12),-'PV IN'!$E$18*'PV IN'!$E$36/12,0)</f>
        <v>0</v>
      </c>
      <c r="U138" s="2">
        <f t="shared" si="48"/>
        <v>11214.556280910587</v>
      </c>
      <c r="V138" s="10">
        <f>PVLoan!M165</f>
        <v>0</v>
      </c>
      <c r="W138" s="2">
        <f>IF(C138='PV IN'!$I$40,IF('PV IN'!$G$40="Non-Taxable",'PV IN'!$F$40,0),0)+IF(C138='PV IN'!$I$41,IF('PV IN'!$G$41="Non-Taxable",'PV IN'!$F$41,0),0)</f>
        <v>0</v>
      </c>
      <c r="X138" s="10"/>
      <c r="Y138" s="10">
        <f>IF('PV IN'!$E$15="Non-Taxable",SUM(N138:P138),0)</f>
        <v>1814.2323655505875</v>
      </c>
      <c r="Z138" s="10">
        <f>IF('PV IN'!$E$15="Taxable",SUM(N138:P138),0)</f>
        <v>0</v>
      </c>
      <c r="AA138" s="2">
        <f>IF(C138='PV IN'!$I$40,IF('PV IN'!$G$40="Taxable",'PV IN'!$F$40,0),0)+IF(C138='PV IN'!$I$41,IF('PV IN'!$G$41="Taxable",'PV IN'!$F$41,0),0)</f>
        <v>0</v>
      </c>
      <c r="AD138" s="10">
        <f>IF('PV IN'!$D$48="YES",-U138*'PV IN'!$E$8,0)</f>
        <v>0</v>
      </c>
      <c r="AE138" s="10">
        <f>IF('PV IN'!$N$10="Yes",-PVLoan!H166,-PVLoan!L166)</f>
        <v>0</v>
      </c>
      <c r="AF138" s="10">
        <f>IF('PV IN'!$N$10="Yes",-PVLoan!F166,0)</f>
        <v>0</v>
      </c>
      <c r="AG138" s="10">
        <f>IF(AND('PV IN'!$D$35="YES",$C138&lt;='PV IN'!$E$35*12),0,-'PV IN'!$E$18*'PV IN'!$E$34/12)</f>
        <v>-750</v>
      </c>
      <c r="AH138" s="10">
        <f>IF(AND('PV IN'!$D$37="YES",$C138&lt;='PV IN'!$E$37*12),0,-'PV IN'!$E$18*'PV IN'!$E$36/12)</f>
        <v>-625</v>
      </c>
      <c r="AI138" s="2">
        <f>IF(AND('PV IN'!$D$33="YES",PVCalcs!C138=ROUNDUP('PV IN'!$H$33*12,)),-'PV IN'!$E$33*'PV IN'!$E$18,0)</f>
        <v>0</v>
      </c>
      <c r="AK138" s="2">
        <f t="shared" si="33"/>
        <v>13028.788646461175</v>
      </c>
      <c r="AL138" s="2">
        <f t="shared" si="34"/>
        <v>-1375</v>
      </c>
      <c r="AM138" s="2">
        <f t="shared" si="38"/>
        <v>11653.788646461175</v>
      </c>
      <c r="AN138" s="43"/>
      <c r="AO138" s="2">
        <f t="shared" si="35"/>
        <v>0</v>
      </c>
      <c r="AP138" s="2">
        <f t="shared" si="39"/>
        <v>-1375</v>
      </c>
      <c r="AR138" s="2">
        <f t="shared" si="40"/>
        <v>-1375</v>
      </c>
      <c r="AS138" s="2">
        <f>-AR138*'PV IN'!$E$8</f>
        <v>288.75</v>
      </c>
      <c r="AT138" s="2">
        <f>IF('PV IN'!$F$4="Battery Only",0,AM138+AS138)</f>
        <v>11942.538646461175</v>
      </c>
      <c r="AV138" s="10">
        <f t="shared" si="41"/>
        <v>410857.72466836858</v>
      </c>
      <c r="AW138" s="2">
        <f>AT138/(1+('PV IN'!$G$9))^(C138)</f>
        <v>6926.0052391676745</v>
      </c>
      <c r="AX138" s="2">
        <f>IF(C138&lt;='PV IN'!$O$22*12,AW138+AX137,NA())</f>
        <v>-22557.023879928347</v>
      </c>
      <c r="AZ138" s="10">
        <f t="shared" si="36"/>
        <v>-1375</v>
      </c>
      <c r="BA138" s="10">
        <f t="shared" si="37"/>
        <v>1814.2323655505879</v>
      </c>
      <c r="BB138" s="10">
        <f t="shared" si="42"/>
        <v>439.23236555058793</v>
      </c>
      <c r="BC138" s="10">
        <f t="shared" si="43"/>
        <v>0</v>
      </c>
      <c r="BD138" s="10">
        <f t="shared" si="44"/>
        <v>-1375</v>
      </c>
      <c r="BE138" s="2">
        <f t="shared" si="45"/>
        <v>0</v>
      </c>
      <c r="BF138" s="10">
        <f t="shared" si="46"/>
        <v>-1375</v>
      </c>
      <c r="BG138" s="2">
        <f>-BF138*'PV IN'!$E$8</f>
        <v>288.75</v>
      </c>
      <c r="BH138" s="2">
        <f>IF('PV IN'!$F$4="Battery Only",0,BB138+BG138)</f>
        <v>727.98236555058793</v>
      </c>
      <c r="BI138" s="2">
        <f>BH138/(1+('PV IN'!$G$9))^(C138)</f>
        <v>422.18910292738326</v>
      </c>
    </row>
    <row r="139" spans="2:61" x14ac:dyDescent="0.25">
      <c r="C139">
        <v>135</v>
      </c>
      <c r="D139" s="16">
        <f>D138*(1+('PV IN'!$G$6/12))</f>
        <v>7.5999999999999998E-2</v>
      </c>
      <c r="E139" s="16">
        <f>LkUP!$U$32</f>
        <v>8.0358632345087277E-2</v>
      </c>
      <c r="F139" s="16">
        <f>IF('PV IN'!$D$7="Table",E139,D139)</f>
        <v>8.0358632345087277E-2</v>
      </c>
      <c r="G139" s="33">
        <f>('PV IN'!$E$25*'PV IN'!$E$18/12)*(1-(1-'PV IN'!$E$27)/(25*12))^C138</f>
        <v>139463.29825437593</v>
      </c>
      <c r="H139" s="33">
        <f>IF('PV IN'!$D$19="YES",G139*'PV IN'!$E$21,0)</f>
        <v>0</v>
      </c>
      <c r="I139" s="33">
        <f>IF('PV IN'!$D$19="YES",'PV IN'!$E$22*BattCalcs!W139,0)</f>
        <v>0</v>
      </c>
      <c r="J139" s="33">
        <f>IF('PV IN'!$D$19="YES",'PV IN'!$E$23*BattCalcs!Y139,0)</f>
        <v>0</v>
      </c>
      <c r="K139" s="33">
        <f>BattCalcs!AF139</f>
        <v>25811.765833333331</v>
      </c>
      <c r="L139" s="33">
        <f t="shared" si="47"/>
        <v>25811.765833333331</v>
      </c>
      <c r="M139" s="33">
        <f>IF('PV IN'!$F$4="PV Only",G139,G139-SUM(H139:J139,L139))</f>
        <v>139463.29825437593</v>
      </c>
      <c r="N139" s="2">
        <f>IF(C139&lt;='PV IN'!$I$12*12,'PV IN'!$E$12*G139/1000,0)</f>
        <v>0</v>
      </c>
      <c r="O139" s="2">
        <f>IF(AND(C139&gt;'PV IN'!$I$12*12,C139&lt;='PV IN'!$I$13*12+'PV IN'!$I$12*12),'PV IN'!$E$13*PVCalcs!G139/1000,0)</f>
        <v>0</v>
      </c>
      <c r="P139" s="2">
        <f>IF(AND(C139&gt;'PV IN'!$I$12*12+'PV IN'!$I$13*12,C139&lt;='PV IN'!$I$12*12+'PV IN'!$I$13*12+'PV IN'!$I$14*12),'PV IN'!$E$14*PVCalcs!G139/1000,0)</f>
        <v>1813.022877306887</v>
      </c>
      <c r="R139" s="10">
        <f>IF(AND('PV IN'!$D$35="YES",$C139&lt;='PV IN'!$E$35*12),-'PV IN'!$E$18*'PV IN'!$E$34/12,0)</f>
        <v>0</v>
      </c>
      <c r="S139" s="10">
        <f>IF(AND('PV IN'!$D$37="YES",$C139&lt;='PV IN'!$E$37*12),-'PV IN'!$E$18*'PV IN'!$E$36/12,0)</f>
        <v>0</v>
      </c>
      <c r="U139" s="2">
        <f t="shared" si="48"/>
        <v>11207.079910056647</v>
      </c>
      <c r="V139" s="10">
        <f>PVLoan!M166</f>
        <v>0</v>
      </c>
      <c r="W139" s="2">
        <f>IF(C139='PV IN'!$I$40,IF('PV IN'!$G$40="Non-Taxable",'PV IN'!$F$40,0),0)+IF(C139='PV IN'!$I$41,IF('PV IN'!$G$41="Non-Taxable",'PV IN'!$F$41,0),0)</f>
        <v>0</v>
      </c>
      <c r="X139" s="10"/>
      <c r="Y139" s="10">
        <f>IF('PV IN'!$E$15="Non-Taxable",SUM(N139:P139),0)</f>
        <v>1813.022877306887</v>
      </c>
      <c r="Z139" s="10">
        <f>IF('PV IN'!$E$15="Taxable",SUM(N139:P139),0)</f>
        <v>0</v>
      </c>
      <c r="AA139" s="2">
        <f>IF(C139='PV IN'!$I$40,IF('PV IN'!$G$40="Taxable",'PV IN'!$F$40,0),0)+IF(C139='PV IN'!$I$41,IF('PV IN'!$G$41="Taxable",'PV IN'!$F$41,0),0)</f>
        <v>0</v>
      </c>
      <c r="AD139" s="10">
        <f>IF('PV IN'!$D$48="YES",-U139*'PV IN'!$E$8,0)</f>
        <v>0</v>
      </c>
      <c r="AE139" s="10">
        <f>IF('PV IN'!$N$10="Yes",-PVLoan!H167,-PVLoan!L167)</f>
        <v>0</v>
      </c>
      <c r="AF139" s="10">
        <f>IF('PV IN'!$N$10="Yes",-PVLoan!F167,0)</f>
        <v>0</v>
      </c>
      <c r="AG139" s="10">
        <f>IF(AND('PV IN'!$D$35="YES",$C139&lt;='PV IN'!$E$35*12),0,-'PV IN'!$E$18*'PV IN'!$E$34/12)</f>
        <v>-750</v>
      </c>
      <c r="AH139" s="10">
        <f>IF(AND('PV IN'!$D$37="YES",$C139&lt;='PV IN'!$E$37*12),0,-'PV IN'!$E$18*'PV IN'!$E$36/12)</f>
        <v>-625</v>
      </c>
      <c r="AI139" s="2">
        <f>IF(AND('PV IN'!$D$33="YES",PVCalcs!C139=ROUNDUP('PV IN'!$H$33*12,)),-'PV IN'!$E$33*'PV IN'!$E$18,0)</f>
        <v>0</v>
      </c>
      <c r="AK139" s="2">
        <f t="shared" si="33"/>
        <v>13020.102787363534</v>
      </c>
      <c r="AL139" s="2">
        <f t="shared" si="34"/>
        <v>-1375</v>
      </c>
      <c r="AM139" s="2">
        <f t="shared" si="38"/>
        <v>11645.102787363534</v>
      </c>
      <c r="AN139" s="43"/>
      <c r="AO139" s="2">
        <f t="shared" si="35"/>
        <v>0</v>
      </c>
      <c r="AP139" s="2">
        <f t="shared" si="39"/>
        <v>-1375</v>
      </c>
      <c r="AR139" s="2">
        <f t="shared" si="40"/>
        <v>-1375</v>
      </c>
      <c r="AS139" s="2">
        <f>-AR139*'PV IN'!$E$8</f>
        <v>288.75</v>
      </c>
      <c r="AT139" s="2">
        <f>IF('PV IN'!$F$4="Battery Only",0,AM139+AS139)</f>
        <v>11933.852787363534</v>
      </c>
      <c r="AV139" s="10">
        <f t="shared" si="41"/>
        <v>422791.5774557321</v>
      </c>
      <c r="AW139" s="2">
        <f>AT139/(1+('PV IN'!$G$9))^(C139)</f>
        <v>6892.8854575502528</v>
      </c>
      <c r="AX139" s="2">
        <f>IF(C139&lt;='PV IN'!$O$22*12,AW139+AX138,NA())</f>
        <v>-15664.138422378095</v>
      </c>
      <c r="AZ139" s="10">
        <f t="shared" si="36"/>
        <v>-1375</v>
      </c>
      <c r="BA139" s="10">
        <f t="shared" si="37"/>
        <v>1813.0228773068866</v>
      </c>
      <c r="BB139" s="10">
        <f t="shared" si="42"/>
        <v>438.02287730688658</v>
      </c>
      <c r="BC139" s="10">
        <f t="shared" si="43"/>
        <v>0</v>
      </c>
      <c r="BD139" s="10">
        <f t="shared" si="44"/>
        <v>-1375</v>
      </c>
      <c r="BE139" s="2">
        <f t="shared" si="45"/>
        <v>0</v>
      </c>
      <c r="BF139" s="10">
        <f t="shared" si="46"/>
        <v>-1375</v>
      </c>
      <c r="BG139" s="2">
        <f>-BF139*'PV IN'!$E$8</f>
        <v>288.75</v>
      </c>
      <c r="BH139" s="2">
        <f>IF('PV IN'!$F$4="Battery Only",0,BB139+BG139)</f>
        <v>726.77287730688658</v>
      </c>
      <c r="BI139" s="2">
        <f>BH139/(1+('PV IN'!$G$9))^(C139)</f>
        <v>419.77744205417849</v>
      </c>
    </row>
    <row r="140" spans="2:61" x14ac:dyDescent="0.25">
      <c r="C140">
        <v>136</v>
      </c>
      <c r="D140" s="16">
        <f>D139*(1+('PV IN'!$G$6/12))</f>
        <v>7.5999999999999998E-2</v>
      </c>
      <c r="E140" s="16">
        <f>LkUP!$U$32</f>
        <v>8.0358632345087277E-2</v>
      </c>
      <c r="F140" s="16">
        <f>IF('PV IN'!$D$7="Table",E140,D140)</f>
        <v>8.0358632345087277E-2</v>
      </c>
      <c r="G140" s="33">
        <f>('PV IN'!$E$25*'PV IN'!$E$18/12)*(1-(1-'PV IN'!$E$27)/(25*12))^C139</f>
        <v>139370.32272220636</v>
      </c>
      <c r="H140" s="33">
        <f>IF('PV IN'!$D$19="YES",G140*'PV IN'!$E$21,0)</f>
        <v>0</v>
      </c>
      <c r="I140" s="33">
        <f>IF('PV IN'!$D$19="YES",'PV IN'!$E$22*BattCalcs!W140,0)</f>
        <v>0</v>
      </c>
      <c r="J140" s="33">
        <f>IF('PV IN'!$D$19="YES",'PV IN'!$E$23*BattCalcs!Y140,0)</f>
        <v>0</v>
      </c>
      <c r="K140" s="33">
        <f>BattCalcs!AF140</f>
        <v>25811.765833333331</v>
      </c>
      <c r="L140" s="33">
        <f t="shared" si="47"/>
        <v>25811.765833333331</v>
      </c>
      <c r="M140" s="33">
        <f>IF('PV IN'!$F$4="PV Only",G140,G140-SUM(H140:J140,L140))</f>
        <v>139370.32272220636</v>
      </c>
      <c r="N140" s="2">
        <f>IF(C140&lt;='PV IN'!$I$12*12,'PV IN'!$E$12*G140/1000,0)</f>
        <v>0</v>
      </c>
      <c r="O140" s="2">
        <f>IF(AND(C140&gt;'PV IN'!$I$12*12,C140&lt;='PV IN'!$I$13*12+'PV IN'!$I$12*12),'PV IN'!$E$13*PVCalcs!G140/1000,0)</f>
        <v>0</v>
      </c>
      <c r="P140" s="2">
        <f>IF(AND(C140&gt;'PV IN'!$I$12*12+'PV IN'!$I$13*12,C140&lt;='PV IN'!$I$12*12+'PV IN'!$I$13*12+'PV IN'!$I$14*12),'PV IN'!$E$14*PVCalcs!G140/1000,0)</f>
        <v>1811.8141953886827</v>
      </c>
      <c r="R140" s="10">
        <f>IF(AND('PV IN'!$D$35="YES",$C140&lt;='PV IN'!$E$35*12),-'PV IN'!$E$18*'PV IN'!$E$34/12,0)</f>
        <v>0</v>
      </c>
      <c r="S140" s="10">
        <f>IF(AND('PV IN'!$D$37="YES",$C140&lt;='PV IN'!$E$37*12),-'PV IN'!$E$18*'PV IN'!$E$36/12,0)</f>
        <v>0</v>
      </c>
      <c r="U140" s="2">
        <f t="shared" si="48"/>
        <v>11199.608523449944</v>
      </c>
      <c r="V140" s="10">
        <f>PVLoan!M167</f>
        <v>0</v>
      </c>
      <c r="W140" s="2">
        <f>IF(C140='PV IN'!$I$40,IF('PV IN'!$G$40="Non-Taxable",'PV IN'!$F$40,0),0)+IF(C140='PV IN'!$I$41,IF('PV IN'!$G$41="Non-Taxable",'PV IN'!$F$41,0),0)</f>
        <v>0</v>
      </c>
      <c r="X140" s="10"/>
      <c r="Y140" s="10">
        <f>IF('PV IN'!$E$15="Non-Taxable",SUM(N140:P140),0)</f>
        <v>1811.8141953886827</v>
      </c>
      <c r="Z140" s="10">
        <f>IF('PV IN'!$E$15="Taxable",SUM(N140:P140),0)</f>
        <v>0</v>
      </c>
      <c r="AA140" s="2">
        <f>IF(C140='PV IN'!$I$40,IF('PV IN'!$G$40="Taxable",'PV IN'!$F$40,0),0)+IF(C140='PV IN'!$I$41,IF('PV IN'!$G$41="Taxable",'PV IN'!$F$41,0),0)</f>
        <v>0</v>
      </c>
      <c r="AD140" s="10">
        <f>IF('PV IN'!$D$48="YES",-U140*'PV IN'!$E$8,0)</f>
        <v>0</v>
      </c>
      <c r="AE140" s="10">
        <f>IF('PV IN'!$N$10="Yes",-PVLoan!H168,-PVLoan!L168)</f>
        <v>0</v>
      </c>
      <c r="AF140" s="10">
        <f>IF('PV IN'!$N$10="Yes",-PVLoan!F168,0)</f>
        <v>0</v>
      </c>
      <c r="AG140" s="10">
        <f>IF(AND('PV IN'!$D$35="YES",$C140&lt;='PV IN'!$E$35*12),0,-'PV IN'!$E$18*'PV IN'!$E$34/12)</f>
        <v>-750</v>
      </c>
      <c r="AH140" s="10">
        <f>IF(AND('PV IN'!$D$37="YES",$C140&lt;='PV IN'!$E$37*12),0,-'PV IN'!$E$18*'PV IN'!$E$36/12)</f>
        <v>-625</v>
      </c>
      <c r="AI140" s="2">
        <f>IF(AND('PV IN'!$D$33="YES",PVCalcs!C140=ROUNDUP('PV IN'!$H$33*12,)),-'PV IN'!$E$33*'PV IN'!$E$18,0)</f>
        <v>0</v>
      </c>
      <c r="AK140" s="2">
        <f t="shared" si="33"/>
        <v>13011.422718838627</v>
      </c>
      <c r="AL140" s="2">
        <f t="shared" si="34"/>
        <v>-1375</v>
      </c>
      <c r="AM140" s="2">
        <f t="shared" si="38"/>
        <v>11636.422718838627</v>
      </c>
      <c r="AN140" s="43"/>
      <c r="AO140" s="2">
        <f t="shared" si="35"/>
        <v>0</v>
      </c>
      <c r="AP140" s="2">
        <f t="shared" si="39"/>
        <v>-1375</v>
      </c>
      <c r="AR140" s="2">
        <f t="shared" si="40"/>
        <v>-1375</v>
      </c>
      <c r="AS140" s="2">
        <f>-AR140*'PV IN'!$E$8</f>
        <v>288.75</v>
      </c>
      <c r="AT140" s="2">
        <f>IF('PV IN'!$F$4="Battery Only",0,AM140+AS140)</f>
        <v>11925.172718838627</v>
      </c>
      <c r="AV140" s="10">
        <f t="shared" si="41"/>
        <v>434716.75017457071</v>
      </c>
      <c r="AW140" s="2">
        <f>AT140/(1+('PV IN'!$G$9))^(C140)</f>
        <v>6859.9237499564861</v>
      </c>
      <c r="AX140" s="2">
        <f>IF(C140&lt;='PV IN'!$O$22*12,AW140+AX139,NA())</f>
        <v>-8804.2146724216091</v>
      </c>
      <c r="AZ140" s="10">
        <f t="shared" si="36"/>
        <v>-1375</v>
      </c>
      <c r="BA140" s="10">
        <f t="shared" si="37"/>
        <v>1811.8141953886825</v>
      </c>
      <c r="BB140" s="10">
        <f t="shared" si="42"/>
        <v>436.81419538868249</v>
      </c>
      <c r="BC140" s="10">
        <f t="shared" si="43"/>
        <v>0</v>
      </c>
      <c r="BD140" s="10">
        <f t="shared" si="44"/>
        <v>-1375</v>
      </c>
      <c r="BE140" s="2">
        <f t="shared" si="45"/>
        <v>0</v>
      </c>
      <c r="BF140" s="10">
        <f t="shared" si="46"/>
        <v>-1375</v>
      </c>
      <c r="BG140" s="2">
        <f>-BF140*'PV IN'!$E$8</f>
        <v>288.75</v>
      </c>
      <c r="BH140" s="2">
        <f>IF('PV IN'!$F$4="Battery Only",0,BB140+BG140)</f>
        <v>725.56419538868249</v>
      </c>
      <c r="BI140" s="2">
        <f>BH140/(1+('PV IN'!$G$9))^(C140)</f>
        <v>417.37886514650194</v>
      </c>
    </row>
    <row r="141" spans="2:61" x14ac:dyDescent="0.25">
      <c r="C141">
        <v>137</v>
      </c>
      <c r="D141" s="16">
        <f>D140*(1+('PV IN'!$G$6/12))</f>
        <v>7.5999999999999998E-2</v>
      </c>
      <c r="E141" s="16">
        <f>LkUP!$U$32</f>
        <v>8.0358632345087277E-2</v>
      </c>
      <c r="F141" s="16">
        <f>IF('PV IN'!$D$7="Table",E141,D141)</f>
        <v>8.0358632345087277E-2</v>
      </c>
      <c r="G141" s="33">
        <f>('PV IN'!$E$25*'PV IN'!$E$18/12)*(1-(1-'PV IN'!$E$27)/(25*12))^C140</f>
        <v>139277.40917372485</v>
      </c>
      <c r="H141" s="33">
        <f>IF('PV IN'!$D$19="YES",G141*'PV IN'!$E$21,0)</f>
        <v>0</v>
      </c>
      <c r="I141" s="33">
        <f>IF('PV IN'!$D$19="YES",'PV IN'!$E$22*BattCalcs!W141,0)</f>
        <v>0</v>
      </c>
      <c r="J141" s="33">
        <f>IF('PV IN'!$D$19="YES",'PV IN'!$E$23*BattCalcs!Y141,0)</f>
        <v>0</v>
      </c>
      <c r="K141" s="33">
        <f>BattCalcs!AF141</f>
        <v>25811.765833333331</v>
      </c>
      <c r="L141" s="33">
        <f t="shared" si="47"/>
        <v>25811.765833333331</v>
      </c>
      <c r="M141" s="33">
        <f>IF('PV IN'!$F$4="PV Only",G141,G141-SUM(H141:J141,L141))</f>
        <v>139277.40917372485</v>
      </c>
      <c r="N141" s="2">
        <f>IF(C141&lt;='PV IN'!$I$12*12,'PV IN'!$E$12*G141/1000,0)</f>
        <v>0</v>
      </c>
      <c r="O141" s="2">
        <f>IF(AND(C141&gt;'PV IN'!$I$12*12,C141&lt;='PV IN'!$I$13*12+'PV IN'!$I$12*12),'PV IN'!$E$13*PVCalcs!G141/1000,0)</f>
        <v>0</v>
      </c>
      <c r="P141" s="2">
        <f>IF(AND(C141&gt;'PV IN'!$I$12*12+'PV IN'!$I$13*12,C141&lt;='PV IN'!$I$12*12+'PV IN'!$I$13*12+'PV IN'!$I$14*12),'PV IN'!$E$14*PVCalcs!G141/1000,0)</f>
        <v>1810.6063192584231</v>
      </c>
      <c r="R141" s="10">
        <f>IF(AND('PV IN'!$D$35="YES",$C141&lt;='PV IN'!$E$35*12),-'PV IN'!$E$18*'PV IN'!$E$34/12,0)</f>
        <v>0</v>
      </c>
      <c r="S141" s="10">
        <f>IF(AND('PV IN'!$D$37="YES",$C141&lt;='PV IN'!$E$37*12),-'PV IN'!$E$18*'PV IN'!$E$36/12,0)</f>
        <v>0</v>
      </c>
      <c r="U141" s="2">
        <f t="shared" si="48"/>
        <v>11192.142117767642</v>
      </c>
      <c r="V141" s="10">
        <f>PVLoan!M168</f>
        <v>0</v>
      </c>
      <c r="W141" s="2">
        <f>IF(C141='PV IN'!$I$40,IF('PV IN'!$G$40="Non-Taxable",'PV IN'!$F$40,0),0)+IF(C141='PV IN'!$I$41,IF('PV IN'!$G$41="Non-Taxable",'PV IN'!$F$41,0),0)</f>
        <v>0</v>
      </c>
      <c r="X141" s="10"/>
      <c r="Y141" s="10">
        <f>IF('PV IN'!$E$15="Non-Taxable",SUM(N141:P141),0)</f>
        <v>1810.6063192584231</v>
      </c>
      <c r="Z141" s="10">
        <f>IF('PV IN'!$E$15="Taxable",SUM(N141:P141),0)</f>
        <v>0</v>
      </c>
      <c r="AA141" s="2">
        <f>IF(C141='PV IN'!$I$40,IF('PV IN'!$G$40="Taxable",'PV IN'!$F$40,0),0)+IF(C141='PV IN'!$I$41,IF('PV IN'!$G$41="Taxable",'PV IN'!$F$41,0),0)</f>
        <v>0</v>
      </c>
      <c r="AD141" s="10">
        <f>IF('PV IN'!$D$48="YES",-U141*'PV IN'!$E$8,0)</f>
        <v>0</v>
      </c>
      <c r="AE141" s="10">
        <f>IF('PV IN'!$N$10="Yes",-PVLoan!H169,-PVLoan!L169)</f>
        <v>0</v>
      </c>
      <c r="AF141" s="10">
        <f>IF('PV IN'!$N$10="Yes",-PVLoan!F169,0)</f>
        <v>0</v>
      </c>
      <c r="AG141" s="10">
        <f>IF(AND('PV IN'!$D$35="YES",$C141&lt;='PV IN'!$E$35*12),0,-'PV IN'!$E$18*'PV IN'!$E$34/12)</f>
        <v>-750</v>
      </c>
      <c r="AH141" s="10">
        <f>IF(AND('PV IN'!$D$37="YES",$C141&lt;='PV IN'!$E$37*12),0,-'PV IN'!$E$18*'PV IN'!$E$36/12)</f>
        <v>-625</v>
      </c>
      <c r="AI141" s="2">
        <f>IF(AND('PV IN'!$D$33="YES",PVCalcs!C141=ROUNDUP('PV IN'!$H$33*12,)),-'PV IN'!$E$33*'PV IN'!$E$18,0)</f>
        <v>0</v>
      </c>
      <c r="AK141" s="2">
        <f t="shared" si="33"/>
        <v>13002.748437026064</v>
      </c>
      <c r="AL141" s="2">
        <f t="shared" si="34"/>
        <v>-1375</v>
      </c>
      <c r="AM141" s="2">
        <f t="shared" si="38"/>
        <v>11627.748437026064</v>
      </c>
      <c r="AN141" s="43"/>
      <c r="AO141" s="2">
        <f t="shared" si="35"/>
        <v>0</v>
      </c>
      <c r="AP141" s="2">
        <f t="shared" si="39"/>
        <v>-1375</v>
      </c>
      <c r="AR141" s="2">
        <f t="shared" si="40"/>
        <v>-1375</v>
      </c>
      <c r="AS141" s="2">
        <f>-AR141*'PV IN'!$E$8</f>
        <v>288.75</v>
      </c>
      <c r="AT141" s="2">
        <f>IF('PV IN'!$F$4="Battery Only",0,AM141+AS141)</f>
        <v>11916.498437026064</v>
      </c>
      <c r="AV141" s="10">
        <f t="shared" si="41"/>
        <v>446633.24861159676</v>
      </c>
      <c r="AW141" s="2">
        <f>AT141/(1+('PV IN'!$G$9))^(C141)</f>
        <v>6827.119363144835</v>
      </c>
      <c r="AX141" s="2">
        <f>IF(C141&lt;='PV IN'!$O$22*12,AW141+AX140,NA())</f>
        <v>-1977.0953092767741</v>
      </c>
      <c r="AZ141" s="10">
        <f t="shared" si="36"/>
        <v>-1375</v>
      </c>
      <c r="BA141" s="10">
        <f t="shared" si="37"/>
        <v>1810.6063192584224</v>
      </c>
      <c r="BB141" s="10">
        <f t="shared" si="42"/>
        <v>435.60631925842245</v>
      </c>
      <c r="BC141" s="10">
        <f t="shared" si="43"/>
        <v>0</v>
      </c>
      <c r="BD141" s="10">
        <f t="shared" si="44"/>
        <v>-1375</v>
      </c>
      <c r="BE141" s="2">
        <f t="shared" si="45"/>
        <v>0</v>
      </c>
      <c r="BF141" s="10">
        <f t="shared" si="46"/>
        <v>-1375</v>
      </c>
      <c r="BG141" s="2">
        <f>-BF141*'PV IN'!$E$8</f>
        <v>288.75</v>
      </c>
      <c r="BH141" s="2">
        <f>IF('PV IN'!$F$4="Battery Only",0,BB141+BG141)</f>
        <v>724.35631925842245</v>
      </c>
      <c r="BI141" s="2">
        <f>BH141/(1+('PV IN'!$G$9))^(C141)</f>
        <v>414.99330354124237</v>
      </c>
    </row>
    <row r="142" spans="2:61" x14ac:dyDescent="0.25">
      <c r="C142">
        <v>138</v>
      </c>
      <c r="D142" s="16">
        <f>D141*(1+('PV IN'!$G$6/12))</f>
        <v>7.5999999999999998E-2</v>
      </c>
      <c r="E142" s="16">
        <f>LkUP!$U$32</f>
        <v>8.0358632345087277E-2</v>
      </c>
      <c r="F142" s="16">
        <f>IF('PV IN'!$D$7="Table",E142,D142)</f>
        <v>8.0358632345087277E-2</v>
      </c>
      <c r="G142" s="33">
        <f>('PV IN'!$E$25*'PV IN'!$E$18/12)*(1-(1-'PV IN'!$E$27)/(25*12))^C141</f>
        <v>139184.55756760904</v>
      </c>
      <c r="H142" s="33">
        <f>IF('PV IN'!$D$19="YES",G142*'PV IN'!$E$21,0)</f>
        <v>0</v>
      </c>
      <c r="I142" s="33">
        <f>IF('PV IN'!$D$19="YES",'PV IN'!$E$22*BattCalcs!W142,0)</f>
        <v>0</v>
      </c>
      <c r="J142" s="33">
        <f>IF('PV IN'!$D$19="YES",'PV IN'!$E$23*BattCalcs!Y142,0)</f>
        <v>0</v>
      </c>
      <c r="K142" s="33">
        <f>BattCalcs!AF142</f>
        <v>25811.765833333331</v>
      </c>
      <c r="L142" s="33">
        <f t="shared" si="47"/>
        <v>25811.765833333331</v>
      </c>
      <c r="M142" s="33">
        <f>IF('PV IN'!$F$4="PV Only",G142,G142-SUM(H142:J142,L142))</f>
        <v>139184.55756760904</v>
      </c>
      <c r="N142" s="2">
        <f>IF(C142&lt;='PV IN'!$I$12*12,'PV IN'!$E$12*G142/1000,0)</f>
        <v>0</v>
      </c>
      <c r="O142" s="2">
        <f>IF(AND(C142&gt;'PV IN'!$I$12*12,C142&lt;='PV IN'!$I$13*12+'PV IN'!$I$12*12),'PV IN'!$E$13*PVCalcs!G142/1000,0)</f>
        <v>0</v>
      </c>
      <c r="P142" s="2">
        <f>IF(AND(C142&gt;'PV IN'!$I$12*12+'PV IN'!$I$13*12,C142&lt;='PV IN'!$I$12*12+'PV IN'!$I$13*12+'PV IN'!$I$14*12),'PV IN'!$E$14*PVCalcs!G142/1000,0)</f>
        <v>1809.3992483789175</v>
      </c>
      <c r="R142" s="10">
        <f>IF(AND('PV IN'!$D$35="YES",$C142&lt;='PV IN'!$E$35*12),-'PV IN'!$E$18*'PV IN'!$E$34/12,0)</f>
        <v>0</v>
      </c>
      <c r="S142" s="10">
        <f>IF(AND('PV IN'!$D$37="YES",$C142&lt;='PV IN'!$E$37*12),-'PV IN'!$E$18*'PV IN'!$E$36/12,0)</f>
        <v>0</v>
      </c>
      <c r="U142" s="2">
        <f t="shared" si="48"/>
        <v>11184.68068968913</v>
      </c>
      <c r="V142" s="10">
        <f>PVLoan!M169</f>
        <v>0</v>
      </c>
      <c r="W142" s="2">
        <f>IF(C142='PV IN'!$I$40,IF('PV IN'!$G$40="Non-Taxable",'PV IN'!$F$40,0),0)+IF(C142='PV IN'!$I$41,IF('PV IN'!$G$41="Non-Taxable",'PV IN'!$F$41,0),0)</f>
        <v>0</v>
      </c>
      <c r="X142" s="10"/>
      <c r="Y142" s="10">
        <f>IF('PV IN'!$E$15="Non-Taxable",SUM(N142:P142),0)</f>
        <v>1809.3992483789175</v>
      </c>
      <c r="Z142" s="10">
        <f>IF('PV IN'!$E$15="Taxable",SUM(N142:P142),0)</f>
        <v>0</v>
      </c>
      <c r="AA142" s="2">
        <f>IF(C142='PV IN'!$I$40,IF('PV IN'!$G$40="Taxable",'PV IN'!$F$40,0),0)+IF(C142='PV IN'!$I$41,IF('PV IN'!$G$41="Taxable",'PV IN'!$F$41,0),0)</f>
        <v>0</v>
      </c>
      <c r="AD142" s="10">
        <f>IF('PV IN'!$D$48="YES",-U142*'PV IN'!$E$8,0)</f>
        <v>0</v>
      </c>
      <c r="AE142" s="10">
        <f>IF('PV IN'!$N$10="Yes",-PVLoan!H170,-PVLoan!L170)</f>
        <v>0</v>
      </c>
      <c r="AF142" s="10">
        <f>IF('PV IN'!$N$10="Yes",-PVLoan!F170,0)</f>
        <v>0</v>
      </c>
      <c r="AG142" s="10">
        <f>IF(AND('PV IN'!$D$35="YES",$C142&lt;='PV IN'!$E$35*12),0,-'PV IN'!$E$18*'PV IN'!$E$34/12)</f>
        <v>-750</v>
      </c>
      <c r="AH142" s="10">
        <f>IF(AND('PV IN'!$D$37="YES",$C142&lt;='PV IN'!$E$37*12),0,-'PV IN'!$E$18*'PV IN'!$E$36/12)</f>
        <v>-625</v>
      </c>
      <c r="AI142" s="2">
        <f>IF(AND('PV IN'!$D$33="YES",PVCalcs!C142=ROUNDUP('PV IN'!$H$33*12,)),-'PV IN'!$E$33*'PV IN'!$E$18,0)</f>
        <v>0</v>
      </c>
      <c r="AK142" s="2">
        <f t="shared" si="33"/>
        <v>12994.079938068047</v>
      </c>
      <c r="AL142" s="2">
        <f t="shared" si="34"/>
        <v>-1375</v>
      </c>
      <c r="AM142" s="2">
        <f t="shared" si="38"/>
        <v>11619.079938068047</v>
      </c>
      <c r="AN142" s="43"/>
      <c r="AO142" s="2">
        <f t="shared" si="35"/>
        <v>0</v>
      </c>
      <c r="AP142" s="2">
        <f t="shared" si="39"/>
        <v>-1375</v>
      </c>
      <c r="AR142" s="2">
        <f t="shared" si="40"/>
        <v>-1375</v>
      </c>
      <c r="AS142" s="2">
        <f>-AR142*'PV IN'!$E$8</f>
        <v>288.75</v>
      </c>
      <c r="AT142" s="2">
        <f>IF('PV IN'!$F$4="Battery Only",0,AM142+AS142)</f>
        <v>11907.829938068047</v>
      </c>
      <c r="AV142" s="10">
        <f t="shared" si="41"/>
        <v>458541.07854966482</v>
      </c>
      <c r="AW142" s="2">
        <f>AT142/(1+('PV IN'!$G$9))^(C142)</f>
        <v>6794.4715474581835</v>
      </c>
      <c r="AX142" s="2">
        <f>IF(C142&lt;='PV IN'!$O$22*12,AW142+AX141,NA())</f>
        <v>4817.3762381814095</v>
      </c>
      <c r="AZ142" s="10">
        <f t="shared" si="36"/>
        <v>-1375</v>
      </c>
      <c r="BA142" s="10">
        <f t="shared" si="37"/>
        <v>1809.399248378917</v>
      </c>
      <c r="BB142" s="10">
        <f t="shared" si="42"/>
        <v>434.39924837891704</v>
      </c>
      <c r="BC142" s="10">
        <f t="shared" si="43"/>
        <v>0</v>
      </c>
      <c r="BD142" s="10">
        <f t="shared" si="44"/>
        <v>-1375</v>
      </c>
      <c r="BE142" s="2">
        <f t="shared" si="45"/>
        <v>0</v>
      </c>
      <c r="BF142" s="10">
        <f t="shared" si="46"/>
        <v>-1375</v>
      </c>
      <c r="BG142" s="2">
        <f>-BF142*'PV IN'!$E$8</f>
        <v>288.75</v>
      </c>
      <c r="BH142" s="2">
        <f>IF('PV IN'!$F$4="Battery Only",0,BB142+BG142)</f>
        <v>723.14924837891704</v>
      </c>
      <c r="BI142" s="2">
        <f>BH142/(1+('PV IN'!$G$9))^(C142)</f>
        <v>412.62068892743076</v>
      </c>
    </row>
    <row r="143" spans="2:61" x14ac:dyDescent="0.25">
      <c r="C143">
        <v>139</v>
      </c>
      <c r="D143" s="16">
        <f>D142*(1+('PV IN'!$G$6/12))</f>
        <v>7.5999999999999998E-2</v>
      </c>
      <c r="E143" s="16">
        <f>LkUP!$U$32</f>
        <v>8.0358632345087277E-2</v>
      </c>
      <c r="F143" s="16">
        <f>IF('PV IN'!$D$7="Table",E143,D143)</f>
        <v>8.0358632345087277E-2</v>
      </c>
      <c r="G143" s="33">
        <f>('PV IN'!$E$25*'PV IN'!$E$18/12)*(1-(1-'PV IN'!$E$27)/(25*12))^C142</f>
        <v>139091.76786256395</v>
      </c>
      <c r="H143" s="33">
        <f>IF('PV IN'!$D$19="YES",G143*'PV IN'!$E$21,0)</f>
        <v>0</v>
      </c>
      <c r="I143" s="33">
        <f>IF('PV IN'!$D$19="YES",'PV IN'!$E$22*BattCalcs!W143,0)</f>
        <v>0</v>
      </c>
      <c r="J143" s="33">
        <f>IF('PV IN'!$D$19="YES",'PV IN'!$E$23*BattCalcs!Y143,0)</f>
        <v>0</v>
      </c>
      <c r="K143" s="33">
        <f>BattCalcs!AF143</f>
        <v>25811.765833333331</v>
      </c>
      <c r="L143" s="33">
        <f t="shared" si="47"/>
        <v>25811.765833333331</v>
      </c>
      <c r="M143" s="33">
        <f>IF('PV IN'!$F$4="PV Only",G143,G143-SUM(H143:J143,L143))</f>
        <v>139091.76786256395</v>
      </c>
      <c r="N143" s="2">
        <f>IF(C143&lt;='PV IN'!$I$12*12,'PV IN'!$E$12*G143/1000,0)</f>
        <v>0</v>
      </c>
      <c r="O143" s="2">
        <f>IF(AND(C143&gt;'PV IN'!$I$12*12,C143&lt;='PV IN'!$I$13*12+'PV IN'!$I$12*12),'PV IN'!$E$13*PVCalcs!G143/1000,0)</f>
        <v>0</v>
      </c>
      <c r="P143" s="2">
        <f>IF(AND(C143&gt;'PV IN'!$I$12*12+'PV IN'!$I$13*12,C143&lt;='PV IN'!$I$12*12+'PV IN'!$I$13*12+'PV IN'!$I$14*12),'PV IN'!$E$14*PVCalcs!G143/1000,0)</f>
        <v>1808.1929822133313</v>
      </c>
      <c r="R143" s="10">
        <f>IF(AND('PV IN'!$D$35="YES",$C143&lt;='PV IN'!$E$35*12),-'PV IN'!$E$18*'PV IN'!$E$34/12,0)</f>
        <v>0</v>
      </c>
      <c r="S143" s="10">
        <f>IF(AND('PV IN'!$D$37="YES",$C143&lt;='PV IN'!$E$37*12),-'PV IN'!$E$18*'PV IN'!$E$36/12,0)</f>
        <v>0</v>
      </c>
      <c r="U143" s="2">
        <f t="shared" si="48"/>
        <v>11177.224235896003</v>
      </c>
      <c r="V143" s="10">
        <f>PVLoan!M170</f>
        <v>0</v>
      </c>
      <c r="W143" s="2">
        <f>IF(C143='PV IN'!$I$40,IF('PV IN'!$G$40="Non-Taxable",'PV IN'!$F$40,0),0)+IF(C143='PV IN'!$I$41,IF('PV IN'!$G$41="Non-Taxable",'PV IN'!$F$41,0),0)</f>
        <v>0</v>
      </c>
      <c r="X143" s="10"/>
      <c r="Y143" s="10">
        <f>IF('PV IN'!$E$15="Non-Taxable",SUM(N143:P143),0)</f>
        <v>1808.1929822133313</v>
      </c>
      <c r="Z143" s="10">
        <f>IF('PV IN'!$E$15="Taxable",SUM(N143:P143),0)</f>
        <v>0</v>
      </c>
      <c r="AA143" s="2">
        <f>IF(C143='PV IN'!$I$40,IF('PV IN'!$G$40="Taxable",'PV IN'!$F$40,0),0)+IF(C143='PV IN'!$I$41,IF('PV IN'!$G$41="Taxable",'PV IN'!$F$41,0),0)</f>
        <v>0</v>
      </c>
      <c r="AD143" s="10">
        <f>IF('PV IN'!$D$48="YES",-U143*'PV IN'!$E$8,0)</f>
        <v>0</v>
      </c>
      <c r="AE143" s="10">
        <f>IF('PV IN'!$N$10="Yes",-PVLoan!H171,-PVLoan!L171)</f>
        <v>0</v>
      </c>
      <c r="AF143" s="10">
        <f>IF('PV IN'!$N$10="Yes",-PVLoan!F171,0)</f>
        <v>0</v>
      </c>
      <c r="AG143" s="10">
        <f>IF(AND('PV IN'!$D$35="YES",$C143&lt;='PV IN'!$E$35*12),0,-'PV IN'!$E$18*'PV IN'!$E$34/12)</f>
        <v>-750</v>
      </c>
      <c r="AH143" s="10">
        <f>IF(AND('PV IN'!$D$37="YES",$C143&lt;='PV IN'!$E$37*12),0,-'PV IN'!$E$18*'PV IN'!$E$36/12)</f>
        <v>-625</v>
      </c>
      <c r="AI143" s="2">
        <f>IF(AND('PV IN'!$D$33="YES",PVCalcs!C143=ROUNDUP('PV IN'!$H$33*12,)),-'PV IN'!$E$33*'PV IN'!$E$18,0)</f>
        <v>0</v>
      </c>
      <c r="AK143" s="2">
        <f t="shared" si="33"/>
        <v>12985.417218109334</v>
      </c>
      <c r="AL143" s="2">
        <f t="shared" si="34"/>
        <v>-1375</v>
      </c>
      <c r="AM143" s="2">
        <f t="shared" si="38"/>
        <v>11610.417218109334</v>
      </c>
      <c r="AN143" s="43"/>
      <c r="AO143" s="2">
        <f t="shared" si="35"/>
        <v>0</v>
      </c>
      <c r="AP143" s="2">
        <f t="shared" si="39"/>
        <v>-1375</v>
      </c>
      <c r="AR143" s="2">
        <f t="shared" si="40"/>
        <v>-1375</v>
      </c>
      <c r="AS143" s="2">
        <f>-AR143*'PV IN'!$E$8</f>
        <v>288.75</v>
      </c>
      <c r="AT143" s="2">
        <f>IF('PV IN'!$F$4="Battery Only",0,AM143+AS143)</f>
        <v>11899.167218109334</v>
      </c>
      <c r="AV143" s="10">
        <f t="shared" si="41"/>
        <v>470440.24576777418</v>
      </c>
      <c r="AW143" s="2">
        <f>AT143/(1+('PV IN'!$G$9))^(C143)</f>
        <v>6761.979556806783</v>
      </c>
      <c r="AX143" s="2">
        <f>IF(C143&lt;='PV IN'!$O$22*12,AW143+AX142,NA())</f>
        <v>11579.355794988192</v>
      </c>
      <c r="AZ143" s="10">
        <f t="shared" si="36"/>
        <v>-1375</v>
      </c>
      <c r="BA143" s="10">
        <f t="shared" si="37"/>
        <v>1808.1929822133316</v>
      </c>
      <c r="BB143" s="10">
        <f t="shared" si="42"/>
        <v>433.19298221333156</v>
      </c>
      <c r="BC143" s="10">
        <f t="shared" si="43"/>
        <v>0</v>
      </c>
      <c r="BD143" s="10">
        <f t="shared" si="44"/>
        <v>-1375</v>
      </c>
      <c r="BE143" s="2">
        <f t="shared" si="45"/>
        <v>0</v>
      </c>
      <c r="BF143" s="10">
        <f t="shared" si="46"/>
        <v>-1375</v>
      </c>
      <c r="BG143" s="2">
        <f>-BF143*'PV IN'!$E$8</f>
        <v>288.75</v>
      </c>
      <c r="BH143" s="2">
        <f>IF('PV IN'!$F$4="Battery Only",0,BB143+BG143)</f>
        <v>721.94298221333156</v>
      </c>
      <c r="BI143" s="2">
        <f>BH143/(1+('PV IN'!$G$9))^(C143)</f>
        <v>410.26095334445915</v>
      </c>
    </row>
    <row r="144" spans="2:61" x14ac:dyDescent="0.25">
      <c r="C144">
        <v>140</v>
      </c>
      <c r="D144" s="16">
        <f>D143*(1+('PV IN'!$G$6/12))</f>
        <v>7.5999999999999998E-2</v>
      </c>
      <c r="E144" s="16">
        <f>LkUP!$U$32</f>
        <v>8.0358632345087277E-2</v>
      </c>
      <c r="F144" s="16">
        <f>IF('PV IN'!$D$7="Table",E144,D144)</f>
        <v>8.0358632345087277E-2</v>
      </c>
      <c r="G144" s="33">
        <f>('PV IN'!$E$25*'PV IN'!$E$18/12)*(1-(1-'PV IN'!$E$27)/(25*12))^C143</f>
        <v>138999.04001732226</v>
      </c>
      <c r="H144" s="33">
        <f>IF('PV IN'!$D$19="YES",G144*'PV IN'!$E$21,0)</f>
        <v>0</v>
      </c>
      <c r="I144" s="33">
        <f>IF('PV IN'!$D$19="YES",'PV IN'!$E$22*BattCalcs!W144,0)</f>
        <v>0</v>
      </c>
      <c r="J144" s="33">
        <f>IF('PV IN'!$D$19="YES",'PV IN'!$E$23*BattCalcs!Y144,0)</f>
        <v>0</v>
      </c>
      <c r="K144" s="33">
        <f>BattCalcs!AF144</f>
        <v>25811.765833333331</v>
      </c>
      <c r="L144" s="33">
        <f t="shared" si="47"/>
        <v>25811.765833333331</v>
      </c>
      <c r="M144" s="33">
        <f>IF('PV IN'!$F$4="PV Only",G144,G144-SUM(H144:J144,L144))</f>
        <v>138999.04001732226</v>
      </c>
      <c r="N144" s="2">
        <f>IF(C144&lt;='PV IN'!$I$12*12,'PV IN'!$E$12*G144/1000,0)</f>
        <v>0</v>
      </c>
      <c r="O144" s="2">
        <f>IF(AND(C144&gt;'PV IN'!$I$12*12,C144&lt;='PV IN'!$I$13*12+'PV IN'!$I$12*12),'PV IN'!$E$13*PVCalcs!G144/1000,0)</f>
        <v>0</v>
      </c>
      <c r="P144" s="2">
        <f>IF(AND(C144&gt;'PV IN'!$I$12*12+'PV IN'!$I$13*12,C144&lt;='PV IN'!$I$12*12+'PV IN'!$I$13*12+'PV IN'!$I$14*12),'PV IN'!$E$14*PVCalcs!G144/1000,0)</f>
        <v>1806.9875202251894</v>
      </c>
      <c r="R144" s="10">
        <f>IF(AND('PV IN'!$D$35="YES",$C144&lt;='PV IN'!$E$35*12),-'PV IN'!$E$18*'PV IN'!$E$34/12,0)</f>
        <v>0</v>
      </c>
      <c r="S144" s="10">
        <f>IF(AND('PV IN'!$D$37="YES",$C144&lt;='PV IN'!$E$37*12),-'PV IN'!$E$18*'PV IN'!$E$36/12,0)</f>
        <v>0</v>
      </c>
      <c r="U144" s="2">
        <f t="shared" si="48"/>
        <v>11169.772753072073</v>
      </c>
      <c r="V144" s="10">
        <f>PVLoan!M171</f>
        <v>0</v>
      </c>
      <c r="W144" s="2">
        <f>IF(C144='PV IN'!$I$40,IF('PV IN'!$G$40="Non-Taxable",'PV IN'!$F$40,0),0)+IF(C144='PV IN'!$I$41,IF('PV IN'!$G$41="Non-Taxable",'PV IN'!$F$41,0),0)</f>
        <v>0</v>
      </c>
      <c r="X144" s="10"/>
      <c r="Y144" s="10">
        <f>IF('PV IN'!$E$15="Non-Taxable",SUM(N144:P144),0)</f>
        <v>1806.9875202251894</v>
      </c>
      <c r="Z144" s="10">
        <f>IF('PV IN'!$E$15="Taxable",SUM(N144:P144),0)</f>
        <v>0</v>
      </c>
      <c r="AA144" s="2">
        <f>IF(C144='PV IN'!$I$40,IF('PV IN'!$G$40="Taxable",'PV IN'!$F$40,0),0)+IF(C144='PV IN'!$I$41,IF('PV IN'!$G$41="Taxable",'PV IN'!$F$41,0),0)</f>
        <v>0</v>
      </c>
      <c r="AD144" s="10">
        <f>IF('PV IN'!$D$48="YES",-U144*'PV IN'!$E$8,0)</f>
        <v>0</v>
      </c>
      <c r="AE144" s="10">
        <f>IF('PV IN'!$N$10="Yes",-PVLoan!H172,-PVLoan!L172)</f>
        <v>0</v>
      </c>
      <c r="AF144" s="10">
        <f>IF('PV IN'!$N$10="Yes",-PVLoan!F172,0)</f>
        <v>0</v>
      </c>
      <c r="AG144" s="10">
        <f>IF(AND('PV IN'!$D$35="YES",$C144&lt;='PV IN'!$E$35*12),0,-'PV IN'!$E$18*'PV IN'!$E$34/12)</f>
        <v>-750</v>
      </c>
      <c r="AH144" s="10">
        <f>IF(AND('PV IN'!$D$37="YES",$C144&lt;='PV IN'!$E$37*12),0,-'PV IN'!$E$18*'PV IN'!$E$36/12)</f>
        <v>-625</v>
      </c>
      <c r="AI144" s="2">
        <f>IF(AND('PV IN'!$D$33="YES",PVCalcs!C144=ROUNDUP('PV IN'!$H$33*12,)),-'PV IN'!$E$33*'PV IN'!$E$18,0)</f>
        <v>0</v>
      </c>
      <c r="AK144" s="2">
        <f t="shared" si="33"/>
        <v>12976.760273297263</v>
      </c>
      <c r="AL144" s="2">
        <f t="shared" si="34"/>
        <v>-1375</v>
      </c>
      <c r="AM144" s="2">
        <f t="shared" si="38"/>
        <v>11601.760273297263</v>
      </c>
      <c r="AN144" s="43"/>
      <c r="AO144" s="2">
        <f t="shared" si="35"/>
        <v>0</v>
      </c>
      <c r="AP144" s="2">
        <f t="shared" si="39"/>
        <v>-1375</v>
      </c>
      <c r="AR144" s="2">
        <f t="shared" si="40"/>
        <v>-1375</v>
      </c>
      <c r="AS144" s="2">
        <f>-AR144*'PV IN'!$E$8</f>
        <v>288.75</v>
      </c>
      <c r="AT144" s="2">
        <f>IF('PV IN'!$F$4="Battery Only",0,AM144+AS144)</f>
        <v>11890.510273297263</v>
      </c>
      <c r="AV144" s="10">
        <f t="shared" si="41"/>
        <v>482330.75604107144</v>
      </c>
      <c r="AW144" s="2">
        <f>AT144/(1+('PV IN'!$G$9))^(C144)</f>
        <v>6729.6426486513074</v>
      </c>
      <c r="AX144" s="2">
        <f>IF(C144&lt;='PV IN'!$O$22*12,AW144+AX143,NA())</f>
        <v>18308.998443639499</v>
      </c>
      <c r="AZ144" s="10">
        <f t="shared" si="36"/>
        <v>-1375</v>
      </c>
      <c r="BA144" s="10">
        <f t="shared" si="37"/>
        <v>1806.9875202251897</v>
      </c>
      <c r="BB144" s="10">
        <f t="shared" si="42"/>
        <v>431.98752022518966</v>
      </c>
      <c r="BC144" s="10">
        <f t="shared" si="43"/>
        <v>0</v>
      </c>
      <c r="BD144" s="10">
        <f t="shared" si="44"/>
        <v>-1375</v>
      </c>
      <c r="BE144" s="2">
        <f t="shared" si="45"/>
        <v>0</v>
      </c>
      <c r="BF144" s="10">
        <f t="shared" si="46"/>
        <v>-1375</v>
      </c>
      <c r="BG144" s="2">
        <f>-BF144*'PV IN'!$E$8</f>
        <v>288.75</v>
      </c>
      <c r="BH144" s="2">
        <f>IF('PV IN'!$F$4="Battery Only",0,BB144+BG144)</f>
        <v>720.73752022518966</v>
      </c>
      <c r="BI144" s="2">
        <f>BH144/(1+('PV IN'!$G$9))^(C144)</f>
        <v>407.91402918031548</v>
      </c>
    </row>
    <row r="145" spans="2:61" x14ac:dyDescent="0.25">
      <c r="C145">
        <v>141</v>
      </c>
      <c r="D145" s="16">
        <f>D144*(1+('PV IN'!$G$6/12))</f>
        <v>7.5999999999999998E-2</v>
      </c>
      <c r="E145" s="16">
        <f>LkUP!$U$32</f>
        <v>8.0358632345087277E-2</v>
      </c>
      <c r="F145" s="16">
        <f>IF('PV IN'!$D$7="Table",E145,D145)</f>
        <v>8.0358632345087277E-2</v>
      </c>
      <c r="G145" s="33">
        <f>('PV IN'!$E$25*'PV IN'!$E$18/12)*(1-(1-'PV IN'!$E$27)/(25*12))^C144</f>
        <v>138906.37399064403</v>
      </c>
      <c r="H145" s="33">
        <f>IF('PV IN'!$D$19="YES",G145*'PV IN'!$E$21,0)</f>
        <v>0</v>
      </c>
      <c r="I145" s="33">
        <f>IF('PV IN'!$D$19="YES",'PV IN'!$E$22*BattCalcs!W145,0)</f>
        <v>0</v>
      </c>
      <c r="J145" s="33">
        <f>IF('PV IN'!$D$19="YES",'PV IN'!$E$23*BattCalcs!Y145,0)</f>
        <v>0</v>
      </c>
      <c r="K145" s="33">
        <f>BattCalcs!AF145</f>
        <v>25811.765833333331</v>
      </c>
      <c r="L145" s="33">
        <f t="shared" si="47"/>
        <v>25811.765833333331</v>
      </c>
      <c r="M145" s="33">
        <f>IF('PV IN'!$F$4="PV Only",G145,G145-SUM(H145:J145,L145))</f>
        <v>138906.37399064403</v>
      </c>
      <c r="N145" s="2">
        <f>IF(C145&lt;='PV IN'!$I$12*12,'PV IN'!$E$12*G145/1000,0)</f>
        <v>0</v>
      </c>
      <c r="O145" s="2">
        <f>IF(AND(C145&gt;'PV IN'!$I$12*12,C145&lt;='PV IN'!$I$13*12+'PV IN'!$I$12*12),'PV IN'!$E$13*PVCalcs!G145/1000,0)</f>
        <v>0</v>
      </c>
      <c r="P145" s="2">
        <f>IF(AND(C145&gt;'PV IN'!$I$12*12+'PV IN'!$I$13*12,C145&lt;='PV IN'!$I$12*12+'PV IN'!$I$13*12+'PV IN'!$I$14*12),'PV IN'!$E$14*PVCalcs!G145/1000,0)</f>
        <v>1805.7828618783724</v>
      </c>
      <c r="R145" s="10">
        <f>IF(AND('PV IN'!$D$35="YES",$C145&lt;='PV IN'!$E$35*12),-'PV IN'!$E$18*'PV IN'!$E$34/12,0)</f>
        <v>0</v>
      </c>
      <c r="S145" s="10">
        <f>IF(AND('PV IN'!$D$37="YES",$C145&lt;='PV IN'!$E$37*12),-'PV IN'!$E$18*'PV IN'!$E$36/12,0)</f>
        <v>0</v>
      </c>
      <c r="U145" s="2">
        <f t="shared" si="48"/>
        <v>11162.326237903357</v>
      </c>
      <c r="V145" s="10">
        <f>PVLoan!M172</f>
        <v>0</v>
      </c>
      <c r="W145" s="2">
        <f>IF(C145='PV IN'!$I$40,IF('PV IN'!$G$40="Non-Taxable",'PV IN'!$F$40,0),0)+IF(C145='PV IN'!$I$41,IF('PV IN'!$G$41="Non-Taxable",'PV IN'!$F$41,0),0)</f>
        <v>0</v>
      </c>
      <c r="X145" s="10"/>
      <c r="Y145" s="10">
        <f>IF('PV IN'!$E$15="Non-Taxable",SUM(N145:P145),0)</f>
        <v>1805.7828618783724</v>
      </c>
      <c r="Z145" s="10">
        <f>IF('PV IN'!$E$15="Taxable",SUM(N145:P145),0)</f>
        <v>0</v>
      </c>
      <c r="AA145" s="2">
        <f>IF(C145='PV IN'!$I$40,IF('PV IN'!$G$40="Taxable",'PV IN'!$F$40,0),0)+IF(C145='PV IN'!$I$41,IF('PV IN'!$G$41="Taxable",'PV IN'!$F$41,0),0)</f>
        <v>0</v>
      </c>
      <c r="AD145" s="10">
        <f>IF('PV IN'!$D$48="YES",-U145*'PV IN'!$E$8,0)</f>
        <v>0</v>
      </c>
      <c r="AE145" s="10">
        <f>IF('PV IN'!$N$10="Yes",-PVLoan!H173,-PVLoan!L173)</f>
        <v>0</v>
      </c>
      <c r="AF145" s="10">
        <f>IF('PV IN'!$N$10="Yes",-PVLoan!F173,0)</f>
        <v>0</v>
      </c>
      <c r="AG145" s="10">
        <f>IF(AND('PV IN'!$D$35="YES",$C145&lt;='PV IN'!$E$35*12),0,-'PV IN'!$E$18*'PV IN'!$E$34/12)</f>
        <v>-750</v>
      </c>
      <c r="AH145" s="10">
        <f>IF(AND('PV IN'!$D$37="YES",$C145&lt;='PV IN'!$E$37*12),0,-'PV IN'!$E$18*'PV IN'!$E$36/12)</f>
        <v>-625</v>
      </c>
      <c r="AI145" s="2">
        <f>IF(AND('PV IN'!$D$33="YES",PVCalcs!C145=ROUNDUP('PV IN'!$H$33*12,)),-'PV IN'!$E$33*'PV IN'!$E$18,0)</f>
        <v>0</v>
      </c>
      <c r="AK145" s="2">
        <f t="shared" si="33"/>
        <v>12968.10909978173</v>
      </c>
      <c r="AL145" s="2">
        <f t="shared" si="34"/>
        <v>-1375</v>
      </c>
      <c r="AM145" s="2">
        <f t="shared" si="38"/>
        <v>11593.10909978173</v>
      </c>
      <c r="AN145" s="43"/>
      <c r="AO145" s="2">
        <f t="shared" si="35"/>
        <v>0</v>
      </c>
      <c r="AP145" s="2">
        <f t="shared" si="39"/>
        <v>-1375</v>
      </c>
      <c r="AR145" s="2">
        <f t="shared" si="40"/>
        <v>-1375</v>
      </c>
      <c r="AS145" s="2">
        <f>-AR145*'PV IN'!$E$8</f>
        <v>288.75</v>
      </c>
      <c r="AT145" s="2">
        <f>IF('PV IN'!$F$4="Battery Only",0,AM145+AS145)</f>
        <v>11881.85909978173</v>
      </c>
      <c r="AV145" s="10">
        <f t="shared" si="41"/>
        <v>494212.61514085316</v>
      </c>
      <c r="AW145" s="2">
        <f>AT145/(1+('PV IN'!$G$9))^(C145)</f>
        <v>6697.4600839859713</v>
      </c>
      <c r="AX145" s="2">
        <f>IF(C145&lt;='PV IN'!$O$22*12,AW145+AX144,NA())</f>
        <v>25006.458527625469</v>
      </c>
      <c r="AZ145" s="10">
        <f t="shared" si="36"/>
        <v>-1375</v>
      </c>
      <c r="BA145" s="10">
        <f t="shared" si="37"/>
        <v>1805.7828618783733</v>
      </c>
      <c r="BB145" s="10">
        <f t="shared" si="42"/>
        <v>430.7828618783733</v>
      </c>
      <c r="BC145" s="10">
        <f t="shared" si="43"/>
        <v>0</v>
      </c>
      <c r="BD145" s="10">
        <f t="shared" si="44"/>
        <v>-1375</v>
      </c>
      <c r="BE145" s="2">
        <f t="shared" si="45"/>
        <v>0</v>
      </c>
      <c r="BF145" s="10">
        <f t="shared" si="46"/>
        <v>-1375</v>
      </c>
      <c r="BG145" s="2">
        <f>-BF145*'PV IN'!$E$8</f>
        <v>288.75</v>
      </c>
      <c r="BH145" s="2">
        <f>IF('PV IN'!$F$4="Battery Only",0,BB145+BG145)</f>
        <v>719.5328618783733</v>
      </c>
      <c r="BI145" s="2">
        <f>BH145/(1+('PV IN'!$G$9))^(C145)</f>
        <v>405.57984916982582</v>
      </c>
    </row>
    <row r="146" spans="2:61" x14ac:dyDescent="0.25">
      <c r="C146">
        <v>142</v>
      </c>
      <c r="D146" s="16">
        <f>D145*(1+('PV IN'!$G$6/12))</f>
        <v>7.5999999999999998E-2</v>
      </c>
      <c r="E146" s="16">
        <f>LkUP!$U$32</f>
        <v>8.0358632345087277E-2</v>
      </c>
      <c r="F146" s="16">
        <f>IF('PV IN'!$D$7="Table",E146,D146)</f>
        <v>8.0358632345087277E-2</v>
      </c>
      <c r="G146" s="33">
        <f>('PV IN'!$E$25*'PV IN'!$E$18/12)*(1-(1-'PV IN'!$E$27)/(25*12))^C145</f>
        <v>138813.76974131691</v>
      </c>
      <c r="H146" s="33">
        <f>IF('PV IN'!$D$19="YES",G146*'PV IN'!$E$21,0)</f>
        <v>0</v>
      </c>
      <c r="I146" s="33">
        <f>IF('PV IN'!$D$19="YES",'PV IN'!$E$22*BattCalcs!W146,0)</f>
        <v>0</v>
      </c>
      <c r="J146" s="33">
        <f>IF('PV IN'!$D$19="YES",'PV IN'!$E$23*BattCalcs!Y146,0)</f>
        <v>0</v>
      </c>
      <c r="K146" s="33">
        <f>BattCalcs!AF146</f>
        <v>25811.765833333331</v>
      </c>
      <c r="L146" s="33">
        <f t="shared" si="47"/>
        <v>25811.765833333331</v>
      </c>
      <c r="M146" s="33">
        <f>IF('PV IN'!$F$4="PV Only",G146,G146-SUM(H146:J146,L146))</f>
        <v>138813.76974131691</v>
      </c>
      <c r="N146" s="2">
        <f>IF(C146&lt;='PV IN'!$I$12*12,'PV IN'!$E$12*G146/1000,0)</f>
        <v>0</v>
      </c>
      <c r="O146" s="2">
        <f>IF(AND(C146&gt;'PV IN'!$I$12*12,C146&lt;='PV IN'!$I$13*12+'PV IN'!$I$12*12),'PV IN'!$E$13*PVCalcs!G146/1000,0)</f>
        <v>0</v>
      </c>
      <c r="P146" s="2">
        <f>IF(AND(C146&gt;'PV IN'!$I$12*12+'PV IN'!$I$13*12,C146&lt;='PV IN'!$I$12*12+'PV IN'!$I$13*12+'PV IN'!$I$14*12),'PV IN'!$E$14*PVCalcs!G146/1000,0)</f>
        <v>1804.5790066371196</v>
      </c>
      <c r="R146" s="10">
        <f>IF(AND('PV IN'!$D$35="YES",$C146&lt;='PV IN'!$E$35*12),-'PV IN'!$E$18*'PV IN'!$E$34/12,0)</f>
        <v>0</v>
      </c>
      <c r="S146" s="10">
        <f>IF(AND('PV IN'!$D$37="YES",$C146&lt;='PV IN'!$E$37*12),-'PV IN'!$E$18*'PV IN'!$E$36/12,0)</f>
        <v>0</v>
      </c>
      <c r="U146" s="2">
        <f t="shared" si="48"/>
        <v>11154.884687078087</v>
      </c>
      <c r="V146" s="10">
        <f>PVLoan!M173</f>
        <v>0</v>
      </c>
      <c r="W146" s="2">
        <f>IF(C146='PV IN'!$I$40,IF('PV IN'!$G$40="Non-Taxable",'PV IN'!$F$40,0),0)+IF(C146='PV IN'!$I$41,IF('PV IN'!$G$41="Non-Taxable",'PV IN'!$F$41,0),0)</f>
        <v>0</v>
      </c>
      <c r="X146" s="10"/>
      <c r="Y146" s="10">
        <f>IF('PV IN'!$E$15="Non-Taxable",SUM(N146:P146),0)</f>
        <v>1804.5790066371196</v>
      </c>
      <c r="Z146" s="10">
        <f>IF('PV IN'!$E$15="Taxable",SUM(N146:P146),0)</f>
        <v>0</v>
      </c>
      <c r="AA146" s="2">
        <f>IF(C146='PV IN'!$I$40,IF('PV IN'!$G$40="Taxable",'PV IN'!$F$40,0),0)+IF(C146='PV IN'!$I$41,IF('PV IN'!$G$41="Taxable",'PV IN'!$F$41,0),0)</f>
        <v>0</v>
      </c>
      <c r="AD146" s="10">
        <f>IF('PV IN'!$D$48="YES",-U146*'PV IN'!$E$8,0)</f>
        <v>0</v>
      </c>
      <c r="AE146" s="10">
        <f>IF('PV IN'!$N$10="Yes",-PVLoan!H174,-PVLoan!L174)</f>
        <v>0</v>
      </c>
      <c r="AF146" s="10">
        <f>IF('PV IN'!$N$10="Yes",-PVLoan!F174,0)</f>
        <v>0</v>
      </c>
      <c r="AG146" s="10">
        <f>IF(AND('PV IN'!$D$35="YES",$C146&lt;='PV IN'!$E$35*12),0,-'PV IN'!$E$18*'PV IN'!$E$34/12)</f>
        <v>-750</v>
      </c>
      <c r="AH146" s="10">
        <f>IF(AND('PV IN'!$D$37="YES",$C146&lt;='PV IN'!$E$37*12),0,-'PV IN'!$E$18*'PV IN'!$E$36/12)</f>
        <v>-625</v>
      </c>
      <c r="AI146" s="2">
        <f>IF(AND('PV IN'!$D$33="YES",PVCalcs!C146=ROUNDUP('PV IN'!$H$33*12,)),-'PV IN'!$E$33*'PV IN'!$E$18,0)</f>
        <v>0</v>
      </c>
      <c r="AK146" s="2">
        <f t="shared" si="33"/>
        <v>12959.463693715206</v>
      </c>
      <c r="AL146" s="2">
        <f t="shared" si="34"/>
        <v>-1375</v>
      </c>
      <c r="AM146" s="2">
        <f t="shared" si="38"/>
        <v>11584.463693715206</v>
      </c>
      <c r="AN146" s="43"/>
      <c r="AO146" s="2">
        <f t="shared" si="35"/>
        <v>0</v>
      </c>
      <c r="AP146" s="2">
        <f t="shared" si="39"/>
        <v>-1375</v>
      </c>
      <c r="AR146" s="2">
        <f t="shared" si="40"/>
        <v>-1375</v>
      </c>
      <c r="AS146" s="2">
        <f>-AR146*'PV IN'!$E$8</f>
        <v>288.75</v>
      </c>
      <c r="AT146" s="2">
        <f>IF('PV IN'!$F$4="Battery Only",0,AM146+AS146)</f>
        <v>11873.213693715206</v>
      </c>
      <c r="AV146" s="10">
        <f t="shared" si="41"/>
        <v>506085.82883456838</v>
      </c>
      <c r="AW146" s="2">
        <f>AT146/(1+('PV IN'!$G$9))^(C146)</f>
        <v>6665.431127321739</v>
      </c>
      <c r="AX146" s="2">
        <f>IF(C146&lt;='PV IN'!$O$22*12,AW146+AX145,NA())</f>
        <v>31671.889654947208</v>
      </c>
      <c r="AZ146" s="10">
        <f t="shared" si="36"/>
        <v>-1375</v>
      </c>
      <c r="BA146" s="10">
        <f t="shared" si="37"/>
        <v>1804.5790066371192</v>
      </c>
      <c r="BB146" s="10">
        <f t="shared" si="42"/>
        <v>429.57900663711916</v>
      </c>
      <c r="BC146" s="10">
        <f t="shared" si="43"/>
        <v>0</v>
      </c>
      <c r="BD146" s="10">
        <f t="shared" si="44"/>
        <v>-1375</v>
      </c>
      <c r="BE146" s="2">
        <f t="shared" si="45"/>
        <v>0</v>
      </c>
      <c r="BF146" s="10">
        <f t="shared" si="46"/>
        <v>-1375</v>
      </c>
      <c r="BG146" s="2">
        <f>-BF146*'PV IN'!$E$8</f>
        <v>288.75</v>
      </c>
      <c r="BH146" s="2">
        <f>IF('PV IN'!$F$4="Battery Only",0,BB146+BG146)</f>
        <v>718.32900663711916</v>
      </c>
      <c r="BI146" s="2">
        <f>BH146/(1+('PV IN'!$G$9))^(C146)</f>
        <v>403.25834639290235</v>
      </c>
    </row>
    <row r="147" spans="2:61" x14ac:dyDescent="0.25">
      <c r="C147">
        <v>143</v>
      </c>
      <c r="D147" s="16">
        <f>D146*(1+('PV IN'!$G$6/12))</f>
        <v>7.5999999999999998E-2</v>
      </c>
      <c r="E147" s="16">
        <f>LkUP!$U$32</f>
        <v>8.0358632345087277E-2</v>
      </c>
      <c r="F147" s="16">
        <f>IF('PV IN'!$D$7="Table",E147,D147)</f>
        <v>8.0358632345087277E-2</v>
      </c>
      <c r="G147" s="33">
        <f>('PV IN'!$E$25*'PV IN'!$E$18/12)*(1-(1-'PV IN'!$E$27)/(25*12))^C146</f>
        <v>138721.22722815603</v>
      </c>
      <c r="H147" s="33">
        <f>IF('PV IN'!$D$19="YES",G147*'PV IN'!$E$21,0)</f>
        <v>0</v>
      </c>
      <c r="I147" s="33">
        <f>IF('PV IN'!$D$19="YES",'PV IN'!$E$22*BattCalcs!W147,0)</f>
        <v>0</v>
      </c>
      <c r="J147" s="33">
        <f>IF('PV IN'!$D$19="YES",'PV IN'!$E$23*BattCalcs!Y147,0)</f>
        <v>0</v>
      </c>
      <c r="K147" s="33">
        <f>BattCalcs!AF147</f>
        <v>25811.765833333331</v>
      </c>
      <c r="L147" s="33">
        <f t="shared" si="47"/>
        <v>25811.765833333331</v>
      </c>
      <c r="M147" s="33">
        <f>IF('PV IN'!$F$4="PV Only",G147,G147-SUM(H147:J147,L147))</f>
        <v>138721.22722815603</v>
      </c>
      <c r="N147" s="2">
        <f>IF(C147&lt;='PV IN'!$I$12*12,'PV IN'!$E$12*G147/1000,0)</f>
        <v>0</v>
      </c>
      <c r="O147" s="2">
        <f>IF(AND(C147&gt;'PV IN'!$I$12*12,C147&lt;='PV IN'!$I$13*12+'PV IN'!$I$12*12),'PV IN'!$E$13*PVCalcs!G147/1000,0)</f>
        <v>0</v>
      </c>
      <c r="P147" s="2">
        <f>IF(AND(C147&gt;'PV IN'!$I$12*12+'PV IN'!$I$13*12,C147&lt;='PV IN'!$I$12*12+'PV IN'!$I$13*12+'PV IN'!$I$14*12),'PV IN'!$E$14*PVCalcs!G147/1000,0)</f>
        <v>1803.3759539660282</v>
      </c>
      <c r="R147" s="10">
        <f>IF(AND('PV IN'!$D$35="YES",$C147&lt;='PV IN'!$E$35*12),-'PV IN'!$E$18*'PV IN'!$E$34/12,0)</f>
        <v>0</v>
      </c>
      <c r="S147" s="10">
        <f>IF(AND('PV IN'!$D$37="YES",$C147&lt;='PV IN'!$E$37*12),-'PV IN'!$E$18*'PV IN'!$E$36/12,0)</f>
        <v>0</v>
      </c>
      <c r="U147" s="2">
        <f t="shared" si="48"/>
        <v>11147.4480972867</v>
      </c>
      <c r="V147" s="10">
        <f>PVLoan!M174</f>
        <v>0</v>
      </c>
      <c r="W147" s="2">
        <f>IF(C147='PV IN'!$I$40,IF('PV IN'!$G$40="Non-Taxable",'PV IN'!$F$40,0),0)+IF(C147='PV IN'!$I$41,IF('PV IN'!$G$41="Non-Taxable",'PV IN'!$F$41,0),0)</f>
        <v>0</v>
      </c>
      <c r="X147" s="10"/>
      <c r="Y147" s="10">
        <f>IF('PV IN'!$E$15="Non-Taxable",SUM(N147:P147),0)</f>
        <v>1803.3759539660282</v>
      </c>
      <c r="Z147" s="10">
        <f>IF('PV IN'!$E$15="Taxable",SUM(N147:P147),0)</f>
        <v>0</v>
      </c>
      <c r="AA147" s="2">
        <f>IF(C147='PV IN'!$I$40,IF('PV IN'!$G$40="Taxable",'PV IN'!$F$40,0),0)+IF(C147='PV IN'!$I$41,IF('PV IN'!$G$41="Taxable",'PV IN'!$F$41,0),0)</f>
        <v>0</v>
      </c>
      <c r="AD147" s="10">
        <f>IF('PV IN'!$D$48="YES",-U147*'PV IN'!$E$8,0)</f>
        <v>0</v>
      </c>
      <c r="AE147" s="10">
        <f>IF('PV IN'!$N$10="Yes",-PVLoan!H175,-PVLoan!L175)</f>
        <v>0</v>
      </c>
      <c r="AF147" s="10">
        <f>IF('PV IN'!$N$10="Yes",-PVLoan!F175,0)</f>
        <v>0</v>
      </c>
      <c r="AG147" s="10">
        <f>IF(AND('PV IN'!$D$35="YES",$C147&lt;='PV IN'!$E$35*12),0,-'PV IN'!$E$18*'PV IN'!$E$34/12)</f>
        <v>-750</v>
      </c>
      <c r="AH147" s="10">
        <f>IF(AND('PV IN'!$D$37="YES",$C147&lt;='PV IN'!$E$37*12),0,-'PV IN'!$E$18*'PV IN'!$E$36/12)</f>
        <v>-625</v>
      </c>
      <c r="AI147" s="2">
        <f>IF(AND('PV IN'!$D$33="YES",PVCalcs!C147=ROUNDUP('PV IN'!$H$33*12,)),-'PV IN'!$E$33*'PV IN'!$E$18,0)</f>
        <v>0</v>
      </c>
      <c r="AK147" s="2">
        <f t="shared" si="33"/>
        <v>12950.824051252728</v>
      </c>
      <c r="AL147" s="2">
        <f t="shared" si="34"/>
        <v>-1375</v>
      </c>
      <c r="AM147" s="2">
        <f t="shared" si="38"/>
        <v>11575.824051252728</v>
      </c>
      <c r="AN147" s="43"/>
      <c r="AO147" s="2">
        <f t="shared" si="35"/>
        <v>0</v>
      </c>
      <c r="AP147" s="2">
        <f t="shared" si="39"/>
        <v>-1375</v>
      </c>
      <c r="AR147" s="2">
        <f t="shared" si="40"/>
        <v>-1375</v>
      </c>
      <c r="AS147" s="2">
        <f>-AR147*'PV IN'!$E$8</f>
        <v>288.75</v>
      </c>
      <c r="AT147" s="2">
        <f>IF('PV IN'!$F$4="Battery Only",0,AM147+AS147)</f>
        <v>11864.574051252728</v>
      </c>
      <c r="AV147" s="10">
        <f t="shared" si="41"/>
        <v>517950.40288582112</v>
      </c>
      <c r="AW147" s="2">
        <f>AT147/(1+('PV IN'!$G$9))^(C147)</f>
        <v>6633.5550466696077</v>
      </c>
      <c r="AX147" s="2">
        <f>IF(C147&lt;='PV IN'!$O$22*12,AW147+AX146,NA())</f>
        <v>38305.444701616812</v>
      </c>
      <c r="AZ147" s="10">
        <f t="shared" si="36"/>
        <v>-1375</v>
      </c>
      <c r="BA147" s="10">
        <f t="shared" si="37"/>
        <v>1803.3759539660277</v>
      </c>
      <c r="BB147" s="10">
        <f t="shared" si="42"/>
        <v>428.37595396602774</v>
      </c>
      <c r="BC147" s="10">
        <f t="shared" si="43"/>
        <v>0</v>
      </c>
      <c r="BD147" s="10">
        <f t="shared" si="44"/>
        <v>-1375</v>
      </c>
      <c r="BE147" s="2">
        <f t="shared" si="45"/>
        <v>0</v>
      </c>
      <c r="BF147" s="10">
        <f t="shared" si="46"/>
        <v>-1375</v>
      </c>
      <c r="BG147" s="2">
        <f>-BF147*'PV IN'!$E$8</f>
        <v>288.75</v>
      </c>
      <c r="BH147" s="2">
        <f>IF('PV IN'!$F$4="Battery Only",0,BB147+BG147)</f>
        <v>717.12595396602774</v>
      </c>
      <c r="BI147" s="2">
        <f>BH147/(1+('PV IN'!$G$9))^(C147)</f>
        <v>400.949454272808</v>
      </c>
    </row>
    <row r="148" spans="2:61" x14ac:dyDescent="0.25">
      <c r="B148">
        <v>12</v>
      </c>
      <c r="C148">
        <v>144</v>
      </c>
      <c r="D148" s="16">
        <f>D147*(1+('PV IN'!$G$6/12))</f>
        <v>7.5999999999999998E-2</v>
      </c>
      <c r="E148" s="16">
        <f>LkUP!$U$32</f>
        <v>8.0358632345087277E-2</v>
      </c>
      <c r="F148" s="16">
        <f>IF('PV IN'!$D$7="Table",E148,D148)</f>
        <v>8.0358632345087277E-2</v>
      </c>
      <c r="G148" s="33">
        <f>('PV IN'!$E$25*'PV IN'!$E$18/12)*(1-(1-'PV IN'!$E$27)/(25*12))^C147</f>
        <v>138628.74641000395</v>
      </c>
      <c r="H148" s="33">
        <f>IF('PV IN'!$D$19="YES",G148*'PV IN'!$E$21,0)</f>
        <v>0</v>
      </c>
      <c r="I148" s="33">
        <f>IF('PV IN'!$D$19="YES",'PV IN'!$E$22*BattCalcs!W148,0)</f>
        <v>0</v>
      </c>
      <c r="J148" s="33">
        <f>IF('PV IN'!$D$19="YES",'PV IN'!$E$23*BattCalcs!Y148,0)</f>
        <v>0</v>
      </c>
      <c r="K148" s="33">
        <f>BattCalcs!AF148</f>
        <v>25811.765833333331</v>
      </c>
      <c r="L148" s="33">
        <f t="shared" si="47"/>
        <v>25811.765833333331</v>
      </c>
      <c r="M148" s="33">
        <f>IF('PV IN'!$F$4="PV Only",G148,G148-SUM(H148:J148,L148))</f>
        <v>138628.74641000395</v>
      </c>
      <c r="N148" s="2">
        <f>IF(C148&lt;='PV IN'!$I$12*12,'PV IN'!$E$12*G148/1000,0)</f>
        <v>0</v>
      </c>
      <c r="O148" s="2">
        <f>IF(AND(C148&gt;'PV IN'!$I$12*12,C148&lt;='PV IN'!$I$13*12+'PV IN'!$I$12*12),'PV IN'!$E$13*PVCalcs!G148/1000,0)</f>
        <v>0</v>
      </c>
      <c r="P148" s="2">
        <f>IF(AND(C148&gt;'PV IN'!$I$12*12+'PV IN'!$I$13*12,C148&lt;='PV IN'!$I$12*12+'PV IN'!$I$13*12+'PV IN'!$I$14*12),'PV IN'!$E$14*PVCalcs!G148/1000,0)</f>
        <v>1802.1737033300515</v>
      </c>
      <c r="R148" s="10">
        <f>IF(AND('PV IN'!$D$35="YES",$C148&lt;='PV IN'!$E$35*12),-'PV IN'!$E$18*'PV IN'!$E$34/12,0)</f>
        <v>0</v>
      </c>
      <c r="S148" s="10">
        <f>IF(AND('PV IN'!$D$37="YES",$C148&lt;='PV IN'!$E$37*12),-'PV IN'!$E$18*'PV IN'!$E$36/12,0)</f>
        <v>0</v>
      </c>
      <c r="U148" s="2">
        <f t="shared" si="48"/>
        <v>11140.016465221845</v>
      </c>
      <c r="V148" s="10">
        <f>PVLoan!M175</f>
        <v>0</v>
      </c>
      <c r="W148" s="2">
        <f>IF(C148='PV IN'!$I$40,IF('PV IN'!$G$40="Non-Taxable",'PV IN'!$F$40,0),0)+IF(C148='PV IN'!$I$41,IF('PV IN'!$G$41="Non-Taxable",'PV IN'!$F$41,0),0)</f>
        <v>0</v>
      </c>
      <c r="X148" s="10"/>
      <c r="Y148" s="10">
        <f>IF('PV IN'!$E$15="Non-Taxable",SUM(N148:P148),0)</f>
        <v>1802.1737033300515</v>
      </c>
      <c r="Z148" s="10">
        <f>IF('PV IN'!$E$15="Taxable",SUM(N148:P148),0)</f>
        <v>0</v>
      </c>
      <c r="AA148" s="2">
        <f>IF(C148='PV IN'!$I$40,IF('PV IN'!$G$40="Taxable",'PV IN'!$F$40,0),0)+IF(C148='PV IN'!$I$41,IF('PV IN'!$G$41="Taxable",'PV IN'!$F$41,0),0)</f>
        <v>0</v>
      </c>
      <c r="AD148" s="10">
        <f>IF('PV IN'!$D$48="YES",-U148*'PV IN'!$E$8,0)</f>
        <v>0</v>
      </c>
      <c r="AE148" s="10">
        <f>IF('PV IN'!$N$10="Yes",-PVLoan!H176,-PVLoan!L176)</f>
        <v>0</v>
      </c>
      <c r="AF148" s="10">
        <f>IF('PV IN'!$N$10="Yes",-PVLoan!F176,0)</f>
        <v>0</v>
      </c>
      <c r="AG148" s="10">
        <f>IF(AND('PV IN'!$D$35="YES",$C148&lt;='PV IN'!$E$35*12),0,-'PV IN'!$E$18*'PV IN'!$E$34/12)</f>
        <v>-750</v>
      </c>
      <c r="AH148" s="10">
        <f>IF(AND('PV IN'!$D$37="YES",$C148&lt;='PV IN'!$E$37*12),0,-'PV IN'!$E$18*'PV IN'!$E$36/12)</f>
        <v>-625</v>
      </c>
      <c r="AI148" s="2">
        <f>IF(AND('PV IN'!$D$33="YES",PVCalcs!C148=ROUNDUP('PV IN'!$H$33*12,)),-'PV IN'!$E$33*'PV IN'!$E$18,0)</f>
        <v>0</v>
      </c>
      <c r="AK148" s="2">
        <f t="shared" si="33"/>
        <v>12942.190168551897</v>
      </c>
      <c r="AL148" s="2">
        <f t="shared" si="34"/>
        <v>-1375</v>
      </c>
      <c r="AM148" s="2">
        <f t="shared" si="38"/>
        <v>11567.190168551897</v>
      </c>
      <c r="AN148" s="43"/>
      <c r="AO148" s="2">
        <f t="shared" si="35"/>
        <v>0</v>
      </c>
      <c r="AP148" s="2">
        <f t="shared" si="39"/>
        <v>-1375</v>
      </c>
      <c r="AR148" s="2">
        <f t="shared" si="40"/>
        <v>-1375</v>
      </c>
      <c r="AS148" s="2">
        <f>-AR148*'PV IN'!$E$8</f>
        <v>288.75</v>
      </c>
      <c r="AT148" s="2">
        <f>IF('PV IN'!$F$4="Battery Only",0,AM148+AS148)</f>
        <v>11855.940168551897</v>
      </c>
      <c r="AV148" s="10">
        <f t="shared" si="41"/>
        <v>529806.34305437305</v>
      </c>
      <c r="AW148" s="2">
        <f>AT148/(1+('PV IN'!$G$9))^(C148)</f>
        <v>6601.8311135239701</v>
      </c>
      <c r="AX148" s="2">
        <f>IF(C148&lt;='PV IN'!$O$22*12,AW148+AX147,NA())</f>
        <v>44907.275815140783</v>
      </c>
      <c r="AZ148" s="10">
        <f t="shared" si="36"/>
        <v>-1375</v>
      </c>
      <c r="BA148" s="10">
        <f t="shared" si="37"/>
        <v>1802.1737033300524</v>
      </c>
      <c r="BB148" s="10">
        <f t="shared" si="42"/>
        <v>427.17370333005238</v>
      </c>
      <c r="BC148" s="10">
        <f t="shared" si="43"/>
        <v>0</v>
      </c>
      <c r="BD148" s="10">
        <f t="shared" si="44"/>
        <v>-1375</v>
      </c>
      <c r="BE148" s="2">
        <f t="shared" si="45"/>
        <v>0</v>
      </c>
      <c r="BF148" s="10">
        <f t="shared" si="46"/>
        <v>-1375</v>
      </c>
      <c r="BG148" s="2">
        <f>-BF148*'PV IN'!$E$8</f>
        <v>288.75</v>
      </c>
      <c r="BH148" s="2">
        <f>IF('PV IN'!$F$4="Battery Only",0,BB148+BG148)</f>
        <v>715.92370333005238</v>
      </c>
      <c r="BI148" s="2">
        <f>BH148/(1+('PV IN'!$G$9))^(C148)</f>
        <v>398.65310657441813</v>
      </c>
    </row>
    <row r="149" spans="2:61" x14ac:dyDescent="0.25">
      <c r="C149">
        <v>145</v>
      </c>
      <c r="D149" s="16">
        <f>D148*(1+('PV IN'!$G$6/12))</f>
        <v>7.5999999999999998E-2</v>
      </c>
      <c r="E149" s="16">
        <f>LkUP!$U$33</f>
        <v>8.0603739109022604E-2</v>
      </c>
      <c r="F149" s="16">
        <f>IF('PV IN'!$D$7="Table",E149,D149)</f>
        <v>8.0603739109022604E-2</v>
      </c>
      <c r="G149" s="33">
        <f>('PV IN'!$E$25*'PV IN'!$E$18/12)*(1-(1-'PV IN'!$E$27)/(25*12))^C148</f>
        <v>138536.32724573059</v>
      </c>
      <c r="H149" s="33">
        <f>IF('PV IN'!$D$19="YES",G149*'PV IN'!$E$21,0)</f>
        <v>0</v>
      </c>
      <c r="I149" s="33">
        <f>IF('PV IN'!$D$19="YES",'PV IN'!$E$22*BattCalcs!W149,0)</f>
        <v>0</v>
      </c>
      <c r="J149" s="33">
        <f>IF('PV IN'!$D$19="YES",'PV IN'!$E$23*BattCalcs!Y149,0)</f>
        <v>0</v>
      </c>
      <c r="K149" s="33">
        <f>BattCalcs!AF149</f>
        <v>25811.765833333331</v>
      </c>
      <c r="L149" s="33">
        <f t="shared" si="47"/>
        <v>25811.765833333331</v>
      </c>
      <c r="M149" s="33">
        <f>IF('PV IN'!$F$4="PV Only",G149,G149-SUM(H149:J149,L149))</f>
        <v>138536.32724573059</v>
      </c>
      <c r="N149" s="2">
        <f>IF(C149&lt;='PV IN'!$I$12*12,'PV IN'!$E$12*G149/1000,0)</f>
        <v>0</v>
      </c>
      <c r="O149" s="2">
        <f>IF(AND(C149&gt;'PV IN'!$I$12*12,C149&lt;='PV IN'!$I$13*12+'PV IN'!$I$12*12),'PV IN'!$E$13*PVCalcs!G149/1000,0)</f>
        <v>0</v>
      </c>
      <c r="P149" s="2">
        <f>IF(AND(C149&gt;'PV IN'!$I$12*12+'PV IN'!$I$13*12,C149&lt;='PV IN'!$I$12*12+'PV IN'!$I$13*12+'PV IN'!$I$14*12),'PV IN'!$E$14*PVCalcs!G149/1000,0)</f>
        <v>1800.9722541944975</v>
      </c>
      <c r="R149" s="10">
        <f>IF(AND('PV IN'!$D$35="YES",$C149&lt;='PV IN'!$E$35*12),-'PV IN'!$E$18*'PV IN'!$E$34/12,0)</f>
        <v>0</v>
      </c>
      <c r="S149" s="10">
        <f>IF(AND('PV IN'!$D$37="YES",$C149&lt;='PV IN'!$E$37*12),-'PV IN'!$E$18*'PV IN'!$E$36/12,0)</f>
        <v>0</v>
      </c>
      <c r="U149" s="2">
        <f t="shared" si="48"/>
        <v>11166.545978437049</v>
      </c>
      <c r="V149" s="10">
        <f>PVLoan!M176</f>
        <v>0</v>
      </c>
      <c r="W149" s="2">
        <f>IF(C149='PV IN'!$I$40,IF('PV IN'!$G$40="Non-Taxable",'PV IN'!$F$40,0),0)+IF(C149='PV IN'!$I$41,IF('PV IN'!$G$41="Non-Taxable",'PV IN'!$F$41,0),0)</f>
        <v>0</v>
      </c>
      <c r="X149" s="10"/>
      <c r="Y149" s="10">
        <f>IF('PV IN'!$E$15="Non-Taxable",SUM(N149:P149),0)</f>
        <v>1800.9722541944975</v>
      </c>
      <c r="Z149" s="10">
        <f>IF('PV IN'!$E$15="Taxable",SUM(N149:P149),0)</f>
        <v>0</v>
      </c>
      <c r="AA149" s="2">
        <f>IF(C149='PV IN'!$I$40,IF('PV IN'!$G$40="Taxable",'PV IN'!$F$40,0),0)+IF(C149='PV IN'!$I$41,IF('PV IN'!$G$41="Taxable",'PV IN'!$F$41,0),0)</f>
        <v>0</v>
      </c>
      <c r="AD149" s="10">
        <f>IF('PV IN'!$D$48="YES",-U149*'PV IN'!$E$8,0)</f>
        <v>0</v>
      </c>
      <c r="AE149" s="10">
        <f>IF('PV IN'!$N$10="Yes",-PVLoan!H177,-PVLoan!L177)</f>
        <v>0</v>
      </c>
      <c r="AF149" s="10">
        <f>IF('PV IN'!$N$10="Yes",-PVLoan!F177,0)</f>
        <v>0</v>
      </c>
      <c r="AG149" s="10">
        <f>IF(AND('PV IN'!$D$35="YES",$C149&lt;='PV IN'!$E$35*12),0,-'PV IN'!$E$18*'PV IN'!$E$34/12)</f>
        <v>-750</v>
      </c>
      <c r="AH149" s="10">
        <f>IF(AND('PV IN'!$D$37="YES",$C149&lt;='PV IN'!$E$37*12),0,-'PV IN'!$E$18*'PV IN'!$E$36/12)</f>
        <v>-625</v>
      </c>
      <c r="AI149" s="2">
        <f>IF(AND('PV IN'!$D$33="YES",PVCalcs!C149=ROUNDUP('PV IN'!$H$33*12,)),-'PV IN'!$E$33*'PV IN'!$E$18,0)</f>
        <v>0</v>
      </c>
      <c r="AK149" s="2">
        <f t="shared" si="33"/>
        <v>12967.518232631546</v>
      </c>
      <c r="AL149" s="2">
        <f t="shared" si="34"/>
        <v>-1375</v>
      </c>
      <c r="AM149" s="2">
        <f t="shared" si="38"/>
        <v>11592.518232631546</v>
      </c>
      <c r="AN149" s="43"/>
      <c r="AO149" s="2">
        <f t="shared" si="35"/>
        <v>0</v>
      </c>
      <c r="AP149" s="2">
        <f t="shared" si="39"/>
        <v>-1375</v>
      </c>
      <c r="AR149" s="2">
        <f t="shared" si="40"/>
        <v>-1375</v>
      </c>
      <c r="AS149" s="2">
        <f>-AR149*'PV IN'!$E$8</f>
        <v>288.75</v>
      </c>
      <c r="AT149" s="2">
        <f>IF('PV IN'!$F$4="Battery Only",0,AM149+AS149)</f>
        <v>11881.268232631546</v>
      </c>
      <c r="AV149" s="10">
        <f t="shared" si="41"/>
        <v>541687.61128700455</v>
      </c>
      <c r="AW149" s="2">
        <f>AT149/(1+('PV IN'!$G$9))^(C149)</f>
        <v>6589.0899592180685</v>
      </c>
      <c r="AX149" s="2">
        <f>IF(C149&lt;='PV IN'!$O$22*12,AW149+AX148,NA())</f>
        <v>51496.365774358856</v>
      </c>
      <c r="AZ149" s="10">
        <f t="shared" si="36"/>
        <v>-1375</v>
      </c>
      <c r="BA149" s="10">
        <f t="shared" si="37"/>
        <v>1800.9722541944975</v>
      </c>
      <c r="BB149" s="10">
        <f t="shared" si="42"/>
        <v>425.97225419449751</v>
      </c>
      <c r="BC149" s="10">
        <f t="shared" si="43"/>
        <v>0</v>
      </c>
      <c r="BD149" s="10">
        <f t="shared" si="44"/>
        <v>-1375</v>
      </c>
      <c r="BE149" s="2">
        <f t="shared" si="45"/>
        <v>0</v>
      </c>
      <c r="BF149" s="10">
        <f t="shared" si="46"/>
        <v>-1375</v>
      </c>
      <c r="BG149" s="2">
        <f>-BF149*'PV IN'!$E$8</f>
        <v>288.75</v>
      </c>
      <c r="BH149" s="2">
        <f>IF('PV IN'!$F$4="Battery Only",0,BB149+BG149)</f>
        <v>714.72225419449751</v>
      </c>
      <c r="BI149" s="2">
        <f>BH149/(1+('PV IN'!$G$9))^(C149)</f>
        <v>396.36923740249603</v>
      </c>
    </row>
    <row r="150" spans="2:61" x14ac:dyDescent="0.25">
      <c r="C150">
        <v>146</v>
      </c>
      <c r="D150" s="16">
        <f>D149*(1+('PV IN'!$G$6/12))</f>
        <v>7.5999999999999998E-2</v>
      </c>
      <c r="E150" s="16">
        <f>LkUP!$U$33</f>
        <v>8.0603739109022604E-2</v>
      </c>
      <c r="F150" s="16">
        <f>IF('PV IN'!$D$7="Table",E150,D150)</f>
        <v>8.0603739109022604E-2</v>
      </c>
      <c r="G150" s="33">
        <f>('PV IN'!$E$25*'PV IN'!$E$18/12)*(1-(1-'PV IN'!$E$27)/(25*12))^C149</f>
        <v>138443.96969423341</v>
      </c>
      <c r="H150" s="33">
        <f>IF('PV IN'!$D$19="YES",G150*'PV IN'!$E$21,0)</f>
        <v>0</v>
      </c>
      <c r="I150" s="33">
        <f>IF('PV IN'!$D$19="YES",'PV IN'!$E$22*BattCalcs!W150,0)</f>
        <v>0</v>
      </c>
      <c r="J150" s="33">
        <f>IF('PV IN'!$D$19="YES",'PV IN'!$E$23*BattCalcs!Y150,0)</f>
        <v>0</v>
      </c>
      <c r="K150" s="33">
        <f>BattCalcs!AF150</f>
        <v>25811.765833333331</v>
      </c>
      <c r="L150" s="33">
        <f t="shared" si="47"/>
        <v>25811.765833333331</v>
      </c>
      <c r="M150" s="33">
        <f>IF('PV IN'!$F$4="PV Only",G150,G150-SUM(H150:J150,L150))</f>
        <v>138443.96969423341</v>
      </c>
      <c r="N150" s="2">
        <f>IF(C150&lt;='PV IN'!$I$12*12,'PV IN'!$E$12*G150/1000,0)</f>
        <v>0</v>
      </c>
      <c r="O150" s="2">
        <f>IF(AND(C150&gt;'PV IN'!$I$12*12,C150&lt;='PV IN'!$I$13*12+'PV IN'!$I$12*12),'PV IN'!$E$13*PVCalcs!G150/1000,0)</f>
        <v>0</v>
      </c>
      <c r="P150" s="2">
        <f>IF(AND(C150&gt;'PV IN'!$I$12*12+'PV IN'!$I$13*12,C150&lt;='PV IN'!$I$12*12+'PV IN'!$I$13*12+'PV IN'!$I$14*12),'PV IN'!$E$14*PVCalcs!G150/1000,0)</f>
        <v>1799.7716060250343</v>
      </c>
      <c r="R150" s="10">
        <f>IF(AND('PV IN'!$D$35="YES",$C150&lt;='PV IN'!$E$35*12),-'PV IN'!$E$18*'PV IN'!$E$34/12,0)</f>
        <v>0</v>
      </c>
      <c r="S150" s="10">
        <f>IF(AND('PV IN'!$D$37="YES",$C150&lt;='PV IN'!$E$37*12),-'PV IN'!$E$18*'PV IN'!$E$36/12,0)</f>
        <v>0</v>
      </c>
      <c r="U150" s="2">
        <f t="shared" si="48"/>
        <v>11159.101614451421</v>
      </c>
      <c r="V150" s="10">
        <f>PVLoan!M177</f>
        <v>0</v>
      </c>
      <c r="W150" s="2">
        <f>IF(C150='PV IN'!$I$40,IF('PV IN'!$G$40="Non-Taxable",'PV IN'!$F$40,0),0)+IF(C150='PV IN'!$I$41,IF('PV IN'!$G$41="Non-Taxable",'PV IN'!$F$41,0),0)</f>
        <v>0</v>
      </c>
      <c r="X150" s="10"/>
      <c r="Y150" s="10">
        <f>IF('PV IN'!$E$15="Non-Taxable",SUM(N150:P150),0)</f>
        <v>1799.7716060250343</v>
      </c>
      <c r="Z150" s="10">
        <f>IF('PV IN'!$E$15="Taxable",SUM(N150:P150),0)</f>
        <v>0</v>
      </c>
      <c r="AA150" s="2">
        <f>IF(C150='PV IN'!$I$40,IF('PV IN'!$G$40="Taxable",'PV IN'!$F$40,0),0)+IF(C150='PV IN'!$I$41,IF('PV IN'!$G$41="Taxable",'PV IN'!$F$41,0),0)</f>
        <v>0</v>
      </c>
      <c r="AD150" s="10">
        <f>IF('PV IN'!$D$48="YES",-U150*'PV IN'!$E$8,0)</f>
        <v>0</v>
      </c>
      <c r="AE150" s="10">
        <f>IF('PV IN'!$N$10="Yes",-PVLoan!H178,-PVLoan!L178)</f>
        <v>0</v>
      </c>
      <c r="AF150" s="10">
        <f>IF('PV IN'!$N$10="Yes",-PVLoan!F178,0)</f>
        <v>0</v>
      </c>
      <c r="AG150" s="10">
        <f>IF(AND('PV IN'!$D$35="YES",$C150&lt;='PV IN'!$E$35*12),0,-'PV IN'!$E$18*'PV IN'!$E$34/12)</f>
        <v>-750</v>
      </c>
      <c r="AH150" s="10">
        <f>IF(AND('PV IN'!$D$37="YES",$C150&lt;='PV IN'!$E$37*12),0,-'PV IN'!$E$18*'PV IN'!$E$36/12)</f>
        <v>-625</v>
      </c>
      <c r="AI150" s="2">
        <f>IF(AND('PV IN'!$D$33="YES",PVCalcs!C150=ROUNDUP('PV IN'!$H$33*12,)),-'PV IN'!$E$33*'PV IN'!$E$18,0)</f>
        <v>0</v>
      </c>
      <c r="AK150" s="2">
        <f t="shared" si="33"/>
        <v>12958.873220476456</v>
      </c>
      <c r="AL150" s="2">
        <f t="shared" si="34"/>
        <v>-1375</v>
      </c>
      <c r="AM150" s="2">
        <f t="shared" si="38"/>
        <v>11583.873220476456</v>
      </c>
      <c r="AN150" s="43"/>
      <c r="AO150" s="2">
        <f t="shared" si="35"/>
        <v>0</v>
      </c>
      <c r="AP150" s="2">
        <f t="shared" si="39"/>
        <v>-1375</v>
      </c>
      <c r="AR150" s="2">
        <f t="shared" si="40"/>
        <v>-1375</v>
      </c>
      <c r="AS150" s="2">
        <f>-AR150*'PV IN'!$E$8</f>
        <v>288.75</v>
      </c>
      <c r="AT150" s="2">
        <f>IF('PV IN'!$F$4="Battery Only",0,AM150+AS150)</f>
        <v>11872.623220476456</v>
      </c>
      <c r="AV150" s="10">
        <f t="shared" si="41"/>
        <v>553560.23450748099</v>
      </c>
      <c r="AW150" s="2">
        <f>AT150/(1+('PV IN'!$G$9))^(C150)</f>
        <v>6557.5792361486656</v>
      </c>
      <c r="AX150" s="2">
        <f>IF(C150&lt;='PV IN'!$O$22*12,AW150+AX149,NA())</f>
        <v>58053.945010507523</v>
      </c>
      <c r="AZ150" s="10">
        <f t="shared" si="36"/>
        <v>-1375</v>
      </c>
      <c r="BA150" s="10">
        <f t="shared" si="37"/>
        <v>1799.771606025035</v>
      </c>
      <c r="BB150" s="10">
        <f t="shared" si="42"/>
        <v>424.771606025035</v>
      </c>
      <c r="BC150" s="10">
        <f t="shared" si="43"/>
        <v>0</v>
      </c>
      <c r="BD150" s="10">
        <f t="shared" si="44"/>
        <v>-1375</v>
      </c>
      <c r="BE150" s="2">
        <f t="shared" si="45"/>
        <v>0</v>
      </c>
      <c r="BF150" s="10">
        <f t="shared" si="46"/>
        <v>-1375</v>
      </c>
      <c r="BG150" s="2">
        <f>-BF150*'PV IN'!$E$8</f>
        <v>288.75</v>
      </c>
      <c r="BH150" s="2">
        <f>IF('PV IN'!$F$4="Battery Only",0,BB150+BG150)</f>
        <v>713.521606025035</v>
      </c>
      <c r="BI150" s="2">
        <f>BH150/(1+('PV IN'!$G$9))^(C150)</f>
        <v>394.0977811999872</v>
      </c>
    </row>
    <row r="151" spans="2:61" x14ac:dyDescent="0.25">
      <c r="C151">
        <v>147</v>
      </c>
      <c r="D151" s="16">
        <f>D150*(1+('PV IN'!$G$6/12))</f>
        <v>7.5999999999999998E-2</v>
      </c>
      <c r="E151" s="16">
        <f>LkUP!$U$33</f>
        <v>8.0603739109022604E-2</v>
      </c>
      <c r="F151" s="16">
        <f>IF('PV IN'!$D$7="Table",E151,D151)</f>
        <v>8.0603739109022604E-2</v>
      </c>
      <c r="G151" s="33">
        <f>('PV IN'!$E$25*'PV IN'!$E$18/12)*(1-(1-'PV IN'!$E$27)/(25*12))^C150</f>
        <v>138351.67371443726</v>
      </c>
      <c r="H151" s="33">
        <f>IF('PV IN'!$D$19="YES",G151*'PV IN'!$E$21,0)</f>
        <v>0</v>
      </c>
      <c r="I151" s="33">
        <f>IF('PV IN'!$D$19="YES",'PV IN'!$E$22*BattCalcs!W151,0)</f>
        <v>0</v>
      </c>
      <c r="J151" s="33">
        <f>IF('PV IN'!$D$19="YES",'PV IN'!$E$23*BattCalcs!Y151,0)</f>
        <v>0</v>
      </c>
      <c r="K151" s="33">
        <f>BattCalcs!AF151</f>
        <v>25811.765833333331</v>
      </c>
      <c r="L151" s="33">
        <f t="shared" si="47"/>
        <v>25811.765833333331</v>
      </c>
      <c r="M151" s="33">
        <f>IF('PV IN'!$F$4="PV Only",G151,G151-SUM(H151:J151,L151))</f>
        <v>138351.67371443726</v>
      </c>
      <c r="N151" s="2">
        <f>IF(C151&lt;='PV IN'!$I$12*12,'PV IN'!$E$12*G151/1000,0)</f>
        <v>0</v>
      </c>
      <c r="O151" s="2">
        <f>IF(AND(C151&gt;'PV IN'!$I$12*12,C151&lt;='PV IN'!$I$13*12+'PV IN'!$I$12*12),'PV IN'!$E$13*PVCalcs!G151/1000,0)</f>
        <v>0</v>
      </c>
      <c r="P151" s="2">
        <f>IF(AND(C151&gt;'PV IN'!$I$12*12+'PV IN'!$I$13*12,C151&lt;='PV IN'!$I$12*12+'PV IN'!$I$13*12+'PV IN'!$I$14*12),'PV IN'!$E$14*PVCalcs!G151/1000,0)</f>
        <v>1798.5717582876844</v>
      </c>
      <c r="R151" s="10">
        <f>IF(AND('PV IN'!$D$35="YES",$C151&lt;='PV IN'!$E$35*12),-'PV IN'!$E$18*'PV IN'!$E$34/12,0)</f>
        <v>0</v>
      </c>
      <c r="S151" s="10">
        <f>IF(AND('PV IN'!$D$37="YES",$C151&lt;='PV IN'!$E$37*12),-'PV IN'!$E$18*'PV IN'!$E$36/12,0)</f>
        <v>0</v>
      </c>
      <c r="U151" s="2">
        <f t="shared" si="48"/>
        <v>11151.662213375121</v>
      </c>
      <c r="V151" s="10">
        <f>PVLoan!M178</f>
        <v>0</v>
      </c>
      <c r="W151" s="2">
        <f>IF(C151='PV IN'!$I$40,IF('PV IN'!$G$40="Non-Taxable",'PV IN'!$F$40,0),0)+IF(C151='PV IN'!$I$41,IF('PV IN'!$G$41="Non-Taxable",'PV IN'!$F$41,0),0)</f>
        <v>0</v>
      </c>
      <c r="X151" s="10"/>
      <c r="Y151" s="10">
        <f>IF('PV IN'!$E$15="Non-Taxable",SUM(N151:P151),0)</f>
        <v>1798.5717582876844</v>
      </c>
      <c r="Z151" s="10">
        <f>IF('PV IN'!$E$15="Taxable",SUM(N151:P151),0)</f>
        <v>0</v>
      </c>
      <c r="AA151" s="2">
        <f>IF(C151='PV IN'!$I$40,IF('PV IN'!$G$40="Taxable",'PV IN'!$F$40,0),0)+IF(C151='PV IN'!$I$41,IF('PV IN'!$G$41="Taxable",'PV IN'!$F$41,0),0)</f>
        <v>0</v>
      </c>
      <c r="AD151" s="10">
        <f>IF('PV IN'!$D$48="YES",-U151*'PV IN'!$E$8,0)</f>
        <v>0</v>
      </c>
      <c r="AE151" s="10">
        <f>IF('PV IN'!$N$10="Yes",-PVLoan!H179,-PVLoan!L179)</f>
        <v>0</v>
      </c>
      <c r="AF151" s="10">
        <f>IF('PV IN'!$N$10="Yes",-PVLoan!F179,0)</f>
        <v>0</v>
      </c>
      <c r="AG151" s="10">
        <f>IF(AND('PV IN'!$D$35="YES",$C151&lt;='PV IN'!$E$35*12),0,-'PV IN'!$E$18*'PV IN'!$E$34/12)</f>
        <v>-750</v>
      </c>
      <c r="AH151" s="10">
        <f>IF(AND('PV IN'!$D$37="YES",$C151&lt;='PV IN'!$E$37*12),0,-'PV IN'!$E$18*'PV IN'!$E$36/12)</f>
        <v>-625</v>
      </c>
      <c r="AI151" s="2">
        <f>IF(AND('PV IN'!$D$33="YES",PVCalcs!C151=ROUNDUP('PV IN'!$H$33*12,)),-'PV IN'!$E$33*'PV IN'!$E$18,0)</f>
        <v>0</v>
      </c>
      <c r="AK151" s="2">
        <f t="shared" si="33"/>
        <v>12950.233971662805</v>
      </c>
      <c r="AL151" s="2">
        <f t="shared" si="34"/>
        <v>-1375</v>
      </c>
      <c r="AM151" s="2">
        <f t="shared" si="38"/>
        <v>11575.233971662805</v>
      </c>
      <c r="AN151" s="43"/>
      <c r="AO151" s="2">
        <f t="shared" si="35"/>
        <v>0</v>
      </c>
      <c r="AP151" s="2">
        <f t="shared" si="39"/>
        <v>-1375</v>
      </c>
      <c r="AR151" s="2">
        <f t="shared" si="40"/>
        <v>-1375</v>
      </c>
      <c r="AS151" s="2">
        <f>-AR151*'PV IN'!$E$8</f>
        <v>288.75</v>
      </c>
      <c r="AT151" s="2">
        <f>IF('PV IN'!$F$4="Battery Only",0,AM151+AS151)</f>
        <v>11863.983971662805</v>
      </c>
      <c r="AV151" s="10">
        <f t="shared" si="41"/>
        <v>565424.2184791438</v>
      </c>
      <c r="AW151" s="2">
        <f>AT151/(1+('PV IN'!$G$9))^(C151)</f>
        <v>6526.2189156129416</v>
      </c>
      <c r="AX151" s="2">
        <f>IF(C151&lt;='PV IN'!$O$22*12,AW151+AX150,NA())</f>
        <v>64580.163926120462</v>
      </c>
      <c r="AZ151" s="10">
        <f t="shared" si="36"/>
        <v>-1375</v>
      </c>
      <c r="BA151" s="10">
        <f t="shared" si="37"/>
        <v>1798.5717582876841</v>
      </c>
      <c r="BB151" s="10">
        <f t="shared" si="42"/>
        <v>423.57175828768413</v>
      </c>
      <c r="BC151" s="10">
        <f t="shared" si="43"/>
        <v>0</v>
      </c>
      <c r="BD151" s="10">
        <f t="shared" si="44"/>
        <v>-1375</v>
      </c>
      <c r="BE151" s="2">
        <f t="shared" si="45"/>
        <v>0</v>
      </c>
      <c r="BF151" s="10">
        <f t="shared" si="46"/>
        <v>-1375</v>
      </c>
      <c r="BG151" s="2">
        <f>-BF151*'PV IN'!$E$8</f>
        <v>288.75</v>
      </c>
      <c r="BH151" s="2">
        <f>IF('PV IN'!$F$4="Battery Only",0,BB151+BG151)</f>
        <v>712.32175828768413</v>
      </c>
      <c r="BI151" s="2">
        <f>BH151/(1+('PV IN'!$G$9))^(C151)</f>
        <v>391.838672746302</v>
      </c>
    </row>
    <row r="152" spans="2:61" x14ac:dyDescent="0.25">
      <c r="C152">
        <v>148</v>
      </c>
      <c r="D152" s="16">
        <f>D151*(1+('PV IN'!$G$6/12))</f>
        <v>7.5999999999999998E-2</v>
      </c>
      <c r="E152" s="16">
        <f>LkUP!$U$33</f>
        <v>8.0603739109022604E-2</v>
      </c>
      <c r="F152" s="16">
        <f>IF('PV IN'!$D$7="Table",E152,D152)</f>
        <v>8.0603739109022604E-2</v>
      </c>
      <c r="G152" s="33">
        <f>('PV IN'!$E$25*'PV IN'!$E$18/12)*(1-(1-'PV IN'!$E$27)/(25*12))^C151</f>
        <v>138259.43926529432</v>
      </c>
      <c r="H152" s="33">
        <f>IF('PV IN'!$D$19="YES",G152*'PV IN'!$E$21,0)</f>
        <v>0</v>
      </c>
      <c r="I152" s="33">
        <f>IF('PV IN'!$D$19="YES",'PV IN'!$E$22*BattCalcs!W152,0)</f>
        <v>0</v>
      </c>
      <c r="J152" s="33">
        <f>IF('PV IN'!$D$19="YES",'PV IN'!$E$23*BattCalcs!Y152,0)</f>
        <v>0</v>
      </c>
      <c r="K152" s="33">
        <f>BattCalcs!AF152</f>
        <v>25811.765833333331</v>
      </c>
      <c r="L152" s="33">
        <f t="shared" si="47"/>
        <v>25811.765833333331</v>
      </c>
      <c r="M152" s="33">
        <f>IF('PV IN'!$F$4="PV Only",G152,G152-SUM(H152:J152,L152))</f>
        <v>138259.43926529432</v>
      </c>
      <c r="N152" s="2">
        <f>IF(C152&lt;='PV IN'!$I$12*12,'PV IN'!$E$12*G152/1000,0)</f>
        <v>0</v>
      </c>
      <c r="O152" s="2">
        <f>IF(AND(C152&gt;'PV IN'!$I$12*12,C152&lt;='PV IN'!$I$13*12+'PV IN'!$I$12*12),'PV IN'!$E$13*PVCalcs!G152/1000,0)</f>
        <v>0</v>
      </c>
      <c r="P152" s="2">
        <f>IF(AND(C152&gt;'PV IN'!$I$12*12+'PV IN'!$I$13*12,C152&lt;='PV IN'!$I$12*12+'PV IN'!$I$13*12+'PV IN'!$I$14*12),'PV IN'!$E$14*PVCalcs!G152/1000,0)</f>
        <v>1797.3727104488262</v>
      </c>
      <c r="R152" s="10">
        <f>IF(AND('PV IN'!$D$35="YES",$C152&lt;='PV IN'!$E$35*12),-'PV IN'!$E$18*'PV IN'!$E$34/12,0)</f>
        <v>0</v>
      </c>
      <c r="S152" s="10">
        <f>IF(AND('PV IN'!$D$37="YES",$C152&lt;='PV IN'!$E$37*12),-'PV IN'!$E$18*'PV IN'!$E$36/12,0)</f>
        <v>0</v>
      </c>
      <c r="U152" s="2">
        <f t="shared" si="48"/>
        <v>11144.227771899539</v>
      </c>
      <c r="V152" s="10">
        <f>PVLoan!M179</f>
        <v>0</v>
      </c>
      <c r="W152" s="2">
        <f>IF(C152='PV IN'!$I$40,IF('PV IN'!$G$40="Non-Taxable",'PV IN'!$F$40,0),0)+IF(C152='PV IN'!$I$41,IF('PV IN'!$G$41="Non-Taxable",'PV IN'!$F$41,0),0)</f>
        <v>0</v>
      </c>
      <c r="X152" s="10"/>
      <c r="Y152" s="10">
        <f>IF('PV IN'!$E$15="Non-Taxable",SUM(N152:P152),0)</f>
        <v>1797.3727104488262</v>
      </c>
      <c r="Z152" s="10">
        <f>IF('PV IN'!$E$15="Taxable",SUM(N152:P152),0)</f>
        <v>0</v>
      </c>
      <c r="AA152" s="2">
        <f>IF(C152='PV IN'!$I$40,IF('PV IN'!$G$40="Taxable",'PV IN'!$F$40,0),0)+IF(C152='PV IN'!$I$41,IF('PV IN'!$G$41="Taxable",'PV IN'!$F$41,0),0)</f>
        <v>0</v>
      </c>
      <c r="AD152" s="10">
        <f>IF('PV IN'!$D$48="YES",-U152*'PV IN'!$E$8,0)</f>
        <v>0</v>
      </c>
      <c r="AE152" s="10">
        <f>IF('PV IN'!$N$10="Yes",-PVLoan!H180,-PVLoan!L180)</f>
        <v>0</v>
      </c>
      <c r="AF152" s="10">
        <f>IF('PV IN'!$N$10="Yes",-PVLoan!F180,0)</f>
        <v>0</v>
      </c>
      <c r="AG152" s="10">
        <f>IF(AND('PV IN'!$D$35="YES",$C152&lt;='PV IN'!$E$35*12),0,-'PV IN'!$E$18*'PV IN'!$E$34/12)</f>
        <v>-750</v>
      </c>
      <c r="AH152" s="10">
        <f>IF(AND('PV IN'!$D$37="YES",$C152&lt;='PV IN'!$E$37*12),0,-'PV IN'!$E$18*'PV IN'!$E$36/12)</f>
        <v>-625</v>
      </c>
      <c r="AI152" s="2">
        <f>IF(AND('PV IN'!$D$33="YES",PVCalcs!C152=ROUNDUP('PV IN'!$H$33*12,)),-'PV IN'!$E$33*'PV IN'!$E$18,0)</f>
        <v>0</v>
      </c>
      <c r="AK152" s="2">
        <f t="shared" si="33"/>
        <v>12941.600482348365</v>
      </c>
      <c r="AL152" s="2">
        <f t="shared" si="34"/>
        <v>-1375</v>
      </c>
      <c r="AM152" s="2">
        <f t="shared" si="38"/>
        <v>11566.600482348365</v>
      </c>
      <c r="AN152" s="43"/>
      <c r="AO152" s="2">
        <f t="shared" si="35"/>
        <v>0</v>
      </c>
      <c r="AP152" s="2">
        <f t="shared" si="39"/>
        <v>-1375</v>
      </c>
      <c r="AR152" s="2">
        <f t="shared" si="40"/>
        <v>-1375</v>
      </c>
      <c r="AS152" s="2">
        <f>-AR152*'PV IN'!$E$8</f>
        <v>288.75</v>
      </c>
      <c r="AT152" s="2">
        <f>IF('PV IN'!$F$4="Battery Only",0,AM152+AS152)</f>
        <v>11855.350482348365</v>
      </c>
      <c r="AV152" s="10">
        <f t="shared" si="41"/>
        <v>577279.56896149216</v>
      </c>
      <c r="AW152" s="2">
        <f>AT152/(1+('PV IN'!$G$9))^(C152)</f>
        <v>6495.0082808919269</v>
      </c>
      <c r="AX152" s="2">
        <f>IF(C152&lt;='PV IN'!$O$22*12,AW152+AX151,NA())</f>
        <v>71075.172207012394</v>
      </c>
      <c r="AZ152" s="10">
        <f t="shared" si="36"/>
        <v>-1375</v>
      </c>
      <c r="BA152" s="10">
        <f t="shared" si="37"/>
        <v>1797.3727104488262</v>
      </c>
      <c r="BB152" s="10">
        <f t="shared" si="42"/>
        <v>422.37271044882618</v>
      </c>
      <c r="BC152" s="10">
        <f t="shared" si="43"/>
        <v>0</v>
      </c>
      <c r="BD152" s="10">
        <f t="shared" si="44"/>
        <v>-1375</v>
      </c>
      <c r="BE152" s="2">
        <f t="shared" si="45"/>
        <v>0</v>
      </c>
      <c r="BF152" s="10">
        <f t="shared" si="46"/>
        <v>-1375</v>
      </c>
      <c r="BG152" s="2">
        <f>-BF152*'PV IN'!$E$8</f>
        <v>288.75</v>
      </c>
      <c r="BH152" s="2">
        <f>IF('PV IN'!$F$4="Battery Only",0,BB152+BG152)</f>
        <v>711.12271044882618</v>
      </c>
      <c r="BI152" s="2">
        <f>BH152/(1+('PV IN'!$G$9))^(C152)</f>
        <v>389.59184715562571</v>
      </c>
    </row>
    <row r="153" spans="2:61" x14ac:dyDescent="0.25">
      <c r="C153">
        <v>149</v>
      </c>
      <c r="D153" s="16">
        <f>D152*(1+('PV IN'!$G$6/12))</f>
        <v>7.5999999999999998E-2</v>
      </c>
      <c r="E153" s="16">
        <f>LkUP!$U$33</f>
        <v>8.0603739109022604E-2</v>
      </c>
      <c r="F153" s="16">
        <f>IF('PV IN'!$D$7="Table",E153,D153)</f>
        <v>8.0603739109022604E-2</v>
      </c>
      <c r="G153" s="33">
        <f>('PV IN'!$E$25*'PV IN'!$E$18/12)*(1-(1-'PV IN'!$E$27)/(25*12))^C152</f>
        <v>138167.26630578411</v>
      </c>
      <c r="H153" s="33">
        <f>IF('PV IN'!$D$19="YES",G153*'PV IN'!$E$21,0)</f>
        <v>0</v>
      </c>
      <c r="I153" s="33">
        <f>IF('PV IN'!$D$19="YES",'PV IN'!$E$22*BattCalcs!W153,0)</f>
        <v>0</v>
      </c>
      <c r="J153" s="33">
        <f>IF('PV IN'!$D$19="YES",'PV IN'!$E$23*BattCalcs!Y153,0)</f>
        <v>0</v>
      </c>
      <c r="K153" s="33">
        <f>BattCalcs!AF153</f>
        <v>25811.765833333331</v>
      </c>
      <c r="L153" s="33">
        <f t="shared" si="47"/>
        <v>25811.765833333331</v>
      </c>
      <c r="M153" s="33">
        <f>IF('PV IN'!$F$4="PV Only",G153,G153-SUM(H153:J153,L153))</f>
        <v>138167.26630578411</v>
      </c>
      <c r="N153" s="2">
        <f>IF(C153&lt;='PV IN'!$I$12*12,'PV IN'!$E$12*G153/1000,0)</f>
        <v>0</v>
      </c>
      <c r="O153" s="2">
        <f>IF(AND(C153&gt;'PV IN'!$I$12*12,C153&lt;='PV IN'!$I$13*12+'PV IN'!$I$12*12),'PV IN'!$E$13*PVCalcs!G153/1000,0)</f>
        <v>0</v>
      </c>
      <c r="P153" s="2">
        <f>IF(AND(C153&gt;'PV IN'!$I$12*12+'PV IN'!$I$13*12,C153&lt;='PV IN'!$I$12*12+'PV IN'!$I$13*12+'PV IN'!$I$14*12),'PV IN'!$E$14*PVCalcs!G153/1000,0)</f>
        <v>1796.1744619751935</v>
      </c>
      <c r="R153" s="10">
        <f>IF(AND('PV IN'!$D$35="YES",$C153&lt;='PV IN'!$E$35*12),-'PV IN'!$E$18*'PV IN'!$E$34/12,0)</f>
        <v>0</v>
      </c>
      <c r="S153" s="10">
        <f>IF(AND('PV IN'!$D$37="YES",$C153&lt;='PV IN'!$E$37*12),-'PV IN'!$E$18*'PV IN'!$E$36/12,0)</f>
        <v>0</v>
      </c>
      <c r="U153" s="2">
        <f t="shared" si="48"/>
        <v>11136.798286718273</v>
      </c>
      <c r="V153" s="10">
        <f>PVLoan!M180</f>
        <v>0</v>
      </c>
      <c r="W153" s="2">
        <f>IF(C153='PV IN'!$I$40,IF('PV IN'!$G$40="Non-Taxable",'PV IN'!$F$40,0),0)+IF(C153='PV IN'!$I$41,IF('PV IN'!$G$41="Non-Taxable",'PV IN'!$F$41,0),0)</f>
        <v>0</v>
      </c>
      <c r="X153" s="10"/>
      <c r="Y153" s="10">
        <f>IF('PV IN'!$E$15="Non-Taxable",SUM(N153:P153),0)</f>
        <v>1796.1744619751935</v>
      </c>
      <c r="Z153" s="10">
        <f>IF('PV IN'!$E$15="Taxable",SUM(N153:P153),0)</f>
        <v>0</v>
      </c>
      <c r="AA153" s="2">
        <f>IF(C153='PV IN'!$I$40,IF('PV IN'!$G$40="Taxable",'PV IN'!$F$40,0),0)+IF(C153='PV IN'!$I$41,IF('PV IN'!$G$41="Taxable",'PV IN'!$F$41,0),0)</f>
        <v>0</v>
      </c>
      <c r="AD153" s="10">
        <f>IF('PV IN'!$D$48="YES",-U153*'PV IN'!$E$8,0)</f>
        <v>0</v>
      </c>
      <c r="AE153" s="10">
        <f>IF('PV IN'!$N$10="Yes",-PVLoan!H181,-PVLoan!L181)</f>
        <v>0</v>
      </c>
      <c r="AF153" s="10">
        <f>IF('PV IN'!$N$10="Yes",-PVLoan!F181,0)</f>
        <v>0</v>
      </c>
      <c r="AG153" s="10">
        <f>IF(AND('PV IN'!$D$35="YES",$C153&lt;='PV IN'!$E$35*12),0,-'PV IN'!$E$18*'PV IN'!$E$34/12)</f>
        <v>-750</v>
      </c>
      <c r="AH153" s="10">
        <f>IF(AND('PV IN'!$D$37="YES",$C153&lt;='PV IN'!$E$37*12),0,-'PV IN'!$E$18*'PV IN'!$E$36/12)</f>
        <v>-625</v>
      </c>
      <c r="AI153" s="2">
        <f>IF(AND('PV IN'!$D$33="YES",PVCalcs!C153=ROUNDUP('PV IN'!$H$33*12,)),-'PV IN'!$E$33*'PV IN'!$E$18,0)</f>
        <v>0</v>
      </c>
      <c r="AK153" s="2">
        <f t="shared" si="33"/>
        <v>12932.972748693466</v>
      </c>
      <c r="AL153" s="2">
        <f t="shared" si="34"/>
        <v>-1375</v>
      </c>
      <c r="AM153" s="2">
        <f t="shared" si="38"/>
        <v>11557.972748693466</v>
      </c>
      <c r="AN153" s="43"/>
      <c r="AO153" s="2">
        <f t="shared" si="35"/>
        <v>0</v>
      </c>
      <c r="AP153" s="2">
        <f t="shared" si="39"/>
        <v>-1375</v>
      </c>
      <c r="AR153" s="2">
        <f t="shared" si="40"/>
        <v>-1375</v>
      </c>
      <c r="AS153" s="2">
        <f>-AR153*'PV IN'!$E$8</f>
        <v>288.75</v>
      </c>
      <c r="AT153" s="2">
        <f>IF('PV IN'!$F$4="Battery Only",0,AM153+AS153)</f>
        <v>11846.722748693466</v>
      </c>
      <c r="AV153" s="10">
        <f t="shared" si="41"/>
        <v>589126.29171018559</v>
      </c>
      <c r="AW153" s="2">
        <f>AT153/(1+('PV IN'!$G$9))^(C153)</f>
        <v>6463.9466186773898</v>
      </c>
      <c r="AX153" s="2">
        <f>IF(C153&lt;='PV IN'!$O$22*12,AW153+AX152,NA())</f>
        <v>77539.118825689788</v>
      </c>
      <c r="AZ153" s="10">
        <f t="shared" si="36"/>
        <v>-1375</v>
      </c>
      <c r="BA153" s="10">
        <f t="shared" si="37"/>
        <v>1796.1744619751935</v>
      </c>
      <c r="BB153" s="10">
        <f t="shared" si="42"/>
        <v>421.17446197519348</v>
      </c>
      <c r="BC153" s="10">
        <f t="shared" si="43"/>
        <v>0</v>
      </c>
      <c r="BD153" s="10">
        <f t="shared" si="44"/>
        <v>-1375</v>
      </c>
      <c r="BE153" s="2">
        <f t="shared" si="45"/>
        <v>0</v>
      </c>
      <c r="BF153" s="10">
        <f t="shared" si="46"/>
        <v>-1375</v>
      </c>
      <c r="BG153" s="2">
        <f>-BF153*'PV IN'!$E$8</f>
        <v>288.75</v>
      </c>
      <c r="BH153" s="2">
        <f>IF('PV IN'!$F$4="Battery Only",0,BB153+BG153)</f>
        <v>709.92446197519348</v>
      </c>
      <c r="BI153" s="2">
        <f>BH153/(1+('PV IN'!$G$9))^(C153)</f>
        <v>387.35723987522312</v>
      </c>
    </row>
    <row r="154" spans="2:61" x14ac:dyDescent="0.25">
      <c r="C154">
        <v>150</v>
      </c>
      <c r="D154" s="16">
        <f>D153*(1+('PV IN'!$G$6/12))</f>
        <v>7.5999999999999998E-2</v>
      </c>
      <c r="E154" s="16">
        <f>LkUP!$U$33</f>
        <v>8.0603739109022604E-2</v>
      </c>
      <c r="F154" s="16">
        <f>IF('PV IN'!$D$7="Table",E154,D154)</f>
        <v>8.0603739109022604E-2</v>
      </c>
      <c r="G154" s="33">
        <f>('PV IN'!$E$25*'PV IN'!$E$18/12)*(1-(1-'PV IN'!$E$27)/(25*12))^C153</f>
        <v>138075.15479491357</v>
      </c>
      <c r="H154" s="33">
        <f>IF('PV IN'!$D$19="YES",G154*'PV IN'!$E$21,0)</f>
        <v>0</v>
      </c>
      <c r="I154" s="33">
        <f>IF('PV IN'!$D$19="YES",'PV IN'!$E$22*BattCalcs!W154,0)</f>
        <v>0</v>
      </c>
      <c r="J154" s="33">
        <f>IF('PV IN'!$D$19="YES",'PV IN'!$E$23*BattCalcs!Y154,0)</f>
        <v>0</v>
      </c>
      <c r="K154" s="33">
        <f>BattCalcs!AF154</f>
        <v>25811.765833333331</v>
      </c>
      <c r="L154" s="33">
        <f t="shared" si="47"/>
        <v>25811.765833333331</v>
      </c>
      <c r="M154" s="33">
        <f>IF('PV IN'!$F$4="PV Only",G154,G154-SUM(H154:J154,L154))</f>
        <v>138075.15479491357</v>
      </c>
      <c r="N154" s="2">
        <f>IF(C154&lt;='PV IN'!$I$12*12,'PV IN'!$E$12*G154/1000,0)</f>
        <v>0</v>
      </c>
      <c r="O154" s="2">
        <f>IF(AND(C154&gt;'PV IN'!$I$12*12,C154&lt;='PV IN'!$I$13*12+'PV IN'!$I$12*12),'PV IN'!$E$13*PVCalcs!G154/1000,0)</f>
        <v>0</v>
      </c>
      <c r="P154" s="2">
        <f>IF(AND(C154&gt;'PV IN'!$I$12*12+'PV IN'!$I$13*12,C154&lt;='PV IN'!$I$12*12+'PV IN'!$I$13*12+'PV IN'!$I$14*12),'PV IN'!$E$14*PVCalcs!G154/1000,0)</f>
        <v>1794.9770123338765</v>
      </c>
      <c r="R154" s="10">
        <f>IF(AND('PV IN'!$D$35="YES",$C154&lt;='PV IN'!$E$35*12),-'PV IN'!$E$18*'PV IN'!$E$34/12,0)</f>
        <v>0</v>
      </c>
      <c r="S154" s="10">
        <f>IF(AND('PV IN'!$D$37="YES",$C154&lt;='PV IN'!$E$37*12),-'PV IN'!$E$18*'PV IN'!$E$36/12,0)</f>
        <v>0</v>
      </c>
      <c r="U154" s="2">
        <f t="shared" si="48"/>
        <v>11129.373754527125</v>
      </c>
      <c r="V154" s="10">
        <f>PVLoan!M181</f>
        <v>0</v>
      </c>
      <c r="W154" s="2">
        <f>IF(C154='PV IN'!$I$40,IF('PV IN'!$G$40="Non-Taxable",'PV IN'!$F$40,0),0)+IF(C154='PV IN'!$I$41,IF('PV IN'!$G$41="Non-Taxable",'PV IN'!$F$41,0),0)</f>
        <v>0</v>
      </c>
      <c r="X154" s="10"/>
      <c r="Y154" s="10">
        <f>IF('PV IN'!$E$15="Non-Taxable",SUM(N154:P154),0)</f>
        <v>1794.9770123338765</v>
      </c>
      <c r="Z154" s="10">
        <f>IF('PV IN'!$E$15="Taxable",SUM(N154:P154),0)</f>
        <v>0</v>
      </c>
      <c r="AA154" s="2">
        <f>IF(C154='PV IN'!$I$40,IF('PV IN'!$G$40="Taxable",'PV IN'!$F$40,0),0)+IF(C154='PV IN'!$I$41,IF('PV IN'!$G$41="Taxable",'PV IN'!$F$41,0),0)</f>
        <v>0</v>
      </c>
      <c r="AD154" s="10">
        <f>IF('PV IN'!$D$48="YES",-U154*'PV IN'!$E$8,0)</f>
        <v>0</v>
      </c>
      <c r="AE154" s="10">
        <f>IF('PV IN'!$N$10="Yes",-PVLoan!H182,-PVLoan!L182)</f>
        <v>0</v>
      </c>
      <c r="AF154" s="10">
        <f>IF('PV IN'!$N$10="Yes",-PVLoan!F182,0)</f>
        <v>0</v>
      </c>
      <c r="AG154" s="10">
        <f>IF(AND('PV IN'!$D$35="YES",$C154&lt;='PV IN'!$E$35*12),0,-'PV IN'!$E$18*'PV IN'!$E$34/12)</f>
        <v>-750</v>
      </c>
      <c r="AH154" s="10">
        <f>IF(AND('PV IN'!$D$37="YES",$C154&lt;='PV IN'!$E$37*12),0,-'PV IN'!$E$18*'PV IN'!$E$36/12)</f>
        <v>-625</v>
      </c>
      <c r="AI154" s="2">
        <f>IF(AND('PV IN'!$D$33="YES",PVCalcs!C154=ROUNDUP('PV IN'!$H$33*12,)),-'PV IN'!$E$33*'PV IN'!$E$18,0)</f>
        <v>0</v>
      </c>
      <c r="AK154" s="2">
        <f t="shared" si="33"/>
        <v>12924.350766861002</v>
      </c>
      <c r="AL154" s="2">
        <f t="shared" si="34"/>
        <v>-1375</v>
      </c>
      <c r="AM154" s="2">
        <f t="shared" si="38"/>
        <v>11549.350766861002</v>
      </c>
      <c r="AN154" s="43"/>
      <c r="AO154" s="2">
        <f t="shared" si="35"/>
        <v>0</v>
      </c>
      <c r="AP154" s="2">
        <f t="shared" si="39"/>
        <v>-1375</v>
      </c>
      <c r="AR154" s="2">
        <f t="shared" si="40"/>
        <v>-1375</v>
      </c>
      <c r="AS154" s="2">
        <f>-AR154*'PV IN'!$E$8</f>
        <v>288.75</v>
      </c>
      <c r="AT154" s="2">
        <f>IF('PV IN'!$F$4="Battery Only",0,AM154+AS154)</f>
        <v>11838.100766861002</v>
      </c>
      <c r="AV154" s="10">
        <f t="shared" si="41"/>
        <v>600964.39247704658</v>
      </c>
      <c r="AW154" s="2">
        <f>AT154/(1+('PV IN'!$G$9))^(C154)</f>
        <v>6433.0332190556428</v>
      </c>
      <c r="AX154" s="2">
        <f>IF(C154&lt;='PV IN'!$O$22*12,AW154+AX153,NA())</f>
        <v>83972.152044745424</v>
      </c>
      <c r="AZ154" s="10">
        <f t="shared" si="36"/>
        <v>-1375</v>
      </c>
      <c r="BA154" s="10">
        <f t="shared" si="37"/>
        <v>1794.9770123338767</v>
      </c>
      <c r="BB154" s="10">
        <f t="shared" si="42"/>
        <v>419.9770123338767</v>
      </c>
      <c r="BC154" s="10">
        <f t="shared" si="43"/>
        <v>0</v>
      </c>
      <c r="BD154" s="10">
        <f t="shared" si="44"/>
        <v>-1375</v>
      </c>
      <c r="BE154" s="2">
        <f t="shared" si="45"/>
        <v>0</v>
      </c>
      <c r="BF154" s="10">
        <f t="shared" si="46"/>
        <v>-1375</v>
      </c>
      <c r="BG154" s="2">
        <f>-BF154*'PV IN'!$E$8</f>
        <v>288.75</v>
      </c>
      <c r="BH154" s="2">
        <f>IF('PV IN'!$F$4="Battery Only",0,BB154+BG154)</f>
        <v>708.7270123338767</v>
      </c>
      <c r="BI154" s="2">
        <f>BH154/(1+('PV IN'!$G$9))^(C154)</f>
        <v>385.13478668376166</v>
      </c>
    </row>
    <row r="155" spans="2:61" x14ac:dyDescent="0.25">
      <c r="C155">
        <v>151</v>
      </c>
      <c r="D155" s="16">
        <f>D154*(1+('PV IN'!$G$6/12))</f>
        <v>7.5999999999999998E-2</v>
      </c>
      <c r="E155" s="16">
        <f>LkUP!$U$33</f>
        <v>8.0603739109022604E-2</v>
      </c>
      <c r="F155" s="16">
        <f>IF('PV IN'!$D$7="Table",E155,D155)</f>
        <v>8.0603739109022604E-2</v>
      </c>
      <c r="G155" s="33">
        <f>('PV IN'!$E$25*'PV IN'!$E$18/12)*(1-(1-'PV IN'!$E$27)/(25*12))^C154</f>
        <v>137983.10469171696</v>
      </c>
      <c r="H155" s="33">
        <f>IF('PV IN'!$D$19="YES",G155*'PV IN'!$E$21,0)</f>
        <v>0</v>
      </c>
      <c r="I155" s="33">
        <f>IF('PV IN'!$D$19="YES",'PV IN'!$E$22*BattCalcs!W155,0)</f>
        <v>0</v>
      </c>
      <c r="J155" s="33">
        <f>IF('PV IN'!$D$19="YES",'PV IN'!$E$23*BattCalcs!Y155,0)</f>
        <v>0</v>
      </c>
      <c r="K155" s="33">
        <f>BattCalcs!AF155</f>
        <v>25811.765833333331</v>
      </c>
      <c r="L155" s="33">
        <f t="shared" si="47"/>
        <v>25811.765833333331</v>
      </c>
      <c r="M155" s="33">
        <f>IF('PV IN'!$F$4="PV Only",G155,G155-SUM(H155:J155,L155))</f>
        <v>137983.10469171696</v>
      </c>
      <c r="N155" s="2">
        <f>IF(C155&lt;='PV IN'!$I$12*12,'PV IN'!$E$12*G155/1000,0)</f>
        <v>0</v>
      </c>
      <c r="O155" s="2">
        <f>IF(AND(C155&gt;'PV IN'!$I$12*12,C155&lt;='PV IN'!$I$13*12+'PV IN'!$I$12*12),'PV IN'!$E$13*PVCalcs!G155/1000,0)</f>
        <v>0</v>
      </c>
      <c r="P155" s="2">
        <f>IF(AND(C155&gt;'PV IN'!$I$12*12+'PV IN'!$I$13*12,C155&lt;='PV IN'!$I$12*12+'PV IN'!$I$13*12+'PV IN'!$I$14*12),'PV IN'!$E$14*PVCalcs!G155/1000,0)</f>
        <v>1793.7803609923203</v>
      </c>
      <c r="R155" s="10">
        <f>IF(AND('PV IN'!$D$35="YES",$C155&lt;='PV IN'!$E$35*12),-'PV IN'!$E$18*'PV IN'!$E$34/12,0)</f>
        <v>0</v>
      </c>
      <c r="S155" s="10">
        <f>IF(AND('PV IN'!$D$37="YES",$C155&lt;='PV IN'!$E$37*12),-'PV IN'!$E$18*'PV IN'!$E$36/12,0)</f>
        <v>0</v>
      </c>
      <c r="U155" s="2">
        <f t="shared" si="48"/>
        <v>11121.954172024107</v>
      </c>
      <c r="V155" s="10">
        <f>PVLoan!M182</f>
        <v>0</v>
      </c>
      <c r="W155" s="2">
        <f>IF(C155='PV IN'!$I$40,IF('PV IN'!$G$40="Non-Taxable",'PV IN'!$F$40,0),0)+IF(C155='PV IN'!$I$41,IF('PV IN'!$G$41="Non-Taxable",'PV IN'!$F$41,0),0)</f>
        <v>0</v>
      </c>
      <c r="X155" s="10"/>
      <c r="Y155" s="10">
        <f>IF('PV IN'!$E$15="Non-Taxable",SUM(N155:P155),0)</f>
        <v>1793.7803609923203</v>
      </c>
      <c r="Z155" s="10">
        <f>IF('PV IN'!$E$15="Taxable",SUM(N155:P155),0)</f>
        <v>0</v>
      </c>
      <c r="AA155" s="2">
        <f>IF(C155='PV IN'!$I$40,IF('PV IN'!$G$40="Taxable",'PV IN'!$F$40,0),0)+IF(C155='PV IN'!$I$41,IF('PV IN'!$G$41="Taxable",'PV IN'!$F$41,0),0)</f>
        <v>0</v>
      </c>
      <c r="AD155" s="10">
        <f>IF('PV IN'!$D$48="YES",-U155*'PV IN'!$E$8,0)</f>
        <v>0</v>
      </c>
      <c r="AE155" s="10">
        <f>IF('PV IN'!$N$10="Yes",-PVLoan!H183,-PVLoan!L183)</f>
        <v>0</v>
      </c>
      <c r="AF155" s="10">
        <f>IF('PV IN'!$N$10="Yes",-PVLoan!F183,0)</f>
        <v>0</v>
      </c>
      <c r="AG155" s="10">
        <f>IF(AND('PV IN'!$D$35="YES",$C155&lt;='PV IN'!$E$35*12),0,-'PV IN'!$E$18*'PV IN'!$E$34/12)</f>
        <v>-750</v>
      </c>
      <c r="AH155" s="10">
        <f>IF(AND('PV IN'!$D$37="YES",$C155&lt;='PV IN'!$E$37*12),0,-'PV IN'!$E$18*'PV IN'!$E$36/12)</f>
        <v>-625</v>
      </c>
      <c r="AI155" s="2">
        <f>IF(AND('PV IN'!$D$33="YES",PVCalcs!C155=ROUNDUP('PV IN'!$H$33*12,)),-'PV IN'!$E$33*'PV IN'!$E$18,0)</f>
        <v>0</v>
      </c>
      <c r="AK155" s="2">
        <f t="shared" si="33"/>
        <v>12915.734533016428</v>
      </c>
      <c r="AL155" s="2">
        <f t="shared" si="34"/>
        <v>-1375</v>
      </c>
      <c r="AM155" s="2">
        <f t="shared" si="38"/>
        <v>11540.734533016428</v>
      </c>
      <c r="AN155" s="43"/>
      <c r="AO155" s="2">
        <f t="shared" si="35"/>
        <v>0</v>
      </c>
      <c r="AP155" s="2">
        <f t="shared" si="39"/>
        <v>-1375</v>
      </c>
      <c r="AR155" s="2">
        <f t="shared" si="40"/>
        <v>-1375</v>
      </c>
      <c r="AS155" s="2">
        <f>-AR155*'PV IN'!$E$8</f>
        <v>288.75</v>
      </c>
      <c r="AT155" s="2">
        <f>IF('PV IN'!$F$4="Battery Only",0,AM155+AS155)</f>
        <v>11829.484533016428</v>
      </c>
      <c r="AV155" s="10">
        <f t="shared" si="41"/>
        <v>612793.87701006304</v>
      </c>
      <c r="AW155" s="2">
        <f>AT155/(1+('PV IN'!$G$9))^(C155)</f>
        <v>6402.2673754913994</v>
      </c>
      <c r="AX155" s="2">
        <f>IF(C155&lt;='PV IN'!$O$22*12,AW155+AX154,NA())</f>
        <v>90374.419420236823</v>
      </c>
      <c r="AZ155" s="10">
        <f t="shared" si="36"/>
        <v>-1375</v>
      </c>
      <c r="BA155" s="10">
        <f t="shared" si="37"/>
        <v>1793.7803609923212</v>
      </c>
      <c r="BB155" s="10">
        <f t="shared" si="42"/>
        <v>418.78036099232122</v>
      </c>
      <c r="BC155" s="10">
        <f t="shared" si="43"/>
        <v>0</v>
      </c>
      <c r="BD155" s="10">
        <f t="shared" si="44"/>
        <v>-1375</v>
      </c>
      <c r="BE155" s="2">
        <f t="shared" si="45"/>
        <v>0</v>
      </c>
      <c r="BF155" s="10">
        <f t="shared" si="46"/>
        <v>-1375</v>
      </c>
      <c r="BG155" s="2">
        <f>-BF155*'PV IN'!$E$8</f>
        <v>288.75</v>
      </c>
      <c r="BH155" s="2">
        <f>IF('PV IN'!$F$4="Battery Only",0,BB155+BG155)</f>
        <v>707.53036099232122</v>
      </c>
      <c r="BI155" s="2">
        <f>BH155/(1+('PV IN'!$G$9))^(C155)</f>
        <v>382.92442368963702</v>
      </c>
    </row>
    <row r="156" spans="2:61" x14ac:dyDescent="0.25">
      <c r="C156">
        <v>152</v>
      </c>
      <c r="D156" s="16">
        <f>D155*(1+('PV IN'!$G$6/12))</f>
        <v>7.5999999999999998E-2</v>
      </c>
      <c r="E156" s="16">
        <f>LkUP!$U$33</f>
        <v>8.0603739109022604E-2</v>
      </c>
      <c r="F156" s="16">
        <f>IF('PV IN'!$D$7="Table",E156,D156)</f>
        <v>8.0603739109022604E-2</v>
      </c>
      <c r="G156" s="33">
        <f>('PV IN'!$E$25*'PV IN'!$E$18/12)*(1-(1-'PV IN'!$E$27)/(25*12))^C155</f>
        <v>137891.11595525581</v>
      </c>
      <c r="H156" s="33">
        <f>IF('PV IN'!$D$19="YES",G156*'PV IN'!$E$21,0)</f>
        <v>0</v>
      </c>
      <c r="I156" s="33">
        <f>IF('PV IN'!$D$19="YES",'PV IN'!$E$22*BattCalcs!W156,0)</f>
        <v>0</v>
      </c>
      <c r="J156" s="33">
        <f>IF('PV IN'!$D$19="YES",'PV IN'!$E$23*BattCalcs!Y156,0)</f>
        <v>0</v>
      </c>
      <c r="K156" s="33">
        <f>BattCalcs!AF156</f>
        <v>25811.765833333331</v>
      </c>
      <c r="L156" s="33">
        <f t="shared" si="47"/>
        <v>25811.765833333331</v>
      </c>
      <c r="M156" s="33">
        <f>IF('PV IN'!$F$4="PV Only",G156,G156-SUM(H156:J156,L156))</f>
        <v>137891.11595525581</v>
      </c>
      <c r="N156" s="2">
        <f>IF(C156&lt;='PV IN'!$I$12*12,'PV IN'!$E$12*G156/1000,0)</f>
        <v>0</v>
      </c>
      <c r="O156" s="2">
        <f>IF(AND(C156&gt;'PV IN'!$I$12*12,C156&lt;='PV IN'!$I$13*12+'PV IN'!$I$12*12),'PV IN'!$E$13*PVCalcs!G156/1000,0)</f>
        <v>0</v>
      </c>
      <c r="P156" s="2">
        <f>IF(AND(C156&gt;'PV IN'!$I$12*12+'PV IN'!$I$13*12,C156&lt;='PV IN'!$I$12*12+'PV IN'!$I$13*12+'PV IN'!$I$14*12),'PV IN'!$E$14*PVCalcs!G156/1000,0)</f>
        <v>1792.5845074183255</v>
      </c>
      <c r="R156" s="10">
        <f>IF(AND('PV IN'!$D$35="YES",$C156&lt;='PV IN'!$E$35*12),-'PV IN'!$E$18*'PV IN'!$E$34/12,0)</f>
        <v>0</v>
      </c>
      <c r="S156" s="10">
        <f>IF(AND('PV IN'!$D$37="YES",$C156&lt;='PV IN'!$E$37*12),-'PV IN'!$E$18*'PV IN'!$E$36/12,0)</f>
        <v>0</v>
      </c>
      <c r="U156" s="2">
        <f t="shared" si="48"/>
        <v>11114.539535909424</v>
      </c>
      <c r="V156" s="10">
        <f>PVLoan!M183</f>
        <v>0</v>
      </c>
      <c r="W156" s="2">
        <f>IF(C156='PV IN'!$I$40,IF('PV IN'!$G$40="Non-Taxable",'PV IN'!$F$40,0),0)+IF(C156='PV IN'!$I$41,IF('PV IN'!$G$41="Non-Taxable",'PV IN'!$F$41,0),0)</f>
        <v>0</v>
      </c>
      <c r="X156" s="10"/>
      <c r="Y156" s="10">
        <f>IF('PV IN'!$E$15="Non-Taxable",SUM(N156:P156),0)</f>
        <v>1792.5845074183255</v>
      </c>
      <c r="Z156" s="10">
        <f>IF('PV IN'!$E$15="Taxable",SUM(N156:P156),0)</f>
        <v>0</v>
      </c>
      <c r="AA156" s="2">
        <f>IF(C156='PV IN'!$I$40,IF('PV IN'!$G$40="Taxable",'PV IN'!$F$40,0),0)+IF(C156='PV IN'!$I$41,IF('PV IN'!$G$41="Taxable",'PV IN'!$F$41,0),0)</f>
        <v>0</v>
      </c>
      <c r="AD156" s="10">
        <f>IF('PV IN'!$D$48="YES",-U156*'PV IN'!$E$8,0)</f>
        <v>0</v>
      </c>
      <c r="AE156" s="10">
        <f>IF('PV IN'!$N$10="Yes",-PVLoan!H184,-PVLoan!L184)</f>
        <v>0</v>
      </c>
      <c r="AF156" s="10">
        <f>IF('PV IN'!$N$10="Yes",-PVLoan!F184,0)</f>
        <v>0</v>
      </c>
      <c r="AG156" s="10">
        <f>IF(AND('PV IN'!$D$35="YES",$C156&lt;='PV IN'!$E$35*12),0,-'PV IN'!$E$18*'PV IN'!$E$34/12)</f>
        <v>-750</v>
      </c>
      <c r="AH156" s="10">
        <f>IF(AND('PV IN'!$D$37="YES",$C156&lt;='PV IN'!$E$37*12),0,-'PV IN'!$E$18*'PV IN'!$E$36/12)</f>
        <v>-625</v>
      </c>
      <c r="AI156" s="2">
        <f>IF(AND('PV IN'!$D$33="YES",PVCalcs!C156=ROUNDUP('PV IN'!$H$33*12,)),-'PV IN'!$E$33*'PV IN'!$E$18,0)</f>
        <v>0</v>
      </c>
      <c r="AK156" s="2">
        <f t="shared" si="33"/>
        <v>12907.124043327749</v>
      </c>
      <c r="AL156" s="2">
        <f t="shared" si="34"/>
        <v>-1375</v>
      </c>
      <c r="AM156" s="2">
        <f t="shared" si="38"/>
        <v>11532.124043327749</v>
      </c>
      <c r="AN156" s="43"/>
      <c r="AO156" s="2">
        <f t="shared" si="35"/>
        <v>0</v>
      </c>
      <c r="AP156" s="2">
        <f t="shared" si="39"/>
        <v>-1375</v>
      </c>
      <c r="AR156" s="2">
        <f t="shared" si="40"/>
        <v>-1375</v>
      </c>
      <c r="AS156" s="2">
        <f>-AR156*'PV IN'!$E$8</f>
        <v>288.75</v>
      </c>
      <c r="AT156" s="2">
        <f>IF('PV IN'!$F$4="Battery Only",0,AM156+AS156)</f>
        <v>11820.874043327749</v>
      </c>
      <c r="AV156" s="10">
        <f t="shared" si="41"/>
        <v>624614.75105339079</v>
      </c>
      <c r="AW156" s="2">
        <f>AT156/(1+('PV IN'!$G$9))^(C156)</f>
        <v>6371.648384811705</v>
      </c>
      <c r="AX156" s="2">
        <f>IF(C156&lt;='PV IN'!$O$22*12,AW156+AX155,NA())</f>
        <v>96746.067805048529</v>
      </c>
      <c r="AZ156" s="10">
        <f t="shared" si="36"/>
        <v>-1375</v>
      </c>
      <c r="BA156" s="10">
        <f t="shared" si="37"/>
        <v>1792.5845074183253</v>
      </c>
      <c r="BB156" s="10">
        <f t="shared" si="42"/>
        <v>417.5845074183253</v>
      </c>
      <c r="BC156" s="10">
        <f t="shared" si="43"/>
        <v>0</v>
      </c>
      <c r="BD156" s="10">
        <f t="shared" si="44"/>
        <v>-1375</v>
      </c>
      <c r="BE156" s="2">
        <f t="shared" si="45"/>
        <v>0</v>
      </c>
      <c r="BF156" s="10">
        <f t="shared" si="46"/>
        <v>-1375</v>
      </c>
      <c r="BG156" s="2">
        <f>-BF156*'PV IN'!$E$8</f>
        <v>288.75</v>
      </c>
      <c r="BH156" s="2">
        <f>IF('PV IN'!$F$4="Battery Only",0,BB156+BG156)</f>
        <v>706.3345074183253</v>
      </c>
      <c r="BI156" s="2">
        <f>BH156/(1+('PV IN'!$G$9))^(C156)</f>
        <v>380.7260873293074</v>
      </c>
    </row>
    <row r="157" spans="2:61" x14ac:dyDescent="0.25">
      <c r="C157">
        <v>153</v>
      </c>
      <c r="D157" s="16">
        <f>D156*(1+('PV IN'!$G$6/12))</f>
        <v>7.5999999999999998E-2</v>
      </c>
      <c r="E157" s="16">
        <f>LkUP!$U$33</f>
        <v>8.0603739109022604E-2</v>
      </c>
      <c r="F157" s="16">
        <f>IF('PV IN'!$D$7="Table",E157,D157)</f>
        <v>8.0603739109022604E-2</v>
      </c>
      <c r="G157" s="33">
        <f>('PV IN'!$E$25*'PV IN'!$E$18/12)*(1-(1-'PV IN'!$E$27)/(25*12))^C156</f>
        <v>137799.18854461898</v>
      </c>
      <c r="H157" s="33">
        <f>IF('PV IN'!$D$19="YES",G157*'PV IN'!$E$21,0)</f>
        <v>0</v>
      </c>
      <c r="I157" s="33">
        <f>IF('PV IN'!$D$19="YES",'PV IN'!$E$22*BattCalcs!W157,0)</f>
        <v>0</v>
      </c>
      <c r="J157" s="33">
        <f>IF('PV IN'!$D$19="YES",'PV IN'!$E$23*BattCalcs!Y157,0)</f>
        <v>0</v>
      </c>
      <c r="K157" s="33">
        <f>BattCalcs!AF157</f>
        <v>25811.765833333331</v>
      </c>
      <c r="L157" s="33">
        <f t="shared" si="47"/>
        <v>25811.765833333331</v>
      </c>
      <c r="M157" s="33">
        <f>IF('PV IN'!$F$4="PV Only",G157,G157-SUM(H157:J157,L157))</f>
        <v>137799.18854461898</v>
      </c>
      <c r="N157" s="2">
        <f>IF(C157&lt;='PV IN'!$I$12*12,'PV IN'!$E$12*G157/1000,0)</f>
        <v>0</v>
      </c>
      <c r="O157" s="2">
        <f>IF(AND(C157&gt;'PV IN'!$I$12*12,C157&lt;='PV IN'!$I$13*12+'PV IN'!$I$12*12),'PV IN'!$E$13*PVCalcs!G157/1000,0)</f>
        <v>0</v>
      </c>
      <c r="P157" s="2">
        <f>IF(AND(C157&gt;'PV IN'!$I$12*12+'PV IN'!$I$13*12,C157&lt;='PV IN'!$I$12*12+'PV IN'!$I$13*12+'PV IN'!$I$14*12),'PV IN'!$E$14*PVCalcs!G157/1000,0)</f>
        <v>1791.3894510800469</v>
      </c>
      <c r="R157" s="10">
        <f>IF(AND('PV IN'!$D$35="YES",$C157&lt;='PV IN'!$E$35*12),-'PV IN'!$E$18*'PV IN'!$E$34/12,0)</f>
        <v>0</v>
      </c>
      <c r="S157" s="10">
        <f>IF(AND('PV IN'!$D$37="YES",$C157&lt;='PV IN'!$E$37*12),-'PV IN'!$E$18*'PV IN'!$E$36/12,0)</f>
        <v>0</v>
      </c>
      <c r="U157" s="2">
        <f t="shared" si="48"/>
        <v>11107.129842885484</v>
      </c>
      <c r="V157" s="10">
        <f>PVLoan!M184</f>
        <v>0</v>
      </c>
      <c r="W157" s="2">
        <f>IF(C157='PV IN'!$I$40,IF('PV IN'!$G$40="Non-Taxable",'PV IN'!$F$40,0),0)+IF(C157='PV IN'!$I$41,IF('PV IN'!$G$41="Non-Taxable",'PV IN'!$F$41,0),0)</f>
        <v>0</v>
      </c>
      <c r="X157" s="10"/>
      <c r="Y157" s="10">
        <f>IF('PV IN'!$E$15="Non-Taxable",SUM(N157:P157),0)</f>
        <v>1791.3894510800469</v>
      </c>
      <c r="Z157" s="10">
        <f>IF('PV IN'!$E$15="Taxable",SUM(N157:P157),0)</f>
        <v>0</v>
      </c>
      <c r="AA157" s="2">
        <f>IF(C157='PV IN'!$I$40,IF('PV IN'!$G$40="Taxable",'PV IN'!$F$40,0),0)+IF(C157='PV IN'!$I$41,IF('PV IN'!$G$41="Taxable",'PV IN'!$F$41,0),0)</f>
        <v>0</v>
      </c>
      <c r="AD157" s="10">
        <f>IF('PV IN'!$D$48="YES",-U157*'PV IN'!$E$8,0)</f>
        <v>0</v>
      </c>
      <c r="AE157" s="10">
        <f>IF('PV IN'!$N$10="Yes",-PVLoan!H185,-PVLoan!L185)</f>
        <v>0</v>
      </c>
      <c r="AF157" s="10">
        <f>IF('PV IN'!$N$10="Yes",-PVLoan!F185,0)</f>
        <v>0</v>
      </c>
      <c r="AG157" s="10">
        <f>IF(AND('PV IN'!$D$35="YES",$C157&lt;='PV IN'!$E$35*12),0,-'PV IN'!$E$18*'PV IN'!$E$34/12)</f>
        <v>-750</v>
      </c>
      <c r="AH157" s="10">
        <f>IF(AND('PV IN'!$D$37="YES",$C157&lt;='PV IN'!$E$37*12),0,-'PV IN'!$E$18*'PV IN'!$E$36/12)</f>
        <v>-625</v>
      </c>
      <c r="AI157" s="2">
        <f>IF(AND('PV IN'!$D$33="YES",PVCalcs!C157=ROUNDUP('PV IN'!$H$33*12,)),-'PV IN'!$E$33*'PV IN'!$E$18,0)</f>
        <v>0</v>
      </c>
      <c r="AK157" s="2">
        <f t="shared" si="33"/>
        <v>12898.519293965532</v>
      </c>
      <c r="AL157" s="2">
        <f t="shared" si="34"/>
        <v>-1375</v>
      </c>
      <c r="AM157" s="2">
        <f t="shared" si="38"/>
        <v>11523.519293965532</v>
      </c>
      <c r="AN157" s="43"/>
      <c r="AO157" s="2">
        <f t="shared" si="35"/>
        <v>0</v>
      </c>
      <c r="AP157" s="2">
        <f t="shared" si="39"/>
        <v>-1375</v>
      </c>
      <c r="AR157" s="2">
        <f t="shared" si="40"/>
        <v>-1375</v>
      </c>
      <c r="AS157" s="2">
        <f>-AR157*'PV IN'!$E$8</f>
        <v>288.75</v>
      </c>
      <c r="AT157" s="2">
        <f>IF('PV IN'!$F$4="Battery Only",0,AM157+AS157)</f>
        <v>11812.269293965532</v>
      </c>
      <c r="AV157" s="10">
        <f t="shared" si="41"/>
        <v>636427.02034735633</v>
      </c>
      <c r="AW157" s="2">
        <f>AT157/(1+('PV IN'!$G$9))^(C157)</f>
        <v>6341.1755471899742</v>
      </c>
      <c r="AX157" s="2">
        <f>IF(C157&lt;='PV IN'!$O$22*12,AW157+AX156,NA())</f>
        <v>103087.2433522385</v>
      </c>
      <c r="AZ157" s="10">
        <f t="shared" si="36"/>
        <v>-1375</v>
      </c>
      <c r="BA157" s="10">
        <f t="shared" si="37"/>
        <v>1791.3894510800474</v>
      </c>
      <c r="BB157" s="10">
        <f t="shared" si="42"/>
        <v>416.38945108004737</v>
      </c>
      <c r="BC157" s="10">
        <f t="shared" si="43"/>
        <v>0</v>
      </c>
      <c r="BD157" s="10">
        <f t="shared" si="44"/>
        <v>-1375</v>
      </c>
      <c r="BE157" s="2">
        <f t="shared" si="45"/>
        <v>0</v>
      </c>
      <c r="BF157" s="10">
        <f t="shared" si="46"/>
        <v>-1375</v>
      </c>
      <c r="BG157" s="2">
        <f>-BF157*'PV IN'!$E$8</f>
        <v>288.75</v>
      </c>
      <c r="BH157" s="2">
        <f>IF('PV IN'!$F$4="Battery Only",0,BB157+BG157)</f>
        <v>705.13945108004737</v>
      </c>
      <c r="BI157" s="2">
        <f>BH157/(1+('PV IN'!$G$9))^(C157)</f>
        <v>378.53971436564211</v>
      </c>
    </row>
    <row r="158" spans="2:61" x14ac:dyDescent="0.25">
      <c r="C158">
        <v>154</v>
      </c>
      <c r="D158" s="16">
        <f>D157*(1+('PV IN'!$G$6/12))</f>
        <v>7.5999999999999998E-2</v>
      </c>
      <c r="E158" s="16">
        <f>LkUP!$U$33</f>
        <v>8.0603739109022604E-2</v>
      </c>
      <c r="F158" s="16">
        <f>IF('PV IN'!$D$7="Table",E158,D158)</f>
        <v>8.0603739109022604E-2</v>
      </c>
      <c r="G158" s="33">
        <f>('PV IN'!$E$25*'PV IN'!$E$18/12)*(1-(1-'PV IN'!$E$27)/(25*12))^C157</f>
        <v>137707.32241892256</v>
      </c>
      <c r="H158" s="33">
        <f>IF('PV IN'!$D$19="YES",G158*'PV IN'!$E$21,0)</f>
        <v>0</v>
      </c>
      <c r="I158" s="33">
        <f>IF('PV IN'!$D$19="YES",'PV IN'!$E$22*BattCalcs!W158,0)</f>
        <v>0</v>
      </c>
      <c r="J158" s="33">
        <f>IF('PV IN'!$D$19="YES",'PV IN'!$E$23*BattCalcs!Y158,0)</f>
        <v>0</v>
      </c>
      <c r="K158" s="33">
        <f>BattCalcs!AF158</f>
        <v>25811.765833333331</v>
      </c>
      <c r="L158" s="33">
        <f t="shared" si="47"/>
        <v>25811.765833333331</v>
      </c>
      <c r="M158" s="33">
        <f>IF('PV IN'!$F$4="PV Only",G158,G158-SUM(H158:J158,L158))</f>
        <v>137707.32241892256</v>
      </c>
      <c r="N158" s="2">
        <f>IF(C158&lt;='PV IN'!$I$12*12,'PV IN'!$E$12*G158/1000,0)</f>
        <v>0</v>
      </c>
      <c r="O158" s="2">
        <f>IF(AND(C158&gt;'PV IN'!$I$12*12,C158&lt;='PV IN'!$I$13*12+'PV IN'!$I$12*12),'PV IN'!$E$13*PVCalcs!G158/1000,0)</f>
        <v>0</v>
      </c>
      <c r="P158" s="2">
        <f>IF(AND(C158&gt;'PV IN'!$I$12*12+'PV IN'!$I$13*12,C158&lt;='PV IN'!$I$12*12+'PV IN'!$I$13*12+'PV IN'!$I$14*12),'PV IN'!$E$14*PVCalcs!G158/1000,0)</f>
        <v>1790.1951914459933</v>
      </c>
      <c r="R158" s="10">
        <f>IF(AND('PV IN'!$D$35="YES",$C158&lt;='PV IN'!$E$35*12),-'PV IN'!$E$18*'PV IN'!$E$34/12,0)</f>
        <v>0</v>
      </c>
      <c r="S158" s="10">
        <f>IF(AND('PV IN'!$D$37="YES",$C158&lt;='PV IN'!$E$37*12),-'PV IN'!$E$18*'PV IN'!$E$36/12,0)</f>
        <v>0</v>
      </c>
      <c r="U158" s="2">
        <f t="shared" si="48"/>
        <v>11099.725089656893</v>
      </c>
      <c r="V158" s="10">
        <f>PVLoan!M185</f>
        <v>0</v>
      </c>
      <c r="W158" s="2">
        <f>IF(C158='PV IN'!$I$40,IF('PV IN'!$G$40="Non-Taxable",'PV IN'!$F$40,0),0)+IF(C158='PV IN'!$I$41,IF('PV IN'!$G$41="Non-Taxable",'PV IN'!$F$41,0),0)</f>
        <v>0</v>
      </c>
      <c r="X158" s="10"/>
      <c r="Y158" s="10">
        <f>IF('PV IN'!$E$15="Non-Taxable",SUM(N158:P158),0)</f>
        <v>1790.1951914459933</v>
      </c>
      <c r="Z158" s="10">
        <f>IF('PV IN'!$E$15="Taxable",SUM(N158:P158),0)</f>
        <v>0</v>
      </c>
      <c r="AA158" s="2">
        <f>IF(C158='PV IN'!$I$40,IF('PV IN'!$G$40="Taxable",'PV IN'!$F$40,0),0)+IF(C158='PV IN'!$I$41,IF('PV IN'!$G$41="Taxable",'PV IN'!$F$41,0),0)</f>
        <v>0</v>
      </c>
      <c r="AD158" s="10">
        <f>IF('PV IN'!$D$48="YES",-U158*'PV IN'!$E$8,0)</f>
        <v>0</v>
      </c>
      <c r="AE158" s="10">
        <f>IF('PV IN'!$N$10="Yes",-PVLoan!H186,-PVLoan!L186)</f>
        <v>0</v>
      </c>
      <c r="AF158" s="10">
        <f>IF('PV IN'!$N$10="Yes",-PVLoan!F186,0)</f>
        <v>0</v>
      </c>
      <c r="AG158" s="10">
        <f>IF(AND('PV IN'!$D$35="YES",$C158&lt;='PV IN'!$E$35*12),0,-'PV IN'!$E$18*'PV IN'!$E$34/12)</f>
        <v>-750</v>
      </c>
      <c r="AH158" s="10">
        <f>IF(AND('PV IN'!$D$37="YES",$C158&lt;='PV IN'!$E$37*12),0,-'PV IN'!$E$18*'PV IN'!$E$36/12)</f>
        <v>-625</v>
      </c>
      <c r="AI158" s="2">
        <f>IF(AND('PV IN'!$D$33="YES",PVCalcs!C158=ROUNDUP('PV IN'!$H$33*12,)),-'PV IN'!$E$33*'PV IN'!$E$18,0)</f>
        <v>0</v>
      </c>
      <c r="AK158" s="2">
        <f t="shared" si="33"/>
        <v>12889.920281102886</v>
      </c>
      <c r="AL158" s="2">
        <f t="shared" si="34"/>
        <v>-1375</v>
      </c>
      <c r="AM158" s="2">
        <f t="shared" si="38"/>
        <v>11514.920281102886</v>
      </c>
      <c r="AN158" s="43"/>
      <c r="AO158" s="2">
        <f t="shared" si="35"/>
        <v>0</v>
      </c>
      <c r="AP158" s="2">
        <f t="shared" si="39"/>
        <v>-1375</v>
      </c>
      <c r="AR158" s="2">
        <f t="shared" si="40"/>
        <v>-1375</v>
      </c>
      <c r="AS158" s="2">
        <f>-AR158*'PV IN'!$E$8</f>
        <v>288.75</v>
      </c>
      <c r="AT158" s="2">
        <f>IF('PV IN'!$F$4="Battery Only",0,AM158+AS158)</f>
        <v>11803.670281102886</v>
      </c>
      <c r="AV158" s="10">
        <f t="shared" si="41"/>
        <v>648230.69062845921</v>
      </c>
      <c r="AW158" s="2">
        <f>AT158/(1+('PV IN'!$G$9))^(C158)</f>
        <v>6310.8481661300657</v>
      </c>
      <c r="AX158" s="2">
        <f>IF(C158&lt;='PV IN'!$O$22*12,AW158+AX157,NA())</f>
        <v>109398.09151836856</v>
      </c>
      <c r="AZ158" s="10">
        <f t="shared" si="36"/>
        <v>-1375</v>
      </c>
      <c r="BA158" s="10">
        <f t="shared" si="37"/>
        <v>1790.1951914459933</v>
      </c>
      <c r="BB158" s="10">
        <f t="shared" si="42"/>
        <v>415.19519144599326</v>
      </c>
      <c r="BC158" s="10">
        <f t="shared" si="43"/>
        <v>0</v>
      </c>
      <c r="BD158" s="10">
        <f t="shared" si="44"/>
        <v>-1375</v>
      </c>
      <c r="BE158" s="2">
        <f t="shared" si="45"/>
        <v>0</v>
      </c>
      <c r="BF158" s="10">
        <f t="shared" si="46"/>
        <v>-1375</v>
      </c>
      <c r="BG158" s="2">
        <f>-BF158*'PV IN'!$E$8</f>
        <v>288.75</v>
      </c>
      <c r="BH158" s="2">
        <f>IF('PV IN'!$F$4="Battery Only",0,BB158+BG158)</f>
        <v>703.94519144599326</v>
      </c>
      <c r="BI158" s="2">
        <f>BH158/(1+('PV IN'!$G$9))^(C158)</f>
        <v>376.36524188626657</v>
      </c>
    </row>
    <row r="159" spans="2:61" x14ac:dyDescent="0.25">
      <c r="C159">
        <v>155</v>
      </c>
      <c r="D159" s="16">
        <f>D158*(1+('PV IN'!$G$6/12))</f>
        <v>7.5999999999999998E-2</v>
      </c>
      <c r="E159" s="16">
        <f>LkUP!$U$33</f>
        <v>8.0603739109022604E-2</v>
      </c>
      <c r="F159" s="16">
        <f>IF('PV IN'!$D$7="Table",E159,D159)</f>
        <v>8.0603739109022604E-2</v>
      </c>
      <c r="G159" s="33">
        <f>('PV IN'!$E$25*'PV IN'!$E$18/12)*(1-(1-'PV IN'!$E$27)/(25*12))^C158</f>
        <v>137615.51753730993</v>
      </c>
      <c r="H159" s="33">
        <f>IF('PV IN'!$D$19="YES",G159*'PV IN'!$E$21,0)</f>
        <v>0</v>
      </c>
      <c r="I159" s="33">
        <f>IF('PV IN'!$D$19="YES",'PV IN'!$E$22*BattCalcs!W159,0)</f>
        <v>0</v>
      </c>
      <c r="J159" s="33">
        <f>IF('PV IN'!$D$19="YES",'PV IN'!$E$23*BattCalcs!Y159,0)</f>
        <v>0</v>
      </c>
      <c r="K159" s="33">
        <f>BattCalcs!AF159</f>
        <v>25811.765833333331</v>
      </c>
      <c r="L159" s="33">
        <f t="shared" si="47"/>
        <v>25811.765833333331</v>
      </c>
      <c r="M159" s="33">
        <f>IF('PV IN'!$F$4="PV Only",G159,G159-SUM(H159:J159,L159))</f>
        <v>137615.51753730993</v>
      </c>
      <c r="N159" s="2">
        <f>IF(C159&lt;='PV IN'!$I$12*12,'PV IN'!$E$12*G159/1000,0)</f>
        <v>0</v>
      </c>
      <c r="O159" s="2">
        <f>IF(AND(C159&gt;'PV IN'!$I$12*12,C159&lt;='PV IN'!$I$13*12+'PV IN'!$I$12*12),'PV IN'!$E$13*PVCalcs!G159/1000,0)</f>
        <v>0</v>
      </c>
      <c r="P159" s="2">
        <f>IF(AND(C159&gt;'PV IN'!$I$12*12+'PV IN'!$I$13*12,C159&lt;='PV IN'!$I$12*12+'PV IN'!$I$13*12+'PV IN'!$I$14*12),'PV IN'!$E$14*PVCalcs!G159/1000,0)</f>
        <v>1789.0017279850292</v>
      </c>
      <c r="R159" s="10">
        <f>IF(AND('PV IN'!$D$35="YES",$C159&lt;='PV IN'!$E$35*12),-'PV IN'!$E$18*'PV IN'!$E$34/12,0)</f>
        <v>0</v>
      </c>
      <c r="S159" s="10">
        <f>IF(AND('PV IN'!$D$37="YES",$C159&lt;='PV IN'!$E$37*12),-'PV IN'!$E$18*'PV IN'!$E$36/12,0)</f>
        <v>0</v>
      </c>
      <c r="U159" s="2">
        <f t="shared" si="48"/>
        <v>11092.325272930455</v>
      </c>
      <c r="V159" s="10">
        <f>PVLoan!M186</f>
        <v>0</v>
      </c>
      <c r="W159" s="2">
        <f>IF(C159='PV IN'!$I$40,IF('PV IN'!$G$40="Non-Taxable",'PV IN'!$F$40,0),0)+IF(C159='PV IN'!$I$41,IF('PV IN'!$G$41="Non-Taxable",'PV IN'!$F$41,0),0)</f>
        <v>0</v>
      </c>
      <c r="X159" s="10"/>
      <c r="Y159" s="10">
        <f>IF('PV IN'!$E$15="Non-Taxable",SUM(N159:P159),0)</f>
        <v>1789.0017279850292</v>
      </c>
      <c r="Z159" s="10">
        <f>IF('PV IN'!$E$15="Taxable",SUM(N159:P159),0)</f>
        <v>0</v>
      </c>
      <c r="AA159" s="2">
        <f>IF(C159='PV IN'!$I$40,IF('PV IN'!$G$40="Taxable",'PV IN'!$F$40,0),0)+IF(C159='PV IN'!$I$41,IF('PV IN'!$G$41="Taxable",'PV IN'!$F$41,0),0)</f>
        <v>0</v>
      </c>
      <c r="AD159" s="10">
        <f>IF('PV IN'!$D$48="YES",-U159*'PV IN'!$E$8,0)</f>
        <v>0</v>
      </c>
      <c r="AE159" s="10">
        <f>IF('PV IN'!$N$10="Yes",-PVLoan!H187,-PVLoan!L187)</f>
        <v>0</v>
      </c>
      <c r="AF159" s="10">
        <f>IF('PV IN'!$N$10="Yes",-PVLoan!F187,0)</f>
        <v>0</v>
      </c>
      <c r="AG159" s="10">
        <f>IF(AND('PV IN'!$D$35="YES",$C159&lt;='PV IN'!$E$35*12),0,-'PV IN'!$E$18*'PV IN'!$E$34/12)</f>
        <v>-750</v>
      </c>
      <c r="AH159" s="10">
        <f>IF(AND('PV IN'!$D$37="YES",$C159&lt;='PV IN'!$E$37*12),0,-'PV IN'!$E$18*'PV IN'!$E$36/12)</f>
        <v>-625</v>
      </c>
      <c r="AI159" s="2">
        <f>IF(AND('PV IN'!$D$33="YES",PVCalcs!C159=ROUNDUP('PV IN'!$H$33*12,)),-'PV IN'!$E$33*'PV IN'!$E$18,0)</f>
        <v>0</v>
      </c>
      <c r="AK159" s="2">
        <f t="shared" si="33"/>
        <v>12881.327000915484</v>
      </c>
      <c r="AL159" s="2">
        <f t="shared" si="34"/>
        <v>-1375</v>
      </c>
      <c r="AM159" s="2">
        <f t="shared" si="38"/>
        <v>11506.327000915484</v>
      </c>
      <c r="AN159" s="43"/>
      <c r="AO159" s="2">
        <f t="shared" si="35"/>
        <v>0</v>
      </c>
      <c r="AP159" s="2">
        <f t="shared" si="39"/>
        <v>-1375</v>
      </c>
      <c r="AR159" s="2">
        <f t="shared" si="40"/>
        <v>-1375</v>
      </c>
      <c r="AS159" s="2">
        <f>-AR159*'PV IN'!$E$8</f>
        <v>288.75</v>
      </c>
      <c r="AT159" s="2">
        <f>IF('PV IN'!$F$4="Battery Only",0,AM159+AS159)</f>
        <v>11795.077000915484</v>
      </c>
      <c r="AV159" s="10">
        <f t="shared" si="41"/>
        <v>660025.76762937475</v>
      </c>
      <c r="AW159" s="2">
        <f>AT159/(1+('PV IN'!$G$9))^(C159)</f>
        <v>6280.6655484504618</v>
      </c>
      <c r="AX159" s="2">
        <f>IF(C159&lt;='PV IN'!$O$22*12,AW159+AX158,NA())</f>
        <v>115678.75706681902</v>
      </c>
      <c r="AZ159" s="10">
        <f t="shared" si="36"/>
        <v>-1375</v>
      </c>
      <c r="BA159" s="10">
        <f t="shared" si="37"/>
        <v>1789.001727985029</v>
      </c>
      <c r="BB159" s="10">
        <f t="shared" si="42"/>
        <v>414.00172798502899</v>
      </c>
      <c r="BC159" s="10">
        <f t="shared" si="43"/>
        <v>0</v>
      </c>
      <c r="BD159" s="10">
        <f t="shared" si="44"/>
        <v>-1375</v>
      </c>
      <c r="BE159" s="2">
        <f t="shared" si="45"/>
        <v>0</v>
      </c>
      <c r="BF159" s="10">
        <f t="shared" si="46"/>
        <v>-1375</v>
      </c>
      <c r="BG159" s="2">
        <f>-BF159*'PV IN'!$E$8</f>
        <v>288.75</v>
      </c>
      <c r="BH159" s="2">
        <f>IF('PV IN'!$F$4="Battery Only",0,BB159+BG159)</f>
        <v>702.75172798502899</v>
      </c>
      <c r="BI159" s="2">
        <f>BH159/(1+('PV IN'!$G$9))^(C159)</f>
        <v>374.2026073019299</v>
      </c>
    </row>
    <row r="160" spans="2:61" x14ac:dyDescent="0.25">
      <c r="B160">
        <v>13</v>
      </c>
      <c r="C160">
        <v>156</v>
      </c>
      <c r="D160" s="16">
        <f>D159*(1+('PV IN'!$G$6/12))</f>
        <v>7.5999999999999998E-2</v>
      </c>
      <c r="E160" s="16">
        <f>LkUP!$U$33</f>
        <v>8.0603739109022604E-2</v>
      </c>
      <c r="F160" s="16">
        <f>IF('PV IN'!$D$7="Table",E160,D160)</f>
        <v>8.0603739109022604E-2</v>
      </c>
      <c r="G160" s="33">
        <f>('PV IN'!$E$25*'PV IN'!$E$18/12)*(1-(1-'PV IN'!$E$27)/(25*12))^C159</f>
        <v>137523.77385895172</v>
      </c>
      <c r="H160" s="33">
        <f>IF('PV IN'!$D$19="YES",G160*'PV IN'!$E$21,0)</f>
        <v>0</v>
      </c>
      <c r="I160" s="33">
        <f>IF('PV IN'!$D$19="YES",'PV IN'!$E$22*BattCalcs!W160,0)</f>
        <v>0</v>
      </c>
      <c r="J160" s="33">
        <f>IF('PV IN'!$D$19="YES",'PV IN'!$E$23*BattCalcs!Y160,0)</f>
        <v>0</v>
      </c>
      <c r="K160" s="33">
        <f>BattCalcs!AF160</f>
        <v>25811.765833333331</v>
      </c>
      <c r="L160" s="33">
        <f t="shared" si="47"/>
        <v>25811.765833333331</v>
      </c>
      <c r="M160" s="33">
        <f>IF('PV IN'!$F$4="PV Only",G160,G160-SUM(H160:J160,L160))</f>
        <v>137523.77385895172</v>
      </c>
      <c r="N160" s="2">
        <f>IF(C160&lt;='PV IN'!$I$12*12,'PV IN'!$E$12*G160/1000,0)</f>
        <v>0</v>
      </c>
      <c r="O160" s="2">
        <f>IF(AND(C160&gt;'PV IN'!$I$12*12,C160&lt;='PV IN'!$I$13*12+'PV IN'!$I$12*12),'PV IN'!$E$13*PVCalcs!G160/1000,0)</f>
        <v>0</v>
      </c>
      <c r="P160" s="2">
        <f>IF(AND(C160&gt;'PV IN'!$I$12*12+'PV IN'!$I$13*12,C160&lt;='PV IN'!$I$12*12+'PV IN'!$I$13*12+'PV IN'!$I$14*12),'PV IN'!$E$14*PVCalcs!G160/1000,0)</f>
        <v>1787.8090601663725</v>
      </c>
      <c r="R160" s="10">
        <f>IF(AND('PV IN'!$D$35="YES",$C160&lt;='PV IN'!$E$35*12),-'PV IN'!$E$18*'PV IN'!$E$34/12,0)</f>
        <v>0</v>
      </c>
      <c r="S160" s="10">
        <f>IF(AND('PV IN'!$D$37="YES",$C160&lt;='PV IN'!$E$37*12),-'PV IN'!$E$18*'PV IN'!$E$36/12,0)</f>
        <v>0</v>
      </c>
      <c r="U160" s="2">
        <f t="shared" si="48"/>
        <v>11084.930389415167</v>
      </c>
      <c r="V160" s="10">
        <f>PVLoan!M187</f>
        <v>0</v>
      </c>
      <c r="W160" s="2">
        <f>IF(C160='PV IN'!$I$40,IF('PV IN'!$G$40="Non-Taxable",'PV IN'!$F$40,0),0)+IF(C160='PV IN'!$I$41,IF('PV IN'!$G$41="Non-Taxable",'PV IN'!$F$41,0),0)</f>
        <v>0</v>
      </c>
      <c r="X160" s="10"/>
      <c r="Y160" s="10">
        <f>IF('PV IN'!$E$15="Non-Taxable",SUM(N160:P160),0)</f>
        <v>1787.8090601663725</v>
      </c>
      <c r="Z160" s="10">
        <f>IF('PV IN'!$E$15="Taxable",SUM(N160:P160),0)</f>
        <v>0</v>
      </c>
      <c r="AA160" s="2">
        <f>IF(C160='PV IN'!$I$40,IF('PV IN'!$G$40="Taxable",'PV IN'!$F$40,0),0)+IF(C160='PV IN'!$I$41,IF('PV IN'!$G$41="Taxable",'PV IN'!$F$41,0),0)</f>
        <v>0</v>
      </c>
      <c r="AD160" s="10">
        <f>IF('PV IN'!$D$48="YES",-U160*'PV IN'!$E$8,0)</f>
        <v>0</v>
      </c>
      <c r="AE160" s="10">
        <f>IF('PV IN'!$N$10="Yes",-PVLoan!H188,-PVLoan!L188)</f>
        <v>0</v>
      </c>
      <c r="AF160" s="10">
        <f>IF('PV IN'!$N$10="Yes",-PVLoan!F188,0)</f>
        <v>0</v>
      </c>
      <c r="AG160" s="10">
        <f>IF(AND('PV IN'!$D$35="YES",$C160&lt;='PV IN'!$E$35*12),0,-'PV IN'!$E$18*'PV IN'!$E$34/12)</f>
        <v>-750</v>
      </c>
      <c r="AH160" s="10">
        <f>IF(AND('PV IN'!$D$37="YES",$C160&lt;='PV IN'!$E$37*12),0,-'PV IN'!$E$18*'PV IN'!$E$36/12)</f>
        <v>-625</v>
      </c>
      <c r="AI160" s="2">
        <f>IF(AND('PV IN'!$D$33="YES",PVCalcs!C160=ROUNDUP('PV IN'!$H$33*12,)),-'PV IN'!$E$33*'PV IN'!$E$18,0)</f>
        <v>0</v>
      </c>
      <c r="AK160" s="2">
        <f t="shared" si="33"/>
        <v>12872.739449581539</v>
      </c>
      <c r="AL160" s="2">
        <f t="shared" si="34"/>
        <v>-1375</v>
      </c>
      <c r="AM160" s="2">
        <f t="shared" si="38"/>
        <v>11497.739449581539</v>
      </c>
      <c r="AN160" s="43"/>
      <c r="AO160" s="2">
        <f t="shared" si="35"/>
        <v>0</v>
      </c>
      <c r="AP160" s="2">
        <f t="shared" si="39"/>
        <v>-1375</v>
      </c>
      <c r="AR160" s="2">
        <f t="shared" si="40"/>
        <v>-1375</v>
      </c>
      <c r="AS160" s="2">
        <f>-AR160*'PV IN'!$E$8</f>
        <v>288.75</v>
      </c>
      <c r="AT160" s="2">
        <f>IF('PV IN'!$F$4="Battery Only",0,AM160+AS160)</f>
        <v>11786.489449581539</v>
      </c>
      <c r="AV160" s="10">
        <f t="shared" si="41"/>
        <v>671812.25707895635</v>
      </c>
      <c r="AW160" s="2">
        <f>AT160/(1+('PV IN'!$G$9))^(C160)</f>
        <v>6250.6270042685082</v>
      </c>
      <c r="AX160" s="2">
        <f>IF(C160&lt;='PV IN'!$O$22*12,AW160+AX159,NA())</f>
        <v>121929.38407108752</v>
      </c>
      <c r="AZ160" s="10">
        <f t="shared" si="36"/>
        <v>-1375</v>
      </c>
      <c r="BA160" s="10">
        <f t="shared" si="37"/>
        <v>1787.8090601663716</v>
      </c>
      <c r="BB160" s="10">
        <f t="shared" si="42"/>
        <v>412.80906016637164</v>
      </c>
      <c r="BC160" s="10">
        <f t="shared" si="43"/>
        <v>0</v>
      </c>
      <c r="BD160" s="10">
        <f t="shared" si="44"/>
        <v>-1375</v>
      </c>
      <c r="BE160" s="2">
        <f t="shared" si="45"/>
        <v>0</v>
      </c>
      <c r="BF160" s="10">
        <f t="shared" si="46"/>
        <v>-1375</v>
      </c>
      <c r="BG160" s="2">
        <f>-BF160*'PV IN'!$E$8</f>
        <v>288.75</v>
      </c>
      <c r="BH160" s="2">
        <f>IF('PV IN'!$F$4="Battery Only",0,BB160+BG160)</f>
        <v>701.55906016637164</v>
      </c>
      <c r="BI160" s="2">
        <f>BH160/(1+('PV IN'!$G$9))^(C160)</f>
        <v>372.05174834486843</v>
      </c>
    </row>
    <row r="161" spans="2:61" x14ac:dyDescent="0.25">
      <c r="C161">
        <v>157</v>
      </c>
      <c r="D161" s="16">
        <f>D160*(1+('PV IN'!$G$6/12))</f>
        <v>7.5999999999999998E-2</v>
      </c>
      <c r="E161" s="16">
        <f>LkUP!$U$34</f>
        <v>8.1291473042801335E-2</v>
      </c>
      <c r="F161" s="16">
        <f>IF('PV IN'!$D$7="Table",E161,D161)</f>
        <v>8.1291473042801335E-2</v>
      </c>
      <c r="G161" s="33">
        <f>('PV IN'!$E$25*'PV IN'!$E$18/12)*(1-(1-'PV IN'!$E$27)/(25*12))^C160</f>
        <v>137432.09134304576</v>
      </c>
      <c r="H161" s="33">
        <f>IF('PV IN'!$D$19="YES",G161*'PV IN'!$E$21,0)</f>
        <v>0</v>
      </c>
      <c r="I161" s="33">
        <f>IF('PV IN'!$D$19="YES",'PV IN'!$E$22*BattCalcs!W161,0)</f>
        <v>0</v>
      </c>
      <c r="J161" s="33">
        <f>IF('PV IN'!$D$19="YES",'PV IN'!$E$23*BattCalcs!Y161,0)</f>
        <v>0</v>
      </c>
      <c r="K161" s="33">
        <f>BattCalcs!AF161</f>
        <v>25811.765833333331</v>
      </c>
      <c r="L161" s="33">
        <f t="shared" si="47"/>
        <v>25811.765833333331</v>
      </c>
      <c r="M161" s="33">
        <f>IF('PV IN'!$F$4="PV Only",G161,G161-SUM(H161:J161,L161))</f>
        <v>137432.09134304576</v>
      </c>
      <c r="N161" s="2">
        <f>IF(C161&lt;='PV IN'!$I$12*12,'PV IN'!$E$12*G161/1000,0)</f>
        <v>0</v>
      </c>
      <c r="O161" s="2">
        <f>IF(AND(C161&gt;'PV IN'!$I$12*12,C161&lt;='PV IN'!$I$13*12+'PV IN'!$I$12*12),'PV IN'!$E$13*PVCalcs!G161/1000,0)</f>
        <v>0</v>
      </c>
      <c r="P161" s="2">
        <f>IF(AND(C161&gt;'PV IN'!$I$12*12+'PV IN'!$I$13*12,C161&lt;='PV IN'!$I$12*12+'PV IN'!$I$13*12+'PV IN'!$I$14*12),'PV IN'!$E$14*PVCalcs!G161/1000,0)</f>
        <v>1786.6171874595948</v>
      </c>
      <c r="R161" s="10">
        <f>IF(AND('PV IN'!$D$35="YES",$C161&lt;='PV IN'!$E$35*12),-'PV IN'!$E$18*'PV IN'!$E$34/12,0)</f>
        <v>0</v>
      </c>
      <c r="S161" s="10">
        <f>IF(AND('PV IN'!$D$37="YES",$C161&lt;='PV IN'!$E$37*12),-'PV IN'!$E$18*'PV IN'!$E$36/12,0)</f>
        <v>0</v>
      </c>
      <c r="U161" s="2">
        <f t="shared" si="48"/>
        <v>11172.057148629016</v>
      </c>
      <c r="V161" s="10">
        <f>PVLoan!M188</f>
        <v>0</v>
      </c>
      <c r="W161" s="2">
        <f>IF(C161='PV IN'!$I$40,IF('PV IN'!$G$40="Non-Taxable",'PV IN'!$F$40,0),0)+IF(C161='PV IN'!$I$41,IF('PV IN'!$G$41="Non-Taxable",'PV IN'!$F$41,0),0)</f>
        <v>0</v>
      </c>
      <c r="X161" s="10"/>
      <c r="Y161" s="10">
        <f>IF('PV IN'!$E$15="Non-Taxable",SUM(N161:P161),0)</f>
        <v>1786.6171874595948</v>
      </c>
      <c r="Z161" s="10">
        <f>IF('PV IN'!$E$15="Taxable",SUM(N161:P161),0)</f>
        <v>0</v>
      </c>
      <c r="AA161" s="2">
        <f>IF(C161='PV IN'!$I$40,IF('PV IN'!$G$40="Taxable",'PV IN'!$F$40,0),0)+IF(C161='PV IN'!$I$41,IF('PV IN'!$G$41="Taxable",'PV IN'!$F$41,0),0)</f>
        <v>0</v>
      </c>
      <c r="AD161" s="10">
        <f>IF('PV IN'!$D$48="YES",-U161*'PV IN'!$E$8,0)</f>
        <v>0</v>
      </c>
      <c r="AE161" s="10">
        <f>IF('PV IN'!$N$10="Yes",-PVLoan!H189,-PVLoan!L189)</f>
        <v>0</v>
      </c>
      <c r="AF161" s="10">
        <f>IF('PV IN'!$N$10="Yes",-PVLoan!F189,0)</f>
        <v>0</v>
      </c>
      <c r="AG161" s="10">
        <f>IF(AND('PV IN'!$D$35="YES",$C161&lt;='PV IN'!$E$35*12),0,-'PV IN'!$E$18*'PV IN'!$E$34/12)</f>
        <v>-750</v>
      </c>
      <c r="AH161" s="10">
        <f>IF(AND('PV IN'!$D$37="YES",$C161&lt;='PV IN'!$E$37*12),0,-'PV IN'!$E$18*'PV IN'!$E$36/12)</f>
        <v>-625</v>
      </c>
      <c r="AI161" s="2">
        <f>IF(AND('PV IN'!$D$33="YES",PVCalcs!C161=ROUNDUP('PV IN'!$H$33*12,)),-'PV IN'!$E$33*'PV IN'!$E$18,0)</f>
        <v>0</v>
      </c>
      <c r="AK161" s="2">
        <f t="shared" si="33"/>
        <v>12958.67433608861</v>
      </c>
      <c r="AL161" s="2">
        <f t="shared" si="34"/>
        <v>-1375</v>
      </c>
      <c r="AM161" s="2">
        <f t="shared" si="38"/>
        <v>11583.67433608861</v>
      </c>
      <c r="AN161" s="43"/>
      <c r="AO161" s="2">
        <f t="shared" si="35"/>
        <v>0</v>
      </c>
      <c r="AP161" s="2">
        <f t="shared" si="39"/>
        <v>-1375</v>
      </c>
      <c r="AR161" s="2">
        <f t="shared" si="40"/>
        <v>-1375</v>
      </c>
      <c r="AS161" s="2">
        <f>-AR161*'PV IN'!$E$8</f>
        <v>288.75</v>
      </c>
      <c r="AT161" s="2">
        <f>IF('PV IN'!$F$4="Battery Only",0,AM161+AS161)</f>
        <v>11872.42433608861</v>
      </c>
      <c r="AV161" s="10">
        <f t="shared" si="41"/>
        <v>683684.68141504494</v>
      </c>
      <c r="AW161" s="2">
        <f>AT161/(1+('PV IN'!$G$9))^(C161)</f>
        <v>6270.6526940685835</v>
      </c>
      <c r="AX161" s="2">
        <f>IF(C161&lt;='PV IN'!$O$22*12,AW161+AX160,NA())</f>
        <v>128200.03676515611</v>
      </c>
      <c r="AZ161" s="10">
        <f t="shared" si="36"/>
        <v>-1375</v>
      </c>
      <c r="BA161" s="10">
        <f t="shared" si="37"/>
        <v>1786.6171874595948</v>
      </c>
      <c r="BB161" s="10">
        <f t="shared" si="42"/>
        <v>411.61718745959479</v>
      </c>
      <c r="BC161" s="10">
        <f t="shared" si="43"/>
        <v>0</v>
      </c>
      <c r="BD161" s="10">
        <f t="shared" si="44"/>
        <v>-1375</v>
      </c>
      <c r="BE161" s="2">
        <f t="shared" si="45"/>
        <v>0</v>
      </c>
      <c r="BF161" s="10">
        <f t="shared" si="46"/>
        <v>-1375</v>
      </c>
      <c r="BG161" s="2">
        <f>-BF161*'PV IN'!$E$8</f>
        <v>288.75</v>
      </c>
      <c r="BH161" s="2">
        <f>IF('PV IN'!$F$4="Battery Only",0,BB161+BG161)</f>
        <v>700.36718745959479</v>
      </c>
      <c r="BI161" s="2">
        <f>BH161/(1+('PV IN'!$G$9))^(C161)</f>
        <v>369.91260306718596</v>
      </c>
    </row>
    <row r="162" spans="2:61" x14ac:dyDescent="0.25">
      <c r="C162">
        <v>158</v>
      </c>
      <c r="D162" s="16">
        <f>D161*(1+('PV IN'!$G$6/12))</f>
        <v>7.5999999999999998E-2</v>
      </c>
      <c r="E162" s="16">
        <f>LkUP!$U$34</f>
        <v>8.1291473042801335E-2</v>
      </c>
      <c r="F162" s="16">
        <f>IF('PV IN'!$D$7="Table",E162,D162)</f>
        <v>8.1291473042801335E-2</v>
      </c>
      <c r="G162" s="33">
        <f>('PV IN'!$E$25*'PV IN'!$E$18/12)*(1-(1-'PV IN'!$E$27)/(25*12))^C161</f>
        <v>137340.46994881704</v>
      </c>
      <c r="H162" s="33">
        <f>IF('PV IN'!$D$19="YES",G162*'PV IN'!$E$21,0)</f>
        <v>0</v>
      </c>
      <c r="I162" s="33">
        <f>IF('PV IN'!$D$19="YES",'PV IN'!$E$22*BattCalcs!W162,0)</f>
        <v>0</v>
      </c>
      <c r="J162" s="33">
        <f>IF('PV IN'!$D$19="YES",'PV IN'!$E$23*BattCalcs!Y162,0)</f>
        <v>0</v>
      </c>
      <c r="K162" s="33">
        <f>BattCalcs!AF162</f>
        <v>25811.765833333331</v>
      </c>
      <c r="L162" s="33">
        <f t="shared" si="47"/>
        <v>25811.765833333331</v>
      </c>
      <c r="M162" s="33">
        <f>IF('PV IN'!$F$4="PV Only",G162,G162-SUM(H162:J162,L162))</f>
        <v>137340.46994881704</v>
      </c>
      <c r="N162" s="2">
        <f>IF(C162&lt;='PV IN'!$I$12*12,'PV IN'!$E$12*G162/1000,0)</f>
        <v>0</v>
      </c>
      <c r="O162" s="2">
        <f>IF(AND(C162&gt;'PV IN'!$I$12*12,C162&lt;='PV IN'!$I$13*12+'PV IN'!$I$12*12),'PV IN'!$E$13*PVCalcs!G162/1000,0)</f>
        <v>0</v>
      </c>
      <c r="P162" s="2">
        <f>IF(AND(C162&gt;'PV IN'!$I$12*12+'PV IN'!$I$13*12,C162&lt;='PV IN'!$I$12*12+'PV IN'!$I$13*12+'PV IN'!$I$14*12),'PV IN'!$E$14*PVCalcs!G162/1000,0)</f>
        <v>1785.4261093346215</v>
      </c>
      <c r="R162" s="10">
        <f>IF(AND('PV IN'!$D$35="YES",$C162&lt;='PV IN'!$E$35*12),-'PV IN'!$E$18*'PV IN'!$E$34/12,0)</f>
        <v>0</v>
      </c>
      <c r="S162" s="10">
        <f>IF(AND('PV IN'!$D$37="YES",$C162&lt;='PV IN'!$E$37*12),-'PV IN'!$E$18*'PV IN'!$E$36/12,0)</f>
        <v>0</v>
      </c>
      <c r="U162" s="2">
        <f t="shared" si="48"/>
        <v>11164.609110529927</v>
      </c>
      <c r="V162" s="10">
        <f>PVLoan!M189</f>
        <v>0</v>
      </c>
      <c r="W162" s="2">
        <f>IF(C162='PV IN'!$I$40,IF('PV IN'!$G$40="Non-Taxable",'PV IN'!$F$40,0),0)+IF(C162='PV IN'!$I$41,IF('PV IN'!$G$41="Non-Taxable",'PV IN'!$F$41,0),0)</f>
        <v>0</v>
      </c>
      <c r="X162" s="10"/>
      <c r="Y162" s="10">
        <f>IF('PV IN'!$E$15="Non-Taxable",SUM(N162:P162),0)</f>
        <v>1785.4261093346215</v>
      </c>
      <c r="Z162" s="10">
        <f>IF('PV IN'!$E$15="Taxable",SUM(N162:P162),0)</f>
        <v>0</v>
      </c>
      <c r="AA162" s="2">
        <f>IF(C162='PV IN'!$I$40,IF('PV IN'!$G$40="Taxable",'PV IN'!$F$40,0),0)+IF(C162='PV IN'!$I$41,IF('PV IN'!$G$41="Taxable",'PV IN'!$F$41,0),0)</f>
        <v>0</v>
      </c>
      <c r="AD162" s="10">
        <f>IF('PV IN'!$D$48="YES",-U162*'PV IN'!$E$8,0)</f>
        <v>0</v>
      </c>
      <c r="AE162" s="10">
        <f>IF('PV IN'!$N$10="Yes",-PVLoan!H190,-PVLoan!L190)</f>
        <v>0</v>
      </c>
      <c r="AF162" s="10">
        <f>IF('PV IN'!$N$10="Yes",-PVLoan!F190,0)</f>
        <v>0</v>
      </c>
      <c r="AG162" s="10">
        <f>IF(AND('PV IN'!$D$35="YES",$C162&lt;='PV IN'!$E$35*12),0,-'PV IN'!$E$18*'PV IN'!$E$34/12)</f>
        <v>-750</v>
      </c>
      <c r="AH162" s="10">
        <f>IF(AND('PV IN'!$D$37="YES",$C162&lt;='PV IN'!$E$37*12),0,-'PV IN'!$E$18*'PV IN'!$E$36/12)</f>
        <v>-625</v>
      </c>
      <c r="AI162" s="2">
        <f>IF(AND('PV IN'!$D$33="YES",PVCalcs!C162=ROUNDUP('PV IN'!$H$33*12,)),-'PV IN'!$E$33*'PV IN'!$E$18,0)</f>
        <v>0</v>
      </c>
      <c r="AK162" s="2">
        <f t="shared" si="33"/>
        <v>12950.035219864549</v>
      </c>
      <c r="AL162" s="2">
        <f t="shared" si="34"/>
        <v>-1375</v>
      </c>
      <c r="AM162" s="2">
        <f t="shared" si="38"/>
        <v>11575.035219864549</v>
      </c>
      <c r="AN162" s="43"/>
      <c r="AO162" s="2">
        <f t="shared" si="35"/>
        <v>0</v>
      </c>
      <c r="AP162" s="2">
        <f t="shared" si="39"/>
        <v>-1375</v>
      </c>
      <c r="AR162" s="2">
        <f t="shared" si="40"/>
        <v>-1375</v>
      </c>
      <c r="AS162" s="2">
        <f>-AR162*'PV IN'!$E$8</f>
        <v>288.75</v>
      </c>
      <c r="AT162" s="2">
        <f>IF('PV IN'!$F$4="Battery Only",0,AM162+AS162)</f>
        <v>11863.785219864549</v>
      </c>
      <c r="AV162" s="10">
        <f t="shared" si="41"/>
        <v>695548.46663490951</v>
      </c>
      <c r="AW162" s="2">
        <f>AT162/(1+('PV IN'!$G$9))^(C162)</f>
        <v>6240.6645363631969</v>
      </c>
      <c r="AX162" s="2">
        <f>IF(C162&lt;='PV IN'!$O$22*12,AW162+AX161,NA())</f>
        <v>134440.70130151929</v>
      </c>
      <c r="AZ162" s="10">
        <f t="shared" si="36"/>
        <v>-1375</v>
      </c>
      <c r="BA162" s="10">
        <f t="shared" si="37"/>
        <v>1785.4261093346213</v>
      </c>
      <c r="BB162" s="10">
        <f t="shared" si="42"/>
        <v>410.42610933462129</v>
      </c>
      <c r="BC162" s="10">
        <f t="shared" si="43"/>
        <v>0</v>
      </c>
      <c r="BD162" s="10">
        <f t="shared" si="44"/>
        <v>-1375</v>
      </c>
      <c r="BE162" s="2">
        <f t="shared" si="45"/>
        <v>0</v>
      </c>
      <c r="BF162" s="10">
        <f t="shared" si="46"/>
        <v>-1375</v>
      </c>
      <c r="BG162" s="2">
        <f>-BF162*'PV IN'!$E$8</f>
        <v>288.75</v>
      </c>
      <c r="BH162" s="2">
        <f>IF('PV IN'!$F$4="Battery Only",0,BB162+BG162)</f>
        <v>699.17610933462129</v>
      </c>
      <c r="BI162" s="2">
        <f>BH162/(1+('PV IN'!$G$9))^(C162)</f>
        <v>367.78510983923434</v>
      </c>
    </row>
    <row r="163" spans="2:61" x14ac:dyDescent="0.25">
      <c r="C163">
        <v>159</v>
      </c>
      <c r="D163" s="16">
        <f>D162*(1+('PV IN'!$G$6/12))</f>
        <v>7.5999999999999998E-2</v>
      </c>
      <c r="E163" s="16">
        <f>LkUP!$U$34</f>
        <v>8.1291473042801335E-2</v>
      </c>
      <c r="F163" s="16">
        <f>IF('PV IN'!$D$7="Table",E163,D163)</f>
        <v>8.1291473042801335E-2</v>
      </c>
      <c r="G163" s="33">
        <f>('PV IN'!$E$25*'PV IN'!$E$18/12)*(1-(1-'PV IN'!$E$27)/(25*12))^C162</f>
        <v>137248.90963551783</v>
      </c>
      <c r="H163" s="33">
        <f>IF('PV IN'!$D$19="YES",G163*'PV IN'!$E$21,0)</f>
        <v>0</v>
      </c>
      <c r="I163" s="33">
        <f>IF('PV IN'!$D$19="YES",'PV IN'!$E$22*BattCalcs!W163,0)</f>
        <v>0</v>
      </c>
      <c r="J163" s="33">
        <f>IF('PV IN'!$D$19="YES",'PV IN'!$E$23*BattCalcs!Y163,0)</f>
        <v>0</v>
      </c>
      <c r="K163" s="33">
        <f>BattCalcs!AF163</f>
        <v>25811.765833333331</v>
      </c>
      <c r="L163" s="33">
        <f t="shared" si="47"/>
        <v>25811.765833333331</v>
      </c>
      <c r="M163" s="33">
        <f>IF('PV IN'!$F$4="PV Only",G163,G163-SUM(H163:J163,L163))</f>
        <v>137248.90963551783</v>
      </c>
      <c r="N163" s="2">
        <f>IF(C163&lt;='PV IN'!$I$12*12,'PV IN'!$E$12*G163/1000,0)</f>
        <v>0</v>
      </c>
      <c r="O163" s="2">
        <f>IF(AND(C163&gt;'PV IN'!$I$12*12,C163&lt;='PV IN'!$I$13*12+'PV IN'!$I$12*12),'PV IN'!$E$13*PVCalcs!G163/1000,0)</f>
        <v>0</v>
      </c>
      <c r="P163" s="2">
        <f>IF(AND(C163&gt;'PV IN'!$I$12*12+'PV IN'!$I$13*12,C163&lt;='PV IN'!$I$12*12+'PV IN'!$I$13*12+'PV IN'!$I$14*12),'PV IN'!$E$14*PVCalcs!G163/1000,0)</f>
        <v>1784.2358252617319</v>
      </c>
      <c r="R163" s="10">
        <f>IF(AND('PV IN'!$D$35="YES",$C163&lt;='PV IN'!$E$35*12),-'PV IN'!$E$18*'PV IN'!$E$34/12,0)</f>
        <v>0</v>
      </c>
      <c r="S163" s="10">
        <f>IF(AND('PV IN'!$D$37="YES",$C163&lt;='PV IN'!$E$37*12),-'PV IN'!$E$18*'PV IN'!$E$36/12,0)</f>
        <v>0</v>
      </c>
      <c r="U163" s="2">
        <f t="shared" si="48"/>
        <v>11157.166037789575</v>
      </c>
      <c r="V163" s="10">
        <f>PVLoan!M190</f>
        <v>0</v>
      </c>
      <c r="W163" s="2">
        <f>IF(C163='PV IN'!$I$40,IF('PV IN'!$G$40="Non-Taxable",'PV IN'!$F$40,0),0)+IF(C163='PV IN'!$I$41,IF('PV IN'!$G$41="Non-Taxable",'PV IN'!$F$41,0),0)</f>
        <v>0</v>
      </c>
      <c r="X163" s="10"/>
      <c r="Y163" s="10">
        <f>IF('PV IN'!$E$15="Non-Taxable",SUM(N163:P163),0)</f>
        <v>1784.2358252617319</v>
      </c>
      <c r="Z163" s="10">
        <f>IF('PV IN'!$E$15="Taxable",SUM(N163:P163),0)</f>
        <v>0</v>
      </c>
      <c r="AA163" s="2">
        <f>IF(C163='PV IN'!$I$40,IF('PV IN'!$G$40="Taxable",'PV IN'!$F$40,0),0)+IF(C163='PV IN'!$I$41,IF('PV IN'!$G$41="Taxable",'PV IN'!$F$41,0),0)</f>
        <v>0</v>
      </c>
      <c r="AD163" s="10">
        <f>IF('PV IN'!$D$48="YES",-U163*'PV IN'!$E$8,0)</f>
        <v>0</v>
      </c>
      <c r="AE163" s="10">
        <f>IF('PV IN'!$N$10="Yes",-PVLoan!H191,-PVLoan!L191)</f>
        <v>0</v>
      </c>
      <c r="AF163" s="10">
        <f>IF('PV IN'!$N$10="Yes",-PVLoan!F191,0)</f>
        <v>0</v>
      </c>
      <c r="AG163" s="10">
        <f>IF(AND('PV IN'!$D$35="YES",$C163&lt;='PV IN'!$E$35*12),0,-'PV IN'!$E$18*'PV IN'!$E$34/12)</f>
        <v>-750</v>
      </c>
      <c r="AH163" s="10">
        <f>IF(AND('PV IN'!$D$37="YES",$C163&lt;='PV IN'!$E$37*12),0,-'PV IN'!$E$18*'PV IN'!$E$36/12)</f>
        <v>-625</v>
      </c>
      <c r="AI163" s="2">
        <f>IF(AND('PV IN'!$D$33="YES",PVCalcs!C163=ROUNDUP('PV IN'!$H$33*12,)),-'PV IN'!$E$33*'PV IN'!$E$18,0)</f>
        <v>0</v>
      </c>
      <c r="AK163" s="2">
        <f t="shared" si="33"/>
        <v>12941.401863051307</v>
      </c>
      <c r="AL163" s="2">
        <f t="shared" si="34"/>
        <v>-1375</v>
      </c>
      <c r="AM163" s="2">
        <f t="shared" si="38"/>
        <v>11566.401863051307</v>
      </c>
      <c r="AN163" s="43"/>
      <c r="AO163" s="2">
        <f t="shared" si="35"/>
        <v>0</v>
      </c>
      <c r="AP163" s="2">
        <f t="shared" si="39"/>
        <v>-1375</v>
      </c>
      <c r="AR163" s="2">
        <f t="shared" si="40"/>
        <v>-1375</v>
      </c>
      <c r="AS163" s="2">
        <f>-AR163*'PV IN'!$E$8</f>
        <v>288.75</v>
      </c>
      <c r="AT163" s="2">
        <f>IF('PV IN'!$F$4="Battery Only",0,AM163+AS163)</f>
        <v>11855.151863051307</v>
      </c>
      <c r="AV163" s="10">
        <f t="shared" si="41"/>
        <v>707403.61849796085</v>
      </c>
      <c r="AW163" s="2">
        <f>AT163/(1+('PV IN'!$G$9))^(C163)</f>
        <v>6210.8195150334177</v>
      </c>
      <c r="AX163" s="2">
        <f>IF(C163&lt;='PV IN'!$O$22*12,AW163+AX162,NA())</f>
        <v>140651.52081655271</v>
      </c>
      <c r="AZ163" s="10">
        <f t="shared" si="36"/>
        <v>-1375</v>
      </c>
      <c r="BA163" s="10">
        <f t="shared" si="37"/>
        <v>1784.2358252617323</v>
      </c>
      <c r="BB163" s="10">
        <f t="shared" si="42"/>
        <v>409.23582526173232</v>
      </c>
      <c r="BC163" s="10">
        <f t="shared" si="43"/>
        <v>0</v>
      </c>
      <c r="BD163" s="10">
        <f t="shared" si="44"/>
        <v>-1375</v>
      </c>
      <c r="BE163" s="2">
        <f t="shared" si="45"/>
        <v>0</v>
      </c>
      <c r="BF163" s="10">
        <f t="shared" si="46"/>
        <v>-1375</v>
      </c>
      <c r="BG163" s="2">
        <f>-BF163*'PV IN'!$E$8</f>
        <v>288.75</v>
      </c>
      <c r="BH163" s="2">
        <f>IF('PV IN'!$F$4="Battery Only",0,BB163+BG163)</f>
        <v>697.98582526173232</v>
      </c>
      <c r="BI163" s="2">
        <f>BH163/(1+('PV IN'!$G$9))^(C163)</f>
        <v>365.66920734801141</v>
      </c>
    </row>
    <row r="164" spans="2:61" x14ac:dyDescent="0.25">
      <c r="C164">
        <v>160</v>
      </c>
      <c r="D164" s="16">
        <f>D163*(1+('PV IN'!$G$6/12))</f>
        <v>7.5999999999999998E-2</v>
      </c>
      <c r="E164" s="16">
        <f>LkUP!$U$34</f>
        <v>8.1291473042801335E-2</v>
      </c>
      <c r="F164" s="16">
        <f>IF('PV IN'!$D$7="Table",E164,D164)</f>
        <v>8.1291473042801335E-2</v>
      </c>
      <c r="G164" s="33">
        <f>('PV IN'!$E$25*'PV IN'!$E$18/12)*(1-(1-'PV IN'!$E$27)/(25*12))^C163</f>
        <v>137157.4103624275</v>
      </c>
      <c r="H164" s="33">
        <f>IF('PV IN'!$D$19="YES",G164*'PV IN'!$E$21,0)</f>
        <v>0</v>
      </c>
      <c r="I164" s="33">
        <f>IF('PV IN'!$D$19="YES",'PV IN'!$E$22*BattCalcs!W164,0)</f>
        <v>0</v>
      </c>
      <c r="J164" s="33">
        <f>IF('PV IN'!$D$19="YES",'PV IN'!$E$23*BattCalcs!Y164,0)</f>
        <v>0</v>
      </c>
      <c r="K164" s="33">
        <f>BattCalcs!AF164</f>
        <v>25811.765833333331</v>
      </c>
      <c r="L164" s="33">
        <f t="shared" si="47"/>
        <v>25811.765833333331</v>
      </c>
      <c r="M164" s="33">
        <f>IF('PV IN'!$F$4="PV Only",G164,G164-SUM(H164:J164,L164))</f>
        <v>137157.4103624275</v>
      </c>
      <c r="N164" s="2">
        <f>IF(C164&lt;='PV IN'!$I$12*12,'PV IN'!$E$12*G164/1000,0)</f>
        <v>0</v>
      </c>
      <c r="O164" s="2">
        <f>IF(AND(C164&gt;'PV IN'!$I$12*12,C164&lt;='PV IN'!$I$13*12+'PV IN'!$I$12*12),'PV IN'!$E$13*PVCalcs!G164/1000,0)</f>
        <v>0</v>
      </c>
      <c r="P164" s="2">
        <f>IF(AND(C164&gt;'PV IN'!$I$12*12+'PV IN'!$I$13*12,C164&lt;='PV IN'!$I$12*12+'PV IN'!$I$13*12+'PV IN'!$I$14*12),'PV IN'!$E$14*PVCalcs!G164/1000,0)</f>
        <v>1783.0463347115574</v>
      </c>
      <c r="R164" s="10">
        <f>IF(AND('PV IN'!$D$35="YES",$C164&lt;='PV IN'!$E$35*12),-'PV IN'!$E$18*'PV IN'!$E$34/12,0)</f>
        <v>0</v>
      </c>
      <c r="S164" s="10">
        <f>IF(AND('PV IN'!$D$37="YES",$C164&lt;='PV IN'!$E$37*12),-'PV IN'!$E$18*'PV IN'!$E$36/12,0)</f>
        <v>0</v>
      </c>
      <c r="U164" s="2">
        <f t="shared" si="48"/>
        <v>11149.727927097716</v>
      </c>
      <c r="V164" s="10">
        <f>PVLoan!M191</f>
        <v>0</v>
      </c>
      <c r="W164" s="2">
        <f>IF(C164='PV IN'!$I$40,IF('PV IN'!$G$40="Non-Taxable",'PV IN'!$F$40,0),0)+IF(C164='PV IN'!$I$41,IF('PV IN'!$G$41="Non-Taxable",'PV IN'!$F$41,0),0)</f>
        <v>0</v>
      </c>
      <c r="X164" s="10"/>
      <c r="Y164" s="10">
        <f>IF('PV IN'!$E$15="Non-Taxable",SUM(N164:P164),0)</f>
        <v>1783.0463347115574</v>
      </c>
      <c r="Z164" s="10">
        <f>IF('PV IN'!$E$15="Taxable",SUM(N164:P164),0)</f>
        <v>0</v>
      </c>
      <c r="AA164" s="2">
        <f>IF(C164='PV IN'!$I$40,IF('PV IN'!$G$40="Taxable",'PV IN'!$F$40,0),0)+IF(C164='PV IN'!$I$41,IF('PV IN'!$G$41="Taxable",'PV IN'!$F$41,0),0)</f>
        <v>0</v>
      </c>
      <c r="AD164" s="10">
        <f>IF('PV IN'!$D$48="YES",-U164*'PV IN'!$E$8,0)</f>
        <v>0</v>
      </c>
      <c r="AE164" s="10">
        <f>IF('PV IN'!$N$10="Yes",-PVLoan!H192,-PVLoan!L192)</f>
        <v>0</v>
      </c>
      <c r="AF164" s="10">
        <f>IF('PV IN'!$N$10="Yes",-PVLoan!F192,0)</f>
        <v>0</v>
      </c>
      <c r="AG164" s="10">
        <f>IF(AND('PV IN'!$D$35="YES",$C164&lt;='PV IN'!$E$35*12),0,-'PV IN'!$E$18*'PV IN'!$E$34/12)</f>
        <v>-750</v>
      </c>
      <c r="AH164" s="10">
        <f>IF(AND('PV IN'!$D$37="YES",$C164&lt;='PV IN'!$E$37*12),0,-'PV IN'!$E$18*'PV IN'!$E$36/12)</f>
        <v>-625</v>
      </c>
      <c r="AI164" s="2">
        <f>IF(AND('PV IN'!$D$33="YES",PVCalcs!C164=ROUNDUP('PV IN'!$H$33*12,)),-'PV IN'!$E$33*'PV IN'!$E$18,0)</f>
        <v>0</v>
      </c>
      <c r="AK164" s="2">
        <f t="shared" si="33"/>
        <v>12932.774261809274</v>
      </c>
      <c r="AL164" s="2">
        <f t="shared" si="34"/>
        <v>-1375</v>
      </c>
      <c r="AM164" s="2">
        <f t="shared" si="38"/>
        <v>11557.774261809274</v>
      </c>
      <c r="AN164" s="43"/>
      <c r="AO164" s="2">
        <f t="shared" si="35"/>
        <v>0</v>
      </c>
      <c r="AP164" s="2">
        <f t="shared" si="39"/>
        <v>-1375</v>
      </c>
      <c r="AR164" s="2">
        <f t="shared" si="40"/>
        <v>-1375</v>
      </c>
      <c r="AS164" s="2">
        <f>-AR164*'PV IN'!$E$8</f>
        <v>288.75</v>
      </c>
      <c r="AT164" s="2">
        <f>IF('PV IN'!$F$4="Battery Only",0,AM164+AS164)</f>
        <v>11846.524261809274</v>
      </c>
      <c r="AV164" s="10">
        <f t="shared" si="41"/>
        <v>719250.14275977015</v>
      </c>
      <c r="AW164" s="2">
        <f>AT164/(1+('PV IN'!$G$9))^(C164)</f>
        <v>6181.1169479814134</v>
      </c>
      <c r="AX164" s="2">
        <f>IF(C164&lt;='PV IN'!$O$22*12,AW164+AX163,NA())</f>
        <v>146832.63776453413</v>
      </c>
      <c r="AZ164" s="10">
        <f t="shared" si="36"/>
        <v>-1375</v>
      </c>
      <c r="BA164" s="10">
        <f t="shared" si="37"/>
        <v>1783.0463347115583</v>
      </c>
      <c r="BB164" s="10">
        <f t="shared" si="42"/>
        <v>408.0463347115583</v>
      </c>
      <c r="BC164" s="10">
        <f t="shared" si="43"/>
        <v>0</v>
      </c>
      <c r="BD164" s="10">
        <f t="shared" si="44"/>
        <v>-1375</v>
      </c>
      <c r="BE164" s="2">
        <f t="shared" si="45"/>
        <v>0</v>
      </c>
      <c r="BF164" s="10">
        <f t="shared" si="46"/>
        <v>-1375</v>
      </c>
      <c r="BG164" s="2">
        <f>-BF164*'PV IN'!$E$8</f>
        <v>288.75</v>
      </c>
      <c r="BH164" s="2">
        <f>IF('PV IN'!$F$4="Battery Only",0,BB164+BG164)</f>
        <v>696.7963347115583</v>
      </c>
      <c r="BI164" s="2">
        <f>BH164/(1+('PV IN'!$G$9))^(C164)</f>
        <v>363.5648345955571</v>
      </c>
    </row>
    <row r="165" spans="2:61" x14ac:dyDescent="0.25">
      <c r="C165">
        <v>161</v>
      </c>
      <c r="D165" s="16">
        <f>D164*(1+('PV IN'!$G$6/12))</f>
        <v>7.5999999999999998E-2</v>
      </c>
      <c r="E165" s="16">
        <f>LkUP!$U$34</f>
        <v>8.1291473042801335E-2</v>
      </c>
      <c r="F165" s="16">
        <f>IF('PV IN'!$D$7="Table",E165,D165)</f>
        <v>8.1291473042801335E-2</v>
      </c>
      <c r="G165" s="33">
        <f>('PV IN'!$E$25*'PV IN'!$E$18/12)*(1-(1-'PV IN'!$E$27)/(25*12))^C164</f>
        <v>137065.97208885252</v>
      </c>
      <c r="H165" s="33">
        <f>IF('PV IN'!$D$19="YES",G165*'PV IN'!$E$21,0)</f>
        <v>0</v>
      </c>
      <c r="I165" s="33">
        <f>IF('PV IN'!$D$19="YES",'PV IN'!$E$22*BattCalcs!W165,0)</f>
        <v>0</v>
      </c>
      <c r="J165" s="33">
        <f>IF('PV IN'!$D$19="YES",'PV IN'!$E$23*BattCalcs!Y165,0)</f>
        <v>0</v>
      </c>
      <c r="K165" s="33">
        <f>BattCalcs!AF165</f>
        <v>25811.765833333331</v>
      </c>
      <c r="L165" s="33">
        <f t="shared" si="47"/>
        <v>25811.765833333331</v>
      </c>
      <c r="M165" s="33">
        <f>IF('PV IN'!$F$4="PV Only",G165,G165-SUM(H165:J165,L165))</f>
        <v>137065.97208885252</v>
      </c>
      <c r="N165" s="2">
        <f>IF(C165&lt;='PV IN'!$I$12*12,'PV IN'!$E$12*G165/1000,0)</f>
        <v>0</v>
      </c>
      <c r="O165" s="2">
        <f>IF(AND(C165&gt;'PV IN'!$I$12*12,C165&lt;='PV IN'!$I$13*12+'PV IN'!$I$12*12),'PV IN'!$E$13*PVCalcs!G165/1000,0)</f>
        <v>0</v>
      </c>
      <c r="P165" s="2">
        <f>IF(AND(C165&gt;'PV IN'!$I$12*12+'PV IN'!$I$13*12,C165&lt;='PV IN'!$I$12*12+'PV IN'!$I$13*12+'PV IN'!$I$14*12),'PV IN'!$E$14*PVCalcs!G165/1000,0)</f>
        <v>1781.8576371550828</v>
      </c>
      <c r="R165" s="10">
        <f>IF(AND('PV IN'!$D$35="YES",$C165&lt;='PV IN'!$E$35*12),-'PV IN'!$E$18*'PV IN'!$E$34/12,0)</f>
        <v>0</v>
      </c>
      <c r="S165" s="10">
        <f>IF(AND('PV IN'!$D$37="YES",$C165&lt;='PV IN'!$E$37*12),-'PV IN'!$E$18*'PV IN'!$E$36/12,0)</f>
        <v>0</v>
      </c>
      <c r="U165" s="2">
        <f t="shared" si="48"/>
        <v>11142.294775146314</v>
      </c>
      <c r="V165" s="10">
        <f>PVLoan!M192</f>
        <v>0</v>
      </c>
      <c r="W165" s="2">
        <f>IF(C165='PV IN'!$I$40,IF('PV IN'!$G$40="Non-Taxable",'PV IN'!$F$40,0),0)+IF(C165='PV IN'!$I$41,IF('PV IN'!$G$41="Non-Taxable",'PV IN'!$F$41,0),0)</f>
        <v>0</v>
      </c>
      <c r="X165" s="10"/>
      <c r="Y165" s="10">
        <f>IF('PV IN'!$E$15="Non-Taxable",SUM(N165:P165),0)</f>
        <v>1781.8576371550828</v>
      </c>
      <c r="Z165" s="10">
        <f>IF('PV IN'!$E$15="Taxable",SUM(N165:P165),0)</f>
        <v>0</v>
      </c>
      <c r="AA165" s="2">
        <f>IF(C165='PV IN'!$I$40,IF('PV IN'!$G$40="Taxable",'PV IN'!$F$40,0),0)+IF(C165='PV IN'!$I$41,IF('PV IN'!$G$41="Taxable",'PV IN'!$F$41,0),0)</f>
        <v>0</v>
      </c>
      <c r="AD165" s="10">
        <f>IF('PV IN'!$D$48="YES",-U165*'PV IN'!$E$8,0)</f>
        <v>0</v>
      </c>
      <c r="AE165" s="10">
        <f>IF('PV IN'!$N$10="Yes",-PVLoan!H193,-PVLoan!L193)</f>
        <v>0</v>
      </c>
      <c r="AF165" s="10">
        <f>IF('PV IN'!$N$10="Yes",-PVLoan!F193,0)</f>
        <v>0</v>
      </c>
      <c r="AG165" s="10">
        <f>IF(AND('PV IN'!$D$35="YES",$C165&lt;='PV IN'!$E$35*12),0,-'PV IN'!$E$18*'PV IN'!$E$34/12)</f>
        <v>-750</v>
      </c>
      <c r="AH165" s="10">
        <f>IF(AND('PV IN'!$D$37="YES",$C165&lt;='PV IN'!$E$37*12),0,-'PV IN'!$E$18*'PV IN'!$E$36/12)</f>
        <v>-625</v>
      </c>
      <c r="AI165" s="2">
        <f>IF(AND('PV IN'!$D$33="YES",PVCalcs!C165=ROUNDUP('PV IN'!$H$33*12,)),-'PV IN'!$E$33*'PV IN'!$E$18,0)</f>
        <v>0</v>
      </c>
      <c r="AK165" s="2">
        <f t="shared" si="33"/>
        <v>12924.152412301397</v>
      </c>
      <c r="AL165" s="2">
        <f t="shared" si="34"/>
        <v>-1375</v>
      </c>
      <c r="AM165" s="2">
        <f t="shared" si="38"/>
        <v>11549.152412301397</v>
      </c>
      <c r="AN165" s="43"/>
      <c r="AO165" s="2">
        <f t="shared" si="35"/>
        <v>0</v>
      </c>
      <c r="AP165" s="2">
        <f t="shared" si="39"/>
        <v>-1375</v>
      </c>
      <c r="AR165" s="2">
        <f t="shared" si="40"/>
        <v>-1375</v>
      </c>
      <c r="AS165" s="2">
        <f>-AR165*'PV IN'!$E$8</f>
        <v>288.75</v>
      </c>
      <c r="AT165" s="2">
        <f>IF('PV IN'!$F$4="Battery Only",0,AM165+AS165)</f>
        <v>11837.902412301397</v>
      </c>
      <c r="AV165" s="10">
        <f t="shared" si="41"/>
        <v>731088.04517207155</v>
      </c>
      <c r="AW165" s="2">
        <f>AT165/(1+('PV IN'!$G$9))^(C165)</f>
        <v>6151.5561563553629</v>
      </c>
      <c r="AX165" s="2">
        <f>IF(C165&lt;='PV IN'!$O$22*12,AW165+AX164,NA())</f>
        <v>152984.19392088949</v>
      </c>
      <c r="AZ165" s="10">
        <f t="shared" si="36"/>
        <v>-1375</v>
      </c>
      <c r="BA165" s="10">
        <f t="shared" si="37"/>
        <v>1781.8576371550826</v>
      </c>
      <c r="BB165" s="10">
        <f t="shared" si="42"/>
        <v>406.85763715508256</v>
      </c>
      <c r="BC165" s="10">
        <f t="shared" si="43"/>
        <v>0</v>
      </c>
      <c r="BD165" s="10">
        <f t="shared" si="44"/>
        <v>-1375</v>
      </c>
      <c r="BE165" s="2">
        <f t="shared" si="45"/>
        <v>0</v>
      </c>
      <c r="BF165" s="10">
        <f t="shared" si="46"/>
        <v>-1375</v>
      </c>
      <c r="BG165" s="2">
        <f>-BF165*'PV IN'!$E$8</f>
        <v>288.75</v>
      </c>
      <c r="BH165" s="2">
        <f>IF('PV IN'!$F$4="Battery Only",0,BB165+BG165)</f>
        <v>695.60763715508256</v>
      </c>
      <c r="BI165" s="2">
        <f>BH165/(1+('PV IN'!$G$9))^(C165)</f>
        <v>361.47193089736453</v>
      </c>
    </row>
    <row r="166" spans="2:61" x14ac:dyDescent="0.25">
      <c r="C166">
        <v>162</v>
      </c>
      <c r="D166" s="16">
        <f>D165*(1+('PV IN'!$G$6/12))</f>
        <v>7.5999999999999998E-2</v>
      </c>
      <c r="E166" s="16">
        <f>LkUP!$U$34</f>
        <v>8.1291473042801335E-2</v>
      </c>
      <c r="F166" s="16">
        <f>IF('PV IN'!$D$7="Table",E166,D166)</f>
        <v>8.1291473042801335E-2</v>
      </c>
      <c r="G166" s="33">
        <f>('PV IN'!$E$25*'PV IN'!$E$18/12)*(1-(1-'PV IN'!$E$27)/(25*12))^C165</f>
        <v>136974.59477412663</v>
      </c>
      <c r="H166" s="33">
        <f>IF('PV IN'!$D$19="YES",G166*'PV IN'!$E$21,0)</f>
        <v>0</v>
      </c>
      <c r="I166" s="33">
        <f>IF('PV IN'!$D$19="YES",'PV IN'!$E$22*BattCalcs!W166,0)</f>
        <v>0</v>
      </c>
      <c r="J166" s="33">
        <f>IF('PV IN'!$D$19="YES",'PV IN'!$E$23*BattCalcs!Y166,0)</f>
        <v>0</v>
      </c>
      <c r="K166" s="33">
        <f>BattCalcs!AF166</f>
        <v>25811.765833333331</v>
      </c>
      <c r="L166" s="33">
        <f t="shared" si="47"/>
        <v>25811.765833333331</v>
      </c>
      <c r="M166" s="33">
        <f>IF('PV IN'!$F$4="PV Only",G166,G166-SUM(H166:J166,L166))</f>
        <v>136974.59477412663</v>
      </c>
      <c r="N166" s="2">
        <f>IF(C166&lt;='PV IN'!$I$12*12,'PV IN'!$E$12*G166/1000,0)</f>
        <v>0</v>
      </c>
      <c r="O166" s="2">
        <f>IF(AND(C166&gt;'PV IN'!$I$12*12,C166&lt;='PV IN'!$I$13*12+'PV IN'!$I$12*12),'PV IN'!$E$13*PVCalcs!G166/1000,0)</f>
        <v>0</v>
      </c>
      <c r="P166" s="2">
        <f>IF(AND(C166&gt;'PV IN'!$I$12*12+'PV IN'!$I$13*12,C166&lt;='PV IN'!$I$12*12+'PV IN'!$I$13*12+'PV IN'!$I$14*12),'PV IN'!$E$14*PVCalcs!G166/1000,0)</f>
        <v>1780.6697320636463</v>
      </c>
      <c r="R166" s="10">
        <f>IF(AND('PV IN'!$D$35="YES",$C166&lt;='PV IN'!$E$35*12),-'PV IN'!$E$18*'PV IN'!$E$34/12,0)</f>
        <v>0</v>
      </c>
      <c r="S166" s="10">
        <f>IF(AND('PV IN'!$D$37="YES",$C166&lt;='PV IN'!$E$37*12),-'PV IN'!$E$18*'PV IN'!$E$36/12,0)</f>
        <v>0</v>
      </c>
      <c r="U166" s="2">
        <f t="shared" si="48"/>
        <v>11134.866578629551</v>
      </c>
      <c r="V166" s="10">
        <f>PVLoan!M193</f>
        <v>0</v>
      </c>
      <c r="W166" s="2">
        <f>IF(C166='PV IN'!$I$40,IF('PV IN'!$G$40="Non-Taxable",'PV IN'!$F$40,0),0)+IF(C166='PV IN'!$I$41,IF('PV IN'!$G$41="Non-Taxable",'PV IN'!$F$41,0),0)</f>
        <v>0</v>
      </c>
      <c r="X166" s="10"/>
      <c r="Y166" s="10">
        <f>IF('PV IN'!$E$15="Non-Taxable",SUM(N166:P166),0)</f>
        <v>1780.6697320636463</v>
      </c>
      <c r="Z166" s="10">
        <f>IF('PV IN'!$E$15="Taxable",SUM(N166:P166),0)</f>
        <v>0</v>
      </c>
      <c r="AA166" s="2">
        <f>IF(C166='PV IN'!$I$40,IF('PV IN'!$G$40="Taxable",'PV IN'!$F$40,0),0)+IF(C166='PV IN'!$I$41,IF('PV IN'!$G$41="Taxable",'PV IN'!$F$41,0),0)</f>
        <v>0</v>
      </c>
      <c r="AD166" s="10">
        <f>IF('PV IN'!$D$48="YES",-U166*'PV IN'!$E$8,0)</f>
        <v>0</v>
      </c>
      <c r="AE166" s="10">
        <f>IF('PV IN'!$N$10="Yes",-PVLoan!H194,-PVLoan!L194)</f>
        <v>0</v>
      </c>
      <c r="AF166" s="10">
        <f>IF('PV IN'!$N$10="Yes",-PVLoan!F194,0)</f>
        <v>0</v>
      </c>
      <c r="AG166" s="10">
        <f>IF(AND('PV IN'!$D$35="YES",$C166&lt;='PV IN'!$E$35*12),0,-'PV IN'!$E$18*'PV IN'!$E$34/12)</f>
        <v>-750</v>
      </c>
      <c r="AH166" s="10">
        <f>IF(AND('PV IN'!$D$37="YES",$C166&lt;='PV IN'!$E$37*12),0,-'PV IN'!$E$18*'PV IN'!$E$36/12)</f>
        <v>-625</v>
      </c>
      <c r="AI166" s="2">
        <f>IF(AND('PV IN'!$D$33="YES",PVCalcs!C166=ROUNDUP('PV IN'!$H$33*12,)),-'PV IN'!$E$33*'PV IN'!$E$18,0)</f>
        <v>0</v>
      </c>
      <c r="AK166" s="2">
        <f t="shared" si="33"/>
        <v>12915.536310693198</v>
      </c>
      <c r="AL166" s="2">
        <f t="shared" si="34"/>
        <v>-1375</v>
      </c>
      <c r="AM166" s="2">
        <f t="shared" si="38"/>
        <v>11540.536310693198</v>
      </c>
      <c r="AN166" s="43"/>
      <c r="AO166" s="2">
        <f t="shared" si="35"/>
        <v>0</v>
      </c>
      <c r="AP166" s="2">
        <f t="shared" si="39"/>
        <v>-1375</v>
      </c>
      <c r="AR166" s="2">
        <f t="shared" si="40"/>
        <v>-1375</v>
      </c>
      <c r="AS166" s="2">
        <f>-AR166*'PV IN'!$E$8</f>
        <v>288.75</v>
      </c>
      <c r="AT166" s="2">
        <f>IF('PV IN'!$F$4="Battery Only",0,AM166+AS166)</f>
        <v>11829.286310693198</v>
      </c>
      <c r="AV166" s="10">
        <f t="shared" si="41"/>
        <v>742917.3314827648</v>
      </c>
      <c r="AW166" s="2">
        <f>AT166/(1+('PV IN'!$G$9))^(C166)</f>
        <v>6122.1364645340309</v>
      </c>
      <c r="AX166" s="2">
        <f>IF(C166&lt;='PV IN'!$O$22*12,AW166+AX165,NA())</f>
        <v>159106.33038542353</v>
      </c>
      <c r="AZ166" s="10">
        <f t="shared" si="36"/>
        <v>-1375</v>
      </c>
      <c r="BA166" s="10">
        <f t="shared" si="37"/>
        <v>1780.6697320636467</v>
      </c>
      <c r="BB166" s="10">
        <f t="shared" si="42"/>
        <v>405.66973206364673</v>
      </c>
      <c r="BC166" s="10">
        <f t="shared" si="43"/>
        <v>0</v>
      </c>
      <c r="BD166" s="10">
        <f t="shared" si="44"/>
        <v>-1375</v>
      </c>
      <c r="BE166" s="2">
        <f t="shared" si="45"/>
        <v>0</v>
      </c>
      <c r="BF166" s="10">
        <f t="shared" si="46"/>
        <v>-1375</v>
      </c>
      <c r="BG166" s="2">
        <f>-BF166*'PV IN'!$E$8</f>
        <v>288.75</v>
      </c>
      <c r="BH166" s="2">
        <f>IF('PV IN'!$F$4="Battery Only",0,BB166+BG166)</f>
        <v>694.41973206364673</v>
      </c>
      <c r="BI166" s="2">
        <f>BH166/(1+('PV IN'!$G$9))^(C166)</f>
        <v>359.39043588079954</v>
      </c>
    </row>
    <row r="167" spans="2:61" x14ac:dyDescent="0.25">
      <c r="C167">
        <v>163</v>
      </c>
      <c r="D167" s="16">
        <f>D166*(1+('PV IN'!$G$6/12))</f>
        <v>7.5999999999999998E-2</v>
      </c>
      <c r="E167" s="16">
        <f>LkUP!$U$34</f>
        <v>8.1291473042801335E-2</v>
      </c>
      <c r="F167" s="16">
        <f>IF('PV IN'!$D$7="Table",E167,D167)</f>
        <v>8.1291473042801335E-2</v>
      </c>
      <c r="G167" s="33">
        <f>('PV IN'!$E$25*'PV IN'!$E$18/12)*(1-(1-'PV IN'!$E$27)/(25*12))^C166</f>
        <v>136883.27837761052</v>
      </c>
      <c r="H167" s="33">
        <f>IF('PV IN'!$D$19="YES",G167*'PV IN'!$E$21,0)</f>
        <v>0</v>
      </c>
      <c r="I167" s="33">
        <f>IF('PV IN'!$D$19="YES",'PV IN'!$E$22*BattCalcs!W167,0)</f>
        <v>0</v>
      </c>
      <c r="J167" s="33">
        <f>IF('PV IN'!$D$19="YES",'PV IN'!$E$23*BattCalcs!Y167,0)</f>
        <v>0</v>
      </c>
      <c r="K167" s="33">
        <f>BattCalcs!AF167</f>
        <v>25811.765833333331</v>
      </c>
      <c r="L167" s="33">
        <f t="shared" si="47"/>
        <v>25811.765833333331</v>
      </c>
      <c r="M167" s="33">
        <f>IF('PV IN'!$F$4="PV Only",G167,G167-SUM(H167:J167,L167))</f>
        <v>136883.27837761052</v>
      </c>
      <c r="N167" s="2">
        <f>IF(C167&lt;='PV IN'!$I$12*12,'PV IN'!$E$12*G167/1000,0)</f>
        <v>0</v>
      </c>
      <c r="O167" s="2">
        <f>IF(AND(C167&gt;'PV IN'!$I$12*12,C167&lt;='PV IN'!$I$13*12+'PV IN'!$I$12*12),'PV IN'!$E$13*PVCalcs!G167/1000,0)</f>
        <v>0</v>
      </c>
      <c r="P167" s="2">
        <f>IF(AND(C167&gt;'PV IN'!$I$12*12+'PV IN'!$I$13*12,C167&lt;='PV IN'!$I$12*12+'PV IN'!$I$13*12+'PV IN'!$I$14*12),'PV IN'!$E$14*PVCalcs!G167/1000,0)</f>
        <v>1779.482618908937</v>
      </c>
      <c r="R167" s="10">
        <f>IF(AND('PV IN'!$D$35="YES",$C167&lt;='PV IN'!$E$35*12),-'PV IN'!$E$18*'PV IN'!$E$34/12,0)</f>
        <v>0</v>
      </c>
      <c r="S167" s="10">
        <f>IF(AND('PV IN'!$D$37="YES",$C167&lt;='PV IN'!$E$37*12),-'PV IN'!$E$18*'PV IN'!$E$36/12,0)</f>
        <v>0</v>
      </c>
      <c r="U167" s="2">
        <f t="shared" si="48"/>
        <v>11127.443334243797</v>
      </c>
      <c r="V167" s="10">
        <f>PVLoan!M194</f>
        <v>0</v>
      </c>
      <c r="W167" s="2">
        <f>IF(C167='PV IN'!$I$40,IF('PV IN'!$G$40="Non-Taxable",'PV IN'!$F$40,0),0)+IF(C167='PV IN'!$I$41,IF('PV IN'!$G$41="Non-Taxable",'PV IN'!$F$41,0),0)</f>
        <v>0</v>
      </c>
      <c r="X167" s="10"/>
      <c r="Y167" s="10">
        <f>IF('PV IN'!$E$15="Non-Taxable",SUM(N167:P167),0)</f>
        <v>1779.482618908937</v>
      </c>
      <c r="Z167" s="10">
        <f>IF('PV IN'!$E$15="Taxable",SUM(N167:P167),0)</f>
        <v>0</v>
      </c>
      <c r="AA167" s="2">
        <f>IF(C167='PV IN'!$I$40,IF('PV IN'!$G$40="Taxable",'PV IN'!$F$40,0),0)+IF(C167='PV IN'!$I$41,IF('PV IN'!$G$41="Taxable",'PV IN'!$F$41,0),0)</f>
        <v>0</v>
      </c>
      <c r="AD167" s="10">
        <f>IF('PV IN'!$D$48="YES",-U167*'PV IN'!$E$8,0)</f>
        <v>0</v>
      </c>
      <c r="AE167" s="10">
        <f>IF('PV IN'!$N$10="Yes",-PVLoan!H195,-PVLoan!L195)</f>
        <v>0</v>
      </c>
      <c r="AF167" s="10">
        <f>IF('PV IN'!$N$10="Yes",-PVLoan!F195,0)</f>
        <v>0</v>
      </c>
      <c r="AG167" s="10">
        <f>IF(AND('PV IN'!$D$35="YES",$C167&lt;='PV IN'!$E$35*12),0,-'PV IN'!$E$18*'PV IN'!$E$34/12)</f>
        <v>-750</v>
      </c>
      <c r="AH167" s="10">
        <f>IF(AND('PV IN'!$D$37="YES",$C167&lt;='PV IN'!$E$37*12),0,-'PV IN'!$E$18*'PV IN'!$E$36/12)</f>
        <v>-625</v>
      </c>
      <c r="AI167" s="2">
        <f>IF(AND('PV IN'!$D$33="YES",PVCalcs!C167=ROUNDUP('PV IN'!$H$33*12,)),-'PV IN'!$E$33*'PV IN'!$E$18,0)</f>
        <v>0</v>
      </c>
      <c r="AK167" s="2">
        <f t="shared" si="33"/>
        <v>12906.925953152733</v>
      </c>
      <c r="AL167" s="2">
        <f t="shared" si="34"/>
        <v>-1375</v>
      </c>
      <c r="AM167" s="2">
        <f t="shared" si="38"/>
        <v>11531.925953152733</v>
      </c>
      <c r="AN167" s="43"/>
      <c r="AO167" s="2">
        <f t="shared" si="35"/>
        <v>0</v>
      </c>
      <c r="AP167" s="2">
        <f t="shared" si="39"/>
        <v>-1375</v>
      </c>
      <c r="AR167" s="2">
        <f t="shared" si="40"/>
        <v>-1375</v>
      </c>
      <c r="AS167" s="2">
        <f>-AR167*'PV IN'!$E$8</f>
        <v>288.75</v>
      </c>
      <c r="AT167" s="2">
        <f>IF('PV IN'!$F$4="Battery Only",0,AM167+AS167)</f>
        <v>11820.675953152733</v>
      </c>
      <c r="AV167" s="10">
        <f t="shared" si="41"/>
        <v>754738.00743591751</v>
      </c>
      <c r="AW167" s="2">
        <f>AT167/(1+('PV IN'!$G$9))^(C167)</f>
        <v>6092.8572001113971</v>
      </c>
      <c r="AX167" s="2">
        <f>IF(C167&lt;='PV IN'!$O$22*12,AW167+AX166,NA())</f>
        <v>165199.18758553494</v>
      </c>
      <c r="AZ167" s="10">
        <f t="shared" si="36"/>
        <v>-1375</v>
      </c>
      <c r="BA167" s="10">
        <f t="shared" si="37"/>
        <v>1779.4826189089363</v>
      </c>
      <c r="BB167" s="10">
        <f t="shared" si="42"/>
        <v>404.48261890893627</v>
      </c>
      <c r="BC167" s="10">
        <f t="shared" si="43"/>
        <v>0</v>
      </c>
      <c r="BD167" s="10">
        <f t="shared" si="44"/>
        <v>-1375</v>
      </c>
      <c r="BE167" s="2">
        <f t="shared" si="45"/>
        <v>0</v>
      </c>
      <c r="BF167" s="10">
        <f t="shared" si="46"/>
        <v>-1375</v>
      </c>
      <c r="BG167" s="2">
        <f>-BF167*'PV IN'!$E$8</f>
        <v>288.75</v>
      </c>
      <c r="BH167" s="2">
        <f>IF('PV IN'!$F$4="Battery Only",0,BB167+BG167)</f>
        <v>693.23261890893627</v>
      </c>
      <c r="BI167" s="2">
        <f>BH167/(1+('PV IN'!$G$9))^(C167)</f>
        <v>357.32028948351785</v>
      </c>
    </row>
    <row r="168" spans="2:61" x14ac:dyDescent="0.25">
      <c r="C168">
        <v>164</v>
      </c>
      <c r="D168" s="16">
        <f>D167*(1+('PV IN'!$G$6/12))</f>
        <v>7.5999999999999998E-2</v>
      </c>
      <c r="E168" s="16">
        <f>LkUP!$U$34</f>
        <v>8.1291473042801335E-2</v>
      </c>
      <c r="F168" s="16">
        <f>IF('PV IN'!$D$7="Table",E168,D168)</f>
        <v>8.1291473042801335E-2</v>
      </c>
      <c r="G168" s="33">
        <f>('PV IN'!$E$25*'PV IN'!$E$18/12)*(1-(1-'PV IN'!$E$27)/(25*12))^C167</f>
        <v>136792.02285869213</v>
      </c>
      <c r="H168" s="33">
        <f>IF('PV IN'!$D$19="YES",G168*'PV IN'!$E$21,0)</f>
        <v>0</v>
      </c>
      <c r="I168" s="33">
        <f>IF('PV IN'!$D$19="YES",'PV IN'!$E$22*BattCalcs!W168,0)</f>
        <v>0</v>
      </c>
      <c r="J168" s="33">
        <f>IF('PV IN'!$D$19="YES",'PV IN'!$E$23*BattCalcs!Y168,0)</f>
        <v>0</v>
      </c>
      <c r="K168" s="33">
        <f>BattCalcs!AF168</f>
        <v>25811.765833333331</v>
      </c>
      <c r="L168" s="33">
        <f t="shared" si="47"/>
        <v>25811.765833333331</v>
      </c>
      <c r="M168" s="33">
        <f>IF('PV IN'!$F$4="PV Only",G168,G168-SUM(H168:J168,L168))</f>
        <v>136792.02285869213</v>
      </c>
      <c r="N168" s="2">
        <f>IF(C168&lt;='PV IN'!$I$12*12,'PV IN'!$E$12*G168/1000,0)</f>
        <v>0</v>
      </c>
      <c r="O168" s="2">
        <f>IF(AND(C168&gt;'PV IN'!$I$12*12,C168&lt;='PV IN'!$I$13*12+'PV IN'!$I$12*12),'PV IN'!$E$13*PVCalcs!G168/1000,0)</f>
        <v>0</v>
      </c>
      <c r="P168" s="2">
        <f>IF(AND(C168&gt;'PV IN'!$I$12*12+'PV IN'!$I$13*12,C168&lt;='PV IN'!$I$12*12+'PV IN'!$I$13*12+'PV IN'!$I$14*12),'PV IN'!$E$14*PVCalcs!G168/1000,0)</f>
        <v>1778.2962971629977</v>
      </c>
      <c r="R168" s="10">
        <f>IF(AND('PV IN'!$D$35="YES",$C168&lt;='PV IN'!$E$35*12),-'PV IN'!$E$18*'PV IN'!$E$34/12,0)</f>
        <v>0</v>
      </c>
      <c r="S168" s="10">
        <f>IF(AND('PV IN'!$D$37="YES",$C168&lt;='PV IN'!$E$37*12),-'PV IN'!$E$18*'PV IN'!$E$36/12,0)</f>
        <v>0</v>
      </c>
      <c r="U168" s="2">
        <f t="shared" si="48"/>
        <v>11120.025038687636</v>
      </c>
      <c r="V168" s="10">
        <f>PVLoan!M195</f>
        <v>0</v>
      </c>
      <c r="W168" s="2">
        <f>IF(C168='PV IN'!$I$40,IF('PV IN'!$G$40="Non-Taxable",'PV IN'!$F$40,0),0)+IF(C168='PV IN'!$I$41,IF('PV IN'!$G$41="Non-Taxable",'PV IN'!$F$41,0),0)</f>
        <v>0</v>
      </c>
      <c r="X168" s="10"/>
      <c r="Y168" s="10">
        <f>IF('PV IN'!$E$15="Non-Taxable",SUM(N168:P168),0)</f>
        <v>1778.2962971629977</v>
      </c>
      <c r="Z168" s="10">
        <f>IF('PV IN'!$E$15="Taxable",SUM(N168:P168),0)</f>
        <v>0</v>
      </c>
      <c r="AA168" s="2">
        <f>IF(C168='PV IN'!$I$40,IF('PV IN'!$G$40="Taxable",'PV IN'!$F$40,0),0)+IF(C168='PV IN'!$I$41,IF('PV IN'!$G$41="Taxable",'PV IN'!$F$41,0),0)</f>
        <v>0</v>
      </c>
      <c r="AD168" s="10">
        <f>IF('PV IN'!$D$48="YES",-U168*'PV IN'!$E$8,0)</f>
        <v>0</v>
      </c>
      <c r="AE168" s="10">
        <f>IF('PV IN'!$N$10="Yes",-PVLoan!H196,-PVLoan!L196)</f>
        <v>0</v>
      </c>
      <c r="AF168" s="10">
        <f>IF('PV IN'!$N$10="Yes",-PVLoan!F196,0)</f>
        <v>0</v>
      </c>
      <c r="AG168" s="10">
        <f>IF(AND('PV IN'!$D$35="YES",$C168&lt;='PV IN'!$E$35*12),0,-'PV IN'!$E$18*'PV IN'!$E$34/12)</f>
        <v>-750</v>
      </c>
      <c r="AH168" s="10">
        <f>IF(AND('PV IN'!$D$37="YES",$C168&lt;='PV IN'!$E$37*12),0,-'PV IN'!$E$18*'PV IN'!$E$36/12)</f>
        <v>-625</v>
      </c>
      <c r="AI168" s="2">
        <f>IF(AND('PV IN'!$D$33="YES",PVCalcs!C168=ROUNDUP('PV IN'!$H$33*12,)),-'PV IN'!$E$33*'PV IN'!$E$18,0)</f>
        <v>0</v>
      </c>
      <c r="AK168" s="2">
        <f t="shared" si="33"/>
        <v>12898.321335850633</v>
      </c>
      <c r="AL168" s="2">
        <f t="shared" si="34"/>
        <v>-1375</v>
      </c>
      <c r="AM168" s="2">
        <f t="shared" si="38"/>
        <v>11523.321335850633</v>
      </c>
      <c r="AN168" s="43"/>
      <c r="AO168" s="2">
        <f t="shared" si="35"/>
        <v>0</v>
      </c>
      <c r="AP168" s="2">
        <f t="shared" si="39"/>
        <v>-1375</v>
      </c>
      <c r="AR168" s="2">
        <f t="shared" si="40"/>
        <v>-1375</v>
      </c>
      <c r="AS168" s="2">
        <f>-AR168*'PV IN'!$E$8</f>
        <v>288.75</v>
      </c>
      <c r="AT168" s="2">
        <f>IF('PV IN'!$F$4="Battery Only",0,AM168+AS168)</f>
        <v>11812.071335850633</v>
      </c>
      <c r="AV168" s="10">
        <f t="shared" si="41"/>
        <v>766550.07877176814</v>
      </c>
      <c r="AW168" s="2">
        <f>AT168/(1+('PV IN'!$G$9))^(C168)</f>
        <v>6063.7176938813918</v>
      </c>
      <c r="AX168" s="2">
        <f>IF(C168&lt;='PV IN'!$O$22*12,AW168+AX167,NA())</f>
        <v>171262.90527941633</v>
      </c>
      <c r="AZ168" s="10">
        <f t="shared" si="36"/>
        <v>-1375</v>
      </c>
      <c r="BA168" s="10">
        <f t="shared" si="37"/>
        <v>1778.2962971629968</v>
      </c>
      <c r="BB168" s="10">
        <f t="shared" si="42"/>
        <v>403.29629716299678</v>
      </c>
      <c r="BC168" s="10">
        <f t="shared" si="43"/>
        <v>0</v>
      </c>
      <c r="BD168" s="10">
        <f t="shared" si="44"/>
        <v>-1375</v>
      </c>
      <c r="BE168" s="2">
        <f t="shared" si="45"/>
        <v>0</v>
      </c>
      <c r="BF168" s="10">
        <f t="shared" si="46"/>
        <v>-1375</v>
      </c>
      <c r="BG168" s="2">
        <f>-BF168*'PV IN'!$E$8</f>
        <v>288.75</v>
      </c>
      <c r="BH168" s="2">
        <f>IF('PV IN'!$F$4="Battery Only",0,BB168+BG168)</f>
        <v>692.04629716299678</v>
      </c>
      <c r="BI168" s="2">
        <f>BH168/(1+('PV IN'!$G$9))^(C168)</f>
        <v>355.26143195190639</v>
      </c>
    </row>
    <row r="169" spans="2:61" x14ac:dyDescent="0.25">
      <c r="C169">
        <v>165</v>
      </c>
      <c r="D169" s="16">
        <f>D168*(1+('PV IN'!$G$6/12))</f>
        <v>7.5999999999999998E-2</v>
      </c>
      <c r="E169" s="16">
        <f>LkUP!$U$34</f>
        <v>8.1291473042801335E-2</v>
      </c>
      <c r="F169" s="16">
        <f>IF('PV IN'!$D$7="Table",E169,D169)</f>
        <v>8.1291473042801335E-2</v>
      </c>
      <c r="G169" s="33">
        <f>('PV IN'!$E$25*'PV IN'!$E$18/12)*(1-(1-'PV IN'!$E$27)/(25*12))^C168</f>
        <v>136700.82817678634</v>
      </c>
      <c r="H169" s="33">
        <f>IF('PV IN'!$D$19="YES",G169*'PV IN'!$E$21,0)</f>
        <v>0</v>
      </c>
      <c r="I169" s="33">
        <f>IF('PV IN'!$D$19="YES",'PV IN'!$E$22*BattCalcs!W169,0)</f>
        <v>0</v>
      </c>
      <c r="J169" s="33">
        <f>IF('PV IN'!$D$19="YES",'PV IN'!$E$23*BattCalcs!Y169,0)</f>
        <v>0</v>
      </c>
      <c r="K169" s="33">
        <f>BattCalcs!AF169</f>
        <v>25811.765833333331</v>
      </c>
      <c r="L169" s="33">
        <f t="shared" si="47"/>
        <v>25811.765833333331</v>
      </c>
      <c r="M169" s="33">
        <f>IF('PV IN'!$F$4="PV Only",G169,G169-SUM(H169:J169,L169))</f>
        <v>136700.82817678634</v>
      </c>
      <c r="N169" s="2">
        <f>IF(C169&lt;='PV IN'!$I$12*12,'PV IN'!$E$12*G169/1000,0)</f>
        <v>0</v>
      </c>
      <c r="O169" s="2">
        <f>IF(AND(C169&gt;'PV IN'!$I$12*12,C169&lt;='PV IN'!$I$13*12+'PV IN'!$I$12*12),'PV IN'!$E$13*PVCalcs!G169/1000,0)</f>
        <v>0</v>
      </c>
      <c r="P169" s="2">
        <f>IF(AND(C169&gt;'PV IN'!$I$12*12+'PV IN'!$I$13*12,C169&lt;='PV IN'!$I$12*12+'PV IN'!$I$13*12+'PV IN'!$I$14*12),'PV IN'!$E$14*PVCalcs!G169/1000,0)</f>
        <v>1777.1107662982224</v>
      </c>
      <c r="R169" s="10">
        <f>IF(AND('PV IN'!$D$35="YES",$C169&lt;='PV IN'!$E$35*12),-'PV IN'!$E$18*'PV IN'!$E$34/12,0)</f>
        <v>0</v>
      </c>
      <c r="S169" s="10">
        <f>IF(AND('PV IN'!$D$37="YES",$C169&lt;='PV IN'!$E$37*12),-'PV IN'!$E$18*'PV IN'!$E$36/12,0)</f>
        <v>0</v>
      </c>
      <c r="U169" s="2">
        <f t="shared" si="48"/>
        <v>11112.611688661844</v>
      </c>
      <c r="V169" s="10">
        <f>PVLoan!M196</f>
        <v>0</v>
      </c>
      <c r="W169" s="2">
        <f>IF(C169='PV IN'!$I$40,IF('PV IN'!$G$40="Non-Taxable",'PV IN'!$F$40,0),0)+IF(C169='PV IN'!$I$41,IF('PV IN'!$G$41="Non-Taxable",'PV IN'!$F$41,0),0)</f>
        <v>0</v>
      </c>
      <c r="X169" s="10"/>
      <c r="Y169" s="10">
        <f>IF('PV IN'!$E$15="Non-Taxable",SUM(N169:P169),0)</f>
        <v>1777.1107662982224</v>
      </c>
      <c r="Z169" s="10">
        <f>IF('PV IN'!$E$15="Taxable",SUM(N169:P169),0)</f>
        <v>0</v>
      </c>
      <c r="AA169" s="2">
        <f>IF(C169='PV IN'!$I$40,IF('PV IN'!$G$40="Taxable",'PV IN'!$F$40,0),0)+IF(C169='PV IN'!$I$41,IF('PV IN'!$G$41="Taxable",'PV IN'!$F$41,0),0)</f>
        <v>0</v>
      </c>
      <c r="AD169" s="10">
        <f>IF('PV IN'!$D$48="YES",-U169*'PV IN'!$E$8,0)</f>
        <v>0</v>
      </c>
      <c r="AE169" s="10">
        <f>IF('PV IN'!$N$10="Yes",-PVLoan!H197,-PVLoan!L197)</f>
        <v>0</v>
      </c>
      <c r="AF169" s="10">
        <f>IF('PV IN'!$N$10="Yes",-PVLoan!F197,0)</f>
        <v>0</v>
      </c>
      <c r="AG169" s="10">
        <f>IF(AND('PV IN'!$D$35="YES",$C169&lt;='PV IN'!$E$35*12),0,-'PV IN'!$E$18*'PV IN'!$E$34/12)</f>
        <v>-750</v>
      </c>
      <c r="AH169" s="10">
        <f>IF(AND('PV IN'!$D$37="YES",$C169&lt;='PV IN'!$E$37*12),0,-'PV IN'!$E$18*'PV IN'!$E$36/12)</f>
        <v>-625</v>
      </c>
      <c r="AI169" s="2">
        <f>IF(AND('PV IN'!$D$33="YES",PVCalcs!C169=ROUNDUP('PV IN'!$H$33*12,)),-'PV IN'!$E$33*'PV IN'!$E$18,0)</f>
        <v>0</v>
      </c>
      <c r="AK169" s="2">
        <f t="shared" si="33"/>
        <v>12889.722454960067</v>
      </c>
      <c r="AL169" s="2">
        <f t="shared" si="34"/>
        <v>-1375</v>
      </c>
      <c r="AM169" s="2">
        <f t="shared" si="38"/>
        <v>11514.722454960067</v>
      </c>
      <c r="AN169" s="43"/>
      <c r="AO169" s="2">
        <f t="shared" si="35"/>
        <v>0</v>
      </c>
      <c r="AP169" s="2">
        <f t="shared" si="39"/>
        <v>-1375</v>
      </c>
      <c r="AR169" s="2">
        <f t="shared" si="40"/>
        <v>-1375</v>
      </c>
      <c r="AS169" s="2">
        <f>-AR169*'PV IN'!$E$8</f>
        <v>288.75</v>
      </c>
      <c r="AT169" s="2">
        <f>IF('PV IN'!$F$4="Battery Only",0,AM169+AS169)</f>
        <v>11803.472454960067</v>
      </c>
      <c r="AV169" s="10">
        <f t="shared" si="41"/>
        <v>778353.55122672825</v>
      </c>
      <c r="AW169" s="2">
        <f>AT169/(1+('PV IN'!$G$9))^(C169)</f>
        <v>6034.7172798226675</v>
      </c>
      <c r="AX169" s="2">
        <f>IF(C169&lt;='PV IN'!$O$22*12,AW169+AX168,NA())</f>
        <v>177297.62255923898</v>
      </c>
      <c r="AZ169" s="10">
        <f t="shared" si="36"/>
        <v>-1375</v>
      </c>
      <c r="BA169" s="10">
        <f t="shared" si="37"/>
        <v>1777.1107662982231</v>
      </c>
      <c r="BB169" s="10">
        <f t="shared" si="42"/>
        <v>402.1107662982231</v>
      </c>
      <c r="BC169" s="10">
        <f t="shared" si="43"/>
        <v>0</v>
      </c>
      <c r="BD169" s="10">
        <f t="shared" si="44"/>
        <v>-1375</v>
      </c>
      <c r="BE169" s="2">
        <f t="shared" si="45"/>
        <v>0</v>
      </c>
      <c r="BF169" s="10">
        <f t="shared" si="46"/>
        <v>-1375</v>
      </c>
      <c r="BG169" s="2">
        <f>-BF169*'PV IN'!$E$8</f>
        <v>288.75</v>
      </c>
      <c r="BH169" s="2">
        <f>IF('PV IN'!$F$4="Battery Only",0,BB169+BG169)</f>
        <v>690.8607662982231</v>
      </c>
      <c r="BI169" s="2">
        <f>BH169/(1+('PV IN'!$G$9))^(C169)</f>
        <v>353.21380383951777</v>
      </c>
    </row>
    <row r="170" spans="2:61" x14ac:dyDescent="0.25">
      <c r="C170">
        <v>166</v>
      </c>
      <c r="D170" s="16">
        <f>D169*(1+('PV IN'!$G$6/12))</f>
        <v>7.5999999999999998E-2</v>
      </c>
      <c r="E170" s="16">
        <f>LkUP!$U$34</f>
        <v>8.1291473042801335E-2</v>
      </c>
      <c r="F170" s="16">
        <f>IF('PV IN'!$D$7="Table",E170,D170)</f>
        <v>8.1291473042801335E-2</v>
      </c>
      <c r="G170" s="33">
        <f>('PV IN'!$E$25*'PV IN'!$E$18/12)*(1-(1-'PV IN'!$E$27)/(25*12))^C169</f>
        <v>136609.69429133512</v>
      </c>
      <c r="H170" s="33">
        <f>IF('PV IN'!$D$19="YES",G170*'PV IN'!$E$21,0)</f>
        <v>0</v>
      </c>
      <c r="I170" s="33">
        <f>IF('PV IN'!$D$19="YES",'PV IN'!$E$22*BattCalcs!W170,0)</f>
        <v>0</v>
      </c>
      <c r="J170" s="33">
        <f>IF('PV IN'!$D$19="YES",'PV IN'!$E$23*BattCalcs!Y170,0)</f>
        <v>0</v>
      </c>
      <c r="K170" s="33">
        <f>BattCalcs!AF170</f>
        <v>25811.765833333331</v>
      </c>
      <c r="L170" s="33">
        <f t="shared" si="47"/>
        <v>25811.765833333331</v>
      </c>
      <c r="M170" s="33">
        <f>IF('PV IN'!$F$4="PV Only",G170,G170-SUM(H170:J170,L170))</f>
        <v>136609.69429133512</v>
      </c>
      <c r="N170" s="2">
        <f>IF(C170&lt;='PV IN'!$I$12*12,'PV IN'!$E$12*G170/1000,0)</f>
        <v>0</v>
      </c>
      <c r="O170" s="2">
        <f>IF(AND(C170&gt;'PV IN'!$I$12*12,C170&lt;='PV IN'!$I$13*12+'PV IN'!$I$12*12),'PV IN'!$E$13*PVCalcs!G170/1000,0)</f>
        <v>0</v>
      </c>
      <c r="P170" s="2">
        <f>IF(AND(C170&gt;'PV IN'!$I$12*12+'PV IN'!$I$13*12,C170&lt;='PV IN'!$I$12*12+'PV IN'!$I$13*12+'PV IN'!$I$14*12),'PV IN'!$E$14*PVCalcs!G170/1000,0)</f>
        <v>1775.9260257873566</v>
      </c>
      <c r="R170" s="10">
        <f>IF(AND('PV IN'!$D$35="YES",$C170&lt;='PV IN'!$E$35*12),-'PV IN'!$E$18*'PV IN'!$E$34/12,0)</f>
        <v>0</v>
      </c>
      <c r="S170" s="10">
        <f>IF(AND('PV IN'!$D$37="YES",$C170&lt;='PV IN'!$E$37*12),-'PV IN'!$E$18*'PV IN'!$E$36/12,0)</f>
        <v>0</v>
      </c>
      <c r="U170" s="2">
        <f t="shared" si="48"/>
        <v>11105.2032808694</v>
      </c>
      <c r="V170" s="10">
        <f>PVLoan!M197</f>
        <v>0</v>
      </c>
      <c r="W170" s="2">
        <f>IF(C170='PV IN'!$I$40,IF('PV IN'!$G$40="Non-Taxable",'PV IN'!$F$40,0),0)+IF(C170='PV IN'!$I$41,IF('PV IN'!$G$41="Non-Taxable",'PV IN'!$F$41,0),0)</f>
        <v>0</v>
      </c>
      <c r="X170" s="10"/>
      <c r="Y170" s="10">
        <f>IF('PV IN'!$E$15="Non-Taxable",SUM(N170:P170),0)</f>
        <v>1775.9260257873566</v>
      </c>
      <c r="Z170" s="10">
        <f>IF('PV IN'!$E$15="Taxable",SUM(N170:P170),0)</f>
        <v>0</v>
      </c>
      <c r="AA170" s="2">
        <f>IF(C170='PV IN'!$I$40,IF('PV IN'!$G$40="Taxable",'PV IN'!$F$40,0),0)+IF(C170='PV IN'!$I$41,IF('PV IN'!$G$41="Taxable",'PV IN'!$F$41,0),0)</f>
        <v>0</v>
      </c>
      <c r="AD170" s="10">
        <f>IF('PV IN'!$D$48="YES",-U170*'PV IN'!$E$8,0)</f>
        <v>0</v>
      </c>
      <c r="AE170" s="10">
        <f>IF('PV IN'!$N$10="Yes",-PVLoan!H198,-PVLoan!L198)</f>
        <v>0</v>
      </c>
      <c r="AF170" s="10">
        <f>IF('PV IN'!$N$10="Yes",-PVLoan!F198,0)</f>
        <v>0</v>
      </c>
      <c r="AG170" s="10">
        <f>IF(AND('PV IN'!$D$35="YES",$C170&lt;='PV IN'!$E$35*12),0,-'PV IN'!$E$18*'PV IN'!$E$34/12)</f>
        <v>-750</v>
      </c>
      <c r="AH170" s="10">
        <f>IF(AND('PV IN'!$D$37="YES",$C170&lt;='PV IN'!$E$37*12),0,-'PV IN'!$E$18*'PV IN'!$E$36/12)</f>
        <v>-625</v>
      </c>
      <c r="AI170" s="2">
        <f>IF(AND('PV IN'!$D$33="YES",PVCalcs!C170=ROUNDUP('PV IN'!$H$33*12,)),-'PV IN'!$E$33*'PV IN'!$E$18,0)</f>
        <v>0</v>
      </c>
      <c r="AK170" s="2">
        <f t="shared" si="33"/>
        <v>12881.129306656756</v>
      </c>
      <c r="AL170" s="2">
        <f t="shared" si="34"/>
        <v>-1375</v>
      </c>
      <c r="AM170" s="2">
        <f t="shared" si="38"/>
        <v>11506.129306656756</v>
      </c>
      <c r="AN170" s="43"/>
      <c r="AO170" s="2">
        <f t="shared" si="35"/>
        <v>0</v>
      </c>
      <c r="AP170" s="2">
        <f t="shared" si="39"/>
        <v>-1375</v>
      </c>
      <c r="AR170" s="2">
        <f t="shared" si="40"/>
        <v>-1375</v>
      </c>
      <c r="AS170" s="2">
        <f>-AR170*'PV IN'!$E$8</f>
        <v>288.75</v>
      </c>
      <c r="AT170" s="2">
        <f>IF('PV IN'!$F$4="Battery Only",0,AM170+AS170)</f>
        <v>11794.879306656756</v>
      </c>
      <c r="AV170" s="10">
        <f t="shared" si="41"/>
        <v>790148.43053338502</v>
      </c>
      <c r="AW170" s="2">
        <f>AT170/(1+('PV IN'!$G$9))^(C170)</f>
        <v>6005.8552950834655</v>
      </c>
      <c r="AX170" s="2">
        <f>IF(C170&lt;='PV IN'!$O$22*12,AW170+AX169,NA())</f>
        <v>183303.47785432244</v>
      </c>
      <c r="AZ170" s="10">
        <f t="shared" si="36"/>
        <v>-1375</v>
      </c>
      <c r="BA170" s="10">
        <f t="shared" si="37"/>
        <v>1775.9260257873557</v>
      </c>
      <c r="BB170" s="10">
        <f t="shared" si="42"/>
        <v>400.92602578735568</v>
      </c>
      <c r="BC170" s="10">
        <f t="shared" si="43"/>
        <v>0</v>
      </c>
      <c r="BD170" s="10">
        <f t="shared" si="44"/>
        <v>-1375</v>
      </c>
      <c r="BE170" s="2">
        <f t="shared" si="45"/>
        <v>0</v>
      </c>
      <c r="BF170" s="10">
        <f t="shared" si="46"/>
        <v>-1375</v>
      </c>
      <c r="BG170" s="2">
        <f>-BF170*'PV IN'!$E$8</f>
        <v>288.75</v>
      </c>
      <c r="BH170" s="2">
        <f>IF('PV IN'!$F$4="Battery Only",0,BB170+BG170)</f>
        <v>689.67602578735568</v>
      </c>
      <c r="BI170" s="2">
        <f>BH170/(1+('PV IN'!$G$9))^(C170)</f>
        <v>351.17734600551688</v>
      </c>
    </row>
    <row r="171" spans="2:61" x14ac:dyDescent="0.25">
      <c r="C171">
        <v>167</v>
      </c>
      <c r="D171" s="16">
        <f>D170*(1+('PV IN'!$G$6/12))</f>
        <v>7.5999999999999998E-2</v>
      </c>
      <c r="E171" s="16">
        <f>LkUP!$U$34</f>
        <v>8.1291473042801335E-2</v>
      </c>
      <c r="F171" s="16">
        <f>IF('PV IN'!$D$7="Table",E171,D171)</f>
        <v>8.1291473042801335E-2</v>
      </c>
      <c r="G171" s="33">
        <f>('PV IN'!$E$25*'PV IN'!$E$18/12)*(1-(1-'PV IN'!$E$27)/(25*12))^C170</f>
        <v>136518.62116180756</v>
      </c>
      <c r="H171" s="33">
        <f>IF('PV IN'!$D$19="YES",G171*'PV IN'!$E$21,0)</f>
        <v>0</v>
      </c>
      <c r="I171" s="33">
        <f>IF('PV IN'!$D$19="YES",'PV IN'!$E$22*BattCalcs!W171,0)</f>
        <v>0</v>
      </c>
      <c r="J171" s="33">
        <f>IF('PV IN'!$D$19="YES",'PV IN'!$E$23*BattCalcs!Y171,0)</f>
        <v>0</v>
      </c>
      <c r="K171" s="33">
        <f>BattCalcs!AF171</f>
        <v>25811.765833333331</v>
      </c>
      <c r="L171" s="33">
        <f t="shared" si="47"/>
        <v>25811.765833333331</v>
      </c>
      <c r="M171" s="33">
        <f>IF('PV IN'!$F$4="PV Only",G171,G171-SUM(H171:J171,L171))</f>
        <v>136518.62116180756</v>
      </c>
      <c r="N171" s="2">
        <f>IF(C171&lt;='PV IN'!$I$12*12,'PV IN'!$E$12*G171/1000,0)</f>
        <v>0</v>
      </c>
      <c r="O171" s="2">
        <f>IF(AND(C171&gt;'PV IN'!$I$12*12,C171&lt;='PV IN'!$I$13*12+'PV IN'!$I$12*12),'PV IN'!$E$13*PVCalcs!G171/1000,0)</f>
        <v>0</v>
      </c>
      <c r="P171" s="2">
        <f>IF(AND(C171&gt;'PV IN'!$I$12*12+'PV IN'!$I$13*12,C171&lt;='PV IN'!$I$12*12+'PV IN'!$I$13*12+'PV IN'!$I$14*12),'PV IN'!$E$14*PVCalcs!G171/1000,0)</f>
        <v>1774.7420751034983</v>
      </c>
      <c r="R171" s="10">
        <f>IF(AND('PV IN'!$D$35="YES",$C171&lt;='PV IN'!$E$35*12),-'PV IN'!$E$18*'PV IN'!$E$34/12,0)</f>
        <v>0</v>
      </c>
      <c r="S171" s="10">
        <f>IF(AND('PV IN'!$D$37="YES",$C171&lt;='PV IN'!$E$37*12),-'PV IN'!$E$18*'PV IN'!$E$36/12,0)</f>
        <v>0</v>
      </c>
      <c r="U171" s="2">
        <f t="shared" si="48"/>
        <v>11097.799812015488</v>
      </c>
      <c r="V171" s="10">
        <f>PVLoan!M198</f>
        <v>0</v>
      </c>
      <c r="W171" s="2">
        <f>IF(C171='PV IN'!$I$40,IF('PV IN'!$G$40="Non-Taxable",'PV IN'!$F$40,0),0)+IF(C171='PV IN'!$I$41,IF('PV IN'!$G$41="Non-Taxable",'PV IN'!$F$41,0),0)</f>
        <v>0</v>
      </c>
      <c r="X171" s="10"/>
      <c r="Y171" s="10">
        <f>IF('PV IN'!$E$15="Non-Taxable",SUM(N171:P171),0)</f>
        <v>1774.7420751034983</v>
      </c>
      <c r="Z171" s="10">
        <f>IF('PV IN'!$E$15="Taxable",SUM(N171:P171),0)</f>
        <v>0</v>
      </c>
      <c r="AA171" s="2">
        <f>IF(C171='PV IN'!$I$40,IF('PV IN'!$G$40="Taxable",'PV IN'!$F$40,0),0)+IF(C171='PV IN'!$I$41,IF('PV IN'!$G$41="Taxable",'PV IN'!$F$41,0),0)</f>
        <v>0</v>
      </c>
      <c r="AD171" s="10">
        <f>IF('PV IN'!$D$48="YES",-U171*'PV IN'!$E$8,0)</f>
        <v>0</v>
      </c>
      <c r="AE171" s="10">
        <f>IF('PV IN'!$N$10="Yes",-PVLoan!H199,-PVLoan!L199)</f>
        <v>0</v>
      </c>
      <c r="AF171" s="10">
        <f>IF('PV IN'!$N$10="Yes",-PVLoan!F199,0)</f>
        <v>0</v>
      </c>
      <c r="AG171" s="10">
        <f>IF(AND('PV IN'!$D$35="YES",$C171&lt;='PV IN'!$E$35*12),0,-'PV IN'!$E$18*'PV IN'!$E$34/12)</f>
        <v>-750</v>
      </c>
      <c r="AH171" s="10">
        <f>IF(AND('PV IN'!$D$37="YES",$C171&lt;='PV IN'!$E$37*12),0,-'PV IN'!$E$18*'PV IN'!$E$36/12)</f>
        <v>-625</v>
      </c>
      <c r="AI171" s="2">
        <f>IF(AND('PV IN'!$D$33="YES",PVCalcs!C171=ROUNDUP('PV IN'!$H$33*12,)),-'PV IN'!$E$33*'PV IN'!$E$18,0)</f>
        <v>0</v>
      </c>
      <c r="AK171" s="2">
        <f t="shared" si="33"/>
        <v>12872.541887118987</v>
      </c>
      <c r="AL171" s="2">
        <f t="shared" si="34"/>
        <v>-1375</v>
      </c>
      <c r="AM171" s="2">
        <f t="shared" si="38"/>
        <v>11497.541887118987</v>
      </c>
      <c r="AN171" s="43"/>
      <c r="AO171" s="2">
        <f t="shared" si="35"/>
        <v>0</v>
      </c>
      <c r="AP171" s="2">
        <f t="shared" si="39"/>
        <v>-1375</v>
      </c>
      <c r="AR171" s="2">
        <f t="shared" si="40"/>
        <v>-1375</v>
      </c>
      <c r="AS171" s="2">
        <f>-AR171*'PV IN'!$E$8</f>
        <v>288.75</v>
      </c>
      <c r="AT171" s="2">
        <f>IF('PV IN'!$F$4="Battery Only",0,AM171+AS171)</f>
        <v>11786.291887118987</v>
      </c>
      <c r="AV171" s="10">
        <f t="shared" si="41"/>
        <v>801934.72242050397</v>
      </c>
      <c r="AW171" s="2">
        <f>AT171/(1+('PV IN'!$G$9))^(C171)</f>
        <v>5977.1310799665662</v>
      </c>
      <c r="AX171" s="2">
        <f>IF(C171&lt;='PV IN'!$O$22*12,AW171+AX170,NA())</f>
        <v>189280.60893428902</v>
      </c>
      <c r="AZ171" s="10">
        <f t="shared" si="36"/>
        <v>-1375</v>
      </c>
      <c r="BA171" s="10">
        <f t="shared" si="37"/>
        <v>1774.7420751034988</v>
      </c>
      <c r="BB171" s="10">
        <f t="shared" si="42"/>
        <v>399.74207510349879</v>
      </c>
      <c r="BC171" s="10">
        <f t="shared" si="43"/>
        <v>0</v>
      </c>
      <c r="BD171" s="10">
        <f t="shared" si="44"/>
        <v>-1375</v>
      </c>
      <c r="BE171" s="2">
        <f t="shared" si="45"/>
        <v>0</v>
      </c>
      <c r="BF171" s="10">
        <f t="shared" si="46"/>
        <v>-1375</v>
      </c>
      <c r="BG171" s="2">
        <f>-BF171*'PV IN'!$E$8</f>
        <v>288.75</v>
      </c>
      <c r="BH171" s="2">
        <f>IF('PV IN'!$F$4="Battery Only",0,BB171+BG171)</f>
        <v>688.49207510349879</v>
      </c>
      <c r="BI171" s="2">
        <f>BH171/(1+('PV IN'!$G$9))^(C171)</f>
        <v>349.1519996131463</v>
      </c>
    </row>
    <row r="172" spans="2:61" x14ac:dyDescent="0.25">
      <c r="B172">
        <v>14</v>
      </c>
      <c r="C172">
        <v>168</v>
      </c>
      <c r="D172" s="16">
        <f>D171*(1+('PV IN'!$G$6/12))</f>
        <v>7.5999999999999998E-2</v>
      </c>
      <c r="E172" s="16">
        <f>LkUP!$U$34</f>
        <v>8.1291473042801335E-2</v>
      </c>
      <c r="F172" s="16">
        <f>IF('PV IN'!$D$7="Table",E172,D172)</f>
        <v>8.1291473042801335E-2</v>
      </c>
      <c r="G172" s="33">
        <f>('PV IN'!$E$25*'PV IN'!$E$18/12)*(1-(1-'PV IN'!$E$27)/(25*12))^C171</f>
        <v>136427.60874769971</v>
      </c>
      <c r="H172" s="33">
        <f>IF('PV IN'!$D$19="YES",G172*'PV IN'!$E$21,0)</f>
        <v>0</v>
      </c>
      <c r="I172" s="33">
        <f>IF('PV IN'!$D$19="YES",'PV IN'!$E$22*BattCalcs!W172,0)</f>
        <v>0</v>
      </c>
      <c r="J172" s="33">
        <f>IF('PV IN'!$D$19="YES",'PV IN'!$E$23*BattCalcs!Y172,0)</f>
        <v>0</v>
      </c>
      <c r="K172" s="33">
        <f>BattCalcs!AF172</f>
        <v>25811.765833333331</v>
      </c>
      <c r="L172" s="33">
        <f t="shared" si="47"/>
        <v>25811.765833333331</v>
      </c>
      <c r="M172" s="33">
        <f>IF('PV IN'!$F$4="PV Only",G172,G172-SUM(H172:J172,L172))</f>
        <v>136427.60874769971</v>
      </c>
      <c r="N172" s="2">
        <f>IF(C172&lt;='PV IN'!$I$12*12,'PV IN'!$E$12*G172/1000,0)</f>
        <v>0</v>
      </c>
      <c r="O172" s="2">
        <f>IF(AND(C172&gt;'PV IN'!$I$12*12,C172&lt;='PV IN'!$I$13*12+'PV IN'!$I$12*12),'PV IN'!$E$13*PVCalcs!G172/1000,0)</f>
        <v>0</v>
      </c>
      <c r="P172" s="2">
        <f>IF(AND(C172&gt;'PV IN'!$I$12*12+'PV IN'!$I$13*12,C172&lt;='PV IN'!$I$12*12+'PV IN'!$I$13*12+'PV IN'!$I$14*12),'PV IN'!$E$14*PVCalcs!G172/1000,0)</f>
        <v>1773.5589137200961</v>
      </c>
      <c r="R172" s="10">
        <f>IF(AND('PV IN'!$D$35="YES",$C172&lt;='PV IN'!$E$35*12),-'PV IN'!$E$18*'PV IN'!$E$34/12,0)</f>
        <v>0</v>
      </c>
      <c r="S172" s="10">
        <f>IF(AND('PV IN'!$D$37="YES",$C172&lt;='PV IN'!$E$37*12),-'PV IN'!$E$18*'PV IN'!$E$36/12,0)</f>
        <v>0</v>
      </c>
      <c r="U172" s="2">
        <f t="shared" si="48"/>
        <v>11090.401278807478</v>
      </c>
      <c r="V172" s="10">
        <f>PVLoan!M199</f>
        <v>0</v>
      </c>
      <c r="W172" s="2">
        <f>IF(C172='PV IN'!$I$40,IF('PV IN'!$G$40="Non-Taxable",'PV IN'!$F$40,0),0)+IF(C172='PV IN'!$I$41,IF('PV IN'!$G$41="Non-Taxable",'PV IN'!$F$41,0),0)</f>
        <v>0</v>
      </c>
      <c r="X172" s="10"/>
      <c r="Y172" s="10">
        <f>IF('PV IN'!$E$15="Non-Taxable",SUM(N172:P172),0)</f>
        <v>1773.5589137200961</v>
      </c>
      <c r="Z172" s="10">
        <f>IF('PV IN'!$E$15="Taxable",SUM(N172:P172),0)</f>
        <v>0</v>
      </c>
      <c r="AA172" s="2">
        <f>IF(C172='PV IN'!$I$40,IF('PV IN'!$G$40="Taxable",'PV IN'!$F$40,0),0)+IF(C172='PV IN'!$I$41,IF('PV IN'!$G$41="Taxable",'PV IN'!$F$41,0),0)</f>
        <v>0</v>
      </c>
      <c r="AD172" s="10">
        <f>IF('PV IN'!$D$48="YES",-U172*'PV IN'!$E$8,0)</f>
        <v>0</v>
      </c>
      <c r="AE172" s="10">
        <f>IF('PV IN'!$N$10="Yes",-PVLoan!H200,-PVLoan!L200)</f>
        <v>0</v>
      </c>
      <c r="AF172" s="10">
        <f>IF('PV IN'!$N$10="Yes",-PVLoan!F200,0)</f>
        <v>0</v>
      </c>
      <c r="AG172" s="10">
        <f>IF(AND('PV IN'!$D$35="YES",$C172&lt;='PV IN'!$E$35*12),0,-'PV IN'!$E$18*'PV IN'!$E$34/12)</f>
        <v>-750</v>
      </c>
      <c r="AH172" s="10">
        <f>IF(AND('PV IN'!$D$37="YES",$C172&lt;='PV IN'!$E$37*12),0,-'PV IN'!$E$18*'PV IN'!$E$36/12)</f>
        <v>-625</v>
      </c>
      <c r="AI172" s="2">
        <f>IF(AND('PV IN'!$D$33="YES",PVCalcs!C172=ROUNDUP('PV IN'!$H$33*12,)),-'PV IN'!$E$33*'PV IN'!$E$18,0)</f>
        <v>0</v>
      </c>
      <c r="AK172" s="2">
        <f t="shared" si="33"/>
        <v>12863.960192527575</v>
      </c>
      <c r="AL172" s="2">
        <f t="shared" si="34"/>
        <v>-1375</v>
      </c>
      <c r="AM172" s="2">
        <f t="shared" si="38"/>
        <v>11488.960192527575</v>
      </c>
      <c r="AN172" s="43"/>
      <c r="AO172" s="2">
        <f t="shared" si="35"/>
        <v>0</v>
      </c>
      <c r="AP172" s="2">
        <f t="shared" si="39"/>
        <v>-1375</v>
      </c>
      <c r="AR172" s="2">
        <f t="shared" si="40"/>
        <v>-1375</v>
      </c>
      <c r="AS172" s="2">
        <f>-AR172*'PV IN'!$E$8</f>
        <v>288.75</v>
      </c>
      <c r="AT172" s="2">
        <f>IF('PV IN'!$F$4="Battery Only",0,AM172+AS172)</f>
        <v>11777.710192527575</v>
      </c>
      <c r="AV172" s="10">
        <f t="shared" si="41"/>
        <v>813712.43261303159</v>
      </c>
      <c r="AW172" s="2">
        <f>AT172/(1+('PV IN'!$G$9))^(C172)</f>
        <v>5948.543977914268</v>
      </c>
      <c r="AX172" s="2">
        <f>IF(C172&lt;='PV IN'!$O$22*12,AW172+AX171,NA())</f>
        <v>195229.15291220328</v>
      </c>
      <c r="AZ172" s="10">
        <f t="shared" si="36"/>
        <v>-1375</v>
      </c>
      <c r="BA172" s="10">
        <f t="shared" si="37"/>
        <v>1773.5589137200968</v>
      </c>
      <c r="BB172" s="10">
        <f t="shared" si="42"/>
        <v>398.55891372009683</v>
      </c>
      <c r="BC172" s="10">
        <f t="shared" si="43"/>
        <v>0</v>
      </c>
      <c r="BD172" s="10">
        <f t="shared" si="44"/>
        <v>-1375</v>
      </c>
      <c r="BE172" s="2">
        <f t="shared" si="45"/>
        <v>0</v>
      </c>
      <c r="BF172" s="10">
        <f t="shared" si="46"/>
        <v>-1375</v>
      </c>
      <c r="BG172" s="2">
        <f>-BF172*'PV IN'!$E$8</f>
        <v>288.75</v>
      </c>
      <c r="BH172" s="2">
        <f>IF('PV IN'!$F$4="Battery Only",0,BB172+BG172)</f>
        <v>687.30891372009683</v>
      </c>
      <c r="BI172" s="2">
        <f>BH172/(1+('PV IN'!$G$9))^(C172)</f>
        <v>347.13770612817757</v>
      </c>
    </row>
    <row r="173" spans="2:61" x14ac:dyDescent="0.25">
      <c r="C173">
        <v>169</v>
      </c>
      <c r="D173" s="16">
        <f>D172*(1+('PV IN'!$G$6/12))</f>
        <v>7.5999999999999998E-2</v>
      </c>
      <c r="E173" s="16">
        <f>LkUP!$U$35</f>
        <v>8.1511322691594043E-2</v>
      </c>
      <c r="F173" s="16">
        <f>IF('PV IN'!$D$7="Table",E173,D173)</f>
        <v>8.1511322691594043E-2</v>
      </c>
      <c r="G173" s="33">
        <f>('PV IN'!$E$25*'PV IN'!$E$18/12)*(1-(1-'PV IN'!$E$27)/(25*12))^C172</f>
        <v>136336.65700853456</v>
      </c>
      <c r="H173" s="33">
        <f>IF('PV IN'!$D$19="YES",G173*'PV IN'!$E$21,0)</f>
        <v>0</v>
      </c>
      <c r="I173" s="33">
        <f>IF('PV IN'!$D$19="YES",'PV IN'!$E$22*BattCalcs!W173,0)</f>
        <v>0</v>
      </c>
      <c r="J173" s="33">
        <f>IF('PV IN'!$D$19="YES",'PV IN'!$E$23*BattCalcs!Y173,0)</f>
        <v>0</v>
      </c>
      <c r="K173" s="33">
        <f>BattCalcs!AF173</f>
        <v>25811.765833333331</v>
      </c>
      <c r="L173" s="33">
        <f t="shared" si="47"/>
        <v>25811.765833333331</v>
      </c>
      <c r="M173" s="33">
        <f>IF('PV IN'!$F$4="PV Only",G173,G173-SUM(H173:J173,L173))</f>
        <v>136336.65700853456</v>
      </c>
      <c r="N173" s="2">
        <f>IF(C173&lt;='PV IN'!$I$12*12,'PV IN'!$E$12*G173/1000,0)</f>
        <v>0</v>
      </c>
      <c r="O173" s="2">
        <f>IF(AND(C173&gt;'PV IN'!$I$12*12,C173&lt;='PV IN'!$I$13*12+'PV IN'!$I$12*12),'PV IN'!$E$13*PVCalcs!G173/1000,0)</f>
        <v>0</v>
      </c>
      <c r="P173" s="2">
        <f>IF(AND(C173&gt;'PV IN'!$I$12*12+'PV IN'!$I$13*12,C173&lt;='PV IN'!$I$12*12+'PV IN'!$I$13*12+'PV IN'!$I$14*12),'PV IN'!$E$14*PVCalcs!G173/1000,0)</f>
        <v>1772.3765411109493</v>
      </c>
      <c r="R173" s="10">
        <f>IF(AND('PV IN'!$D$35="YES",$C173&lt;='PV IN'!$E$35*12),-'PV IN'!$E$18*'PV IN'!$E$34/12,0)</f>
        <v>0</v>
      </c>
      <c r="S173" s="10">
        <f>IF(AND('PV IN'!$D$37="YES",$C173&lt;='PV IN'!$E$37*12),-'PV IN'!$E$18*'PV IN'!$E$36/12,0)</f>
        <v>0</v>
      </c>
      <c r="U173" s="2">
        <f t="shared" si="48"/>
        <v>11112.981244115837</v>
      </c>
      <c r="V173" s="10">
        <f>PVLoan!M200</f>
        <v>0</v>
      </c>
      <c r="W173" s="2">
        <f>IF(C173='PV IN'!$I$40,IF('PV IN'!$G$40="Non-Taxable",'PV IN'!$F$40,0),0)+IF(C173='PV IN'!$I$41,IF('PV IN'!$G$41="Non-Taxable",'PV IN'!$F$41,0),0)</f>
        <v>0</v>
      </c>
      <c r="X173" s="10"/>
      <c r="Y173" s="10">
        <f>IF('PV IN'!$E$15="Non-Taxable",SUM(N173:P173),0)</f>
        <v>1772.3765411109493</v>
      </c>
      <c r="Z173" s="10">
        <f>IF('PV IN'!$E$15="Taxable",SUM(N173:P173),0)</f>
        <v>0</v>
      </c>
      <c r="AA173" s="2">
        <f>IF(C173='PV IN'!$I$40,IF('PV IN'!$G$40="Taxable",'PV IN'!$F$40,0),0)+IF(C173='PV IN'!$I$41,IF('PV IN'!$G$41="Taxable",'PV IN'!$F$41,0),0)</f>
        <v>0</v>
      </c>
      <c r="AD173" s="10">
        <f>IF('PV IN'!$D$48="YES",-U173*'PV IN'!$E$8,0)</f>
        <v>0</v>
      </c>
      <c r="AE173" s="10">
        <f>IF('PV IN'!$N$10="Yes",-PVLoan!H201,-PVLoan!L201)</f>
        <v>0</v>
      </c>
      <c r="AF173" s="10">
        <f>IF('PV IN'!$N$10="Yes",-PVLoan!F201,0)</f>
        <v>0</v>
      </c>
      <c r="AG173" s="10">
        <f>IF(AND('PV IN'!$D$35="YES",$C173&lt;='PV IN'!$E$35*12),0,-'PV IN'!$E$18*'PV IN'!$E$34/12)</f>
        <v>-750</v>
      </c>
      <c r="AH173" s="10">
        <f>IF(AND('PV IN'!$D$37="YES",$C173&lt;='PV IN'!$E$37*12),0,-'PV IN'!$E$18*'PV IN'!$E$36/12)</f>
        <v>-625</v>
      </c>
      <c r="AI173" s="2">
        <f>IF(AND('PV IN'!$D$33="YES",PVCalcs!C173=ROUNDUP('PV IN'!$H$33*12,)),-'PV IN'!$E$33*'PV IN'!$E$18,0)</f>
        <v>0</v>
      </c>
      <c r="AK173" s="2">
        <f t="shared" si="33"/>
        <v>12885.357785226786</v>
      </c>
      <c r="AL173" s="2">
        <f t="shared" si="34"/>
        <v>-1375</v>
      </c>
      <c r="AM173" s="2">
        <f t="shared" si="38"/>
        <v>11510.357785226786</v>
      </c>
      <c r="AN173" s="43"/>
      <c r="AO173" s="2">
        <f t="shared" si="35"/>
        <v>0</v>
      </c>
      <c r="AP173" s="2">
        <f t="shared" si="39"/>
        <v>-1375</v>
      </c>
      <c r="AR173" s="2">
        <f t="shared" si="40"/>
        <v>-1375</v>
      </c>
      <c r="AS173" s="2">
        <f>-AR173*'PV IN'!$E$8</f>
        <v>288.75</v>
      </c>
      <c r="AT173" s="2">
        <f>IF('PV IN'!$F$4="Battery Only",0,AM173+AS173)</f>
        <v>11799.107785226786</v>
      </c>
      <c r="AV173" s="10">
        <f t="shared" si="41"/>
        <v>825511.54039825837</v>
      </c>
      <c r="AW173" s="2">
        <f>AT173/(1+('PV IN'!$G$9))^(C173)</f>
        <v>5935.1705965703914</v>
      </c>
      <c r="AX173" s="2">
        <f>IF(C173&lt;='PV IN'!$O$22*12,AW173+AX172,NA())</f>
        <v>201164.32350877367</v>
      </c>
      <c r="AZ173" s="10">
        <f t="shared" si="36"/>
        <v>-1375</v>
      </c>
      <c r="BA173" s="10">
        <f t="shared" si="37"/>
        <v>1772.3765411109489</v>
      </c>
      <c r="BB173" s="10">
        <f t="shared" si="42"/>
        <v>397.37654111094889</v>
      </c>
      <c r="BC173" s="10">
        <f t="shared" si="43"/>
        <v>0</v>
      </c>
      <c r="BD173" s="10">
        <f t="shared" si="44"/>
        <v>-1375</v>
      </c>
      <c r="BE173" s="2">
        <f t="shared" si="45"/>
        <v>0</v>
      </c>
      <c r="BF173" s="10">
        <f t="shared" si="46"/>
        <v>-1375</v>
      </c>
      <c r="BG173" s="2">
        <f>-BF173*'PV IN'!$E$8</f>
        <v>288.75</v>
      </c>
      <c r="BH173" s="2">
        <f>IF('PV IN'!$F$4="Battery Only",0,BB173+BG173)</f>
        <v>686.12654111094889</v>
      </c>
      <c r="BI173" s="2">
        <f>BH173/(1+('PV IN'!$G$9))^(C173)</f>
        <v>345.13440731739007</v>
      </c>
    </row>
    <row r="174" spans="2:61" x14ac:dyDescent="0.25">
      <c r="C174">
        <v>170</v>
      </c>
      <c r="D174" s="16">
        <f>D173*(1+('PV IN'!$G$6/12))</f>
        <v>7.5999999999999998E-2</v>
      </c>
      <c r="E174" s="16">
        <f>LkUP!$U$35</f>
        <v>8.1511322691594043E-2</v>
      </c>
      <c r="F174" s="16">
        <f>IF('PV IN'!$D$7="Table",E174,D174)</f>
        <v>8.1511322691594043E-2</v>
      </c>
      <c r="G174" s="33">
        <f>('PV IN'!$E$25*'PV IN'!$E$18/12)*(1-(1-'PV IN'!$E$27)/(25*12))^C173</f>
        <v>136245.76590386219</v>
      </c>
      <c r="H174" s="33">
        <f>IF('PV IN'!$D$19="YES",G174*'PV IN'!$E$21,0)</f>
        <v>0</v>
      </c>
      <c r="I174" s="33">
        <f>IF('PV IN'!$D$19="YES",'PV IN'!$E$22*BattCalcs!W174,0)</f>
        <v>0</v>
      </c>
      <c r="J174" s="33">
        <f>IF('PV IN'!$D$19="YES",'PV IN'!$E$23*BattCalcs!Y174,0)</f>
        <v>0</v>
      </c>
      <c r="K174" s="33">
        <f>BattCalcs!AF174</f>
        <v>25811.765833333331</v>
      </c>
      <c r="L174" s="33">
        <f t="shared" si="47"/>
        <v>25811.765833333331</v>
      </c>
      <c r="M174" s="33">
        <f>IF('PV IN'!$F$4="PV Only",G174,G174-SUM(H174:J174,L174))</f>
        <v>136245.76590386219</v>
      </c>
      <c r="N174" s="2">
        <f>IF(C174&lt;='PV IN'!$I$12*12,'PV IN'!$E$12*G174/1000,0)</f>
        <v>0</v>
      </c>
      <c r="O174" s="2">
        <f>IF(AND(C174&gt;'PV IN'!$I$12*12,C174&lt;='PV IN'!$I$13*12+'PV IN'!$I$12*12),'PV IN'!$E$13*PVCalcs!G174/1000,0)</f>
        <v>0</v>
      </c>
      <c r="P174" s="2">
        <f>IF(AND(C174&gt;'PV IN'!$I$12*12+'PV IN'!$I$13*12,C174&lt;='PV IN'!$I$12*12+'PV IN'!$I$13*12+'PV IN'!$I$14*12),'PV IN'!$E$14*PVCalcs!G174/1000,0)</f>
        <v>1771.1949567502086</v>
      </c>
      <c r="R174" s="10">
        <f>IF(AND('PV IN'!$D$35="YES",$C174&lt;='PV IN'!$E$35*12),-'PV IN'!$E$18*'PV IN'!$E$34/12,0)</f>
        <v>0</v>
      </c>
      <c r="S174" s="10">
        <f>IF(AND('PV IN'!$D$37="YES",$C174&lt;='PV IN'!$E$37*12),-'PV IN'!$E$18*'PV IN'!$E$36/12,0)</f>
        <v>0</v>
      </c>
      <c r="U174" s="2">
        <f t="shared" si="48"/>
        <v>11105.572589953092</v>
      </c>
      <c r="V174" s="10">
        <f>PVLoan!M201</f>
        <v>0</v>
      </c>
      <c r="W174" s="2">
        <f>IF(C174='PV IN'!$I$40,IF('PV IN'!$G$40="Non-Taxable",'PV IN'!$F$40,0),0)+IF(C174='PV IN'!$I$41,IF('PV IN'!$G$41="Non-Taxable",'PV IN'!$F$41,0),0)</f>
        <v>0</v>
      </c>
      <c r="X174" s="10"/>
      <c r="Y174" s="10">
        <f>IF('PV IN'!$E$15="Non-Taxable",SUM(N174:P174),0)</f>
        <v>1771.1949567502086</v>
      </c>
      <c r="Z174" s="10">
        <f>IF('PV IN'!$E$15="Taxable",SUM(N174:P174),0)</f>
        <v>0</v>
      </c>
      <c r="AA174" s="2">
        <f>IF(C174='PV IN'!$I$40,IF('PV IN'!$G$40="Taxable",'PV IN'!$F$40,0),0)+IF(C174='PV IN'!$I$41,IF('PV IN'!$G$41="Taxable",'PV IN'!$F$41,0),0)</f>
        <v>0</v>
      </c>
      <c r="AD174" s="10">
        <f>IF('PV IN'!$D$48="YES",-U174*'PV IN'!$E$8,0)</f>
        <v>0</v>
      </c>
      <c r="AE174" s="10">
        <f>IF('PV IN'!$N$10="Yes",-PVLoan!H202,-PVLoan!L202)</f>
        <v>0</v>
      </c>
      <c r="AF174" s="10">
        <f>IF('PV IN'!$N$10="Yes",-PVLoan!F202,0)</f>
        <v>0</v>
      </c>
      <c r="AG174" s="10">
        <f>IF(AND('PV IN'!$D$35="YES",$C174&lt;='PV IN'!$E$35*12),0,-'PV IN'!$E$18*'PV IN'!$E$34/12)</f>
        <v>-750</v>
      </c>
      <c r="AH174" s="10">
        <f>IF(AND('PV IN'!$D$37="YES",$C174&lt;='PV IN'!$E$37*12),0,-'PV IN'!$E$18*'PV IN'!$E$36/12)</f>
        <v>-625</v>
      </c>
      <c r="AI174" s="2">
        <f>IF(AND('PV IN'!$D$33="YES",PVCalcs!C174=ROUNDUP('PV IN'!$H$33*12,)),-'PV IN'!$E$33*'PV IN'!$E$18,0)</f>
        <v>0</v>
      </c>
      <c r="AK174" s="2">
        <f t="shared" si="33"/>
        <v>12876.7675467033</v>
      </c>
      <c r="AL174" s="2">
        <f t="shared" si="34"/>
        <v>-1375</v>
      </c>
      <c r="AM174" s="2">
        <f t="shared" si="38"/>
        <v>11501.7675467033</v>
      </c>
      <c r="AN174" s="43"/>
      <c r="AO174" s="2">
        <f t="shared" si="35"/>
        <v>0</v>
      </c>
      <c r="AP174" s="2">
        <f t="shared" si="39"/>
        <v>-1375</v>
      </c>
      <c r="AR174" s="2">
        <f t="shared" si="40"/>
        <v>-1375</v>
      </c>
      <c r="AS174" s="2">
        <f>-AR174*'PV IN'!$E$8</f>
        <v>288.75</v>
      </c>
      <c r="AT174" s="2">
        <f>IF('PV IN'!$F$4="Battery Only",0,AM174+AS174)</f>
        <v>11790.5175467033</v>
      </c>
      <c r="AV174" s="10">
        <f t="shared" si="41"/>
        <v>837302.05794496171</v>
      </c>
      <c r="AW174" s="2">
        <f>AT174/(1+('PV IN'!$G$9))^(C174)</f>
        <v>5906.7845753515985</v>
      </c>
      <c r="AX174" s="2">
        <f>IF(C174&lt;='PV IN'!$O$22*12,AW174+AX173,NA())</f>
        <v>207071.10808412527</v>
      </c>
      <c r="AZ174" s="10">
        <f t="shared" si="36"/>
        <v>-1375</v>
      </c>
      <c r="BA174" s="10">
        <f t="shared" si="37"/>
        <v>1771.1949567502088</v>
      </c>
      <c r="BB174" s="10">
        <f t="shared" si="42"/>
        <v>396.1949567502088</v>
      </c>
      <c r="BC174" s="10">
        <f t="shared" si="43"/>
        <v>0</v>
      </c>
      <c r="BD174" s="10">
        <f t="shared" si="44"/>
        <v>-1375</v>
      </c>
      <c r="BE174" s="2">
        <f t="shared" si="45"/>
        <v>0</v>
      </c>
      <c r="BF174" s="10">
        <f t="shared" si="46"/>
        <v>-1375</v>
      </c>
      <c r="BG174" s="2">
        <f>-BF174*'PV IN'!$E$8</f>
        <v>288.75</v>
      </c>
      <c r="BH174" s="2">
        <f>IF('PV IN'!$F$4="Battery Only",0,BB174+BG174)</f>
        <v>684.9449567502088</v>
      </c>
      <c r="BI174" s="2">
        <f>BH174/(1+('PV IN'!$G$9))^(C174)</f>
        <v>343.14204524705002</v>
      </c>
    </row>
    <row r="175" spans="2:61" x14ac:dyDescent="0.25">
      <c r="C175">
        <v>171</v>
      </c>
      <c r="D175" s="16">
        <f>D174*(1+('PV IN'!$G$6/12))</f>
        <v>7.5999999999999998E-2</v>
      </c>
      <c r="E175" s="16">
        <f>LkUP!$U$35</f>
        <v>8.1511322691594043E-2</v>
      </c>
      <c r="F175" s="16">
        <f>IF('PV IN'!$D$7="Table",E175,D175)</f>
        <v>8.1511322691594043E-2</v>
      </c>
      <c r="G175" s="33">
        <f>('PV IN'!$E$25*'PV IN'!$E$18/12)*(1-(1-'PV IN'!$E$27)/(25*12))^C174</f>
        <v>136154.9353932596</v>
      </c>
      <c r="H175" s="33">
        <f>IF('PV IN'!$D$19="YES",G175*'PV IN'!$E$21,0)</f>
        <v>0</v>
      </c>
      <c r="I175" s="33">
        <f>IF('PV IN'!$D$19="YES",'PV IN'!$E$22*BattCalcs!W175,0)</f>
        <v>0</v>
      </c>
      <c r="J175" s="33">
        <f>IF('PV IN'!$D$19="YES",'PV IN'!$E$23*BattCalcs!Y175,0)</f>
        <v>0</v>
      </c>
      <c r="K175" s="33">
        <f>BattCalcs!AF175</f>
        <v>25811.765833333331</v>
      </c>
      <c r="L175" s="33">
        <f t="shared" si="47"/>
        <v>25811.765833333331</v>
      </c>
      <c r="M175" s="33">
        <f>IF('PV IN'!$F$4="PV Only",G175,G175-SUM(H175:J175,L175))</f>
        <v>136154.9353932596</v>
      </c>
      <c r="N175" s="2">
        <f>IF(C175&lt;='PV IN'!$I$12*12,'PV IN'!$E$12*G175/1000,0)</f>
        <v>0</v>
      </c>
      <c r="O175" s="2">
        <f>IF(AND(C175&gt;'PV IN'!$I$12*12,C175&lt;='PV IN'!$I$13*12+'PV IN'!$I$12*12),'PV IN'!$E$13*PVCalcs!G175/1000,0)</f>
        <v>0</v>
      </c>
      <c r="P175" s="2">
        <f>IF(AND(C175&gt;'PV IN'!$I$12*12+'PV IN'!$I$13*12,C175&lt;='PV IN'!$I$12*12+'PV IN'!$I$13*12+'PV IN'!$I$14*12),'PV IN'!$E$14*PVCalcs!G175/1000,0)</f>
        <v>1770.0141601123746</v>
      </c>
      <c r="R175" s="10">
        <f>IF(AND('PV IN'!$D$35="YES",$C175&lt;='PV IN'!$E$35*12),-'PV IN'!$E$18*'PV IN'!$E$34/12,0)</f>
        <v>0</v>
      </c>
      <c r="S175" s="10">
        <f>IF(AND('PV IN'!$D$37="YES",$C175&lt;='PV IN'!$E$37*12),-'PV IN'!$E$18*'PV IN'!$E$36/12,0)</f>
        <v>0</v>
      </c>
      <c r="U175" s="2">
        <f t="shared" si="48"/>
        <v>11098.168874893123</v>
      </c>
      <c r="V175" s="10">
        <f>PVLoan!M202</f>
        <v>0</v>
      </c>
      <c r="W175" s="2">
        <f>IF(C175='PV IN'!$I$40,IF('PV IN'!$G$40="Non-Taxable",'PV IN'!$F$40,0),0)+IF(C175='PV IN'!$I$41,IF('PV IN'!$G$41="Non-Taxable",'PV IN'!$F$41,0),0)</f>
        <v>0</v>
      </c>
      <c r="X175" s="10"/>
      <c r="Y175" s="10">
        <f>IF('PV IN'!$E$15="Non-Taxable",SUM(N175:P175),0)</f>
        <v>1770.0141601123746</v>
      </c>
      <c r="Z175" s="10">
        <f>IF('PV IN'!$E$15="Taxable",SUM(N175:P175),0)</f>
        <v>0</v>
      </c>
      <c r="AA175" s="2">
        <f>IF(C175='PV IN'!$I$40,IF('PV IN'!$G$40="Taxable",'PV IN'!$F$40,0),0)+IF(C175='PV IN'!$I$41,IF('PV IN'!$G$41="Taxable",'PV IN'!$F$41,0),0)</f>
        <v>0</v>
      </c>
      <c r="AD175" s="10">
        <f>IF('PV IN'!$D$48="YES",-U175*'PV IN'!$E$8,0)</f>
        <v>0</v>
      </c>
      <c r="AE175" s="10">
        <f>IF('PV IN'!$N$10="Yes",-PVLoan!H203,-PVLoan!L203)</f>
        <v>0</v>
      </c>
      <c r="AF175" s="10">
        <f>IF('PV IN'!$N$10="Yes",-PVLoan!F203,0)</f>
        <v>0</v>
      </c>
      <c r="AG175" s="10">
        <f>IF(AND('PV IN'!$D$35="YES",$C175&lt;='PV IN'!$E$35*12),0,-'PV IN'!$E$18*'PV IN'!$E$34/12)</f>
        <v>-750</v>
      </c>
      <c r="AH175" s="10">
        <f>IF(AND('PV IN'!$D$37="YES",$C175&lt;='PV IN'!$E$37*12),0,-'PV IN'!$E$18*'PV IN'!$E$36/12)</f>
        <v>-625</v>
      </c>
      <c r="AI175" s="2">
        <f>IF(AND('PV IN'!$D$33="YES",PVCalcs!C175=ROUNDUP('PV IN'!$H$33*12,)),-'PV IN'!$E$33*'PV IN'!$E$18,0)</f>
        <v>0</v>
      </c>
      <c r="AK175" s="2">
        <f t="shared" si="33"/>
        <v>12868.183035005497</v>
      </c>
      <c r="AL175" s="2">
        <f t="shared" si="34"/>
        <v>-1375</v>
      </c>
      <c r="AM175" s="2">
        <f t="shared" si="38"/>
        <v>11493.183035005497</v>
      </c>
      <c r="AN175" s="43"/>
      <c r="AO175" s="2">
        <f t="shared" si="35"/>
        <v>0</v>
      </c>
      <c r="AP175" s="2">
        <f t="shared" si="39"/>
        <v>-1375</v>
      </c>
      <c r="AR175" s="2">
        <f t="shared" si="40"/>
        <v>-1375</v>
      </c>
      <c r="AS175" s="2">
        <f>-AR175*'PV IN'!$E$8</f>
        <v>288.75</v>
      </c>
      <c r="AT175" s="2">
        <f>IF('PV IN'!$F$4="Battery Only",0,AM175+AS175)</f>
        <v>11781.933035005497</v>
      </c>
      <c r="AV175" s="10">
        <f t="shared" si="41"/>
        <v>849083.99097996717</v>
      </c>
      <c r="AW175" s="2">
        <f>AT175/(1+('PV IN'!$G$9))^(C175)</f>
        <v>5878.5340523311143</v>
      </c>
      <c r="AX175" s="2">
        <f>IF(C175&lt;='PV IN'!$O$22*12,AW175+AX174,NA())</f>
        <v>212949.64213645639</v>
      </c>
      <c r="AZ175" s="10">
        <f t="shared" si="36"/>
        <v>-1375</v>
      </c>
      <c r="BA175" s="10">
        <f t="shared" si="37"/>
        <v>1770.0141601123742</v>
      </c>
      <c r="BB175" s="10">
        <f t="shared" si="42"/>
        <v>395.01416011237416</v>
      </c>
      <c r="BC175" s="10">
        <f t="shared" si="43"/>
        <v>0</v>
      </c>
      <c r="BD175" s="10">
        <f t="shared" si="44"/>
        <v>-1375</v>
      </c>
      <c r="BE175" s="2">
        <f t="shared" si="45"/>
        <v>0</v>
      </c>
      <c r="BF175" s="10">
        <f t="shared" si="46"/>
        <v>-1375</v>
      </c>
      <c r="BG175" s="2">
        <f>-BF175*'PV IN'!$E$8</f>
        <v>288.75</v>
      </c>
      <c r="BH175" s="2">
        <f>IF('PV IN'!$F$4="Battery Only",0,BB175+BG175)</f>
        <v>683.76416011237416</v>
      </c>
      <c r="BI175" s="2">
        <f>BH175/(1+('PV IN'!$G$9))^(C175)</f>
        <v>341.16056228139138</v>
      </c>
    </row>
    <row r="176" spans="2:61" x14ac:dyDescent="0.25">
      <c r="C176">
        <v>172</v>
      </c>
      <c r="D176" s="16">
        <f>D175*(1+('PV IN'!$G$6/12))</f>
        <v>7.5999999999999998E-2</v>
      </c>
      <c r="E176" s="16">
        <f>LkUP!$U$35</f>
        <v>8.1511322691594043E-2</v>
      </c>
      <c r="F176" s="16">
        <f>IF('PV IN'!$D$7="Table",E176,D176)</f>
        <v>8.1511322691594043E-2</v>
      </c>
      <c r="G176" s="33">
        <f>('PV IN'!$E$25*'PV IN'!$E$18/12)*(1-(1-'PV IN'!$E$27)/(25*12))^C175</f>
        <v>136064.16543633078</v>
      </c>
      <c r="H176" s="33">
        <f>IF('PV IN'!$D$19="YES",G176*'PV IN'!$E$21,0)</f>
        <v>0</v>
      </c>
      <c r="I176" s="33">
        <f>IF('PV IN'!$D$19="YES",'PV IN'!$E$22*BattCalcs!W176,0)</f>
        <v>0</v>
      </c>
      <c r="J176" s="33">
        <f>IF('PV IN'!$D$19="YES",'PV IN'!$E$23*BattCalcs!Y176,0)</f>
        <v>0</v>
      </c>
      <c r="K176" s="33">
        <f>BattCalcs!AF176</f>
        <v>25811.765833333331</v>
      </c>
      <c r="L176" s="33">
        <f t="shared" si="47"/>
        <v>25811.765833333331</v>
      </c>
      <c r="M176" s="33">
        <f>IF('PV IN'!$F$4="PV Only",G176,G176-SUM(H176:J176,L176))</f>
        <v>136064.16543633078</v>
      </c>
      <c r="N176" s="2">
        <f>IF(C176&lt;='PV IN'!$I$12*12,'PV IN'!$E$12*G176/1000,0)</f>
        <v>0</v>
      </c>
      <c r="O176" s="2">
        <f>IF(AND(C176&gt;'PV IN'!$I$12*12,C176&lt;='PV IN'!$I$13*12+'PV IN'!$I$12*12),'PV IN'!$E$13*PVCalcs!G176/1000,0)</f>
        <v>0</v>
      </c>
      <c r="P176" s="2">
        <f>IF(AND(C176&gt;'PV IN'!$I$12*12+'PV IN'!$I$13*12,C176&lt;='PV IN'!$I$12*12+'PV IN'!$I$13*12+'PV IN'!$I$14*12),'PV IN'!$E$14*PVCalcs!G176/1000,0)</f>
        <v>1768.8341506723</v>
      </c>
      <c r="R176" s="10">
        <f>IF(AND('PV IN'!$D$35="YES",$C176&lt;='PV IN'!$E$35*12),-'PV IN'!$E$18*'PV IN'!$E$34/12,0)</f>
        <v>0</v>
      </c>
      <c r="S176" s="10">
        <f>IF(AND('PV IN'!$D$37="YES",$C176&lt;='PV IN'!$E$37*12),-'PV IN'!$E$18*'PV IN'!$E$36/12,0)</f>
        <v>0</v>
      </c>
      <c r="U176" s="2">
        <f t="shared" si="48"/>
        <v>11090.770095643195</v>
      </c>
      <c r="V176" s="10">
        <f>PVLoan!M203</f>
        <v>0</v>
      </c>
      <c r="W176" s="2">
        <f>IF(C176='PV IN'!$I$40,IF('PV IN'!$G$40="Non-Taxable",'PV IN'!$F$40,0),0)+IF(C176='PV IN'!$I$41,IF('PV IN'!$G$41="Non-Taxable",'PV IN'!$F$41,0),0)</f>
        <v>0</v>
      </c>
      <c r="X176" s="10"/>
      <c r="Y176" s="10">
        <f>IF('PV IN'!$E$15="Non-Taxable",SUM(N176:P176),0)</f>
        <v>1768.8341506723</v>
      </c>
      <c r="Z176" s="10">
        <f>IF('PV IN'!$E$15="Taxable",SUM(N176:P176),0)</f>
        <v>0</v>
      </c>
      <c r="AA176" s="2">
        <f>IF(C176='PV IN'!$I$40,IF('PV IN'!$G$40="Taxable",'PV IN'!$F$40,0),0)+IF(C176='PV IN'!$I$41,IF('PV IN'!$G$41="Taxable",'PV IN'!$F$41,0),0)</f>
        <v>0</v>
      </c>
      <c r="AD176" s="10">
        <f>IF('PV IN'!$D$48="YES",-U176*'PV IN'!$E$8,0)</f>
        <v>0</v>
      </c>
      <c r="AE176" s="10">
        <f>IF('PV IN'!$N$10="Yes",-PVLoan!H204,-PVLoan!L204)</f>
        <v>0</v>
      </c>
      <c r="AF176" s="10">
        <f>IF('PV IN'!$N$10="Yes",-PVLoan!F204,0)</f>
        <v>0</v>
      </c>
      <c r="AG176" s="10">
        <f>IF(AND('PV IN'!$D$35="YES",$C176&lt;='PV IN'!$E$35*12),0,-'PV IN'!$E$18*'PV IN'!$E$34/12)</f>
        <v>-750</v>
      </c>
      <c r="AH176" s="10">
        <f>IF(AND('PV IN'!$D$37="YES",$C176&lt;='PV IN'!$E$37*12),0,-'PV IN'!$E$18*'PV IN'!$E$36/12)</f>
        <v>-625</v>
      </c>
      <c r="AI176" s="2">
        <f>IF(AND('PV IN'!$D$33="YES",PVCalcs!C176=ROUNDUP('PV IN'!$H$33*12,)),-'PV IN'!$E$33*'PV IN'!$E$18,0)</f>
        <v>0</v>
      </c>
      <c r="AK176" s="2">
        <f t="shared" si="33"/>
        <v>12859.604246315495</v>
      </c>
      <c r="AL176" s="2">
        <f t="shared" si="34"/>
        <v>-1375</v>
      </c>
      <c r="AM176" s="2">
        <f t="shared" si="38"/>
        <v>11484.604246315495</v>
      </c>
      <c r="AN176" s="43"/>
      <c r="AO176" s="2">
        <f t="shared" si="35"/>
        <v>0</v>
      </c>
      <c r="AP176" s="2">
        <f t="shared" si="39"/>
        <v>-1375</v>
      </c>
      <c r="AR176" s="2">
        <f t="shared" si="40"/>
        <v>-1375</v>
      </c>
      <c r="AS176" s="2">
        <f>-AR176*'PV IN'!$E$8</f>
        <v>288.75</v>
      </c>
      <c r="AT176" s="2">
        <f>IF('PV IN'!$F$4="Battery Only",0,AM176+AS176)</f>
        <v>11773.354246315495</v>
      </c>
      <c r="AV176" s="10">
        <f t="shared" si="41"/>
        <v>860857.34522628272</v>
      </c>
      <c r="AW176" s="2">
        <f>AT176/(1+('PV IN'!$G$9))^(C176)</f>
        <v>5850.4183817738312</v>
      </c>
      <c r="AX176" s="2">
        <f>IF(C176&lt;='PV IN'!$O$22*12,AW176+AX175,NA())</f>
        <v>218800.06051823022</v>
      </c>
      <c r="AZ176" s="10">
        <f t="shared" si="36"/>
        <v>-1375</v>
      </c>
      <c r="BA176" s="10">
        <f t="shared" si="37"/>
        <v>1768.8341506723009</v>
      </c>
      <c r="BB176" s="10">
        <f t="shared" si="42"/>
        <v>393.83415067230089</v>
      </c>
      <c r="BC176" s="10">
        <f t="shared" si="43"/>
        <v>0</v>
      </c>
      <c r="BD176" s="10">
        <f t="shared" si="44"/>
        <v>-1375</v>
      </c>
      <c r="BE176" s="2">
        <f t="shared" si="45"/>
        <v>0</v>
      </c>
      <c r="BF176" s="10">
        <f t="shared" si="46"/>
        <v>-1375</v>
      </c>
      <c r="BG176" s="2">
        <f>-BF176*'PV IN'!$E$8</f>
        <v>288.75</v>
      </c>
      <c r="BH176" s="2">
        <f>IF('PV IN'!$F$4="Battery Only",0,BB176+BG176)</f>
        <v>682.58415067230089</v>
      </c>
      <c r="BI176" s="2">
        <f>BH176/(1+('PV IN'!$G$9))^(C176)</f>
        <v>339.18990108111751</v>
      </c>
    </row>
    <row r="177" spans="2:61" x14ac:dyDescent="0.25">
      <c r="C177">
        <v>173</v>
      </c>
      <c r="D177" s="16">
        <f>D176*(1+('PV IN'!$G$6/12))</f>
        <v>7.5999999999999998E-2</v>
      </c>
      <c r="E177" s="16">
        <f>LkUP!$U$35</f>
        <v>8.1511322691594043E-2</v>
      </c>
      <c r="F177" s="16">
        <f>IF('PV IN'!$D$7="Table",E177,D177)</f>
        <v>8.1511322691594043E-2</v>
      </c>
      <c r="G177" s="33">
        <f>('PV IN'!$E$25*'PV IN'!$E$18/12)*(1-(1-'PV IN'!$E$27)/(25*12))^C176</f>
        <v>135973.45599270656</v>
      </c>
      <c r="H177" s="33">
        <f>IF('PV IN'!$D$19="YES",G177*'PV IN'!$E$21,0)</f>
        <v>0</v>
      </c>
      <c r="I177" s="33">
        <f>IF('PV IN'!$D$19="YES",'PV IN'!$E$22*BattCalcs!W177,0)</f>
        <v>0</v>
      </c>
      <c r="J177" s="33">
        <f>IF('PV IN'!$D$19="YES",'PV IN'!$E$23*BattCalcs!Y177,0)</f>
        <v>0</v>
      </c>
      <c r="K177" s="33">
        <f>BattCalcs!AF177</f>
        <v>25811.765833333331</v>
      </c>
      <c r="L177" s="33">
        <f t="shared" si="47"/>
        <v>25811.765833333331</v>
      </c>
      <c r="M177" s="33">
        <f>IF('PV IN'!$F$4="PV Only",G177,G177-SUM(H177:J177,L177))</f>
        <v>135973.45599270656</v>
      </c>
      <c r="N177" s="2">
        <f>IF(C177&lt;='PV IN'!$I$12*12,'PV IN'!$E$12*G177/1000,0)</f>
        <v>0</v>
      </c>
      <c r="O177" s="2">
        <f>IF(AND(C177&gt;'PV IN'!$I$12*12,C177&lt;='PV IN'!$I$13*12+'PV IN'!$I$12*12),'PV IN'!$E$13*PVCalcs!G177/1000,0)</f>
        <v>0</v>
      </c>
      <c r="P177" s="2">
        <f>IF(AND(C177&gt;'PV IN'!$I$12*12+'PV IN'!$I$13*12,C177&lt;='PV IN'!$I$12*12+'PV IN'!$I$13*12+'PV IN'!$I$14*12),'PV IN'!$E$14*PVCalcs!G177/1000,0)</f>
        <v>1767.6549279051851</v>
      </c>
      <c r="R177" s="10">
        <f>IF(AND('PV IN'!$D$35="YES",$C177&lt;='PV IN'!$E$35*12),-'PV IN'!$E$18*'PV IN'!$E$34/12,0)</f>
        <v>0</v>
      </c>
      <c r="S177" s="10">
        <f>IF(AND('PV IN'!$D$37="YES",$C177&lt;='PV IN'!$E$37*12),-'PV IN'!$E$18*'PV IN'!$E$36/12,0)</f>
        <v>0</v>
      </c>
      <c r="U177" s="2">
        <f t="shared" si="48"/>
        <v>11083.376248912766</v>
      </c>
      <c r="V177" s="10">
        <f>PVLoan!M204</f>
        <v>0</v>
      </c>
      <c r="W177" s="2">
        <f>IF(C177='PV IN'!$I$40,IF('PV IN'!$G$40="Non-Taxable",'PV IN'!$F$40,0),0)+IF(C177='PV IN'!$I$41,IF('PV IN'!$G$41="Non-Taxable",'PV IN'!$F$41,0),0)</f>
        <v>0</v>
      </c>
      <c r="X177" s="10"/>
      <c r="Y177" s="10">
        <f>IF('PV IN'!$E$15="Non-Taxable",SUM(N177:P177),0)</f>
        <v>1767.6549279051851</v>
      </c>
      <c r="Z177" s="10">
        <f>IF('PV IN'!$E$15="Taxable",SUM(N177:P177),0)</f>
        <v>0</v>
      </c>
      <c r="AA177" s="2">
        <f>IF(C177='PV IN'!$I$40,IF('PV IN'!$G$40="Taxable",'PV IN'!$F$40,0),0)+IF(C177='PV IN'!$I$41,IF('PV IN'!$G$41="Taxable",'PV IN'!$F$41,0),0)</f>
        <v>0</v>
      </c>
      <c r="AD177" s="10">
        <f>IF('PV IN'!$D$48="YES",-U177*'PV IN'!$E$8,0)</f>
        <v>0</v>
      </c>
      <c r="AE177" s="10">
        <f>IF('PV IN'!$N$10="Yes",-PVLoan!H205,-PVLoan!L205)</f>
        <v>0</v>
      </c>
      <c r="AF177" s="10">
        <f>IF('PV IN'!$N$10="Yes",-PVLoan!F205,0)</f>
        <v>0</v>
      </c>
      <c r="AG177" s="10">
        <f>IF(AND('PV IN'!$D$35="YES",$C177&lt;='PV IN'!$E$35*12),0,-'PV IN'!$E$18*'PV IN'!$E$34/12)</f>
        <v>-750</v>
      </c>
      <c r="AH177" s="10">
        <f>IF(AND('PV IN'!$D$37="YES",$C177&lt;='PV IN'!$E$37*12),0,-'PV IN'!$E$18*'PV IN'!$E$36/12)</f>
        <v>-625</v>
      </c>
      <c r="AI177" s="2">
        <f>IF(AND('PV IN'!$D$33="YES",PVCalcs!C177=ROUNDUP('PV IN'!$H$33*12,)),-'PV IN'!$E$33*'PV IN'!$E$18,0)</f>
        <v>0</v>
      </c>
      <c r="AK177" s="2">
        <f t="shared" si="33"/>
        <v>12851.031176817951</v>
      </c>
      <c r="AL177" s="2">
        <f t="shared" si="34"/>
        <v>-1375</v>
      </c>
      <c r="AM177" s="2">
        <f t="shared" si="38"/>
        <v>11476.031176817951</v>
      </c>
      <c r="AN177" s="43"/>
      <c r="AO177" s="2">
        <f t="shared" si="35"/>
        <v>0</v>
      </c>
      <c r="AP177" s="2">
        <f t="shared" si="39"/>
        <v>-1375</v>
      </c>
      <c r="AR177" s="2">
        <f t="shared" si="40"/>
        <v>-1375</v>
      </c>
      <c r="AS177" s="2">
        <f>-AR177*'PV IN'!$E$8</f>
        <v>288.75</v>
      </c>
      <c r="AT177" s="2">
        <f>IF('PV IN'!$F$4="Battery Only",0,AM177+AS177)</f>
        <v>11764.781176817951</v>
      </c>
      <c r="AV177" s="10">
        <f t="shared" si="41"/>
        <v>872622.12640310067</v>
      </c>
      <c r="AW177" s="2">
        <f>AT177/(1+('PV IN'!$G$9))^(C177)</f>
        <v>5822.436921017742</v>
      </c>
      <c r="AX177" s="2">
        <f>IF(C177&lt;='PV IN'!$O$22*12,AW177+AX176,NA())</f>
        <v>224622.49743924796</v>
      </c>
      <c r="AZ177" s="10">
        <f t="shared" si="36"/>
        <v>-1375</v>
      </c>
      <c r="BA177" s="10">
        <f t="shared" si="37"/>
        <v>1767.6549279051851</v>
      </c>
      <c r="BB177" s="10">
        <f t="shared" si="42"/>
        <v>392.6549279051851</v>
      </c>
      <c r="BC177" s="10">
        <f t="shared" si="43"/>
        <v>0</v>
      </c>
      <c r="BD177" s="10">
        <f t="shared" si="44"/>
        <v>-1375</v>
      </c>
      <c r="BE177" s="2">
        <f t="shared" si="45"/>
        <v>0</v>
      </c>
      <c r="BF177" s="10">
        <f t="shared" si="46"/>
        <v>-1375</v>
      </c>
      <c r="BG177" s="2">
        <f>-BF177*'PV IN'!$E$8</f>
        <v>288.75</v>
      </c>
      <c r="BH177" s="2">
        <f>IF('PV IN'!$F$4="Battery Only",0,BB177+BG177)</f>
        <v>681.4049279051851</v>
      </c>
      <c r="BI177" s="2">
        <f>BH177/(1+('PV IN'!$G$9))^(C177)</f>
        <v>337.23000460189303</v>
      </c>
    </row>
    <row r="178" spans="2:61" x14ac:dyDescent="0.25">
      <c r="C178">
        <v>174</v>
      </c>
      <c r="D178" s="16">
        <f>D177*(1+('PV IN'!$G$6/12))</f>
        <v>7.5999999999999998E-2</v>
      </c>
      <c r="E178" s="16">
        <f>LkUP!$U$35</f>
        <v>8.1511322691594043E-2</v>
      </c>
      <c r="F178" s="16">
        <f>IF('PV IN'!$D$7="Table",E178,D178)</f>
        <v>8.1511322691594043E-2</v>
      </c>
      <c r="G178" s="33">
        <f>('PV IN'!$E$25*'PV IN'!$E$18/12)*(1-(1-'PV IN'!$E$27)/(25*12))^C177</f>
        <v>135882.80702204476</v>
      </c>
      <c r="H178" s="33">
        <f>IF('PV IN'!$D$19="YES",G178*'PV IN'!$E$21,0)</f>
        <v>0</v>
      </c>
      <c r="I178" s="33">
        <f>IF('PV IN'!$D$19="YES",'PV IN'!$E$22*BattCalcs!W178,0)</f>
        <v>0</v>
      </c>
      <c r="J178" s="33">
        <f>IF('PV IN'!$D$19="YES",'PV IN'!$E$23*BattCalcs!Y178,0)</f>
        <v>0</v>
      </c>
      <c r="K178" s="33">
        <f>BattCalcs!AF178</f>
        <v>25811.765833333331</v>
      </c>
      <c r="L178" s="33">
        <f t="shared" si="47"/>
        <v>25811.765833333331</v>
      </c>
      <c r="M178" s="33">
        <f>IF('PV IN'!$F$4="PV Only",G178,G178-SUM(H178:J178,L178))</f>
        <v>135882.80702204476</v>
      </c>
      <c r="N178" s="2">
        <f>IF(C178&lt;='PV IN'!$I$12*12,'PV IN'!$E$12*G178/1000,0)</f>
        <v>0</v>
      </c>
      <c r="O178" s="2">
        <f>IF(AND(C178&gt;'PV IN'!$I$12*12,C178&lt;='PV IN'!$I$13*12+'PV IN'!$I$12*12),'PV IN'!$E$13*PVCalcs!G178/1000,0)</f>
        <v>0</v>
      </c>
      <c r="P178" s="2">
        <f>IF(AND(C178&gt;'PV IN'!$I$12*12+'PV IN'!$I$13*12,C178&lt;='PV IN'!$I$12*12+'PV IN'!$I$13*12+'PV IN'!$I$14*12),'PV IN'!$E$14*PVCalcs!G178/1000,0)</f>
        <v>1766.4764912865819</v>
      </c>
      <c r="R178" s="10">
        <f>IF(AND('PV IN'!$D$35="YES",$C178&lt;='PV IN'!$E$35*12),-'PV IN'!$E$18*'PV IN'!$E$34/12,0)</f>
        <v>0</v>
      </c>
      <c r="S178" s="10">
        <f>IF(AND('PV IN'!$D$37="YES",$C178&lt;='PV IN'!$E$37*12),-'PV IN'!$E$18*'PV IN'!$E$36/12,0)</f>
        <v>0</v>
      </c>
      <c r="U178" s="2">
        <f t="shared" si="48"/>
        <v>11075.987331413491</v>
      </c>
      <c r="V178" s="10">
        <f>PVLoan!M205</f>
        <v>0</v>
      </c>
      <c r="W178" s="2">
        <f>IF(C178='PV IN'!$I$40,IF('PV IN'!$G$40="Non-Taxable",'PV IN'!$F$40,0),0)+IF(C178='PV IN'!$I$41,IF('PV IN'!$G$41="Non-Taxable",'PV IN'!$F$41,0),0)</f>
        <v>0</v>
      </c>
      <c r="X178" s="10"/>
      <c r="Y178" s="10">
        <f>IF('PV IN'!$E$15="Non-Taxable",SUM(N178:P178),0)</f>
        <v>1766.4764912865819</v>
      </c>
      <c r="Z178" s="10">
        <f>IF('PV IN'!$E$15="Taxable",SUM(N178:P178),0)</f>
        <v>0</v>
      </c>
      <c r="AA178" s="2">
        <f>IF(C178='PV IN'!$I$40,IF('PV IN'!$G$40="Taxable",'PV IN'!$F$40,0),0)+IF(C178='PV IN'!$I$41,IF('PV IN'!$G$41="Taxable",'PV IN'!$F$41,0),0)</f>
        <v>0</v>
      </c>
      <c r="AD178" s="10">
        <f>IF('PV IN'!$D$48="YES",-U178*'PV IN'!$E$8,0)</f>
        <v>0</v>
      </c>
      <c r="AE178" s="10">
        <f>IF('PV IN'!$N$10="Yes",-PVLoan!H206,-PVLoan!L206)</f>
        <v>0</v>
      </c>
      <c r="AF178" s="10">
        <f>IF('PV IN'!$N$10="Yes",-PVLoan!F206,0)</f>
        <v>0</v>
      </c>
      <c r="AG178" s="10">
        <f>IF(AND('PV IN'!$D$35="YES",$C178&lt;='PV IN'!$E$35*12),0,-'PV IN'!$E$18*'PV IN'!$E$34/12)</f>
        <v>-750</v>
      </c>
      <c r="AH178" s="10">
        <f>IF(AND('PV IN'!$D$37="YES",$C178&lt;='PV IN'!$E$37*12),0,-'PV IN'!$E$18*'PV IN'!$E$36/12)</f>
        <v>-625</v>
      </c>
      <c r="AI178" s="2">
        <f>IF(AND('PV IN'!$D$33="YES",PVCalcs!C178=ROUNDUP('PV IN'!$H$33*12,)),-'PV IN'!$E$33*'PV IN'!$E$18,0)</f>
        <v>0</v>
      </c>
      <c r="AK178" s="2">
        <f t="shared" si="33"/>
        <v>12842.463822700072</v>
      </c>
      <c r="AL178" s="2">
        <f t="shared" si="34"/>
        <v>-1375</v>
      </c>
      <c r="AM178" s="2">
        <f t="shared" si="38"/>
        <v>11467.463822700072</v>
      </c>
      <c r="AN178" s="43"/>
      <c r="AO178" s="2">
        <f t="shared" si="35"/>
        <v>0</v>
      </c>
      <c r="AP178" s="2">
        <f t="shared" si="39"/>
        <v>-1375</v>
      </c>
      <c r="AR178" s="2">
        <f t="shared" si="40"/>
        <v>-1375</v>
      </c>
      <c r="AS178" s="2">
        <f>-AR178*'PV IN'!$E$8</f>
        <v>288.75</v>
      </c>
      <c r="AT178" s="2">
        <f>IF('PV IN'!$F$4="Battery Only",0,AM178+AS178)</f>
        <v>11756.213822700072</v>
      </c>
      <c r="AV178" s="10">
        <f t="shared" si="41"/>
        <v>884378.34022580076</v>
      </c>
      <c r="AW178" s="2">
        <f>AT178/(1+('PV IN'!$G$9))^(C178)</f>
        <v>5794.5890304593513</v>
      </c>
      <c r="AX178" s="2">
        <f>IF(C178&lt;='PV IN'!$O$22*12,AW178+AX177,NA())</f>
        <v>230417.08646970731</v>
      </c>
      <c r="AZ178" s="10">
        <f t="shared" si="36"/>
        <v>-1375</v>
      </c>
      <c r="BA178" s="10">
        <f t="shared" si="37"/>
        <v>1766.4764912865812</v>
      </c>
      <c r="BB178" s="10">
        <f t="shared" si="42"/>
        <v>391.47649128658122</v>
      </c>
      <c r="BC178" s="10">
        <f t="shared" si="43"/>
        <v>0</v>
      </c>
      <c r="BD178" s="10">
        <f t="shared" si="44"/>
        <v>-1375</v>
      </c>
      <c r="BE178" s="2">
        <f t="shared" si="45"/>
        <v>0</v>
      </c>
      <c r="BF178" s="10">
        <f t="shared" si="46"/>
        <v>-1375</v>
      </c>
      <c r="BG178" s="2">
        <f>-BF178*'PV IN'!$E$8</f>
        <v>288.75</v>
      </c>
      <c r="BH178" s="2">
        <f>IF('PV IN'!$F$4="Battery Only",0,BB178+BG178)</f>
        <v>680.22649128658122</v>
      </c>
      <c r="BI178" s="2">
        <f>BH178/(1+('PV IN'!$G$9))^(C178)</f>
        <v>335.28081609286301</v>
      </c>
    </row>
    <row r="179" spans="2:61" x14ac:dyDescent="0.25">
      <c r="C179">
        <v>175</v>
      </c>
      <c r="D179" s="16">
        <f>D178*(1+('PV IN'!$G$6/12))</f>
        <v>7.5999999999999998E-2</v>
      </c>
      <c r="E179" s="16">
        <f>LkUP!$U$35</f>
        <v>8.1511322691594043E-2</v>
      </c>
      <c r="F179" s="16">
        <f>IF('PV IN'!$D$7="Table",E179,D179)</f>
        <v>8.1511322691594043E-2</v>
      </c>
      <c r="G179" s="33">
        <f>('PV IN'!$E$25*'PV IN'!$E$18/12)*(1-(1-'PV IN'!$E$27)/(25*12))^C178</f>
        <v>135792.21848403002</v>
      </c>
      <c r="H179" s="33">
        <f>IF('PV IN'!$D$19="YES",G179*'PV IN'!$E$21,0)</f>
        <v>0</v>
      </c>
      <c r="I179" s="33">
        <f>IF('PV IN'!$D$19="YES",'PV IN'!$E$22*BattCalcs!W179,0)</f>
        <v>0</v>
      </c>
      <c r="J179" s="33">
        <f>IF('PV IN'!$D$19="YES",'PV IN'!$E$23*BattCalcs!Y179,0)</f>
        <v>0</v>
      </c>
      <c r="K179" s="33">
        <f>BattCalcs!AF179</f>
        <v>25811.765833333331</v>
      </c>
      <c r="L179" s="33">
        <f t="shared" si="47"/>
        <v>25811.765833333331</v>
      </c>
      <c r="M179" s="33">
        <f>IF('PV IN'!$F$4="PV Only",G179,G179-SUM(H179:J179,L179))</f>
        <v>135792.21848403002</v>
      </c>
      <c r="N179" s="2">
        <f>IF(C179&lt;='PV IN'!$I$12*12,'PV IN'!$E$12*G179/1000,0)</f>
        <v>0</v>
      </c>
      <c r="O179" s="2">
        <f>IF(AND(C179&gt;'PV IN'!$I$12*12,C179&lt;='PV IN'!$I$13*12+'PV IN'!$I$12*12),'PV IN'!$E$13*PVCalcs!G179/1000,0)</f>
        <v>0</v>
      </c>
      <c r="P179" s="2">
        <f>IF(AND(C179&gt;'PV IN'!$I$12*12+'PV IN'!$I$13*12,C179&lt;='PV IN'!$I$12*12+'PV IN'!$I$13*12+'PV IN'!$I$14*12),'PV IN'!$E$14*PVCalcs!G179/1000,0)</f>
        <v>1765.2988402923902</v>
      </c>
      <c r="R179" s="10">
        <f>IF(AND('PV IN'!$D$35="YES",$C179&lt;='PV IN'!$E$35*12),-'PV IN'!$E$18*'PV IN'!$E$34/12,0)</f>
        <v>0</v>
      </c>
      <c r="S179" s="10">
        <f>IF(AND('PV IN'!$D$37="YES",$C179&lt;='PV IN'!$E$37*12),-'PV IN'!$E$18*'PV IN'!$E$36/12,0)</f>
        <v>0</v>
      </c>
      <c r="U179" s="2">
        <f t="shared" si="48"/>
        <v>11068.603339859212</v>
      </c>
      <c r="V179" s="10">
        <f>PVLoan!M206</f>
        <v>0</v>
      </c>
      <c r="W179" s="2">
        <f>IF(C179='PV IN'!$I$40,IF('PV IN'!$G$40="Non-Taxable",'PV IN'!$F$40,0),0)+IF(C179='PV IN'!$I$41,IF('PV IN'!$G$41="Non-Taxable",'PV IN'!$F$41,0),0)</f>
        <v>0</v>
      </c>
      <c r="X179" s="10"/>
      <c r="Y179" s="10">
        <f>IF('PV IN'!$E$15="Non-Taxable",SUM(N179:P179),0)</f>
        <v>1765.2988402923902</v>
      </c>
      <c r="Z179" s="10">
        <f>IF('PV IN'!$E$15="Taxable",SUM(N179:P179),0)</f>
        <v>0</v>
      </c>
      <c r="AA179" s="2">
        <f>IF(C179='PV IN'!$I$40,IF('PV IN'!$G$40="Taxable",'PV IN'!$F$40,0),0)+IF(C179='PV IN'!$I$41,IF('PV IN'!$G$41="Taxable",'PV IN'!$F$41,0),0)</f>
        <v>0</v>
      </c>
      <c r="AD179" s="10">
        <f>IF('PV IN'!$D$48="YES",-U179*'PV IN'!$E$8,0)</f>
        <v>0</v>
      </c>
      <c r="AE179" s="10">
        <f>IF('PV IN'!$N$10="Yes",-PVLoan!H207,-PVLoan!L207)</f>
        <v>0</v>
      </c>
      <c r="AF179" s="10">
        <f>IF('PV IN'!$N$10="Yes",-PVLoan!F207,0)</f>
        <v>0</v>
      </c>
      <c r="AG179" s="10">
        <f>IF(AND('PV IN'!$D$35="YES",$C179&lt;='PV IN'!$E$35*12),0,-'PV IN'!$E$18*'PV IN'!$E$34/12)</f>
        <v>-750</v>
      </c>
      <c r="AH179" s="10">
        <f>IF(AND('PV IN'!$D$37="YES",$C179&lt;='PV IN'!$E$37*12),0,-'PV IN'!$E$18*'PV IN'!$E$36/12)</f>
        <v>-625</v>
      </c>
      <c r="AI179" s="2">
        <f>IF(AND('PV IN'!$D$33="YES",PVCalcs!C179=ROUNDUP('PV IN'!$H$33*12,)),-'PV IN'!$E$33*'PV IN'!$E$18,0)</f>
        <v>0</v>
      </c>
      <c r="AK179" s="2">
        <f t="shared" si="33"/>
        <v>12833.902180151603</v>
      </c>
      <c r="AL179" s="2">
        <f t="shared" si="34"/>
        <v>-1375</v>
      </c>
      <c r="AM179" s="2">
        <f t="shared" si="38"/>
        <v>11458.902180151603</v>
      </c>
      <c r="AN179" s="43"/>
      <c r="AO179" s="2">
        <f t="shared" si="35"/>
        <v>0</v>
      </c>
      <c r="AP179" s="2">
        <f t="shared" si="39"/>
        <v>-1375</v>
      </c>
      <c r="AR179" s="2">
        <f t="shared" si="40"/>
        <v>-1375</v>
      </c>
      <c r="AS179" s="2">
        <f>-AR179*'PV IN'!$E$8</f>
        <v>288.75</v>
      </c>
      <c r="AT179" s="2">
        <f>IF('PV IN'!$F$4="Battery Only",0,AM179+AS179)</f>
        <v>11747.652180151603</v>
      </c>
      <c r="AV179" s="10">
        <f t="shared" si="41"/>
        <v>896125.9924059523</v>
      </c>
      <c r="AW179" s="2">
        <f>AT179/(1+('PV IN'!$G$9))^(C179)</f>
        <v>5766.8740735391166</v>
      </c>
      <c r="AX179" s="2">
        <f>IF(C179&lt;='PV IN'!$O$22*12,AW179+AX178,NA())</f>
        <v>236183.96054324642</v>
      </c>
      <c r="AZ179" s="10">
        <f t="shared" si="36"/>
        <v>-1375</v>
      </c>
      <c r="BA179" s="10">
        <f t="shared" si="37"/>
        <v>1765.2988402923911</v>
      </c>
      <c r="BB179" s="10">
        <f t="shared" si="42"/>
        <v>390.29884029239111</v>
      </c>
      <c r="BC179" s="10">
        <f t="shared" si="43"/>
        <v>0</v>
      </c>
      <c r="BD179" s="10">
        <f t="shared" si="44"/>
        <v>-1375</v>
      </c>
      <c r="BE179" s="2">
        <f t="shared" si="45"/>
        <v>0</v>
      </c>
      <c r="BF179" s="10">
        <f t="shared" si="46"/>
        <v>-1375</v>
      </c>
      <c r="BG179" s="2">
        <f>-BF179*'PV IN'!$E$8</f>
        <v>288.75</v>
      </c>
      <c r="BH179" s="2">
        <f>IF('PV IN'!$F$4="Battery Only",0,BB179+BG179)</f>
        <v>679.04884029239111</v>
      </c>
      <c r="BI179" s="2">
        <f>BH179/(1+('PV IN'!$G$9))^(C179)</f>
        <v>333.34227909516289</v>
      </c>
    </row>
    <row r="180" spans="2:61" x14ac:dyDescent="0.25">
      <c r="C180">
        <v>176</v>
      </c>
      <c r="D180" s="16">
        <f>D179*(1+('PV IN'!$G$6/12))</f>
        <v>7.5999999999999998E-2</v>
      </c>
      <c r="E180" s="16">
        <f>LkUP!$U$35</f>
        <v>8.1511322691594043E-2</v>
      </c>
      <c r="F180" s="16">
        <f>IF('PV IN'!$D$7="Table",E180,D180)</f>
        <v>8.1511322691594043E-2</v>
      </c>
      <c r="G180" s="33">
        <f>('PV IN'!$E$25*'PV IN'!$E$18/12)*(1-(1-'PV IN'!$E$27)/(25*12))^C179</f>
        <v>135701.690338374</v>
      </c>
      <c r="H180" s="33">
        <f>IF('PV IN'!$D$19="YES",G180*'PV IN'!$E$21,0)</f>
        <v>0</v>
      </c>
      <c r="I180" s="33">
        <f>IF('PV IN'!$D$19="YES",'PV IN'!$E$22*BattCalcs!W180,0)</f>
        <v>0</v>
      </c>
      <c r="J180" s="33">
        <f>IF('PV IN'!$D$19="YES",'PV IN'!$E$23*BattCalcs!Y180,0)</f>
        <v>0</v>
      </c>
      <c r="K180" s="33">
        <f>BattCalcs!AF180</f>
        <v>25811.765833333331</v>
      </c>
      <c r="L180" s="33">
        <f t="shared" si="47"/>
        <v>25811.765833333331</v>
      </c>
      <c r="M180" s="33">
        <f>IF('PV IN'!$F$4="PV Only",G180,G180-SUM(H180:J180,L180))</f>
        <v>135701.690338374</v>
      </c>
      <c r="N180" s="2">
        <f>IF(C180&lt;='PV IN'!$I$12*12,'PV IN'!$E$12*G180/1000,0)</f>
        <v>0</v>
      </c>
      <c r="O180" s="2">
        <f>IF(AND(C180&gt;'PV IN'!$I$12*12,C180&lt;='PV IN'!$I$13*12+'PV IN'!$I$12*12),'PV IN'!$E$13*PVCalcs!G180/1000,0)</f>
        <v>0</v>
      </c>
      <c r="P180" s="2">
        <f>IF(AND(C180&gt;'PV IN'!$I$12*12+'PV IN'!$I$13*12,C180&lt;='PV IN'!$I$12*12+'PV IN'!$I$13*12+'PV IN'!$I$14*12),'PV IN'!$E$14*PVCalcs!G180/1000,0)</f>
        <v>1764.121974398862</v>
      </c>
      <c r="R180" s="10">
        <f>IF(AND('PV IN'!$D$35="YES",$C180&lt;='PV IN'!$E$35*12),-'PV IN'!$E$18*'PV IN'!$E$34/12,0)</f>
        <v>0</v>
      </c>
      <c r="S180" s="10">
        <f>IF(AND('PV IN'!$D$37="YES",$C180&lt;='PV IN'!$E$37*12),-'PV IN'!$E$18*'PV IN'!$E$36/12,0)</f>
        <v>0</v>
      </c>
      <c r="U180" s="2">
        <f t="shared" si="48"/>
        <v>11061.224270965973</v>
      </c>
      <c r="V180" s="10">
        <f>PVLoan!M207</f>
        <v>0</v>
      </c>
      <c r="W180" s="2">
        <f>IF(C180='PV IN'!$I$40,IF('PV IN'!$G$40="Non-Taxable",'PV IN'!$F$40,0),0)+IF(C180='PV IN'!$I$41,IF('PV IN'!$G$41="Non-Taxable",'PV IN'!$F$41,0),0)</f>
        <v>0</v>
      </c>
      <c r="X180" s="10"/>
      <c r="Y180" s="10">
        <f>IF('PV IN'!$E$15="Non-Taxable",SUM(N180:P180),0)</f>
        <v>1764.121974398862</v>
      </c>
      <c r="Z180" s="10">
        <f>IF('PV IN'!$E$15="Taxable",SUM(N180:P180),0)</f>
        <v>0</v>
      </c>
      <c r="AA180" s="2">
        <f>IF(C180='PV IN'!$I$40,IF('PV IN'!$G$40="Taxable",'PV IN'!$F$40,0),0)+IF(C180='PV IN'!$I$41,IF('PV IN'!$G$41="Taxable",'PV IN'!$F$41,0),0)</f>
        <v>0</v>
      </c>
      <c r="AD180" s="10">
        <f>IF('PV IN'!$D$48="YES",-U180*'PV IN'!$E$8,0)</f>
        <v>0</v>
      </c>
      <c r="AE180" s="10">
        <f>IF('PV IN'!$N$10="Yes",-PVLoan!H208,-PVLoan!L208)</f>
        <v>0</v>
      </c>
      <c r="AF180" s="10">
        <f>IF('PV IN'!$N$10="Yes",-PVLoan!F208,0)</f>
        <v>0</v>
      </c>
      <c r="AG180" s="10">
        <f>IF(AND('PV IN'!$D$35="YES",$C180&lt;='PV IN'!$E$35*12),0,-'PV IN'!$E$18*'PV IN'!$E$34/12)</f>
        <v>-750</v>
      </c>
      <c r="AH180" s="10">
        <f>IF(AND('PV IN'!$D$37="YES",$C180&lt;='PV IN'!$E$37*12),0,-'PV IN'!$E$18*'PV IN'!$E$36/12)</f>
        <v>-625</v>
      </c>
      <c r="AI180" s="2">
        <f>IF(AND('PV IN'!$D$33="YES",PVCalcs!C180=ROUNDUP('PV IN'!$H$33*12,)),-'PV IN'!$E$33*'PV IN'!$E$18,0)</f>
        <v>0</v>
      </c>
      <c r="AK180" s="2">
        <f t="shared" si="33"/>
        <v>12825.346245364835</v>
      </c>
      <c r="AL180" s="2">
        <f t="shared" si="34"/>
        <v>-1375</v>
      </c>
      <c r="AM180" s="2">
        <f t="shared" si="38"/>
        <v>11450.346245364835</v>
      </c>
      <c r="AN180" s="43"/>
      <c r="AO180" s="2">
        <f t="shared" si="35"/>
        <v>0</v>
      </c>
      <c r="AP180" s="2">
        <f t="shared" si="39"/>
        <v>-1375</v>
      </c>
      <c r="AR180" s="2">
        <f t="shared" si="40"/>
        <v>-1375</v>
      </c>
      <c r="AS180" s="2">
        <f>-AR180*'PV IN'!$E$8</f>
        <v>288.75</v>
      </c>
      <c r="AT180" s="2">
        <f>IF('PV IN'!$F$4="Battery Only",0,AM180+AS180)</f>
        <v>11739.096245364835</v>
      </c>
      <c r="AV180" s="10">
        <f t="shared" si="41"/>
        <v>907865.08865131717</v>
      </c>
      <c r="AW180" s="2">
        <f>AT180/(1+('PV IN'!$G$9))^(C180)</f>
        <v>5739.2914167269982</v>
      </c>
      <c r="AX180" s="2">
        <f>IF(C180&lt;='PV IN'!$O$22*12,AW180+AX179,NA())</f>
        <v>241923.25195997342</v>
      </c>
      <c r="AZ180" s="10">
        <f t="shared" si="36"/>
        <v>-1375</v>
      </c>
      <c r="BA180" s="10">
        <f t="shared" si="37"/>
        <v>1764.1219743988622</v>
      </c>
      <c r="BB180" s="10">
        <f t="shared" si="42"/>
        <v>389.12197439886222</v>
      </c>
      <c r="BC180" s="10">
        <f t="shared" si="43"/>
        <v>0</v>
      </c>
      <c r="BD180" s="10">
        <f t="shared" si="44"/>
        <v>-1375</v>
      </c>
      <c r="BE180" s="2">
        <f t="shared" si="45"/>
        <v>0</v>
      </c>
      <c r="BF180" s="10">
        <f t="shared" si="46"/>
        <v>-1375</v>
      </c>
      <c r="BG180" s="2">
        <f>-BF180*'PV IN'!$E$8</f>
        <v>288.75</v>
      </c>
      <c r="BH180" s="2">
        <f>IF('PV IN'!$F$4="Battery Only",0,BB180+BG180)</f>
        <v>677.87197439886222</v>
      </c>
      <c r="BI180" s="2">
        <f>BH180/(1+('PV IN'!$G$9))^(C180)</f>
        <v>331.41433744044252</v>
      </c>
    </row>
    <row r="181" spans="2:61" x14ac:dyDescent="0.25">
      <c r="C181">
        <v>177</v>
      </c>
      <c r="D181" s="16">
        <f>D180*(1+('PV IN'!$G$6/12))</f>
        <v>7.5999999999999998E-2</v>
      </c>
      <c r="E181" s="16">
        <f>LkUP!$U$35</f>
        <v>8.1511322691594043E-2</v>
      </c>
      <c r="F181" s="16">
        <f>IF('PV IN'!$D$7="Table",E181,D181)</f>
        <v>8.1511322691594043E-2</v>
      </c>
      <c r="G181" s="33">
        <f>('PV IN'!$E$25*'PV IN'!$E$18/12)*(1-(1-'PV IN'!$E$27)/(25*12))^C180</f>
        <v>135611.2225448151</v>
      </c>
      <c r="H181" s="33">
        <f>IF('PV IN'!$D$19="YES",G181*'PV IN'!$E$21,0)</f>
        <v>0</v>
      </c>
      <c r="I181" s="33">
        <f>IF('PV IN'!$D$19="YES",'PV IN'!$E$22*BattCalcs!W181,0)</f>
        <v>0</v>
      </c>
      <c r="J181" s="33">
        <f>IF('PV IN'!$D$19="YES",'PV IN'!$E$23*BattCalcs!Y181,0)</f>
        <v>0</v>
      </c>
      <c r="K181" s="33">
        <f>BattCalcs!AF181</f>
        <v>25811.765833333331</v>
      </c>
      <c r="L181" s="33">
        <f t="shared" si="47"/>
        <v>25811.765833333331</v>
      </c>
      <c r="M181" s="33">
        <f>IF('PV IN'!$F$4="PV Only",G181,G181-SUM(H181:J181,L181))</f>
        <v>135611.2225448151</v>
      </c>
      <c r="N181" s="2">
        <f>IF(C181&lt;='PV IN'!$I$12*12,'PV IN'!$E$12*G181/1000,0)</f>
        <v>0</v>
      </c>
      <c r="O181" s="2">
        <f>IF(AND(C181&gt;'PV IN'!$I$12*12,C181&lt;='PV IN'!$I$13*12+'PV IN'!$I$12*12),'PV IN'!$E$13*PVCalcs!G181/1000,0)</f>
        <v>0</v>
      </c>
      <c r="P181" s="2">
        <f>IF(AND(C181&gt;'PV IN'!$I$12*12+'PV IN'!$I$13*12,C181&lt;='PV IN'!$I$12*12+'PV IN'!$I$13*12+'PV IN'!$I$14*12),'PV IN'!$E$14*PVCalcs!G181/1000,0)</f>
        <v>1762.9458930825963</v>
      </c>
      <c r="R181" s="10">
        <f>IF(AND('PV IN'!$D$35="YES",$C181&lt;='PV IN'!$E$35*12),-'PV IN'!$E$18*'PV IN'!$E$34/12,0)</f>
        <v>0</v>
      </c>
      <c r="S181" s="10">
        <f>IF(AND('PV IN'!$D$37="YES",$C181&lt;='PV IN'!$E$37*12),-'PV IN'!$E$18*'PV IN'!$E$36/12,0)</f>
        <v>0</v>
      </c>
      <c r="U181" s="2">
        <f t="shared" si="48"/>
        <v>11053.850121451997</v>
      </c>
      <c r="V181" s="10">
        <f>PVLoan!M208</f>
        <v>0</v>
      </c>
      <c r="W181" s="2">
        <f>IF(C181='PV IN'!$I$40,IF('PV IN'!$G$40="Non-Taxable",'PV IN'!$F$40,0),0)+IF(C181='PV IN'!$I$41,IF('PV IN'!$G$41="Non-Taxable",'PV IN'!$F$41,0),0)</f>
        <v>0</v>
      </c>
      <c r="X181" s="10"/>
      <c r="Y181" s="10">
        <f>IF('PV IN'!$E$15="Non-Taxable",SUM(N181:P181),0)</f>
        <v>1762.9458930825963</v>
      </c>
      <c r="Z181" s="10">
        <f>IF('PV IN'!$E$15="Taxable",SUM(N181:P181),0)</f>
        <v>0</v>
      </c>
      <c r="AA181" s="2">
        <f>IF(C181='PV IN'!$I$40,IF('PV IN'!$G$40="Taxable",'PV IN'!$F$40,0),0)+IF(C181='PV IN'!$I$41,IF('PV IN'!$G$41="Taxable",'PV IN'!$F$41,0),0)</f>
        <v>0</v>
      </c>
      <c r="AD181" s="10">
        <f>IF('PV IN'!$D$48="YES",-U181*'PV IN'!$E$8,0)</f>
        <v>0</v>
      </c>
      <c r="AE181" s="10">
        <f>IF('PV IN'!$N$10="Yes",-PVLoan!H209,-PVLoan!L209)</f>
        <v>0</v>
      </c>
      <c r="AF181" s="10">
        <f>IF('PV IN'!$N$10="Yes",-PVLoan!F209,0)</f>
        <v>0</v>
      </c>
      <c r="AG181" s="10">
        <f>IF(AND('PV IN'!$D$35="YES",$C181&lt;='PV IN'!$E$35*12),0,-'PV IN'!$E$18*'PV IN'!$E$34/12)</f>
        <v>-750</v>
      </c>
      <c r="AH181" s="10">
        <f>IF(AND('PV IN'!$D$37="YES",$C181&lt;='PV IN'!$E$37*12),0,-'PV IN'!$E$18*'PV IN'!$E$36/12)</f>
        <v>-625</v>
      </c>
      <c r="AI181" s="2">
        <f>IF(AND('PV IN'!$D$33="YES",PVCalcs!C181=ROUNDUP('PV IN'!$H$33*12,)),-'PV IN'!$E$33*'PV IN'!$E$18,0)</f>
        <v>0</v>
      </c>
      <c r="AK181" s="2">
        <f t="shared" si="33"/>
        <v>12816.796014534593</v>
      </c>
      <c r="AL181" s="2">
        <f t="shared" si="34"/>
        <v>-1375</v>
      </c>
      <c r="AM181" s="2">
        <f t="shared" si="38"/>
        <v>11441.796014534593</v>
      </c>
      <c r="AN181" s="43"/>
      <c r="AO181" s="2">
        <f t="shared" si="35"/>
        <v>0</v>
      </c>
      <c r="AP181" s="2">
        <f t="shared" si="39"/>
        <v>-1375</v>
      </c>
      <c r="AR181" s="2">
        <f t="shared" si="40"/>
        <v>-1375</v>
      </c>
      <c r="AS181" s="2">
        <f>-AR181*'PV IN'!$E$8</f>
        <v>288.75</v>
      </c>
      <c r="AT181" s="2">
        <f>IF('PV IN'!$F$4="Battery Only",0,AM181+AS181)</f>
        <v>11730.546014534593</v>
      </c>
      <c r="AV181" s="10">
        <f t="shared" si="41"/>
        <v>919595.63466585171</v>
      </c>
      <c r="AW181" s="2">
        <f>AT181/(1+('PV IN'!$G$9))^(C181)</f>
        <v>5711.8404295080445</v>
      </c>
      <c r="AX181" s="2">
        <f>IF(C181&lt;='PV IN'!$O$22*12,AW181+AX180,NA())</f>
        <v>247635.09238948146</v>
      </c>
      <c r="AZ181" s="10">
        <f t="shared" si="36"/>
        <v>-1375</v>
      </c>
      <c r="BA181" s="10">
        <f t="shared" si="37"/>
        <v>1762.9458930825967</v>
      </c>
      <c r="BB181" s="10">
        <f t="shared" si="42"/>
        <v>387.94589308259674</v>
      </c>
      <c r="BC181" s="10">
        <f t="shared" si="43"/>
        <v>0</v>
      </c>
      <c r="BD181" s="10">
        <f t="shared" si="44"/>
        <v>-1375</v>
      </c>
      <c r="BE181" s="2">
        <f t="shared" si="45"/>
        <v>0</v>
      </c>
      <c r="BF181" s="10">
        <f t="shared" si="46"/>
        <v>-1375</v>
      </c>
      <c r="BG181" s="2">
        <f>-BF181*'PV IN'!$E$8</f>
        <v>288.75</v>
      </c>
      <c r="BH181" s="2">
        <f>IF('PV IN'!$F$4="Battery Only",0,BB181+BG181)</f>
        <v>676.69589308259674</v>
      </c>
      <c r="BI181" s="2">
        <f>BH181/(1+('PV IN'!$G$9))^(C181)</f>
        <v>329.49693524940142</v>
      </c>
    </row>
    <row r="182" spans="2:61" x14ac:dyDescent="0.25">
      <c r="C182">
        <v>178</v>
      </c>
      <c r="D182" s="16">
        <f>D181*(1+('PV IN'!$G$6/12))</f>
        <v>7.5999999999999998E-2</v>
      </c>
      <c r="E182" s="16">
        <f>LkUP!$U$35</f>
        <v>8.1511322691594043E-2</v>
      </c>
      <c r="F182" s="16">
        <f>IF('PV IN'!$D$7="Table",E182,D182)</f>
        <v>8.1511322691594043E-2</v>
      </c>
      <c r="G182" s="33">
        <f>('PV IN'!$E$25*'PV IN'!$E$18/12)*(1-(1-'PV IN'!$E$27)/(25*12))^C181</f>
        <v>135520.81506311853</v>
      </c>
      <c r="H182" s="33">
        <f>IF('PV IN'!$D$19="YES",G182*'PV IN'!$E$21,0)</f>
        <v>0</v>
      </c>
      <c r="I182" s="33">
        <f>IF('PV IN'!$D$19="YES",'PV IN'!$E$22*BattCalcs!W182,0)</f>
        <v>0</v>
      </c>
      <c r="J182" s="33">
        <f>IF('PV IN'!$D$19="YES",'PV IN'!$E$23*BattCalcs!Y182,0)</f>
        <v>0</v>
      </c>
      <c r="K182" s="33">
        <f>BattCalcs!AF182</f>
        <v>25811.765833333331</v>
      </c>
      <c r="L182" s="33">
        <f t="shared" si="47"/>
        <v>25811.765833333331</v>
      </c>
      <c r="M182" s="33">
        <f>IF('PV IN'!$F$4="PV Only",G182,G182-SUM(H182:J182,L182))</f>
        <v>135520.81506311853</v>
      </c>
      <c r="N182" s="2">
        <f>IF(C182&lt;='PV IN'!$I$12*12,'PV IN'!$E$12*G182/1000,0)</f>
        <v>0</v>
      </c>
      <c r="O182" s="2">
        <f>IF(AND(C182&gt;'PV IN'!$I$12*12,C182&lt;='PV IN'!$I$13*12+'PV IN'!$I$12*12),'PV IN'!$E$13*PVCalcs!G182/1000,0)</f>
        <v>0</v>
      </c>
      <c r="P182" s="2">
        <f>IF(AND(C182&gt;'PV IN'!$I$12*12+'PV IN'!$I$13*12,C182&lt;='PV IN'!$I$12*12+'PV IN'!$I$13*12+'PV IN'!$I$14*12),'PV IN'!$E$14*PVCalcs!G182/1000,0)</f>
        <v>1761.7705958205408</v>
      </c>
      <c r="R182" s="10">
        <f>IF(AND('PV IN'!$D$35="YES",$C182&lt;='PV IN'!$E$35*12),-'PV IN'!$E$18*'PV IN'!$E$34/12,0)</f>
        <v>0</v>
      </c>
      <c r="S182" s="10">
        <f>IF(AND('PV IN'!$D$37="YES",$C182&lt;='PV IN'!$E$37*12),-'PV IN'!$E$18*'PV IN'!$E$36/12,0)</f>
        <v>0</v>
      </c>
      <c r="U182" s="2">
        <f t="shared" si="48"/>
        <v>11046.480888037693</v>
      </c>
      <c r="V182" s="10">
        <f>PVLoan!M209</f>
        <v>0</v>
      </c>
      <c r="W182" s="2">
        <f>IF(C182='PV IN'!$I$40,IF('PV IN'!$G$40="Non-Taxable",'PV IN'!$F$40,0),0)+IF(C182='PV IN'!$I$41,IF('PV IN'!$G$41="Non-Taxable",'PV IN'!$F$41,0),0)</f>
        <v>0</v>
      </c>
      <c r="X182" s="10"/>
      <c r="Y182" s="10">
        <f>IF('PV IN'!$E$15="Non-Taxable",SUM(N182:P182),0)</f>
        <v>1761.7705958205408</v>
      </c>
      <c r="Z182" s="10">
        <f>IF('PV IN'!$E$15="Taxable",SUM(N182:P182),0)</f>
        <v>0</v>
      </c>
      <c r="AA182" s="2">
        <f>IF(C182='PV IN'!$I$40,IF('PV IN'!$G$40="Taxable",'PV IN'!$F$40,0),0)+IF(C182='PV IN'!$I$41,IF('PV IN'!$G$41="Taxable",'PV IN'!$F$41,0),0)</f>
        <v>0</v>
      </c>
      <c r="AD182" s="10">
        <f>IF('PV IN'!$D$48="YES",-U182*'PV IN'!$E$8,0)</f>
        <v>0</v>
      </c>
      <c r="AE182" s="10">
        <f>IF('PV IN'!$N$10="Yes",-PVLoan!H210,-PVLoan!L210)</f>
        <v>0</v>
      </c>
      <c r="AF182" s="10">
        <f>IF('PV IN'!$N$10="Yes",-PVLoan!F210,0)</f>
        <v>0</v>
      </c>
      <c r="AG182" s="10">
        <f>IF(AND('PV IN'!$D$35="YES",$C182&lt;='PV IN'!$E$35*12),0,-'PV IN'!$E$18*'PV IN'!$E$34/12)</f>
        <v>-750</v>
      </c>
      <c r="AH182" s="10">
        <f>IF(AND('PV IN'!$D$37="YES",$C182&lt;='PV IN'!$E$37*12),0,-'PV IN'!$E$18*'PV IN'!$E$36/12)</f>
        <v>-625</v>
      </c>
      <c r="AI182" s="2">
        <f>IF(AND('PV IN'!$D$33="YES",PVCalcs!C182=ROUNDUP('PV IN'!$H$33*12,)),-'PV IN'!$E$33*'PV IN'!$E$18,0)</f>
        <v>0</v>
      </c>
      <c r="AK182" s="2">
        <f t="shared" si="33"/>
        <v>12808.251483858234</v>
      </c>
      <c r="AL182" s="2">
        <f t="shared" si="34"/>
        <v>-1375</v>
      </c>
      <c r="AM182" s="2">
        <f t="shared" si="38"/>
        <v>11433.251483858234</v>
      </c>
      <c r="AN182" s="43"/>
      <c r="AO182" s="2">
        <f t="shared" si="35"/>
        <v>0</v>
      </c>
      <c r="AP182" s="2">
        <f t="shared" si="39"/>
        <v>-1375</v>
      </c>
      <c r="AR182" s="2">
        <f t="shared" si="40"/>
        <v>-1375</v>
      </c>
      <c r="AS182" s="2">
        <f>-AR182*'PV IN'!$E$8</f>
        <v>288.75</v>
      </c>
      <c r="AT182" s="2">
        <f>IF('PV IN'!$F$4="Battery Only",0,AM182+AS182)</f>
        <v>11722.001483858234</v>
      </c>
      <c r="AV182" s="10">
        <f t="shared" si="41"/>
        <v>931317.63614970993</v>
      </c>
      <c r="AW182" s="2">
        <f>AT182/(1+('PV IN'!$G$9))^(C182)</f>
        <v>5684.5204843680513</v>
      </c>
      <c r="AX182" s="2">
        <f>IF(C182&lt;='PV IN'!$O$22*12,AW182+AX181,NA())</f>
        <v>253319.61287384952</v>
      </c>
      <c r="AZ182" s="10">
        <f t="shared" si="36"/>
        <v>-1375</v>
      </c>
      <c r="BA182" s="10">
        <f t="shared" si="37"/>
        <v>1761.7705958205406</v>
      </c>
      <c r="BB182" s="10">
        <f t="shared" si="42"/>
        <v>386.77059582054062</v>
      </c>
      <c r="BC182" s="10">
        <f t="shared" si="43"/>
        <v>0</v>
      </c>
      <c r="BD182" s="10">
        <f t="shared" si="44"/>
        <v>-1375</v>
      </c>
      <c r="BE182" s="2">
        <f t="shared" si="45"/>
        <v>0</v>
      </c>
      <c r="BF182" s="10">
        <f t="shared" si="46"/>
        <v>-1375</v>
      </c>
      <c r="BG182" s="2">
        <f>-BF182*'PV IN'!$E$8</f>
        <v>288.75</v>
      </c>
      <c r="BH182" s="2">
        <f>IF('PV IN'!$F$4="Battery Only",0,BB182+BG182)</f>
        <v>675.52059582054062</v>
      </c>
      <c r="BI182" s="2">
        <f>BH182/(1+('PV IN'!$G$9))^(C182)</f>
        <v>327.59001693032167</v>
      </c>
    </row>
    <row r="183" spans="2:61" x14ac:dyDescent="0.25">
      <c r="C183">
        <v>179</v>
      </c>
      <c r="D183" s="16">
        <f>D182*(1+('PV IN'!$G$6/12))</f>
        <v>7.5999999999999998E-2</v>
      </c>
      <c r="E183" s="16">
        <f>LkUP!$U$35</f>
        <v>8.1511322691594043E-2</v>
      </c>
      <c r="F183" s="16">
        <f>IF('PV IN'!$D$7="Table",E183,D183)</f>
        <v>8.1511322691594043E-2</v>
      </c>
      <c r="G183" s="33">
        <f>('PV IN'!$E$25*'PV IN'!$E$18/12)*(1-(1-'PV IN'!$E$27)/(25*12))^C182</f>
        <v>135430.46785307646</v>
      </c>
      <c r="H183" s="33">
        <f>IF('PV IN'!$D$19="YES",G183*'PV IN'!$E$21,0)</f>
        <v>0</v>
      </c>
      <c r="I183" s="33">
        <f>IF('PV IN'!$D$19="YES",'PV IN'!$E$22*BattCalcs!W183,0)</f>
        <v>0</v>
      </c>
      <c r="J183" s="33">
        <f>IF('PV IN'!$D$19="YES",'PV IN'!$E$23*BattCalcs!Y183,0)</f>
        <v>0</v>
      </c>
      <c r="K183" s="33">
        <f>BattCalcs!AF183</f>
        <v>25811.765833333331</v>
      </c>
      <c r="L183" s="33">
        <f t="shared" si="47"/>
        <v>25811.765833333331</v>
      </c>
      <c r="M183" s="33">
        <f>IF('PV IN'!$F$4="PV Only",G183,G183-SUM(H183:J183,L183))</f>
        <v>135430.46785307646</v>
      </c>
      <c r="N183" s="2">
        <f>IF(C183&lt;='PV IN'!$I$12*12,'PV IN'!$E$12*G183/1000,0)</f>
        <v>0</v>
      </c>
      <c r="O183" s="2">
        <f>IF(AND(C183&gt;'PV IN'!$I$12*12,C183&lt;='PV IN'!$I$13*12+'PV IN'!$I$12*12),'PV IN'!$E$13*PVCalcs!G183/1000,0)</f>
        <v>0</v>
      </c>
      <c r="P183" s="2">
        <f>IF(AND(C183&gt;'PV IN'!$I$12*12+'PV IN'!$I$13*12,C183&lt;='PV IN'!$I$12*12+'PV IN'!$I$13*12+'PV IN'!$I$14*12),'PV IN'!$E$14*PVCalcs!G183/1000,0)</f>
        <v>1760.5960820899941</v>
      </c>
      <c r="R183" s="10">
        <f>IF(AND('PV IN'!$D$35="YES",$C183&lt;='PV IN'!$E$35*12),-'PV IN'!$E$18*'PV IN'!$E$34/12,0)</f>
        <v>0</v>
      </c>
      <c r="S183" s="10">
        <f>IF(AND('PV IN'!$D$37="YES",$C183&lt;='PV IN'!$E$37*12),-'PV IN'!$E$18*'PV IN'!$E$36/12,0)</f>
        <v>0</v>
      </c>
      <c r="U183" s="2">
        <f t="shared" si="48"/>
        <v>11039.11656744567</v>
      </c>
      <c r="V183" s="10">
        <f>PVLoan!M210</f>
        <v>0</v>
      </c>
      <c r="W183" s="2">
        <f>IF(C183='PV IN'!$I$40,IF('PV IN'!$G$40="Non-Taxable",'PV IN'!$F$40,0),0)+IF(C183='PV IN'!$I$41,IF('PV IN'!$G$41="Non-Taxable",'PV IN'!$F$41,0),0)</f>
        <v>0</v>
      </c>
      <c r="X183" s="10"/>
      <c r="Y183" s="10">
        <f>IF('PV IN'!$E$15="Non-Taxable",SUM(N183:P183),0)</f>
        <v>1760.5960820899941</v>
      </c>
      <c r="Z183" s="10">
        <f>IF('PV IN'!$E$15="Taxable",SUM(N183:P183),0)</f>
        <v>0</v>
      </c>
      <c r="AA183" s="2">
        <f>IF(C183='PV IN'!$I$40,IF('PV IN'!$G$40="Taxable",'PV IN'!$F$40,0),0)+IF(C183='PV IN'!$I$41,IF('PV IN'!$G$41="Taxable",'PV IN'!$F$41,0),0)</f>
        <v>0</v>
      </c>
      <c r="AD183" s="10">
        <f>IF('PV IN'!$D$48="YES",-U183*'PV IN'!$E$8,0)</f>
        <v>0</v>
      </c>
      <c r="AE183" s="10">
        <f>IF('PV IN'!$N$10="Yes",-PVLoan!H211,-PVLoan!L211)</f>
        <v>0</v>
      </c>
      <c r="AF183" s="10">
        <f>IF('PV IN'!$N$10="Yes",-PVLoan!F211,0)</f>
        <v>0</v>
      </c>
      <c r="AG183" s="10">
        <f>IF(AND('PV IN'!$D$35="YES",$C183&lt;='PV IN'!$E$35*12),0,-'PV IN'!$E$18*'PV IN'!$E$34/12)</f>
        <v>-750</v>
      </c>
      <c r="AH183" s="10">
        <f>IF(AND('PV IN'!$D$37="YES",$C183&lt;='PV IN'!$E$37*12),0,-'PV IN'!$E$18*'PV IN'!$E$36/12)</f>
        <v>-625</v>
      </c>
      <c r="AI183" s="2">
        <f>IF(AND('PV IN'!$D$33="YES",PVCalcs!C183=ROUNDUP('PV IN'!$H$33*12,)),-'PV IN'!$E$33*'PV IN'!$E$18,0)</f>
        <v>0</v>
      </c>
      <c r="AK183" s="2">
        <f t="shared" si="33"/>
        <v>12799.712649535664</v>
      </c>
      <c r="AL183" s="2">
        <f t="shared" si="34"/>
        <v>-1375</v>
      </c>
      <c r="AM183" s="2">
        <f t="shared" si="38"/>
        <v>11424.712649535664</v>
      </c>
      <c r="AN183" s="43"/>
      <c r="AO183" s="2">
        <f t="shared" si="35"/>
        <v>0</v>
      </c>
      <c r="AP183" s="2">
        <f t="shared" si="39"/>
        <v>-1375</v>
      </c>
      <c r="AR183" s="2">
        <f t="shared" si="40"/>
        <v>-1375</v>
      </c>
      <c r="AS183" s="2">
        <f>-AR183*'PV IN'!$E$8</f>
        <v>288.75</v>
      </c>
      <c r="AT183" s="2">
        <f>IF('PV IN'!$F$4="Battery Only",0,AM183+AS183)</f>
        <v>11713.462649535664</v>
      </c>
      <c r="AV183" s="10">
        <f t="shared" si="41"/>
        <v>943031.09879924555</v>
      </c>
      <c r="AW183" s="2">
        <f>AT183/(1+('PV IN'!$G$9))^(C183)</f>
        <v>5657.3309567793285</v>
      </c>
      <c r="AX183" s="2">
        <f>IF(C183&lt;='PV IN'!$O$22*12,AW183+AX182,NA())</f>
        <v>258976.94383062885</v>
      </c>
      <c r="AZ183" s="10">
        <f t="shared" si="36"/>
        <v>-1375</v>
      </c>
      <c r="BA183" s="10">
        <f t="shared" si="37"/>
        <v>1760.5960820899945</v>
      </c>
      <c r="BB183" s="10">
        <f t="shared" si="42"/>
        <v>385.59608208999452</v>
      </c>
      <c r="BC183" s="10">
        <f t="shared" si="43"/>
        <v>0</v>
      </c>
      <c r="BD183" s="10">
        <f t="shared" si="44"/>
        <v>-1375</v>
      </c>
      <c r="BE183" s="2">
        <f t="shared" si="45"/>
        <v>0</v>
      </c>
      <c r="BF183" s="10">
        <f t="shared" si="46"/>
        <v>-1375</v>
      </c>
      <c r="BG183" s="2">
        <f>-BF183*'PV IN'!$E$8</f>
        <v>288.75</v>
      </c>
      <c r="BH183" s="2">
        <f>IF('PV IN'!$F$4="Battery Only",0,BB183+BG183)</f>
        <v>674.34608208999452</v>
      </c>
      <c r="BI183" s="2">
        <f>BH183/(1+('PV IN'!$G$9))^(C183)</f>
        <v>325.69352717761996</v>
      </c>
    </row>
    <row r="184" spans="2:61" x14ac:dyDescent="0.25">
      <c r="B184">
        <v>15</v>
      </c>
      <c r="C184">
        <v>180</v>
      </c>
      <c r="D184" s="16">
        <f>D183*(1+('PV IN'!$G$6/12))</f>
        <v>7.5999999999999998E-2</v>
      </c>
      <c r="E184" s="16">
        <f>LkUP!$U$35</f>
        <v>8.1511322691594043E-2</v>
      </c>
      <c r="F184" s="16">
        <f>IF('PV IN'!$D$7="Table",E184,D184)</f>
        <v>8.1511322691594043E-2</v>
      </c>
      <c r="G184" s="33">
        <f>('PV IN'!$E$25*'PV IN'!$E$18/12)*(1-(1-'PV IN'!$E$27)/(25*12))^C183</f>
        <v>135340.18087450776</v>
      </c>
      <c r="H184" s="33">
        <f>IF('PV IN'!$D$19="YES",G184*'PV IN'!$E$21,0)</f>
        <v>0</v>
      </c>
      <c r="I184" s="33">
        <f>IF('PV IN'!$D$19="YES",'PV IN'!$E$22*BattCalcs!W184,0)</f>
        <v>0</v>
      </c>
      <c r="J184" s="33">
        <f>IF('PV IN'!$D$19="YES",'PV IN'!$E$23*BattCalcs!Y184,0)</f>
        <v>0</v>
      </c>
      <c r="K184" s="33">
        <f>BattCalcs!AF184</f>
        <v>25811.765833333331</v>
      </c>
      <c r="L184" s="33">
        <f t="shared" si="47"/>
        <v>25811.765833333331</v>
      </c>
      <c r="M184" s="33">
        <f>IF('PV IN'!$F$4="PV Only",G184,G184-SUM(H184:J184,L184))</f>
        <v>135340.18087450776</v>
      </c>
      <c r="N184" s="2">
        <f>IF(C184&lt;='PV IN'!$I$12*12,'PV IN'!$E$12*G184/1000,0)</f>
        <v>0</v>
      </c>
      <c r="O184" s="2">
        <f>IF(AND(C184&gt;'PV IN'!$I$12*12,C184&lt;='PV IN'!$I$13*12+'PV IN'!$I$12*12),'PV IN'!$E$13*PVCalcs!G184/1000,0)</f>
        <v>0</v>
      </c>
      <c r="P184" s="2">
        <f>IF(AND(C184&gt;'PV IN'!$I$12*12+'PV IN'!$I$13*12,C184&lt;='PV IN'!$I$12*12+'PV IN'!$I$13*12+'PV IN'!$I$14*12),'PV IN'!$E$14*PVCalcs!G184/1000,0)</f>
        <v>1759.4223513686009</v>
      </c>
      <c r="R184" s="10">
        <f>IF(AND('PV IN'!$D$35="YES",$C184&lt;='PV IN'!$E$35*12),-'PV IN'!$E$18*'PV IN'!$E$34/12,0)</f>
        <v>0</v>
      </c>
      <c r="S184" s="10">
        <f>IF(AND('PV IN'!$D$37="YES",$C184&lt;='PV IN'!$E$37*12),-'PV IN'!$E$18*'PV IN'!$E$36/12,0)</f>
        <v>0</v>
      </c>
      <c r="U184" s="2">
        <f t="shared" si="48"/>
        <v>11031.757156400707</v>
      </c>
      <c r="V184" s="10">
        <f>PVLoan!M211</f>
        <v>0</v>
      </c>
      <c r="W184" s="2">
        <f>IF(C184='PV IN'!$I$40,IF('PV IN'!$G$40="Non-Taxable",'PV IN'!$F$40,0),0)+IF(C184='PV IN'!$I$41,IF('PV IN'!$G$41="Non-Taxable",'PV IN'!$F$41,0),0)</f>
        <v>0</v>
      </c>
      <c r="X184" s="10"/>
      <c r="Y184" s="10">
        <f>IF('PV IN'!$E$15="Non-Taxable",SUM(N184:P184),0)</f>
        <v>1759.4223513686009</v>
      </c>
      <c r="Z184" s="10">
        <f>IF('PV IN'!$E$15="Taxable",SUM(N184:P184),0)</f>
        <v>0</v>
      </c>
      <c r="AA184" s="2">
        <f>IF(C184='PV IN'!$I$40,IF('PV IN'!$G$40="Taxable",'PV IN'!$F$40,0),0)+IF(C184='PV IN'!$I$41,IF('PV IN'!$G$41="Taxable",'PV IN'!$F$41,0),0)</f>
        <v>0</v>
      </c>
      <c r="AD184" s="10">
        <f>IF('PV IN'!$D$48="YES",-U184*'PV IN'!$E$8,0)</f>
        <v>0</v>
      </c>
      <c r="AE184" s="10">
        <f>IF('PV IN'!$N$10="Yes",-PVLoan!H212,-PVLoan!L212)</f>
        <v>0</v>
      </c>
      <c r="AF184" s="10">
        <f>IF('PV IN'!$N$10="Yes",-PVLoan!F212,0)</f>
        <v>0</v>
      </c>
      <c r="AG184" s="10">
        <f>IF(AND('PV IN'!$D$35="YES",$C184&lt;='PV IN'!$E$35*12),0,-'PV IN'!$E$18*'PV IN'!$E$34/12)</f>
        <v>-750</v>
      </c>
      <c r="AH184" s="10">
        <f>IF(AND('PV IN'!$D$37="YES",$C184&lt;='PV IN'!$E$37*12),0,-'PV IN'!$E$18*'PV IN'!$E$36/12)</f>
        <v>-625</v>
      </c>
      <c r="AI184" s="2">
        <f>IF(AND('PV IN'!$D$33="YES",PVCalcs!C184=ROUNDUP('PV IN'!$H$33*12,)),-'PV IN'!$E$33*'PV IN'!$E$18,0)</f>
        <v>-225000</v>
      </c>
      <c r="AK184" s="2">
        <f t="shared" si="33"/>
        <v>12791.179507769308</v>
      </c>
      <c r="AL184" s="2">
        <f t="shared" si="34"/>
        <v>-226375</v>
      </c>
      <c r="AM184" s="2">
        <f t="shared" si="38"/>
        <v>-213583.8204922307</v>
      </c>
      <c r="AN184" s="43"/>
      <c r="AO184" s="2">
        <f t="shared" si="35"/>
        <v>0</v>
      </c>
      <c r="AP184" s="2">
        <f t="shared" si="39"/>
        <v>-226375</v>
      </c>
      <c r="AR184" s="2">
        <f t="shared" si="40"/>
        <v>-226375</v>
      </c>
      <c r="AS184" s="2">
        <f>-AR184*'PV IN'!$E$8</f>
        <v>47538.75</v>
      </c>
      <c r="AT184" s="2">
        <f>IF('PV IN'!$F$4="Battery Only",0,AM184+AS184)</f>
        <v>-166045.0704922307</v>
      </c>
      <c r="AV184" s="10">
        <f t="shared" si="41"/>
        <v>776986.02830701484</v>
      </c>
      <c r="AW184" s="2">
        <f>AT184/(1+('PV IN'!$G$9))^(C184)</f>
        <v>-79870.517960482088</v>
      </c>
      <c r="AX184" s="2">
        <f>IF(C184&lt;='PV IN'!$O$22*12,AW184+AX183,NA())</f>
        <v>179106.42587014678</v>
      </c>
      <c r="AZ184" s="10">
        <f t="shared" si="36"/>
        <v>-226375</v>
      </c>
      <c r="BA184" s="10">
        <f t="shared" si="37"/>
        <v>1759.4223513686011</v>
      </c>
      <c r="BB184" s="10">
        <f t="shared" si="42"/>
        <v>-224615.57764863141</v>
      </c>
      <c r="BC184" s="10">
        <f t="shared" si="43"/>
        <v>0</v>
      </c>
      <c r="BD184" s="10">
        <f t="shared" si="44"/>
        <v>-226375</v>
      </c>
      <c r="BE184" s="2">
        <f t="shared" si="45"/>
        <v>0</v>
      </c>
      <c r="BF184" s="10">
        <f t="shared" si="46"/>
        <v>-226375</v>
      </c>
      <c r="BG184" s="2">
        <f>-BF184*'PV IN'!$E$8</f>
        <v>47538.75</v>
      </c>
      <c r="BH184" s="2">
        <f>IF('PV IN'!$F$4="Battery Only",0,BB184+BG184)</f>
        <v>-177076.82764863141</v>
      </c>
      <c r="BI184" s="2">
        <f>BH184/(1+('PV IN'!$G$9))^(C184)</f>
        <v>-85176.981774698157</v>
      </c>
    </row>
    <row r="185" spans="2:61" x14ac:dyDescent="0.25">
      <c r="C185">
        <v>181</v>
      </c>
      <c r="D185" s="16">
        <f>D184*(1+('PV IN'!$G$6/12))</f>
        <v>7.5999999999999998E-2</v>
      </c>
      <c r="E185" s="16">
        <f>LkUP!$U$36</f>
        <v>8.1772056019351544E-2</v>
      </c>
      <c r="F185" s="16">
        <f>IF('PV IN'!$D$7="Table",E185,D185)</f>
        <v>8.1772056019351544E-2</v>
      </c>
      <c r="G185" s="33">
        <f>('PV IN'!$E$25*'PV IN'!$E$18/12)*(1-(1-'PV IN'!$E$27)/(25*12))^C184</f>
        <v>135249.95408725805</v>
      </c>
      <c r="H185" s="33">
        <f>IF('PV IN'!$D$19="YES",G185*'PV IN'!$E$21,0)</f>
        <v>0</v>
      </c>
      <c r="I185" s="33">
        <f>IF('PV IN'!$D$19="YES",'PV IN'!$E$22*BattCalcs!W185,0)</f>
        <v>0</v>
      </c>
      <c r="J185" s="33">
        <f>IF('PV IN'!$D$19="YES",'PV IN'!$E$23*BattCalcs!Y185,0)</f>
        <v>0</v>
      </c>
      <c r="K185" s="33">
        <f>BattCalcs!AF185</f>
        <v>25811.765833333331</v>
      </c>
      <c r="L185" s="33">
        <f t="shared" si="47"/>
        <v>25811.765833333331</v>
      </c>
      <c r="M185" s="33">
        <f>IF('PV IN'!$F$4="PV Only",G185,G185-SUM(H185:J185,L185))</f>
        <v>135249.95408725805</v>
      </c>
      <c r="N185" s="2">
        <f>IF(C185&lt;='PV IN'!$I$12*12,'PV IN'!$E$12*G185/1000,0)</f>
        <v>0</v>
      </c>
      <c r="O185" s="2">
        <f>IF(AND(C185&gt;'PV IN'!$I$12*12,C185&lt;='PV IN'!$I$13*12+'PV IN'!$I$12*12),'PV IN'!$E$13*PVCalcs!G185/1000,0)</f>
        <v>0</v>
      </c>
      <c r="P185" s="2">
        <f>IF(AND(C185&gt;'PV IN'!$I$12*12+'PV IN'!$I$13*12,C185&lt;='PV IN'!$I$12*12+'PV IN'!$I$13*12+'PV IN'!$I$14*12),'PV IN'!$E$14*PVCalcs!G185/1000,0)</f>
        <v>0</v>
      </c>
      <c r="R185" s="10">
        <f>IF(AND('PV IN'!$D$35="YES",$C185&lt;='PV IN'!$E$35*12),-'PV IN'!$E$18*'PV IN'!$E$34/12,0)</f>
        <v>0</v>
      </c>
      <c r="S185" s="10">
        <f>IF(AND('PV IN'!$D$37="YES",$C185&lt;='PV IN'!$E$37*12),-'PV IN'!$E$18*'PV IN'!$E$36/12,0)</f>
        <v>0</v>
      </c>
      <c r="U185" s="2">
        <f t="shared" si="48"/>
        <v>11059.66682223799</v>
      </c>
      <c r="V185" s="10">
        <f>PVLoan!M212</f>
        <v>0</v>
      </c>
      <c r="W185" s="2">
        <f>IF(C185='PV IN'!$I$40,IF('PV IN'!$G$40="Non-Taxable",'PV IN'!$F$40,0),0)+IF(C185='PV IN'!$I$41,IF('PV IN'!$G$41="Non-Taxable",'PV IN'!$F$41,0),0)</f>
        <v>0</v>
      </c>
      <c r="X185" s="10"/>
      <c r="Y185" s="10">
        <f>IF('PV IN'!$E$15="Non-Taxable",SUM(N185:P185),0)</f>
        <v>0</v>
      </c>
      <c r="Z185" s="10">
        <f>IF('PV IN'!$E$15="Taxable",SUM(N185:P185),0)</f>
        <v>0</v>
      </c>
      <c r="AA185" s="2">
        <f>IF(C185='PV IN'!$I$40,IF('PV IN'!$G$40="Taxable",'PV IN'!$F$40,0),0)+IF(C185='PV IN'!$I$41,IF('PV IN'!$G$41="Taxable",'PV IN'!$F$41,0),0)</f>
        <v>0</v>
      </c>
      <c r="AD185" s="10">
        <f>IF('PV IN'!$D$48="YES",-U185*'PV IN'!$E$8,0)</f>
        <v>0</v>
      </c>
      <c r="AE185" s="10">
        <f>IF('PV IN'!$N$10="Yes",-PVLoan!H213,-PVLoan!L213)</f>
        <v>0</v>
      </c>
      <c r="AF185" s="10">
        <f>IF('PV IN'!$N$10="Yes",-PVLoan!F213,0)</f>
        <v>0</v>
      </c>
      <c r="AG185" s="10">
        <f>IF(AND('PV IN'!$D$35="YES",$C185&lt;='PV IN'!$E$35*12),0,-'PV IN'!$E$18*'PV IN'!$E$34/12)</f>
        <v>-750</v>
      </c>
      <c r="AH185" s="10">
        <f>IF(AND('PV IN'!$D$37="YES",$C185&lt;='PV IN'!$E$37*12),0,-'PV IN'!$E$18*'PV IN'!$E$36/12)</f>
        <v>-625</v>
      </c>
      <c r="AI185" s="2">
        <f>IF(AND('PV IN'!$D$33="YES",PVCalcs!C185=ROUNDUP('PV IN'!$H$33*12,)),-'PV IN'!$E$33*'PV IN'!$E$18,0)</f>
        <v>0</v>
      </c>
      <c r="AK185" s="2">
        <f t="shared" si="33"/>
        <v>11059.66682223799</v>
      </c>
      <c r="AL185" s="2">
        <f t="shared" si="34"/>
        <v>-1375</v>
      </c>
      <c r="AM185" s="2">
        <f t="shared" si="38"/>
        <v>9684.6668222379903</v>
      </c>
      <c r="AN185" s="43"/>
      <c r="AO185" s="2">
        <f t="shared" si="35"/>
        <v>0</v>
      </c>
      <c r="AP185" s="2">
        <f t="shared" si="39"/>
        <v>-1375</v>
      </c>
      <c r="AR185" s="2">
        <f t="shared" si="40"/>
        <v>-1375</v>
      </c>
      <c r="AS185" s="2">
        <f>-AR185*'PV IN'!$E$8</f>
        <v>288.75</v>
      </c>
      <c r="AT185" s="2">
        <f>IF('PV IN'!$F$4="Battery Only",0,AM185+AS185)</f>
        <v>9973.4168222379903</v>
      </c>
      <c r="AV185" s="10">
        <f t="shared" si="41"/>
        <v>786959.44512925285</v>
      </c>
      <c r="AW185" s="2">
        <f>AT185/(1+('PV IN'!$G$9))^(C185)</f>
        <v>4777.9181877594283</v>
      </c>
      <c r="AX185" s="2">
        <f>IF(C185&lt;='PV IN'!$O$22*12,AW185+AX184,NA())</f>
        <v>183884.34405790622</v>
      </c>
      <c r="AZ185" s="10">
        <f t="shared" si="36"/>
        <v>-1375</v>
      </c>
      <c r="BA185" s="10">
        <f t="shared" si="37"/>
        <v>0</v>
      </c>
      <c r="BB185" s="10">
        <f t="shared" si="42"/>
        <v>-1375</v>
      </c>
      <c r="BC185" s="10">
        <f t="shared" si="43"/>
        <v>0</v>
      </c>
      <c r="BD185" s="10">
        <f t="shared" si="44"/>
        <v>-1375</v>
      </c>
      <c r="BE185" s="2">
        <f t="shared" si="45"/>
        <v>0</v>
      </c>
      <c r="BF185" s="10">
        <f t="shared" si="46"/>
        <v>-1375</v>
      </c>
      <c r="BG185" s="2">
        <f>-BF185*'PV IN'!$E$8</f>
        <v>288.75</v>
      </c>
      <c r="BH185" s="2">
        <f>IF('PV IN'!$F$4="Battery Only",0,BB185+BG185)</f>
        <v>-1086.25</v>
      </c>
      <c r="BI185" s="2">
        <f>BH185/(1+('PV IN'!$G$9))^(C185)</f>
        <v>-520.38471107327723</v>
      </c>
    </row>
    <row r="186" spans="2:61" x14ac:dyDescent="0.25">
      <c r="C186">
        <v>182</v>
      </c>
      <c r="D186" s="16">
        <f>D185*(1+('PV IN'!$G$6/12))</f>
        <v>7.5999999999999998E-2</v>
      </c>
      <c r="E186" s="16">
        <f>LkUP!$U$36</f>
        <v>8.1772056019351544E-2</v>
      </c>
      <c r="F186" s="16">
        <f>IF('PV IN'!$D$7="Table",E186,D186)</f>
        <v>8.1772056019351544E-2</v>
      </c>
      <c r="G186" s="33">
        <f>('PV IN'!$E$25*'PV IN'!$E$18/12)*(1-(1-'PV IN'!$E$27)/(25*12))^C185</f>
        <v>135159.78745119987</v>
      </c>
      <c r="H186" s="33">
        <f>IF('PV IN'!$D$19="YES",G186*'PV IN'!$E$21,0)</f>
        <v>0</v>
      </c>
      <c r="I186" s="33">
        <f>IF('PV IN'!$D$19="YES",'PV IN'!$E$22*BattCalcs!W186,0)</f>
        <v>0</v>
      </c>
      <c r="J186" s="33">
        <f>IF('PV IN'!$D$19="YES",'PV IN'!$E$23*BattCalcs!Y186,0)</f>
        <v>0</v>
      </c>
      <c r="K186" s="33">
        <f>BattCalcs!AF186</f>
        <v>25811.765833333331</v>
      </c>
      <c r="L186" s="33">
        <f t="shared" si="47"/>
        <v>25811.765833333331</v>
      </c>
      <c r="M186" s="33">
        <f>IF('PV IN'!$F$4="PV Only",G186,G186-SUM(H186:J186,L186))</f>
        <v>135159.78745119987</v>
      </c>
      <c r="N186" s="2">
        <f>IF(C186&lt;='PV IN'!$I$12*12,'PV IN'!$E$12*G186/1000,0)</f>
        <v>0</v>
      </c>
      <c r="O186" s="2">
        <f>IF(AND(C186&gt;'PV IN'!$I$12*12,C186&lt;='PV IN'!$I$13*12+'PV IN'!$I$12*12),'PV IN'!$E$13*PVCalcs!G186/1000,0)</f>
        <v>0</v>
      </c>
      <c r="P186" s="2">
        <f>IF(AND(C186&gt;'PV IN'!$I$12*12+'PV IN'!$I$13*12,C186&lt;='PV IN'!$I$12*12+'PV IN'!$I$13*12+'PV IN'!$I$14*12),'PV IN'!$E$14*PVCalcs!G186/1000,0)</f>
        <v>0</v>
      </c>
      <c r="R186" s="10">
        <f>IF(AND('PV IN'!$D$35="YES",$C186&lt;='PV IN'!$E$35*12),-'PV IN'!$E$18*'PV IN'!$E$34/12,0)</f>
        <v>0</v>
      </c>
      <c r="S186" s="10">
        <f>IF(AND('PV IN'!$D$37="YES",$C186&lt;='PV IN'!$E$37*12),-'PV IN'!$E$18*'PV IN'!$E$36/12,0)</f>
        <v>0</v>
      </c>
      <c r="U186" s="2">
        <f t="shared" si="48"/>
        <v>11052.293711023163</v>
      </c>
      <c r="V186" s="10">
        <f>PVLoan!M213</f>
        <v>0</v>
      </c>
      <c r="W186" s="2">
        <f>IF(C186='PV IN'!$I$40,IF('PV IN'!$G$40="Non-Taxable",'PV IN'!$F$40,0),0)+IF(C186='PV IN'!$I$41,IF('PV IN'!$G$41="Non-Taxable",'PV IN'!$F$41,0),0)</f>
        <v>0</v>
      </c>
      <c r="X186" s="10"/>
      <c r="Y186" s="10">
        <f>IF('PV IN'!$E$15="Non-Taxable",SUM(N186:P186),0)</f>
        <v>0</v>
      </c>
      <c r="Z186" s="10">
        <f>IF('PV IN'!$E$15="Taxable",SUM(N186:P186),0)</f>
        <v>0</v>
      </c>
      <c r="AA186" s="2">
        <f>IF(C186='PV IN'!$I$40,IF('PV IN'!$G$40="Taxable",'PV IN'!$F$40,0),0)+IF(C186='PV IN'!$I$41,IF('PV IN'!$G$41="Taxable",'PV IN'!$F$41,0),0)</f>
        <v>0</v>
      </c>
      <c r="AD186" s="10">
        <f>IF('PV IN'!$D$48="YES",-U186*'PV IN'!$E$8,0)</f>
        <v>0</v>
      </c>
      <c r="AE186" s="10">
        <f>IF('PV IN'!$N$10="Yes",-PVLoan!H214,-PVLoan!L214)</f>
        <v>0</v>
      </c>
      <c r="AF186" s="10">
        <f>IF('PV IN'!$N$10="Yes",-PVLoan!F214,0)</f>
        <v>0</v>
      </c>
      <c r="AG186" s="10">
        <f>IF(AND('PV IN'!$D$35="YES",$C186&lt;='PV IN'!$E$35*12),0,-'PV IN'!$E$18*'PV IN'!$E$34/12)</f>
        <v>-750</v>
      </c>
      <c r="AH186" s="10">
        <f>IF(AND('PV IN'!$D$37="YES",$C186&lt;='PV IN'!$E$37*12),0,-'PV IN'!$E$18*'PV IN'!$E$36/12)</f>
        <v>-625</v>
      </c>
      <c r="AI186" s="2">
        <f>IF(AND('PV IN'!$D$33="YES",PVCalcs!C186=ROUNDUP('PV IN'!$H$33*12,)),-'PV IN'!$E$33*'PV IN'!$E$18,0)</f>
        <v>0</v>
      </c>
      <c r="AK186" s="2">
        <f t="shared" si="33"/>
        <v>11052.293711023163</v>
      </c>
      <c r="AL186" s="2">
        <f t="shared" si="34"/>
        <v>-1375</v>
      </c>
      <c r="AM186" s="2">
        <f t="shared" si="38"/>
        <v>9677.2937110231633</v>
      </c>
      <c r="AN186" s="43"/>
      <c r="AO186" s="2">
        <f t="shared" si="35"/>
        <v>0</v>
      </c>
      <c r="AP186" s="2">
        <f t="shared" si="39"/>
        <v>-1375</v>
      </c>
      <c r="AR186" s="2">
        <f t="shared" si="40"/>
        <v>-1375</v>
      </c>
      <c r="AS186" s="2">
        <f>-AR186*'PV IN'!$E$8</f>
        <v>288.75</v>
      </c>
      <c r="AT186" s="2">
        <f>IF('PV IN'!$F$4="Battery Only",0,AM186+AS186)</f>
        <v>9966.0437110231633</v>
      </c>
      <c r="AV186" s="10">
        <f t="shared" si="41"/>
        <v>796925.48884027603</v>
      </c>
      <c r="AW186" s="2">
        <f>AT186/(1+('PV IN'!$G$9))^(C186)</f>
        <v>4755.0134723476122</v>
      </c>
      <c r="AX186" s="2">
        <f>IF(C186&lt;='PV IN'!$O$22*12,AW186+AX185,NA())</f>
        <v>188639.35753025382</v>
      </c>
      <c r="AZ186" s="10">
        <f t="shared" si="36"/>
        <v>-1375</v>
      </c>
      <c r="BA186" s="10">
        <f t="shared" si="37"/>
        <v>0</v>
      </c>
      <c r="BB186" s="10">
        <f t="shared" si="42"/>
        <v>-1375</v>
      </c>
      <c r="BC186" s="10">
        <f t="shared" si="43"/>
        <v>0</v>
      </c>
      <c r="BD186" s="10">
        <f t="shared" si="44"/>
        <v>-1375</v>
      </c>
      <c r="BE186" s="2">
        <f t="shared" si="45"/>
        <v>0</v>
      </c>
      <c r="BF186" s="10">
        <f t="shared" si="46"/>
        <v>-1375</v>
      </c>
      <c r="BG186" s="2">
        <f>-BF186*'PV IN'!$E$8</f>
        <v>288.75</v>
      </c>
      <c r="BH186" s="2">
        <f>IF('PV IN'!$F$4="Battery Only",0,BB186+BG186)</f>
        <v>-1086.25</v>
      </c>
      <c r="BI186" s="2">
        <f>BH186/(1+('PV IN'!$G$9))^(C186)</f>
        <v>-518.27320189500904</v>
      </c>
    </row>
    <row r="187" spans="2:61" x14ac:dyDescent="0.25">
      <c r="C187">
        <v>183</v>
      </c>
      <c r="D187" s="16">
        <f>D186*(1+('PV IN'!$G$6/12))</f>
        <v>7.5999999999999998E-2</v>
      </c>
      <c r="E187" s="16">
        <f>LkUP!$U$36</f>
        <v>8.1772056019351544E-2</v>
      </c>
      <c r="F187" s="16">
        <f>IF('PV IN'!$D$7="Table",E187,D187)</f>
        <v>8.1772056019351544E-2</v>
      </c>
      <c r="G187" s="33">
        <f>('PV IN'!$E$25*'PV IN'!$E$18/12)*(1-(1-'PV IN'!$E$27)/(25*12))^C186</f>
        <v>135069.68092623242</v>
      </c>
      <c r="H187" s="33">
        <f>IF('PV IN'!$D$19="YES",G187*'PV IN'!$E$21,0)</f>
        <v>0</v>
      </c>
      <c r="I187" s="33">
        <f>IF('PV IN'!$D$19="YES",'PV IN'!$E$22*BattCalcs!W187,0)</f>
        <v>0</v>
      </c>
      <c r="J187" s="33">
        <f>IF('PV IN'!$D$19="YES",'PV IN'!$E$23*BattCalcs!Y187,0)</f>
        <v>0</v>
      </c>
      <c r="K187" s="33">
        <f>BattCalcs!AF187</f>
        <v>25811.765833333331</v>
      </c>
      <c r="L187" s="33">
        <f t="shared" si="47"/>
        <v>25811.765833333331</v>
      </c>
      <c r="M187" s="33">
        <f>IF('PV IN'!$F$4="PV Only",G187,G187-SUM(H187:J187,L187))</f>
        <v>135069.68092623242</v>
      </c>
      <c r="N187" s="2">
        <f>IF(C187&lt;='PV IN'!$I$12*12,'PV IN'!$E$12*G187/1000,0)</f>
        <v>0</v>
      </c>
      <c r="O187" s="2">
        <f>IF(AND(C187&gt;'PV IN'!$I$12*12,C187&lt;='PV IN'!$I$13*12+'PV IN'!$I$12*12),'PV IN'!$E$13*PVCalcs!G187/1000,0)</f>
        <v>0</v>
      </c>
      <c r="P187" s="2">
        <f>IF(AND(C187&gt;'PV IN'!$I$12*12+'PV IN'!$I$13*12,C187&lt;='PV IN'!$I$12*12+'PV IN'!$I$13*12+'PV IN'!$I$14*12),'PV IN'!$E$14*PVCalcs!G187/1000,0)</f>
        <v>0</v>
      </c>
      <c r="R187" s="10">
        <f>IF(AND('PV IN'!$D$35="YES",$C187&lt;='PV IN'!$E$35*12),-'PV IN'!$E$18*'PV IN'!$E$34/12,0)</f>
        <v>0</v>
      </c>
      <c r="S187" s="10">
        <f>IF(AND('PV IN'!$D$37="YES",$C187&lt;='PV IN'!$E$37*12),-'PV IN'!$E$18*'PV IN'!$E$36/12,0)</f>
        <v>0</v>
      </c>
      <c r="U187" s="2">
        <f t="shared" si="48"/>
        <v>11044.925515215817</v>
      </c>
      <c r="V187" s="10">
        <f>PVLoan!M214</f>
        <v>0</v>
      </c>
      <c r="W187" s="2">
        <f>IF(C187='PV IN'!$I$40,IF('PV IN'!$G$40="Non-Taxable",'PV IN'!$F$40,0),0)+IF(C187='PV IN'!$I$41,IF('PV IN'!$G$41="Non-Taxable",'PV IN'!$F$41,0),0)</f>
        <v>0</v>
      </c>
      <c r="X187" s="10"/>
      <c r="Y187" s="10">
        <f>IF('PV IN'!$E$15="Non-Taxable",SUM(N187:P187),0)</f>
        <v>0</v>
      </c>
      <c r="Z187" s="10">
        <f>IF('PV IN'!$E$15="Taxable",SUM(N187:P187),0)</f>
        <v>0</v>
      </c>
      <c r="AA187" s="2">
        <f>IF(C187='PV IN'!$I$40,IF('PV IN'!$G$40="Taxable",'PV IN'!$F$40,0),0)+IF(C187='PV IN'!$I$41,IF('PV IN'!$G$41="Taxable",'PV IN'!$F$41,0),0)</f>
        <v>0</v>
      </c>
      <c r="AD187" s="10">
        <f>IF('PV IN'!$D$48="YES",-U187*'PV IN'!$E$8,0)</f>
        <v>0</v>
      </c>
      <c r="AE187" s="10">
        <f>IF('PV IN'!$N$10="Yes",-PVLoan!H215,-PVLoan!L215)</f>
        <v>0</v>
      </c>
      <c r="AF187" s="10">
        <f>IF('PV IN'!$N$10="Yes",-PVLoan!F215,0)</f>
        <v>0</v>
      </c>
      <c r="AG187" s="10">
        <f>IF(AND('PV IN'!$D$35="YES",$C187&lt;='PV IN'!$E$35*12),0,-'PV IN'!$E$18*'PV IN'!$E$34/12)</f>
        <v>-750</v>
      </c>
      <c r="AH187" s="10">
        <f>IF(AND('PV IN'!$D$37="YES",$C187&lt;='PV IN'!$E$37*12),0,-'PV IN'!$E$18*'PV IN'!$E$36/12)</f>
        <v>-625</v>
      </c>
      <c r="AI187" s="2">
        <f>IF(AND('PV IN'!$D$33="YES",PVCalcs!C187=ROUNDUP('PV IN'!$H$33*12,)),-'PV IN'!$E$33*'PV IN'!$E$18,0)</f>
        <v>0</v>
      </c>
      <c r="AK187" s="2">
        <f t="shared" si="33"/>
        <v>11044.925515215817</v>
      </c>
      <c r="AL187" s="2">
        <f t="shared" si="34"/>
        <v>-1375</v>
      </c>
      <c r="AM187" s="2">
        <f t="shared" si="38"/>
        <v>9669.9255152158166</v>
      </c>
      <c r="AN187" s="43"/>
      <c r="AO187" s="2">
        <f t="shared" si="35"/>
        <v>0</v>
      </c>
      <c r="AP187" s="2">
        <f t="shared" si="39"/>
        <v>-1375</v>
      </c>
      <c r="AR187" s="2">
        <f t="shared" si="40"/>
        <v>-1375</v>
      </c>
      <c r="AS187" s="2">
        <f>-AR187*'PV IN'!$E$8</f>
        <v>288.75</v>
      </c>
      <c r="AT187" s="2">
        <f>IF('PV IN'!$F$4="Battery Only",0,AM187+AS187)</f>
        <v>9958.6755152158166</v>
      </c>
      <c r="AV187" s="10">
        <f t="shared" si="41"/>
        <v>806884.16435549187</v>
      </c>
      <c r="AW187" s="2">
        <f>AT187/(1+('PV IN'!$G$9))^(C187)</f>
        <v>4732.2183047533072</v>
      </c>
      <c r="AX187" s="2">
        <f>IF(C187&lt;='PV IN'!$O$22*12,AW187+AX186,NA())</f>
        <v>193371.57583500713</v>
      </c>
      <c r="AZ187" s="10">
        <f t="shared" si="36"/>
        <v>-1375</v>
      </c>
      <c r="BA187" s="10">
        <f t="shared" si="37"/>
        <v>0</v>
      </c>
      <c r="BB187" s="10">
        <f t="shared" si="42"/>
        <v>-1375</v>
      </c>
      <c r="BC187" s="10">
        <f t="shared" si="43"/>
        <v>0</v>
      </c>
      <c r="BD187" s="10">
        <f t="shared" si="44"/>
        <v>-1375</v>
      </c>
      <c r="BE187" s="2">
        <f t="shared" si="45"/>
        <v>0</v>
      </c>
      <c r="BF187" s="10">
        <f t="shared" si="46"/>
        <v>-1375</v>
      </c>
      <c r="BG187" s="2">
        <f>-BF187*'PV IN'!$E$8</f>
        <v>288.75</v>
      </c>
      <c r="BH187" s="2">
        <f>IF('PV IN'!$F$4="Battery Only",0,BB187+BG187)</f>
        <v>-1086.25</v>
      </c>
      <c r="BI187" s="2">
        <f>BH187/(1+('PV IN'!$G$9))^(C187)</f>
        <v>-516.17026036086099</v>
      </c>
    </row>
    <row r="188" spans="2:61" x14ac:dyDescent="0.25">
      <c r="C188">
        <v>184</v>
      </c>
      <c r="D188" s="16">
        <f>D187*(1+('PV IN'!$G$6/12))</f>
        <v>7.5999999999999998E-2</v>
      </c>
      <c r="E188" s="16">
        <f>LkUP!$U$36</f>
        <v>8.1772056019351544E-2</v>
      </c>
      <c r="F188" s="16">
        <f>IF('PV IN'!$D$7="Table",E188,D188)</f>
        <v>8.1772056019351544E-2</v>
      </c>
      <c r="G188" s="33">
        <f>('PV IN'!$E$25*'PV IN'!$E$18/12)*(1-(1-'PV IN'!$E$27)/(25*12))^C187</f>
        <v>134979.63447228158</v>
      </c>
      <c r="H188" s="33">
        <f>IF('PV IN'!$D$19="YES",G188*'PV IN'!$E$21,0)</f>
        <v>0</v>
      </c>
      <c r="I188" s="33">
        <f>IF('PV IN'!$D$19="YES",'PV IN'!$E$22*BattCalcs!W188,0)</f>
        <v>0</v>
      </c>
      <c r="J188" s="33">
        <f>IF('PV IN'!$D$19="YES",'PV IN'!$E$23*BattCalcs!Y188,0)</f>
        <v>0</v>
      </c>
      <c r="K188" s="33">
        <f>BattCalcs!AF188</f>
        <v>25811.765833333331</v>
      </c>
      <c r="L188" s="33">
        <f t="shared" si="47"/>
        <v>25811.765833333331</v>
      </c>
      <c r="M188" s="33">
        <f>IF('PV IN'!$F$4="PV Only",G188,G188-SUM(H188:J188,L188))</f>
        <v>134979.63447228158</v>
      </c>
      <c r="N188" s="2">
        <f>IF(C188&lt;='PV IN'!$I$12*12,'PV IN'!$E$12*G188/1000,0)</f>
        <v>0</v>
      </c>
      <c r="O188" s="2">
        <f>IF(AND(C188&gt;'PV IN'!$I$12*12,C188&lt;='PV IN'!$I$13*12+'PV IN'!$I$12*12),'PV IN'!$E$13*PVCalcs!G188/1000,0)</f>
        <v>0</v>
      </c>
      <c r="P188" s="2">
        <f>IF(AND(C188&gt;'PV IN'!$I$12*12+'PV IN'!$I$13*12,C188&lt;='PV IN'!$I$12*12+'PV IN'!$I$13*12+'PV IN'!$I$14*12),'PV IN'!$E$14*PVCalcs!G188/1000,0)</f>
        <v>0</v>
      </c>
      <c r="R188" s="10">
        <f>IF(AND('PV IN'!$D$35="YES",$C188&lt;='PV IN'!$E$35*12),-'PV IN'!$E$18*'PV IN'!$E$34/12,0)</f>
        <v>0</v>
      </c>
      <c r="S188" s="10">
        <f>IF(AND('PV IN'!$D$37="YES",$C188&lt;='PV IN'!$E$37*12),-'PV IN'!$E$18*'PV IN'!$E$36/12,0)</f>
        <v>0</v>
      </c>
      <c r="U188" s="2">
        <f t="shared" si="48"/>
        <v>11037.562231539005</v>
      </c>
      <c r="V188" s="10">
        <f>PVLoan!M215</f>
        <v>0</v>
      </c>
      <c r="W188" s="2">
        <f>IF(C188='PV IN'!$I$40,IF('PV IN'!$G$40="Non-Taxable",'PV IN'!$F$40,0),0)+IF(C188='PV IN'!$I$41,IF('PV IN'!$G$41="Non-Taxable",'PV IN'!$F$41,0),0)</f>
        <v>0</v>
      </c>
      <c r="X188" s="10"/>
      <c r="Y188" s="10">
        <f>IF('PV IN'!$E$15="Non-Taxable",SUM(N188:P188),0)</f>
        <v>0</v>
      </c>
      <c r="Z188" s="10">
        <f>IF('PV IN'!$E$15="Taxable",SUM(N188:P188),0)</f>
        <v>0</v>
      </c>
      <c r="AA188" s="2">
        <f>IF(C188='PV IN'!$I$40,IF('PV IN'!$G$40="Taxable",'PV IN'!$F$40,0),0)+IF(C188='PV IN'!$I$41,IF('PV IN'!$G$41="Taxable",'PV IN'!$F$41,0),0)</f>
        <v>0</v>
      </c>
      <c r="AD188" s="10">
        <f>IF('PV IN'!$D$48="YES",-U188*'PV IN'!$E$8,0)</f>
        <v>0</v>
      </c>
      <c r="AE188" s="10">
        <f>IF('PV IN'!$N$10="Yes",-PVLoan!H216,-PVLoan!L216)</f>
        <v>0</v>
      </c>
      <c r="AF188" s="10">
        <f>IF('PV IN'!$N$10="Yes",-PVLoan!F216,0)</f>
        <v>0</v>
      </c>
      <c r="AG188" s="10">
        <f>IF(AND('PV IN'!$D$35="YES",$C188&lt;='PV IN'!$E$35*12),0,-'PV IN'!$E$18*'PV IN'!$E$34/12)</f>
        <v>-750</v>
      </c>
      <c r="AH188" s="10">
        <f>IF(AND('PV IN'!$D$37="YES",$C188&lt;='PV IN'!$E$37*12),0,-'PV IN'!$E$18*'PV IN'!$E$36/12)</f>
        <v>-625</v>
      </c>
      <c r="AI188" s="2">
        <f>IF(AND('PV IN'!$D$33="YES",PVCalcs!C188=ROUNDUP('PV IN'!$H$33*12,)),-'PV IN'!$E$33*'PV IN'!$E$18,0)</f>
        <v>0</v>
      </c>
      <c r="AK188" s="2">
        <f t="shared" si="33"/>
        <v>11037.562231539005</v>
      </c>
      <c r="AL188" s="2">
        <f t="shared" si="34"/>
        <v>-1375</v>
      </c>
      <c r="AM188" s="2">
        <f t="shared" si="38"/>
        <v>9662.5622315390046</v>
      </c>
      <c r="AN188" s="43"/>
      <c r="AO188" s="2">
        <f t="shared" si="35"/>
        <v>0</v>
      </c>
      <c r="AP188" s="2">
        <f t="shared" si="39"/>
        <v>-1375</v>
      </c>
      <c r="AR188" s="2">
        <f t="shared" si="40"/>
        <v>-1375</v>
      </c>
      <c r="AS188" s="2">
        <f>-AR188*'PV IN'!$E$8</f>
        <v>288.75</v>
      </c>
      <c r="AT188" s="2">
        <f>IF('PV IN'!$F$4="Battery Only",0,AM188+AS188)</f>
        <v>9951.3122315390046</v>
      </c>
      <c r="AV188" s="10">
        <f t="shared" si="41"/>
        <v>816835.47658703092</v>
      </c>
      <c r="AW188" s="2">
        <f>AT188/(1+('PV IN'!$G$9))^(C188)</f>
        <v>4709.5321620519562</v>
      </c>
      <c r="AX188" s="2">
        <f>IF(C188&lt;='PV IN'!$O$22*12,AW188+AX187,NA())</f>
        <v>198081.10799705909</v>
      </c>
      <c r="AZ188" s="10">
        <f t="shared" si="36"/>
        <v>-1375</v>
      </c>
      <c r="BA188" s="10">
        <f t="shared" si="37"/>
        <v>0</v>
      </c>
      <c r="BB188" s="10">
        <f t="shared" si="42"/>
        <v>-1375</v>
      </c>
      <c r="BC188" s="10">
        <f t="shared" si="43"/>
        <v>0</v>
      </c>
      <c r="BD188" s="10">
        <f t="shared" si="44"/>
        <v>-1375</v>
      </c>
      <c r="BE188" s="2">
        <f t="shared" si="45"/>
        <v>0</v>
      </c>
      <c r="BF188" s="10">
        <f t="shared" si="46"/>
        <v>-1375</v>
      </c>
      <c r="BG188" s="2">
        <f>-BF188*'PV IN'!$E$8</f>
        <v>288.75</v>
      </c>
      <c r="BH188" s="2">
        <f>IF('PV IN'!$F$4="Battery Only",0,BB188+BG188)</f>
        <v>-1086.25</v>
      </c>
      <c r="BI188" s="2">
        <f>BH188/(1+('PV IN'!$G$9))^(C188)</f>
        <v>-514.07585170682273</v>
      </c>
    </row>
    <row r="189" spans="2:61" x14ac:dyDescent="0.25">
      <c r="C189">
        <v>185</v>
      </c>
      <c r="D189" s="16">
        <f>D188*(1+('PV IN'!$G$6/12))</f>
        <v>7.5999999999999998E-2</v>
      </c>
      <c r="E189" s="16">
        <f>LkUP!$U$36</f>
        <v>8.1772056019351544E-2</v>
      </c>
      <c r="F189" s="16">
        <f>IF('PV IN'!$D$7="Table",E189,D189)</f>
        <v>8.1772056019351544E-2</v>
      </c>
      <c r="G189" s="33">
        <f>('PV IN'!$E$25*'PV IN'!$E$18/12)*(1-(1-'PV IN'!$E$27)/(25*12))^C188</f>
        <v>134889.64804930004</v>
      </c>
      <c r="H189" s="33">
        <f>IF('PV IN'!$D$19="YES",G189*'PV IN'!$E$21,0)</f>
        <v>0</v>
      </c>
      <c r="I189" s="33">
        <f>IF('PV IN'!$D$19="YES",'PV IN'!$E$22*BattCalcs!W189,0)</f>
        <v>0</v>
      </c>
      <c r="J189" s="33">
        <f>IF('PV IN'!$D$19="YES",'PV IN'!$E$23*BattCalcs!Y189,0)</f>
        <v>0</v>
      </c>
      <c r="K189" s="33">
        <f>BattCalcs!AF189</f>
        <v>25811.765833333331</v>
      </c>
      <c r="L189" s="33">
        <f t="shared" si="47"/>
        <v>25811.765833333331</v>
      </c>
      <c r="M189" s="33">
        <f>IF('PV IN'!$F$4="PV Only",G189,G189-SUM(H189:J189,L189))</f>
        <v>134889.64804930004</v>
      </c>
      <c r="N189" s="2">
        <f>IF(C189&lt;='PV IN'!$I$12*12,'PV IN'!$E$12*G189/1000,0)</f>
        <v>0</v>
      </c>
      <c r="O189" s="2">
        <f>IF(AND(C189&gt;'PV IN'!$I$12*12,C189&lt;='PV IN'!$I$13*12+'PV IN'!$I$12*12),'PV IN'!$E$13*PVCalcs!G189/1000,0)</f>
        <v>0</v>
      </c>
      <c r="P189" s="2">
        <f>IF(AND(C189&gt;'PV IN'!$I$12*12+'PV IN'!$I$13*12,C189&lt;='PV IN'!$I$12*12+'PV IN'!$I$13*12+'PV IN'!$I$14*12),'PV IN'!$E$14*PVCalcs!G189/1000,0)</f>
        <v>0</v>
      </c>
      <c r="R189" s="10">
        <f>IF(AND('PV IN'!$D$35="YES",$C189&lt;='PV IN'!$E$35*12),-'PV IN'!$E$18*'PV IN'!$E$34/12,0)</f>
        <v>0</v>
      </c>
      <c r="S189" s="10">
        <f>IF(AND('PV IN'!$D$37="YES",$C189&lt;='PV IN'!$E$37*12),-'PV IN'!$E$18*'PV IN'!$E$36/12,0)</f>
        <v>0</v>
      </c>
      <c r="U189" s="2">
        <f t="shared" si="48"/>
        <v>11030.203856717977</v>
      </c>
      <c r="V189" s="10">
        <f>PVLoan!M216</f>
        <v>0</v>
      </c>
      <c r="W189" s="2">
        <f>IF(C189='PV IN'!$I$40,IF('PV IN'!$G$40="Non-Taxable",'PV IN'!$F$40,0),0)+IF(C189='PV IN'!$I$41,IF('PV IN'!$G$41="Non-Taxable",'PV IN'!$F$41,0),0)</f>
        <v>0</v>
      </c>
      <c r="X189" s="10"/>
      <c r="Y189" s="10">
        <f>IF('PV IN'!$E$15="Non-Taxable",SUM(N189:P189),0)</f>
        <v>0</v>
      </c>
      <c r="Z189" s="10">
        <f>IF('PV IN'!$E$15="Taxable",SUM(N189:P189),0)</f>
        <v>0</v>
      </c>
      <c r="AA189" s="2">
        <f>IF(C189='PV IN'!$I$40,IF('PV IN'!$G$40="Taxable",'PV IN'!$F$40,0),0)+IF(C189='PV IN'!$I$41,IF('PV IN'!$G$41="Taxable",'PV IN'!$F$41,0),0)</f>
        <v>0</v>
      </c>
      <c r="AD189" s="10">
        <f>IF('PV IN'!$D$48="YES",-U189*'PV IN'!$E$8,0)</f>
        <v>0</v>
      </c>
      <c r="AE189" s="10">
        <f>IF('PV IN'!$N$10="Yes",-PVLoan!H217,-PVLoan!L217)</f>
        <v>0</v>
      </c>
      <c r="AF189" s="10">
        <f>IF('PV IN'!$N$10="Yes",-PVLoan!F217,0)</f>
        <v>0</v>
      </c>
      <c r="AG189" s="10">
        <f>IF(AND('PV IN'!$D$35="YES",$C189&lt;='PV IN'!$E$35*12),0,-'PV IN'!$E$18*'PV IN'!$E$34/12)</f>
        <v>-750</v>
      </c>
      <c r="AH189" s="10">
        <f>IF(AND('PV IN'!$D$37="YES",$C189&lt;='PV IN'!$E$37*12),0,-'PV IN'!$E$18*'PV IN'!$E$36/12)</f>
        <v>-625</v>
      </c>
      <c r="AI189" s="2">
        <f>IF(AND('PV IN'!$D$33="YES",PVCalcs!C189=ROUNDUP('PV IN'!$H$33*12,)),-'PV IN'!$E$33*'PV IN'!$E$18,0)</f>
        <v>0</v>
      </c>
      <c r="AK189" s="2">
        <f t="shared" si="33"/>
        <v>11030.203856717977</v>
      </c>
      <c r="AL189" s="2">
        <f t="shared" si="34"/>
        <v>-1375</v>
      </c>
      <c r="AM189" s="2">
        <f t="shared" si="38"/>
        <v>9655.203856717977</v>
      </c>
      <c r="AN189" s="43"/>
      <c r="AO189" s="2">
        <f t="shared" si="35"/>
        <v>0</v>
      </c>
      <c r="AP189" s="2">
        <f t="shared" si="39"/>
        <v>-1375</v>
      </c>
      <c r="AR189" s="2">
        <f t="shared" si="40"/>
        <v>-1375</v>
      </c>
      <c r="AS189" s="2">
        <f>-AR189*'PV IN'!$E$8</f>
        <v>288.75</v>
      </c>
      <c r="AT189" s="2">
        <f>IF('PV IN'!$F$4="Battery Only",0,AM189+AS189)</f>
        <v>9943.953856717977</v>
      </c>
      <c r="AV189" s="10">
        <f t="shared" si="41"/>
        <v>826779.43044374895</v>
      </c>
      <c r="AW189" s="2">
        <f>AT189/(1+('PV IN'!$G$9))^(C189)</f>
        <v>4686.9545238111114</v>
      </c>
      <c r="AX189" s="2">
        <f>IF(C189&lt;='PV IN'!$O$22*12,AW189+AX188,NA())</f>
        <v>202768.06252087021</v>
      </c>
      <c r="AZ189" s="10">
        <f t="shared" si="36"/>
        <v>-1375</v>
      </c>
      <c r="BA189" s="10">
        <f t="shared" si="37"/>
        <v>0</v>
      </c>
      <c r="BB189" s="10">
        <f t="shared" si="42"/>
        <v>-1375</v>
      </c>
      <c r="BC189" s="10">
        <f t="shared" si="43"/>
        <v>0</v>
      </c>
      <c r="BD189" s="10">
        <f t="shared" si="44"/>
        <v>-1375</v>
      </c>
      <c r="BE189" s="2">
        <f t="shared" si="45"/>
        <v>0</v>
      </c>
      <c r="BF189" s="10">
        <f t="shared" si="46"/>
        <v>-1375</v>
      </c>
      <c r="BG189" s="2">
        <f>-BF189*'PV IN'!$E$8</f>
        <v>288.75</v>
      </c>
      <c r="BH189" s="2">
        <f>IF('PV IN'!$F$4="Battery Only",0,BB189+BG189)</f>
        <v>-1086.25</v>
      </c>
      <c r="BI189" s="2">
        <f>BH189/(1+('PV IN'!$G$9))^(C189)</f>
        <v>-511.98994130994316</v>
      </c>
    </row>
    <row r="190" spans="2:61" x14ac:dyDescent="0.25">
      <c r="C190">
        <v>186</v>
      </c>
      <c r="D190" s="16">
        <f>D189*(1+('PV IN'!$G$6/12))</f>
        <v>7.5999999999999998E-2</v>
      </c>
      <c r="E190" s="16">
        <f>LkUP!$U$36</f>
        <v>8.1772056019351544E-2</v>
      </c>
      <c r="F190" s="16">
        <f>IF('PV IN'!$D$7="Table",E190,D190)</f>
        <v>8.1772056019351544E-2</v>
      </c>
      <c r="G190" s="33">
        <f>('PV IN'!$E$25*'PV IN'!$E$18/12)*(1-(1-'PV IN'!$E$27)/(25*12))^C189</f>
        <v>134799.72161726718</v>
      </c>
      <c r="H190" s="33">
        <f>IF('PV IN'!$D$19="YES",G190*'PV IN'!$E$21,0)</f>
        <v>0</v>
      </c>
      <c r="I190" s="33">
        <f>IF('PV IN'!$D$19="YES",'PV IN'!$E$22*BattCalcs!W190,0)</f>
        <v>0</v>
      </c>
      <c r="J190" s="33">
        <f>IF('PV IN'!$D$19="YES",'PV IN'!$E$23*BattCalcs!Y190,0)</f>
        <v>0</v>
      </c>
      <c r="K190" s="33">
        <f>BattCalcs!AF190</f>
        <v>25811.765833333331</v>
      </c>
      <c r="L190" s="33">
        <f t="shared" si="47"/>
        <v>25811.765833333331</v>
      </c>
      <c r="M190" s="33">
        <f>IF('PV IN'!$F$4="PV Only",G190,G190-SUM(H190:J190,L190))</f>
        <v>134799.72161726718</v>
      </c>
      <c r="N190" s="2">
        <f>IF(C190&lt;='PV IN'!$I$12*12,'PV IN'!$E$12*G190/1000,0)</f>
        <v>0</v>
      </c>
      <c r="O190" s="2">
        <f>IF(AND(C190&gt;'PV IN'!$I$12*12,C190&lt;='PV IN'!$I$13*12+'PV IN'!$I$12*12),'PV IN'!$E$13*PVCalcs!G190/1000,0)</f>
        <v>0</v>
      </c>
      <c r="P190" s="2">
        <f>IF(AND(C190&gt;'PV IN'!$I$12*12+'PV IN'!$I$13*12,C190&lt;='PV IN'!$I$12*12+'PV IN'!$I$13*12+'PV IN'!$I$14*12),'PV IN'!$E$14*PVCalcs!G190/1000,0)</f>
        <v>0</v>
      </c>
      <c r="R190" s="10">
        <f>IF(AND('PV IN'!$D$35="YES",$C190&lt;='PV IN'!$E$35*12),-'PV IN'!$E$18*'PV IN'!$E$34/12,0)</f>
        <v>0</v>
      </c>
      <c r="S190" s="10">
        <f>IF(AND('PV IN'!$D$37="YES",$C190&lt;='PV IN'!$E$37*12),-'PV IN'!$E$18*'PV IN'!$E$36/12,0)</f>
        <v>0</v>
      </c>
      <c r="U190" s="2">
        <f t="shared" si="48"/>
        <v>11022.850387480164</v>
      </c>
      <c r="V190" s="10">
        <f>PVLoan!M217</f>
        <v>0</v>
      </c>
      <c r="W190" s="2">
        <f>IF(C190='PV IN'!$I$40,IF('PV IN'!$G$40="Non-Taxable",'PV IN'!$F$40,0),0)+IF(C190='PV IN'!$I$41,IF('PV IN'!$G$41="Non-Taxable",'PV IN'!$F$41,0),0)</f>
        <v>0</v>
      </c>
      <c r="X190" s="10"/>
      <c r="Y190" s="10">
        <f>IF('PV IN'!$E$15="Non-Taxable",SUM(N190:P190),0)</f>
        <v>0</v>
      </c>
      <c r="Z190" s="10">
        <f>IF('PV IN'!$E$15="Taxable",SUM(N190:P190),0)</f>
        <v>0</v>
      </c>
      <c r="AA190" s="2">
        <f>IF(C190='PV IN'!$I$40,IF('PV IN'!$G$40="Taxable",'PV IN'!$F$40,0),0)+IF(C190='PV IN'!$I$41,IF('PV IN'!$G$41="Taxable",'PV IN'!$F$41,0),0)</f>
        <v>0</v>
      </c>
      <c r="AD190" s="10">
        <f>IF('PV IN'!$D$48="YES",-U190*'PV IN'!$E$8,0)</f>
        <v>0</v>
      </c>
      <c r="AE190" s="10">
        <f>IF('PV IN'!$N$10="Yes",-PVLoan!H218,-PVLoan!L218)</f>
        <v>0</v>
      </c>
      <c r="AF190" s="10">
        <f>IF('PV IN'!$N$10="Yes",-PVLoan!F218,0)</f>
        <v>0</v>
      </c>
      <c r="AG190" s="10">
        <f>IF(AND('PV IN'!$D$35="YES",$C190&lt;='PV IN'!$E$35*12),0,-'PV IN'!$E$18*'PV IN'!$E$34/12)</f>
        <v>-750</v>
      </c>
      <c r="AH190" s="10">
        <f>IF(AND('PV IN'!$D$37="YES",$C190&lt;='PV IN'!$E$37*12),0,-'PV IN'!$E$18*'PV IN'!$E$36/12)</f>
        <v>-625</v>
      </c>
      <c r="AI190" s="2">
        <f>IF(AND('PV IN'!$D$33="YES",PVCalcs!C190=ROUNDUP('PV IN'!$H$33*12,)),-'PV IN'!$E$33*'PV IN'!$E$18,0)</f>
        <v>0</v>
      </c>
      <c r="AK190" s="2">
        <f t="shared" si="33"/>
        <v>11022.850387480164</v>
      </c>
      <c r="AL190" s="2">
        <f t="shared" si="34"/>
        <v>-1375</v>
      </c>
      <c r="AM190" s="2">
        <f t="shared" si="38"/>
        <v>9647.8503874801645</v>
      </c>
      <c r="AN190" s="43"/>
      <c r="AO190" s="2">
        <f t="shared" si="35"/>
        <v>0</v>
      </c>
      <c r="AP190" s="2">
        <f t="shared" si="39"/>
        <v>-1375</v>
      </c>
      <c r="AR190" s="2">
        <f t="shared" si="40"/>
        <v>-1375</v>
      </c>
      <c r="AS190" s="2">
        <f>-AR190*'PV IN'!$E$8</f>
        <v>288.75</v>
      </c>
      <c r="AT190" s="2">
        <f>IF('PV IN'!$F$4="Battery Only",0,AM190+AS190)</f>
        <v>9936.6003874801645</v>
      </c>
      <c r="AV190" s="10">
        <f t="shared" si="41"/>
        <v>836716.03083122906</v>
      </c>
      <c r="AW190" s="2">
        <f>AT190/(1+('PV IN'!$G$9))^(C190)</f>
        <v>4664.4848720785621</v>
      </c>
      <c r="AX190" s="2">
        <f>IF(C190&lt;='PV IN'!$O$22*12,AW190+AX189,NA())</f>
        <v>207432.54739294876</v>
      </c>
      <c r="AZ190" s="10">
        <f t="shared" si="36"/>
        <v>-1375</v>
      </c>
      <c r="BA190" s="10">
        <f t="shared" si="37"/>
        <v>0</v>
      </c>
      <c r="BB190" s="10">
        <f t="shared" si="42"/>
        <v>-1375</v>
      </c>
      <c r="BC190" s="10">
        <f t="shared" si="43"/>
        <v>0</v>
      </c>
      <c r="BD190" s="10">
        <f t="shared" si="44"/>
        <v>-1375</v>
      </c>
      <c r="BE190" s="2">
        <f t="shared" si="45"/>
        <v>0</v>
      </c>
      <c r="BF190" s="10">
        <f t="shared" si="46"/>
        <v>-1375</v>
      </c>
      <c r="BG190" s="2">
        <f>-BF190*'PV IN'!$E$8</f>
        <v>288.75</v>
      </c>
      <c r="BH190" s="2">
        <f>IF('PV IN'!$F$4="Battery Only",0,BB190+BG190)</f>
        <v>-1086.25</v>
      </c>
      <c r="BI190" s="2">
        <f>BH190/(1+('PV IN'!$G$9))^(C190)</f>
        <v>-509.91249468775646</v>
      </c>
    </row>
    <row r="191" spans="2:61" x14ac:dyDescent="0.25">
      <c r="C191">
        <v>187</v>
      </c>
      <c r="D191" s="16">
        <f>D190*(1+('PV IN'!$G$6/12))</f>
        <v>7.5999999999999998E-2</v>
      </c>
      <c r="E191" s="16">
        <f>LkUP!$U$36</f>
        <v>8.1772056019351544E-2</v>
      </c>
      <c r="F191" s="16">
        <f>IF('PV IN'!$D$7="Table",E191,D191)</f>
        <v>8.1772056019351544E-2</v>
      </c>
      <c r="G191" s="33">
        <f>('PV IN'!$E$25*'PV IN'!$E$18/12)*(1-(1-'PV IN'!$E$27)/(25*12))^C190</f>
        <v>134709.855136189</v>
      </c>
      <c r="H191" s="33">
        <f>IF('PV IN'!$D$19="YES",G191*'PV IN'!$E$21,0)</f>
        <v>0</v>
      </c>
      <c r="I191" s="33">
        <f>IF('PV IN'!$D$19="YES",'PV IN'!$E$22*BattCalcs!W191,0)</f>
        <v>0</v>
      </c>
      <c r="J191" s="33">
        <f>IF('PV IN'!$D$19="YES",'PV IN'!$E$23*BattCalcs!Y191,0)</f>
        <v>0</v>
      </c>
      <c r="K191" s="33">
        <f>BattCalcs!AF191</f>
        <v>25811.765833333331</v>
      </c>
      <c r="L191" s="33">
        <f t="shared" si="47"/>
        <v>25811.765833333331</v>
      </c>
      <c r="M191" s="33">
        <f>IF('PV IN'!$F$4="PV Only",G191,G191-SUM(H191:J191,L191))</f>
        <v>134709.855136189</v>
      </c>
      <c r="N191" s="2">
        <f>IF(C191&lt;='PV IN'!$I$12*12,'PV IN'!$E$12*G191/1000,0)</f>
        <v>0</v>
      </c>
      <c r="O191" s="2">
        <f>IF(AND(C191&gt;'PV IN'!$I$12*12,C191&lt;='PV IN'!$I$13*12+'PV IN'!$I$12*12),'PV IN'!$E$13*PVCalcs!G191/1000,0)</f>
        <v>0</v>
      </c>
      <c r="P191" s="2">
        <f>IF(AND(C191&gt;'PV IN'!$I$12*12+'PV IN'!$I$13*12,C191&lt;='PV IN'!$I$12*12+'PV IN'!$I$13*12+'PV IN'!$I$14*12),'PV IN'!$E$14*PVCalcs!G191/1000,0)</f>
        <v>0</v>
      </c>
      <c r="R191" s="10">
        <f>IF(AND('PV IN'!$D$35="YES",$C191&lt;='PV IN'!$E$35*12),-'PV IN'!$E$18*'PV IN'!$E$34/12,0)</f>
        <v>0</v>
      </c>
      <c r="S191" s="10">
        <f>IF(AND('PV IN'!$D$37="YES",$C191&lt;='PV IN'!$E$37*12),-'PV IN'!$E$18*'PV IN'!$E$36/12,0)</f>
        <v>0</v>
      </c>
      <c r="U191" s="2">
        <f t="shared" si="48"/>
        <v>11015.501820555179</v>
      </c>
      <c r="V191" s="10">
        <f>PVLoan!M218</f>
        <v>0</v>
      </c>
      <c r="W191" s="2">
        <f>IF(C191='PV IN'!$I$40,IF('PV IN'!$G$40="Non-Taxable",'PV IN'!$F$40,0),0)+IF(C191='PV IN'!$I$41,IF('PV IN'!$G$41="Non-Taxable",'PV IN'!$F$41,0),0)</f>
        <v>0</v>
      </c>
      <c r="X191" s="10"/>
      <c r="Y191" s="10">
        <f>IF('PV IN'!$E$15="Non-Taxable",SUM(N191:P191),0)</f>
        <v>0</v>
      </c>
      <c r="Z191" s="10">
        <f>IF('PV IN'!$E$15="Taxable",SUM(N191:P191),0)</f>
        <v>0</v>
      </c>
      <c r="AA191" s="2">
        <f>IF(C191='PV IN'!$I$40,IF('PV IN'!$G$40="Taxable",'PV IN'!$F$40,0),0)+IF(C191='PV IN'!$I$41,IF('PV IN'!$G$41="Taxable",'PV IN'!$F$41,0),0)</f>
        <v>0</v>
      </c>
      <c r="AD191" s="10">
        <f>IF('PV IN'!$D$48="YES",-U191*'PV IN'!$E$8,0)</f>
        <v>0</v>
      </c>
      <c r="AE191" s="10">
        <f>IF('PV IN'!$N$10="Yes",-PVLoan!H219,-PVLoan!L219)</f>
        <v>0</v>
      </c>
      <c r="AF191" s="10">
        <f>IF('PV IN'!$N$10="Yes",-PVLoan!F219,0)</f>
        <v>0</v>
      </c>
      <c r="AG191" s="10">
        <f>IF(AND('PV IN'!$D$35="YES",$C191&lt;='PV IN'!$E$35*12),0,-'PV IN'!$E$18*'PV IN'!$E$34/12)</f>
        <v>-750</v>
      </c>
      <c r="AH191" s="10">
        <f>IF(AND('PV IN'!$D$37="YES",$C191&lt;='PV IN'!$E$37*12),0,-'PV IN'!$E$18*'PV IN'!$E$36/12)</f>
        <v>-625</v>
      </c>
      <c r="AI191" s="2">
        <f>IF(AND('PV IN'!$D$33="YES",PVCalcs!C191=ROUNDUP('PV IN'!$H$33*12,)),-'PV IN'!$E$33*'PV IN'!$E$18,0)</f>
        <v>0</v>
      </c>
      <c r="AK191" s="2">
        <f t="shared" si="33"/>
        <v>11015.501820555179</v>
      </c>
      <c r="AL191" s="2">
        <f t="shared" si="34"/>
        <v>-1375</v>
      </c>
      <c r="AM191" s="2">
        <f t="shared" si="38"/>
        <v>9640.5018205551787</v>
      </c>
      <c r="AN191" s="43"/>
      <c r="AO191" s="2">
        <f t="shared" si="35"/>
        <v>0</v>
      </c>
      <c r="AP191" s="2">
        <f t="shared" si="39"/>
        <v>-1375</v>
      </c>
      <c r="AR191" s="2">
        <f t="shared" si="40"/>
        <v>-1375</v>
      </c>
      <c r="AS191" s="2">
        <f>-AR191*'PV IN'!$E$8</f>
        <v>288.75</v>
      </c>
      <c r="AT191" s="2">
        <f>IF('PV IN'!$F$4="Battery Only",0,AM191+AS191)</f>
        <v>9929.2518205551787</v>
      </c>
      <c r="AV191" s="10">
        <f t="shared" si="41"/>
        <v>846645.28265178425</v>
      </c>
      <c r="AW191" s="2">
        <f>AT191/(1+('PV IN'!$G$9))^(C191)</f>
        <v>4642.1226913705241</v>
      </c>
      <c r="AX191" s="2">
        <f>IF(C191&lt;='PV IN'!$O$22*12,AW191+AX190,NA())</f>
        <v>212074.67008431928</v>
      </c>
      <c r="AZ191" s="10">
        <f t="shared" si="36"/>
        <v>-1375</v>
      </c>
      <c r="BA191" s="10">
        <f t="shared" si="37"/>
        <v>0</v>
      </c>
      <c r="BB191" s="10">
        <f t="shared" si="42"/>
        <v>-1375</v>
      </c>
      <c r="BC191" s="10">
        <f t="shared" si="43"/>
        <v>0</v>
      </c>
      <c r="BD191" s="10">
        <f t="shared" si="44"/>
        <v>-1375</v>
      </c>
      <c r="BE191" s="2">
        <f t="shared" si="45"/>
        <v>0</v>
      </c>
      <c r="BF191" s="10">
        <f t="shared" si="46"/>
        <v>-1375</v>
      </c>
      <c r="BG191" s="2">
        <f>-BF191*'PV IN'!$E$8</f>
        <v>288.75</v>
      </c>
      <c r="BH191" s="2">
        <f>IF('PV IN'!$F$4="Battery Only",0,BB191+BG191)</f>
        <v>-1086.25</v>
      </c>
      <c r="BI191" s="2">
        <f>BH191/(1+('PV IN'!$G$9))^(C191)</f>
        <v>-507.84347749771223</v>
      </c>
    </row>
    <row r="192" spans="2:61" x14ac:dyDescent="0.25">
      <c r="C192">
        <v>188</v>
      </c>
      <c r="D192" s="16">
        <f>D191*(1+('PV IN'!$G$6/12))</f>
        <v>7.5999999999999998E-2</v>
      </c>
      <c r="E192" s="16">
        <f>LkUP!$U$36</f>
        <v>8.1772056019351544E-2</v>
      </c>
      <c r="F192" s="16">
        <f>IF('PV IN'!$D$7="Table",E192,D192)</f>
        <v>8.1772056019351544E-2</v>
      </c>
      <c r="G192" s="33">
        <f>('PV IN'!$E$25*'PV IN'!$E$18/12)*(1-(1-'PV IN'!$E$27)/(25*12))^C191</f>
        <v>134620.04856609821</v>
      </c>
      <c r="H192" s="33">
        <f>IF('PV IN'!$D$19="YES",G192*'PV IN'!$E$21,0)</f>
        <v>0</v>
      </c>
      <c r="I192" s="33">
        <f>IF('PV IN'!$D$19="YES",'PV IN'!$E$22*BattCalcs!W192,0)</f>
        <v>0</v>
      </c>
      <c r="J192" s="33">
        <f>IF('PV IN'!$D$19="YES",'PV IN'!$E$23*BattCalcs!Y192,0)</f>
        <v>0</v>
      </c>
      <c r="K192" s="33">
        <f>BattCalcs!AF192</f>
        <v>25811.765833333331</v>
      </c>
      <c r="L192" s="33">
        <f t="shared" si="47"/>
        <v>25811.765833333331</v>
      </c>
      <c r="M192" s="33">
        <f>IF('PV IN'!$F$4="PV Only",G192,G192-SUM(H192:J192,L192))</f>
        <v>134620.04856609821</v>
      </c>
      <c r="N192" s="2">
        <f>IF(C192&lt;='PV IN'!$I$12*12,'PV IN'!$E$12*G192/1000,0)</f>
        <v>0</v>
      </c>
      <c r="O192" s="2">
        <f>IF(AND(C192&gt;'PV IN'!$I$12*12,C192&lt;='PV IN'!$I$13*12+'PV IN'!$I$12*12),'PV IN'!$E$13*PVCalcs!G192/1000,0)</f>
        <v>0</v>
      </c>
      <c r="P192" s="2">
        <f>IF(AND(C192&gt;'PV IN'!$I$12*12+'PV IN'!$I$13*12,C192&lt;='PV IN'!$I$12*12+'PV IN'!$I$13*12+'PV IN'!$I$14*12),'PV IN'!$E$14*PVCalcs!G192/1000,0)</f>
        <v>0</v>
      </c>
      <c r="R192" s="10">
        <f>IF(AND('PV IN'!$D$35="YES",$C192&lt;='PV IN'!$E$35*12),-'PV IN'!$E$18*'PV IN'!$E$34/12,0)</f>
        <v>0</v>
      </c>
      <c r="S192" s="10">
        <f>IF(AND('PV IN'!$D$37="YES",$C192&lt;='PV IN'!$E$37*12),-'PV IN'!$E$18*'PV IN'!$E$36/12,0)</f>
        <v>0</v>
      </c>
      <c r="U192" s="2">
        <f t="shared" si="48"/>
        <v>11008.158152674809</v>
      </c>
      <c r="V192" s="10">
        <f>PVLoan!M219</f>
        <v>0</v>
      </c>
      <c r="W192" s="2">
        <f>IF(C192='PV IN'!$I$40,IF('PV IN'!$G$40="Non-Taxable",'PV IN'!$F$40,0),0)+IF(C192='PV IN'!$I$41,IF('PV IN'!$G$41="Non-Taxable",'PV IN'!$F$41,0),0)</f>
        <v>0</v>
      </c>
      <c r="X192" s="10"/>
      <c r="Y192" s="10">
        <f>IF('PV IN'!$E$15="Non-Taxable",SUM(N192:P192),0)</f>
        <v>0</v>
      </c>
      <c r="Z192" s="10">
        <f>IF('PV IN'!$E$15="Taxable",SUM(N192:P192),0)</f>
        <v>0</v>
      </c>
      <c r="AA192" s="2">
        <f>IF(C192='PV IN'!$I$40,IF('PV IN'!$G$40="Taxable",'PV IN'!$F$40,0),0)+IF(C192='PV IN'!$I$41,IF('PV IN'!$G$41="Taxable",'PV IN'!$F$41,0),0)</f>
        <v>0</v>
      </c>
      <c r="AD192" s="10">
        <f>IF('PV IN'!$D$48="YES",-U192*'PV IN'!$E$8,0)</f>
        <v>0</v>
      </c>
      <c r="AE192" s="10">
        <f>IF('PV IN'!$N$10="Yes",-PVLoan!H220,-PVLoan!L220)</f>
        <v>0</v>
      </c>
      <c r="AF192" s="10">
        <f>IF('PV IN'!$N$10="Yes",-PVLoan!F220,0)</f>
        <v>0</v>
      </c>
      <c r="AG192" s="10">
        <f>IF(AND('PV IN'!$D$35="YES",$C192&lt;='PV IN'!$E$35*12),0,-'PV IN'!$E$18*'PV IN'!$E$34/12)</f>
        <v>-750</v>
      </c>
      <c r="AH192" s="10">
        <f>IF(AND('PV IN'!$D$37="YES",$C192&lt;='PV IN'!$E$37*12),0,-'PV IN'!$E$18*'PV IN'!$E$36/12)</f>
        <v>-625</v>
      </c>
      <c r="AI192" s="2">
        <f>IF(AND('PV IN'!$D$33="YES",PVCalcs!C192=ROUNDUP('PV IN'!$H$33*12,)),-'PV IN'!$E$33*'PV IN'!$E$18,0)</f>
        <v>0</v>
      </c>
      <c r="AK192" s="2">
        <f t="shared" si="33"/>
        <v>11008.158152674809</v>
      </c>
      <c r="AL192" s="2">
        <f t="shared" si="34"/>
        <v>-1375</v>
      </c>
      <c r="AM192" s="2">
        <f t="shared" si="38"/>
        <v>9633.1581526748087</v>
      </c>
      <c r="AN192" s="43"/>
      <c r="AO192" s="2">
        <f t="shared" si="35"/>
        <v>0</v>
      </c>
      <c r="AP192" s="2">
        <f t="shared" si="39"/>
        <v>-1375</v>
      </c>
      <c r="AR192" s="2">
        <f t="shared" si="40"/>
        <v>-1375</v>
      </c>
      <c r="AS192" s="2">
        <f>-AR192*'PV IN'!$E$8</f>
        <v>288.75</v>
      </c>
      <c r="AT192" s="2">
        <f>IF('PV IN'!$F$4="Battery Only",0,AM192+AS192)</f>
        <v>9921.9081526748087</v>
      </c>
      <c r="AV192" s="10">
        <f t="shared" si="41"/>
        <v>856567.19080445904</v>
      </c>
      <c r="AW192" s="2">
        <f>AT192/(1+('PV IN'!$G$9))^(C192)</f>
        <v>4619.8674686599088</v>
      </c>
      <c r="AX192" s="2">
        <f>IF(C192&lt;='PV IN'!$O$22*12,AW192+AX191,NA())</f>
        <v>216694.53755297919</v>
      </c>
      <c r="AZ192" s="10">
        <f t="shared" si="36"/>
        <v>-1375</v>
      </c>
      <c r="BA192" s="10">
        <f t="shared" si="37"/>
        <v>0</v>
      </c>
      <c r="BB192" s="10">
        <f t="shared" si="42"/>
        <v>-1375</v>
      </c>
      <c r="BC192" s="10">
        <f t="shared" si="43"/>
        <v>0</v>
      </c>
      <c r="BD192" s="10">
        <f t="shared" si="44"/>
        <v>-1375</v>
      </c>
      <c r="BE192" s="2">
        <f t="shared" si="45"/>
        <v>0</v>
      </c>
      <c r="BF192" s="10">
        <f t="shared" si="46"/>
        <v>-1375</v>
      </c>
      <c r="BG192" s="2">
        <f>-BF192*'PV IN'!$E$8</f>
        <v>288.75</v>
      </c>
      <c r="BH192" s="2">
        <f>IF('PV IN'!$F$4="Battery Only",0,BB192+BG192)</f>
        <v>-1086.25</v>
      </c>
      <c r="BI192" s="2">
        <f>BH192/(1+('PV IN'!$G$9))^(C192)</f>
        <v>-505.78285553660902</v>
      </c>
    </row>
    <row r="193" spans="2:61" x14ac:dyDescent="0.25">
      <c r="C193">
        <v>189</v>
      </c>
      <c r="D193" s="16">
        <f>D192*(1+('PV IN'!$G$6/12))</f>
        <v>7.5999999999999998E-2</v>
      </c>
      <c r="E193" s="16">
        <f>LkUP!$U$36</f>
        <v>8.1772056019351544E-2</v>
      </c>
      <c r="F193" s="16">
        <f>IF('PV IN'!$D$7="Table",E193,D193)</f>
        <v>8.1772056019351544E-2</v>
      </c>
      <c r="G193" s="33">
        <f>('PV IN'!$E$25*'PV IN'!$E$18/12)*(1-(1-'PV IN'!$E$27)/(25*12))^C192</f>
        <v>134530.30186705414</v>
      </c>
      <c r="H193" s="33">
        <f>IF('PV IN'!$D$19="YES",G193*'PV IN'!$E$21,0)</f>
        <v>0</v>
      </c>
      <c r="I193" s="33">
        <f>IF('PV IN'!$D$19="YES",'PV IN'!$E$22*BattCalcs!W193,0)</f>
        <v>0</v>
      </c>
      <c r="J193" s="33">
        <f>IF('PV IN'!$D$19="YES",'PV IN'!$E$23*BattCalcs!Y193,0)</f>
        <v>0</v>
      </c>
      <c r="K193" s="33">
        <f>BattCalcs!AF193</f>
        <v>25811.765833333331</v>
      </c>
      <c r="L193" s="33">
        <f t="shared" si="47"/>
        <v>25811.765833333331</v>
      </c>
      <c r="M193" s="33">
        <f>IF('PV IN'!$F$4="PV Only",G193,G193-SUM(H193:J193,L193))</f>
        <v>134530.30186705414</v>
      </c>
      <c r="N193" s="2">
        <f>IF(C193&lt;='PV IN'!$I$12*12,'PV IN'!$E$12*G193/1000,0)</f>
        <v>0</v>
      </c>
      <c r="O193" s="2">
        <f>IF(AND(C193&gt;'PV IN'!$I$12*12,C193&lt;='PV IN'!$I$13*12+'PV IN'!$I$12*12),'PV IN'!$E$13*PVCalcs!G193/1000,0)</f>
        <v>0</v>
      </c>
      <c r="P193" s="2">
        <f>IF(AND(C193&gt;'PV IN'!$I$12*12+'PV IN'!$I$13*12,C193&lt;='PV IN'!$I$12*12+'PV IN'!$I$13*12+'PV IN'!$I$14*12),'PV IN'!$E$14*PVCalcs!G193/1000,0)</f>
        <v>0</v>
      </c>
      <c r="R193" s="10">
        <f>IF(AND('PV IN'!$D$35="YES",$C193&lt;='PV IN'!$E$35*12),-'PV IN'!$E$18*'PV IN'!$E$34/12,0)</f>
        <v>0</v>
      </c>
      <c r="S193" s="10">
        <f>IF(AND('PV IN'!$D$37="YES",$C193&lt;='PV IN'!$E$37*12),-'PV IN'!$E$18*'PV IN'!$E$36/12,0)</f>
        <v>0</v>
      </c>
      <c r="U193" s="2">
        <f t="shared" si="48"/>
        <v>11000.819380573024</v>
      </c>
      <c r="V193" s="10">
        <f>PVLoan!M220</f>
        <v>0</v>
      </c>
      <c r="W193" s="2">
        <f>IF(C193='PV IN'!$I$40,IF('PV IN'!$G$40="Non-Taxable",'PV IN'!$F$40,0),0)+IF(C193='PV IN'!$I$41,IF('PV IN'!$G$41="Non-Taxable",'PV IN'!$F$41,0),0)</f>
        <v>0</v>
      </c>
      <c r="X193" s="10"/>
      <c r="Y193" s="10">
        <f>IF('PV IN'!$E$15="Non-Taxable",SUM(N193:P193),0)</f>
        <v>0</v>
      </c>
      <c r="Z193" s="10">
        <f>IF('PV IN'!$E$15="Taxable",SUM(N193:P193),0)</f>
        <v>0</v>
      </c>
      <c r="AA193" s="2">
        <f>IF(C193='PV IN'!$I$40,IF('PV IN'!$G$40="Taxable",'PV IN'!$F$40,0),0)+IF(C193='PV IN'!$I$41,IF('PV IN'!$G$41="Taxable",'PV IN'!$F$41,0),0)</f>
        <v>0</v>
      </c>
      <c r="AD193" s="10">
        <f>IF('PV IN'!$D$48="YES",-U193*'PV IN'!$E$8,0)</f>
        <v>0</v>
      </c>
      <c r="AE193" s="10">
        <f>IF('PV IN'!$N$10="Yes",-PVLoan!H221,-PVLoan!L221)</f>
        <v>0</v>
      </c>
      <c r="AF193" s="10">
        <f>IF('PV IN'!$N$10="Yes",-PVLoan!F221,0)</f>
        <v>0</v>
      </c>
      <c r="AG193" s="10">
        <f>IF(AND('PV IN'!$D$35="YES",$C193&lt;='PV IN'!$E$35*12),0,-'PV IN'!$E$18*'PV IN'!$E$34/12)</f>
        <v>-750</v>
      </c>
      <c r="AH193" s="10">
        <f>IF(AND('PV IN'!$D$37="YES",$C193&lt;='PV IN'!$E$37*12),0,-'PV IN'!$E$18*'PV IN'!$E$36/12)</f>
        <v>-625</v>
      </c>
      <c r="AI193" s="2">
        <f>IF(AND('PV IN'!$D$33="YES",PVCalcs!C193=ROUNDUP('PV IN'!$H$33*12,)),-'PV IN'!$E$33*'PV IN'!$E$18,0)</f>
        <v>0</v>
      </c>
      <c r="AK193" s="2">
        <f t="shared" si="33"/>
        <v>11000.819380573024</v>
      </c>
      <c r="AL193" s="2">
        <f t="shared" si="34"/>
        <v>-1375</v>
      </c>
      <c r="AM193" s="2">
        <f t="shared" si="38"/>
        <v>9625.8193805730243</v>
      </c>
      <c r="AN193" s="43"/>
      <c r="AO193" s="2">
        <f t="shared" si="35"/>
        <v>0</v>
      </c>
      <c r="AP193" s="2">
        <f t="shared" si="39"/>
        <v>-1375</v>
      </c>
      <c r="AR193" s="2">
        <f t="shared" si="40"/>
        <v>-1375</v>
      </c>
      <c r="AS193" s="2">
        <f>-AR193*'PV IN'!$E$8</f>
        <v>288.75</v>
      </c>
      <c r="AT193" s="2">
        <f>IF('PV IN'!$F$4="Battery Only",0,AM193+AS193)</f>
        <v>9914.5693805730243</v>
      </c>
      <c r="AV193" s="10">
        <f t="shared" si="41"/>
        <v>866481.76018503204</v>
      </c>
      <c r="AW193" s="2">
        <f>AT193/(1+('PV IN'!$G$9))^(C193)</f>
        <v>4597.7186933646144</v>
      </c>
      <c r="AX193" s="2">
        <f>IF(C193&lt;='PV IN'!$O$22*12,AW193+AX192,NA())</f>
        <v>221292.25624634381</v>
      </c>
      <c r="AZ193" s="10">
        <f t="shared" si="36"/>
        <v>-1375</v>
      </c>
      <c r="BA193" s="10">
        <f t="shared" si="37"/>
        <v>0</v>
      </c>
      <c r="BB193" s="10">
        <f t="shared" si="42"/>
        <v>-1375</v>
      </c>
      <c r="BC193" s="10">
        <f t="shared" si="43"/>
        <v>0</v>
      </c>
      <c r="BD193" s="10">
        <f t="shared" si="44"/>
        <v>-1375</v>
      </c>
      <c r="BE193" s="2">
        <f t="shared" si="45"/>
        <v>0</v>
      </c>
      <c r="BF193" s="10">
        <f t="shared" si="46"/>
        <v>-1375</v>
      </c>
      <c r="BG193" s="2">
        <f>-BF193*'PV IN'!$E$8</f>
        <v>288.75</v>
      </c>
      <c r="BH193" s="2">
        <f>IF('PV IN'!$F$4="Battery Only",0,BB193+BG193)</f>
        <v>-1086.25</v>
      </c>
      <c r="BI193" s="2">
        <f>BH193/(1+('PV IN'!$G$9))^(C193)</f>
        <v>-503.73059474002724</v>
      </c>
    </row>
    <row r="194" spans="2:61" x14ac:dyDescent="0.25">
      <c r="C194">
        <v>190</v>
      </c>
      <c r="D194" s="16">
        <f>D193*(1+('PV IN'!$G$6/12))</f>
        <v>7.5999999999999998E-2</v>
      </c>
      <c r="E194" s="16">
        <f>LkUP!$U$36</f>
        <v>8.1772056019351544E-2</v>
      </c>
      <c r="F194" s="16">
        <f>IF('PV IN'!$D$7="Table",E194,D194)</f>
        <v>8.1772056019351544E-2</v>
      </c>
      <c r="G194" s="33">
        <f>('PV IN'!$E$25*'PV IN'!$E$18/12)*(1-(1-'PV IN'!$E$27)/(25*12))^C193</f>
        <v>134440.61499914277</v>
      </c>
      <c r="H194" s="33">
        <f>IF('PV IN'!$D$19="YES",G194*'PV IN'!$E$21,0)</f>
        <v>0</v>
      </c>
      <c r="I194" s="33">
        <f>IF('PV IN'!$D$19="YES",'PV IN'!$E$22*BattCalcs!W194,0)</f>
        <v>0</v>
      </c>
      <c r="J194" s="33">
        <f>IF('PV IN'!$D$19="YES",'PV IN'!$E$23*BattCalcs!Y194,0)</f>
        <v>0</v>
      </c>
      <c r="K194" s="33">
        <f>BattCalcs!AF194</f>
        <v>25811.765833333331</v>
      </c>
      <c r="L194" s="33">
        <f t="shared" si="47"/>
        <v>25811.765833333331</v>
      </c>
      <c r="M194" s="33">
        <f>IF('PV IN'!$F$4="PV Only",G194,G194-SUM(H194:J194,L194))</f>
        <v>134440.61499914277</v>
      </c>
      <c r="N194" s="2">
        <f>IF(C194&lt;='PV IN'!$I$12*12,'PV IN'!$E$12*G194/1000,0)</f>
        <v>0</v>
      </c>
      <c r="O194" s="2">
        <f>IF(AND(C194&gt;'PV IN'!$I$12*12,C194&lt;='PV IN'!$I$13*12+'PV IN'!$I$12*12),'PV IN'!$E$13*PVCalcs!G194/1000,0)</f>
        <v>0</v>
      </c>
      <c r="P194" s="2">
        <f>IF(AND(C194&gt;'PV IN'!$I$12*12+'PV IN'!$I$13*12,C194&lt;='PV IN'!$I$12*12+'PV IN'!$I$13*12+'PV IN'!$I$14*12),'PV IN'!$E$14*PVCalcs!G194/1000,0)</f>
        <v>0</v>
      </c>
      <c r="R194" s="10">
        <f>IF(AND('PV IN'!$D$35="YES",$C194&lt;='PV IN'!$E$35*12),-'PV IN'!$E$18*'PV IN'!$E$34/12,0)</f>
        <v>0</v>
      </c>
      <c r="S194" s="10">
        <f>IF(AND('PV IN'!$D$37="YES",$C194&lt;='PV IN'!$E$37*12),-'PV IN'!$E$18*'PV IN'!$E$36/12,0)</f>
        <v>0</v>
      </c>
      <c r="U194" s="2">
        <f t="shared" si="48"/>
        <v>10993.485500985977</v>
      </c>
      <c r="V194" s="10">
        <f>PVLoan!M221</f>
        <v>0</v>
      </c>
      <c r="W194" s="2">
        <f>IF(C194='PV IN'!$I$40,IF('PV IN'!$G$40="Non-Taxable",'PV IN'!$F$40,0),0)+IF(C194='PV IN'!$I$41,IF('PV IN'!$G$41="Non-Taxable",'PV IN'!$F$41,0),0)</f>
        <v>0</v>
      </c>
      <c r="X194" s="10"/>
      <c r="Y194" s="10">
        <f>IF('PV IN'!$E$15="Non-Taxable",SUM(N194:P194),0)</f>
        <v>0</v>
      </c>
      <c r="Z194" s="10">
        <f>IF('PV IN'!$E$15="Taxable",SUM(N194:P194),0)</f>
        <v>0</v>
      </c>
      <c r="AA194" s="2">
        <f>IF(C194='PV IN'!$I$40,IF('PV IN'!$G$40="Taxable",'PV IN'!$F$40,0),0)+IF(C194='PV IN'!$I$41,IF('PV IN'!$G$41="Taxable",'PV IN'!$F$41,0),0)</f>
        <v>0</v>
      </c>
      <c r="AD194" s="10">
        <f>IF('PV IN'!$D$48="YES",-U194*'PV IN'!$E$8,0)</f>
        <v>0</v>
      </c>
      <c r="AE194" s="10">
        <f>IF('PV IN'!$N$10="Yes",-PVLoan!H222,-PVLoan!L222)</f>
        <v>0</v>
      </c>
      <c r="AF194" s="10">
        <f>IF('PV IN'!$N$10="Yes",-PVLoan!F222,0)</f>
        <v>0</v>
      </c>
      <c r="AG194" s="10">
        <f>IF(AND('PV IN'!$D$35="YES",$C194&lt;='PV IN'!$E$35*12),0,-'PV IN'!$E$18*'PV IN'!$E$34/12)</f>
        <v>-750</v>
      </c>
      <c r="AH194" s="10">
        <f>IF(AND('PV IN'!$D$37="YES",$C194&lt;='PV IN'!$E$37*12),0,-'PV IN'!$E$18*'PV IN'!$E$36/12)</f>
        <v>-625</v>
      </c>
      <c r="AI194" s="2">
        <f>IF(AND('PV IN'!$D$33="YES",PVCalcs!C194=ROUNDUP('PV IN'!$H$33*12,)),-'PV IN'!$E$33*'PV IN'!$E$18,0)</f>
        <v>0</v>
      </c>
      <c r="AK194" s="2">
        <f t="shared" si="33"/>
        <v>10993.485500985977</v>
      </c>
      <c r="AL194" s="2">
        <f t="shared" si="34"/>
        <v>-1375</v>
      </c>
      <c r="AM194" s="2">
        <f t="shared" si="38"/>
        <v>9618.4855009859766</v>
      </c>
      <c r="AN194" s="43"/>
      <c r="AO194" s="2">
        <f t="shared" si="35"/>
        <v>0</v>
      </c>
      <c r="AP194" s="2">
        <f t="shared" si="39"/>
        <v>-1375</v>
      </c>
      <c r="AR194" s="2">
        <f t="shared" si="40"/>
        <v>-1375</v>
      </c>
      <c r="AS194" s="2">
        <f>-AR194*'PV IN'!$E$8</f>
        <v>288.75</v>
      </c>
      <c r="AT194" s="2">
        <f>IF('PV IN'!$F$4="Battery Only",0,AM194+AS194)</f>
        <v>9907.2355009859766</v>
      </c>
      <c r="AV194" s="10">
        <f t="shared" si="41"/>
        <v>876388.99568601802</v>
      </c>
      <c r="AW194" s="2">
        <f>AT194/(1+('PV IN'!$G$9))^(C194)</f>
        <v>4575.6758573359075</v>
      </c>
      <c r="AX194" s="2">
        <f>IF(C194&lt;='PV IN'!$O$22*12,AW194+AX193,NA())</f>
        <v>225867.93210367972</v>
      </c>
      <c r="AZ194" s="10">
        <f t="shared" si="36"/>
        <v>-1375</v>
      </c>
      <c r="BA194" s="10">
        <f t="shared" si="37"/>
        <v>0</v>
      </c>
      <c r="BB194" s="10">
        <f t="shared" si="42"/>
        <v>-1375</v>
      </c>
      <c r="BC194" s="10">
        <f t="shared" si="43"/>
        <v>0</v>
      </c>
      <c r="BD194" s="10">
        <f t="shared" si="44"/>
        <v>-1375</v>
      </c>
      <c r="BE194" s="2">
        <f t="shared" si="45"/>
        <v>0</v>
      </c>
      <c r="BF194" s="10">
        <f t="shared" si="46"/>
        <v>-1375</v>
      </c>
      <c r="BG194" s="2">
        <f>-BF194*'PV IN'!$E$8</f>
        <v>288.75</v>
      </c>
      <c r="BH194" s="2">
        <f>IF('PV IN'!$F$4="Battery Only",0,BB194+BG194)</f>
        <v>-1086.25</v>
      </c>
      <c r="BI194" s="2">
        <f>BH194/(1+('PV IN'!$G$9))^(C194)</f>
        <v>-501.68666118176742</v>
      </c>
    </row>
    <row r="195" spans="2:61" x14ac:dyDescent="0.25">
      <c r="C195">
        <v>191</v>
      </c>
      <c r="D195" s="16">
        <f>D194*(1+('PV IN'!$G$6/12))</f>
        <v>7.5999999999999998E-2</v>
      </c>
      <c r="E195" s="16">
        <f>LkUP!$U$36</f>
        <v>8.1772056019351544E-2</v>
      </c>
      <c r="F195" s="16">
        <f>IF('PV IN'!$D$7="Table",E195,D195)</f>
        <v>8.1772056019351544E-2</v>
      </c>
      <c r="G195" s="33">
        <f>('PV IN'!$E$25*'PV IN'!$E$18/12)*(1-(1-'PV IN'!$E$27)/(25*12))^C194</f>
        <v>134350.98792247666</v>
      </c>
      <c r="H195" s="33">
        <f>IF('PV IN'!$D$19="YES",G195*'PV IN'!$E$21,0)</f>
        <v>0</v>
      </c>
      <c r="I195" s="33">
        <f>IF('PV IN'!$D$19="YES",'PV IN'!$E$22*BattCalcs!W195,0)</f>
        <v>0</v>
      </c>
      <c r="J195" s="33">
        <f>IF('PV IN'!$D$19="YES",'PV IN'!$E$23*BattCalcs!Y195,0)</f>
        <v>0</v>
      </c>
      <c r="K195" s="33">
        <f>BattCalcs!AF195</f>
        <v>25811.765833333331</v>
      </c>
      <c r="L195" s="33">
        <f t="shared" si="47"/>
        <v>25811.765833333331</v>
      </c>
      <c r="M195" s="33">
        <f>IF('PV IN'!$F$4="PV Only",G195,G195-SUM(H195:J195,L195))</f>
        <v>134350.98792247666</v>
      </c>
      <c r="N195" s="2">
        <f>IF(C195&lt;='PV IN'!$I$12*12,'PV IN'!$E$12*G195/1000,0)</f>
        <v>0</v>
      </c>
      <c r="O195" s="2">
        <f>IF(AND(C195&gt;'PV IN'!$I$12*12,C195&lt;='PV IN'!$I$13*12+'PV IN'!$I$12*12),'PV IN'!$E$13*PVCalcs!G195/1000,0)</f>
        <v>0</v>
      </c>
      <c r="P195" s="2">
        <f>IF(AND(C195&gt;'PV IN'!$I$12*12+'PV IN'!$I$13*12,C195&lt;='PV IN'!$I$12*12+'PV IN'!$I$13*12+'PV IN'!$I$14*12),'PV IN'!$E$14*PVCalcs!G195/1000,0)</f>
        <v>0</v>
      </c>
      <c r="R195" s="10">
        <f>IF(AND('PV IN'!$D$35="YES",$C195&lt;='PV IN'!$E$35*12),-'PV IN'!$E$18*'PV IN'!$E$34/12,0)</f>
        <v>0</v>
      </c>
      <c r="S195" s="10">
        <f>IF(AND('PV IN'!$D$37="YES",$C195&lt;='PV IN'!$E$37*12),-'PV IN'!$E$18*'PV IN'!$E$36/12,0)</f>
        <v>0</v>
      </c>
      <c r="U195" s="2">
        <f t="shared" si="48"/>
        <v>10986.156510651985</v>
      </c>
      <c r="V195" s="10">
        <f>PVLoan!M222</f>
        <v>0</v>
      </c>
      <c r="W195" s="2">
        <f>IF(C195='PV IN'!$I$40,IF('PV IN'!$G$40="Non-Taxable",'PV IN'!$F$40,0),0)+IF(C195='PV IN'!$I$41,IF('PV IN'!$G$41="Non-Taxable",'PV IN'!$F$41,0),0)</f>
        <v>0</v>
      </c>
      <c r="X195" s="10"/>
      <c r="Y195" s="10">
        <f>IF('PV IN'!$E$15="Non-Taxable",SUM(N195:P195),0)</f>
        <v>0</v>
      </c>
      <c r="Z195" s="10">
        <f>IF('PV IN'!$E$15="Taxable",SUM(N195:P195),0)</f>
        <v>0</v>
      </c>
      <c r="AA195" s="2">
        <f>IF(C195='PV IN'!$I$40,IF('PV IN'!$G$40="Taxable",'PV IN'!$F$40,0),0)+IF(C195='PV IN'!$I$41,IF('PV IN'!$G$41="Taxable",'PV IN'!$F$41,0),0)</f>
        <v>0</v>
      </c>
      <c r="AD195" s="10">
        <f>IF('PV IN'!$D$48="YES",-U195*'PV IN'!$E$8,0)</f>
        <v>0</v>
      </c>
      <c r="AE195" s="10">
        <f>IF('PV IN'!$N$10="Yes",-PVLoan!H223,-PVLoan!L223)</f>
        <v>0</v>
      </c>
      <c r="AF195" s="10">
        <f>IF('PV IN'!$N$10="Yes",-PVLoan!F223,0)</f>
        <v>0</v>
      </c>
      <c r="AG195" s="10">
        <f>IF(AND('PV IN'!$D$35="YES",$C195&lt;='PV IN'!$E$35*12),0,-'PV IN'!$E$18*'PV IN'!$E$34/12)</f>
        <v>-750</v>
      </c>
      <c r="AH195" s="10">
        <f>IF(AND('PV IN'!$D$37="YES",$C195&lt;='PV IN'!$E$37*12),0,-'PV IN'!$E$18*'PV IN'!$E$36/12)</f>
        <v>-625</v>
      </c>
      <c r="AI195" s="2">
        <f>IF(AND('PV IN'!$D$33="YES",PVCalcs!C195=ROUNDUP('PV IN'!$H$33*12,)),-'PV IN'!$E$33*'PV IN'!$E$18,0)</f>
        <v>0</v>
      </c>
      <c r="AK195" s="2">
        <f t="shared" si="33"/>
        <v>10986.156510651985</v>
      </c>
      <c r="AL195" s="2">
        <f t="shared" si="34"/>
        <v>-1375</v>
      </c>
      <c r="AM195" s="2">
        <f t="shared" si="38"/>
        <v>9611.1565106519847</v>
      </c>
      <c r="AN195" s="43"/>
      <c r="AO195" s="2">
        <f t="shared" si="35"/>
        <v>0</v>
      </c>
      <c r="AP195" s="2">
        <f t="shared" si="39"/>
        <v>-1375</v>
      </c>
      <c r="AR195" s="2">
        <f t="shared" si="40"/>
        <v>-1375</v>
      </c>
      <c r="AS195" s="2">
        <f>-AR195*'PV IN'!$E$8</f>
        <v>288.75</v>
      </c>
      <c r="AT195" s="2">
        <f>IF('PV IN'!$F$4="Battery Only",0,AM195+AS195)</f>
        <v>9899.9065106519847</v>
      </c>
      <c r="AV195" s="10">
        <f t="shared" si="41"/>
        <v>886288.90219666995</v>
      </c>
      <c r="AW195" s="2">
        <f>AT195/(1+('PV IN'!$G$9))^(C195)</f>
        <v>4553.7384548468235</v>
      </c>
      <c r="AX195" s="2">
        <f>IF(C195&lt;='PV IN'!$O$22*12,AW195+AX194,NA())</f>
        <v>230421.67055852653</v>
      </c>
      <c r="AZ195" s="10">
        <f t="shared" si="36"/>
        <v>-1375</v>
      </c>
      <c r="BA195" s="10">
        <f t="shared" si="37"/>
        <v>0</v>
      </c>
      <c r="BB195" s="10">
        <f t="shared" si="42"/>
        <v>-1375</v>
      </c>
      <c r="BC195" s="10">
        <f t="shared" si="43"/>
        <v>0</v>
      </c>
      <c r="BD195" s="10">
        <f t="shared" si="44"/>
        <v>-1375</v>
      </c>
      <c r="BE195" s="2">
        <f t="shared" si="45"/>
        <v>0</v>
      </c>
      <c r="BF195" s="10">
        <f t="shared" si="46"/>
        <v>-1375</v>
      </c>
      <c r="BG195" s="2">
        <f>-BF195*'PV IN'!$E$8</f>
        <v>288.75</v>
      </c>
      <c r="BH195" s="2">
        <f>IF('PV IN'!$F$4="Battery Only",0,BB195+BG195)</f>
        <v>-1086.25</v>
      </c>
      <c r="BI195" s="2">
        <f>BH195/(1+('PV IN'!$G$9))^(C195)</f>
        <v>-499.65102107328863</v>
      </c>
    </row>
    <row r="196" spans="2:61" x14ac:dyDescent="0.25">
      <c r="B196">
        <v>16</v>
      </c>
      <c r="C196">
        <v>192</v>
      </c>
      <c r="D196" s="16">
        <f>D195*(1+('PV IN'!$G$6/12))</f>
        <v>7.5999999999999998E-2</v>
      </c>
      <c r="E196" s="16">
        <f>LkUP!$U$36</f>
        <v>8.1772056019351544E-2</v>
      </c>
      <c r="F196" s="16">
        <f>IF('PV IN'!$D$7="Table",E196,D196)</f>
        <v>8.1772056019351544E-2</v>
      </c>
      <c r="G196" s="33">
        <f>('PV IN'!$E$25*'PV IN'!$E$18/12)*(1-(1-'PV IN'!$E$27)/(25*12))^C195</f>
        <v>134261.42059719501</v>
      </c>
      <c r="H196" s="33">
        <f>IF('PV IN'!$D$19="YES",G196*'PV IN'!$E$21,0)</f>
        <v>0</v>
      </c>
      <c r="I196" s="33">
        <f>IF('PV IN'!$D$19="YES",'PV IN'!$E$22*BattCalcs!W196,0)</f>
        <v>0</v>
      </c>
      <c r="J196" s="33">
        <f>IF('PV IN'!$D$19="YES",'PV IN'!$E$23*BattCalcs!Y196,0)</f>
        <v>0</v>
      </c>
      <c r="K196" s="33">
        <f>BattCalcs!AF196</f>
        <v>25811.765833333331</v>
      </c>
      <c r="L196" s="33">
        <f t="shared" si="47"/>
        <v>25811.765833333331</v>
      </c>
      <c r="M196" s="33">
        <f>IF('PV IN'!$F$4="PV Only",G196,G196-SUM(H196:J196,L196))</f>
        <v>134261.42059719501</v>
      </c>
      <c r="N196" s="2">
        <f>IF(C196&lt;='PV IN'!$I$12*12,'PV IN'!$E$12*G196/1000,0)</f>
        <v>0</v>
      </c>
      <c r="O196" s="2">
        <f>IF(AND(C196&gt;'PV IN'!$I$12*12,C196&lt;='PV IN'!$I$13*12+'PV IN'!$I$12*12),'PV IN'!$E$13*PVCalcs!G196/1000,0)</f>
        <v>0</v>
      </c>
      <c r="P196" s="2">
        <f>IF(AND(C196&gt;'PV IN'!$I$12*12+'PV IN'!$I$13*12,C196&lt;='PV IN'!$I$12*12+'PV IN'!$I$13*12+'PV IN'!$I$14*12),'PV IN'!$E$14*PVCalcs!G196/1000,0)</f>
        <v>0</v>
      </c>
      <c r="R196" s="10">
        <f>IF(AND('PV IN'!$D$35="YES",$C196&lt;='PV IN'!$E$35*12),-'PV IN'!$E$18*'PV IN'!$E$34/12,0)</f>
        <v>0</v>
      </c>
      <c r="S196" s="10">
        <f>IF(AND('PV IN'!$D$37="YES",$C196&lt;='PV IN'!$E$37*12),-'PV IN'!$E$18*'PV IN'!$E$36/12,0)</f>
        <v>0</v>
      </c>
      <c r="U196" s="2">
        <f t="shared" si="48"/>
        <v>10978.832406311551</v>
      </c>
      <c r="V196" s="10">
        <f>PVLoan!M223</f>
        <v>0</v>
      </c>
      <c r="W196" s="2">
        <f>IF(C196='PV IN'!$I$40,IF('PV IN'!$G$40="Non-Taxable",'PV IN'!$F$40,0),0)+IF(C196='PV IN'!$I$41,IF('PV IN'!$G$41="Non-Taxable",'PV IN'!$F$41,0),0)</f>
        <v>0</v>
      </c>
      <c r="X196" s="10"/>
      <c r="Y196" s="10">
        <f>IF('PV IN'!$E$15="Non-Taxable",SUM(N196:P196),0)</f>
        <v>0</v>
      </c>
      <c r="Z196" s="10">
        <f>IF('PV IN'!$E$15="Taxable",SUM(N196:P196),0)</f>
        <v>0</v>
      </c>
      <c r="AA196" s="2">
        <f>IF(C196='PV IN'!$I$40,IF('PV IN'!$G$40="Taxable",'PV IN'!$F$40,0),0)+IF(C196='PV IN'!$I$41,IF('PV IN'!$G$41="Taxable",'PV IN'!$F$41,0),0)</f>
        <v>0</v>
      </c>
      <c r="AD196" s="10">
        <f>IF('PV IN'!$D$48="YES",-U196*'PV IN'!$E$8,0)</f>
        <v>0</v>
      </c>
      <c r="AE196" s="10">
        <f>IF('PV IN'!$N$10="Yes",-PVLoan!H224,-PVLoan!L224)</f>
        <v>0</v>
      </c>
      <c r="AF196" s="10">
        <f>IF('PV IN'!$N$10="Yes",-PVLoan!F224,0)</f>
        <v>0</v>
      </c>
      <c r="AG196" s="10">
        <f>IF(AND('PV IN'!$D$35="YES",$C196&lt;='PV IN'!$E$35*12),0,-'PV IN'!$E$18*'PV IN'!$E$34/12)</f>
        <v>-750</v>
      </c>
      <c r="AH196" s="10">
        <f>IF(AND('PV IN'!$D$37="YES",$C196&lt;='PV IN'!$E$37*12),0,-'PV IN'!$E$18*'PV IN'!$E$36/12)</f>
        <v>-625</v>
      </c>
      <c r="AI196" s="2">
        <f>IF(AND('PV IN'!$D$33="YES",PVCalcs!C196=ROUNDUP('PV IN'!$H$33*12,)),-'PV IN'!$E$33*'PV IN'!$E$18,0)</f>
        <v>0</v>
      </c>
      <c r="AK196" s="2">
        <f t="shared" ref="AK196:AK259" si="49">SUM(U196:AA196)</f>
        <v>10978.832406311551</v>
      </c>
      <c r="AL196" s="2">
        <f t="shared" ref="AL196:AL259" si="50">SUM(AC196:AI196)</f>
        <v>-1375</v>
      </c>
      <c r="AM196" s="2">
        <f t="shared" si="38"/>
        <v>9603.8324063115506</v>
      </c>
      <c r="AN196" s="43"/>
      <c r="AO196" s="2">
        <f t="shared" ref="AO196:AO259" si="51">SUM(Z196:AA196)</f>
        <v>0</v>
      </c>
      <c r="AP196" s="2">
        <f t="shared" si="39"/>
        <v>-1375</v>
      </c>
      <c r="AR196" s="2">
        <f t="shared" si="40"/>
        <v>-1375</v>
      </c>
      <c r="AS196" s="2">
        <f>-AR196*'PV IN'!$E$8</f>
        <v>288.75</v>
      </c>
      <c r="AT196" s="2">
        <f>IF('PV IN'!$F$4="Battery Only",0,AM196+AS196)</f>
        <v>9892.5824063115506</v>
      </c>
      <c r="AV196" s="10">
        <f t="shared" si="41"/>
        <v>896181.48460298148</v>
      </c>
      <c r="AW196" s="2">
        <f>AT196/(1+('PV IN'!$G$9))^(C196)</f>
        <v>4531.9059825806526</v>
      </c>
      <c r="AX196" s="2">
        <f>IF(C196&lt;='PV IN'!$O$22*12,AW196+AX195,NA())</f>
        <v>234953.57654110718</v>
      </c>
      <c r="AZ196" s="10">
        <f t="shared" ref="AZ196:AZ259" si="52">AL196-AD196</f>
        <v>-1375</v>
      </c>
      <c r="BA196" s="10">
        <f t="shared" ref="BA196:BA259" si="53">AK196-U196</f>
        <v>0</v>
      </c>
      <c r="BB196" s="10">
        <f t="shared" si="42"/>
        <v>-1375</v>
      </c>
      <c r="BC196" s="10">
        <f t="shared" si="43"/>
        <v>0</v>
      </c>
      <c r="BD196" s="10">
        <f t="shared" si="44"/>
        <v>-1375</v>
      </c>
      <c r="BE196" s="2">
        <f t="shared" si="45"/>
        <v>0</v>
      </c>
      <c r="BF196" s="10">
        <f t="shared" si="46"/>
        <v>-1375</v>
      </c>
      <c r="BG196" s="2">
        <f>-BF196*'PV IN'!$E$8</f>
        <v>288.75</v>
      </c>
      <c r="BH196" s="2">
        <f>IF('PV IN'!$F$4="Battery Only",0,BB196+BG196)</f>
        <v>-1086.25</v>
      </c>
      <c r="BI196" s="2">
        <f>BH196/(1+('PV IN'!$G$9))^(C196)</f>
        <v>-497.62364076314969</v>
      </c>
    </row>
    <row r="197" spans="2:61" x14ac:dyDescent="0.25">
      <c r="C197">
        <v>193</v>
      </c>
      <c r="D197" s="16">
        <f>D196*(1+('PV IN'!$G$6/12))</f>
        <v>7.5999999999999998E-2</v>
      </c>
      <c r="E197" s="16">
        <f>LkUP!$U$37</f>
        <v>8.2134148058886372E-2</v>
      </c>
      <c r="F197" s="16">
        <f>IF('PV IN'!$D$7="Table",E197,D197)</f>
        <v>8.2134148058886372E-2</v>
      </c>
      <c r="G197" s="33">
        <f>('PV IN'!$E$25*'PV IN'!$E$18/12)*(1-(1-'PV IN'!$E$27)/(25*12))^C196</f>
        <v>134171.91298346352</v>
      </c>
      <c r="H197" s="33">
        <f>IF('PV IN'!$D$19="YES",G197*'PV IN'!$E$21,0)</f>
        <v>0</v>
      </c>
      <c r="I197" s="33">
        <f>IF('PV IN'!$D$19="YES",'PV IN'!$E$22*BattCalcs!W197,0)</f>
        <v>0</v>
      </c>
      <c r="J197" s="33">
        <f>IF('PV IN'!$D$19="YES",'PV IN'!$E$23*BattCalcs!Y197,0)</f>
        <v>0</v>
      </c>
      <c r="K197" s="33">
        <f>BattCalcs!AF197</f>
        <v>25811.765833333331</v>
      </c>
      <c r="L197" s="33">
        <f t="shared" si="47"/>
        <v>25811.765833333331</v>
      </c>
      <c r="M197" s="33">
        <f>IF('PV IN'!$F$4="PV Only",G197,G197-SUM(H197:J197,L197))</f>
        <v>134171.91298346352</v>
      </c>
      <c r="N197" s="2">
        <f>IF(C197&lt;='PV IN'!$I$12*12,'PV IN'!$E$12*G197/1000,0)</f>
        <v>0</v>
      </c>
      <c r="O197" s="2">
        <f>IF(AND(C197&gt;'PV IN'!$I$12*12,C197&lt;='PV IN'!$I$13*12+'PV IN'!$I$12*12),'PV IN'!$E$13*PVCalcs!G197/1000,0)</f>
        <v>0</v>
      </c>
      <c r="P197" s="2">
        <f>IF(AND(C197&gt;'PV IN'!$I$12*12+'PV IN'!$I$13*12,C197&lt;='PV IN'!$I$12*12+'PV IN'!$I$13*12+'PV IN'!$I$14*12),'PV IN'!$E$14*PVCalcs!G197/1000,0)</f>
        <v>0</v>
      </c>
      <c r="R197" s="10">
        <f>IF(AND('PV IN'!$D$35="YES",$C197&lt;='PV IN'!$E$35*12),-'PV IN'!$E$18*'PV IN'!$E$34/12,0)</f>
        <v>0</v>
      </c>
      <c r="S197" s="10">
        <f>IF(AND('PV IN'!$D$37="YES",$C197&lt;='PV IN'!$E$37*12),-'PV IN'!$E$18*'PV IN'!$E$36/12,0)</f>
        <v>0</v>
      </c>
      <c r="U197" s="2">
        <f t="shared" si="48"/>
        <v>11020.095766327811</v>
      </c>
      <c r="V197" s="10">
        <f>PVLoan!M224</f>
        <v>0</v>
      </c>
      <c r="W197" s="2">
        <f>IF(C197='PV IN'!$I$40,IF('PV IN'!$G$40="Non-Taxable",'PV IN'!$F$40,0),0)+IF(C197='PV IN'!$I$41,IF('PV IN'!$G$41="Non-Taxable",'PV IN'!$F$41,0),0)</f>
        <v>0</v>
      </c>
      <c r="X197" s="10"/>
      <c r="Y197" s="10">
        <f>IF('PV IN'!$E$15="Non-Taxable",SUM(N197:P197),0)</f>
        <v>0</v>
      </c>
      <c r="Z197" s="10">
        <f>IF('PV IN'!$E$15="Taxable",SUM(N197:P197),0)</f>
        <v>0</v>
      </c>
      <c r="AA197" s="2">
        <f>IF(C197='PV IN'!$I$40,IF('PV IN'!$G$40="Taxable",'PV IN'!$F$40,0),0)+IF(C197='PV IN'!$I$41,IF('PV IN'!$G$41="Taxable",'PV IN'!$F$41,0),0)</f>
        <v>0</v>
      </c>
      <c r="AD197" s="10">
        <f>IF('PV IN'!$D$48="YES",-U197*'PV IN'!$E$8,0)</f>
        <v>0</v>
      </c>
      <c r="AE197" s="10">
        <f>IF('PV IN'!$N$10="Yes",-PVLoan!H225,-PVLoan!L225)</f>
        <v>0</v>
      </c>
      <c r="AF197" s="10">
        <f>IF('PV IN'!$N$10="Yes",-PVLoan!F225,0)</f>
        <v>0</v>
      </c>
      <c r="AG197" s="10">
        <f>IF(AND('PV IN'!$D$35="YES",$C197&lt;='PV IN'!$E$35*12),0,-'PV IN'!$E$18*'PV IN'!$E$34/12)</f>
        <v>-750</v>
      </c>
      <c r="AH197" s="10">
        <f>IF(AND('PV IN'!$D$37="YES",$C197&lt;='PV IN'!$E$37*12),0,-'PV IN'!$E$18*'PV IN'!$E$36/12)</f>
        <v>-625</v>
      </c>
      <c r="AI197" s="2">
        <f>IF(AND('PV IN'!$D$33="YES",PVCalcs!C197=ROUNDUP('PV IN'!$H$33*12,)),-'PV IN'!$E$33*'PV IN'!$E$18,0)</f>
        <v>0</v>
      </c>
      <c r="AK197" s="2">
        <f t="shared" si="49"/>
        <v>11020.095766327811</v>
      </c>
      <c r="AL197" s="2">
        <f t="shared" si="50"/>
        <v>-1375</v>
      </c>
      <c r="AM197" s="2">
        <f t="shared" ref="AM197:AM260" si="54">AK197+AL197</f>
        <v>9645.0957663278114</v>
      </c>
      <c r="AN197" s="43"/>
      <c r="AO197" s="2">
        <f t="shared" si="51"/>
        <v>0</v>
      </c>
      <c r="AP197" s="2">
        <f t="shared" ref="AP197:AP260" si="55">SUM(AF197:AI197)</f>
        <v>-1375</v>
      </c>
      <c r="AR197" s="2">
        <f t="shared" ref="AR197:AR260" si="56">SUM(AO197:AQ197)</f>
        <v>-1375</v>
      </c>
      <c r="AS197" s="2">
        <f>-AR197*'PV IN'!$E$8</f>
        <v>288.75</v>
      </c>
      <c r="AT197" s="2">
        <f>IF('PV IN'!$F$4="Battery Only",0,AM197+AS197)</f>
        <v>9933.8457663278114</v>
      </c>
      <c r="AV197" s="10">
        <f t="shared" ref="AV197:AV260" si="57">AV196+AT197</f>
        <v>906115.33036930929</v>
      </c>
      <c r="AW197" s="2">
        <f>AT197/(1+('PV IN'!$G$9))^(C197)</f>
        <v>4532.3438732704171</v>
      </c>
      <c r="AX197" s="2">
        <f>IF(C197&lt;='PV IN'!$O$22*12,AW197+AX196,NA())</f>
        <v>239485.92041437759</v>
      </c>
      <c r="AZ197" s="10">
        <f t="shared" si="52"/>
        <v>-1375</v>
      </c>
      <c r="BA197" s="10">
        <f t="shared" si="53"/>
        <v>0</v>
      </c>
      <c r="BB197" s="10">
        <f t="shared" ref="BB197:BB260" si="58">AZ197+BA197</f>
        <v>-1375</v>
      </c>
      <c r="BC197" s="10">
        <f t="shared" ref="BC197:BC260" si="59">AO197</f>
        <v>0</v>
      </c>
      <c r="BD197" s="10">
        <f t="shared" ref="BD197:BD260" si="60">AP197</f>
        <v>-1375</v>
      </c>
      <c r="BE197" s="2">
        <f t="shared" ref="BE197:BE260" si="61">AQ197</f>
        <v>0</v>
      </c>
      <c r="BF197" s="10">
        <f t="shared" ref="BF197:BF260" si="62">SUM(BC197:BE197)</f>
        <v>-1375</v>
      </c>
      <c r="BG197" s="2">
        <f>-BF197*'PV IN'!$E$8</f>
        <v>288.75</v>
      </c>
      <c r="BH197" s="2">
        <f>IF('PV IN'!$F$4="Battery Only",0,BB197+BG197)</f>
        <v>-1086.25</v>
      </c>
      <c r="BI197" s="2">
        <f>BH197/(1+('PV IN'!$G$9))^(C197)</f>
        <v>-495.60448673645391</v>
      </c>
    </row>
    <row r="198" spans="2:61" x14ac:dyDescent="0.25">
      <c r="C198">
        <v>194</v>
      </c>
      <c r="D198" s="16">
        <f>D197*(1+('PV IN'!$G$6/12))</f>
        <v>7.5999999999999998E-2</v>
      </c>
      <c r="E198" s="16">
        <f>LkUP!$U$37</f>
        <v>8.2134148058886372E-2</v>
      </c>
      <c r="F198" s="16">
        <f>IF('PV IN'!$D$7="Table",E198,D198)</f>
        <v>8.2134148058886372E-2</v>
      </c>
      <c r="G198" s="33">
        <f>('PV IN'!$E$25*'PV IN'!$E$18/12)*(1-(1-'PV IN'!$E$27)/(25*12))^C197</f>
        <v>134082.46504147456</v>
      </c>
      <c r="H198" s="33">
        <f>IF('PV IN'!$D$19="YES",G198*'PV IN'!$E$21,0)</f>
        <v>0</v>
      </c>
      <c r="I198" s="33">
        <f>IF('PV IN'!$D$19="YES",'PV IN'!$E$22*BattCalcs!W198,0)</f>
        <v>0</v>
      </c>
      <c r="J198" s="33">
        <f>IF('PV IN'!$D$19="YES",'PV IN'!$E$23*BattCalcs!Y198,0)</f>
        <v>0</v>
      </c>
      <c r="K198" s="33">
        <f>BattCalcs!AF198</f>
        <v>25811.765833333331</v>
      </c>
      <c r="L198" s="33">
        <f t="shared" ref="L198:L261" si="63">IF(SUM(H198:K198)&lt;=G198,K198,G198-SUM(H198:J198))</f>
        <v>25811.765833333331</v>
      </c>
      <c r="M198" s="33">
        <f>IF('PV IN'!$F$4="PV Only",G198,G198-SUM(H198:J198,L198))</f>
        <v>134082.46504147456</v>
      </c>
      <c r="N198" s="2">
        <f>IF(C198&lt;='PV IN'!$I$12*12,'PV IN'!$E$12*G198/1000,0)</f>
        <v>0</v>
      </c>
      <c r="O198" s="2">
        <f>IF(AND(C198&gt;'PV IN'!$I$12*12,C198&lt;='PV IN'!$I$13*12+'PV IN'!$I$12*12),'PV IN'!$E$13*PVCalcs!G198/1000,0)</f>
        <v>0</v>
      </c>
      <c r="P198" s="2">
        <f>IF(AND(C198&gt;'PV IN'!$I$12*12+'PV IN'!$I$13*12,C198&lt;='PV IN'!$I$12*12+'PV IN'!$I$13*12+'PV IN'!$I$14*12),'PV IN'!$E$14*PVCalcs!G198/1000,0)</f>
        <v>0</v>
      </c>
      <c r="R198" s="10">
        <f>IF(AND('PV IN'!$D$35="YES",$C198&lt;='PV IN'!$E$35*12),-'PV IN'!$E$18*'PV IN'!$E$34/12,0)</f>
        <v>0</v>
      </c>
      <c r="S198" s="10">
        <f>IF(AND('PV IN'!$D$37="YES",$C198&lt;='PV IN'!$E$37*12),-'PV IN'!$E$18*'PV IN'!$E$36/12,0)</f>
        <v>0</v>
      </c>
      <c r="U198" s="2">
        <f t="shared" ref="U198:U261" si="64">F198*M198</f>
        <v>11012.749035816927</v>
      </c>
      <c r="V198" s="10">
        <f>PVLoan!M225</f>
        <v>0</v>
      </c>
      <c r="W198" s="2">
        <f>IF(C198='PV IN'!$I$40,IF('PV IN'!$G$40="Non-Taxable",'PV IN'!$F$40,0),0)+IF(C198='PV IN'!$I$41,IF('PV IN'!$G$41="Non-Taxable",'PV IN'!$F$41,0),0)</f>
        <v>0</v>
      </c>
      <c r="X198" s="10"/>
      <c r="Y198" s="10">
        <f>IF('PV IN'!$E$15="Non-Taxable",SUM(N198:P198),0)</f>
        <v>0</v>
      </c>
      <c r="Z198" s="10">
        <f>IF('PV IN'!$E$15="Taxable",SUM(N198:P198),0)</f>
        <v>0</v>
      </c>
      <c r="AA198" s="2">
        <f>IF(C198='PV IN'!$I$40,IF('PV IN'!$G$40="Taxable",'PV IN'!$F$40,0),0)+IF(C198='PV IN'!$I$41,IF('PV IN'!$G$41="Taxable",'PV IN'!$F$41,0),0)</f>
        <v>0</v>
      </c>
      <c r="AD198" s="10">
        <f>IF('PV IN'!$D$48="YES",-U198*'PV IN'!$E$8,0)</f>
        <v>0</v>
      </c>
      <c r="AE198" s="10">
        <f>IF('PV IN'!$N$10="Yes",-PVLoan!H226,-PVLoan!L226)</f>
        <v>0</v>
      </c>
      <c r="AF198" s="10">
        <f>IF('PV IN'!$N$10="Yes",-PVLoan!F226,0)</f>
        <v>0</v>
      </c>
      <c r="AG198" s="10">
        <f>IF(AND('PV IN'!$D$35="YES",$C198&lt;='PV IN'!$E$35*12),0,-'PV IN'!$E$18*'PV IN'!$E$34/12)</f>
        <v>-750</v>
      </c>
      <c r="AH198" s="10">
        <f>IF(AND('PV IN'!$D$37="YES",$C198&lt;='PV IN'!$E$37*12),0,-'PV IN'!$E$18*'PV IN'!$E$36/12)</f>
        <v>-625</v>
      </c>
      <c r="AI198" s="2">
        <f>IF(AND('PV IN'!$D$33="YES",PVCalcs!C198=ROUNDUP('PV IN'!$H$33*12,)),-'PV IN'!$E$33*'PV IN'!$E$18,0)</f>
        <v>0</v>
      </c>
      <c r="AK198" s="2">
        <f t="shared" si="49"/>
        <v>11012.749035816927</v>
      </c>
      <c r="AL198" s="2">
        <f t="shared" si="50"/>
        <v>-1375</v>
      </c>
      <c r="AM198" s="2">
        <f t="shared" si="54"/>
        <v>9637.7490358169271</v>
      </c>
      <c r="AN198" s="43"/>
      <c r="AO198" s="2">
        <f t="shared" si="51"/>
        <v>0</v>
      </c>
      <c r="AP198" s="2">
        <f t="shared" si="55"/>
        <v>-1375</v>
      </c>
      <c r="AR198" s="2">
        <f t="shared" si="56"/>
        <v>-1375</v>
      </c>
      <c r="AS198" s="2">
        <f>-AR198*'PV IN'!$E$8</f>
        <v>288.75</v>
      </c>
      <c r="AT198" s="2">
        <f>IF('PV IN'!$F$4="Battery Only",0,AM198+AS198)</f>
        <v>9926.4990358169271</v>
      </c>
      <c r="AV198" s="10">
        <f t="shared" si="57"/>
        <v>916041.82940512616</v>
      </c>
      <c r="AW198" s="2">
        <f>AT198/(1+('PV IN'!$G$9))^(C198)</f>
        <v>4510.6151034253307</v>
      </c>
      <c r="AX198" s="2">
        <f>IF(C198&lt;='PV IN'!$O$22*12,AW198+AX197,NA())</f>
        <v>243996.53551780293</v>
      </c>
      <c r="AZ198" s="10">
        <f t="shared" si="52"/>
        <v>-1375</v>
      </c>
      <c r="BA198" s="10">
        <f t="shared" si="53"/>
        <v>0</v>
      </c>
      <c r="BB198" s="10">
        <f t="shared" si="58"/>
        <v>-1375</v>
      </c>
      <c r="BC198" s="10">
        <f t="shared" si="59"/>
        <v>0</v>
      </c>
      <c r="BD198" s="10">
        <f t="shared" si="60"/>
        <v>-1375</v>
      </c>
      <c r="BE198" s="2">
        <f t="shared" si="61"/>
        <v>0</v>
      </c>
      <c r="BF198" s="10">
        <f t="shared" si="62"/>
        <v>-1375</v>
      </c>
      <c r="BG198" s="2">
        <f>-BF198*'PV IN'!$E$8</f>
        <v>288.75</v>
      </c>
      <c r="BH198" s="2">
        <f>IF('PV IN'!$F$4="Battery Only",0,BB198+BG198)</f>
        <v>-1086.25</v>
      </c>
      <c r="BI198" s="2">
        <f>BH198/(1+('PV IN'!$G$9))^(C198)</f>
        <v>-493.59352561429381</v>
      </c>
    </row>
    <row r="199" spans="2:61" x14ac:dyDescent="0.25">
      <c r="C199">
        <v>195</v>
      </c>
      <c r="D199" s="16">
        <f>D198*(1+('PV IN'!$G$6/12))</f>
        <v>7.5999999999999998E-2</v>
      </c>
      <c r="E199" s="16">
        <f>LkUP!$U$37</f>
        <v>8.2134148058886372E-2</v>
      </c>
      <c r="F199" s="16">
        <f>IF('PV IN'!$D$7="Table",E199,D199)</f>
        <v>8.2134148058886372E-2</v>
      </c>
      <c r="G199" s="33">
        <f>('PV IN'!$E$25*'PV IN'!$E$18/12)*(1-(1-'PV IN'!$E$27)/(25*12))^C198</f>
        <v>133993.0767314469</v>
      </c>
      <c r="H199" s="33">
        <f>IF('PV IN'!$D$19="YES",G199*'PV IN'!$E$21,0)</f>
        <v>0</v>
      </c>
      <c r="I199" s="33">
        <f>IF('PV IN'!$D$19="YES",'PV IN'!$E$22*BattCalcs!W199,0)</f>
        <v>0</v>
      </c>
      <c r="J199" s="33">
        <f>IF('PV IN'!$D$19="YES",'PV IN'!$E$23*BattCalcs!Y199,0)</f>
        <v>0</v>
      </c>
      <c r="K199" s="33">
        <f>BattCalcs!AF199</f>
        <v>25811.765833333331</v>
      </c>
      <c r="L199" s="33">
        <f t="shared" si="63"/>
        <v>25811.765833333331</v>
      </c>
      <c r="M199" s="33">
        <f>IF('PV IN'!$F$4="PV Only",G199,G199-SUM(H199:J199,L199))</f>
        <v>133993.0767314469</v>
      </c>
      <c r="N199" s="2">
        <f>IF(C199&lt;='PV IN'!$I$12*12,'PV IN'!$E$12*G199/1000,0)</f>
        <v>0</v>
      </c>
      <c r="O199" s="2">
        <f>IF(AND(C199&gt;'PV IN'!$I$12*12,C199&lt;='PV IN'!$I$13*12+'PV IN'!$I$12*12),'PV IN'!$E$13*PVCalcs!G199/1000,0)</f>
        <v>0</v>
      </c>
      <c r="P199" s="2">
        <f>IF(AND(C199&gt;'PV IN'!$I$12*12+'PV IN'!$I$13*12,C199&lt;='PV IN'!$I$12*12+'PV IN'!$I$13*12+'PV IN'!$I$14*12),'PV IN'!$E$14*PVCalcs!G199/1000,0)</f>
        <v>0</v>
      </c>
      <c r="R199" s="10">
        <f>IF(AND('PV IN'!$D$35="YES",$C199&lt;='PV IN'!$E$35*12),-'PV IN'!$E$18*'PV IN'!$E$34/12,0)</f>
        <v>0</v>
      </c>
      <c r="S199" s="10">
        <f>IF(AND('PV IN'!$D$37="YES",$C199&lt;='PV IN'!$E$37*12),-'PV IN'!$E$18*'PV IN'!$E$36/12,0)</f>
        <v>0</v>
      </c>
      <c r="U199" s="2">
        <f t="shared" si="64"/>
        <v>11005.407203126382</v>
      </c>
      <c r="V199" s="10">
        <f>PVLoan!M226</f>
        <v>0</v>
      </c>
      <c r="W199" s="2">
        <f>IF(C199='PV IN'!$I$40,IF('PV IN'!$G$40="Non-Taxable",'PV IN'!$F$40,0),0)+IF(C199='PV IN'!$I$41,IF('PV IN'!$G$41="Non-Taxable",'PV IN'!$F$41,0),0)</f>
        <v>0</v>
      </c>
      <c r="X199" s="10"/>
      <c r="Y199" s="10">
        <f>IF('PV IN'!$E$15="Non-Taxable",SUM(N199:P199),0)</f>
        <v>0</v>
      </c>
      <c r="Z199" s="10">
        <f>IF('PV IN'!$E$15="Taxable",SUM(N199:P199),0)</f>
        <v>0</v>
      </c>
      <c r="AA199" s="2">
        <f>IF(C199='PV IN'!$I$40,IF('PV IN'!$G$40="Taxable",'PV IN'!$F$40,0),0)+IF(C199='PV IN'!$I$41,IF('PV IN'!$G$41="Taxable",'PV IN'!$F$41,0),0)</f>
        <v>0</v>
      </c>
      <c r="AD199" s="10">
        <f>IF('PV IN'!$D$48="YES",-U199*'PV IN'!$E$8,0)</f>
        <v>0</v>
      </c>
      <c r="AE199" s="10">
        <f>IF('PV IN'!$N$10="Yes",-PVLoan!H227,-PVLoan!L227)</f>
        <v>0</v>
      </c>
      <c r="AF199" s="10">
        <f>IF('PV IN'!$N$10="Yes",-PVLoan!F227,0)</f>
        <v>0</v>
      </c>
      <c r="AG199" s="10">
        <f>IF(AND('PV IN'!$D$35="YES",$C199&lt;='PV IN'!$E$35*12),0,-'PV IN'!$E$18*'PV IN'!$E$34/12)</f>
        <v>-750</v>
      </c>
      <c r="AH199" s="10">
        <f>IF(AND('PV IN'!$D$37="YES",$C199&lt;='PV IN'!$E$37*12),0,-'PV IN'!$E$18*'PV IN'!$E$36/12)</f>
        <v>-625</v>
      </c>
      <c r="AI199" s="2">
        <f>IF(AND('PV IN'!$D$33="YES",PVCalcs!C199=ROUNDUP('PV IN'!$H$33*12,)),-'PV IN'!$E$33*'PV IN'!$E$18,0)</f>
        <v>0</v>
      </c>
      <c r="AK199" s="2">
        <f t="shared" si="49"/>
        <v>11005.407203126382</v>
      </c>
      <c r="AL199" s="2">
        <f t="shared" si="50"/>
        <v>-1375</v>
      </c>
      <c r="AM199" s="2">
        <f t="shared" si="54"/>
        <v>9630.4072031263822</v>
      </c>
      <c r="AN199" s="43"/>
      <c r="AO199" s="2">
        <f t="shared" si="51"/>
        <v>0</v>
      </c>
      <c r="AP199" s="2">
        <f t="shared" si="55"/>
        <v>-1375</v>
      </c>
      <c r="AR199" s="2">
        <f t="shared" si="56"/>
        <v>-1375</v>
      </c>
      <c r="AS199" s="2">
        <f>-AR199*'PV IN'!$E$8</f>
        <v>288.75</v>
      </c>
      <c r="AT199" s="2">
        <f>IF('PV IN'!$F$4="Battery Only",0,AM199+AS199)</f>
        <v>9919.1572031263822</v>
      </c>
      <c r="AV199" s="10">
        <f t="shared" si="57"/>
        <v>925960.98660825251</v>
      </c>
      <c r="AW199" s="2">
        <f>AT199/(1+('PV IN'!$G$9))^(C199)</f>
        <v>4488.9902623469097</v>
      </c>
      <c r="AX199" s="2">
        <f>IF(C199&lt;='PV IN'!$O$22*12,AW199+AX198,NA())</f>
        <v>248485.52578014985</v>
      </c>
      <c r="AZ199" s="10">
        <f t="shared" si="52"/>
        <v>-1375</v>
      </c>
      <c r="BA199" s="10">
        <f t="shared" si="53"/>
        <v>0</v>
      </c>
      <c r="BB199" s="10">
        <f t="shared" si="58"/>
        <v>-1375</v>
      </c>
      <c r="BC199" s="10">
        <f t="shared" si="59"/>
        <v>0</v>
      </c>
      <c r="BD199" s="10">
        <f t="shared" si="60"/>
        <v>-1375</v>
      </c>
      <c r="BE199" s="2">
        <f t="shared" si="61"/>
        <v>0</v>
      </c>
      <c r="BF199" s="10">
        <f t="shared" si="62"/>
        <v>-1375</v>
      </c>
      <c r="BG199" s="2">
        <f>-BF199*'PV IN'!$E$8</f>
        <v>288.75</v>
      </c>
      <c r="BH199" s="2">
        <f>IF('PV IN'!$F$4="Battery Only",0,BB199+BG199)</f>
        <v>-1086.25</v>
      </c>
      <c r="BI199" s="2">
        <f>BH199/(1+('PV IN'!$G$9))^(C199)</f>
        <v>-491.59072415320026</v>
      </c>
    </row>
    <row r="200" spans="2:61" x14ac:dyDescent="0.25">
      <c r="C200">
        <v>196</v>
      </c>
      <c r="D200" s="16">
        <f>D199*(1+('PV IN'!$G$6/12))</f>
        <v>7.5999999999999998E-2</v>
      </c>
      <c r="E200" s="16">
        <f>LkUP!$U$37</f>
        <v>8.2134148058886372E-2</v>
      </c>
      <c r="F200" s="16">
        <f>IF('PV IN'!$D$7="Table",E200,D200)</f>
        <v>8.2134148058886372E-2</v>
      </c>
      <c r="G200" s="33">
        <f>('PV IN'!$E$25*'PV IN'!$E$18/12)*(1-(1-'PV IN'!$E$27)/(25*12))^C199</f>
        <v>133903.74801362594</v>
      </c>
      <c r="H200" s="33">
        <f>IF('PV IN'!$D$19="YES",G200*'PV IN'!$E$21,0)</f>
        <v>0</v>
      </c>
      <c r="I200" s="33">
        <f>IF('PV IN'!$D$19="YES",'PV IN'!$E$22*BattCalcs!W200,0)</f>
        <v>0</v>
      </c>
      <c r="J200" s="33">
        <f>IF('PV IN'!$D$19="YES",'PV IN'!$E$23*BattCalcs!Y200,0)</f>
        <v>0</v>
      </c>
      <c r="K200" s="33">
        <f>BattCalcs!AF200</f>
        <v>25811.765833333331</v>
      </c>
      <c r="L200" s="33">
        <f t="shared" si="63"/>
        <v>25811.765833333331</v>
      </c>
      <c r="M200" s="33">
        <f>IF('PV IN'!$F$4="PV Only",G200,G200-SUM(H200:J200,L200))</f>
        <v>133903.74801362594</v>
      </c>
      <c r="N200" s="2">
        <f>IF(C200&lt;='PV IN'!$I$12*12,'PV IN'!$E$12*G200/1000,0)</f>
        <v>0</v>
      </c>
      <c r="O200" s="2">
        <f>IF(AND(C200&gt;'PV IN'!$I$12*12,C200&lt;='PV IN'!$I$13*12+'PV IN'!$I$12*12),'PV IN'!$E$13*PVCalcs!G200/1000,0)</f>
        <v>0</v>
      </c>
      <c r="P200" s="2">
        <f>IF(AND(C200&gt;'PV IN'!$I$12*12+'PV IN'!$I$13*12,C200&lt;='PV IN'!$I$12*12+'PV IN'!$I$13*12+'PV IN'!$I$14*12),'PV IN'!$E$14*PVCalcs!G200/1000,0)</f>
        <v>0</v>
      </c>
      <c r="R200" s="10">
        <f>IF(AND('PV IN'!$D$35="YES",$C200&lt;='PV IN'!$E$35*12),-'PV IN'!$E$18*'PV IN'!$E$34/12,0)</f>
        <v>0</v>
      </c>
      <c r="S200" s="10">
        <f>IF(AND('PV IN'!$D$37="YES",$C200&lt;='PV IN'!$E$37*12),-'PV IN'!$E$18*'PV IN'!$E$36/12,0)</f>
        <v>0</v>
      </c>
      <c r="U200" s="2">
        <f t="shared" si="64"/>
        <v>10998.070264990965</v>
      </c>
      <c r="V200" s="10">
        <f>PVLoan!M227</f>
        <v>0</v>
      </c>
      <c r="W200" s="2">
        <f>IF(C200='PV IN'!$I$40,IF('PV IN'!$G$40="Non-Taxable",'PV IN'!$F$40,0),0)+IF(C200='PV IN'!$I$41,IF('PV IN'!$G$41="Non-Taxable",'PV IN'!$F$41,0),0)</f>
        <v>0</v>
      </c>
      <c r="X200" s="10"/>
      <c r="Y200" s="10">
        <f>IF('PV IN'!$E$15="Non-Taxable",SUM(N200:P200),0)</f>
        <v>0</v>
      </c>
      <c r="Z200" s="10">
        <f>IF('PV IN'!$E$15="Taxable",SUM(N200:P200),0)</f>
        <v>0</v>
      </c>
      <c r="AA200" s="2">
        <f>IF(C200='PV IN'!$I$40,IF('PV IN'!$G$40="Taxable",'PV IN'!$F$40,0),0)+IF(C200='PV IN'!$I$41,IF('PV IN'!$G$41="Taxable",'PV IN'!$F$41,0),0)</f>
        <v>0</v>
      </c>
      <c r="AD200" s="10">
        <f>IF('PV IN'!$D$48="YES",-U200*'PV IN'!$E$8,0)</f>
        <v>0</v>
      </c>
      <c r="AE200" s="10">
        <f>IF('PV IN'!$N$10="Yes",-PVLoan!H228,-PVLoan!L228)</f>
        <v>0</v>
      </c>
      <c r="AF200" s="10">
        <f>IF('PV IN'!$N$10="Yes",-PVLoan!F228,0)</f>
        <v>0</v>
      </c>
      <c r="AG200" s="10">
        <f>IF(AND('PV IN'!$D$35="YES",$C200&lt;='PV IN'!$E$35*12),0,-'PV IN'!$E$18*'PV IN'!$E$34/12)</f>
        <v>-750</v>
      </c>
      <c r="AH200" s="10">
        <f>IF(AND('PV IN'!$D$37="YES",$C200&lt;='PV IN'!$E$37*12),0,-'PV IN'!$E$18*'PV IN'!$E$36/12)</f>
        <v>-625</v>
      </c>
      <c r="AI200" s="2">
        <f>IF(AND('PV IN'!$D$33="YES",PVCalcs!C200=ROUNDUP('PV IN'!$H$33*12,)),-'PV IN'!$E$33*'PV IN'!$E$18,0)</f>
        <v>0</v>
      </c>
      <c r="AK200" s="2">
        <f t="shared" si="49"/>
        <v>10998.070264990965</v>
      </c>
      <c r="AL200" s="2">
        <f t="shared" si="50"/>
        <v>-1375</v>
      </c>
      <c r="AM200" s="2">
        <f t="shared" si="54"/>
        <v>9623.0702649909654</v>
      </c>
      <c r="AN200" s="43"/>
      <c r="AO200" s="2">
        <f t="shared" si="51"/>
        <v>0</v>
      </c>
      <c r="AP200" s="2">
        <f t="shared" si="55"/>
        <v>-1375</v>
      </c>
      <c r="AR200" s="2">
        <f t="shared" si="56"/>
        <v>-1375</v>
      </c>
      <c r="AS200" s="2">
        <f>-AR200*'PV IN'!$E$8</f>
        <v>288.75</v>
      </c>
      <c r="AT200" s="2">
        <f>IF('PV IN'!$F$4="Battery Only",0,AM200+AS200)</f>
        <v>9911.8202649909654</v>
      </c>
      <c r="AV200" s="10">
        <f t="shared" si="57"/>
        <v>935872.80687324353</v>
      </c>
      <c r="AW200" s="2">
        <f>AT200/(1+('PV IN'!$G$9))^(C200)</f>
        <v>4467.4688539121453</v>
      </c>
      <c r="AX200" s="2">
        <f>IF(C200&lt;='PV IN'!$O$22*12,AW200+AX199,NA())</f>
        <v>252952.99463406199</v>
      </c>
      <c r="AZ200" s="10">
        <f t="shared" si="52"/>
        <v>-1375</v>
      </c>
      <c r="BA200" s="10">
        <f t="shared" si="53"/>
        <v>0</v>
      </c>
      <c r="BB200" s="10">
        <f t="shared" si="58"/>
        <v>-1375</v>
      </c>
      <c r="BC200" s="10">
        <f t="shared" si="59"/>
        <v>0</v>
      </c>
      <c r="BD200" s="10">
        <f t="shared" si="60"/>
        <v>-1375</v>
      </c>
      <c r="BE200" s="2">
        <f t="shared" si="61"/>
        <v>0</v>
      </c>
      <c r="BF200" s="10">
        <f t="shared" si="62"/>
        <v>-1375</v>
      </c>
      <c r="BG200" s="2">
        <f>-BF200*'PV IN'!$E$8</f>
        <v>288.75</v>
      </c>
      <c r="BH200" s="2">
        <f>IF('PV IN'!$F$4="Battery Only",0,BB200+BG200)</f>
        <v>-1086.25</v>
      </c>
      <c r="BI200" s="2">
        <f>BH200/(1+('PV IN'!$G$9))^(C200)</f>
        <v>-489.59604924459262</v>
      </c>
    </row>
    <row r="201" spans="2:61" x14ac:dyDescent="0.25">
      <c r="C201">
        <v>197</v>
      </c>
      <c r="D201" s="16">
        <f>D200*(1+('PV IN'!$G$6/12))</f>
        <v>7.5999999999999998E-2</v>
      </c>
      <c r="E201" s="16">
        <f>LkUP!$U$37</f>
        <v>8.2134148058886372E-2</v>
      </c>
      <c r="F201" s="16">
        <f>IF('PV IN'!$D$7="Table",E201,D201)</f>
        <v>8.2134148058886372E-2</v>
      </c>
      <c r="G201" s="33">
        <f>('PV IN'!$E$25*'PV IN'!$E$18/12)*(1-(1-'PV IN'!$E$27)/(25*12))^C200</f>
        <v>133814.47884828353</v>
      </c>
      <c r="H201" s="33">
        <f>IF('PV IN'!$D$19="YES",G201*'PV IN'!$E$21,0)</f>
        <v>0</v>
      </c>
      <c r="I201" s="33">
        <f>IF('PV IN'!$D$19="YES",'PV IN'!$E$22*BattCalcs!W201,0)</f>
        <v>0</v>
      </c>
      <c r="J201" s="33">
        <f>IF('PV IN'!$D$19="YES",'PV IN'!$E$23*BattCalcs!Y201,0)</f>
        <v>0</v>
      </c>
      <c r="K201" s="33">
        <f>BattCalcs!AF201</f>
        <v>25811.765833333331</v>
      </c>
      <c r="L201" s="33">
        <f t="shared" si="63"/>
        <v>25811.765833333331</v>
      </c>
      <c r="M201" s="33">
        <f>IF('PV IN'!$F$4="PV Only",G201,G201-SUM(H201:J201,L201))</f>
        <v>133814.47884828353</v>
      </c>
      <c r="N201" s="2">
        <f>IF(C201&lt;='PV IN'!$I$12*12,'PV IN'!$E$12*G201/1000,0)</f>
        <v>0</v>
      </c>
      <c r="O201" s="2">
        <f>IF(AND(C201&gt;'PV IN'!$I$12*12,C201&lt;='PV IN'!$I$13*12+'PV IN'!$I$12*12),'PV IN'!$E$13*PVCalcs!G201/1000,0)</f>
        <v>0</v>
      </c>
      <c r="P201" s="2">
        <f>IF(AND(C201&gt;'PV IN'!$I$12*12+'PV IN'!$I$13*12,C201&lt;='PV IN'!$I$12*12+'PV IN'!$I$13*12+'PV IN'!$I$14*12),'PV IN'!$E$14*PVCalcs!G201/1000,0)</f>
        <v>0</v>
      </c>
      <c r="R201" s="10">
        <f>IF(AND('PV IN'!$D$35="YES",$C201&lt;='PV IN'!$E$35*12),-'PV IN'!$E$18*'PV IN'!$E$34/12,0)</f>
        <v>0</v>
      </c>
      <c r="S201" s="10">
        <f>IF(AND('PV IN'!$D$37="YES",$C201&lt;='PV IN'!$E$37*12),-'PV IN'!$E$18*'PV IN'!$E$36/12,0)</f>
        <v>0</v>
      </c>
      <c r="U201" s="2">
        <f t="shared" si="64"/>
        <v>10990.738218147639</v>
      </c>
      <c r="V201" s="10">
        <f>PVLoan!M228</f>
        <v>0</v>
      </c>
      <c r="W201" s="2">
        <f>IF(C201='PV IN'!$I$40,IF('PV IN'!$G$40="Non-Taxable",'PV IN'!$F$40,0),0)+IF(C201='PV IN'!$I$41,IF('PV IN'!$G$41="Non-Taxable",'PV IN'!$F$41,0),0)</f>
        <v>0</v>
      </c>
      <c r="X201" s="10"/>
      <c r="Y201" s="10">
        <f>IF('PV IN'!$E$15="Non-Taxable",SUM(N201:P201),0)</f>
        <v>0</v>
      </c>
      <c r="Z201" s="10">
        <f>IF('PV IN'!$E$15="Taxable",SUM(N201:P201),0)</f>
        <v>0</v>
      </c>
      <c r="AA201" s="2">
        <f>IF(C201='PV IN'!$I$40,IF('PV IN'!$G$40="Taxable",'PV IN'!$F$40,0),0)+IF(C201='PV IN'!$I$41,IF('PV IN'!$G$41="Taxable",'PV IN'!$F$41,0),0)</f>
        <v>0</v>
      </c>
      <c r="AD201" s="10">
        <f>IF('PV IN'!$D$48="YES",-U201*'PV IN'!$E$8,0)</f>
        <v>0</v>
      </c>
      <c r="AE201" s="10">
        <f>IF('PV IN'!$N$10="Yes",-PVLoan!H229,-PVLoan!L229)</f>
        <v>0</v>
      </c>
      <c r="AF201" s="10">
        <f>IF('PV IN'!$N$10="Yes",-PVLoan!F229,0)</f>
        <v>0</v>
      </c>
      <c r="AG201" s="10">
        <f>IF(AND('PV IN'!$D$35="YES",$C201&lt;='PV IN'!$E$35*12),0,-'PV IN'!$E$18*'PV IN'!$E$34/12)</f>
        <v>-750</v>
      </c>
      <c r="AH201" s="10">
        <f>IF(AND('PV IN'!$D$37="YES",$C201&lt;='PV IN'!$E$37*12),0,-'PV IN'!$E$18*'PV IN'!$E$36/12)</f>
        <v>-625</v>
      </c>
      <c r="AI201" s="2">
        <f>IF(AND('PV IN'!$D$33="YES",PVCalcs!C201=ROUNDUP('PV IN'!$H$33*12,)),-'PV IN'!$E$33*'PV IN'!$E$18,0)</f>
        <v>0</v>
      </c>
      <c r="AK201" s="2">
        <f t="shared" si="49"/>
        <v>10990.738218147639</v>
      </c>
      <c r="AL201" s="2">
        <f t="shared" si="50"/>
        <v>-1375</v>
      </c>
      <c r="AM201" s="2">
        <f t="shared" si="54"/>
        <v>9615.7382181476387</v>
      </c>
      <c r="AN201" s="43"/>
      <c r="AO201" s="2">
        <f t="shared" si="51"/>
        <v>0</v>
      </c>
      <c r="AP201" s="2">
        <f t="shared" si="55"/>
        <v>-1375</v>
      </c>
      <c r="AR201" s="2">
        <f t="shared" si="56"/>
        <v>-1375</v>
      </c>
      <c r="AS201" s="2">
        <f>-AR201*'PV IN'!$E$8</f>
        <v>288.75</v>
      </c>
      <c r="AT201" s="2">
        <f>IF('PV IN'!$F$4="Battery Only",0,AM201+AS201)</f>
        <v>9904.4882181476387</v>
      </c>
      <c r="AV201" s="10">
        <f t="shared" si="57"/>
        <v>945777.29509139119</v>
      </c>
      <c r="AW201" s="2">
        <f>AT201/(1+('PV IN'!$G$9))^(C201)</f>
        <v>4446.0503843624774</v>
      </c>
      <c r="AX201" s="2">
        <f>IF(C201&lt;='PV IN'!$O$22*12,AW201+AX200,NA())</f>
        <v>257399.04501842448</v>
      </c>
      <c r="AZ201" s="10">
        <f t="shared" si="52"/>
        <v>-1375</v>
      </c>
      <c r="BA201" s="10">
        <f t="shared" si="53"/>
        <v>0</v>
      </c>
      <c r="BB201" s="10">
        <f t="shared" si="58"/>
        <v>-1375</v>
      </c>
      <c r="BC201" s="10">
        <f t="shared" si="59"/>
        <v>0</v>
      </c>
      <c r="BD201" s="10">
        <f t="shared" si="60"/>
        <v>-1375</v>
      </c>
      <c r="BE201" s="2">
        <f t="shared" si="61"/>
        <v>0</v>
      </c>
      <c r="BF201" s="10">
        <f t="shared" si="62"/>
        <v>-1375</v>
      </c>
      <c r="BG201" s="2">
        <f>-BF201*'PV IN'!$E$8</f>
        <v>288.75</v>
      </c>
      <c r="BH201" s="2">
        <f>IF('PV IN'!$F$4="Battery Only",0,BB201+BG201)</f>
        <v>-1086.25</v>
      </c>
      <c r="BI201" s="2">
        <f>BH201/(1+('PV IN'!$G$9))^(C201)</f>
        <v>-487.60946791423117</v>
      </c>
    </row>
    <row r="202" spans="2:61" x14ac:dyDescent="0.25">
      <c r="C202">
        <v>198</v>
      </c>
      <c r="D202" s="16">
        <f>D201*(1+('PV IN'!$G$6/12))</f>
        <v>7.5999999999999998E-2</v>
      </c>
      <c r="E202" s="16">
        <f>LkUP!$U$37</f>
        <v>8.2134148058886372E-2</v>
      </c>
      <c r="F202" s="16">
        <f>IF('PV IN'!$D$7="Table",E202,D202)</f>
        <v>8.2134148058886372E-2</v>
      </c>
      <c r="G202" s="33">
        <f>('PV IN'!$E$25*'PV IN'!$E$18/12)*(1-(1-'PV IN'!$E$27)/(25*12))^C201</f>
        <v>133725.26919571799</v>
      </c>
      <c r="H202" s="33">
        <f>IF('PV IN'!$D$19="YES",G202*'PV IN'!$E$21,0)</f>
        <v>0</v>
      </c>
      <c r="I202" s="33">
        <f>IF('PV IN'!$D$19="YES",'PV IN'!$E$22*BattCalcs!W202,0)</f>
        <v>0</v>
      </c>
      <c r="J202" s="33">
        <f>IF('PV IN'!$D$19="YES",'PV IN'!$E$23*BattCalcs!Y202,0)</f>
        <v>0</v>
      </c>
      <c r="K202" s="33">
        <f>BattCalcs!AF202</f>
        <v>25811.765833333331</v>
      </c>
      <c r="L202" s="33">
        <f t="shared" si="63"/>
        <v>25811.765833333331</v>
      </c>
      <c r="M202" s="33">
        <f>IF('PV IN'!$F$4="PV Only",G202,G202-SUM(H202:J202,L202))</f>
        <v>133725.26919571799</v>
      </c>
      <c r="N202" s="2">
        <f>IF(C202&lt;='PV IN'!$I$12*12,'PV IN'!$E$12*G202/1000,0)</f>
        <v>0</v>
      </c>
      <c r="O202" s="2">
        <f>IF(AND(C202&gt;'PV IN'!$I$12*12,C202&lt;='PV IN'!$I$13*12+'PV IN'!$I$12*12),'PV IN'!$E$13*PVCalcs!G202/1000,0)</f>
        <v>0</v>
      </c>
      <c r="P202" s="2">
        <f>IF(AND(C202&gt;'PV IN'!$I$12*12+'PV IN'!$I$13*12,C202&lt;='PV IN'!$I$12*12+'PV IN'!$I$13*12+'PV IN'!$I$14*12),'PV IN'!$E$14*PVCalcs!G202/1000,0)</f>
        <v>0</v>
      </c>
      <c r="R202" s="10">
        <f>IF(AND('PV IN'!$D$35="YES",$C202&lt;='PV IN'!$E$35*12),-'PV IN'!$E$18*'PV IN'!$E$34/12,0)</f>
        <v>0</v>
      </c>
      <c r="S202" s="10">
        <f>IF(AND('PV IN'!$D$37="YES",$C202&lt;='PV IN'!$E$37*12),-'PV IN'!$E$18*'PV IN'!$E$36/12,0)</f>
        <v>0</v>
      </c>
      <c r="U202" s="2">
        <f t="shared" si="64"/>
        <v>10983.411059335538</v>
      </c>
      <c r="V202" s="10">
        <f>PVLoan!M229</f>
        <v>0</v>
      </c>
      <c r="W202" s="2">
        <f>IF(C202='PV IN'!$I$40,IF('PV IN'!$G$40="Non-Taxable",'PV IN'!$F$40,0),0)+IF(C202='PV IN'!$I$41,IF('PV IN'!$G$41="Non-Taxable",'PV IN'!$F$41,0),0)</f>
        <v>0</v>
      </c>
      <c r="X202" s="10"/>
      <c r="Y202" s="10">
        <f>IF('PV IN'!$E$15="Non-Taxable",SUM(N202:P202),0)</f>
        <v>0</v>
      </c>
      <c r="Z202" s="10">
        <f>IF('PV IN'!$E$15="Taxable",SUM(N202:P202),0)</f>
        <v>0</v>
      </c>
      <c r="AA202" s="2">
        <f>IF(C202='PV IN'!$I$40,IF('PV IN'!$G$40="Taxable",'PV IN'!$F$40,0),0)+IF(C202='PV IN'!$I$41,IF('PV IN'!$G$41="Taxable",'PV IN'!$F$41,0),0)</f>
        <v>0</v>
      </c>
      <c r="AD202" s="10">
        <f>IF('PV IN'!$D$48="YES",-U202*'PV IN'!$E$8,0)</f>
        <v>0</v>
      </c>
      <c r="AE202" s="10">
        <f>IF('PV IN'!$N$10="Yes",-PVLoan!H230,-PVLoan!L230)</f>
        <v>0</v>
      </c>
      <c r="AF202" s="10">
        <f>IF('PV IN'!$N$10="Yes",-PVLoan!F230,0)</f>
        <v>0</v>
      </c>
      <c r="AG202" s="10">
        <f>IF(AND('PV IN'!$D$35="YES",$C202&lt;='PV IN'!$E$35*12),0,-'PV IN'!$E$18*'PV IN'!$E$34/12)</f>
        <v>-750</v>
      </c>
      <c r="AH202" s="10">
        <f>IF(AND('PV IN'!$D$37="YES",$C202&lt;='PV IN'!$E$37*12),0,-'PV IN'!$E$18*'PV IN'!$E$36/12)</f>
        <v>-625</v>
      </c>
      <c r="AI202" s="2">
        <f>IF(AND('PV IN'!$D$33="YES",PVCalcs!C202=ROUNDUP('PV IN'!$H$33*12,)),-'PV IN'!$E$33*'PV IN'!$E$18,0)</f>
        <v>0</v>
      </c>
      <c r="AK202" s="2">
        <f t="shared" si="49"/>
        <v>10983.411059335538</v>
      </c>
      <c r="AL202" s="2">
        <f t="shared" si="50"/>
        <v>-1375</v>
      </c>
      <c r="AM202" s="2">
        <f t="shared" si="54"/>
        <v>9608.4110593355381</v>
      </c>
      <c r="AN202" s="43"/>
      <c r="AO202" s="2">
        <f t="shared" si="51"/>
        <v>0</v>
      </c>
      <c r="AP202" s="2">
        <f t="shared" si="55"/>
        <v>-1375</v>
      </c>
      <c r="AR202" s="2">
        <f t="shared" si="56"/>
        <v>-1375</v>
      </c>
      <c r="AS202" s="2">
        <f>-AR202*'PV IN'!$E$8</f>
        <v>288.75</v>
      </c>
      <c r="AT202" s="2">
        <f>IF('PV IN'!$F$4="Battery Only",0,AM202+AS202)</f>
        <v>9897.1610593355381</v>
      </c>
      <c r="AV202" s="10">
        <f t="shared" si="57"/>
        <v>955674.45615072676</v>
      </c>
      <c r="AW202" s="2">
        <f>AT202/(1+('PV IN'!$G$9))^(C202)</f>
        <v>4424.73436229255</v>
      </c>
      <c r="AX202" s="2">
        <f>IF(C202&lt;='PV IN'!$O$22*12,AW202+AX201,NA())</f>
        <v>261823.77938071702</v>
      </c>
      <c r="AZ202" s="10">
        <f t="shared" si="52"/>
        <v>-1375</v>
      </c>
      <c r="BA202" s="10">
        <f t="shared" si="53"/>
        <v>0</v>
      </c>
      <c r="BB202" s="10">
        <f t="shared" si="58"/>
        <v>-1375</v>
      </c>
      <c r="BC202" s="10">
        <f t="shared" si="59"/>
        <v>0</v>
      </c>
      <c r="BD202" s="10">
        <f t="shared" si="60"/>
        <v>-1375</v>
      </c>
      <c r="BE202" s="2">
        <f t="shared" si="61"/>
        <v>0</v>
      </c>
      <c r="BF202" s="10">
        <f t="shared" si="62"/>
        <v>-1375</v>
      </c>
      <c r="BG202" s="2">
        <f>-BF202*'PV IN'!$E$8</f>
        <v>288.75</v>
      </c>
      <c r="BH202" s="2">
        <f>IF('PV IN'!$F$4="Battery Only",0,BB202+BG202)</f>
        <v>-1086.25</v>
      </c>
      <c r="BI202" s="2">
        <f>BH202/(1+('PV IN'!$G$9))^(C202)</f>
        <v>-485.63094732167224</v>
      </c>
    </row>
    <row r="203" spans="2:61" x14ac:dyDescent="0.25">
      <c r="C203">
        <v>199</v>
      </c>
      <c r="D203" s="16">
        <f>D202*(1+('PV IN'!$G$6/12))</f>
        <v>7.5999999999999998E-2</v>
      </c>
      <c r="E203" s="16">
        <f>LkUP!$U$37</f>
        <v>8.2134148058886372E-2</v>
      </c>
      <c r="F203" s="16">
        <f>IF('PV IN'!$D$7="Table",E203,D203)</f>
        <v>8.2134148058886372E-2</v>
      </c>
      <c r="G203" s="33">
        <f>('PV IN'!$E$25*'PV IN'!$E$18/12)*(1-(1-'PV IN'!$E$27)/(25*12))^C202</f>
        <v>133636.11901625418</v>
      </c>
      <c r="H203" s="33">
        <f>IF('PV IN'!$D$19="YES",G203*'PV IN'!$E$21,0)</f>
        <v>0</v>
      </c>
      <c r="I203" s="33">
        <f>IF('PV IN'!$D$19="YES",'PV IN'!$E$22*BattCalcs!W203,0)</f>
        <v>0</v>
      </c>
      <c r="J203" s="33">
        <f>IF('PV IN'!$D$19="YES",'PV IN'!$E$23*BattCalcs!Y203,0)</f>
        <v>0</v>
      </c>
      <c r="K203" s="33">
        <f>BattCalcs!AF203</f>
        <v>25811.765833333331</v>
      </c>
      <c r="L203" s="33">
        <f t="shared" si="63"/>
        <v>25811.765833333331</v>
      </c>
      <c r="M203" s="33">
        <f>IF('PV IN'!$F$4="PV Only",G203,G203-SUM(H203:J203,L203))</f>
        <v>133636.11901625418</v>
      </c>
      <c r="N203" s="2">
        <f>IF(C203&lt;='PV IN'!$I$12*12,'PV IN'!$E$12*G203/1000,0)</f>
        <v>0</v>
      </c>
      <c r="O203" s="2">
        <f>IF(AND(C203&gt;'PV IN'!$I$12*12,C203&lt;='PV IN'!$I$13*12+'PV IN'!$I$12*12),'PV IN'!$E$13*PVCalcs!G203/1000,0)</f>
        <v>0</v>
      </c>
      <c r="P203" s="2">
        <f>IF(AND(C203&gt;'PV IN'!$I$12*12+'PV IN'!$I$13*12,C203&lt;='PV IN'!$I$12*12+'PV IN'!$I$13*12+'PV IN'!$I$14*12),'PV IN'!$E$14*PVCalcs!G203/1000,0)</f>
        <v>0</v>
      </c>
      <c r="R203" s="10">
        <f>IF(AND('PV IN'!$D$35="YES",$C203&lt;='PV IN'!$E$35*12),-'PV IN'!$E$18*'PV IN'!$E$34/12,0)</f>
        <v>0</v>
      </c>
      <c r="S203" s="10">
        <f>IF(AND('PV IN'!$D$37="YES",$C203&lt;='PV IN'!$E$37*12),-'PV IN'!$E$18*'PV IN'!$E$36/12,0)</f>
        <v>0</v>
      </c>
      <c r="U203" s="2">
        <f t="shared" si="64"/>
        <v>10976.08878529598</v>
      </c>
      <c r="V203" s="10">
        <f>PVLoan!M230</f>
        <v>0</v>
      </c>
      <c r="W203" s="2">
        <f>IF(C203='PV IN'!$I$40,IF('PV IN'!$G$40="Non-Taxable",'PV IN'!$F$40,0),0)+IF(C203='PV IN'!$I$41,IF('PV IN'!$G$41="Non-Taxable",'PV IN'!$F$41,0),0)</f>
        <v>0</v>
      </c>
      <c r="X203" s="10"/>
      <c r="Y203" s="10">
        <f>IF('PV IN'!$E$15="Non-Taxable",SUM(N203:P203),0)</f>
        <v>0</v>
      </c>
      <c r="Z203" s="10">
        <f>IF('PV IN'!$E$15="Taxable",SUM(N203:P203),0)</f>
        <v>0</v>
      </c>
      <c r="AA203" s="2">
        <f>IF(C203='PV IN'!$I$40,IF('PV IN'!$G$40="Taxable",'PV IN'!$F$40,0),0)+IF(C203='PV IN'!$I$41,IF('PV IN'!$G$41="Taxable",'PV IN'!$F$41,0),0)</f>
        <v>0</v>
      </c>
      <c r="AD203" s="10">
        <f>IF('PV IN'!$D$48="YES",-U203*'PV IN'!$E$8,0)</f>
        <v>0</v>
      </c>
      <c r="AE203" s="10">
        <f>IF('PV IN'!$N$10="Yes",-PVLoan!H231,-PVLoan!L231)</f>
        <v>0</v>
      </c>
      <c r="AF203" s="10">
        <f>IF('PV IN'!$N$10="Yes",-PVLoan!F231,0)</f>
        <v>0</v>
      </c>
      <c r="AG203" s="10">
        <f>IF(AND('PV IN'!$D$35="YES",$C203&lt;='PV IN'!$E$35*12),0,-'PV IN'!$E$18*'PV IN'!$E$34/12)</f>
        <v>-750</v>
      </c>
      <c r="AH203" s="10">
        <f>IF(AND('PV IN'!$D$37="YES",$C203&lt;='PV IN'!$E$37*12),0,-'PV IN'!$E$18*'PV IN'!$E$36/12)</f>
        <v>-625</v>
      </c>
      <c r="AI203" s="2">
        <f>IF(AND('PV IN'!$D$33="YES",PVCalcs!C203=ROUNDUP('PV IN'!$H$33*12,)),-'PV IN'!$E$33*'PV IN'!$E$18,0)</f>
        <v>0</v>
      </c>
      <c r="AK203" s="2">
        <f t="shared" si="49"/>
        <v>10976.08878529598</v>
      </c>
      <c r="AL203" s="2">
        <f t="shared" si="50"/>
        <v>-1375</v>
      </c>
      <c r="AM203" s="2">
        <f t="shared" si="54"/>
        <v>9601.0887852959804</v>
      </c>
      <c r="AN203" s="43"/>
      <c r="AO203" s="2">
        <f t="shared" si="51"/>
        <v>0</v>
      </c>
      <c r="AP203" s="2">
        <f t="shared" si="55"/>
        <v>-1375</v>
      </c>
      <c r="AR203" s="2">
        <f t="shared" si="56"/>
        <v>-1375</v>
      </c>
      <c r="AS203" s="2">
        <f>-AR203*'PV IN'!$E$8</f>
        <v>288.75</v>
      </c>
      <c r="AT203" s="2">
        <f>IF('PV IN'!$F$4="Battery Only",0,AM203+AS203)</f>
        <v>9889.8387852959804</v>
      </c>
      <c r="AV203" s="10">
        <f t="shared" si="57"/>
        <v>965564.29493602272</v>
      </c>
      <c r="AW203" s="2">
        <f>AT203/(1+('PV IN'!$G$9))^(C203)</f>
        <v>4403.5202986390104</v>
      </c>
      <c r="AX203" s="2">
        <f>IF(C203&lt;='PV IN'!$O$22*12,AW203+AX202,NA())</f>
        <v>266227.29967935605</v>
      </c>
      <c r="AZ203" s="10">
        <f t="shared" si="52"/>
        <v>-1375</v>
      </c>
      <c r="BA203" s="10">
        <f t="shared" si="53"/>
        <v>0</v>
      </c>
      <c r="BB203" s="10">
        <f t="shared" si="58"/>
        <v>-1375</v>
      </c>
      <c r="BC203" s="10">
        <f t="shared" si="59"/>
        <v>0</v>
      </c>
      <c r="BD203" s="10">
        <f t="shared" si="60"/>
        <v>-1375</v>
      </c>
      <c r="BE203" s="2">
        <f t="shared" si="61"/>
        <v>0</v>
      </c>
      <c r="BF203" s="10">
        <f t="shared" si="62"/>
        <v>-1375</v>
      </c>
      <c r="BG203" s="2">
        <f>-BF203*'PV IN'!$E$8</f>
        <v>288.75</v>
      </c>
      <c r="BH203" s="2">
        <f>IF('PV IN'!$F$4="Battery Only",0,BB203+BG203)</f>
        <v>-1086.25</v>
      </c>
      <c r="BI203" s="2">
        <f>BH203/(1+('PV IN'!$G$9))^(C203)</f>
        <v>-483.66045475972544</v>
      </c>
    </row>
    <row r="204" spans="2:61" x14ac:dyDescent="0.25">
      <c r="C204">
        <v>200</v>
      </c>
      <c r="D204" s="16">
        <f>D203*(1+('PV IN'!$G$6/12))</f>
        <v>7.5999999999999998E-2</v>
      </c>
      <c r="E204" s="16">
        <f>LkUP!$U$37</f>
        <v>8.2134148058886372E-2</v>
      </c>
      <c r="F204" s="16">
        <f>IF('PV IN'!$D$7="Table",E204,D204)</f>
        <v>8.2134148058886372E-2</v>
      </c>
      <c r="G204" s="33">
        <f>('PV IN'!$E$25*'PV IN'!$E$18/12)*(1-(1-'PV IN'!$E$27)/(25*12))^C203</f>
        <v>133547.02827024335</v>
      </c>
      <c r="H204" s="33">
        <f>IF('PV IN'!$D$19="YES",G204*'PV IN'!$E$21,0)</f>
        <v>0</v>
      </c>
      <c r="I204" s="33">
        <f>IF('PV IN'!$D$19="YES",'PV IN'!$E$22*BattCalcs!W204,0)</f>
        <v>0</v>
      </c>
      <c r="J204" s="33">
        <f>IF('PV IN'!$D$19="YES",'PV IN'!$E$23*BattCalcs!Y204,0)</f>
        <v>0</v>
      </c>
      <c r="K204" s="33">
        <f>BattCalcs!AF204</f>
        <v>25811.765833333331</v>
      </c>
      <c r="L204" s="33">
        <f t="shared" si="63"/>
        <v>25811.765833333331</v>
      </c>
      <c r="M204" s="33">
        <f>IF('PV IN'!$F$4="PV Only",G204,G204-SUM(H204:J204,L204))</f>
        <v>133547.02827024335</v>
      </c>
      <c r="N204" s="2">
        <f>IF(C204&lt;='PV IN'!$I$12*12,'PV IN'!$E$12*G204/1000,0)</f>
        <v>0</v>
      </c>
      <c r="O204" s="2">
        <f>IF(AND(C204&gt;'PV IN'!$I$12*12,C204&lt;='PV IN'!$I$13*12+'PV IN'!$I$12*12),'PV IN'!$E$13*PVCalcs!G204/1000,0)</f>
        <v>0</v>
      </c>
      <c r="P204" s="2">
        <f>IF(AND(C204&gt;'PV IN'!$I$12*12+'PV IN'!$I$13*12,C204&lt;='PV IN'!$I$12*12+'PV IN'!$I$13*12+'PV IN'!$I$14*12),'PV IN'!$E$14*PVCalcs!G204/1000,0)</f>
        <v>0</v>
      </c>
      <c r="R204" s="10">
        <f>IF(AND('PV IN'!$D$35="YES",$C204&lt;='PV IN'!$E$35*12),-'PV IN'!$E$18*'PV IN'!$E$34/12,0)</f>
        <v>0</v>
      </c>
      <c r="S204" s="10">
        <f>IF(AND('PV IN'!$D$37="YES",$C204&lt;='PV IN'!$E$37*12),-'PV IN'!$E$18*'PV IN'!$E$36/12,0)</f>
        <v>0</v>
      </c>
      <c r="U204" s="2">
        <f t="shared" si="64"/>
        <v>10968.771392772451</v>
      </c>
      <c r="V204" s="10">
        <f>PVLoan!M231</f>
        <v>0</v>
      </c>
      <c r="W204" s="2">
        <f>IF(C204='PV IN'!$I$40,IF('PV IN'!$G$40="Non-Taxable",'PV IN'!$F$40,0),0)+IF(C204='PV IN'!$I$41,IF('PV IN'!$G$41="Non-Taxable",'PV IN'!$F$41,0),0)</f>
        <v>0</v>
      </c>
      <c r="X204" s="10"/>
      <c r="Y204" s="10">
        <f>IF('PV IN'!$E$15="Non-Taxable",SUM(N204:P204),0)</f>
        <v>0</v>
      </c>
      <c r="Z204" s="10">
        <f>IF('PV IN'!$E$15="Taxable",SUM(N204:P204),0)</f>
        <v>0</v>
      </c>
      <c r="AA204" s="2">
        <f>IF(C204='PV IN'!$I$40,IF('PV IN'!$G$40="Taxable",'PV IN'!$F$40,0),0)+IF(C204='PV IN'!$I$41,IF('PV IN'!$G$41="Taxable",'PV IN'!$F$41,0),0)</f>
        <v>0</v>
      </c>
      <c r="AD204" s="10">
        <f>IF('PV IN'!$D$48="YES",-U204*'PV IN'!$E$8,0)</f>
        <v>0</v>
      </c>
      <c r="AE204" s="10">
        <f>IF('PV IN'!$N$10="Yes",-PVLoan!H232,-PVLoan!L232)</f>
        <v>0</v>
      </c>
      <c r="AF204" s="10">
        <f>IF('PV IN'!$N$10="Yes",-PVLoan!F232,0)</f>
        <v>0</v>
      </c>
      <c r="AG204" s="10">
        <f>IF(AND('PV IN'!$D$35="YES",$C204&lt;='PV IN'!$E$35*12),0,-'PV IN'!$E$18*'PV IN'!$E$34/12)</f>
        <v>-750</v>
      </c>
      <c r="AH204" s="10">
        <f>IF(AND('PV IN'!$D$37="YES",$C204&lt;='PV IN'!$E$37*12),0,-'PV IN'!$E$18*'PV IN'!$E$36/12)</f>
        <v>-625</v>
      </c>
      <c r="AI204" s="2">
        <f>IF(AND('PV IN'!$D$33="YES",PVCalcs!C204=ROUNDUP('PV IN'!$H$33*12,)),-'PV IN'!$E$33*'PV IN'!$E$18,0)</f>
        <v>0</v>
      </c>
      <c r="AK204" s="2">
        <f t="shared" si="49"/>
        <v>10968.771392772451</v>
      </c>
      <c r="AL204" s="2">
        <f t="shared" si="50"/>
        <v>-1375</v>
      </c>
      <c r="AM204" s="2">
        <f t="shared" si="54"/>
        <v>9593.7713927724508</v>
      </c>
      <c r="AN204" s="43"/>
      <c r="AO204" s="2">
        <f t="shared" si="51"/>
        <v>0</v>
      </c>
      <c r="AP204" s="2">
        <f t="shared" si="55"/>
        <v>-1375</v>
      </c>
      <c r="AR204" s="2">
        <f t="shared" si="56"/>
        <v>-1375</v>
      </c>
      <c r="AS204" s="2">
        <f>-AR204*'PV IN'!$E$8</f>
        <v>288.75</v>
      </c>
      <c r="AT204" s="2">
        <f>IF('PV IN'!$F$4="Battery Only",0,AM204+AS204)</f>
        <v>9882.5213927724508</v>
      </c>
      <c r="AV204" s="10">
        <f t="shared" si="57"/>
        <v>975446.81632879516</v>
      </c>
      <c r="AW204" s="2">
        <f>AT204/(1+('PV IN'!$G$9))^(C204)</f>
        <v>4382.407706669359</v>
      </c>
      <c r="AX204" s="2">
        <f>IF(C204&lt;='PV IN'!$O$22*12,AW204+AX203,NA())</f>
        <v>270609.7073860254</v>
      </c>
      <c r="AZ204" s="10">
        <f t="shared" si="52"/>
        <v>-1375</v>
      </c>
      <c r="BA204" s="10">
        <f t="shared" si="53"/>
        <v>0</v>
      </c>
      <c r="BB204" s="10">
        <f t="shared" si="58"/>
        <v>-1375</v>
      </c>
      <c r="BC204" s="10">
        <f t="shared" si="59"/>
        <v>0</v>
      </c>
      <c r="BD204" s="10">
        <f t="shared" si="60"/>
        <v>-1375</v>
      </c>
      <c r="BE204" s="2">
        <f t="shared" si="61"/>
        <v>0</v>
      </c>
      <c r="BF204" s="10">
        <f t="shared" si="62"/>
        <v>-1375</v>
      </c>
      <c r="BG204" s="2">
        <f>-BF204*'PV IN'!$E$8</f>
        <v>288.75</v>
      </c>
      <c r="BH204" s="2">
        <f>IF('PV IN'!$F$4="Battery Only",0,BB204+BG204)</f>
        <v>-1086.25</v>
      </c>
      <c r="BI204" s="2">
        <f>BH204/(1+('PV IN'!$G$9))^(C204)</f>
        <v>-481.69795765391274</v>
      </c>
    </row>
    <row r="205" spans="2:61" x14ac:dyDescent="0.25">
      <c r="C205">
        <v>201</v>
      </c>
      <c r="D205" s="16">
        <f>D204*(1+('PV IN'!$G$6/12))</f>
        <v>7.5999999999999998E-2</v>
      </c>
      <c r="E205" s="16">
        <f>LkUP!$U$37</f>
        <v>8.2134148058886372E-2</v>
      </c>
      <c r="F205" s="16">
        <f>IF('PV IN'!$D$7="Table",E205,D205)</f>
        <v>8.2134148058886372E-2</v>
      </c>
      <c r="G205" s="33">
        <f>('PV IN'!$E$25*'PV IN'!$E$18/12)*(1-(1-'PV IN'!$E$27)/(25*12))^C204</f>
        <v>133457.99691806317</v>
      </c>
      <c r="H205" s="33">
        <f>IF('PV IN'!$D$19="YES",G205*'PV IN'!$E$21,0)</f>
        <v>0</v>
      </c>
      <c r="I205" s="33">
        <f>IF('PV IN'!$D$19="YES",'PV IN'!$E$22*BattCalcs!W205,0)</f>
        <v>0</v>
      </c>
      <c r="J205" s="33">
        <f>IF('PV IN'!$D$19="YES",'PV IN'!$E$23*BattCalcs!Y205,0)</f>
        <v>0</v>
      </c>
      <c r="K205" s="33">
        <f>BattCalcs!AF205</f>
        <v>25811.765833333331</v>
      </c>
      <c r="L205" s="33">
        <f t="shared" si="63"/>
        <v>25811.765833333331</v>
      </c>
      <c r="M205" s="33">
        <f>IF('PV IN'!$F$4="PV Only",G205,G205-SUM(H205:J205,L205))</f>
        <v>133457.99691806317</v>
      </c>
      <c r="N205" s="2">
        <f>IF(C205&lt;='PV IN'!$I$12*12,'PV IN'!$E$12*G205/1000,0)</f>
        <v>0</v>
      </c>
      <c r="O205" s="2">
        <f>IF(AND(C205&gt;'PV IN'!$I$12*12,C205&lt;='PV IN'!$I$13*12+'PV IN'!$I$12*12),'PV IN'!$E$13*PVCalcs!G205/1000,0)</f>
        <v>0</v>
      </c>
      <c r="P205" s="2">
        <f>IF(AND(C205&gt;'PV IN'!$I$12*12+'PV IN'!$I$13*12,C205&lt;='PV IN'!$I$12*12+'PV IN'!$I$13*12+'PV IN'!$I$14*12),'PV IN'!$E$14*PVCalcs!G205/1000,0)</f>
        <v>0</v>
      </c>
      <c r="R205" s="10">
        <f>IF(AND('PV IN'!$D$35="YES",$C205&lt;='PV IN'!$E$35*12),-'PV IN'!$E$18*'PV IN'!$E$34/12,0)</f>
        <v>0</v>
      </c>
      <c r="S205" s="10">
        <f>IF(AND('PV IN'!$D$37="YES",$C205&lt;='PV IN'!$E$37*12),-'PV IN'!$E$18*'PV IN'!$E$36/12,0)</f>
        <v>0</v>
      </c>
      <c r="U205" s="2">
        <f t="shared" si="64"/>
        <v>10961.458878510603</v>
      </c>
      <c r="V205" s="10">
        <f>PVLoan!M232</f>
        <v>0</v>
      </c>
      <c r="W205" s="2">
        <f>IF(C205='PV IN'!$I$40,IF('PV IN'!$G$40="Non-Taxable",'PV IN'!$F$40,0),0)+IF(C205='PV IN'!$I$41,IF('PV IN'!$G$41="Non-Taxable",'PV IN'!$F$41,0),0)</f>
        <v>0</v>
      </c>
      <c r="X205" s="10"/>
      <c r="Y205" s="10">
        <f>IF('PV IN'!$E$15="Non-Taxable",SUM(N205:P205),0)</f>
        <v>0</v>
      </c>
      <c r="Z205" s="10">
        <f>IF('PV IN'!$E$15="Taxable",SUM(N205:P205),0)</f>
        <v>0</v>
      </c>
      <c r="AA205" s="2">
        <f>IF(C205='PV IN'!$I$40,IF('PV IN'!$G$40="Taxable",'PV IN'!$F$40,0),0)+IF(C205='PV IN'!$I$41,IF('PV IN'!$G$41="Taxable",'PV IN'!$F$41,0),0)</f>
        <v>0</v>
      </c>
      <c r="AD205" s="10">
        <f>IF('PV IN'!$D$48="YES",-U205*'PV IN'!$E$8,0)</f>
        <v>0</v>
      </c>
      <c r="AE205" s="10">
        <f>IF('PV IN'!$N$10="Yes",-PVLoan!H233,-PVLoan!L233)</f>
        <v>0</v>
      </c>
      <c r="AF205" s="10">
        <f>IF('PV IN'!$N$10="Yes",-PVLoan!F233,0)</f>
        <v>0</v>
      </c>
      <c r="AG205" s="10">
        <f>IF(AND('PV IN'!$D$35="YES",$C205&lt;='PV IN'!$E$35*12),0,-'PV IN'!$E$18*'PV IN'!$E$34/12)</f>
        <v>-750</v>
      </c>
      <c r="AH205" s="10">
        <f>IF(AND('PV IN'!$D$37="YES",$C205&lt;='PV IN'!$E$37*12),0,-'PV IN'!$E$18*'PV IN'!$E$36/12)</f>
        <v>-625</v>
      </c>
      <c r="AI205" s="2">
        <f>IF(AND('PV IN'!$D$33="YES",PVCalcs!C205=ROUNDUP('PV IN'!$H$33*12,)),-'PV IN'!$E$33*'PV IN'!$E$18,0)</f>
        <v>0</v>
      </c>
      <c r="AK205" s="2">
        <f t="shared" si="49"/>
        <v>10961.458878510603</v>
      </c>
      <c r="AL205" s="2">
        <f t="shared" si="50"/>
        <v>-1375</v>
      </c>
      <c r="AM205" s="2">
        <f t="shared" si="54"/>
        <v>9586.4588785106025</v>
      </c>
      <c r="AN205" s="43"/>
      <c r="AO205" s="2">
        <f t="shared" si="51"/>
        <v>0</v>
      </c>
      <c r="AP205" s="2">
        <f t="shared" si="55"/>
        <v>-1375</v>
      </c>
      <c r="AR205" s="2">
        <f t="shared" si="56"/>
        <v>-1375</v>
      </c>
      <c r="AS205" s="2">
        <f>-AR205*'PV IN'!$E$8</f>
        <v>288.75</v>
      </c>
      <c r="AT205" s="2">
        <f>IF('PV IN'!$F$4="Battery Only",0,AM205+AS205)</f>
        <v>9875.2088785106025</v>
      </c>
      <c r="AV205" s="10">
        <f t="shared" si="57"/>
        <v>985322.02520730579</v>
      </c>
      <c r="AW205" s="2">
        <f>AT205/(1+('PV IN'!$G$9))^(C205)</f>
        <v>4361.3961019708586</v>
      </c>
      <c r="AX205" s="2">
        <f>IF(C205&lt;='PV IN'!$O$22*12,AW205+AX204,NA())</f>
        <v>274971.10348799627</v>
      </c>
      <c r="AZ205" s="10">
        <f t="shared" si="52"/>
        <v>-1375</v>
      </c>
      <c r="BA205" s="10">
        <f t="shared" si="53"/>
        <v>0</v>
      </c>
      <c r="BB205" s="10">
        <f t="shared" si="58"/>
        <v>-1375</v>
      </c>
      <c r="BC205" s="10">
        <f t="shared" si="59"/>
        <v>0</v>
      </c>
      <c r="BD205" s="10">
        <f t="shared" si="60"/>
        <v>-1375</v>
      </c>
      <c r="BE205" s="2">
        <f t="shared" si="61"/>
        <v>0</v>
      </c>
      <c r="BF205" s="10">
        <f t="shared" si="62"/>
        <v>-1375</v>
      </c>
      <c r="BG205" s="2">
        <f>-BF205*'PV IN'!$E$8</f>
        <v>288.75</v>
      </c>
      <c r="BH205" s="2">
        <f>IF('PV IN'!$F$4="Battery Only",0,BB205+BG205)</f>
        <v>-1086.25</v>
      </c>
      <c r="BI205" s="2">
        <f>BH205/(1+('PV IN'!$G$9))^(C205)</f>
        <v>-479.74342356193017</v>
      </c>
    </row>
    <row r="206" spans="2:61" x14ac:dyDescent="0.25">
      <c r="C206">
        <v>202</v>
      </c>
      <c r="D206" s="16">
        <f>D205*(1+('PV IN'!$G$6/12))</f>
        <v>7.5999999999999998E-2</v>
      </c>
      <c r="E206" s="16">
        <f>LkUP!$U$37</f>
        <v>8.2134148058886372E-2</v>
      </c>
      <c r="F206" s="16">
        <f>IF('PV IN'!$D$7="Table",E206,D206)</f>
        <v>8.2134148058886372E-2</v>
      </c>
      <c r="G206" s="33">
        <f>('PV IN'!$E$25*'PV IN'!$E$18/12)*(1-(1-'PV IN'!$E$27)/(25*12))^C205</f>
        <v>133369.02492011778</v>
      </c>
      <c r="H206" s="33">
        <f>IF('PV IN'!$D$19="YES",G206*'PV IN'!$E$21,0)</f>
        <v>0</v>
      </c>
      <c r="I206" s="33">
        <f>IF('PV IN'!$D$19="YES",'PV IN'!$E$22*BattCalcs!W206,0)</f>
        <v>0</v>
      </c>
      <c r="J206" s="33">
        <f>IF('PV IN'!$D$19="YES",'PV IN'!$E$23*BattCalcs!Y206,0)</f>
        <v>0</v>
      </c>
      <c r="K206" s="33">
        <f>BattCalcs!AF206</f>
        <v>25811.765833333331</v>
      </c>
      <c r="L206" s="33">
        <f t="shared" si="63"/>
        <v>25811.765833333331</v>
      </c>
      <c r="M206" s="33">
        <f>IF('PV IN'!$F$4="PV Only",G206,G206-SUM(H206:J206,L206))</f>
        <v>133369.02492011778</v>
      </c>
      <c r="N206" s="2">
        <f>IF(C206&lt;='PV IN'!$I$12*12,'PV IN'!$E$12*G206/1000,0)</f>
        <v>0</v>
      </c>
      <c r="O206" s="2">
        <f>IF(AND(C206&gt;'PV IN'!$I$12*12,C206&lt;='PV IN'!$I$13*12+'PV IN'!$I$12*12),'PV IN'!$E$13*PVCalcs!G206/1000,0)</f>
        <v>0</v>
      </c>
      <c r="P206" s="2">
        <f>IF(AND(C206&gt;'PV IN'!$I$12*12+'PV IN'!$I$13*12,C206&lt;='PV IN'!$I$12*12+'PV IN'!$I$13*12+'PV IN'!$I$14*12),'PV IN'!$E$14*PVCalcs!G206/1000,0)</f>
        <v>0</v>
      </c>
      <c r="R206" s="10">
        <f>IF(AND('PV IN'!$D$35="YES",$C206&lt;='PV IN'!$E$35*12),-'PV IN'!$E$18*'PV IN'!$E$34/12,0)</f>
        <v>0</v>
      </c>
      <c r="S206" s="10">
        <f>IF(AND('PV IN'!$D$37="YES",$C206&lt;='PV IN'!$E$37*12),-'PV IN'!$E$18*'PV IN'!$E$36/12,0)</f>
        <v>0</v>
      </c>
      <c r="U206" s="2">
        <f t="shared" si="64"/>
        <v>10954.151239258259</v>
      </c>
      <c r="V206" s="10">
        <f>PVLoan!M233</f>
        <v>0</v>
      </c>
      <c r="W206" s="2">
        <f>IF(C206='PV IN'!$I$40,IF('PV IN'!$G$40="Non-Taxable",'PV IN'!$F$40,0),0)+IF(C206='PV IN'!$I$41,IF('PV IN'!$G$41="Non-Taxable",'PV IN'!$F$41,0),0)</f>
        <v>0</v>
      </c>
      <c r="X206" s="10"/>
      <c r="Y206" s="10">
        <f>IF('PV IN'!$E$15="Non-Taxable",SUM(N206:P206),0)</f>
        <v>0</v>
      </c>
      <c r="Z206" s="10">
        <f>IF('PV IN'!$E$15="Taxable",SUM(N206:P206),0)</f>
        <v>0</v>
      </c>
      <c r="AA206" s="2">
        <f>IF(C206='PV IN'!$I$40,IF('PV IN'!$G$40="Taxable",'PV IN'!$F$40,0),0)+IF(C206='PV IN'!$I$41,IF('PV IN'!$G$41="Taxable",'PV IN'!$F$41,0),0)</f>
        <v>0</v>
      </c>
      <c r="AD206" s="10">
        <f>IF('PV IN'!$D$48="YES",-U206*'PV IN'!$E$8,0)</f>
        <v>0</v>
      </c>
      <c r="AE206" s="10">
        <f>IF('PV IN'!$N$10="Yes",-PVLoan!H234,-PVLoan!L234)</f>
        <v>0</v>
      </c>
      <c r="AF206" s="10">
        <f>IF('PV IN'!$N$10="Yes",-PVLoan!F234,0)</f>
        <v>0</v>
      </c>
      <c r="AG206" s="10">
        <f>IF(AND('PV IN'!$D$35="YES",$C206&lt;='PV IN'!$E$35*12),0,-'PV IN'!$E$18*'PV IN'!$E$34/12)</f>
        <v>-750</v>
      </c>
      <c r="AH206" s="10">
        <f>IF(AND('PV IN'!$D$37="YES",$C206&lt;='PV IN'!$E$37*12),0,-'PV IN'!$E$18*'PV IN'!$E$36/12)</f>
        <v>-625</v>
      </c>
      <c r="AI206" s="2">
        <f>IF(AND('PV IN'!$D$33="YES",PVCalcs!C206=ROUNDUP('PV IN'!$H$33*12,)),-'PV IN'!$E$33*'PV IN'!$E$18,0)</f>
        <v>0</v>
      </c>
      <c r="AK206" s="2">
        <f t="shared" si="49"/>
        <v>10954.151239258259</v>
      </c>
      <c r="AL206" s="2">
        <f t="shared" si="50"/>
        <v>-1375</v>
      </c>
      <c r="AM206" s="2">
        <f t="shared" si="54"/>
        <v>9579.151239258259</v>
      </c>
      <c r="AN206" s="43"/>
      <c r="AO206" s="2">
        <f t="shared" si="51"/>
        <v>0</v>
      </c>
      <c r="AP206" s="2">
        <f t="shared" si="55"/>
        <v>-1375</v>
      </c>
      <c r="AR206" s="2">
        <f t="shared" si="56"/>
        <v>-1375</v>
      </c>
      <c r="AS206" s="2">
        <f>-AR206*'PV IN'!$E$8</f>
        <v>288.75</v>
      </c>
      <c r="AT206" s="2">
        <f>IF('PV IN'!$F$4="Battery Only",0,AM206+AS206)</f>
        <v>9867.901239258259</v>
      </c>
      <c r="AV206" s="10">
        <f t="shared" si="57"/>
        <v>995189.92644656403</v>
      </c>
      <c r="AW206" s="2">
        <f>AT206/(1+('PV IN'!$G$9))^(C206)</f>
        <v>4340.4850024394946</v>
      </c>
      <c r="AX206" s="2">
        <f>IF(C206&lt;='PV IN'!$O$22*12,AW206+AX205,NA())</f>
        <v>279311.58849043574</v>
      </c>
      <c r="AZ206" s="10">
        <f t="shared" si="52"/>
        <v>-1375</v>
      </c>
      <c r="BA206" s="10">
        <f t="shared" si="53"/>
        <v>0</v>
      </c>
      <c r="BB206" s="10">
        <f t="shared" si="58"/>
        <v>-1375</v>
      </c>
      <c r="BC206" s="10">
        <f t="shared" si="59"/>
        <v>0</v>
      </c>
      <c r="BD206" s="10">
        <f t="shared" si="60"/>
        <v>-1375</v>
      </c>
      <c r="BE206" s="2">
        <f t="shared" si="61"/>
        <v>0</v>
      </c>
      <c r="BF206" s="10">
        <f t="shared" si="62"/>
        <v>-1375</v>
      </c>
      <c r="BG206" s="2">
        <f>-BF206*'PV IN'!$E$8</f>
        <v>288.75</v>
      </c>
      <c r="BH206" s="2">
        <f>IF('PV IN'!$F$4="Battery Only",0,BB206+BG206)</f>
        <v>-1086.25</v>
      </c>
      <c r="BI206" s="2">
        <f>BH206/(1+('PV IN'!$G$9))^(C206)</f>
        <v>-477.79682017311137</v>
      </c>
    </row>
    <row r="207" spans="2:61" x14ac:dyDescent="0.25">
      <c r="C207">
        <v>203</v>
      </c>
      <c r="D207" s="16">
        <f>D206*(1+('PV IN'!$G$6/12))</f>
        <v>7.5999999999999998E-2</v>
      </c>
      <c r="E207" s="16">
        <f>LkUP!$U$37</f>
        <v>8.2134148058886372E-2</v>
      </c>
      <c r="F207" s="16">
        <f>IF('PV IN'!$D$7="Table",E207,D207)</f>
        <v>8.2134148058886372E-2</v>
      </c>
      <c r="G207" s="33">
        <f>('PV IN'!$E$25*'PV IN'!$E$18/12)*(1-(1-'PV IN'!$E$27)/(25*12))^C206</f>
        <v>133280.11223683768</v>
      </c>
      <c r="H207" s="33">
        <f>IF('PV IN'!$D$19="YES",G207*'PV IN'!$E$21,0)</f>
        <v>0</v>
      </c>
      <c r="I207" s="33">
        <f>IF('PV IN'!$D$19="YES",'PV IN'!$E$22*BattCalcs!W207,0)</f>
        <v>0</v>
      </c>
      <c r="J207" s="33">
        <f>IF('PV IN'!$D$19="YES",'PV IN'!$E$23*BattCalcs!Y207,0)</f>
        <v>0</v>
      </c>
      <c r="K207" s="33">
        <f>BattCalcs!AF207</f>
        <v>25811.765833333331</v>
      </c>
      <c r="L207" s="33">
        <f t="shared" si="63"/>
        <v>25811.765833333331</v>
      </c>
      <c r="M207" s="33">
        <f>IF('PV IN'!$F$4="PV Only",G207,G207-SUM(H207:J207,L207))</f>
        <v>133280.11223683768</v>
      </c>
      <c r="N207" s="2">
        <f>IF(C207&lt;='PV IN'!$I$12*12,'PV IN'!$E$12*G207/1000,0)</f>
        <v>0</v>
      </c>
      <c r="O207" s="2">
        <f>IF(AND(C207&gt;'PV IN'!$I$12*12,C207&lt;='PV IN'!$I$13*12+'PV IN'!$I$12*12),'PV IN'!$E$13*PVCalcs!G207/1000,0)</f>
        <v>0</v>
      </c>
      <c r="P207" s="2">
        <f>IF(AND(C207&gt;'PV IN'!$I$12*12+'PV IN'!$I$13*12,C207&lt;='PV IN'!$I$12*12+'PV IN'!$I$13*12+'PV IN'!$I$14*12),'PV IN'!$E$14*PVCalcs!G207/1000,0)</f>
        <v>0</v>
      </c>
      <c r="R207" s="10">
        <f>IF(AND('PV IN'!$D$35="YES",$C207&lt;='PV IN'!$E$35*12),-'PV IN'!$E$18*'PV IN'!$E$34/12,0)</f>
        <v>0</v>
      </c>
      <c r="S207" s="10">
        <f>IF(AND('PV IN'!$D$37="YES",$C207&lt;='PV IN'!$E$37*12),-'PV IN'!$E$18*'PV IN'!$E$36/12,0)</f>
        <v>0</v>
      </c>
      <c r="U207" s="2">
        <f t="shared" si="64"/>
        <v>10946.848471765419</v>
      </c>
      <c r="V207" s="10">
        <f>PVLoan!M234</f>
        <v>0</v>
      </c>
      <c r="W207" s="2">
        <f>IF(C207='PV IN'!$I$40,IF('PV IN'!$G$40="Non-Taxable",'PV IN'!$F$40,0),0)+IF(C207='PV IN'!$I$41,IF('PV IN'!$G$41="Non-Taxable",'PV IN'!$F$41,0),0)</f>
        <v>0</v>
      </c>
      <c r="X207" s="10"/>
      <c r="Y207" s="10">
        <f>IF('PV IN'!$E$15="Non-Taxable",SUM(N207:P207),0)</f>
        <v>0</v>
      </c>
      <c r="Z207" s="10">
        <f>IF('PV IN'!$E$15="Taxable",SUM(N207:P207),0)</f>
        <v>0</v>
      </c>
      <c r="AA207" s="2">
        <f>IF(C207='PV IN'!$I$40,IF('PV IN'!$G$40="Taxable",'PV IN'!$F$40,0),0)+IF(C207='PV IN'!$I$41,IF('PV IN'!$G$41="Taxable",'PV IN'!$F$41,0),0)</f>
        <v>0</v>
      </c>
      <c r="AD207" s="10">
        <f>IF('PV IN'!$D$48="YES",-U207*'PV IN'!$E$8,0)</f>
        <v>0</v>
      </c>
      <c r="AE207" s="10">
        <f>IF('PV IN'!$N$10="Yes",-PVLoan!H235,-PVLoan!L235)</f>
        <v>0</v>
      </c>
      <c r="AF207" s="10">
        <f>IF('PV IN'!$N$10="Yes",-PVLoan!F235,0)</f>
        <v>0</v>
      </c>
      <c r="AG207" s="10">
        <f>IF(AND('PV IN'!$D$35="YES",$C207&lt;='PV IN'!$E$35*12),0,-'PV IN'!$E$18*'PV IN'!$E$34/12)</f>
        <v>-750</v>
      </c>
      <c r="AH207" s="10">
        <f>IF(AND('PV IN'!$D$37="YES",$C207&lt;='PV IN'!$E$37*12),0,-'PV IN'!$E$18*'PV IN'!$E$36/12)</f>
        <v>-625</v>
      </c>
      <c r="AI207" s="2">
        <f>IF(AND('PV IN'!$D$33="YES",PVCalcs!C207=ROUNDUP('PV IN'!$H$33*12,)),-'PV IN'!$E$33*'PV IN'!$E$18,0)</f>
        <v>0</v>
      </c>
      <c r="AK207" s="2">
        <f t="shared" si="49"/>
        <v>10946.848471765419</v>
      </c>
      <c r="AL207" s="2">
        <f t="shared" si="50"/>
        <v>-1375</v>
      </c>
      <c r="AM207" s="2">
        <f t="shared" si="54"/>
        <v>9571.8484717654192</v>
      </c>
      <c r="AN207" s="43"/>
      <c r="AO207" s="2">
        <f t="shared" si="51"/>
        <v>0</v>
      </c>
      <c r="AP207" s="2">
        <f t="shared" si="55"/>
        <v>-1375</v>
      </c>
      <c r="AR207" s="2">
        <f t="shared" si="56"/>
        <v>-1375</v>
      </c>
      <c r="AS207" s="2">
        <f>-AR207*'PV IN'!$E$8</f>
        <v>288.75</v>
      </c>
      <c r="AT207" s="2">
        <f>IF('PV IN'!$F$4="Battery Only",0,AM207+AS207)</f>
        <v>9860.5984717654192</v>
      </c>
      <c r="AV207" s="10">
        <f t="shared" si="57"/>
        <v>1005050.5249183294</v>
      </c>
      <c r="AW207" s="2">
        <f>AT207/(1+('PV IN'!$G$9))^(C207)</f>
        <v>4319.6739282689859</v>
      </c>
      <c r="AX207" s="2">
        <f>IF(C207&lt;='PV IN'!$O$22*12,AW207+AX206,NA())</f>
        <v>283631.26241870475</v>
      </c>
      <c r="AZ207" s="10">
        <f t="shared" si="52"/>
        <v>-1375</v>
      </c>
      <c r="BA207" s="10">
        <f t="shared" si="53"/>
        <v>0</v>
      </c>
      <c r="BB207" s="10">
        <f t="shared" si="58"/>
        <v>-1375</v>
      </c>
      <c r="BC207" s="10">
        <f t="shared" si="59"/>
        <v>0</v>
      </c>
      <c r="BD207" s="10">
        <f t="shared" si="60"/>
        <v>-1375</v>
      </c>
      <c r="BE207" s="2">
        <f t="shared" si="61"/>
        <v>0</v>
      </c>
      <c r="BF207" s="10">
        <f t="shared" si="62"/>
        <v>-1375</v>
      </c>
      <c r="BG207" s="2">
        <f>-BF207*'PV IN'!$E$8</f>
        <v>288.75</v>
      </c>
      <c r="BH207" s="2">
        <f>IF('PV IN'!$F$4="Battery Only",0,BB207+BG207)</f>
        <v>-1086.25</v>
      </c>
      <c r="BI207" s="2">
        <f>BH207/(1+('PV IN'!$G$9))^(C207)</f>
        <v>-475.8581153078934</v>
      </c>
    </row>
    <row r="208" spans="2:61" x14ac:dyDescent="0.25">
      <c r="B208">
        <v>17</v>
      </c>
      <c r="C208">
        <v>204</v>
      </c>
      <c r="D208" s="16">
        <f>D207*(1+('PV IN'!$G$6/12))</f>
        <v>7.5999999999999998E-2</v>
      </c>
      <c r="E208" s="16">
        <f>LkUP!$U$37</f>
        <v>8.2134148058886372E-2</v>
      </c>
      <c r="F208" s="16">
        <f>IF('PV IN'!$D$7="Table",E208,D208)</f>
        <v>8.2134148058886372E-2</v>
      </c>
      <c r="G208" s="33">
        <f>('PV IN'!$E$25*'PV IN'!$E$18/12)*(1-(1-'PV IN'!$E$27)/(25*12))^C207</f>
        <v>133191.2588286798</v>
      </c>
      <c r="H208" s="33">
        <f>IF('PV IN'!$D$19="YES",G208*'PV IN'!$E$21,0)</f>
        <v>0</v>
      </c>
      <c r="I208" s="33">
        <f>IF('PV IN'!$D$19="YES",'PV IN'!$E$22*BattCalcs!W208,0)</f>
        <v>0</v>
      </c>
      <c r="J208" s="33">
        <f>IF('PV IN'!$D$19="YES",'PV IN'!$E$23*BattCalcs!Y208,0)</f>
        <v>0</v>
      </c>
      <c r="K208" s="33">
        <f>BattCalcs!AF208</f>
        <v>25811.765833333331</v>
      </c>
      <c r="L208" s="33">
        <f t="shared" si="63"/>
        <v>25811.765833333331</v>
      </c>
      <c r="M208" s="33">
        <f>IF('PV IN'!$F$4="PV Only",G208,G208-SUM(H208:J208,L208))</f>
        <v>133191.2588286798</v>
      </c>
      <c r="N208" s="2">
        <f>IF(C208&lt;='PV IN'!$I$12*12,'PV IN'!$E$12*G208/1000,0)</f>
        <v>0</v>
      </c>
      <c r="O208" s="2">
        <f>IF(AND(C208&gt;'PV IN'!$I$12*12,C208&lt;='PV IN'!$I$13*12+'PV IN'!$I$12*12),'PV IN'!$E$13*PVCalcs!G208/1000,0)</f>
        <v>0</v>
      </c>
      <c r="P208" s="2">
        <f>IF(AND(C208&gt;'PV IN'!$I$12*12+'PV IN'!$I$13*12,C208&lt;='PV IN'!$I$12*12+'PV IN'!$I$13*12+'PV IN'!$I$14*12),'PV IN'!$E$14*PVCalcs!G208/1000,0)</f>
        <v>0</v>
      </c>
      <c r="R208" s="10">
        <f>IF(AND('PV IN'!$D$35="YES",$C208&lt;='PV IN'!$E$35*12),-'PV IN'!$E$18*'PV IN'!$E$34/12,0)</f>
        <v>0</v>
      </c>
      <c r="S208" s="10">
        <f>IF(AND('PV IN'!$D$37="YES",$C208&lt;='PV IN'!$E$37*12),-'PV IN'!$E$18*'PV IN'!$E$36/12,0)</f>
        <v>0</v>
      </c>
      <c r="U208" s="2">
        <f t="shared" si="64"/>
        <v>10939.550572784243</v>
      </c>
      <c r="V208" s="10">
        <f>PVLoan!M235</f>
        <v>0</v>
      </c>
      <c r="W208" s="2">
        <f>IF(C208='PV IN'!$I$40,IF('PV IN'!$G$40="Non-Taxable",'PV IN'!$F$40,0),0)+IF(C208='PV IN'!$I$41,IF('PV IN'!$G$41="Non-Taxable",'PV IN'!$F$41,0),0)</f>
        <v>0</v>
      </c>
      <c r="X208" s="10"/>
      <c r="Y208" s="10">
        <f>IF('PV IN'!$E$15="Non-Taxable",SUM(N208:P208),0)</f>
        <v>0</v>
      </c>
      <c r="Z208" s="10">
        <f>IF('PV IN'!$E$15="Taxable",SUM(N208:P208),0)</f>
        <v>0</v>
      </c>
      <c r="AA208" s="2">
        <f>IF(C208='PV IN'!$I$40,IF('PV IN'!$G$40="Taxable",'PV IN'!$F$40,0),0)+IF(C208='PV IN'!$I$41,IF('PV IN'!$G$41="Taxable",'PV IN'!$F$41,0),0)</f>
        <v>0</v>
      </c>
      <c r="AD208" s="10">
        <f>IF('PV IN'!$D$48="YES",-U208*'PV IN'!$E$8,0)</f>
        <v>0</v>
      </c>
      <c r="AE208" s="10">
        <f>IF('PV IN'!$N$10="Yes",-PVLoan!H236,-PVLoan!L236)</f>
        <v>0</v>
      </c>
      <c r="AF208" s="10">
        <f>IF('PV IN'!$N$10="Yes",-PVLoan!F236,0)</f>
        <v>0</v>
      </c>
      <c r="AG208" s="10">
        <f>IF(AND('PV IN'!$D$35="YES",$C208&lt;='PV IN'!$E$35*12),0,-'PV IN'!$E$18*'PV IN'!$E$34/12)</f>
        <v>-750</v>
      </c>
      <c r="AH208" s="10">
        <f>IF(AND('PV IN'!$D$37="YES",$C208&lt;='PV IN'!$E$37*12),0,-'PV IN'!$E$18*'PV IN'!$E$36/12)</f>
        <v>-625</v>
      </c>
      <c r="AI208" s="2">
        <f>IF(AND('PV IN'!$D$33="YES",PVCalcs!C208=ROUNDUP('PV IN'!$H$33*12,)),-'PV IN'!$E$33*'PV IN'!$E$18,0)</f>
        <v>0</v>
      </c>
      <c r="AK208" s="2">
        <f t="shared" si="49"/>
        <v>10939.550572784243</v>
      </c>
      <c r="AL208" s="2">
        <f t="shared" si="50"/>
        <v>-1375</v>
      </c>
      <c r="AM208" s="2">
        <f t="shared" si="54"/>
        <v>9564.5505727842428</v>
      </c>
      <c r="AN208" s="43"/>
      <c r="AO208" s="2">
        <f t="shared" si="51"/>
        <v>0</v>
      </c>
      <c r="AP208" s="2">
        <f t="shared" si="55"/>
        <v>-1375</v>
      </c>
      <c r="AR208" s="2">
        <f t="shared" si="56"/>
        <v>-1375</v>
      </c>
      <c r="AS208" s="2">
        <f>-AR208*'PV IN'!$E$8</f>
        <v>288.75</v>
      </c>
      <c r="AT208" s="2">
        <f>IF('PV IN'!$F$4="Battery Only",0,AM208+AS208)</f>
        <v>9853.3005727842428</v>
      </c>
      <c r="AV208" s="10">
        <f t="shared" si="57"/>
        <v>1014903.8254911137</v>
      </c>
      <c r="AW208" s="2">
        <f>AT208/(1+('PV IN'!$G$9))^(C208)</f>
        <v>4298.962401939848</v>
      </c>
      <c r="AX208" s="2">
        <f>IF(C208&lt;='PV IN'!$O$22*12,AW208+AX207,NA())</f>
        <v>287930.22482064459</v>
      </c>
      <c r="AZ208" s="10">
        <f t="shared" si="52"/>
        <v>-1375</v>
      </c>
      <c r="BA208" s="10">
        <f t="shared" si="53"/>
        <v>0</v>
      </c>
      <c r="BB208" s="10">
        <f t="shared" si="58"/>
        <v>-1375</v>
      </c>
      <c r="BC208" s="10">
        <f t="shared" si="59"/>
        <v>0</v>
      </c>
      <c r="BD208" s="10">
        <f t="shared" si="60"/>
        <v>-1375</v>
      </c>
      <c r="BE208" s="2">
        <f t="shared" si="61"/>
        <v>0</v>
      </c>
      <c r="BF208" s="10">
        <f t="shared" si="62"/>
        <v>-1375</v>
      </c>
      <c r="BG208" s="2">
        <f>-BF208*'PV IN'!$E$8</f>
        <v>288.75</v>
      </c>
      <c r="BH208" s="2">
        <f>IF('PV IN'!$F$4="Battery Only",0,BB208+BG208)</f>
        <v>-1086.25</v>
      </c>
      <c r="BI208" s="2">
        <f>BH208/(1+('PV IN'!$G$9))^(C208)</f>
        <v>-473.92727691728493</v>
      </c>
    </row>
    <row r="209" spans="2:61" x14ac:dyDescent="0.25">
      <c r="C209">
        <v>205</v>
      </c>
      <c r="D209" s="16">
        <f>D208*(1+('PV IN'!$G$6/12))</f>
        <v>7.5999999999999998E-2</v>
      </c>
      <c r="E209" s="16">
        <f>LkUP!$U$38</f>
        <v>8.3348590054429766E-2</v>
      </c>
      <c r="F209" s="16">
        <f>IF('PV IN'!$D$7="Table",E209,D209)</f>
        <v>8.3348590054429766E-2</v>
      </c>
      <c r="G209" s="33">
        <f>('PV IN'!$E$25*'PV IN'!$E$18/12)*(1-(1-'PV IN'!$E$27)/(25*12))^C208</f>
        <v>133102.46465612735</v>
      </c>
      <c r="H209" s="33">
        <f>IF('PV IN'!$D$19="YES",G209*'PV IN'!$E$21,0)</f>
        <v>0</v>
      </c>
      <c r="I209" s="33">
        <f>IF('PV IN'!$D$19="YES",'PV IN'!$E$22*BattCalcs!W209,0)</f>
        <v>0</v>
      </c>
      <c r="J209" s="33">
        <f>IF('PV IN'!$D$19="YES",'PV IN'!$E$23*BattCalcs!Y209,0)</f>
        <v>0</v>
      </c>
      <c r="K209" s="33">
        <f>BattCalcs!AF209</f>
        <v>25811.765833333331</v>
      </c>
      <c r="L209" s="33">
        <f t="shared" si="63"/>
        <v>25811.765833333331</v>
      </c>
      <c r="M209" s="33">
        <f>IF('PV IN'!$F$4="PV Only",G209,G209-SUM(H209:J209,L209))</f>
        <v>133102.46465612735</v>
      </c>
      <c r="N209" s="2">
        <f>IF(C209&lt;='PV IN'!$I$12*12,'PV IN'!$E$12*G209/1000,0)</f>
        <v>0</v>
      </c>
      <c r="O209" s="2">
        <f>IF(AND(C209&gt;'PV IN'!$I$12*12,C209&lt;='PV IN'!$I$13*12+'PV IN'!$I$12*12),'PV IN'!$E$13*PVCalcs!G209/1000,0)</f>
        <v>0</v>
      </c>
      <c r="P209" s="2">
        <f>IF(AND(C209&gt;'PV IN'!$I$12*12+'PV IN'!$I$13*12,C209&lt;='PV IN'!$I$12*12+'PV IN'!$I$13*12+'PV IN'!$I$14*12),'PV IN'!$E$14*PVCalcs!G209/1000,0)</f>
        <v>0</v>
      </c>
      <c r="R209" s="10">
        <f>IF(AND('PV IN'!$D$35="YES",$C209&lt;='PV IN'!$E$35*12),-'PV IN'!$E$18*'PV IN'!$E$34/12,0)</f>
        <v>0</v>
      </c>
      <c r="S209" s="10">
        <f>IF(AND('PV IN'!$D$37="YES",$C209&lt;='PV IN'!$E$37*12),-'PV IN'!$E$18*'PV IN'!$E$36/12,0)</f>
        <v>0</v>
      </c>
      <c r="U209" s="2">
        <f t="shared" si="64"/>
        <v>11093.902761857786</v>
      </c>
      <c r="V209" s="10">
        <f>PVLoan!M236</f>
        <v>0</v>
      </c>
      <c r="W209" s="2">
        <f>IF(C209='PV IN'!$I$40,IF('PV IN'!$G$40="Non-Taxable",'PV IN'!$F$40,0),0)+IF(C209='PV IN'!$I$41,IF('PV IN'!$G$41="Non-Taxable",'PV IN'!$F$41,0),0)</f>
        <v>0</v>
      </c>
      <c r="X209" s="10"/>
      <c r="Y209" s="10">
        <f>IF('PV IN'!$E$15="Non-Taxable",SUM(N209:P209),0)</f>
        <v>0</v>
      </c>
      <c r="Z209" s="10">
        <f>IF('PV IN'!$E$15="Taxable",SUM(N209:P209),0)</f>
        <v>0</v>
      </c>
      <c r="AA209" s="2">
        <f>IF(C209='PV IN'!$I$40,IF('PV IN'!$G$40="Taxable",'PV IN'!$F$40,0),0)+IF(C209='PV IN'!$I$41,IF('PV IN'!$G$41="Taxable",'PV IN'!$F$41,0),0)</f>
        <v>0</v>
      </c>
      <c r="AD209" s="10">
        <f>IF('PV IN'!$D$48="YES",-U209*'PV IN'!$E$8,0)</f>
        <v>0</v>
      </c>
      <c r="AE209" s="10">
        <f>IF('PV IN'!$N$10="Yes",-PVLoan!H237,-PVLoan!L237)</f>
        <v>0</v>
      </c>
      <c r="AF209" s="10">
        <f>IF('PV IN'!$N$10="Yes",-PVLoan!F237,0)</f>
        <v>0</v>
      </c>
      <c r="AG209" s="10">
        <f>IF(AND('PV IN'!$D$35="YES",$C209&lt;='PV IN'!$E$35*12),0,-'PV IN'!$E$18*'PV IN'!$E$34/12)</f>
        <v>-750</v>
      </c>
      <c r="AH209" s="10">
        <f>IF(AND('PV IN'!$D$37="YES",$C209&lt;='PV IN'!$E$37*12),0,-'PV IN'!$E$18*'PV IN'!$E$36/12)</f>
        <v>-625</v>
      </c>
      <c r="AI209" s="2">
        <f>IF(AND('PV IN'!$D$33="YES",PVCalcs!C209=ROUNDUP('PV IN'!$H$33*12,)),-'PV IN'!$E$33*'PV IN'!$E$18,0)</f>
        <v>0</v>
      </c>
      <c r="AK209" s="2">
        <f t="shared" si="49"/>
        <v>11093.902761857786</v>
      </c>
      <c r="AL209" s="2">
        <f t="shared" si="50"/>
        <v>-1375</v>
      </c>
      <c r="AM209" s="2">
        <f t="shared" si="54"/>
        <v>9718.9027618577857</v>
      </c>
      <c r="AN209" s="43"/>
      <c r="AO209" s="2">
        <f t="shared" si="51"/>
        <v>0</v>
      </c>
      <c r="AP209" s="2">
        <f t="shared" si="55"/>
        <v>-1375</v>
      </c>
      <c r="AR209" s="2">
        <f t="shared" si="56"/>
        <v>-1375</v>
      </c>
      <c r="AS209" s="2">
        <f>-AR209*'PV IN'!$E$8</f>
        <v>288.75</v>
      </c>
      <c r="AT209" s="2">
        <f>IF('PV IN'!$F$4="Battery Only",0,AM209+AS209)</f>
        <v>10007.652761857786</v>
      </c>
      <c r="AV209" s="10">
        <f t="shared" si="57"/>
        <v>1024911.4782529715</v>
      </c>
      <c r="AW209" s="2">
        <f>AT209/(1+('PV IN'!$G$9))^(C209)</f>
        <v>4348.5890606408484</v>
      </c>
      <c r="AX209" s="2">
        <f>IF(C209&lt;='PV IN'!$O$22*12,AW209+AX208,NA())</f>
        <v>292278.81388128543</v>
      </c>
      <c r="AZ209" s="10">
        <f t="shared" si="52"/>
        <v>-1375</v>
      </c>
      <c r="BA209" s="10">
        <f t="shared" si="53"/>
        <v>0</v>
      </c>
      <c r="BB209" s="10">
        <f t="shared" si="58"/>
        <v>-1375</v>
      </c>
      <c r="BC209" s="10">
        <f t="shared" si="59"/>
        <v>0</v>
      </c>
      <c r="BD209" s="10">
        <f t="shared" si="60"/>
        <v>-1375</v>
      </c>
      <c r="BE209" s="2">
        <f t="shared" si="61"/>
        <v>0</v>
      </c>
      <c r="BF209" s="10">
        <f t="shared" si="62"/>
        <v>-1375</v>
      </c>
      <c r="BG209" s="2">
        <f>-BF209*'PV IN'!$E$8</f>
        <v>288.75</v>
      </c>
      <c r="BH209" s="2">
        <f>IF('PV IN'!$F$4="Battery Only",0,BB209+BG209)</f>
        <v>-1086.25</v>
      </c>
      <c r="BI209" s="2">
        <f>BH209/(1+('PV IN'!$G$9))^(C209)</f>
        <v>-472.00427308233651</v>
      </c>
    </row>
    <row r="210" spans="2:61" x14ac:dyDescent="0.25">
      <c r="C210">
        <v>206</v>
      </c>
      <c r="D210" s="16">
        <f>D209*(1+('PV IN'!$G$6/12))</f>
        <v>7.5999999999999998E-2</v>
      </c>
      <c r="E210" s="16">
        <f>LkUP!$U$38</f>
        <v>8.3348590054429766E-2</v>
      </c>
      <c r="F210" s="16">
        <f>IF('PV IN'!$D$7="Table",E210,D210)</f>
        <v>8.3348590054429766E-2</v>
      </c>
      <c r="G210" s="33">
        <f>('PV IN'!$E$25*'PV IN'!$E$18/12)*(1-(1-'PV IN'!$E$27)/(25*12))^C209</f>
        <v>133013.72967968992</v>
      </c>
      <c r="H210" s="33">
        <f>IF('PV IN'!$D$19="YES",G210*'PV IN'!$E$21,0)</f>
        <v>0</v>
      </c>
      <c r="I210" s="33">
        <f>IF('PV IN'!$D$19="YES",'PV IN'!$E$22*BattCalcs!W210,0)</f>
        <v>0</v>
      </c>
      <c r="J210" s="33">
        <f>IF('PV IN'!$D$19="YES",'PV IN'!$E$23*BattCalcs!Y210,0)</f>
        <v>0</v>
      </c>
      <c r="K210" s="33">
        <f>BattCalcs!AF210</f>
        <v>25811.765833333331</v>
      </c>
      <c r="L210" s="33">
        <f t="shared" si="63"/>
        <v>25811.765833333331</v>
      </c>
      <c r="M210" s="33">
        <f>IF('PV IN'!$F$4="PV Only",G210,G210-SUM(H210:J210,L210))</f>
        <v>133013.72967968992</v>
      </c>
      <c r="N210" s="2">
        <f>IF(C210&lt;='PV IN'!$I$12*12,'PV IN'!$E$12*G210/1000,0)</f>
        <v>0</v>
      </c>
      <c r="O210" s="2">
        <f>IF(AND(C210&gt;'PV IN'!$I$12*12,C210&lt;='PV IN'!$I$13*12+'PV IN'!$I$12*12),'PV IN'!$E$13*PVCalcs!G210/1000,0)</f>
        <v>0</v>
      </c>
      <c r="P210" s="2">
        <f>IF(AND(C210&gt;'PV IN'!$I$12*12+'PV IN'!$I$13*12,C210&lt;='PV IN'!$I$12*12+'PV IN'!$I$13*12+'PV IN'!$I$14*12),'PV IN'!$E$14*PVCalcs!G210/1000,0)</f>
        <v>0</v>
      </c>
      <c r="R210" s="10">
        <f>IF(AND('PV IN'!$D$35="YES",$C210&lt;='PV IN'!$E$35*12),-'PV IN'!$E$18*'PV IN'!$E$34/12,0)</f>
        <v>0</v>
      </c>
      <c r="S210" s="10">
        <f>IF(AND('PV IN'!$D$37="YES",$C210&lt;='PV IN'!$E$37*12),-'PV IN'!$E$18*'PV IN'!$E$36/12,0)</f>
        <v>0</v>
      </c>
      <c r="U210" s="2">
        <f t="shared" si="64"/>
        <v>11086.506826683213</v>
      </c>
      <c r="V210" s="10">
        <f>PVLoan!M237</f>
        <v>0</v>
      </c>
      <c r="W210" s="2">
        <f>IF(C210='PV IN'!$I$40,IF('PV IN'!$G$40="Non-Taxable",'PV IN'!$F$40,0),0)+IF(C210='PV IN'!$I$41,IF('PV IN'!$G$41="Non-Taxable",'PV IN'!$F$41,0),0)</f>
        <v>0</v>
      </c>
      <c r="X210" s="10"/>
      <c r="Y210" s="10">
        <f>IF('PV IN'!$E$15="Non-Taxable",SUM(N210:P210),0)</f>
        <v>0</v>
      </c>
      <c r="Z210" s="10">
        <f>IF('PV IN'!$E$15="Taxable",SUM(N210:P210),0)</f>
        <v>0</v>
      </c>
      <c r="AA210" s="2">
        <f>IF(C210='PV IN'!$I$40,IF('PV IN'!$G$40="Taxable",'PV IN'!$F$40,0),0)+IF(C210='PV IN'!$I$41,IF('PV IN'!$G$41="Taxable",'PV IN'!$F$41,0),0)</f>
        <v>0</v>
      </c>
      <c r="AD210" s="10">
        <f>IF('PV IN'!$D$48="YES",-U210*'PV IN'!$E$8,0)</f>
        <v>0</v>
      </c>
      <c r="AE210" s="10">
        <f>IF('PV IN'!$N$10="Yes",-PVLoan!H238,-PVLoan!L238)</f>
        <v>0</v>
      </c>
      <c r="AF210" s="10">
        <f>IF('PV IN'!$N$10="Yes",-PVLoan!F238,0)</f>
        <v>0</v>
      </c>
      <c r="AG210" s="10">
        <f>IF(AND('PV IN'!$D$35="YES",$C210&lt;='PV IN'!$E$35*12),0,-'PV IN'!$E$18*'PV IN'!$E$34/12)</f>
        <v>-750</v>
      </c>
      <c r="AH210" s="10">
        <f>IF(AND('PV IN'!$D$37="YES",$C210&lt;='PV IN'!$E$37*12),0,-'PV IN'!$E$18*'PV IN'!$E$36/12)</f>
        <v>-625</v>
      </c>
      <c r="AI210" s="2">
        <f>IF(AND('PV IN'!$D$33="YES",PVCalcs!C210=ROUNDUP('PV IN'!$H$33*12,)),-'PV IN'!$E$33*'PV IN'!$E$18,0)</f>
        <v>0</v>
      </c>
      <c r="AK210" s="2">
        <f t="shared" si="49"/>
        <v>11086.506826683213</v>
      </c>
      <c r="AL210" s="2">
        <f t="shared" si="50"/>
        <v>-1375</v>
      </c>
      <c r="AM210" s="2">
        <f t="shared" si="54"/>
        <v>9711.5068266832131</v>
      </c>
      <c r="AN210" s="43"/>
      <c r="AO210" s="2">
        <f t="shared" si="51"/>
        <v>0</v>
      </c>
      <c r="AP210" s="2">
        <f t="shared" si="55"/>
        <v>-1375</v>
      </c>
      <c r="AR210" s="2">
        <f t="shared" si="56"/>
        <v>-1375</v>
      </c>
      <c r="AS210" s="2">
        <f>-AR210*'PV IN'!$E$8</f>
        <v>288.75</v>
      </c>
      <c r="AT210" s="2">
        <f>IF('PV IN'!$F$4="Battery Only",0,AM210+AS210)</f>
        <v>10000.256826683213</v>
      </c>
      <c r="AV210" s="10">
        <f t="shared" si="57"/>
        <v>1034911.7350796547</v>
      </c>
      <c r="AW210" s="2">
        <f>AT210/(1+('PV IN'!$G$9))^(C210)</f>
        <v>4327.7435687487286</v>
      </c>
      <c r="AX210" s="2">
        <f>IF(C210&lt;='PV IN'!$O$22*12,AW210+AX209,NA())</f>
        <v>296606.55745003413</v>
      </c>
      <c r="AZ210" s="10">
        <f t="shared" si="52"/>
        <v>-1375</v>
      </c>
      <c r="BA210" s="10">
        <f t="shared" si="53"/>
        <v>0</v>
      </c>
      <c r="BB210" s="10">
        <f t="shared" si="58"/>
        <v>-1375</v>
      </c>
      <c r="BC210" s="10">
        <f t="shared" si="59"/>
        <v>0</v>
      </c>
      <c r="BD210" s="10">
        <f t="shared" si="60"/>
        <v>-1375</v>
      </c>
      <c r="BE210" s="2">
        <f t="shared" si="61"/>
        <v>0</v>
      </c>
      <c r="BF210" s="10">
        <f t="shared" si="62"/>
        <v>-1375</v>
      </c>
      <c r="BG210" s="2">
        <f>-BF210*'PV IN'!$E$8</f>
        <v>288.75</v>
      </c>
      <c r="BH210" s="2">
        <f>IF('PV IN'!$F$4="Battery Only",0,BB210+BG210)</f>
        <v>-1086.25</v>
      </c>
      <c r="BI210" s="2">
        <f>BH210/(1+('PV IN'!$G$9))^(C210)</f>
        <v>-470.08907201361268</v>
      </c>
    </row>
    <row r="211" spans="2:61" x14ac:dyDescent="0.25">
      <c r="C211">
        <v>207</v>
      </c>
      <c r="D211" s="16">
        <f>D210*(1+('PV IN'!$G$6/12))</f>
        <v>7.5999999999999998E-2</v>
      </c>
      <c r="E211" s="16">
        <f>LkUP!$U$38</f>
        <v>8.3348590054429766E-2</v>
      </c>
      <c r="F211" s="16">
        <f>IF('PV IN'!$D$7="Table",E211,D211)</f>
        <v>8.3348590054429766E-2</v>
      </c>
      <c r="G211" s="33">
        <f>('PV IN'!$E$25*'PV IN'!$E$18/12)*(1-(1-'PV IN'!$E$27)/(25*12))^C210</f>
        <v>132925.05385990345</v>
      </c>
      <c r="H211" s="33">
        <f>IF('PV IN'!$D$19="YES",G211*'PV IN'!$E$21,0)</f>
        <v>0</v>
      </c>
      <c r="I211" s="33">
        <f>IF('PV IN'!$D$19="YES",'PV IN'!$E$22*BattCalcs!W211,0)</f>
        <v>0</v>
      </c>
      <c r="J211" s="33">
        <f>IF('PV IN'!$D$19="YES",'PV IN'!$E$23*BattCalcs!Y211,0)</f>
        <v>0</v>
      </c>
      <c r="K211" s="33">
        <f>BattCalcs!AF211</f>
        <v>25811.765833333331</v>
      </c>
      <c r="L211" s="33">
        <f t="shared" si="63"/>
        <v>25811.765833333331</v>
      </c>
      <c r="M211" s="33">
        <f>IF('PV IN'!$F$4="PV Only",G211,G211-SUM(H211:J211,L211))</f>
        <v>132925.05385990345</v>
      </c>
      <c r="N211" s="2">
        <f>IF(C211&lt;='PV IN'!$I$12*12,'PV IN'!$E$12*G211/1000,0)</f>
        <v>0</v>
      </c>
      <c r="O211" s="2">
        <f>IF(AND(C211&gt;'PV IN'!$I$12*12,C211&lt;='PV IN'!$I$13*12+'PV IN'!$I$12*12),'PV IN'!$E$13*PVCalcs!G211/1000,0)</f>
        <v>0</v>
      </c>
      <c r="P211" s="2">
        <f>IF(AND(C211&gt;'PV IN'!$I$12*12+'PV IN'!$I$13*12,C211&lt;='PV IN'!$I$12*12+'PV IN'!$I$13*12+'PV IN'!$I$14*12),'PV IN'!$E$14*PVCalcs!G211/1000,0)</f>
        <v>0</v>
      </c>
      <c r="R211" s="10">
        <f>IF(AND('PV IN'!$D$35="YES",$C211&lt;='PV IN'!$E$35*12),-'PV IN'!$E$18*'PV IN'!$E$34/12,0)</f>
        <v>0</v>
      </c>
      <c r="S211" s="10">
        <f>IF(AND('PV IN'!$D$37="YES",$C211&lt;='PV IN'!$E$37*12),-'PV IN'!$E$18*'PV IN'!$E$36/12,0)</f>
        <v>0</v>
      </c>
      <c r="U211" s="2">
        <f t="shared" si="64"/>
        <v>11079.115822132089</v>
      </c>
      <c r="V211" s="10">
        <f>PVLoan!M238</f>
        <v>0</v>
      </c>
      <c r="W211" s="2">
        <f>IF(C211='PV IN'!$I$40,IF('PV IN'!$G$40="Non-Taxable",'PV IN'!$F$40,0),0)+IF(C211='PV IN'!$I$41,IF('PV IN'!$G$41="Non-Taxable",'PV IN'!$F$41,0),0)</f>
        <v>0</v>
      </c>
      <c r="X211" s="10"/>
      <c r="Y211" s="10">
        <f>IF('PV IN'!$E$15="Non-Taxable",SUM(N211:P211),0)</f>
        <v>0</v>
      </c>
      <c r="Z211" s="10">
        <f>IF('PV IN'!$E$15="Taxable",SUM(N211:P211),0)</f>
        <v>0</v>
      </c>
      <c r="AA211" s="2">
        <f>IF(C211='PV IN'!$I$40,IF('PV IN'!$G$40="Taxable",'PV IN'!$F$40,0),0)+IF(C211='PV IN'!$I$41,IF('PV IN'!$G$41="Taxable",'PV IN'!$F$41,0),0)</f>
        <v>0</v>
      </c>
      <c r="AD211" s="10">
        <f>IF('PV IN'!$D$48="YES",-U211*'PV IN'!$E$8,0)</f>
        <v>0</v>
      </c>
      <c r="AE211" s="10">
        <f>IF('PV IN'!$N$10="Yes",-PVLoan!H239,-PVLoan!L239)</f>
        <v>0</v>
      </c>
      <c r="AF211" s="10">
        <f>IF('PV IN'!$N$10="Yes",-PVLoan!F239,0)</f>
        <v>0</v>
      </c>
      <c r="AG211" s="10">
        <f>IF(AND('PV IN'!$D$35="YES",$C211&lt;='PV IN'!$E$35*12),0,-'PV IN'!$E$18*'PV IN'!$E$34/12)</f>
        <v>-750</v>
      </c>
      <c r="AH211" s="10">
        <f>IF(AND('PV IN'!$D$37="YES",$C211&lt;='PV IN'!$E$37*12),0,-'PV IN'!$E$18*'PV IN'!$E$36/12)</f>
        <v>-625</v>
      </c>
      <c r="AI211" s="2">
        <f>IF(AND('PV IN'!$D$33="YES",PVCalcs!C211=ROUNDUP('PV IN'!$H$33*12,)),-'PV IN'!$E$33*'PV IN'!$E$18,0)</f>
        <v>0</v>
      </c>
      <c r="AK211" s="2">
        <f t="shared" si="49"/>
        <v>11079.115822132089</v>
      </c>
      <c r="AL211" s="2">
        <f t="shared" si="50"/>
        <v>-1375</v>
      </c>
      <c r="AM211" s="2">
        <f t="shared" si="54"/>
        <v>9704.1158221320893</v>
      </c>
      <c r="AN211" s="43"/>
      <c r="AO211" s="2">
        <f t="shared" si="51"/>
        <v>0</v>
      </c>
      <c r="AP211" s="2">
        <f t="shared" si="55"/>
        <v>-1375</v>
      </c>
      <c r="AR211" s="2">
        <f t="shared" si="56"/>
        <v>-1375</v>
      </c>
      <c r="AS211" s="2">
        <f>-AR211*'PV IN'!$E$8</f>
        <v>288.75</v>
      </c>
      <c r="AT211" s="2">
        <f>IF('PV IN'!$F$4="Battery Only",0,AM211+AS211)</f>
        <v>9992.8658221320893</v>
      </c>
      <c r="AV211" s="10">
        <f t="shared" si="57"/>
        <v>1044904.6009017868</v>
      </c>
      <c r="AW211" s="2">
        <f>AT211/(1+('PV IN'!$G$9))^(C211)</f>
        <v>4306.9977715975001</v>
      </c>
      <c r="AX211" s="2">
        <f>IF(C211&lt;='PV IN'!$O$22*12,AW211+AX210,NA())</f>
        <v>300913.55522163166</v>
      </c>
      <c r="AZ211" s="10">
        <f t="shared" si="52"/>
        <v>-1375</v>
      </c>
      <c r="BA211" s="10">
        <f t="shared" si="53"/>
        <v>0</v>
      </c>
      <c r="BB211" s="10">
        <f t="shared" si="58"/>
        <v>-1375</v>
      </c>
      <c r="BC211" s="10">
        <f t="shared" si="59"/>
        <v>0</v>
      </c>
      <c r="BD211" s="10">
        <f t="shared" si="60"/>
        <v>-1375</v>
      </c>
      <c r="BE211" s="2">
        <f t="shared" si="61"/>
        <v>0</v>
      </c>
      <c r="BF211" s="10">
        <f t="shared" si="62"/>
        <v>-1375</v>
      </c>
      <c r="BG211" s="2">
        <f>-BF211*'PV IN'!$E$8</f>
        <v>288.75</v>
      </c>
      <c r="BH211" s="2">
        <f>IF('PV IN'!$F$4="Battery Only",0,BB211+BG211)</f>
        <v>-1086.25</v>
      </c>
      <c r="BI211" s="2">
        <f>BH211/(1+('PV IN'!$G$9))^(C211)</f>
        <v>-468.18164205066648</v>
      </c>
    </row>
    <row r="212" spans="2:61" x14ac:dyDescent="0.25">
      <c r="C212">
        <v>208</v>
      </c>
      <c r="D212" s="16">
        <f>D211*(1+('PV IN'!$G$6/12))</f>
        <v>7.5999999999999998E-2</v>
      </c>
      <c r="E212" s="16">
        <f>LkUP!$U$38</f>
        <v>8.3348590054429766E-2</v>
      </c>
      <c r="F212" s="16">
        <f>IF('PV IN'!$D$7="Table",E212,D212)</f>
        <v>8.3348590054429766E-2</v>
      </c>
      <c r="G212" s="33">
        <f>('PV IN'!$E$25*'PV IN'!$E$18/12)*(1-(1-'PV IN'!$E$27)/(25*12))^C211</f>
        <v>132836.43715733019</v>
      </c>
      <c r="H212" s="33">
        <f>IF('PV IN'!$D$19="YES",G212*'PV IN'!$E$21,0)</f>
        <v>0</v>
      </c>
      <c r="I212" s="33">
        <f>IF('PV IN'!$D$19="YES",'PV IN'!$E$22*BattCalcs!W212,0)</f>
        <v>0</v>
      </c>
      <c r="J212" s="33">
        <f>IF('PV IN'!$D$19="YES",'PV IN'!$E$23*BattCalcs!Y212,0)</f>
        <v>0</v>
      </c>
      <c r="K212" s="33">
        <f>BattCalcs!AF212</f>
        <v>25811.765833333331</v>
      </c>
      <c r="L212" s="33">
        <f t="shared" si="63"/>
        <v>25811.765833333331</v>
      </c>
      <c r="M212" s="33">
        <f>IF('PV IN'!$F$4="PV Only",G212,G212-SUM(H212:J212,L212))</f>
        <v>132836.43715733019</v>
      </c>
      <c r="N212" s="2">
        <f>IF(C212&lt;='PV IN'!$I$12*12,'PV IN'!$E$12*G212/1000,0)</f>
        <v>0</v>
      </c>
      <c r="O212" s="2">
        <f>IF(AND(C212&gt;'PV IN'!$I$12*12,C212&lt;='PV IN'!$I$13*12+'PV IN'!$I$12*12),'PV IN'!$E$13*PVCalcs!G212/1000,0)</f>
        <v>0</v>
      </c>
      <c r="P212" s="2">
        <f>IF(AND(C212&gt;'PV IN'!$I$12*12+'PV IN'!$I$13*12,C212&lt;='PV IN'!$I$12*12+'PV IN'!$I$13*12+'PV IN'!$I$14*12),'PV IN'!$E$14*PVCalcs!G212/1000,0)</f>
        <v>0</v>
      </c>
      <c r="R212" s="10">
        <f>IF(AND('PV IN'!$D$35="YES",$C212&lt;='PV IN'!$E$35*12),-'PV IN'!$E$18*'PV IN'!$E$34/12,0)</f>
        <v>0</v>
      </c>
      <c r="S212" s="10">
        <f>IF(AND('PV IN'!$D$37="YES",$C212&lt;='PV IN'!$E$37*12),-'PV IN'!$E$18*'PV IN'!$E$36/12,0)</f>
        <v>0</v>
      </c>
      <c r="U212" s="2">
        <f t="shared" si="64"/>
        <v>11071.729744917337</v>
      </c>
      <c r="V212" s="10">
        <f>PVLoan!M239</f>
        <v>0</v>
      </c>
      <c r="W212" s="2">
        <f>IF(C212='PV IN'!$I$40,IF('PV IN'!$G$40="Non-Taxable",'PV IN'!$F$40,0),0)+IF(C212='PV IN'!$I$41,IF('PV IN'!$G$41="Non-Taxable",'PV IN'!$F$41,0),0)</f>
        <v>0</v>
      </c>
      <c r="X212" s="10"/>
      <c r="Y212" s="10">
        <f>IF('PV IN'!$E$15="Non-Taxable",SUM(N212:P212),0)</f>
        <v>0</v>
      </c>
      <c r="Z212" s="10">
        <f>IF('PV IN'!$E$15="Taxable",SUM(N212:P212),0)</f>
        <v>0</v>
      </c>
      <c r="AA212" s="2">
        <f>IF(C212='PV IN'!$I$40,IF('PV IN'!$G$40="Taxable",'PV IN'!$F$40,0),0)+IF(C212='PV IN'!$I$41,IF('PV IN'!$G$41="Taxable",'PV IN'!$F$41,0),0)</f>
        <v>0</v>
      </c>
      <c r="AD212" s="10">
        <f>IF('PV IN'!$D$48="YES",-U212*'PV IN'!$E$8,0)</f>
        <v>0</v>
      </c>
      <c r="AE212" s="10">
        <f>IF('PV IN'!$N$10="Yes",-PVLoan!H240,-PVLoan!L240)</f>
        <v>0</v>
      </c>
      <c r="AF212" s="10">
        <f>IF('PV IN'!$N$10="Yes",-PVLoan!F240,0)</f>
        <v>0</v>
      </c>
      <c r="AG212" s="10">
        <f>IF(AND('PV IN'!$D$35="YES",$C212&lt;='PV IN'!$E$35*12),0,-'PV IN'!$E$18*'PV IN'!$E$34/12)</f>
        <v>-750</v>
      </c>
      <c r="AH212" s="10">
        <f>IF(AND('PV IN'!$D$37="YES",$C212&lt;='PV IN'!$E$37*12),0,-'PV IN'!$E$18*'PV IN'!$E$36/12)</f>
        <v>-625</v>
      </c>
      <c r="AI212" s="2">
        <f>IF(AND('PV IN'!$D$33="YES",PVCalcs!C212=ROUNDUP('PV IN'!$H$33*12,)),-'PV IN'!$E$33*'PV IN'!$E$18,0)</f>
        <v>0</v>
      </c>
      <c r="AK212" s="2">
        <f t="shared" si="49"/>
        <v>11071.729744917337</v>
      </c>
      <c r="AL212" s="2">
        <f t="shared" si="50"/>
        <v>-1375</v>
      </c>
      <c r="AM212" s="2">
        <f t="shared" si="54"/>
        <v>9696.7297449173366</v>
      </c>
      <c r="AN212" s="43"/>
      <c r="AO212" s="2">
        <f t="shared" si="51"/>
        <v>0</v>
      </c>
      <c r="AP212" s="2">
        <f t="shared" si="55"/>
        <v>-1375</v>
      </c>
      <c r="AR212" s="2">
        <f t="shared" si="56"/>
        <v>-1375</v>
      </c>
      <c r="AS212" s="2">
        <f>-AR212*'PV IN'!$E$8</f>
        <v>288.75</v>
      </c>
      <c r="AT212" s="2">
        <f>IF('PV IN'!$F$4="Battery Only",0,AM212+AS212)</f>
        <v>9985.4797449173366</v>
      </c>
      <c r="AV212" s="10">
        <f t="shared" si="57"/>
        <v>1054890.0806467042</v>
      </c>
      <c r="AW212" s="2">
        <f>AT212/(1+('PV IN'!$G$9))^(C212)</f>
        <v>4286.3511933133213</v>
      </c>
      <c r="AX212" s="2">
        <f>IF(C212&lt;='PV IN'!$O$22*12,AW212+AX211,NA())</f>
        <v>305199.90641494497</v>
      </c>
      <c r="AZ212" s="10">
        <f t="shared" si="52"/>
        <v>-1375</v>
      </c>
      <c r="BA212" s="10">
        <f t="shared" si="53"/>
        <v>0</v>
      </c>
      <c r="BB212" s="10">
        <f t="shared" si="58"/>
        <v>-1375</v>
      </c>
      <c r="BC212" s="10">
        <f t="shared" si="59"/>
        <v>0</v>
      </c>
      <c r="BD212" s="10">
        <f t="shared" si="60"/>
        <v>-1375</v>
      </c>
      <c r="BE212" s="2">
        <f t="shared" si="61"/>
        <v>0</v>
      </c>
      <c r="BF212" s="10">
        <f t="shared" si="62"/>
        <v>-1375</v>
      </c>
      <c r="BG212" s="2">
        <f>-BF212*'PV IN'!$E$8</f>
        <v>288.75</v>
      </c>
      <c r="BH212" s="2">
        <f>IF('PV IN'!$F$4="Battery Only",0,BB212+BG212)</f>
        <v>-1086.25</v>
      </c>
      <c r="BI212" s="2">
        <f>BH212/(1+('PV IN'!$G$9))^(C212)</f>
        <v>-466.2819516615163</v>
      </c>
    </row>
    <row r="213" spans="2:61" x14ac:dyDescent="0.25">
      <c r="C213">
        <v>209</v>
      </c>
      <c r="D213" s="16">
        <f>D212*(1+('PV IN'!$G$6/12))</f>
        <v>7.5999999999999998E-2</v>
      </c>
      <c r="E213" s="16">
        <f>LkUP!$U$38</f>
        <v>8.3348590054429766E-2</v>
      </c>
      <c r="F213" s="16">
        <f>IF('PV IN'!$D$7="Table",E213,D213)</f>
        <v>8.3348590054429766E-2</v>
      </c>
      <c r="G213" s="33">
        <f>('PV IN'!$E$25*'PV IN'!$E$18/12)*(1-(1-'PV IN'!$E$27)/(25*12))^C212</f>
        <v>132747.87953255861</v>
      </c>
      <c r="H213" s="33">
        <f>IF('PV IN'!$D$19="YES",G213*'PV IN'!$E$21,0)</f>
        <v>0</v>
      </c>
      <c r="I213" s="33">
        <f>IF('PV IN'!$D$19="YES",'PV IN'!$E$22*BattCalcs!W213,0)</f>
        <v>0</v>
      </c>
      <c r="J213" s="33">
        <f>IF('PV IN'!$D$19="YES",'PV IN'!$E$23*BattCalcs!Y213,0)</f>
        <v>0</v>
      </c>
      <c r="K213" s="33">
        <f>BattCalcs!AF213</f>
        <v>25811.765833333331</v>
      </c>
      <c r="L213" s="33">
        <f t="shared" si="63"/>
        <v>25811.765833333331</v>
      </c>
      <c r="M213" s="33">
        <f>IF('PV IN'!$F$4="PV Only",G213,G213-SUM(H213:J213,L213))</f>
        <v>132747.87953255861</v>
      </c>
      <c r="N213" s="2">
        <f>IF(C213&lt;='PV IN'!$I$12*12,'PV IN'!$E$12*G213/1000,0)</f>
        <v>0</v>
      </c>
      <c r="O213" s="2">
        <f>IF(AND(C213&gt;'PV IN'!$I$12*12,C213&lt;='PV IN'!$I$13*12+'PV IN'!$I$12*12),'PV IN'!$E$13*PVCalcs!G213/1000,0)</f>
        <v>0</v>
      </c>
      <c r="P213" s="2">
        <f>IF(AND(C213&gt;'PV IN'!$I$12*12+'PV IN'!$I$13*12,C213&lt;='PV IN'!$I$12*12+'PV IN'!$I$13*12+'PV IN'!$I$14*12),'PV IN'!$E$14*PVCalcs!G213/1000,0)</f>
        <v>0</v>
      </c>
      <c r="R213" s="10">
        <f>IF(AND('PV IN'!$D$35="YES",$C213&lt;='PV IN'!$E$35*12),-'PV IN'!$E$18*'PV IN'!$E$34/12,0)</f>
        <v>0</v>
      </c>
      <c r="S213" s="10">
        <f>IF(AND('PV IN'!$D$37="YES",$C213&lt;='PV IN'!$E$37*12),-'PV IN'!$E$18*'PV IN'!$E$36/12,0)</f>
        <v>0</v>
      </c>
      <c r="U213" s="2">
        <f t="shared" si="64"/>
        <v>11064.348591754055</v>
      </c>
      <c r="V213" s="10">
        <f>PVLoan!M240</f>
        <v>0</v>
      </c>
      <c r="W213" s="2">
        <f>IF(C213='PV IN'!$I$40,IF('PV IN'!$G$40="Non-Taxable",'PV IN'!$F$40,0),0)+IF(C213='PV IN'!$I$41,IF('PV IN'!$G$41="Non-Taxable",'PV IN'!$F$41,0),0)</f>
        <v>0</v>
      </c>
      <c r="X213" s="10"/>
      <c r="Y213" s="10">
        <f>IF('PV IN'!$E$15="Non-Taxable",SUM(N213:P213),0)</f>
        <v>0</v>
      </c>
      <c r="Z213" s="10">
        <f>IF('PV IN'!$E$15="Taxable",SUM(N213:P213),0)</f>
        <v>0</v>
      </c>
      <c r="AA213" s="2">
        <f>IF(C213='PV IN'!$I$40,IF('PV IN'!$G$40="Taxable",'PV IN'!$F$40,0),0)+IF(C213='PV IN'!$I$41,IF('PV IN'!$G$41="Taxable",'PV IN'!$F$41,0),0)</f>
        <v>0</v>
      </c>
      <c r="AD213" s="10">
        <f>IF('PV IN'!$D$48="YES",-U213*'PV IN'!$E$8,0)</f>
        <v>0</v>
      </c>
      <c r="AE213" s="10">
        <f>IF('PV IN'!$N$10="Yes",-PVLoan!H241,-PVLoan!L241)</f>
        <v>0</v>
      </c>
      <c r="AF213" s="10">
        <f>IF('PV IN'!$N$10="Yes",-PVLoan!F241,0)</f>
        <v>0</v>
      </c>
      <c r="AG213" s="10">
        <f>IF(AND('PV IN'!$D$35="YES",$C213&lt;='PV IN'!$E$35*12),0,-'PV IN'!$E$18*'PV IN'!$E$34/12)</f>
        <v>-750</v>
      </c>
      <c r="AH213" s="10">
        <f>IF(AND('PV IN'!$D$37="YES",$C213&lt;='PV IN'!$E$37*12),0,-'PV IN'!$E$18*'PV IN'!$E$36/12)</f>
        <v>-625</v>
      </c>
      <c r="AI213" s="2">
        <f>IF(AND('PV IN'!$D$33="YES",PVCalcs!C213=ROUNDUP('PV IN'!$H$33*12,)),-'PV IN'!$E$33*'PV IN'!$E$18,0)</f>
        <v>0</v>
      </c>
      <c r="AK213" s="2">
        <f t="shared" si="49"/>
        <v>11064.348591754055</v>
      </c>
      <c r="AL213" s="2">
        <f t="shared" si="50"/>
        <v>-1375</v>
      </c>
      <c r="AM213" s="2">
        <f t="shared" si="54"/>
        <v>9689.3485917540547</v>
      </c>
      <c r="AN213" s="43"/>
      <c r="AO213" s="2">
        <f t="shared" si="51"/>
        <v>0</v>
      </c>
      <c r="AP213" s="2">
        <f t="shared" si="55"/>
        <v>-1375</v>
      </c>
      <c r="AR213" s="2">
        <f t="shared" si="56"/>
        <v>-1375</v>
      </c>
      <c r="AS213" s="2">
        <f>-AR213*'PV IN'!$E$8</f>
        <v>288.75</v>
      </c>
      <c r="AT213" s="2">
        <f>IF('PV IN'!$F$4="Battery Only",0,AM213+AS213)</f>
        <v>9978.0985917540547</v>
      </c>
      <c r="AV213" s="10">
        <f t="shared" si="57"/>
        <v>1064868.1792384582</v>
      </c>
      <c r="AW213" s="2">
        <f>AT213/(1+('PV IN'!$G$9))^(C213)</f>
        <v>4265.8033602901451</v>
      </c>
      <c r="AX213" s="2">
        <f>IF(C213&lt;='PV IN'!$O$22*12,AW213+AX212,NA())</f>
        <v>309465.7097752351</v>
      </c>
      <c r="AZ213" s="10">
        <f t="shared" si="52"/>
        <v>-1375</v>
      </c>
      <c r="BA213" s="10">
        <f t="shared" si="53"/>
        <v>0</v>
      </c>
      <c r="BB213" s="10">
        <f t="shared" si="58"/>
        <v>-1375</v>
      </c>
      <c r="BC213" s="10">
        <f t="shared" si="59"/>
        <v>0</v>
      </c>
      <c r="BD213" s="10">
        <f t="shared" si="60"/>
        <v>-1375</v>
      </c>
      <c r="BE213" s="2">
        <f t="shared" si="61"/>
        <v>0</v>
      </c>
      <c r="BF213" s="10">
        <f t="shared" si="62"/>
        <v>-1375</v>
      </c>
      <c r="BG213" s="2">
        <f>-BF213*'PV IN'!$E$8</f>
        <v>288.75</v>
      </c>
      <c r="BH213" s="2">
        <f>IF('PV IN'!$F$4="Battery Only",0,BB213+BG213)</f>
        <v>-1086.25</v>
      </c>
      <c r="BI213" s="2">
        <f>BH213/(1+('PV IN'!$G$9))^(C213)</f>
        <v>-464.38996944212437</v>
      </c>
    </row>
    <row r="214" spans="2:61" x14ac:dyDescent="0.25">
      <c r="C214">
        <v>210</v>
      </c>
      <c r="D214" s="16">
        <f>D213*(1+('PV IN'!$G$6/12))</f>
        <v>7.5999999999999998E-2</v>
      </c>
      <c r="E214" s="16">
        <f>LkUP!$U$38</f>
        <v>8.3348590054429766E-2</v>
      </c>
      <c r="F214" s="16">
        <f>IF('PV IN'!$D$7="Table",E214,D214)</f>
        <v>8.3348590054429766E-2</v>
      </c>
      <c r="G214" s="33">
        <f>('PV IN'!$E$25*'PV IN'!$E$18/12)*(1-(1-'PV IN'!$E$27)/(25*12))^C213</f>
        <v>132659.38094620357</v>
      </c>
      <c r="H214" s="33">
        <f>IF('PV IN'!$D$19="YES",G214*'PV IN'!$E$21,0)</f>
        <v>0</v>
      </c>
      <c r="I214" s="33">
        <f>IF('PV IN'!$D$19="YES",'PV IN'!$E$22*BattCalcs!W214,0)</f>
        <v>0</v>
      </c>
      <c r="J214" s="33">
        <f>IF('PV IN'!$D$19="YES",'PV IN'!$E$23*BattCalcs!Y214,0)</f>
        <v>0</v>
      </c>
      <c r="K214" s="33">
        <f>BattCalcs!AF214</f>
        <v>25811.765833333331</v>
      </c>
      <c r="L214" s="33">
        <f t="shared" si="63"/>
        <v>25811.765833333331</v>
      </c>
      <c r="M214" s="33">
        <f>IF('PV IN'!$F$4="PV Only",G214,G214-SUM(H214:J214,L214))</f>
        <v>132659.38094620357</v>
      </c>
      <c r="N214" s="2">
        <f>IF(C214&lt;='PV IN'!$I$12*12,'PV IN'!$E$12*G214/1000,0)</f>
        <v>0</v>
      </c>
      <c r="O214" s="2">
        <f>IF(AND(C214&gt;'PV IN'!$I$12*12,C214&lt;='PV IN'!$I$13*12+'PV IN'!$I$12*12),'PV IN'!$E$13*PVCalcs!G214/1000,0)</f>
        <v>0</v>
      </c>
      <c r="P214" s="2">
        <f>IF(AND(C214&gt;'PV IN'!$I$12*12+'PV IN'!$I$13*12,C214&lt;='PV IN'!$I$12*12+'PV IN'!$I$13*12+'PV IN'!$I$14*12),'PV IN'!$E$14*PVCalcs!G214/1000,0)</f>
        <v>0</v>
      </c>
      <c r="R214" s="10">
        <f>IF(AND('PV IN'!$D$35="YES",$C214&lt;='PV IN'!$E$35*12),-'PV IN'!$E$18*'PV IN'!$E$34/12,0)</f>
        <v>0</v>
      </c>
      <c r="S214" s="10">
        <f>IF(AND('PV IN'!$D$37="YES",$C214&lt;='PV IN'!$E$37*12),-'PV IN'!$E$18*'PV IN'!$E$36/12,0)</f>
        <v>0</v>
      </c>
      <c r="U214" s="2">
        <f t="shared" si="64"/>
        <v>11056.972359359552</v>
      </c>
      <c r="V214" s="10">
        <f>PVLoan!M241</f>
        <v>0</v>
      </c>
      <c r="W214" s="2">
        <f>IF(C214='PV IN'!$I$40,IF('PV IN'!$G$40="Non-Taxable",'PV IN'!$F$40,0),0)+IF(C214='PV IN'!$I$41,IF('PV IN'!$G$41="Non-Taxable",'PV IN'!$F$41,0),0)</f>
        <v>0</v>
      </c>
      <c r="X214" s="10"/>
      <c r="Y214" s="10">
        <f>IF('PV IN'!$E$15="Non-Taxable",SUM(N214:P214),0)</f>
        <v>0</v>
      </c>
      <c r="Z214" s="10">
        <f>IF('PV IN'!$E$15="Taxable",SUM(N214:P214),0)</f>
        <v>0</v>
      </c>
      <c r="AA214" s="2">
        <f>IF(C214='PV IN'!$I$40,IF('PV IN'!$G$40="Taxable",'PV IN'!$F$40,0),0)+IF(C214='PV IN'!$I$41,IF('PV IN'!$G$41="Taxable",'PV IN'!$F$41,0),0)</f>
        <v>0</v>
      </c>
      <c r="AD214" s="10">
        <f>IF('PV IN'!$D$48="YES",-U214*'PV IN'!$E$8,0)</f>
        <v>0</v>
      </c>
      <c r="AE214" s="10">
        <f>IF('PV IN'!$N$10="Yes",-PVLoan!H242,-PVLoan!L242)</f>
        <v>0</v>
      </c>
      <c r="AF214" s="10">
        <f>IF('PV IN'!$N$10="Yes",-PVLoan!F242,0)</f>
        <v>0</v>
      </c>
      <c r="AG214" s="10">
        <f>IF(AND('PV IN'!$D$35="YES",$C214&lt;='PV IN'!$E$35*12),0,-'PV IN'!$E$18*'PV IN'!$E$34/12)</f>
        <v>-750</v>
      </c>
      <c r="AH214" s="10">
        <f>IF(AND('PV IN'!$D$37="YES",$C214&lt;='PV IN'!$E$37*12),0,-'PV IN'!$E$18*'PV IN'!$E$36/12)</f>
        <v>-625</v>
      </c>
      <c r="AI214" s="2">
        <f>IF(AND('PV IN'!$D$33="YES",PVCalcs!C214=ROUNDUP('PV IN'!$H$33*12,)),-'PV IN'!$E$33*'PV IN'!$E$18,0)</f>
        <v>0</v>
      </c>
      <c r="AK214" s="2">
        <f t="shared" si="49"/>
        <v>11056.972359359552</v>
      </c>
      <c r="AL214" s="2">
        <f t="shared" si="50"/>
        <v>-1375</v>
      </c>
      <c r="AM214" s="2">
        <f t="shared" si="54"/>
        <v>9681.9723593595518</v>
      </c>
      <c r="AN214" s="43"/>
      <c r="AO214" s="2">
        <f t="shared" si="51"/>
        <v>0</v>
      </c>
      <c r="AP214" s="2">
        <f t="shared" si="55"/>
        <v>-1375</v>
      </c>
      <c r="AR214" s="2">
        <f t="shared" si="56"/>
        <v>-1375</v>
      </c>
      <c r="AS214" s="2">
        <f>-AR214*'PV IN'!$E$8</f>
        <v>288.75</v>
      </c>
      <c r="AT214" s="2">
        <f>IF('PV IN'!$F$4="Battery Only",0,AM214+AS214)</f>
        <v>9970.7223593595518</v>
      </c>
      <c r="AV214" s="10">
        <f t="shared" si="57"/>
        <v>1074838.9015978177</v>
      </c>
      <c r="AW214" s="2">
        <f>AT214/(1+('PV IN'!$G$9))^(C214)</f>
        <v>4245.3538011789378</v>
      </c>
      <c r="AX214" s="2">
        <f>IF(C214&lt;='PV IN'!$O$22*12,AW214+AX213,NA())</f>
        <v>313711.06357641402</v>
      </c>
      <c r="AZ214" s="10">
        <f t="shared" si="52"/>
        <v>-1375</v>
      </c>
      <c r="BA214" s="10">
        <f t="shared" si="53"/>
        <v>0</v>
      </c>
      <c r="BB214" s="10">
        <f t="shared" si="58"/>
        <v>-1375</v>
      </c>
      <c r="BC214" s="10">
        <f t="shared" si="59"/>
        <v>0</v>
      </c>
      <c r="BD214" s="10">
        <f t="shared" si="60"/>
        <v>-1375</v>
      </c>
      <c r="BE214" s="2">
        <f t="shared" si="61"/>
        <v>0</v>
      </c>
      <c r="BF214" s="10">
        <f t="shared" si="62"/>
        <v>-1375</v>
      </c>
      <c r="BG214" s="2">
        <f>-BF214*'PV IN'!$E$8</f>
        <v>288.75</v>
      </c>
      <c r="BH214" s="2">
        <f>IF('PV IN'!$F$4="Battery Only",0,BB214+BG214)</f>
        <v>-1086.25</v>
      </c>
      <c r="BI214" s="2">
        <f>BH214/(1+('PV IN'!$G$9))^(C214)</f>
        <v>-462.50566411587772</v>
      </c>
    </row>
    <row r="215" spans="2:61" x14ac:dyDescent="0.25">
      <c r="C215">
        <v>211</v>
      </c>
      <c r="D215" s="16">
        <f>D214*(1+('PV IN'!$G$6/12))</f>
        <v>7.5999999999999998E-2</v>
      </c>
      <c r="E215" s="16">
        <f>LkUP!$U$38</f>
        <v>8.3348590054429766E-2</v>
      </c>
      <c r="F215" s="16">
        <f>IF('PV IN'!$D$7="Table",E215,D215)</f>
        <v>8.3348590054429766E-2</v>
      </c>
      <c r="G215" s="33">
        <f>('PV IN'!$E$25*'PV IN'!$E$18/12)*(1-(1-'PV IN'!$E$27)/(25*12))^C214</f>
        <v>132570.9413589061</v>
      </c>
      <c r="H215" s="33">
        <f>IF('PV IN'!$D$19="YES",G215*'PV IN'!$E$21,0)</f>
        <v>0</v>
      </c>
      <c r="I215" s="33">
        <f>IF('PV IN'!$D$19="YES",'PV IN'!$E$22*BattCalcs!W215,0)</f>
        <v>0</v>
      </c>
      <c r="J215" s="33">
        <f>IF('PV IN'!$D$19="YES",'PV IN'!$E$23*BattCalcs!Y215,0)</f>
        <v>0</v>
      </c>
      <c r="K215" s="33">
        <f>BattCalcs!AF215</f>
        <v>25811.765833333331</v>
      </c>
      <c r="L215" s="33">
        <f t="shared" si="63"/>
        <v>25811.765833333331</v>
      </c>
      <c r="M215" s="33">
        <f>IF('PV IN'!$F$4="PV Only",G215,G215-SUM(H215:J215,L215))</f>
        <v>132570.9413589061</v>
      </c>
      <c r="N215" s="2">
        <f>IF(C215&lt;='PV IN'!$I$12*12,'PV IN'!$E$12*G215/1000,0)</f>
        <v>0</v>
      </c>
      <c r="O215" s="2">
        <f>IF(AND(C215&gt;'PV IN'!$I$12*12,C215&lt;='PV IN'!$I$13*12+'PV IN'!$I$12*12),'PV IN'!$E$13*PVCalcs!G215/1000,0)</f>
        <v>0</v>
      </c>
      <c r="P215" s="2">
        <f>IF(AND(C215&gt;'PV IN'!$I$12*12+'PV IN'!$I$13*12,C215&lt;='PV IN'!$I$12*12+'PV IN'!$I$13*12+'PV IN'!$I$14*12),'PV IN'!$E$14*PVCalcs!G215/1000,0)</f>
        <v>0</v>
      </c>
      <c r="R215" s="10">
        <f>IF(AND('PV IN'!$D$35="YES",$C215&lt;='PV IN'!$E$35*12),-'PV IN'!$E$18*'PV IN'!$E$34/12,0)</f>
        <v>0</v>
      </c>
      <c r="S215" s="10">
        <f>IF(AND('PV IN'!$D$37="YES",$C215&lt;='PV IN'!$E$37*12),-'PV IN'!$E$18*'PV IN'!$E$36/12,0)</f>
        <v>0</v>
      </c>
      <c r="U215" s="2">
        <f t="shared" si="64"/>
        <v>11049.601044453313</v>
      </c>
      <c r="V215" s="10">
        <f>PVLoan!M242</f>
        <v>0</v>
      </c>
      <c r="W215" s="2">
        <f>IF(C215='PV IN'!$I$40,IF('PV IN'!$G$40="Non-Taxable",'PV IN'!$F$40,0),0)+IF(C215='PV IN'!$I$41,IF('PV IN'!$G$41="Non-Taxable",'PV IN'!$F$41,0),0)</f>
        <v>0</v>
      </c>
      <c r="X215" s="10"/>
      <c r="Y215" s="10">
        <f>IF('PV IN'!$E$15="Non-Taxable",SUM(N215:P215),0)</f>
        <v>0</v>
      </c>
      <c r="Z215" s="10">
        <f>IF('PV IN'!$E$15="Taxable",SUM(N215:P215),0)</f>
        <v>0</v>
      </c>
      <c r="AA215" s="2">
        <f>IF(C215='PV IN'!$I$40,IF('PV IN'!$G$40="Taxable",'PV IN'!$F$40,0),0)+IF(C215='PV IN'!$I$41,IF('PV IN'!$G$41="Taxable",'PV IN'!$F$41,0),0)</f>
        <v>0</v>
      </c>
      <c r="AD215" s="10">
        <f>IF('PV IN'!$D$48="YES",-U215*'PV IN'!$E$8,0)</f>
        <v>0</v>
      </c>
      <c r="AE215" s="10">
        <f>IF('PV IN'!$N$10="Yes",-PVLoan!H243,-PVLoan!L243)</f>
        <v>0</v>
      </c>
      <c r="AF215" s="10">
        <f>IF('PV IN'!$N$10="Yes",-PVLoan!F243,0)</f>
        <v>0</v>
      </c>
      <c r="AG215" s="10">
        <f>IF(AND('PV IN'!$D$35="YES",$C215&lt;='PV IN'!$E$35*12),0,-'PV IN'!$E$18*'PV IN'!$E$34/12)</f>
        <v>-750</v>
      </c>
      <c r="AH215" s="10">
        <f>IF(AND('PV IN'!$D$37="YES",$C215&lt;='PV IN'!$E$37*12),0,-'PV IN'!$E$18*'PV IN'!$E$36/12)</f>
        <v>-625</v>
      </c>
      <c r="AI215" s="2">
        <f>IF(AND('PV IN'!$D$33="YES",PVCalcs!C215=ROUNDUP('PV IN'!$H$33*12,)),-'PV IN'!$E$33*'PV IN'!$E$18,0)</f>
        <v>0</v>
      </c>
      <c r="AK215" s="2">
        <f t="shared" si="49"/>
        <v>11049.601044453313</v>
      </c>
      <c r="AL215" s="2">
        <f t="shared" si="50"/>
        <v>-1375</v>
      </c>
      <c r="AM215" s="2">
        <f t="shared" si="54"/>
        <v>9674.6010444533131</v>
      </c>
      <c r="AN215" s="43"/>
      <c r="AO215" s="2">
        <f t="shared" si="51"/>
        <v>0</v>
      </c>
      <c r="AP215" s="2">
        <f t="shared" si="55"/>
        <v>-1375</v>
      </c>
      <c r="AR215" s="2">
        <f t="shared" si="56"/>
        <v>-1375</v>
      </c>
      <c r="AS215" s="2">
        <f>-AR215*'PV IN'!$E$8</f>
        <v>288.75</v>
      </c>
      <c r="AT215" s="2">
        <f>IF('PV IN'!$F$4="Battery Only",0,AM215+AS215)</f>
        <v>9963.3510444533131</v>
      </c>
      <c r="AV215" s="10">
        <f t="shared" si="57"/>
        <v>1084802.2526422709</v>
      </c>
      <c r="AW215" s="2">
        <f>AT215/(1+('PV IN'!$G$9))^(C215)</f>
        <v>4225.0020468769308</v>
      </c>
      <c r="AX215" s="2">
        <f>IF(C215&lt;='PV IN'!$O$22*12,AW215+AX214,NA())</f>
        <v>317936.06562329095</v>
      </c>
      <c r="AZ215" s="10">
        <f t="shared" si="52"/>
        <v>-1375</v>
      </c>
      <c r="BA215" s="10">
        <f t="shared" si="53"/>
        <v>0</v>
      </c>
      <c r="BB215" s="10">
        <f t="shared" si="58"/>
        <v>-1375</v>
      </c>
      <c r="BC215" s="10">
        <f t="shared" si="59"/>
        <v>0</v>
      </c>
      <c r="BD215" s="10">
        <f t="shared" si="60"/>
        <v>-1375</v>
      </c>
      <c r="BE215" s="2">
        <f t="shared" si="61"/>
        <v>0</v>
      </c>
      <c r="BF215" s="10">
        <f t="shared" si="62"/>
        <v>-1375</v>
      </c>
      <c r="BG215" s="2">
        <f>-BF215*'PV IN'!$E$8</f>
        <v>288.75</v>
      </c>
      <c r="BH215" s="2">
        <f>IF('PV IN'!$F$4="Battery Only",0,BB215+BG215)</f>
        <v>-1086.25</v>
      </c>
      <c r="BI215" s="2">
        <f>BH215/(1+('PV IN'!$G$9))^(C215)</f>
        <v>-460.62900453307134</v>
      </c>
    </row>
    <row r="216" spans="2:61" x14ac:dyDescent="0.25">
      <c r="C216">
        <v>212</v>
      </c>
      <c r="D216" s="16">
        <f>D215*(1+('PV IN'!$G$6/12))</f>
        <v>7.5999999999999998E-2</v>
      </c>
      <c r="E216" s="16">
        <f>LkUP!$U$38</f>
        <v>8.3348590054429766E-2</v>
      </c>
      <c r="F216" s="16">
        <f>IF('PV IN'!$D$7="Table",E216,D216)</f>
        <v>8.3348590054429766E-2</v>
      </c>
      <c r="G216" s="33">
        <f>('PV IN'!$E$25*'PV IN'!$E$18/12)*(1-(1-'PV IN'!$E$27)/(25*12))^C215</f>
        <v>132482.56073133351</v>
      </c>
      <c r="H216" s="33">
        <f>IF('PV IN'!$D$19="YES",G216*'PV IN'!$E$21,0)</f>
        <v>0</v>
      </c>
      <c r="I216" s="33">
        <f>IF('PV IN'!$D$19="YES",'PV IN'!$E$22*BattCalcs!W216,0)</f>
        <v>0</v>
      </c>
      <c r="J216" s="33">
        <f>IF('PV IN'!$D$19="YES",'PV IN'!$E$23*BattCalcs!Y216,0)</f>
        <v>0</v>
      </c>
      <c r="K216" s="33">
        <f>BattCalcs!AF216</f>
        <v>25811.765833333331</v>
      </c>
      <c r="L216" s="33">
        <f t="shared" si="63"/>
        <v>25811.765833333331</v>
      </c>
      <c r="M216" s="33">
        <f>IF('PV IN'!$F$4="PV Only",G216,G216-SUM(H216:J216,L216))</f>
        <v>132482.56073133351</v>
      </c>
      <c r="N216" s="2">
        <f>IF(C216&lt;='PV IN'!$I$12*12,'PV IN'!$E$12*G216/1000,0)</f>
        <v>0</v>
      </c>
      <c r="O216" s="2">
        <f>IF(AND(C216&gt;'PV IN'!$I$12*12,C216&lt;='PV IN'!$I$13*12+'PV IN'!$I$12*12),'PV IN'!$E$13*PVCalcs!G216/1000,0)</f>
        <v>0</v>
      </c>
      <c r="P216" s="2">
        <f>IF(AND(C216&gt;'PV IN'!$I$12*12+'PV IN'!$I$13*12,C216&lt;='PV IN'!$I$12*12+'PV IN'!$I$13*12+'PV IN'!$I$14*12),'PV IN'!$E$14*PVCalcs!G216/1000,0)</f>
        <v>0</v>
      </c>
      <c r="R216" s="10">
        <f>IF(AND('PV IN'!$D$35="YES",$C216&lt;='PV IN'!$E$35*12),-'PV IN'!$E$18*'PV IN'!$E$34/12,0)</f>
        <v>0</v>
      </c>
      <c r="S216" s="10">
        <f>IF(AND('PV IN'!$D$37="YES",$C216&lt;='PV IN'!$E$37*12),-'PV IN'!$E$18*'PV IN'!$E$36/12,0)</f>
        <v>0</v>
      </c>
      <c r="U216" s="2">
        <f t="shared" si="64"/>
        <v>11042.234643757012</v>
      </c>
      <c r="V216" s="10">
        <f>PVLoan!M243</f>
        <v>0</v>
      </c>
      <c r="W216" s="2">
        <f>IF(C216='PV IN'!$I$40,IF('PV IN'!$G$40="Non-Taxable",'PV IN'!$F$40,0),0)+IF(C216='PV IN'!$I$41,IF('PV IN'!$G$41="Non-Taxable",'PV IN'!$F$41,0),0)</f>
        <v>0</v>
      </c>
      <c r="X216" s="10"/>
      <c r="Y216" s="10">
        <f>IF('PV IN'!$E$15="Non-Taxable",SUM(N216:P216),0)</f>
        <v>0</v>
      </c>
      <c r="Z216" s="10">
        <f>IF('PV IN'!$E$15="Taxable",SUM(N216:P216),0)</f>
        <v>0</v>
      </c>
      <c r="AA216" s="2">
        <f>IF(C216='PV IN'!$I$40,IF('PV IN'!$G$40="Taxable",'PV IN'!$F$40,0),0)+IF(C216='PV IN'!$I$41,IF('PV IN'!$G$41="Taxable",'PV IN'!$F$41,0),0)</f>
        <v>0</v>
      </c>
      <c r="AD216" s="10">
        <f>IF('PV IN'!$D$48="YES",-U216*'PV IN'!$E$8,0)</f>
        <v>0</v>
      </c>
      <c r="AE216" s="10">
        <f>IF('PV IN'!$N$10="Yes",-PVLoan!H244,-PVLoan!L244)</f>
        <v>0</v>
      </c>
      <c r="AF216" s="10">
        <f>IF('PV IN'!$N$10="Yes",-PVLoan!F244,0)</f>
        <v>0</v>
      </c>
      <c r="AG216" s="10">
        <f>IF(AND('PV IN'!$D$35="YES",$C216&lt;='PV IN'!$E$35*12),0,-'PV IN'!$E$18*'PV IN'!$E$34/12)</f>
        <v>-750</v>
      </c>
      <c r="AH216" s="10">
        <f>IF(AND('PV IN'!$D$37="YES",$C216&lt;='PV IN'!$E$37*12),0,-'PV IN'!$E$18*'PV IN'!$E$36/12)</f>
        <v>-625</v>
      </c>
      <c r="AI216" s="2">
        <f>IF(AND('PV IN'!$D$33="YES",PVCalcs!C216=ROUNDUP('PV IN'!$H$33*12,)),-'PV IN'!$E$33*'PV IN'!$E$18,0)</f>
        <v>0</v>
      </c>
      <c r="AK216" s="2">
        <f t="shared" si="49"/>
        <v>11042.234643757012</v>
      </c>
      <c r="AL216" s="2">
        <f t="shared" si="50"/>
        <v>-1375</v>
      </c>
      <c r="AM216" s="2">
        <f t="shared" si="54"/>
        <v>9667.2346437570122</v>
      </c>
      <c r="AN216" s="43"/>
      <c r="AO216" s="2">
        <f t="shared" si="51"/>
        <v>0</v>
      </c>
      <c r="AP216" s="2">
        <f t="shared" si="55"/>
        <v>-1375</v>
      </c>
      <c r="AR216" s="2">
        <f t="shared" si="56"/>
        <v>-1375</v>
      </c>
      <c r="AS216" s="2">
        <f>-AR216*'PV IN'!$E$8</f>
        <v>288.75</v>
      </c>
      <c r="AT216" s="2">
        <f>IF('PV IN'!$F$4="Battery Only",0,AM216+AS216)</f>
        <v>9955.9846437570122</v>
      </c>
      <c r="AV216" s="10">
        <f t="shared" si="57"/>
        <v>1094758.237286028</v>
      </c>
      <c r="AW216" s="2">
        <f>AT216/(1+('PV IN'!$G$9))^(C216)</f>
        <v>4204.7476305169293</v>
      </c>
      <c r="AX216" s="2">
        <f>IF(C216&lt;='PV IN'!$O$22*12,AW216+AX215,NA())</f>
        <v>322140.81325380789</v>
      </c>
      <c r="AZ216" s="10">
        <f t="shared" si="52"/>
        <v>-1375</v>
      </c>
      <c r="BA216" s="10">
        <f t="shared" si="53"/>
        <v>0</v>
      </c>
      <c r="BB216" s="10">
        <f t="shared" si="58"/>
        <v>-1375</v>
      </c>
      <c r="BC216" s="10">
        <f t="shared" si="59"/>
        <v>0</v>
      </c>
      <c r="BD216" s="10">
        <f t="shared" si="60"/>
        <v>-1375</v>
      </c>
      <c r="BE216" s="2">
        <f t="shared" si="61"/>
        <v>0</v>
      </c>
      <c r="BF216" s="10">
        <f t="shared" si="62"/>
        <v>-1375</v>
      </c>
      <c r="BG216" s="2">
        <f>-BF216*'PV IN'!$E$8</f>
        <v>288.75</v>
      </c>
      <c r="BH216" s="2">
        <f>IF('PV IN'!$F$4="Battery Only",0,BB216+BG216)</f>
        <v>-1086.25</v>
      </c>
      <c r="BI216" s="2">
        <f>BH216/(1+('PV IN'!$G$9))^(C216)</f>
        <v>-458.75995967039256</v>
      </c>
    </row>
    <row r="217" spans="2:61" x14ac:dyDescent="0.25">
      <c r="C217">
        <v>213</v>
      </c>
      <c r="D217" s="16">
        <f>D216*(1+('PV IN'!$G$6/12))</f>
        <v>7.5999999999999998E-2</v>
      </c>
      <c r="E217" s="16">
        <f>LkUP!$U$38</f>
        <v>8.3348590054429766E-2</v>
      </c>
      <c r="F217" s="16">
        <f>IF('PV IN'!$D$7="Table",E217,D217)</f>
        <v>8.3348590054429766E-2</v>
      </c>
      <c r="G217" s="33">
        <f>('PV IN'!$E$25*'PV IN'!$E$18/12)*(1-(1-'PV IN'!$E$27)/(25*12))^C216</f>
        <v>132394.23902417929</v>
      </c>
      <c r="H217" s="33">
        <f>IF('PV IN'!$D$19="YES",G217*'PV IN'!$E$21,0)</f>
        <v>0</v>
      </c>
      <c r="I217" s="33">
        <f>IF('PV IN'!$D$19="YES",'PV IN'!$E$22*BattCalcs!W217,0)</f>
        <v>0</v>
      </c>
      <c r="J217" s="33">
        <f>IF('PV IN'!$D$19="YES",'PV IN'!$E$23*BattCalcs!Y217,0)</f>
        <v>0</v>
      </c>
      <c r="K217" s="33">
        <f>BattCalcs!AF217</f>
        <v>25811.765833333331</v>
      </c>
      <c r="L217" s="33">
        <f t="shared" si="63"/>
        <v>25811.765833333331</v>
      </c>
      <c r="M217" s="33">
        <f>IF('PV IN'!$F$4="PV Only",G217,G217-SUM(H217:J217,L217))</f>
        <v>132394.23902417929</v>
      </c>
      <c r="N217" s="2">
        <f>IF(C217&lt;='PV IN'!$I$12*12,'PV IN'!$E$12*G217/1000,0)</f>
        <v>0</v>
      </c>
      <c r="O217" s="2">
        <f>IF(AND(C217&gt;'PV IN'!$I$12*12,C217&lt;='PV IN'!$I$13*12+'PV IN'!$I$12*12),'PV IN'!$E$13*PVCalcs!G217/1000,0)</f>
        <v>0</v>
      </c>
      <c r="P217" s="2">
        <f>IF(AND(C217&gt;'PV IN'!$I$12*12+'PV IN'!$I$13*12,C217&lt;='PV IN'!$I$12*12+'PV IN'!$I$13*12+'PV IN'!$I$14*12),'PV IN'!$E$14*PVCalcs!G217/1000,0)</f>
        <v>0</v>
      </c>
      <c r="R217" s="10">
        <f>IF(AND('PV IN'!$D$35="YES",$C217&lt;='PV IN'!$E$35*12),-'PV IN'!$E$18*'PV IN'!$E$34/12,0)</f>
        <v>0</v>
      </c>
      <c r="S217" s="10">
        <f>IF(AND('PV IN'!$D$37="YES",$C217&lt;='PV IN'!$E$37*12),-'PV IN'!$E$18*'PV IN'!$E$36/12,0)</f>
        <v>0</v>
      </c>
      <c r="U217" s="2">
        <f t="shared" si="64"/>
        <v>11034.873153994507</v>
      </c>
      <c r="V217" s="10">
        <f>PVLoan!M244</f>
        <v>0</v>
      </c>
      <c r="W217" s="2">
        <f>IF(C217='PV IN'!$I$40,IF('PV IN'!$G$40="Non-Taxable",'PV IN'!$F$40,0),0)+IF(C217='PV IN'!$I$41,IF('PV IN'!$G$41="Non-Taxable",'PV IN'!$F$41,0),0)</f>
        <v>0</v>
      </c>
      <c r="X217" s="10"/>
      <c r="Y217" s="10">
        <f>IF('PV IN'!$E$15="Non-Taxable",SUM(N217:P217),0)</f>
        <v>0</v>
      </c>
      <c r="Z217" s="10">
        <f>IF('PV IN'!$E$15="Taxable",SUM(N217:P217),0)</f>
        <v>0</v>
      </c>
      <c r="AA217" s="2">
        <f>IF(C217='PV IN'!$I$40,IF('PV IN'!$G$40="Taxable",'PV IN'!$F$40,0),0)+IF(C217='PV IN'!$I$41,IF('PV IN'!$G$41="Taxable",'PV IN'!$F$41,0),0)</f>
        <v>0</v>
      </c>
      <c r="AD217" s="10">
        <f>IF('PV IN'!$D$48="YES",-U217*'PV IN'!$E$8,0)</f>
        <v>0</v>
      </c>
      <c r="AE217" s="10">
        <f>IF('PV IN'!$N$10="Yes",-PVLoan!H245,-PVLoan!L245)</f>
        <v>0</v>
      </c>
      <c r="AF217" s="10">
        <f>IF('PV IN'!$N$10="Yes",-PVLoan!F245,0)</f>
        <v>0</v>
      </c>
      <c r="AG217" s="10">
        <f>IF(AND('PV IN'!$D$35="YES",$C217&lt;='PV IN'!$E$35*12),0,-'PV IN'!$E$18*'PV IN'!$E$34/12)</f>
        <v>-750</v>
      </c>
      <c r="AH217" s="10">
        <f>IF(AND('PV IN'!$D$37="YES",$C217&lt;='PV IN'!$E$37*12),0,-'PV IN'!$E$18*'PV IN'!$E$36/12)</f>
        <v>-625</v>
      </c>
      <c r="AI217" s="2">
        <f>IF(AND('PV IN'!$D$33="YES",PVCalcs!C217=ROUNDUP('PV IN'!$H$33*12,)),-'PV IN'!$E$33*'PV IN'!$E$18,0)</f>
        <v>0</v>
      </c>
      <c r="AK217" s="2">
        <f t="shared" si="49"/>
        <v>11034.873153994507</v>
      </c>
      <c r="AL217" s="2">
        <f t="shared" si="50"/>
        <v>-1375</v>
      </c>
      <c r="AM217" s="2">
        <f t="shared" si="54"/>
        <v>9659.8731539945074</v>
      </c>
      <c r="AN217" s="43"/>
      <c r="AO217" s="2">
        <f t="shared" si="51"/>
        <v>0</v>
      </c>
      <c r="AP217" s="2">
        <f t="shared" si="55"/>
        <v>-1375</v>
      </c>
      <c r="AR217" s="2">
        <f t="shared" si="56"/>
        <v>-1375</v>
      </c>
      <c r="AS217" s="2">
        <f>-AR217*'PV IN'!$E$8</f>
        <v>288.75</v>
      </c>
      <c r="AT217" s="2">
        <f>IF('PV IN'!$F$4="Battery Only",0,AM217+AS217)</f>
        <v>9948.6231539945074</v>
      </c>
      <c r="AV217" s="10">
        <f t="shared" si="57"/>
        <v>1104706.8604400225</v>
      </c>
      <c r="AW217" s="2">
        <f>AT217/(1+('PV IN'!$G$9))^(C217)</f>
        <v>4184.5900874566778</v>
      </c>
      <c r="AX217" s="2">
        <f>IF(C217&lt;='PV IN'!$O$22*12,AW217+AX216,NA())</f>
        <v>326325.40334126458</v>
      </c>
      <c r="AZ217" s="10">
        <f t="shared" si="52"/>
        <v>-1375</v>
      </c>
      <c r="BA217" s="10">
        <f t="shared" si="53"/>
        <v>0</v>
      </c>
      <c r="BB217" s="10">
        <f t="shared" si="58"/>
        <v>-1375</v>
      </c>
      <c r="BC217" s="10">
        <f t="shared" si="59"/>
        <v>0</v>
      </c>
      <c r="BD217" s="10">
        <f t="shared" si="60"/>
        <v>-1375</v>
      </c>
      <c r="BE217" s="2">
        <f t="shared" si="61"/>
        <v>0</v>
      </c>
      <c r="BF217" s="10">
        <f t="shared" si="62"/>
        <v>-1375</v>
      </c>
      <c r="BG217" s="2">
        <f>-BF217*'PV IN'!$E$8</f>
        <v>288.75</v>
      </c>
      <c r="BH217" s="2">
        <f>IF('PV IN'!$F$4="Battery Only",0,BB217+BG217)</f>
        <v>-1086.25</v>
      </c>
      <c r="BI217" s="2">
        <f>BH217/(1+('PV IN'!$G$9))^(C217)</f>
        <v>-456.89849863040922</v>
      </c>
    </row>
    <row r="218" spans="2:61" x14ac:dyDescent="0.25">
      <c r="C218">
        <v>214</v>
      </c>
      <c r="D218" s="16">
        <f>D217*(1+('PV IN'!$G$6/12))</f>
        <v>7.5999999999999998E-2</v>
      </c>
      <c r="E218" s="16">
        <f>LkUP!$U$38</f>
        <v>8.3348590054429766E-2</v>
      </c>
      <c r="F218" s="16">
        <f>IF('PV IN'!$D$7="Table",E218,D218)</f>
        <v>8.3348590054429766E-2</v>
      </c>
      <c r="G218" s="33">
        <f>('PV IN'!$E$25*'PV IN'!$E$18/12)*(1-(1-'PV IN'!$E$27)/(25*12))^C217</f>
        <v>132305.97619816315</v>
      </c>
      <c r="H218" s="33">
        <f>IF('PV IN'!$D$19="YES",G218*'PV IN'!$E$21,0)</f>
        <v>0</v>
      </c>
      <c r="I218" s="33">
        <f>IF('PV IN'!$D$19="YES",'PV IN'!$E$22*BattCalcs!W218,0)</f>
        <v>0</v>
      </c>
      <c r="J218" s="33">
        <f>IF('PV IN'!$D$19="YES",'PV IN'!$E$23*BattCalcs!Y218,0)</f>
        <v>0</v>
      </c>
      <c r="K218" s="33">
        <f>BattCalcs!AF218</f>
        <v>25811.765833333331</v>
      </c>
      <c r="L218" s="33">
        <f t="shared" si="63"/>
        <v>25811.765833333331</v>
      </c>
      <c r="M218" s="33">
        <f>IF('PV IN'!$F$4="PV Only",G218,G218-SUM(H218:J218,L218))</f>
        <v>132305.97619816315</v>
      </c>
      <c r="N218" s="2">
        <f>IF(C218&lt;='PV IN'!$I$12*12,'PV IN'!$E$12*G218/1000,0)</f>
        <v>0</v>
      </c>
      <c r="O218" s="2">
        <f>IF(AND(C218&gt;'PV IN'!$I$12*12,C218&lt;='PV IN'!$I$13*12+'PV IN'!$I$12*12),'PV IN'!$E$13*PVCalcs!G218/1000,0)</f>
        <v>0</v>
      </c>
      <c r="P218" s="2">
        <f>IF(AND(C218&gt;'PV IN'!$I$12*12+'PV IN'!$I$13*12,C218&lt;='PV IN'!$I$12*12+'PV IN'!$I$13*12+'PV IN'!$I$14*12),'PV IN'!$E$14*PVCalcs!G218/1000,0)</f>
        <v>0</v>
      </c>
      <c r="R218" s="10">
        <f>IF(AND('PV IN'!$D$35="YES",$C218&lt;='PV IN'!$E$35*12),-'PV IN'!$E$18*'PV IN'!$E$34/12,0)</f>
        <v>0</v>
      </c>
      <c r="S218" s="10">
        <f>IF(AND('PV IN'!$D$37="YES",$C218&lt;='PV IN'!$E$37*12),-'PV IN'!$E$18*'PV IN'!$E$36/12,0)</f>
        <v>0</v>
      </c>
      <c r="U218" s="2">
        <f t="shared" si="64"/>
        <v>11027.516571891842</v>
      </c>
      <c r="V218" s="10">
        <f>PVLoan!M245</f>
        <v>0</v>
      </c>
      <c r="W218" s="2">
        <f>IF(C218='PV IN'!$I$40,IF('PV IN'!$G$40="Non-Taxable",'PV IN'!$F$40,0),0)+IF(C218='PV IN'!$I$41,IF('PV IN'!$G$41="Non-Taxable",'PV IN'!$F$41,0),0)</f>
        <v>0</v>
      </c>
      <c r="X218" s="10"/>
      <c r="Y218" s="10">
        <f>IF('PV IN'!$E$15="Non-Taxable",SUM(N218:P218),0)</f>
        <v>0</v>
      </c>
      <c r="Z218" s="10">
        <f>IF('PV IN'!$E$15="Taxable",SUM(N218:P218),0)</f>
        <v>0</v>
      </c>
      <c r="AA218" s="2">
        <f>IF(C218='PV IN'!$I$40,IF('PV IN'!$G$40="Taxable",'PV IN'!$F$40,0),0)+IF(C218='PV IN'!$I$41,IF('PV IN'!$G$41="Taxable",'PV IN'!$F$41,0),0)</f>
        <v>0</v>
      </c>
      <c r="AD218" s="10">
        <f>IF('PV IN'!$D$48="YES",-U218*'PV IN'!$E$8,0)</f>
        <v>0</v>
      </c>
      <c r="AE218" s="10">
        <f>IF('PV IN'!$N$10="Yes",-PVLoan!H246,-PVLoan!L246)</f>
        <v>0</v>
      </c>
      <c r="AF218" s="10">
        <f>IF('PV IN'!$N$10="Yes",-PVLoan!F246,0)</f>
        <v>0</v>
      </c>
      <c r="AG218" s="10">
        <f>IF(AND('PV IN'!$D$35="YES",$C218&lt;='PV IN'!$E$35*12),0,-'PV IN'!$E$18*'PV IN'!$E$34/12)</f>
        <v>-750</v>
      </c>
      <c r="AH218" s="10">
        <f>IF(AND('PV IN'!$D$37="YES",$C218&lt;='PV IN'!$E$37*12),0,-'PV IN'!$E$18*'PV IN'!$E$36/12)</f>
        <v>-625</v>
      </c>
      <c r="AI218" s="2">
        <f>IF(AND('PV IN'!$D$33="YES",PVCalcs!C218=ROUNDUP('PV IN'!$H$33*12,)),-'PV IN'!$E$33*'PV IN'!$E$18,0)</f>
        <v>0</v>
      </c>
      <c r="AK218" s="2">
        <f t="shared" si="49"/>
        <v>11027.516571891842</v>
      </c>
      <c r="AL218" s="2">
        <f t="shared" si="50"/>
        <v>-1375</v>
      </c>
      <c r="AM218" s="2">
        <f t="shared" si="54"/>
        <v>9652.5165718918415</v>
      </c>
      <c r="AN218" s="43"/>
      <c r="AO218" s="2">
        <f t="shared" si="51"/>
        <v>0</v>
      </c>
      <c r="AP218" s="2">
        <f t="shared" si="55"/>
        <v>-1375</v>
      </c>
      <c r="AR218" s="2">
        <f t="shared" si="56"/>
        <v>-1375</v>
      </c>
      <c r="AS218" s="2">
        <f>-AR218*'PV IN'!$E$8</f>
        <v>288.75</v>
      </c>
      <c r="AT218" s="2">
        <f>IF('PV IN'!$F$4="Battery Only",0,AM218+AS218)</f>
        <v>9941.2665718918415</v>
      </c>
      <c r="AV218" s="10">
        <f t="shared" si="57"/>
        <v>1114648.1270119143</v>
      </c>
      <c r="AW218" s="2">
        <f>AT218/(1+('PV IN'!$G$9))^(C218)</f>
        <v>4164.528955268268</v>
      </c>
      <c r="AX218" s="2">
        <f>IF(C218&lt;='PV IN'!$O$22*12,AW218+AX217,NA())</f>
        <v>330489.93229653285</v>
      </c>
      <c r="AZ218" s="10">
        <f t="shared" si="52"/>
        <v>-1375</v>
      </c>
      <c r="BA218" s="10">
        <f t="shared" si="53"/>
        <v>0</v>
      </c>
      <c r="BB218" s="10">
        <f t="shared" si="58"/>
        <v>-1375</v>
      </c>
      <c r="BC218" s="10">
        <f t="shared" si="59"/>
        <v>0</v>
      </c>
      <c r="BD218" s="10">
        <f t="shared" si="60"/>
        <v>-1375</v>
      </c>
      <c r="BE218" s="2">
        <f t="shared" si="61"/>
        <v>0</v>
      </c>
      <c r="BF218" s="10">
        <f t="shared" si="62"/>
        <v>-1375</v>
      </c>
      <c r="BG218" s="2">
        <f>-BF218*'PV IN'!$E$8</f>
        <v>288.75</v>
      </c>
      <c r="BH218" s="2">
        <f>IF('PV IN'!$F$4="Battery Only",0,BB218+BG218)</f>
        <v>-1086.25</v>
      </c>
      <c r="BI218" s="2">
        <f>BH218/(1+('PV IN'!$G$9))^(C218)</f>
        <v>-455.04459064105794</v>
      </c>
    </row>
    <row r="219" spans="2:61" x14ac:dyDescent="0.25">
      <c r="C219">
        <v>215</v>
      </c>
      <c r="D219" s="16">
        <f>D218*(1+('PV IN'!$G$6/12))</f>
        <v>7.5999999999999998E-2</v>
      </c>
      <c r="E219" s="16">
        <f>LkUP!$U$38</f>
        <v>8.3348590054429766E-2</v>
      </c>
      <c r="F219" s="16">
        <f>IF('PV IN'!$D$7="Table",E219,D219)</f>
        <v>8.3348590054429766E-2</v>
      </c>
      <c r="G219" s="33">
        <f>('PV IN'!$E$25*'PV IN'!$E$18/12)*(1-(1-'PV IN'!$E$27)/(25*12))^C218</f>
        <v>132217.77221403102</v>
      </c>
      <c r="H219" s="33">
        <f>IF('PV IN'!$D$19="YES",G219*'PV IN'!$E$21,0)</f>
        <v>0</v>
      </c>
      <c r="I219" s="33">
        <f>IF('PV IN'!$D$19="YES",'PV IN'!$E$22*BattCalcs!W219,0)</f>
        <v>0</v>
      </c>
      <c r="J219" s="33">
        <f>IF('PV IN'!$D$19="YES",'PV IN'!$E$23*BattCalcs!Y219,0)</f>
        <v>0</v>
      </c>
      <c r="K219" s="33">
        <f>BattCalcs!AF219</f>
        <v>25811.765833333331</v>
      </c>
      <c r="L219" s="33">
        <f t="shared" si="63"/>
        <v>25811.765833333331</v>
      </c>
      <c r="M219" s="33">
        <f>IF('PV IN'!$F$4="PV Only",G219,G219-SUM(H219:J219,L219))</f>
        <v>132217.77221403102</v>
      </c>
      <c r="N219" s="2">
        <f>IF(C219&lt;='PV IN'!$I$12*12,'PV IN'!$E$12*G219/1000,0)</f>
        <v>0</v>
      </c>
      <c r="O219" s="2">
        <f>IF(AND(C219&gt;'PV IN'!$I$12*12,C219&lt;='PV IN'!$I$13*12+'PV IN'!$I$12*12),'PV IN'!$E$13*PVCalcs!G219/1000,0)</f>
        <v>0</v>
      </c>
      <c r="P219" s="2">
        <f>IF(AND(C219&gt;'PV IN'!$I$12*12+'PV IN'!$I$13*12,C219&lt;='PV IN'!$I$12*12+'PV IN'!$I$13*12+'PV IN'!$I$14*12),'PV IN'!$E$14*PVCalcs!G219/1000,0)</f>
        <v>0</v>
      </c>
      <c r="R219" s="10">
        <f>IF(AND('PV IN'!$D$35="YES",$C219&lt;='PV IN'!$E$35*12),-'PV IN'!$E$18*'PV IN'!$E$34/12,0)</f>
        <v>0</v>
      </c>
      <c r="S219" s="10">
        <f>IF(AND('PV IN'!$D$37="YES",$C219&lt;='PV IN'!$E$37*12),-'PV IN'!$E$18*'PV IN'!$E$36/12,0)</f>
        <v>0</v>
      </c>
      <c r="U219" s="2">
        <f t="shared" si="64"/>
        <v>11020.164894177246</v>
      </c>
      <c r="V219" s="10">
        <f>PVLoan!M246</f>
        <v>0</v>
      </c>
      <c r="W219" s="2">
        <f>IF(C219='PV IN'!$I$40,IF('PV IN'!$G$40="Non-Taxable",'PV IN'!$F$40,0),0)+IF(C219='PV IN'!$I$41,IF('PV IN'!$G$41="Non-Taxable",'PV IN'!$F$41,0),0)</f>
        <v>0</v>
      </c>
      <c r="X219" s="10"/>
      <c r="Y219" s="10">
        <f>IF('PV IN'!$E$15="Non-Taxable",SUM(N219:P219),0)</f>
        <v>0</v>
      </c>
      <c r="Z219" s="10">
        <f>IF('PV IN'!$E$15="Taxable",SUM(N219:P219),0)</f>
        <v>0</v>
      </c>
      <c r="AA219" s="2">
        <f>IF(C219='PV IN'!$I$40,IF('PV IN'!$G$40="Taxable",'PV IN'!$F$40,0),0)+IF(C219='PV IN'!$I$41,IF('PV IN'!$G$41="Taxable",'PV IN'!$F$41,0),0)</f>
        <v>0</v>
      </c>
      <c r="AD219" s="10">
        <f>IF('PV IN'!$D$48="YES",-U219*'PV IN'!$E$8,0)</f>
        <v>0</v>
      </c>
      <c r="AE219" s="10">
        <f>IF('PV IN'!$N$10="Yes",-PVLoan!H247,-PVLoan!L247)</f>
        <v>0</v>
      </c>
      <c r="AF219" s="10">
        <f>IF('PV IN'!$N$10="Yes",-PVLoan!F247,0)</f>
        <v>0</v>
      </c>
      <c r="AG219" s="10">
        <f>IF(AND('PV IN'!$D$35="YES",$C219&lt;='PV IN'!$E$35*12),0,-'PV IN'!$E$18*'PV IN'!$E$34/12)</f>
        <v>-750</v>
      </c>
      <c r="AH219" s="10">
        <f>IF(AND('PV IN'!$D$37="YES",$C219&lt;='PV IN'!$E$37*12),0,-'PV IN'!$E$18*'PV IN'!$E$36/12)</f>
        <v>-625</v>
      </c>
      <c r="AI219" s="2">
        <f>IF(AND('PV IN'!$D$33="YES",PVCalcs!C219=ROUNDUP('PV IN'!$H$33*12,)),-'PV IN'!$E$33*'PV IN'!$E$18,0)</f>
        <v>0</v>
      </c>
      <c r="AK219" s="2">
        <f t="shared" si="49"/>
        <v>11020.164894177246</v>
      </c>
      <c r="AL219" s="2">
        <f t="shared" si="50"/>
        <v>-1375</v>
      </c>
      <c r="AM219" s="2">
        <f t="shared" si="54"/>
        <v>9645.1648941772455</v>
      </c>
      <c r="AN219" s="43"/>
      <c r="AO219" s="2">
        <f t="shared" si="51"/>
        <v>0</v>
      </c>
      <c r="AP219" s="2">
        <f t="shared" si="55"/>
        <v>-1375</v>
      </c>
      <c r="AR219" s="2">
        <f t="shared" si="56"/>
        <v>-1375</v>
      </c>
      <c r="AS219" s="2">
        <f>-AR219*'PV IN'!$E$8</f>
        <v>288.75</v>
      </c>
      <c r="AT219" s="2">
        <f>IF('PV IN'!$F$4="Battery Only",0,AM219+AS219)</f>
        <v>9933.9148941772455</v>
      </c>
      <c r="AV219" s="10">
        <f t="shared" si="57"/>
        <v>1124582.0419060916</v>
      </c>
      <c r="AW219" s="2">
        <f>AT219/(1+('PV IN'!$G$9))^(C219)</f>
        <v>4144.5637737276038</v>
      </c>
      <c r="AX219" s="2">
        <f>IF(C219&lt;='PV IN'!$O$22*12,AW219+AX218,NA())</f>
        <v>334634.49607026047</v>
      </c>
      <c r="AZ219" s="10">
        <f t="shared" si="52"/>
        <v>-1375</v>
      </c>
      <c r="BA219" s="10">
        <f t="shared" si="53"/>
        <v>0</v>
      </c>
      <c r="BB219" s="10">
        <f t="shared" si="58"/>
        <v>-1375</v>
      </c>
      <c r="BC219" s="10">
        <f t="shared" si="59"/>
        <v>0</v>
      </c>
      <c r="BD219" s="10">
        <f t="shared" si="60"/>
        <v>-1375</v>
      </c>
      <c r="BE219" s="2">
        <f t="shared" si="61"/>
        <v>0</v>
      </c>
      <c r="BF219" s="10">
        <f t="shared" si="62"/>
        <v>-1375</v>
      </c>
      <c r="BG219" s="2">
        <f>-BF219*'PV IN'!$E$8</f>
        <v>288.75</v>
      </c>
      <c r="BH219" s="2">
        <f>IF('PV IN'!$F$4="Battery Only",0,BB219+BG219)</f>
        <v>-1086.25</v>
      </c>
      <c r="BI219" s="2">
        <f>BH219/(1+('PV IN'!$G$9))^(C219)</f>
        <v>-453.19820505513604</v>
      </c>
    </row>
    <row r="220" spans="2:61" x14ac:dyDescent="0.25">
      <c r="B220">
        <v>18</v>
      </c>
      <c r="C220">
        <v>216</v>
      </c>
      <c r="D220" s="16">
        <f>D219*(1+('PV IN'!$G$6/12))</f>
        <v>7.5999999999999998E-2</v>
      </c>
      <c r="E220" s="16">
        <f>LkUP!$U$38</f>
        <v>8.3348590054429766E-2</v>
      </c>
      <c r="F220" s="16">
        <f>IF('PV IN'!$D$7="Table",E220,D220)</f>
        <v>8.3348590054429766E-2</v>
      </c>
      <c r="G220" s="33">
        <f>('PV IN'!$E$25*'PV IN'!$E$18/12)*(1-(1-'PV IN'!$E$27)/(25*12))^C219</f>
        <v>132129.627032555</v>
      </c>
      <c r="H220" s="33">
        <f>IF('PV IN'!$D$19="YES",G220*'PV IN'!$E$21,0)</f>
        <v>0</v>
      </c>
      <c r="I220" s="33">
        <f>IF('PV IN'!$D$19="YES",'PV IN'!$E$22*BattCalcs!W220,0)</f>
        <v>0</v>
      </c>
      <c r="J220" s="33">
        <f>IF('PV IN'!$D$19="YES",'PV IN'!$E$23*BattCalcs!Y220,0)</f>
        <v>0</v>
      </c>
      <c r="K220" s="33">
        <f>BattCalcs!AF220</f>
        <v>25811.765833333331</v>
      </c>
      <c r="L220" s="33">
        <f t="shared" si="63"/>
        <v>25811.765833333331</v>
      </c>
      <c r="M220" s="33">
        <f>IF('PV IN'!$F$4="PV Only",G220,G220-SUM(H220:J220,L220))</f>
        <v>132129.627032555</v>
      </c>
      <c r="N220" s="2">
        <f>IF(C220&lt;='PV IN'!$I$12*12,'PV IN'!$E$12*G220/1000,0)</f>
        <v>0</v>
      </c>
      <c r="O220" s="2">
        <f>IF(AND(C220&gt;'PV IN'!$I$12*12,C220&lt;='PV IN'!$I$13*12+'PV IN'!$I$12*12),'PV IN'!$E$13*PVCalcs!G220/1000,0)</f>
        <v>0</v>
      </c>
      <c r="P220" s="2">
        <f>IF(AND(C220&gt;'PV IN'!$I$12*12+'PV IN'!$I$13*12,C220&lt;='PV IN'!$I$12*12+'PV IN'!$I$13*12+'PV IN'!$I$14*12),'PV IN'!$E$14*PVCalcs!G220/1000,0)</f>
        <v>0</v>
      </c>
      <c r="R220" s="10">
        <f>IF(AND('PV IN'!$D$35="YES",$C220&lt;='PV IN'!$E$35*12),-'PV IN'!$E$18*'PV IN'!$E$34/12,0)</f>
        <v>0</v>
      </c>
      <c r="S220" s="10">
        <f>IF(AND('PV IN'!$D$37="YES",$C220&lt;='PV IN'!$E$37*12),-'PV IN'!$E$18*'PV IN'!$E$36/12,0)</f>
        <v>0</v>
      </c>
      <c r="U220" s="2">
        <f t="shared" si="64"/>
        <v>11012.818117581128</v>
      </c>
      <c r="V220" s="10">
        <f>PVLoan!M247</f>
        <v>0</v>
      </c>
      <c r="W220" s="2">
        <f>IF(C220='PV IN'!$I$40,IF('PV IN'!$G$40="Non-Taxable",'PV IN'!$F$40,0),0)+IF(C220='PV IN'!$I$41,IF('PV IN'!$G$41="Non-Taxable",'PV IN'!$F$41,0),0)</f>
        <v>0</v>
      </c>
      <c r="X220" s="10"/>
      <c r="Y220" s="10">
        <f>IF('PV IN'!$E$15="Non-Taxable",SUM(N220:P220),0)</f>
        <v>0</v>
      </c>
      <c r="Z220" s="10">
        <f>IF('PV IN'!$E$15="Taxable",SUM(N220:P220),0)</f>
        <v>0</v>
      </c>
      <c r="AA220" s="2">
        <f>IF(C220='PV IN'!$I$40,IF('PV IN'!$G$40="Taxable",'PV IN'!$F$40,0),0)+IF(C220='PV IN'!$I$41,IF('PV IN'!$G$41="Taxable",'PV IN'!$F$41,0),0)</f>
        <v>0</v>
      </c>
      <c r="AD220" s="10">
        <f>IF('PV IN'!$D$48="YES",-U220*'PV IN'!$E$8,0)</f>
        <v>0</v>
      </c>
      <c r="AE220" s="10">
        <f>IF('PV IN'!$N$10="Yes",-PVLoan!H248,-PVLoan!L248)</f>
        <v>0</v>
      </c>
      <c r="AF220" s="10">
        <f>IF('PV IN'!$N$10="Yes",-PVLoan!F248,0)</f>
        <v>0</v>
      </c>
      <c r="AG220" s="10">
        <f>IF(AND('PV IN'!$D$35="YES",$C220&lt;='PV IN'!$E$35*12),0,-'PV IN'!$E$18*'PV IN'!$E$34/12)</f>
        <v>-750</v>
      </c>
      <c r="AH220" s="10">
        <f>IF(AND('PV IN'!$D$37="YES",$C220&lt;='PV IN'!$E$37*12),0,-'PV IN'!$E$18*'PV IN'!$E$36/12)</f>
        <v>-625</v>
      </c>
      <c r="AI220" s="2">
        <f>IF(AND('PV IN'!$D$33="YES",PVCalcs!C220=ROUNDUP('PV IN'!$H$33*12,)),-'PV IN'!$E$33*'PV IN'!$E$18,0)</f>
        <v>0</v>
      </c>
      <c r="AK220" s="2">
        <f t="shared" si="49"/>
        <v>11012.818117581128</v>
      </c>
      <c r="AL220" s="2">
        <f t="shared" si="50"/>
        <v>-1375</v>
      </c>
      <c r="AM220" s="2">
        <f t="shared" si="54"/>
        <v>9637.8181175811278</v>
      </c>
      <c r="AN220" s="43"/>
      <c r="AO220" s="2">
        <f t="shared" si="51"/>
        <v>0</v>
      </c>
      <c r="AP220" s="2">
        <f t="shared" si="55"/>
        <v>-1375</v>
      </c>
      <c r="AR220" s="2">
        <f t="shared" si="56"/>
        <v>-1375</v>
      </c>
      <c r="AS220" s="2">
        <f>-AR220*'PV IN'!$E$8</f>
        <v>288.75</v>
      </c>
      <c r="AT220" s="2">
        <f>IF('PV IN'!$F$4="Battery Only",0,AM220+AS220)</f>
        <v>9926.5681175811278</v>
      </c>
      <c r="AV220" s="10">
        <f t="shared" si="57"/>
        <v>1134508.6100236727</v>
      </c>
      <c r="AW220" s="2">
        <f>AT220/(1+('PV IN'!$G$9))^(C220)</f>
        <v>4124.6940848039085</v>
      </c>
      <c r="AX220" s="2">
        <f>IF(C220&lt;='PV IN'!$O$22*12,AW220+AX219,NA())</f>
        <v>338759.1901550644</v>
      </c>
      <c r="AZ220" s="10">
        <f t="shared" si="52"/>
        <v>-1375</v>
      </c>
      <c r="BA220" s="10">
        <f t="shared" si="53"/>
        <v>0</v>
      </c>
      <c r="BB220" s="10">
        <f t="shared" si="58"/>
        <v>-1375</v>
      </c>
      <c r="BC220" s="10">
        <f t="shared" si="59"/>
        <v>0</v>
      </c>
      <c r="BD220" s="10">
        <f t="shared" si="60"/>
        <v>-1375</v>
      </c>
      <c r="BE220" s="2">
        <f t="shared" si="61"/>
        <v>0</v>
      </c>
      <c r="BF220" s="10">
        <f t="shared" si="62"/>
        <v>-1375</v>
      </c>
      <c r="BG220" s="2">
        <f>-BF220*'PV IN'!$E$8</f>
        <v>288.75</v>
      </c>
      <c r="BH220" s="2">
        <f>IF('PV IN'!$F$4="Battery Only",0,BB220+BG220)</f>
        <v>-1086.25</v>
      </c>
      <c r="BI220" s="2">
        <f>BH220/(1+('PV IN'!$G$9))^(C220)</f>
        <v>-451.35931134979467</v>
      </c>
    </row>
    <row r="221" spans="2:61" x14ac:dyDescent="0.25">
      <c r="C221">
        <v>217</v>
      </c>
      <c r="D221" s="16">
        <f>D220*(1+('PV IN'!$G$6/12))</f>
        <v>7.5999999999999998E-2</v>
      </c>
      <c r="E221" s="16">
        <f>LkUP!$U$39</f>
        <v>8.3619617987009537E-2</v>
      </c>
      <c r="F221" s="16">
        <f>IF('PV IN'!$D$7="Table",E221,D221)</f>
        <v>8.3619617987009537E-2</v>
      </c>
      <c r="G221" s="33">
        <f>('PV IN'!$E$25*'PV IN'!$E$18/12)*(1-(1-'PV IN'!$E$27)/(25*12))^C220</f>
        <v>132041.5406145333</v>
      </c>
      <c r="H221" s="33">
        <f>IF('PV IN'!$D$19="YES",G221*'PV IN'!$E$21,0)</f>
        <v>0</v>
      </c>
      <c r="I221" s="33">
        <f>IF('PV IN'!$D$19="YES",'PV IN'!$E$22*BattCalcs!W221,0)</f>
        <v>0</v>
      </c>
      <c r="J221" s="33">
        <f>IF('PV IN'!$D$19="YES",'PV IN'!$E$23*BattCalcs!Y221,0)</f>
        <v>0</v>
      </c>
      <c r="K221" s="33">
        <f>BattCalcs!AF221</f>
        <v>25811.765833333331</v>
      </c>
      <c r="L221" s="33">
        <f t="shared" si="63"/>
        <v>25811.765833333331</v>
      </c>
      <c r="M221" s="33">
        <f>IF('PV IN'!$F$4="PV Only",G221,G221-SUM(H221:J221,L221))</f>
        <v>132041.5406145333</v>
      </c>
      <c r="N221" s="2">
        <f>IF(C221&lt;='PV IN'!$I$12*12,'PV IN'!$E$12*G221/1000,0)</f>
        <v>0</v>
      </c>
      <c r="O221" s="2">
        <f>IF(AND(C221&gt;'PV IN'!$I$12*12,C221&lt;='PV IN'!$I$13*12+'PV IN'!$I$12*12),'PV IN'!$E$13*PVCalcs!G221/1000,0)</f>
        <v>0</v>
      </c>
      <c r="P221" s="2">
        <f>IF(AND(C221&gt;'PV IN'!$I$12*12+'PV IN'!$I$13*12,C221&lt;='PV IN'!$I$12*12+'PV IN'!$I$13*12+'PV IN'!$I$14*12),'PV IN'!$E$14*PVCalcs!G221/1000,0)</f>
        <v>0</v>
      </c>
      <c r="R221" s="10">
        <f>IF(AND('PV IN'!$D$35="YES",$C221&lt;='PV IN'!$E$35*12),-'PV IN'!$E$18*'PV IN'!$E$34/12,0)</f>
        <v>0</v>
      </c>
      <c r="S221" s="10">
        <f>IF(AND('PV IN'!$D$37="YES",$C221&lt;='PV IN'!$E$37*12),-'PV IN'!$E$18*'PV IN'!$E$36/12,0)</f>
        <v>0</v>
      </c>
      <c r="U221" s="2">
        <f t="shared" si="64"/>
        <v>11041.263184603478</v>
      </c>
      <c r="V221" s="10">
        <f>PVLoan!M248</f>
        <v>0</v>
      </c>
      <c r="W221" s="2">
        <f>IF(C221='PV IN'!$I$40,IF('PV IN'!$G$40="Non-Taxable",'PV IN'!$F$40,0),0)+IF(C221='PV IN'!$I$41,IF('PV IN'!$G$41="Non-Taxable",'PV IN'!$F$41,0),0)</f>
        <v>0</v>
      </c>
      <c r="X221" s="10"/>
      <c r="Y221" s="10">
        <f>IF('PV IN'!$E$15="Non-Taxable",SUM(N221:P221),0)</f>
        <v>0</v>
      </c>
      <c r="Z221" s="10">
        <f>IF('PV IN'!$E$15="Taxable",SUM(N221:P221),0)</f>
        <v>0</v>
      </c>
      <c r="AA221" s="2">
        <f>IF(C221='PV IN'!$I$40,IF('PV IN'!$G$40="Taxable",'PV IN'!$F$40,0),0)+IF(C221='PV IN'!$I$41,IF('PV IN'!$G$41="Taxable",'PV IN'!$F$41,0),0)</f>
        <v>0</v>
      </c>
      <c r="AD221" s="10">
        <f>IF('PV IN'!$D$48="YES",-U221*'PV IN'!$E$8,0)</f>
        <v>0</v>
      </c>
      <c r="AE221" s="10">
        <f>IF('PV IN'!$N$10="Yes",-PVLoan!H249,-PVLoan!L249)</f>
        <v>0</v>
      </c>
      <c r="AF221" s="10">
        <f>IF('PV IN'!$N$10="Yes",-PVLoan!F249,0)</f>
        <v>0</v>
      </c>
      <c r="AG221" s="10">
        <f>IF(AND('PV IN'!$D$35="YES",$C221&lt;='PV IN'!$E$35*12),0,-'PV IN'!$E$18*'PV IN'!$E$34/12)</f>
        <v>-750</v>
      </c>
      <c r="AH221" s="10">
        <f>IF(AND('PV IN'!$D$37="YES",$C221&lt;='PV IN'!$E$37*12),0,-'PV IN'!$E$18*'PV IN'!$E$36/12)</f>
        <v>-625</v>
      </c>
      <c r="AI221" s="2">
        <f>IF(AND('PV IN'!$D$33="YES",PVCalcs!C221=ROUNDUP('PV IN'!$H$33*12,)),-'PV IN'!$E$33*'PV IN'!$E$18,0)</f>
        <v>0</v>
      </c>
      <c r="AK221" s="2">
        <f t="shared" si="49"/>
        <v>11041.263184603478</v>
      </c>
      <c r="AL221" s="2">
        <f t="shared" si="50"/>
        <v>-1375</v>
      </c>
      <c r="AM221" s="2">
        <f t="shared" si="54"/>
        <v>9666.2631846034783</v>
      </c>
      <c r="AN221" s="43"/>
      <c r="AO221" s="2">
        <f t="shared" si="51"/>
        <v>0</v>
      </c>
      <c r="AP221" s="2">
        <f t="shared" si="55"/>
        <v>-1375</v>
      </c>
      <c r="AR221" s="2">
        <f t="shared" si="56"/>
        <v>-1375</v>
      </c>
      <c r="AS221" s="2">
        <f>-AR221*'PV IN'!$E$8</f>
        <v>288.75</v>
      </c>
      <c r="AT221" s="2">
        <f>IF('PV IN'!$F$4="Battery Only",0,AM221+AS221)</f>
        <v>9955.0131846034783</v>
      </c>
      <c r="AV221" s="10">
        <f t="shared" si="57"/>
        <v>1144463.6232082762</v>
      </c>
      <c r="AW221" s="2">
        <f>AT221/(1+('PV IN'!$G$9))^(C221)</f>
        <v>4119.7293105146227</v>
      </c>
      <c r="AX221" s="2">
        <f>IF(C221&lt;='PV IN'!$O$22*12,AW221+AX220,NA())</f>
        <v>342878.91946557903</v>
      </c>
      <c r="AZ221" s="10">
        <f t="shared" si="52"/>
        <v>-1375</v>
      </c>
      <c r="BA221" s="10">
        <f t="shared" si="53"/>
        <v>0</v>
      </c>
      <c r="BB221" s="10">
        <f t="shared" si="58"/>
        <v>-1375</v>
      </c>
      <c r="BC221" s="10">
        <f t="shared" si="59"/>
        <v>0</v>
      </c>
      <c r="BD221" s="10">
        <f t="shared" si="60"/>
        <v>-1375</v>
      </c>
      <c r="BE221" s="2">
        <f t="shared" si="61"/>
        <v>0</v>
      </c>
      <c r="BF221" s="10">
        <f t="shared" si="62"/>
        <v>-1375</v>
      </c>
      <c r="BG221" s="2">
        <f>-BF221*'PV IN'!$E$8</f>
        <v>288.75</v>
      </c>
      <c r="BH221" s="2">
        <f>IF('PV IN'!$F$4="Battery Only",0,BB221+BG221)</f>
        <v>-1086.25</v>
      </c>
      <c r="BI221" s="2">
        <f>BH221/(1+('PV IN'!$G$9))^(C221)</f>
        <v>-449.52787912603418</v>
      </c>
    </row>
    <row r="222" spans="2:61" x14ac:dyDescent="0.25">
      <c r="C222">
        <v>218</v>
      </c>
      <c r="D222" s="16">
        <f>D221*(1+('PV IN'!$G$6/12))</f>
        <v>7.5999999999999998E-2</v>
      </c>
      <c r="E222" s="16">
        <f>LkUP!$U$39</f>
        <v>8.3619617987009537E-2</v>
      </c>
      <c r="F222" s="16">
        <f>IF('PV IN'!$D$7="Table",E222,D222)</f>
        <v>8.3619617987009537E-2</v>
      </c>
      <c r="G222" s="33">
        <f>('PV IN'!$E$25*'PV IN'!$E$18/12)*(1-(1-'PV IN'!$E$27)/(25*12))^C221</f>
        <v>131953.51292079026</v>
      </c>
      <c r="H222" s="33">
        <f>IF('PV IN'!$D$19="YES",G222*'PV IN'!$E$21,0)</f>
        <v>0</v>
      </c>
      <c r="I222" s="33">
        <f>IF('PV IN'!$D$19="YES",'PV IN'!$E$22*BattCalcs!W222,0)</f>
        <v>0</v>
      </c>
      <c r="J222" s="33">
        <f>IF('PV IN'!$D$19="YES",'PV IN'!$E$23*BattCalcs!Y222,0)</f>
        <v>0</v>
      </c>
      <c r="K222" s="33">
        <f>BattCalcs!AF222</f>
        <v>25811.765833333331</v>
      </c>
      <c r="L222" s="33">
        <f t="shared" si="63"/>
        <v>25811.765833333331</v>
      </c>
      <c r="M222" s="33">
        <f>IF('PV IN'!$F$4="PV Only",G222,G222-SUM(H222:J222,L222))</f>
        <v>131953.51292079026</v>
      </c>
      <c r="N222" s="2">
        <f>IF(C222&lt;='PV IN'!$I$12*12,'PV IN'!$E$12*G222/1000,0)</f>
        <v>0</v>
      </c>
      <c r="O222" s="2">
        <f>IF(AND(C222&gt;'PV IN'!$I$12*12,C222&lt;='PV IN'!$I$13*12+'PV IN'!$I$12*12),'PV IN'!$E$13*PVCalcs!G222/1000,0)</f>
        <v>0</v>
      </c>
      <c r="P222" s="2">
        <f>IF(AND(C222&gt;'PV IN'!$I$12*12+'PV IN'!$I$13*12,C222&lt;='PV IN'!$I$12*12+'PV IN'!$I$13*12+'PV IN'!$I$14*12),'PV IN'!$E$14*PVCalcs!G222/1000,0)</f>
        <v>0</v>
      </c>
      <c r="R222" s="10">
        <f>IF(AND('PV IN'!$D$35="YES",$C222&lt;='PV IN'!$E$35*12),-'PV IN'!$E$18*'PV IN'!$E$34/12,0)</f>
        <v>0</v>
      </c>
      <c r="S222" s="10">
        <f>IF(AND('PV IN'!$D$37="YES",$C222&lt;='PV IN'!$E$37*12),-'PV IN'!$E$18*'PV IN'!$E$36/12,0)</f>
        <v>0</v>
      </c>
      <c r="U222" s="2">
        <f t="shared" si="64"/>
        <v>11033.902342480409</v>
      </c>
      <c r="V222" s="10">
        <f>PVLoan!M249</f>
        <v>0</v>
      </c>
      <c r="W222" s="2">
        <f>IF(C222='PV IN'!$I$40,IF('PV IN'!$G$40="Non-Taxable",'PV IN'!$F$40,0),0)+IF(C222='PV IN'!$I$41,IF('PV IN'!$G$41="Non-Taxable",'PV IN'!$F$41,0),0)</f>
        <v>0</v>
      </c>
      <c r="X222" s="10"/>
      <c r="Y222" s="10">
        <f>IF('PV IN'!$E$15="Non-Taxable",SUM(N222:P222),0)</f>
        <v>0</v>
      </c>
      <c r="Z222" s="10">
        <f>IF('PV IN'!$E$15="Taxable",SUM(N222:P222),0)</f>
        <v>0</v>
      </c>
      <c r="AA222" s="2">
        <f>IF(C222='PV IN'!$I$40,IF('PV IN'!$G$40="Taxable",'PV IN'!$F$40,0),0)+IF(C222='PV IN'!$I$41,IF('PV IN'!$G$41="Taxable",'PV IN'!$F$41,0),0)</f>
        <v>0</v>
      </c>
      <c r="AD222" s="10">
        <f>IF('PV IN'!$D$48="YES",-U222*'PV IN'!$E$8,0)</f>
        <v>0</v>
      </c>
      <c r="AE222" s="10">
        <f>IF('PV IN'!$N$10="Yes",-PVLoan!H250,-PVLoan!L250)</f>
        <v>0</v>
      </c>
      <c r="AF222" s="10">
        <f>IF('PV IN'!$N$10="Yes",-PVLoan!F250,0)</f>
        <v>0</v>
      </c>
      <c r="AG222" s="10">
        <f>IF(AND('PV IN'!$D$35="YES",$C222&lt;='PV IN'!$E$35*12),0,-'PV IN'!$E$18*'PV IN'!$E$34/12)</f>
        <v>-750</v>
      </c>
      <c r="AH222" s="10">
        <f>IF(AND('PV IN'!$D$37="YES",$C222&lt;='PV IN'!$E$37*12),0,-'PV IN'!$E$18*'PV IN'!$E$36/12)</f>
        <v>-625</v>
      </c>
      <c r="AI222" s="2">
        <f>IF(AND('PV IN'!$D$33="YES",PVCalcs!C222=ROUNDUP('PV IN'!$H$33*12,)),-'PV IN'!$E$33*'PV IN'!$E$18,0)</f>
        <v>0</v>
      </c>
      <c r="AK222" s="2">
        <f t="shared" si="49"/>
        <v>11033.902342480409</v>
      </c>
      <c r="AL222" s="2">
        <f t="shared" si="50"/>
        <v>-1375</v>
      </c>
      <c r="AM222" s="2">
        <f t="shared" si="54"/>
        <v>9658.9023424804091</v>
      </c>
      <c r="AN222" s="43"/>
      <c r="AO222" s="2">
        <f t="shared" si="51"/>
        <v>0</v>
      </c>
      <c r="AP222" s="2">
        <f t="shared" si="55"/>
        <v>-1375</v>
      </c>
      <c r="AR222" s="2">
        <f t="shared" si="56"/>
        <v>-1375</v>
      </c>
      <c r="AS222" s="2">
        <f>-AR222*'PV IN'!$E$8</f>
        <v>288.75</v>
      </c>
      <c r="AT222" s="2">
        <f>IF('PV IN'!$F$4="Battery Only",0,AM222+AS222)</f>
        <v>9947.6523424804091</v>
      </c>
      <c r="AV222" s="10">
        <f t="shared" si="57"/>
        <v>1154411.2755507566</v>
      </c>
      <c r="AW222" s="2">
        <f>AT222/(1+('PV IN'!$G$9))^(C222)</f>
        <v>4099.9793158118473</v>
      </c>
      <c r="AX222" s="2">
        <f>IF(C222&lt;='PV IN'!$O$22*12,AW222+AX221,NA())</f>
        <v>346978.89878139086</v>
      </c>
      <c r="AZ222" s="10">
        <f t="shared" si="52"/>
        <v>-1375</v>
      </c>
      <c r="BA222" s="10">
        <f t="shared" si="53"/>
        <v>0</v>
      </c>
      <c r="BB222" s="10">
        <f t="shared" si="58"/>
        <v>-1375</v>
      </c>
      <c r="BC222" s="10">
        <f t="shared" si="59"/>
        <v>0</v>
      </c>
      <c r="BD222" s="10">
        <f t="shared" si="60"/>
        <v>-1375</v>
      </c>
      <c r="BE222" s="2">
        <f t="shared" si="61"/>
        <v>0</v>
      </c>
      <c r="BF222" s="10">
        <f t="shared" si="62"/>
        <v>-1375</v>
      </c>
      <c r="BG222" s="2">
        <f>-BF222*'PV IN'!$E$8</f>
        <v>288.75</v>
      </c>
      <c r="BH222" s="2">
        <f>IF('PV IN'!$F$4="Battery Only",0,BB222+BG222)</f>
        <v>-1086.25</v>
      </c>
      <c r="BI222" s="2">
        <f>BH222/(1+('PV IN'!$G$9))^(C222)</f>
        <v>-447.70387810820199</v>
      </c>
    </row>
    <row r="223" spans="2:61" x14ac:dyDescent="0.25">
      <c r="C223">
        <v>219</v>
      </c>
      <c r="D223" s="16">
        <f>D222*(1+('PV IN'!$G$6/12))</f>
        <v>7.5999999999999998E-2</v>
      </c>
      <c r="E223" s="16">
        <f>LkUP!$U$39</f>
        <v>8.3619617987009537E-2</v>
      </c>
      <c r="F223" s="16">
        <f>IF('PV IN'!$D$7="Table",E223,D223)</f>
        <v>8.3619617987009537E-2</v>
      </c>
      <c r="G223" s="33">
        <f>('PV IN'!$E$25*'PV IN'!$E$18/12)*(1-(1-'PV IN'!$E$27)/(25*12))^C222</f>
        <v>131865.54391217642</v>
      </c>
      <c r="H223" s="33">
        <f>IF('PV IN'!$D$19="YES",G223*'PV IN'!$E$21,0)</f>
        <v>0</v>
      </c>
      <c r="I223" s="33">
        <f>IF('PV IN'!$D$19="YES",'PV IN'!$E$22*BattCalcs!W223,0)</f>
        <v>0</v>
      </c>
      <c r="J223" s="33">
        <f>IF('PV IN'!$D$19="YES",'PV IN'!$E$23*BattCalcs!Y223,0)</f>
        <v>0</v>
      </c>
      <c r="K223" s="33">
        <f>BattCalcs!AF223</f>
        <v>25811.765833333331</v>
      </c>
      <c r="L223" s="33">
        <f t="shared" si="63"/>
        <v>25811.765833333331</v>
      </c>
      <c r="M223" s="33">
        <f>IF('PV IN'!$F$4="PV Only",G223,G223-SUM(H223:J223,L223))</f>
        <v>131865.54391217642</v>
      </c>
      <c r="N223" s="2">
        <f>IF(C223&lt;='PV IN'!$I$12*12,'PV IN'!$E$12*G223/1000,0)</f>
        <v>0</v>
      </c>
      <c r="O223" s="2">
        <f>IF(AND(C223&gt;'PV IN'!$I$12*12,C223&lt;='PV IN'!$I$13*12+'PV IN'!$I$12*12),'PV IN'!$E$13*PVCalcs!G223/1000,0)</f>
        <v>0</v>
      </c>
      <c r="P223" s="2">
        <f>IF(AND(C223&gt;'PV IN'!$I$12*12+'PV IN'!$I$13*12,C223&lt;='PV IN'!$I$12*12+'PV IN'!$I$13*12+'PV IN'!$I$14*12),'PV IN'!$E$14*PVCalcs!G223/1000,0)</f>
        <v>0</v>
      </c>
      <c r="R223" s="10">
        <f>IF(AND('PV IN'!$D$35="YES",$C223&lt;='PV IN'!$E$35*12),-'PV IN'!$E$18*'PV IN'!$E$34/12,0)</f>
        <v>0</v>
      </c>
      <c r="S223" s="10">
        <f>IF(AND('PV IN'!$D$37="YES",$C223&lt;='PV IN'!$E$37*12),-'PV IN'!$E$18*'PV IN'!$E$36/12,0)</f>
        <v>0</v>
      </c>
      <c r="U223" s="2">
        <f t="shared" si="64"/>
        <v>11026.546407585423</v>
      </c>
      <c r="V223" s="10">
        <f>PVLoan!M250</f>
        <v>0</v>
      </c>
      <c r="W223" s="2">
        <f>IF(C223='PV IN'!$I$40,IF('PV IN'!$G$40="Non-Taxable",'PV IN'!$F$40,0),0)+IF(C223='PV IN'!$I$41,IF('PV IN'!$G$41="Non-Taxable",'PV IN'!$F$41,0),0)</f>
        <v>0</v>
      </c>
      <c r="X223" s="10"/>
      <c r="Y223" s="10">
        <f>IF('PV IN'!$E$15="Non-Taxable",SUM(N223:P223),0)</f>
        <v>0</v>
      </c>
      <c r="Z223" s="10">
        <f>IF('PV IN'!$E$15="Taxable",SUM(N223:P223),0)</f>
        <v>0</v>
      </c>
      <c r="AA223" s="2">
        <f>IF(C223='PV IN'!$I$40,IF('PV IN'!$G$40="Taxable",'PV IN'!$F$40,0),0)+IF(C223='PV IN'!$I$41,IF('PV IN'!$G$41="Taxable",'PV IN'!$F$41,0),0)</f>
        <v>0</v>
      </c>
      <c r="AD223" s="10">
        <f>IF('PV IN'!$D$48="YES",-U223*'PV IN'!$E$8,0)</f>
        <v>0</v>
      </c>
      <c r="AE223" s="10">
        <f>IF('PV IN'!$N$10="Yes",-PVLoan!H251,-PVLoan!L251)</f>
        <v>0</v>
      </c>
      <c r="AF223" s="10">
        <f>IF('PV IN'!$N$10="Yes",-PVLoan!F251,0)</f>
        <v>0</v>
      </c>
      <c r="AG223" s="10">
        <f>IF(AND('PV IN'!$D$35="YES",$C223&lt;='PV IN'!$E$35*12),0,-'PV IN'!$E$18*'PV IN'!$E$34/12)</f>
        <v>-750</v>
      </c>
      <c r="AH223" s="10">
        <f>IF(AND('PV IN'!$D$37="YES",$C223&lt;='PV IN'!$E$37*12),0,-'PV IN'!$E$18*'PV IN'!$E$36/12)</f>
        <v>-625</v>
      </c>
      <c r="AI223" s="2">
        <f>IF(AND('PV IN'!$D$33="YES",PVCalcs!C223=ROUNDUP('PV IN'!$H$33*12,)),-'PV IN'!$E$33*'PV IN'!$E$18,0)</f>
        <v>0</v>
      </c>
      <c r="AK223" s="2">
        <f t="shared" si="49"/>
        <v>11026.546407585423</v>
      </c>
      <c r="AL223" s="2">
        <f t="shared" si="50"/>
        <v>-1375</v>
      </c>
      <c r="AM223" s="2">
        <f t="shared" si="54"/>
        <v>9651.5464075854234</v>
      </c>
      <c r="AN223" s="43"/>
      <c r="AO223" s="2">
        <f t="shared" si="51"/>
        <v>0</v>
      </c>
      <c r="AP223" s="2">
        <f t="shared" si="55"/>
        <v>-1375</v>
      </c>
      <c r="AR223" s="2">
        <f t="shared" si="56"/>
        <v>-1375</v>
      </c>
      <c r="AS223" s="2">
        <f>-AR223*'PV IN'!$E$8</f>
        <v>288.75</v>
      </c>
      <c r="AT223" s="2">
        <f>IF('PV IN'!$F$4="Battery Only",0,AM223+AS223)</f>
        <v>9940.2964075854234</v>
      </c>
      <c r="AV223" s="10">
        <f t="shared" si="57"/>
        <v>1164351.5719583421</v>
      </c>
      <c r="AW223" s="2">
        <f>AT223/(1+('PV IN'!$G$9))^(C223)</f>
        <v>4080.3237828472179</v>
      </c>
      <c r="AX223" s="2">
        <f>IF(C223&lt;='PV IN'!$O$22*12,AW223+AX222,NA())</f>
        <v>351059.22256423807</v>
      </c>
      <c r="AZ223" s="10">
        <f t="shared" si="52"/>
        <v>-1375</v>
      </c>
      <c r="BA223" s="10">
        <f t="shared" si="53"/>
        <v>0</v>
      </c>
      <c r="BB223" s="10">
        <f t="shared" si="58"/>
        <v>-1375</v>
      </c>
      <c r="BC223" s="10">
        <f t="shared" si="59"/>
        <v>0</v>
      </c>
      <c r="BD223" s="10">
        <f t="shared" si="60"/>
        <v>-1375</v>
      </c>
      <c r="BE223" s="2">
        <f t="shared" si="61"/>
        <v>0</v>
      </c>
      <c r="BF223" s="10">
        <f t="shared" si="62"/>
        <v>-1375</v>
      </c>
      <c r="BG223" s="2">
        <f>-BF223*'PV IN'!$E$8</f>
        <v>288.75</v>
      </c>
      <c r="BH223" s="2">
        <f>IF('PV IN'!$F$4="Battery Only",0,BB223+BG223)</f>
        <v>-1086.25</v>
      </c>
      <c r="BI223" s="2">
        <f>BH223/(1+('PV IN'!$G$9))^(C223)</f>
        <v>-445.88727814349141</v>
      </c>
    </row>
    <row r="224" spans="2:61" x14ac:dyDescent="0.25">
      <c r="C224">
        <v>220</v>
      </c>
      <c r="D224" s="16">
        <f>D223*(1+('PV IN'!$G$6/12))</f>
        <v>7.5999999999999998E-2</v>
      </c>
      <c r="E224" s="16">
        <f>LkUP!$U$39</f>
        <v>8.3619617987009537E-2</v>
      </c>
      <c r="F224" s="16">
        <f>IF('PV IN'!$D$7="Table",E224,D224)</f>
        <v>8.3619617987009537E-2</v>
      </c>
      <c r="G224" s="33">
        <f>('PV IN'!$E$25*'PV IN'!$E$18/12)*(1-(1-'PV IN'!$E$27)/(25*12))^C223</f>
        <v>131777.63354956827</v>
      </c>
      <c r="H224" s="33">
        <f>IF('PV IN'!$D$19="YES",G224*'PV IN'!$E$21,0)</f>
        <v>0</v>
      </c>
      <c r="I224" s="33">
        <f>IF('PV IN'!$D$19="YES",'PV IN'!$E$22*BattCalcs!W224,0)</f>
        <v>0</v>
      </c>
      <c r="J224" s="33">
        <f>IF('PV IN'!$D$19="YES",'PV IN'!$E$23*BattCalcs!Y224,0)</f>
        <v>0</v>
      </c>
      <c r="K224" s="33">
        <f>BattCalcs!AF224</f>
        <v>25811.765833333331</v>
      </c>
      <c r="L224" s="33">
        <f t="shared" si="63"/>
        <v>25811.765833333331</v>
      </c>
      <c r="M224" s="33">
        <f>IF('PV IN'!$F$4="PV Only",G224,G224-SUM(H224:J224,L224))</f>
        <v>131777.63354956827</v>
      </c>
      <c r="N224" s="2">
        <f>IF(C224&lt;='PV IN'!$I$12*12,'PV IN'!$E$12*G224/1000,0)</f>
        <v>0</v>
      </c>
      <c r="O224" s="2">
        <f>IF(AND(C224&gt;'PV IN'!$I$12*12,C224&lt;='PV IN'!$I$13*12+'PV IN'!$I$12*12),'PV IN'!$E$13*PVCalcs!G224/1000,0)</f>
        <v>0</v>
      </c>
      <c r="P224" s="2">
        <f>IF(AND(C224&gt;'PV IN'!$I$12*12+'PV IN'!$I$13*12,C224&lt;='PV IN'!$I$12*12+'PV IN'!$I$13*12+'PV IN'!$I$14*12),'PV IN'!$E$14*PVCalcs!G224/1000,0)</f>
        <v>0</v>
      </c>
      <c r="R224" s="10">
        <f>IF(AND('PV IN'!$D$35="YES",$C224&lt;='PV IN'!$E$35*12),-'PV IN'!$E$18*'PV IN'!$E$34/12,0)</f>
        <v>0</v>
      </c>
      <c r="S224" s="10">
        <f>IF(AND('PV IN'!$D$37="YES",$C224&lt;='PV IN'!$E$37*12),-'PV IN'!$E$18*'PV IN'!$E$36/12,0)</f>
        <v>0</v>
      </c>
      <c r="U224" s="2">
        <f t="shared" si="64"/>
        <v>11019.195376647031</v>
      </c>
      <c r="V224" s="10">
        <f>PVLoan!M251</f>
        <v>0</v>
      </c>
      <c r="W224" s="2">
        <f>IF(C224='PV IN'!$I$40,IF('PV IN'!$G$40="Non-Taxable",'PV IN'!$F$40,0),0)+IF(C224='PV IN'!$I$41,IF('PV IN'!$G$41="Non-Taxable",'PV IN'!$F$41,0),0)</f>
        <v>0</v>
      </c>
      <c r="X224" s="10"/>
      <c r="Y224" s="10">
        <f>IF('PV IN'!$E$15="Non-Taxable",SUM(N224:P224),0)</f>
        <v>0</v>
      </c>
      <c r="Z224" s="10">
        <f>IF('PV IN'!$E$15="Taxable",SUM(N224:P224),0)</f>
        <v>0</v>
      </c>
      <c r="AA224" s="2">
        <f>IF(C224='PV IN'!$I$40,IF('PV IN'!$G$40="Taxable",'PV IN'!$F$40,0),0)+IF(C224='PV IN'!$I$41,IF('PV IN'!$G$41="Taxable",'PV IN'!$F$41,0),0)</f>
        <v>0</v>
      </c>
      <c r="AD224" s="10">
        <f>IF('PV IN'!$D$48="YES",-U224*'PV IN'!$E$8,0)</f>
        <v>0</v>
      </c>
      <c r="AE224" s="10">
        <f>IF('PV IN'!$N$10="Yes",-PVLoan!H252,-PVLoan!L252)</f>
        <v>0</v>
      </c>
      <c r="AF224" s="10">
        <f>IF('PV IN'!$N$10="Yes",-PVLoan!F252,0)</f>
        <v>0</v>
      </c>
      <c r="AG224" s="10">
        <f>IF(AND('PV IN'!$D$35="YES",$C224&lt;='PV IN'!$E$35*12),0,-'PV IN'!$E$18*'PV IN'!$E$34/12)</f>
        <v>-750</v>
      </c>
      <c r="AH224" s="10">
        <f>IF(AND('PV IN'!$D$37="YES",$C224&lt;='PV IN'!$E$37*12),0,-'PV IN'!$E$18*'PV IN'!$E$36/12)</f>
        <v>-625</v>
      </c>
      <c r="AI224" s="2">
        <f>IF(AND('PV IN'!$D$33="YES",PVCalcs!C224=ROUNDUP('PV IN'!$H$33*12,)),-'PV IN'!$E$33*'PV IN'!$E$18,0)</f>
        <v>0</v>
      </c>
      <c r="AK224" s="2">
        <f t="shared" si="49"/>
        <v>11019.195376647031</v>
      </c>
      <c r="AL224" s="2">
        <f t="shared" si="50"/>
        <v>-1375</v>
      </c>
      <c r="AM224" s="2">
        <f t="shared" si="54"/>
        <v>9644.1953766470306</v>
      </c>
      <c r="AN224" s="43"/>
      <c r="AO224" s="2">
        <f t="shared" si="51"/>
        <v>0</v>
      </c>
      <c r="AP224" s="2">
        <f t="shared" si="55"/>
        <v>-1375</v>
      </c>
      <c r="AR224" s="2">
        <f t="shared" si="56"/>
        <v>-1375</v>
      </c>
      <c r="AS224" s="2">
        <f>-AR224*'PV IN'!$E$8</f>
        <v>288.75</v>
      </c>
      <c r="AT224" s="2">
        <f>IF('PV IN'!$F$4="Battery Only",0,AM224+AS224)</f>
        <v>9932.9453766470306</v>
      </c>
      <c r="AV224" s="10">
        <f t="shared" si="57"/>
        <v>1174284.517334989</v>
      </c>
      <c r="AW224" s="2">
        <f>AT224/(1+('PV IN'!$G$9))^(C224)</f>
        <v>4060.7622607004942</v>
      </c>
      <c r="AX224" s="2">
        <f>IF(C224&lt;='PV IN'!$O$22*12,AW224+AX223,NA())</f>
        <v>355119.98482493858</v>
      </c>
      <c r="AZ224" s="10">
        <f t="shared" si="52"/>
        <v>-1375</v>
      </c>
      <c r="BA224" s="10">
        <f t="shared" si="53"/>
        <v>0</v>
      </c>
      <c r="BB224" s="10">
        <f t="shared" si="58"/>
        <v>-1375</v>
      </c>
      <c r="BC224" s="10">
        <f t="shared" si="59"/>
        <v>0</v>
      </c>
      <c r="BD224" s="10">
        <f t="shared" si="60"/>
        <v>-1375</v>
      </c>
      <c r="BE224" s="2">
        <f t="shared" si="61"/>
        <v>0</v>
      </c>
      <c r="BF224" s="10">
        <f t="shared" si="62"/>
        <v>-1375</v>
      </c>
      <c r="BG224" s="2">
        <f>-BF224*'PV IN'!$E$8</f>
        <v>288.75</v>
      </c>
      <c r="BH224" s="2">
        <f>IF('PV IN'!$F$4="Battery Only",0,BB224+BG224)</f>
        <v>-1086.25</v>
      </c>
      <c r="BI224" s="2">
        <f>BH224/(1+('PV IN'!$G$9))^(C224)</f>
        <v>-444.0780492014436</v>
      </c>
    </row>
    <row r="225" spans="2:61" x14ac:dyDescent="0.25">
      <c r="C225">
        <v>221</v>
      </c>
      <c r="D225" s="16">
        <f>D224*(1+('PV IN'!$G$6/12))</f>
        <v>7.5999999999999998E-2</v>
      </c>
      <c r="E225" s="16">
        <f>LkUP!$U$39</f>
        <v>8.3619617987009537E-2</v>
      </c>
      <c r="F225" s="16">
        <f>IF('PV IN'!$D$7="Table",E225,D225)</f>
        <v>8.3619617987009537E-2</v>
      </c>
      <c r="G225" s="33">
        <f>('PV IN'!$E$25*'PV IN'!$E$18/12)*(1-(1-'PV IN'!$E$27)/(25*12))^C224</f>
        <v>131689.78179386858</v>
      </c>
      <c r="H225" s="33">
        <f>IF('PV IN'!$D$19="YES",G225*'PV IN'!$E$21,0)</f>
        <v>0</v>
      </c>
      <c r="I225" s="33">
        <f>IF('PV IN'!$D$19="YES",'PV IN'!$E$22*BattCalcs!W225,0)</f>
        <v>0</v>
      </c>
      <c r="J225" s="33">
        <f>IF('PV IN'!$D$19="YES",'PV IN'!$E$23*BattCalcs!Y225,0)</f>
        <v>0</v>
      </c>
      <c r="K225" s="33">
        <f>BattCalcs!AF225</f>
        <v>25811.765833333331</v>
      </c>
      <c r="L225" s="33">
        <f t="shared" si="63"/>
        <v>25811.765833333331</v>
      </c>
      <c r="M225" s="33">
        <f>IF('PV IN'!$F$4="PV Only",G225,G225-SUM(H225:J225,L225))</f>
        <v>131689.78179386858</v>
      </c>
      <c r="N225" s="2">
        <f>IF(C225&lt;='PV IN'!$I$12*12,'PV IN'!$E$12*G225/1000,0)</f>
        <v>0</v>
      </c>
      <c r="O225" s="2">
        <f>IF(AND(C225&gt;'PV IN'!$I$12*12,C225&lt;='PV IN'!$I$13*12+'PV IN'!$I$12*12),'PV IN'!$E$13*PVCalcs!G225/1000,0)</f>
        <v>0</v>
      </c>
      <c r="P225" s="2">
        <f>IF(AND(C225&gt;'PV IN'!$I$12*12+'PV IN'!$I$13*12,C225&lt;='PV IN'!$I$12*12+'PV IN'!$I$13*12+'PV IN'!$I$14*12),'PV IN'!$E$14*PVCalcs!G225/1000,0)</f>
        <v>0</v>
      </c>
      <c r="R225" s="10">
        <f>IF(AND('PV IN'!$D$35="YES",$C225&lt;='PV IN'!$E$35*12),-'PV IN'!$E$18*'PV IN'!$E$34/12,0)</f>
        <v>0</v>
      </c>
      <c r="S225" s="10">
        <f>IF(AND('PV IN'!$D$37="YES",$C225&lt;='PV IN'!$E$37*12),-'PV IN'!$E$18*'PV IN'!$E$36/12,0)</f>
        <v>0</v>
      </c>
      <c r="U225" s="2">
        <f t="shared" si="64"/>
        <v>11011.849246395934</v>
      </c>
      <c r="V225" s="10">
        <f>PVLoan!M252</f>
        <v>0</v>
      </c>
      <c r="W225" s="2">
        <f>IF(C225='PV IN'!$I$40,IF('PV IN'!$G$40="Non-Taxable",'PV IN'!$F$40,0),0)+IF(C225='PV IN'!$I$41,IF('PV IN'!$G$41="Non-Taxable",'PV IN'!$F$41,0),0)</f>
        <v>0</v>
      </c>
      <c r="X225" s="10"/>
      <c r="Y225" s="10">
        <f>IF('PV IN'!$E$15="Non-Taxable",SUM(N225:P225),0)</f>
        <v>0</v>
      </c>
      <c r="Z225" s="10">
        <f>IF('PV IN'!$E$15="Taxable",SUM(N225:P225),0)</f>
        <v>0</v>
      </c>
      <c r="AA225" s="2">
        <f>IF(C225='PV IN'!$I$40,IF('PV IN'!$G$40="Taxable",'PV IN'!$F$40,0),0)+IF(C225='PV IN'!$I$41,IF('PV IN'!$G$41="Taxable",'PV IN'!$F$41,0),0)</f>
        <v>0</v>
      </c>
      <c r="AD225" s="10">
        <f>IF('PV IN'!$D$48="YES",-U225*'PV IN'!$E$8,0)</f>
        <v>0</v>
      </c>
      <c r="AE225" s="10">
        <f>IF('PV IN'!$N$10="Yes",-PVLoan!H253,-PVLoan!L253)</f>
        <v>0</v>
      </c>
      <c r="AF225" s="10">
        <f>IF('PV IN'!$N$10="Yes",-PVLoan!F253,0)</f>
        <v>0</v>
      </c>
      <c r="AG225" s="10">
        <f>IF(AND('PV IN'!$D$35="YES",$C225&lt;='PV IN'!$E$35*12),0,-'PV IN'!$E$18*'PV IN'!$E$34/12)</f>
        <v>-750</v>
      </c>
      <c r="AH225" s="10">
        <f>IF(AND('PV IN'!$D$37="YES",$C225&lt;='PV IN'!$E$37*12),0,-'PV IN'!$E$18*'PV IN'!$E$36/12)</f>
        <v>-625</v>
      </c>
      <c r="AI225" s="2">
        <f>IF(AND('PV IN'!$D$33="YES",PVCalcs!C225=ROUNDUP('PV IN'!$H$33*12,)),-'PV IN'!$E$33*'PV IN'!$E$18,0)</f>
        <v>0</v>
      </c>
      <c r="AK225" s="2">
        <f t="shared" si="49"/>
        <v>11011.849246395934</v>
      </c>
      <c r="AL225" s="2">
        <f t="shared" si="50"/>
        <v>-1375</v>
      </c>
      <c r="AM225" s="2">
        <f t="shared" si="54"/>
        <v>9636.8492463959337</v>
      </c>
      <c r="AN225" s="43"/>
      <c r="AO225" s="2">
        <f t="shared" si="51"/>
        <v>0</v>
      </c>
      <c r="AP225" s="2">
        <f t="shared" si="55"/>
        <v>-1375</v>
      </c>
      <c r="AR225" s="2">
        <f t="shared" si="56"/>
        <v>-1375</v>
      </c>
      <c r="AS225" s="2">
        <f>-AR225*'PV IN'!$E$8</f>
        <v>288.75</v>
      </c>
      <c r="AT225" s="2">
        <f>IF('PV IN'!$F$4="Battery Only",0,AM225+AS225)</f>
        <v>9925.5992463959337</v>
      </c>
      <c r="AV225" s="10">
        <f t="shared" si="57"/>
        <v>1184210.116581385</v>
      </c>
      <c r="AW225" s="2">
        <f>AT225/(1+('PV IN'!$G$9))^(C225)</f>
        <v>4041.2943006004275</v>
      </c>
      <c r="AX225" s="2">
        <f>IF(C225&lt;='PV IN'!$O$22*12,AW225+AX224,NA())</f>
        <v>359161.279125539</v>
      </c>
      <c r="AZ225" s="10">
        <f t="shared" si="52"/>
        <v>-1375</v>
      </c>
      <c r="BA225" s="10">
        <f t="shared" si="53"/>
        <v>0</v>
      </c>
      <c r="BB225" s="10">
        <f t="shared" si="58"/>
        <v>-1375</v>
      </c>
      <c r="BC225" s="10">
        <f t="shared" si="59"/>
        <v>0</v>
      </c>
      <c r="BD225" s="10">
        <f t="shared" si="60"/>
        <v>-1375</v>
      </c>
      <c r="BE225" s="2">
        <f t="shared" si="61"/>
        <v>0</v>
      </c>
      <c r="BF225" s="10">
        <f t="shared" si="62"/>
        <v>-1375</v>
      </c>
      <c r="BG225" s="2">
        <f>-BF225*'PV IN'!$E$8</f>
        <v>288.75</v>
      </c>
      <c r="BH225" s="2">
        <f>IF('PV IN'!$F$4="Battery Only",0,BB225+BG225)</f>
        <v>-1086.25</v>
      </c>
      <c r="BI225" s="2">
        <f>BH225/(1+('PV IN'!$G$9))^(C225)</f>
        <v>-442.27616137345126</v>
      </c>
    </row>
    <row r="226" spans="2:61" x14ac:dyDescent="0.25">
      <c r="C226">
        <v>222</v>
      </c>
      <c r="D226" s="16">
        <f>D225*(1+('PV IN'!$G$6/12))</f>
        <v>7.5999999999999998E-2</v>
      </c>
      <c r="E226" s="16">
        <f>LkUP!$U$39</f>
        <v>8.3619617987009537E-2</v>
      </c>
      <c r="F226" s="16">
        <f>IF('PV IN'!$D$7="Table",E226,D226)</f>
        <v>8.3619617987009537E-2</v>
      </c>
      <c r="G226" s="33">
        <f>('PV IN'!$E$25*'PV IN'!$E$18/12)*(1-(1-'PV IN'!$E$27)/(25*12))^C225</f>
        <v>131601.98860600599</v>
      </c>
      <c r="H226" s="33">
        <f>IF('PV IN'!$D$19="YES",G226*'PV IN'!$E$21,0)</f>
        <v>0</v>
      </c>
      <c r="I226" s="33">
        <f>IF('PV IN'!$D$19="YES",'PV IN'!$E$22*BattCalcs!W226,0)</f>
        <v>0</v>
      </c>
      <c r="J226" s="33">
        <f>IF('PV IN'!$D$19="YES",'PV IN'!$E$23*BattCalcs!Y226,0)</f>
        <v>0</v>
      </c>
      <c r="K226" s="33">
        <f>BattCalcs!AF226</f>
        <v>25811.765833333331</v>
      </c>
      <c r="L226" s="33">
        <f t="shared" si="63"/>
        <v>25811.765833333331</v>
      </c>
      <c r="M226" s="33">
        <f>IF('PV IN'!$F$4="PV Only",G226,G226-SUM(H226:J226,L226))</f>
        <v>131601.98860600599</v>
      </c>
      <c r="N226" s="2">
        <f>IF(C226&lt;='PV IN'!$I$12*12,'PV IN'!$E$12*G226/1000,0)</f>
        <v>0</v>
      </c>
      <c r="O226" s="2">
        <f>IF(AND(C226&gt;'PV IN'!$I$12*12,C226&lt;='PV IN'!$I$13*12+'PV IN'!$I$12*12),'PV IN'!$E$13*PVCalcs!G226/1000,0)</f>
        <v>0</v>
      </c>
      <c r="P226" s="2">
        <f>IF(AND(C226&gt;'PV IN'!$I$12*12+'PV IN'!$I$13*12,C226&lt;='PV IN'!$I$12*12+'PV IN'!$I$13*12+'PV IN'!$I$14*12),'PV IN'!$E$14*PVCalcs!G226/1000,0)</f>
        <v>0</v>
      </c>
      <c r="R226" s="10">
        <f>IF(AND('PV IN'!$D$35="YES",$C226&lt;='PV IN'!$E$35*12),-'PV IN'!$E$18*'PV IN'!$E$34/12,0)</f>
        <v>0</v>
      </c>
      <c r="S226" s="10">
        <f>IF(AND('PV IN'!$D$37="YES",$C226&lt;='PV IN'!$E$37*12),-'PV IN'!$E$18*'PV IN'!$E$36/12,0)</f>
        <v>0</v>
      </c>
      <c r="U226" s="2">
        <f t="shared" si="64"/>
        <v>11004.508013565002</v>
      </c>
      <c r="V226" s="10">
        <f>PVLoan!M253</f>
        <v>0</v>
      </c>
      <c r="W226" s="2">
        <f>IF(C226='PV IN'!$I$40,IF('PV IN'!$G$40="Non-Taxable",'PV IN'!$F$40,0),0)+IF(C226='PV IN'!$I$41,IF('PV IN'!$G$41="Non-Taxable",'PV IN'!$F$41,0),0)</f>
        <v>0</v>
      </c>
      <c r="X226" s="10"/>
      <c r="Y226" s="10">
        <f>IF('PV IN'!$E$15="Non-Taxable",SUM(N226:P226),0)</f>
        <v>0</v>
      </c>
      <c r="Z226" s="10">
        <f>IF('PV IN'!$E$15="Taxable",SUM(N226:P226),0)</f>
        <v>0</v>
      </c>
      <c r="AA226" s="2">
        <f>IF(C226='PV IN'!$I$40,IF('PV IN'!$G$40="Taxable",'PV IN'!$F$40,0),0)+IF(C226='PV IN'!$I$41,IF('PV IN'!$G$41="Taxable",'PV IN'!$F$41,0),0)</f>
        <v>0</v>
      </c>
      <c r="AD226" s="10">
        <f>IF('PV IN'!$D$48="YES",-U226*'PV IN'!$E$8,0)</f>
        <v>0</v>
      </c>
      <c r="AE226" s="10">
        <f>IF('PV IN'!$N$10="Yes",-PVLoan!H254,-PVLoan!L254)</f>
        <v>0</v>
      </c>
      <c r="AF226" s="10">
        <f>IF('PV IN'!$N$10="Yes",-PVLoan!F254,0)</f>
        <v>0</v>
      </c>
      <c r="AG226" s="10">
        <f>IF(AND('PV IN'!$D$35="YES",$C226&lt;='PV IN'!$E$35*12),0,-'PV IN'!$E$18*'PV IN'!$E$34/12)</f>
        <v>-750</v>
      </c>
      <c r="AH226" s="10">
        <f>IF(AND('PV IN'!$D$37="YES",$C226&lt;='PV IN'!$E$37*12),0,-'PV IN'!$E$18*'PV IN'!$E$36/12)</f>
        <v>-625</v>
      </c>
      <c r="AI226" s="2">
        <f>IF(AND('PV IN'!$D$33="YES",PVCalcs!C226=ROUNDUP('PV IN'!$H$33*12,)),-'PV IN'!$E$33*'PV IN'!$E$18,0)</f>
        <v>0</v>
      </c>
      <c r="AK226" s="2">
        <f t="shared" si="49"/>
        <v>11004.508013565002</v>
      </c>
      <c r="AL226" s="2">
        <f t="shared" si="50"/>
        <v>-1375</v>
      </c>
      <c r="AM226" s="2">
        <f t="shared" si="54"/>
        <v>9629.5080135650023</v>
      </c>
      <c r="AN226" s="43"/>
      <c r="AO226" s="2">
        <f t="shared" si="51"/>
        <v>0</v>
      </c>
      <c r="AP226" s="2">
        <f t="shared" si="55"/>
        <v>-1375</v>
      </c>
      <c r="AR226" s="2">
        <f t="shared" si="56"/>
        <v>-1375</v>
      </c>
      <c r="AS226" s="2">
        <f>-AR226*'PV IN'!$E$8</f>
        <v>288.75</v>
      </c>
      <c r="AT226" s="2">
        <f>IF('PV IN'!$F$4="Battery Only",0,AM226+AS226)</f>
        <v>9918.2580135650023</v>
      </c>
      <c r="AV226" s="10">
        <f t="shared" si="57"/>
        <v>1194128.3745949501</v>
      </c>
      <c r="AW226" s="2">
        <f>AT226/(1+('PV IN'!$G$9))^(C226)</f>
        <v>4021.9194559145185</v>
      </c>
      <c r="AX226" s="2">
        <f>IF(C226&lt;='PV IN'!$O$22*12,AW226+AX225,NA())</f>
        <v>363183.19858145353</v>
      </c>
      <c r="AZ226" s="10">
        <f t="shared" si="52"/>
        <v>-1375</v>
      </c>
      <c r="BA226" s="10">
        <f t="shared" si="53"/>
        <v>0</v>
      </c>
      <c r="BB226" s="10">
        <f t="shared" si="58"/>
        <v>-1375</v>
      </c>
      <c r="BC226" s="10">
        <f t="shared" si="59"/>
        <v>0</v>
      </c>
      <c r="BD226" s="10">
        <f t="shared" si="60"/>
        <v>-1375</v>
      </c>
      <c r="BE226" s="2">
        <f t="shared" si="61"/>
        <v>0</v>
      </c>
      <c r="BF226" s="10">
        <f t="shared" si="62"/>
        <v>-1375</v>
      </c>
      <c r="BG226" s="2">
        <f>-BF226*'PV IN'!$E$8</f>
        <v>288.75</v>
      </c>
      <c r="BH226" s="2">
        <f>IF('PV IN'!$F$4="Battery Only",0,BB226+BG226)</f>
        <v>-1086.25</v>
      </c>
      <c r="BI226" s="2">
        <f>BH226/(1+('PV IN'!$G$9))^(C226)</f>
        <v>-440.48158487226408</v>
      </c>
    </row>
    <row r="227" spans="2:61" x14ac:dyDescent="0.25">
      <c r="C227">
        <v>223</v>
      </c>
      <c r="D227" s="16">
        <f>D226*(1+('PV IN'!$G$6/12))</f>
        <v>7.5999999999999998E-2</v>
      </c>
      <c r="E227" s="16">
        <f>LkUP!$U$39</f>
        <v>8.3619617987009537E-2</v>
      </c>
      <c r="F227" s="16">
        <f>IF('PV IN'!$D$7="Table",E227,D227)</f>
        <v>8.3619617987009537E-2</v>
      </c>
      <c r="G227" s="33">
        <f>('PV IN'!$E$25*'PV IN'!$E$18/12)*(1-(1-'PV IN'!$E$27)/(25*12))^C226</f>
        <v>131514.25394693529</v>
      </c>
      <c r="H227" s="33">
        <f>IF('PV IN'!$D$19="YES",G227*'PV IN'!$E$21,0)</f>
        <v>0</v>
      </c>
      <c r="I227" s="33">
        <f>IF('PV IN'!$D$19="YES",'PV IN'!$E$22*BattCalcs!W227,0)</f>
        <v>0</v>
      </c>
      <c r="J227" s="33">
        <f>IF('PV IN'!$D$19="YES",'PV IN'!$E$23*BattCalcs!Y227,0)</f>
        <v>0</v>
      </c>
      <c r="K227" s="33">
        <f>BattCalcs!AF227</f>
        <v>25811.765833333331</v>
      </c>
      <c r="L227" s="33">
        <f t="shared" si="63"/>
        <v>25811.765833333331</v>
      </c>
      <c r="M227" s="33">
        <f>IF('PV IN'!$F$4="PV Only",G227,G227-SUM(H227:J227,L227))</f>
        <v>131514.25394693529</v>
      </c>
      <c r="N227" s="2">
        <f>IF(C227&lt;='PV IN'!$I$12*12,'PV IN'!$E$12*G227/1000,0)</f>
        <v>0</v>
      </c>
      <c r="O227" s="2">
        <f>IF(AND(C227&gt;'PV IN'!$I$12*12,C227&lt;='PV IN'!$I$13*12+'PV IN'!$I$12*12),'PV IN'!$E$13*PVCalcs!G227/1000,0)</f>
        <v>0</v>
      </c>
      <c r="P227" s="2">
        <f>IF(AND(C227&gt;'PV IN'!$I$12*12+'PV IN'!$I$13*12,C227&lt;='PV IN'!$I$12*12+'PV IN'!$I$13*12+'PV IN'!$I$14*12),'PV IN'!$E$14*PVCalcs!G227/1000,0)</f>
        <v>0</v>
      </c>
      <c r="R227" s="10">
        <f>IF(AND('PV IN'!$D$35="YES",$C227&lt;='PV IN'!$E$35*12),-'PV IN'!$E$18*'PV IN'!$E$34/12,0)</f>
        <v>0</v>
      </c>
      <c r="S227" s="10">
        <f>IF(AND('PV IN'!$D$37="YES",$C227&lt;='PV IN'!$E$37*12),-'PV IN'!$E$18*'PV IN'!$E$36/12,0)</f>
        <v>0</v>
      </c>
      <c r="U227" s="2">
        <f t="shared" si="64"/>
        <v>10997.17167488929</v>
      </c>
      <c r="V227" s="10">
        <f>PVLoan!M254</f>
        <v>0</v>
      </c>
      <c r="W227" s="2">
        <f>IF(C227='PV IN'!$I$40,IF('PV IN'!$G$40="Non-Taxable",'PV IN'!$F$40,0),0)+IF(C227='PV IN'!$I$41,IF('PV IN'!$G$41="Non-Taxable",'PV IN'!$F$41,0),0)</f>
        <v>0</v>
      </c>
      <c r="X227" s="10"/>
      <c r="Y227" s="10">
        <f>IF('PV IN'!$E$15="Non-Taxable",SUM(N227:P227),0)</f>
        <v>0</v>
      </c>
      <c r="Z227" s="10">
        <f>IF('PV IN'!$E$15="Taxable",SUM(N227:P227),0)</f>
        <v>0</v>
      </c>
      <c r="AA227" s="2">
        <f>IF(C227='PV IN'!$I$40,IF('PV IN'!$G$40="Taxable",'PV IN'!$F$40,0),0)+IF(C227='PV IN'!$I$41,IF('PV IN'!$G$41="Taxable",'PV IN'!$F$41,0),0)</f>
        <v>0</v>
      </c>
      <c r="AD227" s="10">
        <f>IF('PV IN'!$D$48="YES",-U227*'PV IN'!$E$8,0)</f>
        <v>0</v>
      </c>
      <c r="AE227" s="10">
        <f>IF('PV IN'!$N$10="Yes",-PVLoan!H255,-PVLoan!L255)</f>
        <v>0</v>
      </c>
      <c r="AF227" s="10">
        <f>IF('PV IN'!$N$10="Yes",-PVLoan!F255,0)</f>
        <v>0</v>
      </c>
      <c r="AG227" s="10">
        <f>IF(AND('PV IN'!$D$35="YES",$C227&lt;='PV IN'!$E$35*12),0,-'PV IN'!$E$18*'PV IN'!$E$34/12)</f>
        <v>-750</v>
      </c>
      <c r="AH227" s="10">
        <f>IF(AND('PV IN'!$D$37="YES",$C227&lt;='PV IN'!$E$37*12),0,-'PV IN'!$E$18*'PV IN'!$E$36/12)</f>
        <v>-625</v>
      </c>
      <c r="AI227" s="2">
        <f>IF(AND('PV IN'!$D$33="YES",PVCalcs!C227=ROUNDUP('PV IN'!$H$33*12,)),-'PV IN'!$E$33*'PV IN'!$E$18,0)</f>
        <v>0</v>
      </c>
      <c r="AK227" s="2">
        <f t="shared" si="49"/>
        <v>10997.17167488929</v>
      </c>
      <c r="AL227" s="2">
        <f t="shared" si="50"/>
        <v>-1375</v>
      </c>
      <c r="AM227" s="2">
        <f t="shared" si="54"/>
        <v>9622.1716748892904</v>
      </c>
      <c r="AN227" s="43"/>
      <c r="AO227" s="2">
        <f t="shared" si="51"/>
        <v>0</v>
      </c>
      <c r="AP227" s="2">
        <f t="shared" si="55"/>
        <v>-1375</v>
      </c>
      <c r="AR227" s="2">
        <f t="shared" si="56"/>
        <v>-1375</v>
      </c>
      <c r="AS227" s="2">
        <f>-AR227*'PV IN'!$E$8</f>
        <v>288.75</v>
      </c>
      <c r="AT227" s="2">
        <f>IF('PV IN'!$F$4="Battery Only",0,AM227+AS227)</f>
        <v>9910.9216748892904</v>
      </c>
      <c r="AV227" s="10">
        <f t="shared" si="57"/>
        <v>1204039.2962698394</v>
      </c>
      <c r="AW227" s="2">
        <f>AT227/(1+('PV IN'!$G$9))^(C227)</f>
        <v>4002.6372821388463</v>
      </c>
      <c r="AX227" s="2">
        <f>IF(C227&lt;='PV IN'!$O$22*12,AW227+AX226,NA())</f>
        <v>367185.83586359239</v>
      </c>
      <c r="AZ227" s="10">
        <f t="shared" si="52"/>
        <v>-1375</v>
      </c>
      <c r="BA227" s="10">
        <f t="shared" si="53"/>
        <v>0</v>
      </c>
      <c r="BB227" s="10">
        <f t="shared" si="58"/>
        <v>-1375</v>
      </c>
      <c r="BC227" s="10">
        <f t="shared" si="59"/>
        <v>0</v>
      </c>
      <c r="BD227" s="10">
        <f t="shared" si="60"/>
        <v>-1375</v>
      </c>
      <c r="BE227" s="2">
        <f t="shared" si="61"/>
        <v>0</v>
      </c>
      <c r="BF227" s="10">
        <f t="shared" si="62"/>
        <v>-1375</v>
      </c>
      <c r="BG227" s="2">
        <f>-BF227*'PV IN'!$E$8</f>
        <v>288.75</v>
      </c>
      <c r="BH227" s="2">
        <f>IF('PV IN'!$F$4="Battery Only",0,BB227+BG227)</f>
        <v>-1086.25</v>
      </c>
      <c r="BI227" s="2">
        <f>BH227/(1+('PV IN'!$G$9))^(C227)</f>
        <v>-438.69429003149594</v>
      </c>
    </row>
    <row r="228" spans="2:61" x14ac:dyDescent="0.25">
      <c r="C228">
        <v>224</v>
      </c>
      <c r="D228" s="16">
        <f>D227*(1+('PV IN'!$G$6/12))</f>
        <v>7.5999999999999998E-2</v>
      </c>
      <c r="E228" s="16">
        <f>LkUP!$U$39</f>
        <v>8.3619617987009537E-2</v>
      </c>
      <c r="F228" s="16">
        <f>IF('PV IN'!$D$7="Table",E228,D228)</f>
        <v>8.3619617987009537E-2</v>
      </c>
      <c r="G228" s="33">
        <f>('PV IN'!$E$25*'PV IN'!$E$18/12)*(1-(1-'PV IN'!$E$27)/(25*12))^C227</f>
        <v>131426.57777763737</v>
      </c>
      <c r="H228" s="33">
        <f>IF('PV IN'!$D$19="YES",G228*'PV IN'!$E$21,0)</f>
        <v>0</v>
      </c>
      <c r="I228" s="33">
        <f>IF('PV IN'!$D$19="YES",'PV IN'!$E$22*BattCalcs!W228,0)</f>
        <v>0</v>
      </c>
      <c r="J228" s="33">
        <f>IF('PV IN'!$D$19="YES",'PV IN'!$E$23*BattCalcs!Y228,0)</f>
        <v>0</v>
      </c>
      <c r="K228" s="33">
        <f>BattCalcs!AF228</f>
        <v>25811.765833333331</v>
      </c>
      <c r="L228" s="33">
        <f t="shared" si="63"/>
        <v>25811.765833333331</v>
      </c>
      <c r="M228" s="33">
        <f>IF('PV IN'!$F$4="PV Only",G228,G228-SUM(H228:J228,L228))</f>
        <v>131426.57777763737</v>
      </c>
      <c r="N228" s="2">
        <f>IF(C228&lt;='PV IN'!$I$12*12,'PV IN'!$E$12*G228/1000,0)</f>
        <v>0</v>
      </c>
      <c r="O228" s="2">
        <f>IF(AND(C228&gt;'PV IN'!$I$12*12,C228&lt;='PV IN'!$I$13*12+'PV IN'!$I$12*12),'PV IN'!$E$13*PVCalcs!G228/1000,0)</f>
        <v>0</v>
      </c>
      <c r="P228" s="2">
        <f>IF(AND(C228&gt;'PV IN'!$I$12*12+'PV IN'!$I$13*12,C228&lt;='PV IN'!$I$12*12+'PV IN'!$I$13*12+'PV IN'!$I$14*12),'PV IN'!$E$14*PVCalcs!G228/1000,0)</f>
        <v>0</v>
      </c>
      <c r="R228" s="10">
        <f>IF(AND('PV IN'!$D$35="YES",$C228&lt;='PV IN'!$E$35*12),-'PV IN'!$E$18*'PV IN'!$E$34/12,0)</f>
        <v>0</v>
      </c>
      <c r="S228" s="10">
        <f>IF(AND('PV IN'!$D$37="YES",$C228&lt;='PV IN'!$E$37*12),-'PV IN'!$E$18*'PV IN'!$E$36/12,0)</f>
        <v>0</v>
      </c>
      <c r="U228" s="2">
        <f t="shared" si="64"/>
        <v>10989.840227106033</v>
      </c>
      <c r="V228" s="10">
        <f>PVLoan!M255</f>
        <v>0</v>
      </c>
      <c r="W228" s="2">
        <f>IF(C228='PV IN'!$I$40,IF('PV IN'!$G$40="Non-Taxable",'PV IN'!$F$40,0),0)+IF(C228='PV IN'!$I$41,IF('PV IN'!$G$41="Non-Taxable",'PV IN'!$F$41,0),0)</f>
        <v>0</v>
      </c>
      <c r="X228" s="10"/>
      <c r="Y228" s="10">
        <f>IF('PV IN'!$E$15="Non-Taxable",SUM(N228:P228),0)</f>
        <v>0</v>
      </c>
      <c r="Z228" s="10">
        <f>IF('PV IN'!$E$15="Taxable",SUM(N228:P228),0)</f>
        <v>0</v>
      </c>
      <c r="AA228" s="2">
        <f>IF(C228='PV IN'!$I$40,IF('PV IN'!$G$40="Taxable",'PV IN'!$F$40,0),0)+IF(C228='PV IN'!$I$41,IF('PV IN'!$G$41="Taxable",'PV IN'!$F$41,0),0)</f>
        <v>0</v>
      </c>
      <c r="AD228" s="10">
        <f>IF('PV IN'!$D$48="YES",-U228*'PV IN'!$E$8,0)</f>
        <v>0</v>
      </c>
      <c r="AE228" s="10">
        <f>IF('PV IN'!$N$10="Yes",-PVLoan!H256,-PVLoan!L256)</f>
        <v>0</v>
      </c>
      <c r="AF228" s="10">
        <f>IF('PV IN'!$N$10="Yes",-PVLoan!F256,0)</f>
        <v>0</v>
      </c>
      <c r="AG228" s="10">
        <f>IF(AND('PV IN'!$D$35="YES",$C228&lt;='PV IN'!$E$35*12),0,-'PV IN'!$E$18*'PV IN'!$E$34/12)</f>
        <v>-750</v>
      </c>
      <c r="AH228" s="10">
        <f>IF(AND('PV IN'!$D$37="YES",$C228&lt;='PV IN'!$E$37*12),0,-'PV IN'!$E$18*'PV IN'!$E$36/12)</f>
        <v>-625</v>
      </c>
      <c r="AI228" s="2">
        <f>IF(AND('PV IN'!$D$33="YES",PVCalcs!C228=ROUNDUP('PV IN'!$H$33*12,)),-'PV IN'!$E$33*'PV IN'!$E$18,0)</f>
        <v>0</v>
      </c>
      <c r="AK228" s="2">
        <f t="shared" si="49"/>
        <v>10989.840227106033</v>
      </c>
      <c r="AL228" s="2">
        <f t="shared" si="50"/>
        <v>-1375</v>
      </c>
      <c r="AM228" s="2">
        <f t="shared" si="54"/>
        <v>9614.8402271060331</v>
      </c>
      <c r="AN228" s="43"/>
      <c r="AO228" s="2">
        <f t="shared" si="51"/>
        <v>0</v>
      </c>
      <c r="AP228" s="2">
        <f t="shared" si="55"/>
        <v>-1375</v>
      </c>
      <c r="AR228" s="2">
        <f t="shared" si="56"/>
        <v>-1375</v>
      </c>
      <c r="AS228" s="2">
        <f>-AR228*'PV IN'!$E$8</f>
        <v>288.75</v>
      </c>
      <c r="AT228" s="2">
        <f>IF('PV IN'!$F$4="Battery Only",0,AM228+AS228)</f>
        <v>9903.5902271060331</v>
      </c>
      <c r="AV228" s="10">
        <f t="shared" si="57"/>
        <v>1213942.8864969455</v>
      </c>
      <c r="AW228" s="2">
        <f>AT228/(1+('PV IN'!$G$9))^(C228)</f>
        <v>3983.4473368879417</v>
      </c>
      <c r="AX228" s="2">
        <f>IF(C228&lt;='PV IN'!$O$22*12,AW228+AX227,NA())</f>
        <v>371169.28320048033</v>
      </c>
      <c r="AZ228" s="10">
        <f t="shared" si="52"/>
        <v>-1375</v>
      </c>
      <c r="BA228" s="10">
        <f t="shared" si="53"/>
        <v>0</v>
      </c>
      <c r="BB228" s="10">
        <f t="shared" si="58"/>
        <v>-1375</v>
      </c>
      <c r="BC228" s="10">
        <f t="shared" si="59"/>
        <v>0</v>
      </c>
      <c r="BD228" s="10">
        <f t="shared" si="60"/>
        <v>-1375</v>
      </c>
      <c r="BE228" s="2">
        <f t="shared" si="61"/>
        <v>0</v>
      </c>
      <c r="BF228" s="10">
        <f t="shared" si="62"/>
        <v>-1375</v>
      </c>
      <c r="BG228" s="2">
        <f>-BF228*'PV IN'!$E$8</f>
        <v>288.75</v>
      </c>
      <c r="BH228" s="2">
        <f>IF('PV IN'!$F$4="Battery Only",0,BB228+BG228)</f>
        <v>-1086.25</v>
      </c>
      <c r="BI228" s="2">
        <f>BH228/(1+('PV IN'!$G$9))^(C228)</f>
        <v>-436.91424730513529</v>
      </c>
    </row>
    <row r="229" spans="2:61" x14ac:dyDescent="0.25">
      <c r="C229">
        <v>225</v>
      </c>
      <c r="D229" s="16">
        <f>D228*(1+('PV IN'!$G$6/12))</f>
        <v>7.5999999999999998E-2</v>
      </c>
      <c r="E229" s="16">
        <f>LkUP!$U$39</f>
        <v>8.3619617987009537E-2</v>
      </c>
      <c r="F229" s="16">
        <f>IF('PV IN'!$D$7="Table",E229,D229)</f>
        <v>8.3619617987009537E-2</v>
      </c>
      <c r="G229" s="33">
        <f>('PV IN'!$E$25*'PV IN'!$E$18/12)*(1-(1-'PV IN'!$E$27)/(25*12))^C228</f>
        <v>131338.96005911892</v>
      </c>
      <c r="H229" s="33">
        <f>IF('PV IN'!$D$19="YES",G229*'PV IN'!$E$21,0)</f>
        <v>0</v>
      </c>
      <c r="I229" s="33">
        <f>IF('PV IN'!$D$19="YES",'PV IN'!$E$22*BattCalcs!W229,0)</f>
        <v>0</v>
      </c>
      <c r="J229" s="33">
        <f>IF('PV IN'!$D$19="YES",'PV IN'!$E$23*BattCalcs!Y229,0)</f>
        <v>0</v>
      </c>
      <c r="K229" s="33">
        <f>BattCalcs!AF229</f>
        <v>25811.765833333331</v>
      </c>
      <c r="L229" s="33">
        <f t="shared" si="63"/>
        <v>25811.765833333331</v>
      </c>
      <c r="M229" s="33">
        <f>IF('PV IN'!$F$4="PV Only",G229,G229-SUM(H229:J229,L229))</f>
        <v>131338.96005911892</v>
      </c>
      <c r="N229" s="2">
        <f>IF(C229&lt;='PV IN'!$I$12*12,'PV IN'!$E$12*G229/1000,0)</f>
        <v>0</v>
      </c>
      <c r="O229" s="2">
        <f>IF(AND(C229&gt;'PV IN'!$I$12*12,C229&lt;='PV IN'!$I$13*12+'PV IN'!$I$12*12),'PV IN'!$E$13*PVCalcs!G229/1000,0)</f>
        <v>0</v>
      </c>
      <c r="P229" s="2">
        <f>IF(AND(C229&gt;'PV IN'!$I$12*12+'PV IN'!$I$13*12,C229&lt;='PV IN'!$I$12*12+'PV IN'!$I$13*12+'PV IN'!$I$14*12),'PV IN'!$E$14*PVCalcs!G229/1000,0)</f>
        <v>0</v>
      </c>
      <c r="R229" s="10">
        <f>IF(AND('PV IN'!$D$35="YES",$C229&lt;='PV IN'!$E$35*12),-'PV IN'!$E$18*'PV IN'!$E$34/12,0)</f>
        <v>0</v>
      </c>
      <c r="S229" s="10">
        <f>IF(AND('PV IN'!$D$37="YES",$C229&lt;='PV IN'!$E$37*12),-'PV IN'!$E$18*'PV IN'!$E$36/12,0)</f>
        <v>0</v>
      </c>
      <c r="U229" s="2">
        <f t="shared" si="64"/>
        <v>10982.513666954628</v>
      </c>
      <c r="V229" s="10">
        <f>PVLoan!M256</f>
        <v>0</v>
      </c>
      <c r="W229" s="2">
        <f>IF(C229='PV IN'!$I$40,IF('PV IN'!$G$40="Non-Taxable",'PV IN'!$F$40,0),0)+IF(C229='PV IN'!$I$41,IF('PV IN'!$G$41="Non-Taxable",'PV IN'!$F$41,0),0)</f>
        <v>0</v>
      </c>
      <c r="X229" s="10"/>
      <c r="Y229" s="10">
        <f>IF('PV IN'!$E$15="Non-Taxable",SUM(N229:P229),0)</f>
        <v>0</v>
      </c>
      <c r="Z229" s="10">
        <f>IF('PV IN'!$E$15="Taxable",SUM(N229:P229),0)</f>
        <v>0</v>
      </c>
      <c r="AA229" s="2">
        <f>IF(C229='PV IN'!$I$40,IF('PV IN'!$G$40="Taxable",'PV IN'!$F$40,0),0)+IF(C229='PV IN'!$I$41,IF('PV IN'!$G$41="Taxable",'PV IN'!$F$41,0),0)</f>
        <v>0</v>
      </c>
      <c r="AD229" s="10">
        <f>IF('PV IN'!$D$48="YES",-U229*'PV IN'!$E$8,0)</f>
        <v>0</v>
      </c>
      <c r="AE229" s="10">
        <f>IF('PV IN'!$N$10="Yes",-PVLoan!H257,-PVLoan!L257)</f>
        <v>0</v>
      </c>
      <c r="AF229" s="10">
        <f>IF('PV IN'!$N$10="Yes",-PVLoan!F257,0)</f>
        <v>0</v>
      </c>
      <c r="AG229" s="10">
        <f>IF(AND('PV IN'!$D$35="YES",$C229&lt;='PV IN'!$E$35*12),0,-'PV IN'!$E$18*'PV IN'!$E$34/12)</f>
        <v>-750</v>
      </c>
      <c r="AH229" s="10">
        <f>IF(AND('PV IN'!$D$37="YES",$C229&lt;='PV IN'!$E$37*12),0,-'PV IN'!$E$18*'PV IN'!$E$36/12)</f>
        <v>-625</v>
      </c>
      <c r="AI229" s="2">
        <f>IF(AND('PV IN'!$D$33="YES",PVCalcs!C229=ROUNDUP('PV IN'!$H$33*12,)),-'PV IN'!$E$33*'PV IN'!$E$18,0)</f>
        <v>0</v>
      </c>
      <c r="AK229" s="2">
        <f t="shared" si="49"/>
        <v>10982.513666954628</v>
      </c>
      <c r="AL229" s="2">
        <f t="shared" si="50"/>
        <v>-1375</v>
      </c>
      <c r="AM229" s="2">
        <f t="shared" si="54"/>
        <v>9607.5136669546282</v>
      </c>
      <c r="AN229" s="43"/>
      <c r="AO229" s="2">
        <f t="shared" si="51"/>
        <v>0</v>
      </c>
      <c r="AP229" s="2">
        <f t="shared" si="55"/>
        <v>-1375</v>
      </c>
      <c r="AR229" s="2">
        <f t="shared" si="56"/>
        <v>-1375</v>
      </c>
      <c r="AS229" s="2">
        <f>-AR229*'PV IN'!$E$8</f>
        <v>288.75</v>
      </c>
      <c r="AT229" s="2">
        <f>IF('PV IN'!$F$4="Battery Only",0,AM229+AS229)</f>
        <v>9896.2636669546282</v>
      </c>
      <c r="AV229" s="10">
        <f t="shared" si="57"/>
        <v>1223839.1501639001</v>
      </c>
      <c r="AW229" s="2">
        <f>AT229/(1+('PV IN'!$G$9))^(C229)</f>
        <v>3964.3491798846908</v>
      </c>
      <c r="AX229" s="2">
        <f>IF(C229&lt;='PV IN'!$O$22*12,AW229+AX228,NA())</f>
        <v>375133.63238036504</v>
      </c>
      <c r="AZ229" s="10">
        <f t="shared" si="52"/>
        <v>-1375</v>
      </c>
      <c r="BA229" s="10">
        <f t="shared" si="53"/>
        <v>0</v>
      </c>
      <c r="BB229" s="10">
        <f t="shared" si="58"/>
        <v>-1375</v>
      </c>
      <c r="BC229" s="10">
        <f t="shared" si="59"/>
        <v>0</v>
      </c>
      <c r="BD229" s="10">
        <f t="shared" si="60"/>
        <v>-1375</v>
      </c>
      <c r="BE229" s="2">
        <f t="shared" si="61"/>
        <v>0</v>
      </c>
      <c r="BF229" s="10">
        <f t="shared" si="62"/>
        <v>-1375</v>
      </c>
      <c r="BG229" s="2">
        <f>-BF229*'PV IN'!$E$8</f>
        <v>288.75</v>
      </c>
      <c r="BH229" s="2">
        <f>IF('PV IN'!$F$4="Battery Only",0,BB229+BG229)</f>
        <v>-1086.25</v>
      </c>
      <c r="BI229" s="2">
        <f>BH229/(1+('PV IN'!$G$9))^(C229)</f>
        <v>-435.14142726705592</v>
      </c>
    </row>
    <row r="230" spans="2:61" x14ac:dyDescent="0.25">
      <c r="C230">
        <v>226</v>
      </c>
      <c r="D230" s="16">
        <f>D229*(1+('PV IN'!$G$6/12))</f>
        <v>7.5999999999999998E-2</v>
      </c>
      <c r="E230" s="16">
        <f>LkUP!$U$39</f>
        <v>8.3619617987009537E-2</v>
      </c>
      <c r="F230" s="16">
        <f>IF('PV IN'!$D$7="Table",E230,D230)</f>
        <v>8.3619617987009537E-2</v>
      </c>
      <c r="G230" s="33">
        <f>('PV IN'!$E$25*'PV IN'!$E$18/12)*(1-(1-'PV IN'!$E$27)/(25*12))^C229</f>
        <v>131251.40075241282</v>
      </c>
      <c r="H230" s="33">
        <f>IF('PV IN'!$D$19="YES",G230*'PV IN'!$E$21,0)</f>
        <v>0</v>
      </c>
      <c r="I230" s="33">
        <f>IF('PV IN'!$D$19="YES",'PV IN'!$E$22*BattCalcs!W230,0)</f>
        <v>0</v>
      </c>
      <c r="J230" s="33">
        <f>IF('PV IN'!$D$19="YES",'PV IN'!$E$23*BattCalcs!Y230,0)</f>
        <v>0</v>
      </c>
      <c r="K230" s="33">
        <f>BattCalcs!AF230</f>
        <v>25811.765833333331</v>
      </c>
      <c r="L230" s="33">
        <f t="shared" si="63"/>
        <v>25811.765833333331</v>
      </c>
      <c r="M230" s="33">
        <f>IF('PV IN'!$F$4="PV Only",G230,G230-SUM(H230:J230,L230))</f>
        <v>131251.40075241282</v>
      </c>
      <c r="N230" s="2">
        <f>IF(C230&lt;='PV IN'!$I$12*12,'PV IN'!$E$12*G230/1000,0)</f>
        <v>0</v>
      </c>
      <c r="O230" s="2">
        <f>IF(AND(C230&gt;'PV IN'!$I$12*12,C230&lt;='PV IN'!$I$13*12+'PV IN'!$I$12*12),'PV IN'!$E$13*PVCalcs!G230/1000,0)</f>
        <v>0</v>
      </c>
      <c r="P230" s="2">
        <f>IF(AND(C230&gt;'PV IN'!$I$12*12+'PV IN'!$I$13*12,C230&lt;='PV IN'!$I$12*12+'PV IN'!$I$13*12+'PV IN'!$I$14*12),'PV IN'!$E$14*PVCalcs!G230/1000,0)</f>
        <v>0</v>
      </c>
      <c r="R230" s="10">
        <f>IF(AND('PV IN'!$D$35="YES",$C230&lt;='PV IN'!$E$35*12),-'PV IN'!$E$18*'PV IN'!$E$34/12,0)</f>
        <v>0</v>
      </c>
      <c r="S230" s="10">
        <f>IF(AND('PV IN'!$D$37="YES",$C230&lt;='PV IN'!$E$37*12),-'PV IN'!$E$18*'PV IN'!$E$36/12,0)</f>
        <v>0</v>
      </c>
      <c r="U230" s="2">
        <f t="shared" si="64"/>
        <v>10975.191991176656</v>
      </c>
      <c r="V230" s="10">
        <f>PVLoan!M257</f>
        <v>0</v>
      </c>
      <c r="W230" s="2">
        <f>IF(C230='PV IN'!$I$40,IF('PV IN'!$G$40="Non-Taxable",'PV IN'!$F$40,0),0)+IF(C230='PV IN'!$I$41,IF('PV IN'!$G$41="Non-Taxable",'PV IN'!$F$41,0),0)</f>
        <v>0</v>
      </c>
      <c r="X230" s="10"/>
      <c r="Y230" s="10">
        <f>IF('PV IN'!$E$15="Non-Taxable",SUM(N230:P230),0)</f>
        <v>0</v>
      </c>
      <c r="Z230" s="10">
        <f>IF('PV IN'!$E$15="Taxable",SUM(N230:P230),0)</f>
        <v>0</v>
      </c>
      <c r="AA230" s="2">
        <f>IF(C230='PV IN'!$I$40,IF('PV IN'!$G$40="Taxable",'PV IN'!$F$40,0),0)+IF(C230='PV IN'!$I$41,IF('PV IN'!$G$41="Taxable",'PV IN'!$F$41,0),0)</f>
        <v>0</v>
      </c>
      <c r="AD230" s="10">
        <f>IF('PV IN'!$D$48="YES",-U230*'PV IN'!$E$8,0)</f>
        <v>0</v>
      </c>
      <c r="AE230" s="10">
        <f>IF('PV IN'!$N$10="Yes",-PVLoan!H258,-PVLoan!L258)</f>
        <v>0</v>
      </c>
      <c r="AF230" s="10">
        <f>IF('PV IN'!$N$10="Yes",-PVLoan!F258,0)</f>
        <v>0</v>
      </c>
      <c r="AG230" s="10">
        <f>IF(AND('PV IN'!$D$35="YES",$C230&lt;='PV IN'!$E$35*12),0,-'PV IN'!$E$18*'PV IN'!$E$34/12)</f>
        <v>-750</v>
      </c>
      <c r="AH230" s="10">
        <f>IF(AND('PV IN'!$D$37="YES",$C230&lt;='PV IN'!$E$37*12),0,-'PV IN'!$E$18*'PV IN'!$E$36/12)</f>
        <v>-625</v>
      </c>
      <c r="AI230" s="2">
        <f>IF(AND('PV IN'!$D$33="YES",PVCalcs!C230=ROUNDUP('PV IN'!$H$33*12,)),-'PV IN'!$E$33*'PV IN'!$E$18,0)</f>
        <v>0</v>
      </c>
      <c r="AK230" s="2">
        <f t="shared" si="49"/>
        <v>10975.191991176656</v>
      </c>
      <c r="AL230" s="2">
        <f t="shared" si="50"/>
        <v>-1375</v>
      </c>
      <c r="AM230" s="2">
        <f t="shared" si="54"/>
        <v>9600.1919911766563</v>
      </c>
      <c r="AN230" s="43"/>
      <c r="AO230" s="2">
        <f t="shared" si="51"/>
        <v>0</v>
      </c>
      <c r="AP230" s="2">
        <f t="shared" si="55"/>
        <v>-1375</v>
      </c>
      <c r="AR230" s="2">
        <f t="shared" si="56"/>
        <v>-1375</v>
      </c>
      <c r="AS230" s="2">
        <f>-AR230*'PV IN'!$E$8</f>
        <v>288.75</v>
      </c>
      <c r="AT230" s="2">
        <f>IF('PV IN'!$F$4="Battery Only",0,AM230+AS230)</f>
        <v>9888.9419911766563</v>
      </c>
      <c r="AV230" s="10">
        <f t="shared" si="57"/>
        <v>1233728.0921550768</v>
      </c>
      <c r="AW230" s="2">
        <f>AT230/(1+('PV IN'!$G$9))^(C230)</f>
        <v>3945.3423729503152</v>
      </c>
      <c r="AX230" s="2">
        <f>IF(C230&lt;='PV IN'!$O$22*12,AW230+AX229,NA())</f>
        <v>379078.97475331539</v>
      </c>
      <c r="AZ230" s="10">
        <f t="shared" si="52"/>
        <v>-1375</v>
      </c>
      <c r="BA230" s="10">
        <f t="shared" si="53"/>
        <v>0</v>
      </c>
      <c r="BB230" s="10">
        <f t="shared" si="58"/>
        <v>-1375</v>
      </c>
      <c r="BC230" s="10">
        <f t="shared" si="59"/>
        <v>0</v>
      </c>
      <c r="BD230" s="10">
        <f t="shared" si="60"/>
        <v>-1375</v>
      </c>
      <c r="BE230" s="2">
        <f t="shared" si="61"/>
        <v>0</v>
      </c>
      <c r="BF230" s="10">
        <f t="shared" si="62"/>
        <v>-1375</v>
      </c>
      <c r="BG230" s="2">
        <f>-BF230*'PV IN'!$E$8</f>
        <v>288.75</v>
      </c>
      <c r="BH230" s="2">
        <f>IF('PV IN'!$F$4="Battery Only",0,BB230+BG230)</f>
        <v>-1086.25</v>
      </c>
      <c r="BI230" s="2">
        <f>BH230/(1+('PV IN'!$G$9))^(C230)</f>
        <v>-433.3758006105308</v>
      </c>
    </row>
    <row r="231" spans="2:61" x14ac:dyDescent="0.25">
      <c r="C231">
        <v>227</v>
      </c>
      <c r="D231" s="16">
        <f>D230*(1+('PV IN'!$G$6/12))</f>
        <v>7.5999999999999998E-2</v>
      </c>
      <c r="E231" s="16">
        <f>LkUP!$U$39</f>
        <v>8.3619617987009537E-2</v>
      </c>
      <c r="F231" s="16">
        <f>IF('PV IN'!$D$7="Table",E231,D231)</f>
        <v>8.3619617987009537E-2</v>
      </c>
      <c r="G231" s="33">
        <f>('PV IN'!$E$25*'PV IN'!$E$18/12)*(1-(1-'PV IN'!$E$27)/(25*12))^C230</f>
        <v>131163.89981857789</v>
      </c>
      <c r="H231" s="33">
        <f>IF('PV IN'!$D$19="YES",G231*'PV IN'!$E$21,0)</f>
        <v>0</v>
      </c>
      <c r="I231" s="33">
        <f>IF('PV IN'!$D$19="YES",'PV IN'!$E$22*BattCalcs!W231,0)</f>
        <v>0</v>
      </c>
      <c r="J231" s="33">
        <f>IF('PV IN'!$D$19="YES",'PV IN'!$E$23*BattCalcs!Y231,0)</f>
        <v>0</v>
      </c>
      <c r="K231" s="33">
        <f>BattCalcs!AF231</f>
        <v>25811.765833333331</v>
      </c>
      <c r="L231" s="33">
        <f t="shared" si="63"/>
        <v>25811.765833333331</v>
      </c>
      <c r="M231" s="33">
        <f>IF('PV IN'!$F$4="PV Only",G231,G231-SUM(H231:J231,L231))</f>
        <v>131163.89981857789</v>
      </c>
      <c r="N231" s="2">
        <f>IF(C231&lt;='PV IN'!$I$12*12,'PV IN'!$E$12*G231/1000,0)</f>
        <v>0</v>
      </c>
      <c r="O231" s="2">
        <f>IF(AND(C231&gt;'PV IN'!$I$12*12,C231&lt;='PV IN'!$I$13*12+'PV IN'!$I$12*12),'PV IN'!$E$13*PVCalcs!G231/1000,0)</f>
        <v>0</v>
      </c>
      <c r="P231" s="2">
        <f>IF(AND(C231&gt;'PV IN'!$I$12*12+'PV IN'!$I$13*12,C231&lt;='PV IN'!$I$12*12+'PV IN'!$I$13*12+'PV IN'!$I$14*12),'PV IN'!$E$14*PVCalcs!G231/1000,0)</f>
        <v>0</v>
      </c>
      <c r="R231" s="10">
        <f>IF(AND('PV IN'!$D$35="YES",$C231&lt;='PV IN'!$E$35*12),-'PV IN'!$E$18*'PV IN'!$E$34/12,0)</f>
        <v>0</v>
      </c>
      <c r="S231" s="10">
        <f>IF(AND('PV IN'!$D$37="YES",$C231&lt;='PV IN'!$E$37*12),-'PV IN'!$E$18*'PV IN'!$E$36/12,0)</f>
        <v>0</v>
      </c>
      <c r="U231" s="2">
        <f t="shared" si="64"/>
        <v>10967.875196515874</v>
      </c>
      <c r="V231" s="10">
        <f>PVLoan!M258</f>
        <v>0</v>
      </c>
      <c r="W231" s="2">
        <f>IF(C231='PV IN'!$I$40,IF('PV IN'!$G$40="Non-Taxable",'PV IN'!$F$40,0),0)+IF(C231='PV IN'!$I$41,IF('PV IN'!$G$41="Non-Taxable",'PV IN'!$F$41,0),0)</f>
        <v>0</v>
      </c>
      <c r="X231" s="10"/>
      <c r="Y231" s="10">
        <f>IF('PV IN'!$E$15="Non-Taxable",SUM(N231:P231),0)</f>
        <v>0</v>
      </c>
      <c r="Z231" s="10">
        <f>IF('PV IN'!$E$15="Taxable",SUM(N231:P231),0)</f>
        <v>0</v>
      </c>
      <c r="AA231" s="2">
        <f>IF(C231='PV IN'!$I$40,IF('PV IN'!$G$40="Taxable",'PV IN'!$F$40,0),0)+IF(C231='PV IN'!$I$41,IF('PV IN'!$G$41="Taxable",'PV IN'!$F$41,0),0)</f>
        <v>0</v>
      </c>
      <c r="AD231" s="10">
        <f>IF('PV IN'!$D$48="YES",-U231*'PV IN'!$E$8,0)</f>
        <v>0</v>
      </c>
      <c r="AE231" s="10">
        <f>IF('PV IN'!$N$10="Yes",-PVLoan!H259,-PVLoan!L259)</f>
        <v>0</v>
      </c>
      <c r="AF231" s="10">
        <f>IF('PV IN'!$N$10="Yes",-PVLoan!F259,0)</f>
        <v>0</v>
      </c>
      <c r="AG231" s="10">
        <f>IF(AND('PV IN'!$D$35="YES",$C231&lt;='PV IN'!$E$35*12),0,-'PV IN'!$E$18*'PV IN'!$E$34/12)</f>
        <v>-750</v>
      </c>
      <c r="AH231" s="10">
        <f>IF(AND('PV IN'!$D$37="YES",$C231&lt;='PV IN'!$E$37*12),0,-'PV IN'!$E$18*'PV IN'!$E$36/12)</f>
        <v>-625</v>
      </c>
      <c r="AI231" s="2">
        <f>IF(AND('PV IN'!$D$33="YES",PVCalcs!C231=ROUNDUP('PV IN'!$H$33*12,)),-'PV IN'!$E$33*'PV IN'!$E$18,0)</f>
        <v>0</v>
      </c>
      <c r="AK231" s="2">
        <f t="shared" si="49"/>
        <v>10967.875196515874</v>
      </c>
      <c r="AL231" s="2">
        <f t="shared" si="50"/>
        <v>-1375</v>
      </c>
      <c r="AM231" s="2">
        <f t="shared" si="54"/>
        <v>9592.8751965158735</v>
      </c>
      <c r="AN231" s="43"/>
      <c r="AO231" s="2">
        <f t="shared" si="51"/>
        <v>0</v>
      </c>
      <c r="AP231" s="2">
        <f t="shared" si="55"/>
        <v>-1375</v>
      </c>
      <c r="AR231" s="2">
        <f t="shared" si="56"/>
        <v>-1375</v>
      </c>
      <c r="AS231" s="2">
        <f>-AR231*'PV IN'!$E$8</f>
        <v>288.75</v>
      </c>
      <c r="AT231" s="2">
        <f>IF('PV IN'!$F$4="Battery Only",0,AM231+AS231)</f>
        <v>9881.6251965158735</v>
      </c>
      <c r="AV231" s="10">
        <f t="shared" si="57"/>
        <v>1243609.7173515926</v>
      </c>
      <c r="AW231" s="2">
        <f>AT231/(1+('PV IN'!$G$9))^(C231)</f>
        <v>3926.426479994383</v>
      </c>
      <c r="AX231" s="2">
        <f>IF(C231&lt;='PV IN'!$O$22*12,AW231+AX230,NA())</f>
        <v>383005.40123330976</v>
      </c>
      <c r="AZ231" s="10">
        <f t="shared" si="52"/>
        <v>-1375</v>
      </c>
      <c r="BA231" s="10">
        <f t="shared" si="53"/>
        <v>0</v>
      </c>
      <c r="BB231" s="10">
        <f t="shared" si="58"/>
        <v>-1375</v>
      </c>
      <c r="BC231" s="10">
        <f t="shared" si="59"/>
        <v>0</v>
      </c>
      <c r="BD231" s="10">
        <f t="shared" si="60"/>
        <v>-1375</v>
      </c>
      <c r="BE231" s="2">
        <f t="shared" si="61"/>
        <v>0</v>
      </c>
      <c r="BF231" s="10">
        <f t="shared" si="62"/>
        <v>-1375</v>
      </c>
      <c r="BG231" s="2">
        <f>-BF231*'PV IN'!$E$8</f>
        <v>288.75</v>
      </c>
      <c r="BH231" s="2">
        <f>IF('PV IN'!$F$4="Battery Only",0,BB231+BG231)</f>
        <v>-1086.25</v>
      </c>
      <c r="BI231" s="2">
        <f>BH231/(1+('PV IN'!$G$9))^(C231)</f>
        <v>-431.617338147748</v>
      </c>
    </row>
    <row r="232" spans="2:61" x14ac:dyDescent="0.25">
      <c r="B232">
        <v>19</v>
      </c>
      <c r="C232">
        <v>228</v>
      </c>
      <c r="D232" s="16">
        <f>D231*(1+('PV IN'!$G$6/12))</f>
        <v>7.5999999999999998E-2</v>
      </c>
      <c r="E232" s="16">
        <f>LkUP!$U$39</f>
        <v>8.3619617987009537E-2</v>
      </c>
      <c r="F232" s="16">
        <f>IF('PV IN'!$D$7="Table",E232,D232)</f>
        <v>8.3619617987009537E-2</v>
      </c>
      <c r="G232" s="33">
        <f>('PV IN'!$E$25*'PV IN'!$E$18/12)*(1-(1-'PV IN'!$E$27)/(25*12))^C231</f>
        <v>131076.45721869884</v>
      </c>
      <c r="H232" s="33">
        <f>IF('PV IN'!$D$19="YES",G232*'PV IN'!$E$21,0)</f>
        <v>0</v>
      </c>
      <c r="I232" s="33">
        <f>IF('PV IN'!$D$19="YES",'PV IN'!$E$22*BattCalcs!W232,0)</f>
        <v>0</v>
      </c>
      <c r="J232" s="33">
        <f>IF('PV IN'!$D$19="YES",'PV IN'!$E$23*BattCalcs!Y232,0)</f>
        <v>0</v>
      </c>
      <c r="K232" s="33">
        <f>BattCalcs!AF232</f>
        <v>25811.765833333331</v>
      </c>
      <c r="L232" s="33">
        <f t="shared" si="63"/>
        <v>25811.765833333331</v>
      </c>
      <c r="M232" s="33">
        <f>IF('PV IN'!$F$4="PV Only",G232,G232-SUM(H232:J232,L232))</f>
        <v>131076.45721869884</v>
      </c>
      <c r="N232" s="2">
        <f>IF(C232&lt;='PV IN'!$I$12*12,'PV IN'!$E$12*G232/1000,0)</f>
        <v>0</v>
      </c>
      <c r="O232" s="2">
        <f>IF(AND(C232&gt;'PV IN'!$I$12*12,C232&lt;='PV IN'!$I$13*12+'PV IN'!$I$12*12),'PV IN'!$E$13*PVCalcs!G232/1000,0)</f>
        <v>0</v>
      </c>
      <c r="P232" s="2">
        <f>IF(AND(C232&gt;'PV IN'!$I$12*12+'PV IN'!$I$13*12,C232&lt;='PV IN'!$I$12*12+'PV IN'!$I$13*12+'PV IN'!$I$14*12),'PV IN'!$E$14*PVCalcs!G232/1000,0)</f>
        <v>0</v>
      </c>
      <c r="R232" s="10">
        <f>IF(AND('PV IN'!$D$35="YES",$C232&lt;='PV IN'!$E$35*12),-'PV IN'!$E$18*'PV IN'!$E$34/12,0)</f>
        <v>0</v>
      </c>
      <c r="S232" s="10">
        <f>IF(AND('PV IN'!$D$37="YES",$C232&lt;='PV IN'!$E$37*12),-'PV IN'!$E$18*'PV IN'!$E$36/12,0)</f>
        <v>0</v>
      </c>
      <c r="U232" s="2">
        <f t="shared" si="64"/>
        <v>10960.563279718195</v>
      </c>
      <c r="V232" s="10">
        <f>PVLoan!M259</f>
        <v>0</v>
      </c>
      <c r="W232" s="2">
        <f>IF(C232='PV IN'!$I$40,IF('PV IN'!$G$40="Non-Taxable",'PV IN'!$F$40,0),0)+IF(C232='PV IN'!$I$41,IF('PV IN'!$G$41="Non-Taxable",'PV IN'!$F$41,0),0)</f>
        <v>0</v>
      </c>
      <c r="X232" s="10"/>
      <c r="Y232" s="10">
        <f>IF('PV IN'!$E$15="Non-Taxable",SUM(N232:P232),0)</f>
        <v>0</v>
      </c>
      <c r="Z232" s="10">
        <f>IF('PV IN'!$E$15="Taxable",SUM(N232:P232),0)</f>
        <v>0</v>
      </c>
      <c r="AA232" s="2">
        <f>IF(C232='PV IN'!$I$40,IF('PV IN'!$G$40="Taxable",'PV IN'!$F$40,0),0)+IF(C232='PV IN'!$I$41,IF('PV IN'!$G$41="Taxable",'PV IN'!$F$41,0),0)</f>
        <v>0</v>
      </c>
      <c r="AD232" s="10">
        <f>IF('PV IN'!$D$48="YES",-U232*'PV IN'!$E$8,0)</f>
        <v>0</v>
      </c>
      <c r="AE232" s="10">
        <f>IF('PV IN'!$N$10="Yes",-PVLoan!H260,-PVLoan!L260)</f>
        <v>0</v>
      </c>
      <c r="AF232" s="10">
        <f>IF('PV IN'!$N$10="Yes",-PVLoan!F260,0)</f>
        <v>0</v>
      </c>
      <c r="AG232" s="10">
        <f>IF(AND('PV IN'!$D$35="YES",$C232&lt;='PV IN'!$E$35*12),0,-'PV IN'!$E$18*'PV IN'!$E$34/12)</f>
        <v>-750</v>
      </c>
      <c r="AH232" s="10">
        <f>IF(AND('PV IN'!$D$37="YES",$C232&lt;='PV IN'!$E$37*12),0,-'PV IN'!$E$18*'PV IN'!$E$36/12)</f>
        <v>-625</v>
      </c>
      <c r="AI232" s="2">
        <f>IF(AND('PV IN'!$D$33="YES",PVCalcs!C232=ROUNDUP('PV IN'!$H$33*12,)),-'PV IN'!$E$33*'PV IN'!$E$18,0)</f>
        <v>0</v>
      </c>
      <c r="AK232" s="2">
        <f t="shared" si="49"/>
        <v>10960.563279718195</v>
      </c>
      <c r="AL232" s="2">
        <f t="shared" si="50"/>
        <v>-1375</v>
      </c>
      <c r="AM232" s="2">
        <f t="shared" si="54"/>
        <v>9585.5632797181952</v>
      </c>
      <c r="AN232" s="43"/>
      <c r="AO232" s="2">
        <f t="shared" si="51"/>
        <v>0</v>
      </c>
      <c r="AP232" s="2">
        <f t="shared" si="55"/>
        <v>-1375</v>
      </c>
      <c r="AR232" s="2">
        <f t="shared" si="56"/>
        <v>-1375</v>
      </c>
      <c r="AS232" s="2">
        <f>-AR232*'PV IN'!$E$8</f>
        <v>288.75</v>
      </c>
      <c r="AT232" s="2">
        <f>IF('PV IN'!$F$4="Battery Only",0,AM232+AS232)</f>
        <v>9874.3132797181952</v>
      </c>
      <c r="AV232" s="10">
        <f t="shared" si="57"/>
        <v>1253484.0306313108</v>
      </c>
      <c r="AW232" s="2">
        <f>AT232/(1+('PV IN'!$G$9))^(C232)</f>
        <v>3907.6010670048609</v>
      </c>
      <c r="AX232" s="2">
        <f>IF(C232&lt;='PV IN'!$O$22*12,AW232+AX231,NA())</f>
        <v>386913.00230031461</v>
      </c>
      <c r="AZ232" s="10">
        <f t="shared" si="52"/>
        <v>-1375</v>
      </c>
      <c r="BA232" s="10">
        <f t="shared" si="53"/>
        <v>0</v>
      </c>
      <c r="BB232" s="10">
        <f t="shared" si="58"/>
        <v>-1375</v>
      </c>
      <c r="BC232" s="10">
        <f t="shared" si="59"/>
        <v>0</v>
      </c>
      <c r="BD232" s="10">
        <f t="shared" si="60"/>
        <v>-1375</v>
      </c>
      <c r="BE232" s="2">
        <f t="shared" si="61"/>
        <v>0</v>
      </c>
      <c r="BF232" s="10">
        <f t="shared" si="62"/>
        <v>-1375</v>
      </c>
      <c r="BG232" s="2">
        <f>-BF232*'PV IN'!$E$8</f>
        <v>288.75</v>
      </c>
      <c r="BH232" s="2">
        <f>IF('PV IN'!$F$4="Battery Only",0,BB232+BG232)</f>
        <v>-1086.25</v>
      </c>
      <c r="BI232" s="2">
        <f>BH232/(1+('PV IN'!$G$9))^(C232)</f>
        <v>-429.86601080932775</v>
      </c>
    </row>
    <row r="233" spans="2:61" x14ac:dyDescent="0.25">
      <c r="C233">
        <v>229</v>
      </c>
      <c r="D233" s="16">
        <f>D232*(1+('PV IN'!$G$6/12))</f>
        <v>7.5999999999999998E-2</v>
      </c>
      <c r="E233" s="16">
        <f>LkUP!$U$40</f>
        <v>8.3481784272323598E-2</v>
      </c>
      <c r="F233" s="16">
        <f>IF('PV IN'!$D$7="Table",E233,D233)</f>
        <v>8.3481784272323598E-2</v>
      </c>
      <c r="G233" s="33">
        <f>('PV IN'!$E$25*'PV IN'!$E$18/12)*(1-(1-'PV IN'!$E$27)/(25*12))^C232</f>
        <v>130989.07291388637</v>
      </c>
      <c r="H233" s="33">
        <f>IF('PV IN'!$D$19="YES",G233*'PV IN'!$E$21,0)</f>
        <v>0</v>
      </c>
      <c r="I233" s="33">
        <f>IF('PV IN'!$D$19="YES",'PV IN'!$E$22*BattCalcs!W233,0)</f>
        <v>0</v>
      </c>
      <c r="J233" s="33">
        <f>IF('PV IN'!$D$19="YES",'PV IN'!$E$23*BattCalcs!Y233,0)</f>
        <v>0</v>
      </c>
      <c r="K233" s="33">
        <f>BattCalcs!AF233</f>
        <v>25811.765833333331</v>
      </c>
      <c r="L233" s="33">
        <f t="shared" si="63"/>
        <v>25811.765833333331</v>
      </c>
      <c r="M233" s="33">
        <f>IF('PV IN'!$F$4="PV Only",G233,G233-SUM(H233:J233,L233))</f>
        <v>130989.07291388637</v>
      </c>
      <c r="N233" s="2">
        <f>IF(C233&lt;='PV IN'!$I$12*12,'PV IN'!$E$12*G233/1000,0)</f>
        <v>0</v>
      </c>
      <c r="O233" s="2">
        <f>IF(AND(C233&gt;'PV IN'!$I$12*12,C233&lt;='PV IN'!$I$13*12+'PV IN'!$I$12*12),'PV IN'!$E$13*PVCalcs!G233/1000,0)</f>
        <v>0</v>
      </c>
      <c r="P233" s="2">
        <f>IF(AND(C233&gt;'PV IN'!$I$12*12+'PV IN'!$I$13*12,C233&lt;='PV IN'!$I$12*12+'PV IN'!$I$13*12+'PV IN'!$I$14*12),'PV IN'!$E$14*PVCalcs!G233/1000,0)</f>
        <v>0</v>
      </c>
      <c r="R233" s="10">
        <f>IF(AND('PV IN'!$D$35="YES",$C233&lt;='PV IN'!$E$35*12),-'PV IN'!$E$18*'PV IN'!$E$34/12,0)</f>
        <v>0</v>
      </c>
      <c r="S233" s="10">
        <f>IF(AND('PV IN'!$D$37="YES",$C233&lt;='PV IN'!$E$37*12),-'PV IN'!$E$18*'PV IN'!$E$36/12,0)</f>
        <v>0</v>
      </c>
      <c r="U233" s="2">
        <f t="shared" si="64"/>
        <v>10935.201527028728</v>
      </c>
      <c r="V233" s="10">
        <f>PVLoan!M260</f>
        <v>0</v>
      </c>
      <c r="W233" s="2">
        <f>IF(C233='PV IN'!$I$40,IF('PV IN'!$G$40="Non-Taxable",'PV IN'!$F$40,0),0)+IF(C233='PV IN'!$I$41,IF('PV IN'!$G$41="Non-Taxable",'PV IN'!$F$41,0),0)</f>
        <v>0</v>
      </c>
      <c r="X233" s="10"/>
      <c r="Y233" s="10">
        <f>IF('PV IN'!$E$15="Non-Taxable",SUM(N233:P233),0)</f>
        <v>0</v>
      </c>
      <c r="Z233" s="10">
        <f>IF('PV IN'!$E$15="Taxable",SUM(N233:P233),0)</f>
        <v>0</v>
      </c>
      <c r="AA233" s="2">
        <f>IF(C233='PV IN'!$I$40,IF('PV IN'!$G$40="Taxable",'PV IN'!$F$40,0),0)+IF(C233='PV IN'!$I$41,IF('PV IN'!$G$41="Taxable",'PV IN'!$F$41,0),0)</f>
        <v>0</v>
      </c>
      <c r="AD233" s="10">
        <f>IF('PV IN'!$D$48="YES",-U233*'PV IN'!$E$8,0)</f>
        <v>0</v>
      </c>
      <c r="AE233" s="10">
        <f>IF('PV IN'!$N$10="Yes",-PVLoan!H261,-PVLoan!L261)</f>
        <v>0</v>
      </c>
      <c r="AF233" s="10">
        <f>IF('PV IN'!$N$10="Yes",-PVLoan!F261,0)</f>
        <v>0</v>
      </c>
      <c r="AG233" s="10">
        <f>IF(AND('PV IN'!$D$35="YES",$C233&lt;='PV IN'!$E$35*12),0,-'PV IN'!$E$18*'PV IN'!$E$34/12)</f>
        <v>-750</v>
      </c>
      <c r="AH233" s="10">
        <f>IF(AND('PV IN'!$D$37="YES",$C233&lt;='PV IN'!$E$37*12),0,-'PV IN'!$E$18*'PV IN'!$E$36/12)</f>
        <v>-625</v>
      </c>
      <c r="AI233" s="2">
        <f>IF(AND('PV IN'!$D$33="YES",PVCalcs!C233=ROUNDUP('PV IN'!$H$33*12,)),-'PV IN'!$E$33*'PV IN'!$E$18,0)</f>
        <v>0</v>
      </c>
      <c r="AK233" s="2">
        <f t="shared" si="49"/>
        <v>10935.201527028728</v>
      </c>
      <c r="AL233" s="2">
        <f t="shared" si="50"/>
        <v>-1375</v>
      </c>
      <c r="AM233" s="2">
        <f t="shared" si="54"/>
        <v>9560.2015270287284</v>
      </c>
      <c r="AN233" s="43"/>
      <c r="AO233" s="2">
        <f t="shared" si="51"/>
        <v>0</v>
      </c>
      <c r="AP233" s="2">
        <f t="shared" si="55"/>
        <v>-1375</v>
      </c>
      <c r="AR233" s="2">
        <f t="shared" si="56"/>
        <v>-1375</v>
      </c>
      <c r="AS233" s="2">
        <f>-AR233*'PV IN'!$E$8</f>
        <v>288.75</v>
      </c>
      <c r="AT233" s="2">
        <f>IF('PV IN'!$F$4="Battery Only",0,AM233+AS233)</f>
        <v>9848.9515270287284</v>
      </c>
      <c r="AV233" s="10">
        <f t="shared" si="57"/>
        <v>1263332.9821583396</v>
      </c>
      <c r="AW233" s="2">
        <f>AT233/(1+('PV IN'!$G$9))^(C233)</f>
        <v>3881.7498309477437</v>
      </c>
      <c r="AX233" s="2">
        <f>IF(C233&lt;='PV IN'!$O$22*12,AW233+AX232,NA())</f>
        <v>390794.75213126233</v>
      </c>
      <c r="AZ233" s="10">
        <f t="shared" si="52"/>
        <v>-1375</v>
      </c>
      <c r="BA233" s="10">
        <f t="shared" si="53"/>
        <v>0</v>
      </c>
      <c r="BB233" s="10">
        <f t="shared" si="58"/>
        <v>-1375</v>
      </c>
      <c r="BC233" s="10">
        <f t="shared" si="59"/>
        <v>0</v>
      </c>
      <c r="BD233" s="10">
        <f t="shared" si="60"/>
        <v>-1375</v>
      </c>
      <c r="BE233" s="2">
        <f t="shared" si="61"/>
        <v>0</v>
      </c>
      <c r="BF233" s="10">
        <f t="shared" si="62"/>
        <v>-1375</v>
      </c>
      <c r="BG233" s="2">
        <f>-BF233*'PV IN'!$E$8</f>
        <v>288.75</v>
      </c>
      <c r="BH233" s="2">
        <f>IF('PV IN'!$F$4="Battery Only",0,BB233+BG233)</f>
        <v>-1086.25</v>
      </c>
      <c r="BI233" s="2">
        <f>BH233/(1+('PV IN'!$G$9))^(C233)</f>
        <v>-428.12178964384168</v>
      </c>
    </row>
    <row r="234" spans="2:61" x14ac:dyDescent="0.25">
      <c r="C234">
        <v>230</v>
      </c>
      <c r="D234" s="16">
        <f>D233*(1+('PV IN'!$G$6/12))</f>
        <v>7.5999999999999998E-2</v>
      </c>
      <c r="E234" s="16">
        <f>LkUP!$U$40</f>
        <v>8.3481784272323598E-2</v>
      </c>
      <c r="F234" s="16">
        <f>IF('PV IN'!$D$7="Table",E234,D234)</f>
        <v>8.3481784272323598E-2</v>
      </c>
      <c r="G234" s="33">
        <f>('PV IN'!$E$25*'PV IN'!$E$18/12)*(1-(1-'PV IN'!$E$27)/(25*12))^C233</f>
        <v>130901.74686527711</v>
      </c>
      <c r="H234" s="33">
        <f>IF('PV IN'!$D$19="YES",G234*'PV IN'!$E$21,0)</f>
        <v>0</v>
      </c>
      <c r="I234" s="33">
        <f>IF('PV IN'!$D$19="YES",'PV IN'!$E$22*BattCalcs!W234,0)</f>
        <v>0</v>
      </c>
      <c r="J234" s="33">
        <f>IF('PV IN'!$D$19="YES",'PV IN'!$E$23*BattCalcs!Y234,0)</f>
        <v>0</v>
      </c>
      <c r="K234" s="33">
        <f>BattCalcs!AF234</f>
        <v>25811.765833333331</v>
      </c>
      <c r="L234" s="33">
        <f t="shared" si="63"/>
        <v>25811.765833333331</v>
      </c>
      <c r="M234" s="33">
        <f>IF('PV IN'!$F$4="PV Only",G234,G234-SUM(H234:J234,L234))</f>
        <v>130901.74686527711</v>
      </c>
      <c r="N234" s="2">
        <f>IF(C234&lt;='PV IN'!$I$12*12,'PV IN'!$E$12*G234/1000,0)</f>
        <v>0</v>
      </c>
      <c r="O234" s="2">
        <f>IF(AND(C234&gt;'PV IN'!$I$12*12,C234&lt;='PV IN'!$I$13*12+'PV IN'!$I$12*12),'PV IN'!$E$13*PVCalcs!G234/1000,0)</f>
        <v>0</v>
      </c>
      <c r="P234" s="2">
        <f>IF(AND(C234&gt;'PV IN'!$I$12*12+'PV IN'!$I$13*12,C234&lt;='PV IN'!$I$12*12+'PV IN'!$I$13*12+'PV IN'!$I$14*12),'PV IN'!$E$14*PVCalcs!G234/1000,0)</f>
        <v>0</v>
      </c>
      <c r="R234" s="10">
        <f>IF(AND('PV IN'!$D$35="YES",$C234&lt;='PV IN'!$E$35*12),-'PV IN'!$E$18*'PV IN'!$E$34/12,0)</f>
        <v>0</v>
      </c>
      <c r="S234" s="10">
        <f>IF(AND('PV IN'!$D$37="YES",$C234&lt;='PV IN'!$E$37*12),-'PV IN'!$E$18*'PV IN'!$E$36/12,0)</f>
        <v>0</v>
      </c>
      <c r="U234" s="2">
        <f t="shared" si="64"/>
        <v>10927.911392677375</v>
      </c>
      <c r="V234" s="10">
        <f>PVLoan!M261</f>
        <v>0</v>
      </c>
      <c r="W234" s="2">
        <f>IF(C234='PV IN'!$I$40,IF('PV IN'!$G$40="Non-Taxable",'PV IN'!$F$40,0),0)+IF(C234='PV IN'!$I$41,IF('PV IN'!$G$41="Non-Taxable",'PV IN'!$F$41,0),0)</f>
        <v>0</v>
      </c>
      <c r="X234" s="10"/>
      <c r="Y234" s="10">
        <f>IF('PV IN'!$E$15="Non-Taxable",SUM(N234:P234),0)</f>
        <v>0</v>
      </c>
      <c r="Z234" s="10">
        <f>IF('PV IN'!$E$15="Taxable",SUM(N234:P234),0)</f>
        <v>0</v>
      </c>
      <c r="AA234" s="2">
        <f>IF(C234='PV IN'!$I$40,IF('PV IN'!$G$40="Taxable",'PV IN'!$F$40,0),0)+IF(C234='PV IN'!$I$41,IF('PV IN'!$G$41="Taxable",'PV IN'!$F$41,0),0)</f>
        <v>0</v>
      </c>
      <c r="AD234" s="10">
        <f>IF('PV IN'!$D$48="YES",-U234*'PV IN'!$E$8,0)</f>
        <v>0</v>
      </c>
      <c r="AE234" s="10">
        <f>IF('PV IN'!$N$10="Yes",-PVLoan!H262,-PVLoan!L262)</f>
        <v>0</v>
      </c>
      <c r="AF234" s="10">
        <f>IF('PV IN'!$N$10="Yes",-PVLoan!F262,0)</f>
        <v>0</v>
      </c>
      <c r="AG234" s="10">
        <f>IF(AND('PV IN'!$D$35="YES",$C234&lt;='PV IN'!$E$35*12),0,-'PV IN'!$E$18*'PV IN'!$E$34/12)</f>
        <v>-750</v>
      </c>
      <c r="AH234" s="10">
        <f>IF(AND('PV IN'!$D$37="YES",$C234&lt;='PV IN'!$E$37*12),0,-'PV IN'!$E$18*'PV IN'!$E$36/12)</f>
        <v>-625</v>
      </c>
      <c r="AI234" s="2">
        <f>IF(AND('PV IN'!$D$33="YES",PVCalcs!C234=ROUNDUP('PV IN'!$H$33*12,)),-'PV IN'!$E$33*'PV IN'!$E$18,0)</f>
        <v>0</v>
      </c>
      <c r="AK234" s="2">
        <f t="shared" si="49"/>
        <v>10927.911392677375</v>
      </c>
      <c r="AL234" s="2">
        <f t="shared" si="50"/>
        <v>-1375</v>
      </c>
      <c r="AM234" s="2">
        <f t="shared" si="54"/>
        <v>9552.9113926773753</v>
      </c>
      <c r="AN234" s="43"/>
      <c r="AO234" s="2">
        <f t="shared" si="51"/>
        <v>0</v>
      </c>
      <c r="AP234" s="2">
        <f t="shared" si="55"/>
        <v>-1375</v>
      </c>
      <c r="AR234" s="2">
        <f t="shared" si="56"/>
        <v>-1375</v>
      </c>
      <c r="AS234" s="2">
        <f>-AR234*'PV IN'!$E$8</f>
        <v>288.75</v>
      </c>
      <c r="AT234" s="2">
        <f>IF('PV IN'!$F$4="Battery Only",0,AM234+AS234)</f>
        <v>9841.6613926773753</v>
      </c>
      <c r="AV234" s="10">
        <f t="shared" si="57"/>
        <v>1273174.6435510169</v>
      </c>
      <c r="AW234" s="2">
        <f>AT234/(1+('PV IN'!$G$9))^(C234)</f>
        <v>3863.1376820905684</v>
      </c>
      <c r="AX234" s="2">
        <f>IF(C234&lt;='PV IN'!$O$22*12,AW234+AX233,NA())</f>
        <v>394657.8898133529</v>
      </c>
      <c r="AZ234" s="10">
        <f t="shared" si="52"/>
        <v>-1375</v>
      </c>
      <c r="BA234" s="10">
        <f t="shared" si="53"/>
        <v>0</v>
      </c>
      <c r="BB234" s="10">
        <f t="shared" si="58"/>
        <v>-1375</v>
      </c>
      <c r="BC234" s="10">
        <f t="shared" si="59"/>
        <v>0</v>
      </c>
      <c r="BD234" s="10">
        <f t="shared" si="60"/>
        <v>-1375</v>
      </c>
      <c r="BE234" s="2">
        <f t="shared" si="61"/>
        <v>0</v>
      </c>
      <c r="BF234" s="10">
        <f t="shared" si="62"/>
        <v>-1375</v>
      </c>
      <c r="BG234" s="2">
        <f>-BF234*'PV IN'!$E$8</f>
        <v>288.75</v>
      </c>
      <c r="BH234" s="2">
        <f>IF('PV IN'!$F$4="Battery Only",0,BB234+BG234)</f>
        <v>-1086.25</v>
      </c>
      <c r="BI234" s="2">
        <f>BH234/(1+('PV IN'!$G$9))^(C234)</f>
        <v>-426.38464581733473</v>
      </c>
    </row>
    <row r="235" spans="2:61" x14ac:dyDescent="0.25">
      <c r="C235">
        <v>231</v>
      </c>
      <c r="D235" s="16">
        <f>D234*(1+('PV IN'!$G$6/12))</f>
        <v>7.5999999999999998E-2</v>
      </c>
      <c r="E235" s="16">
        <f>LkUP!$U$40</f>
        <v>8.3481784272323598E-2</v>
      </c>
      <c r="F235" s="16">
        <f>IF('PV IN'!$D$7="Table",E235,D235)</f>
        <v>8.3481784272323598E-2</v>
      </c>
      <c r="G235" s="33">
        <f>('PV IN'!$E$25*'PV IN'!$E$18/12)*(1-(1-'PV IN'!$E$27)/(25*12))^C234</f>
        <v>130814.47903403359</v>
      </c>
      <c r="H235" s="33">
        <f>IF('PV IN'!$D$19="YES",G235*'PV IN'!$E$21,0)</f>
        <v>0</v>
      </c>
      <c r="I235" s="33">
        <f>IF('PV IN'!$D$19="YES",'PV IN'!$E$22*BattCalcs!W235,0)</f>
        <v>0</v>
      </c>
      <c r="J235" s="33">
        <f>IF('PV IN'!$D$19="YES",'PV IN'!$E$23*BattCalcs!Y235,0)</f>
        <v>0</v>
      </c>
      <c r="K235" s="33">
        <f>BattCalcs!AF235</f>
        <v>25811.765833333331</v>
      </c>
      <c r="L235" s="33">
        <f t="shared" si="63"/>
        <v>25811.765833333331</v>
      </c>
      <c r="M235" s="33">
        <f>IF('PV IN'!$F$4="PV Only",G235,G235-SUM(H235:J235,L235))</f>
        <v>130814.47903403359</v>
      </c>
      <c r="N235" s="2">
        <f>IF(C235&lt;='PV IN'!$I$12*12,'PV IN'!$E$12*G235/1000,0)</f>
        <v>0</v>
      </c>
      <c r="O235" s="2">
        <f>IF(AND(C235&gt;'PV IN'!$I$12*12,C235&lt;='PV IN'!$I$13*12+'PV IN'!$I$12*12),'PV IN'!$E$13*PVCalcs!G235/1000,0)</f>
        <v>0</v>
      </c>
      <c r="P235" s="2">
        <f>IF(AND(C235&gt;'PV IN'!$I$12*12+'PV IN'!$I$13*12,C235&lt;='PV IN'!$I$12*12+'PV IN'!$I$13*12+'PV IN'!$I$14*12),'PV IN'!$E$14*PVCalcs!G235/1000,0)</f>
        <v>0</v>
      </c>
      <c r="R235" s="10">
        <f>IF(AND('PV IN'!$D$35="YES",$C235&lt;='PV IN'!$E$35*12),-'PV IN'!$E$18*'PV IN'!$E$34/12,0)</f>
        <v>0</v>
      </c>
      <c r="S235" s="10">
        <f>IF(AND('PV IN'!$D$37="YES",$C235&lt;='PV IN'!$E$37*12),-'PV IN'!$E$18*'PV IN'!$E$36/12,0)</f>
        <v>0</v>
      </c>
      <c r="U235" s="2">
        <f t="shared" si="64"/>
        <v>10920.62611841559</v>
      </c>
      <c r="V235" s="10">
        <f>PVLoan!M262</f>
        <v>0</v>
      </c>
      <c r="W235" s="2">
        <f>IF(C235='PV IN'!$I$40,IF('PV IN'!$G$40="Non-Taxable",'PV IN'!$F$40,0),0)+IF(C235='PV IN'!$I$41,IF('PV IN'!$G$41="Non-Taxable",'PV IN'!$F$41,0),0)</f>
        <v>0</v>
      </c>
      <c r="X235" s="10"/>
      <c r="Y235" s="10">
        <f>IF('PV IN'!$E$15="Non-Taxable",SUM(N235:P235),0)</f>
        <v>0</v>
      </c>
      <c r="Z235" s="10">
        <f>IF('PV IN'!$E$15="Taxable",SUM(N235:P235),0)</f>
        <v>0</v>
      </c>
      <c r="AA235" s="2">
        <f>IF(C235='PV IN'!$I$40,IF('PV IN'!$G$40="Taxable",'PV IN'!$F$40,0),0)+IF(C235='PV IN'!$I$41,IF('PV IN'!$G$41="Taxable",'PV IN'!$F$41,0),0)</f>
        <v>0</v>
      </c>
      <c r="AD235" s="10">
        <f>IF('PV IN'!$D$48="YES",-U235*'PV IN'!$E$8,0)</f>
        <v>0</v>
      </c>
      <c r="AE235" s="10">
        <f>IF('PV IN'!$N$10="Yes",-PVLoan!H263,-PVLoan!L263)</f>
        <v>0</v>
      </c>
      <c r="AF235" s="10">
        <f>IF('PV IN'!$N$10="Yes",-PVLoan!F263,0)</f>
        <v>0</v>
      </c>
      <c r="AG235" s="10">
        <f>IF(AND('PV IN'!$D$35="YES",$C235&lt;='PV IN'!$E$35*12),0,-'PV IN'!$E$18*'PV IN'!$E$34/12)</f>
        <v>-750</v>
      </c>
      <c r="AH235" s="10">
        <f>IF(AND('PV IN'!$D$37="YES",$C235&lt;='PV IN'!$E$37*12),0,-'PV IN'!$E$18*'PV IN'!$E$36/12)</f>
        <v>-625</v>
      </c>
      <c r="AI235" s="2">
        <f>IF(AND('PV IN'!$D$33="YES",PVCalcs!C235=ROUNDUP('PV IN'!$H$33*12,)),-'PV IN'!$E$33*'PV IN'!$E$18,0)</f>
        <v>0</v>
      </c>
      <c r="AK235" s="2">
        <f t="shared" si="49"/>
        <v>10920.62611841559</v>
      </c>
      <c r="AL235" s="2">
        <f t="shared" si="50"/>
        <v>-1375</v>
      </c>
      <c r="AM235" s="2">
        <f t="shared" si="54"/>
        <v>9545.6261184155901</v>
      </c>
      <c r="AN235" s="43"/>
      <c r="AO235" s="2">
        <f t="shared" si="51"/>
        <v>0</v>
      </c>
      <c r="AP235" s="2">
        <f t="shared" si="55"/>
        <v>-1375</v>
      </c>
      <c r="AR235" s="2">
        <f t="shared" si="56"/>
        <v>-1375</v>
      </c>
      <c r="AS235" s="2">
        <f>-AR235*'PV IN'!$E$8</f>
        <v>288.75</v>
      </c>
      <c r="AT235" s="2">
        <f>IF('PV IN'!$F$4="Battery Only",0,AM235+AS235)</f>
        <v>9834.3761184155901</v>
      </c>
      <c r="AV235" s="10">
        <f t="shared" si="57"/>
        <v>1283009.0196694324</v>
      </c>
      <c r="AW235" s="2">
        <f>AT235/(1+('PV IN'!$G$9))^(C235)</f>
        <v>3844.6145649008067</v>
      </c>
      <c r="AX235" s="2">
        <f>IF(C235&lt;='PV IN'!$O$22*12,AW235+AX234,NA())</f>
        <v>398502.50437825371</v>
      </c>
      <c r="AZ235" s="10">
        <f t="shared" si="52"/>
        <v>-1375</v>
      </c>
      <c r="BA235" s="10">
        <f t="shared" si="53"/>
        <v>0</v>
      </c>
      <c r="BB235" s="10">
        <f t="shared" si="58"/>
        <v>-1375</v>
      </c>
      <c r="BC235" s="10">
        <f t="shared" si="59"/>
        <v>0</v>
      </c>
      <c r="BD235" s="10">
        <f t="shared" si="60"/>
        <v>-1375</v>
      </c>
      <c r="BE235" s="2">
        <f t="shared" si="61"/>
        <v>0</v>
      </c>
      <c r="BF235" s="10">
        <f t="shared" si="62"/>
        <v>-1375</v>
      </c>
      <c r="BG235" s="2">
        <f>-BF235*'PV IN'!$E$8</f>
        <v>288.75</v>
      </c>
      <c r="BH235" s="2">
        <f>IF('PV IN'!$F$4="Battery Only",0,BB235+BG235)</f>
        <v>-1086.25</v>
      </c>
      <c r="BI235" s="2">
        <f>BH235/(1+('PV IN'!$G$9))^(C235)</f>
        <v>-424.65455061284842</v>
      </c>
    </row>
    <row r="236" spans="2:61" x14ac:dyDescent="0.25">
      <c r="C236">
        <v>232</v>
      </c>
      <c r="D236" s="16">
        <f>D235*(1+('PV IN'!$G$6/12))</f>
        <v>7.5999999999999998E-2</v>
      </c>
      <c r="E236" s="16">
        <f>LkUP!$U$40</f>
        <v>8.3481784272323598E-2</v>
      </c>
      <c r="F236" s="16">
        <f>IF('PV IN'!$D$7="Table",E236,D236)</f>
        <v>8.3481784272323598E-2</v>
      </c>
      <c r="G236" s="33">
        <f>('PV IN'!$E$25*'PV IN'!$E$18/12)*(1-(1-'PV IN'!$E$27)/(25*12))^C235</f>
        <v>130727.26938134423</v>
      </c>
      <c r="H236" s="33">
        <f>IF('PV IN'!$D$19="YES",G236*'PV IN'!$E$21,0)</f>
        <v>0</v>
      </c>
      <c r="I236" s="33">
        <f>IF('PV IN'!$D$19="YES",'PV IN'!$E$22*BattCalcs!W236,0)</f>
        <v>0</v>
      </c>
      <c r="J236" s="33">
        <f>IF('PV IN'!$D$19="YES",'PV IN'!$E$23*BattCalcs!Y236,0)</f>
        <v>0</v>
      </c>
      <c r="K236" s="33">
        <f>BattCalcs!AF236</f>
        <v>25811.765833333331</v>
      </c>
      <c r="L236" s="33">
        <f t="shared" si="63"/>
        <v>25811.765833333331</v>
      </c>
      <c r="M236" s="33">
        <f>IF('PV IN'!$F$4="PV Only",G236,G236-SUM(H236:J236,L236))</f>
        <v>130727.26938134423</v>
      </c>
      <c r="N236" s="2">
        <f>IF(C236&lt;='PV IN'!$I$12*12,'PV IN'!$E$12*G236/1000,0)</f>
        <v>0</v>
      </c>
      <c r="O236" s="2">
        <f>IF(AND(C236&gt;'PV IN'!$I$12*12,C236&lt;='PV IN'!$I$13*12+'PV IN'!$I$12*12),'PV IN'!$E$13*PVCalcs!G236/1000,0)</f>
        <v>0</v>
      </c>
      <c r="P236" s="2">
        <f>IF(AND(C236&gt;'PV IN'!$I$12*12+'PV IN'!$I$13*12,C236&lt;='PV IN'!$I$12*12+'PV IN'!$I$13*12+'PV IN'!$I$14*12),'PV IN'!$E$14*PVCalcs!G236/1000,0)</f>
        <v>0</v>
      </c>
      <c r="R236" s="10">
        <f>IF(AND('PV IN'!$D$35="YES",$C236&lt;='PV IN'!$E$35*12),-'PV IN'!$E$18*'PV IN'!$E$34/12,0)</f>
        <v>0</v>
      </c>
      <c r="S236" s="10">
        <f>IF(AND('PV IN'!$D$37="YES",$C236&lt;='PV IN'!$E$37*12),-'PV IN'!$E$18*'PV IN'!$E$36/12,0)</f>
        <v>0</v>
      </c>
      <c r="U236" s="2">
        <f t="shared" si="64"/>
        <v>10913.345701003313</v>
      </c>
      <c r="V236" s="10">
        <f>PVLoan!M263</f>
        <v>0</v>
      </c>
      <c r="W236" s="2">
        <f>IF(C236='PV IN'!$I$40,IF('PV IN'!$G$40="Non-Taxable",'PV IN'!$F$40,0),0)+IF(C236='PV IN'!$I$41,IF('PV IN'!$G$41="Non-Taxable",'PV IN'!$F$41,0),0)</f>
        <v>0</v>
      </c>
      <c r="X236" s="10"/>
      <c r="Y236" s="10">
        <f>IF('PV IN'!$E$15="Non-Taxable",SUM(N236:P236),0)</f>
        <v>0</v>
      </c>
      <c r="Z236" s="10">
        <f>IF('PV IN'!$E$15="Taxable",SUM(N236:P236),0)</f>
        <v>0</v>
      </c>
      <c r="AA236" s="2">
        <f>IF(C236='PV IN'!$I$40,IF('PV IN'!$G$40="Taxable",'PV IN'!$F$40,0),0)+IF(C236='PV IN'!$I$41,IF('PV IN'!$G$41="Taxable",'PV IN'!$F$41,0),0)</f>
        <v>0</v>
      </c>
      <c r="AD236" s="10">
        <f>IF('PV IN'!$D$48="YES",-U236*'PV IN'!$E$8,0)</f>
        <v>0</v>
      </c>
      <c r="AE236" s="10">
        <f>IF('PV IN'!$N$10="Yes",-PVLoan!H264,-PVLoan!L264)</f>
        <v>0</v>
      </c>
      <c r="AF236" s="10">
        <f>IF('PV IN'!$N$10="Yes",-PVLoan!F264,0)</f>
        <v>0</v>
      </c>
      <c r="AG236" s="10">
        <f>IF(AND('PV IN'!$D$35="YES",$C236&lt;='PV IN'!$E$35*12),0,-'PV IN'!$E$18*'PV IN'!$E$34/12)</f>
        <v>-750</v>
      </c>
      <c r="AH236" s="10">
        <f>IF(AND('PV IN'!$D$37="YES",$C236&lt;='PV IN'!$E$37*12),0,-'PV IN'!$E$18*'PV IN'!$E$36/12)</f>
        <v>-625</v>
      </c>
      <c r="AI236" s="2">
        <f>IF(AND('PV IN'!$D$33="YES",PVCalcs!C236=ROUNDUP('PV IN'!$H$33*12,)),-'PV IN'!$E$33*'PV IN'!$E$18,0)</f>
        <v>0</v>
      </c>
      <c r="AK236" s="2">
        <f t="shared" si="49"/>
        <v>10913.345701003313</v>
      </c>
      <c r="AL236" s="2">
        <f t="shared" si="50"/>
        <v>-1375</v>
      </c>
      <c r="AM236" s="2">
        <f t="shared" si="54"/>
        <v>9538.3457010033126</v>
      </c>
      <c r="AN236" s="43"/>
      <c r="AO236" s="2">
        <f t="shared" si="51"/>
        <v>0</v>
      </c>
      <c r="AP236" s="2">
        <f t="shared" si="55"/>
        <v>-1375</v>
      </c>
      <c r="AR236" s="2">
        <f t="shared" si="56"/>
        <v>-1375</v>
      </c>
      <c r="AS236" s="2">
        <f>-AR236*'PV IN'!$E$8</f>
        <v>288.75</v>
      </c>
      <c r="AT236" s="2">
        <f>IF('PV IN'!$F$4="Battery Only",0,AM236+AS236)</f>
        <v>9827.0957010033126</v>
      </c>
      <c r="AV236" s="10">
        <f t="shared" si="57"/>
        <v>1292836.1153704356</v>
      </c>
      <c r="AW236" s="2">
        <f>AT236/(1+('PV IN'!$G$9))^(C236)</f>
        <v>3826.1800543305949</v>
      </c>
      <c r="AX236" s="2">
        <f>IF(C236&lt;='PV IN'!$O$22*12,AW236+AX235,NA())</f>
        <v>402328.68443258433</v>
      </c>
      <c r="AZ236" s="10">
        <f t="shared" si="52"/>
        <v>-1375</v>
      </c>
      <c r="BA236" s="10">
        <f t="shared" si="53"/>
        <v>0</v>
      </c>
      <c r="BB236" s="10">
        <f t="shared" si="58"/>
        <v>-1375</v>
      </c>
      <c r="BC236" s="10">
        <f t="shared" si="59"/>
        <v>0</v>
      </c>
      <c r="BD236" s="10">
        <f t="shared" si="60"/>
        <v>-1375</v>
      </c>
      <c r="BE236" s="2">
        <f t="shared" si="61"/>
        <v>0</v>
      </c>
      <c r="BF236" s="10">
        <f t="shared" si="62"/>
        <v>-1375</v>
      </c>
      <c r="BG236" s="2">
        <f>-BF236*'PV IN'!$E$8</f>
        <v>288.75</v>
      </c>
      <c r="BH236" s="2">
        <f>IF('PV IN'!$F$4="Battery Only",0,BB236+BG236)</f>
        <v>-1086.25</v>
      </c>
      <c r="BI236" s="2">
        <f>BH236/(1+('PV IN'!$G$9))^(C236)</f>
        <v>-422.93147542994581</v>
      </c>
    </row>
    <row r="237" spans="2:61" x14ac:dyDescent="0.25">
      <c r="C237">
        <v>233</v>
      </c>
      <c r="D237" s="16">
        <f>D236*(1+('PV IN'!$G$6/12))</f>
        <v>7.5999999999999998E-2</v>
      </c>
      <c r="E237" s="16">
        <f>LkUP!$U$40</f>
        <v>8.3481784272323598E-2</v>
      </c>
      <c r="F237" s="16">
        <f>IF('PV IN'!$D$7="Table",E237,D237)</f>
        <v>8.3481784272323598E-2</v>
      </c>
      <c r="G237" s="33">
        <f>('PV IN'!$E$25*'PV IN'!$E$18/12)*(1-(1-'PV IN'!$E$27)/(25*12))^C236</f>
        <v>130640.11786842332</v>
      </c>
      <c r="H237" s="33">
        <f>IF('PV IN'!$D$19="YES",G237*'PV IN'!$E$21,0)</f>
        <v>0</v>
      </c>
      <c r="I237" s="33">
        <f>IF('PV IN'!$D$19="YES",'PV IN'!$E$22*BattCalcs!W237,0)</f>
        <v>0</v>
      </c>
      <c r="J237" s="33">
        <f>IF('PV IN'!$D$19="YES",'PV IN'!$E$23*BattCalcs!Y237,0)</f>
        <v>0</v>
      </c>
      <c r="K237" s="33">
        <f>BattCalcs!AF237</f>
        <v>25811.765833333331</v>
      </c>
      <c r="L237" s="33">
        <f t="shared" si="63"/>
        <v>25811.765833333331</v>
      </c>
      <c r="M237" s="33">
        <f>IF('PV IN'!$F$4="PV Only",G237,G237-SUM(H237:J237,L237))</f>
        <v>130640.11786842332</v>
      </c>
      <c r="N237" s="2">
        <f>IF(C237&lt;='PV IN'!$I$12*12,'PV IN'!$E$12*G237/1000,0)</f>
        <v>0</v>
      </c>
      <c r="O237" s="2">
        <f>IF(AND(C237&gt;'PV IN'!$I$12*12,C237&lt;='PV IN'!$I$13*12+'PV IN'!$I$12*12),'PV IN'!$E$13*PVCalcs!G237/1000,0)</f>
        <v>0</v>
      </c>
      <c r="P237" s="2">
        <f>IF(AND(C237&gt;'PV IN'!$I$12*12+'PV IN'!$I$13*12,C237&lt;='PV IN'!$I$12*12+'PV IN'!$I$13*12+'PV IN'!$I$14*12),'PV IN'!$E$14*PVCalcs!G237/1000,0)</f>
        <v>0</v>
      </c>
      <c r="R237" s="10">
        <f>IF(AND('PV IN'!$D$35="YES",$C237&lt;='PV IN'!$E$35*12),-'PV IN'!$E$18*'PV IN'!$E$34/12,0)</f>
        <v>0</v>
      </c>
      <c r="S237" s="10">
        <f>IF(AND('PV IN'!$D$37="YES",$C237&lt;='PV IN'!$E$37*12),-'PV IN'!$E$18*'PV IN'!$E$36/12,0)</f>
        <v>0</v>
      </c>
      <c r="U237" s="2">
        <f t="shared" si="64"/>
        <v>10906.070137202643</v>
      </c>
      <c r="V237" s="10">
        <f>PVLoan!M264</f>
        <v>0</v>
      </c>
      <c r="W237" s="2">
        <f>IF(C237='PV IN'!$I$40,IF('PV IN'!$G$40="Non-Taxable",'PV IN'!$F$40,0),0)+IF(C237='PV IN'!$I$41,IF('PV IN'!$G$41="Non-Taxable",'PV IN'!$F$41,0),0)</f>
        <v>0</v>
      </c>
      <c r="X237" s="10"/>
      <c r="Y237" s="10">
        <f>IF('PV IN'!$E$15="Non-Taxable",SUM(N237:P237),0)</f>
        <v>0</v>
      </c>
      <c r="Z237" s="10">
        <f>IF('PV IN'!$E$15="Taxable",SUM(N237:P237),0)</f>
        <v>0</v>
      </c>
      <c r="AA237" s="2">
        <f>IF(C237='PV IN'!$I$40,IF('PV IN'!$G$40="Taxable",'PV IN'!$F$40,0),0)+IF(C237='PV IN'!$I$41,IF('PV IN'!$G$41="Taxable",'PV IN'!$F$41,0),0)</f>
        <v>0</v>
      </c>
      <c r="AD237" s="10">
        <f>IF('PV IN'!$D$48="YES",-U237*'PV IN'!$E$8,0)</f>
        <v>0</v>
      </c>
      <c r="AE237" s="10">
        <f>IF('PV IN'!$N$10="Yes",-PVLoan!H265,-PVLoan!L265)</f>
        <v>0</v>
      </c>
      <c r="AF237" s="10">
        <f>IF('PV IN'!$N$10="Yes",-PVLoan!F265,0)</f>
        <v>0</v>
      </c>
      <c r="AG237" s="10">
        <f>IF(AND('PV IN'!$D$35="YES",$C237&lt;='PV IN'!$E$35*12),0,-'PV IN'!$E$18*'PV IN'!$E$34/12)</f>
        <v>-750</v>
      </c>
      <c r="AH237" s="10">
        <f>IF(AND('PV IN'!$D$37="YES",$C237&lt;='PV IN'!$E$37*12),0,-'PV IN'!$E$18*'PV IN'!$E$36/12)</f>
        <v>-625</v>
      </c>
      <c r="AI237" s="2">
        <f>IF(AND('PV IN'!$D$33="YES",PVCalcs!C237=ROUNDUP('PV IN'!$H$33*12,)),-'PV IN'!$E$33*'PV IN'!$E$18,0)</f>
        <v>0</v>
      </c>
      <c r="AK237" s="2">
        <f t="shared" si="49"/>
        <v>10906.070137202643</v>
      </c>
      <c r="AL237" s="2">
        <f t="shared" si="50"/>
        <v>-1375</v>
      </c>
      <c r="AM237" s="2">
        <f t="shared" si="54"/>
        <v>9531.0701372026433</v>
      </c>
      <c r="AN237" s="43"/>
      <c r="AO237" s="2">
        <f t="shared" si="51"/>
        <v>0</v>
      </c>
      <c r="AP237" s="2">
        <f t="shared" si="55"/>
        <v>-1375</v>
      </c>
      <c r="AR237" s="2">
        <f t="shared" si="56"/>
        <v>-1375</v>
      </c>
      <c r="AS237" s="2">
        <f>-AR237*'PV IN'!$E$8</f>
        <v>288.75</v>
      </c>
      <c r="AT237" s="2">
        <f>IF('PV IN'!$F$4="Battery Only",0,AM237+AS237)</f>
        <v>9819.8201372026433</v>
      </c>
      <c r="AV237" s="10">
        <f t="shared" si="57"/>
        <v>1302655.9355076384</v>
      </c>
      <c r="AW237" s="2">
        <f>AT237/(1+('PV IN'!$G$9))^(C237)</f>
        <v>3807.8337273579459</v>
      </c>
      <c r="AX237" s="2">
        <f>IF(C237&lt;='PV IN'!$O$22*12,AW237+AX236,NA())</f>
        <v>406136.51815994229</v>
      </c>
      <c r="AZ237" s="10">
        <f t="shared" si="52"/>
        <v>-1375</v>
      </c>
      <c r="BA237" s="10">
        <f t="shared" si="53"/>
        <v>0</v>
      </c>
      <c r="BB237" s="10">
        <f t="shared" si="58"/>
        <v>-1375</v>
      </c>
      <c r="BC237" s="10">
        <f t="shared" si="59"/>
        <v>0</v>
      </c>
      <c r="BD237" s="10">
        <f t="shared" si="60"/>
        <v>-1375</v>
      </c>
      <c r="BE237" s="2">
        <f t="shared" si="61"/>
        <v>0</v>
      </c>
      <c r="BF237" s="10">
        <f t="shared" si="62"/>
        <v>-1375</v>
      </c>
      <c r="BG237" s="2">
        <f>-BF237*'PV IN'!$E$8</f>
        <v>288.75</v>
      </c>
      <c r="BH237" s="2">
        <f>IF('PV IN'!$F$4="Battery Only",0,BB237+BG237)</f>
        <v>-1086.25</v>
      </c>
      <c r="BI237" s="2">
        <f>BH237/(1+('PV IN'!$G$9))^(C237)</f>
        <v>-421.21539178423876</v>
      </c>
    </row>
    <row r="238" spans="2:61" x14ac:dyDescent="0.25">
      <c r="C238">
        <v>234</v>
      </c>
      <c r="D238" s="16">
        <f>D237*(1+('PV IN'!$G$6/12))</f>
        <v>7.5999999999999998E-2</v>
      </c>
      <c r="E238" s="16">
        <f>LkUP!$U$40</f>
        <v>8.3481784272323598E-2</v>
      </c>
      <c r="F238" s="16">
        <f>IF('PV IN'!$D$7="Table",E238,D238)</f>
        <v>8.3481784272323598E-2</v>
      </c>
      <c r="G238" s="33">
        <f>('PV IN'!$E$25*'PV IN'!$E$18/12)*(1-(1-'PV IN'!$E$27)/(25*12))^C237</f>
        <v>130553.02445651103</v>
      </c>
      <c r="H238" s="33">
        <f>IF('PV IN'!$D$19="YES",G238*'PV IN'!$E$21,0)</f>
        <v>0</v>
      </c>
      <c r="I238" s="33">
        <f>IF('PV IN'!$D$19="YES",'PV IN'!$E$22*BattCalcs!W238,0)</f>
        <v>0</v>
      </c>
      <c r="J238" s="33">
        <f>IF('PV IN'!$D$19="YES",'PV IN'!$E$23*BattCalcs!Y238,0)</f>
        <v>0</v>
      </c>
      <c r="K238" s="33">
        <f>BattCalcs!AF238</f>
        <v>25811.765833333331</v>
      </c>
      <c r="L238" s="33">
        <f t="shared" si="63"/>
        <v>25811.765833333331</v>
      </c>
      <c r="M238" s="33">
        <f>IF('PV IN'!$F$4="PV Only",G238,G238-SUM(H238:J238,L238))</f>
        <v>130553.02445651103</v>
      </c>
      <c r="N238" s="2">
        <f>IF(C238&lt;='PV IN'!$I$12*12,'PV IN'!$E$12*G238/1000,0)</f>
        <v>0</v>
      </c>
      <c r="O238" s="2">
        <f>IF(AND(C238&gt;'PV IN'!$I$12*12,C238&lt;='PV IN'!$I$13*12+'PV IN'!$I$12*12),'PV IN'!$E$13*PVCalcs!G238/1000,0)</f>
        <v>0</v>
      </c>
      <c r="P238" s="2">
        <f>IF(AND(C238&gt;'PV IN'!$I$12*12+'PV IN'!$I$13*12,C238&lt;='PV IN'!$I$12*12+'PV IN'!$I$13*12+'PV IN'!$I$14*12),'PV IN'!$E$14*PVCalcs!G238/1000,0)</f>
        <v>0</v>
      </c>
      <c r="R238" s="10">
        <f>IF(AND('PV IN'!$D$35="YES",$C238&lt;='PV IN'!$E$35*12),-'PV IN'!$E$18*'PV IN'!$E$34/12,0)</f>
        <v>0</v>
      </c>
      <c r="S238" s="10">
        <f>IF(AND('PV IN'!$D$37="YES",$C238&lt;='PV IN'!$E$37*12),-'PV IN'!$E$18*'PV IN'!$E$36/12,0)</f>
        <v>0</v>
      </c>
      <c r="U238" s="2">
        <f t="shared" si="64"/>
        <v>10898.79942377784</v>
      </c>
      <c r="V238" s="10">
        <f>PVLoan!M265</f>
        <v>0</v>
      </c>
      <c r="W238" s="2">
        <f>IF(C238='PV IN'!$I$40,IF('PV IN'!$G$40="Non-Taxable",'PV IN'!$F$40,0),0)+IF(C238='PV IN'!$I$41,IF('PV IN'!$G$41="Non-Taxable",'PV IN'!$F$41,0),0)</f>
        <v>0</v>
      </c>
      <c r="X238" s="10"/>
      <c r="Y238" s="10">
        <f>IF('PV IN'!$E$15="Non-Taxable",SUM(N238:P238),0)</f>
        <v>0</v>
      </c>
      <c r="Z238" s="10">
        <f>IF('PV IN'!$E$15="Taxable",SUM(N238:P238),0)</f>
        <v>0</v>
      </c>
      <c r="AA238" s="2">
        <f>IF(C238='PV IN'!$I$40,IF('PV IN'!$G$40="Taxable",'PV IN'!$F$40,0),0)+IF(C238='PV IN'!$I$41,IF('PV IN'!$G$41="Taxable",'PV IN'!$F$41,0),0)</f>
        <v>0</v>
      </c>
      <c r="AD238" s="10">
        <f>IF('PV IN'!$D$48="YES",-U238*'PV IN'!$E$8,0)</f>
        <v>0</v>
      </c>
      <c r="AE238" s="10">
        <f>IF('PV IN'!$N$10="Yes",-PVLoan!H266,-PVLoan!L266)</f>
        <v>0</v>
      </c>
      <c r="AF238" s="10">
        <f>IF('PV IN'!$N$10="Yes",-PVLoan!F266,0)</f>
        <v>0</v>
      </c>
      <c r="AG238" s="10">
        <f>IF(AND('PV IN'!$D$35="YES",$C238&lt;='PV IN'!$E$35*12),0,-'PV IN'!$E$18*'PV IN'!$E$34/12)</f>
        <v>-750</v>
      </c>
      <c r="AH238" s="10">
        <f>IF(AND('PV IN'!$D$37="YES",$C238&lt;='PV IN'!$E$37*12),0,-'PV IN'!$E$18*'PV IN'!$E$36/12)</f>
        <v>-625</v>
      </c>
      <c r="AI238" s="2">
        <f>IF(AND('PV IN'!$D$33="YES",PVCalcs!C238=ROUNDUP('PV IN'!$H$33*12,)),-'PV IN'!$E$33*'PV IN'!$E$18,0)</f>
        <v>0</v>
      </c>
      <c r="AK238" s="2">
        <f t="shared" si="49"/>
        <v>10898.79942377784</v>
      </c>
      <c r="AL238" s="2">
        <f t="shared" si="50"/>
        <v>-1375</v>
      </c>
      <c r="AM238" s="2">
        <f t="shared" si="54"/>
        <v>9523.7994237778403</v>
      </c>
      <c r="AN238" s="43"/>
      <c r="AO238" s="2">
        <f t="shared" si="51"/>
        <v>0</v>
      </c>
      <c r="AP238" s="2">
        <f t="shared" si="55"/>
        <v>-1375</v>
      </c>
      <c r="AR238" s="2">
        <f t="shared" si="56"/>
        <v>-1375</v>
      </c>
      <c r="AS238" s="2">
        <f>-AR238*'PV IN'!$E$8</f>
        <v>288.75</v>
      </c>
      <c r="AT238" s="2">
        <f>IF('PV IN'!$F$4="Battery Only",0,AM238+AS238)</f>
        <v>9812.5494237778403</v>
      </c>
      <c r="AV238" s="10">
        <f t="shared" si="57"/>
        <v>1312468.4849314161</v>
      </c>
      <c r="AW238" s="2">
        <f>AT238/(1+('PV IN'!$G$9))^(C238)</f>
        <v>3789.5751629771094</v>
      </c>
      <c r="AX238" s="2">
        <f>IF(C238&lt;='PV IN'!$O$22*12,AW238+AX237,NA())</f>
        <v>409926.09332291939</v>
      </c>
      <c r="AZ238" s="10">
        <f t="shared" si="52"/>
        <v>-1375</v>
      </c>
      <c r="BA238" s="10">
        <f t="shared" si="53"/>
        <v>0</v>
      </c>
      <c r="BB238" s="10">
        <f t="shared" si="58"/>
        <v>-1375</v>
      </c>
      <c r="BC238" s="10">
        <f t="shared" si="59"/>
        <v>0</v>
      </c>
      <c r="BD238" s="10">
        <f t="shared" si="60"/>
        <v>-1375</v>
      </c>
      <c r="BE238" s="2">
        <f t="shared" si="61"/>
        <v>0</v>
      </c>
      <c r="BF238" s="10">
        <f t="shared" si="62"/>
        <v>-1375</v>
      </c>
      <c r="BG238" s="2">
        <f>-BF238*'PV IN'!$E$8</f>
        <v>288.75</v>
      </c>
      <c r="BH238" s="2">
        <f>IF('PV IN'!$F$4="Battery Only",0,BB238+BG238)</f>
        <v>-1086.25</v>
      </c>
      <c r="BI238" s="2">
        <f>BH238/(1+('PV IN'!$G$9))^(C238)</f>
        <v>-419.50627130691765</v>
      </c>
    </row>
    <row r="239" spans="2:61" x14ac:dyDescent="0.25">
      <c r="C239">
        <v>235</v>
      </c>
      <c r="D239" s="16">
        <f>D238*(1+('PV IN'!$G$6/12))</f>
        <v>7.5999999999999998E-2</v>
      </c>
      <c r="E239" s="16">
        <f>LkUP!$U$40</f>
        <v>8.3481784272323598E-2</v>
      </c>
      <c r="F239" s="16">
        <f>IF('PV IN'!$D$7="Table",E239,D239)</f>
        <v>8.3481784272323598E-2</v>
      </c>
      <c r="G239" s="33">
        <f>('PV IN'!$E$25*'PV IN'!$E$18/12)*(1-(1-'PV IN'!$E$27)/(25*12))^C238</f>
        <v>130465.98910687336</v>
      </c>
      <c r="H239" s="33">
        <f>IF('PV IN'!$D$19="YES",G239*'PV IN'!$E$21,0)</f>
        <v>0</v>
      </c>
      <c r="I239" s="33">
        <f>IF('PV IN'!$D$19="YES",'PV IN'!$E$22*BattCalcs!W239,0)</f>
        <v>0</v>
      </c>
      <c r="J239" s="33">
        <f>IF('PV IN'!$D$19="YES",'PV IN'!$E$23*BattCalcs!Y239,0)</f>
        <v>0</v>
      </c>
      <c r="K239" s="33">
        <f>BattCalcs!AF239</f>
        <v>25811.765833333331</v>
      </c>
      <c r="L239" s="33">
        <f t="shared" si="63"/>
        <v>25811.765833333331</v>
      </c>
      <c r="M239" s="33">
        <f>IF('PV IN'!$F$4="PV Only",G239,G239-SUM(H239:J239,L239))</f>
        <v>130465.98910687336</v>
      </c>
      <c r="N239" s="2">
        <f>IF(C239&lt;='PV IN'!$I$12*12,'PV IN'!$E$12*G239/1000,0)</f>
        <v>0</v>
      </c>
      <c r="O239" s="2">
        <f>IF(AND(C239&gt;'PV IN'!$I$12*12,C239&lt;='PV IN'!$I$13*12+'PV IN'!$I$12*12),'PV IN'!$E$13*PVCalcs!G239/1000,0)</f>
        <v>0</v>
      </c>
      <c r="P239" s="2">
        <f>IF(AND(C239&gt;'PV IN'!$I$12*12+'PV IN'!$I$13*12,C239&lt;='PV IN'!$I$12*12+'PV IN'!$I$13*12+'PV IN'!$I$14*12),'PV IN'!$E$14*PVCalcs!G239/1000,0)</f>
        <v>0</v>
      </c>
      <c r="R239" s="10">
        <f>IF(AND('PV IN'!$D$35="YES",$C239&lt;='PV IN'!$E$35*12),-'PV IN'!$E$18*'PV IN'!$E$34/12,0)</f>
        <v>0</v>
      </c>
      <c r="S239" s="10">
        <f>IF(AND('PV IN'!$D$37="YES",$C239&lt;='PV IN'!$E$37*12),-'PV IN'!$E$18*'PV IN'!$E$36/12,0)</f>
        <v>0</v>
      </c>
      <c r="U239" s="2">
        <f t="shared" si="64"/>
        <v>10891.533557495322</v>
      </c>
      <c r="V239" s="10">
        <f>PVLoan!M266</f>
        <v>0</v>
      </c>
      <c r="W239" s="2">
        <f>IF(C239='PV IN'!$I$40,IF('PV IN'!$G$40="Non-Taxable",'PV IN'!$F$40,0),0)+IF(C239='PV IN'!$I$41,IF('PV IN'!$G$41="Non-Taxable",'PV IN'!$F$41,0),0)</f>
        <v>0</v>
      </c>
      <c r="X239" s="10"/>
      <c r="Y239" s="10">
        <f>IF('PV IN'!$E$15="Non-Taxable",SUM(N239:P239),0)</f>
        <v>0</v>
      </c>
      <c r="Z239" s="10">
        <f>IF('PV IN'!$E$15="Taxable",SUM(N239:P239),0)</f>
        <v>0</v>
      </c>
      <c r="AA239" s="2">
        <f>IF(C239='PV IN'!$I$40,IF('PV IN'!$G$40="Taxable",'PV IN'!$F$40,0),0)+IF(C239='PV IN'!$I$41,IF('PV IN'!$G$41="Taxable",'PV IN'!$F$41,0),0)</f>
        <v>0</v>
      </c>
      <c r="AD239" s="10">
        <f>IF('PV IN'!$D$48="YES",-U239*'PV IN'!$E$8,0)</f>
        <v>0</v>
      </c>
      <c r="AE239" s="10">
        <f>IF('PV IN'!$N$10="Yes",-PVLoan!H267,-PVLoan!L267)</f>
        <v>0</v>
      </c>
      <c r="AF239" s="10">
        <f>IF('PV IN'!$N$10="Yes",-PVLoan!F267,0)</f>
        <v>0</v>
      </c>
      <c r="AG239" s="10">
        <f>IF(AND('PV IN'!$D$35="YES",$C239&lt;='PV IN'!$E$35*12),0,-'PV IN'!$E$18*'PV IN'!$E$34/12)</f>
        <v>-750</v>
      </c>
      <c r="AH239" s="10">
        <f>IF(AND('PV IN'!$D$37="YES",$C239&lt;='PV IN'!$E$37*12),0,-'PV IN'!$E$18*'PV IN'!$E$36/12)</f>
        <v>-625</v>
      </c>
      <c r="AI239" s="2">
        <f>IF(AND('PV IN'!$D$33="YES",PVCalcs!C239=ROUNDUP('PV IN'!$H$33*12,)),-'PV IN'!$E$33*'PV IN'!$E$18,0)</f>
        <v>0</v>
      </c>
      <c r="AK239" s="2">
        <f t="shared" si="49"/>
        <v>10891.533557495322</v>
      </c>
      <c r="AL239" s="2">
        <f t="shared" si="50"/>
        <v>-1375</v>
      </c>
      <c r="AM239" s="2">
        <f t="shared" si="54"/>
        <v>9516.5335574953224</v>
      </c>
      <c r="AN239" s="43"/>
      <c r="AO239" s="2">
        <f t="shared" si="51"/>
        <v>0</v>
      </c>
      <c r="AP239" s="2">
        <f t="shared" si="55"/>
        <v>-1375</v>
      </c>
      <c r="AR239" s="2">
        <f t="shared" si="56"/>
        <v>-1375</v>
      </c>
      <c r="AS239" s="2">
        <f>-AR239*'PV IN'!$E$8</f>
        <v>288.75</v>
      </c>
      <c r="AT239" s="2">
        <f>IF('PV IN'!$F$4="Battery Only",0,AM239+AS239)</f>
        <v>9805.2835574953224</v>
      </c>
      <c r="AV239" s="10">
        <f t="shared" si="57"/>
        <v>1322273.7684889114</v>
      </c>
      <c r="AW239" s="2">
        <f>AT239/(1+('PV IN'!$G$9))^(C239)</f>
        <v>3771.4039421889697</v>
      </c>
      <c r="AX239" s="2">
        <f>IF(C239&lt;='PV IN'!$O$22*12,AW239+AX238,NA())</f>
        <v>413697.49726510834</v>
      </c>
      <c r="AZ239" s="10">
        <f t="shared" si="52"/>
        <v>-1375</v>
      </c>
      <c r="BA239" s="10">
        <f t="shared" si="53"/>
        <v>0</v>
      </c>
      <c r="BB239" s="10">
        <f t="shared" si="58"/>
        <v>-1375</v>
      </c>
      <c r="BC239" s="10">
        <f t="shared" si="59"/>
        <v>0</v>
      </c>
      <c r="BD239" s="10">
        <f t="shared" si="60"/>
        <v>-1375</v>
      </c>
      <c r="BE239" s="2">
        <f t="shared" si="61"/>
        <v>0</v>
      </c>
      <c r="BF239" s="10">
        <f t="shared" si="62"/>
        <v>-1375</v>
      </c>
      <c r="BG239" s="2">
        <f>-BF239*'PV IN'!$E$8</f>
        <v>288.75</v>
      </c>
      <c r="BH239" s="2">
        <f>IF('PV IN'!$F$4="Battery Only",0,BB239+BG239)</f>
        <v>-1086.25</v>
      </c>
      <c r="BI239" s="2">
        <f>BH239/(1+('PV IN'!$G$9))^(C239)</f>
        <v>-417.80408574428139</v>
      </c>
    </row>
    <row r="240" spans="2:61" x14ac:dyDescent="0.25">
      <c r="C240">
        <v>236</v>
      </c>
      <c r="D240" s="16">
        <f>D239*(1+('PV IN'!$G$6/12))</f>
        <v>7.5999999999999998E-2</v>
      </c>
      <c r="E240" s="16">
        <f>LkUP!$U$40</f>
        <v>8.3481784272323598E-2</v>
      </c>
      <c r="F240" s="16">
        <f>IF('PV IN'!$D$7="Table",E240,D240)</f>
        <v>8.3481784272323598E-2</v>
      </c>
      <c r="G240" s="33">
        <f>('PV IN'!$E$25*'PV IN'!$E$18/12)*(1-(1-'PV IN'!$E$27)/(25*12))^C239</f>
        <v>130379.01178080212</v>
      </c>
      <c r="H240" s="33">
        <f>IF('PV IN'!$D$19="YES",G240*'PV IN'!$E$21,0)</f>
        <v>0</v>
      </c>
      <c r="I240" s="33">
        <f>IF('PV IN'!$D$19="YES",'PV IN'!$E$22*BattCalcs!W240,0)</f>
        <v>0</v>
      </c>
      <c r="J240" s="33">
        <f>IF('PV IN'!$D$19="YES",'PV IN'!$E$23*BattCalcs!Y240,0)</f>
        <v>0</v>
      </c>
      <c r="K240" s="33">
        <f>BattCalcs!AF240</f>
        <v>25811.765833333331</v>
      </c>
      <c r="L240" s="33">
        <f t="shared" si="63"/>
        <v>25811.765833333331</v>
      </c>
      <c r="M240" s="33">
        <f>IF('PV IN'!$F$4="PV Only",G240,G240-SUM(H240:J240,L240))</f>
        <v>130379.01178080212</v>
      </c>
      <c r="N240" s="2">
        <f>IF(C240&lt;='PV IN'!$I$12*12,'PV IN'!$E$12*G240/1000,0)</f>
        <v>0</v>
      </c>
      <c r="O240" s="2">
        <f>IF(AND(C240&gt;'PV IN'!$I$12*12,C240&lt;='PV IN'!$I$13*12+'PV IN'!$I$12*12),'PV IN'!$E$13*PVCalcs!G240/1000,0)</f>
        <v>0</v>
      </c>
      <c r="P240" s="2">
        <f>IF(AND(C240&gt;'PV IN'!$I$12*12+'PV IN'!$I$13*12,C240&lt;='PV IN'!$I$12*12+'PV IN'!$I$13*12+'PV IN'!$I$14*12),'PV IN'!$E$14*PVCalcs!G240/1000,0)</f>
        <v>0</v>
      </c>
      <c r="R240" s="10">
        <f>IF(AND('PV IN'!$D$35="YES",$C240&lt;='PV IN'!$E$35*12),-'PV IN'!$E$18*'PV IN'!$E$34/12,0)</f>
        <v>0</v>
      </c>
      <c r="S240" s="10">
        <f>IF(AND('PV IN'!$D$37="YES",$C240&lt;='PV IN'!$E$37*12),-'PV IN'!$E$18*'PV IN'!$E$36/12,0)</f>
        <v>0</v>
      </c>
      <c r="U240" s="2">
        <f t="shared" si="64"/>
        <v>10884.272535123659</v>
      </c>
      <c r="V240" s="10">
        <f>PVLoan!M267</f>
        <v>0</v>
      </c>
      <c r="W240" s="2">
        <f>IF(C240='PV IN'!$I$40,IF('PV IN'!$G$40="Non-Taxable",'PV IN'!$F$40,0),0)+IF(C240='PV IN'!$I$41,IF('PV IN'!$G$41="Non-Taxable",'PV IN'!$F$41,0),0)</f>
        <v>0</v>
      </c>
      <c r="X240" s="10"/>
      <c r="Y240" s="10">
        <f>IF('PV IN'!$E$15="Non-Taxable",SUM(N240:P240),0)</f>
        <v>0</v>
      </c>
      <c r="Z240" s="10">
        <f>IF('PV IN'!$E$15="Taxable",SUM(N240:P240),0)</f>
        <v>0</v>
      </c>
      <c r="AA240" s="2">
        <f>IF(C240='PV IN'!$I$40,IF('PV IN'!$G$40="Taxable",'PV IN'!$F$40,0),0)+IF(C240='PV IN'!$I$41,IF('PV IN'!$G$41="Taxable",'PV IN'!$F$41,0),0)</f>
        <v>0</v>
      </c>
      <c r="AD240" s="10">
        <f>IF('PV IN'!$D$48="YES",-U240*'PV IN'!$E$8,0)</f>
        <v>0</v>
      </c>
      <c r="AE240" s="10">
        <f>IF('PV IN'!$N$10="Yes",-PVLoan!H268,-PVLoan!L268)</f>
        <v>0</v>
      </c>
      <c r="AF240" s="10">
        <f>IF('PV IN'!$N$10="Yes",-PVLoan!F268,0)</f>
        <v>0</v>
      </c>
      <c r="AG240" s="10">
        <f>IF(AND('PV IN'!$D$35="YES",$C240&lt;='PV IN'!$E$35*12),0,-'PV IN'!$E$18*'PV IN'!$E$34/12)</f>
        <v>-750</v>
      </c>
      <c r="AH240" s="10">
        <f>IF(AND('PV IN'!$D$37="YES",$C240&lt;='PV IN'!$E$37*12),0,-'PV IN'!$E$18*'PV IN'!$E$36/12)</f>
        <v>-625</v>
      </c>
      <c r="AI240" s="2">
        <f>IF(AND('PV IN'!$D$33="YES",PVCalcs!C240=ROUNDUP('PV IN'!$H$33*12,)),-'PV IN'!$E$33*'PV IN'!$E$18,0)</f>
        <v>0</v>
      </c>
      <c r="AK240" s="2">
        <f t="shared" si="49"/>
        <v>10884.272535123659</v>
      </c>
      <c r="AL240" s="2">
        <f t="shared" si="50"/>
        <v>-1375</v>
      </c>
      <c r="AM240" s="2">
        <f t="shared" si="54"/>
        <v>9509.2725351236586</v>
      </c>
      <c r="AN240" s="43"/>
      <c r="AO240" s="2">
        <f t="shared" si="51"/>
        <v>0</v>
      </c>
      <c r="AP240" s="2">
        <f t="shared" si="55"/>
        <v>-1375</v>
      </c>
      <c r="AR240" s="2">
        <f t="shared" si="56"/>
        <v>-1375</v>
      </c>
      <c r="AS240" s="2">
        <f>-AR240*'PV IN'!$E$8</f>
        <v>288.75</v>
      </c>
      <c r="AT240" s="2">
        <f>IF('PV IN'!$F$4="Battery Only",0,AM240+AS240)</f>
        <v>9798.0225351236586</v>
      </c>
      <c r="AV240" s="10">
        <f t="shared" si="57"/>
        <v>1332071.7910240351</v>
      </c>
      <c r="AW240" s="2">
        <f>AT240/(1+('PV IN'!$G$9))^(C240)</f>
        <v>3753.3196479914977</v>
      </c>
      <c r="AX240" s="2">
        <f>IF(C240&lt;='PV IN'!$O$22*12,AW240+AX239,NA())</f>
        <v>417450.81691309984</v>
      </c>
      <c r="AZ240" s="10">
        <f t="shared" si="52"/>
        <v>-1375</v>
      </c>
      <c r="BA240" s="10">
        <f t="shared" si="53"/>
        <v>0</v>
      </c>
      <c r="BB240" s="10">
        <f t="shared" si="58"/>
        <v>-1375</v>
      </c>
      <c r="BC240" s="10">
        <f t="shared" si="59"/>
        <v>0</v>
      </c>
      <c r="BD240" s="10">
        <f t="shared" si="60"/>
        <v>-1375</v>
      </c>
      <c r="BE240" s="2">
        <f t="shared" si="61"/>
        <v>0</v>
      </c>
      <c r="BF240" s="10">
        <f t="shared" si="62"/>
        <v>-1375</v>
      </c>
      <c r="BG240" s="2">
        <f>-BF240*'PV IN'!$E$8</f>
        <v>288.75</v>
      </c>
      <c r="BH240" s="2">
        <f>IF('PV IN'!$F$4="Battery Only",0,BB240+BG240)</f>
        <v>-1086.25</v>
      </c>
      <c r="BI240" s="2">
        <f>BH240/(1+('PV IN'!$G$9))^(C240)</f>
        <v>-416.10880695727127</v>
      </c>
    </row>
    <row r="241" spans="2:61" x14ac:dyDescent="0.25">
      <c r="C241">
        <v>237</v>
      </c>
      <c r="D241" s="16">
        <f>D240*(1+('PV IN'!$G$6/12))</f>
        <v>7.5999999999999998E-2</v>
      </c>
      <c r="E241" s="16">
        <f>LkUP!$U$40</f>
        <v>8.3481784272323598E-2</v>
      </c>
      <c r="F241" s="16">
        <f>IF('PV IN'!$D$7="Table",E241,D241)</f>
        <v>8.3481784272323598E-2</v>
      </c>
      <c r="G241" s="33">
        <f>('PV IN'!$E$25*'PV IN'!$E$18/12)*(1-(1-'PV IN'!$E$27)/(25*12))^C240</f>
        <v>130292.09243961491</v>
      </c>
      <c r="H241" s="33">
        <f>IF('PV IN'!$D$19="YES",G241*'PV IN'!$E$21,0)</f>
        <v>0</v>
      </c>
      <c r="I241" s="33">
        <f>IF('PV IN'!$D$19="YES",'PV IN'!$E$22*BattCalcs!W241,0)</f>
        <v>0</v>
      </c>
      <c r="J241" s="33">
        <f>IF('PV IN'!$D$19="YES",'PV IN'!$E$23*BattCalcs!Y241,0)</f>
        <v>0</v>
      </c>
      <c r="K241" s="33">
        <f>BattCalcs!AF241</f>
        <v>25811.765833333331</v>
      </c>
      <c r="L241" s="33">
        <f t="shared" si="63"/>
        <v>25811.765833333331</v>
      </c>
      <c r="M241" s="33">
        <f>IF('PV IN'!$F$4="PV Only",G241,G241-SUM(H241:J241,L241))</f>
        <v>130292.09243961491</v>
      </c>
      <c r="N241" s="2">
        <f>IF(C241&lt;='PV IN'!$I$12*12,'PV IN'!$E$12*G241/1000,0)</f>
        <v>0</v>
      </c>
      <c r="O241" s="2">
        <f>IF(AND(C241&gt;'PV IN'!$I$12*12,C241&lt;='PV IN'!$I$13*12+'PV IN'!$I$12*12),'PV IN'!$E$13*PVCalcs!G241/1000,0)</f>
        <v>0</v>
      </c>
      <c r="P241" s="2">
        <f>IF(AND(C241&gt;'PV IN'!$I$12*12+'PV IN'!$I$13*12,C241&lt;='PV IN'!$I$12*12+'PV IN'!$I$13*12+'PV IN'!$I$14*12),'PV IN'!$E$14*PVCalcs!G241/1000,0)</f>
        <v>0</v>
      </c>
      <c r="R241" s="10">
        <f>IF(AND('PV IN'!$D$35="YES",$C241&lt;='PV IN'!$E$35*12),-'PV IN'!$E$18*'PV IN'!$E$34/12,0)</f>
        <v>0</v>
      </c>
      <c r="S241" s="10">
        <f>IF(AND('PV IN'!$D$37="YES",$C241&lt;='PV IN'!$E$37*12),-'PV IN'!$E$18*'PV IN'!$E$36/12,0)</f>
        <v>0</v>
      </c>
      <c r="U241" s="2">
        <f t="shared" si="64"/>
        <v>10877.016353433575</v>
      </c>
      <c r="V241" s="10">
        <f>PVLoan!M268</f>
        <v>0</v>
      </c>
      <c r="W241" s="2">
        <f>IF(C241='PV IN'!$I$40,IF('PV IN'!$G$40="Non-Taxable",'PV IN'!$F$40,0),0)+IF(C241='PV IN'!$I$41,IF('PV IN'!$G$41="Non-Taxable",'PV IN'!$F$41,0),0)</f>
        <v>0</v>
      </c>
      <c r="X241" s="10"/>
      <c r="Y241" s="10">
        <f>IF('PV IN'!$E$15="Non-Taxable",SUM(N241:P241),0)</f>
        <v>0</v>
      </c>
      <c r="Z241" s="10">
        <f>IF('PV IN'!$E$15="Taxable",SUM(N241:P241),0)</f>
        <v>0</v>
      </c>
      <c r="AA241" s="2">
        <f>IF(C241='PV IN'!$I$40,IF('PV IN'!$G$40="Taxable",'PV IN'!$F$40,0),0)+IF(C241='PV IN'!$I$41,IF('PV IN'!$G$41="Taxable",'PV IN'!$F$41,0),0)</f>
        <v>0</v>
      </c>
      <c r="AD241" s="10">
        <f>IF('PV IN'!$D$48="YES",-U241*'PV IN'!$E$8,0)</f>
        <v>0</v>
      </c>
      <c r="AE241" s="10">
        <f>IF('PV IN'!$N$10="Yes",-PVLoan!H269,-PVLoan!L269)</f>
        <v>0</v>
      </c>
      <c r="AF241" s="10">
        <f>IF('PV IN'!$N$10="Yes",-PVLoan!F269,0)</f>
        <v>0</v>
      </c>
      <c r="AG241" s="10">
        <f>IF(AND('PV IN'!$D$35="YES",$C241&lt;='PV IN'!$E$35*12),0,-'PV IN'!$E$18*'PV IN'!$E$34/12)</f>
        <v>-750</v>
      </c>
      <c r="AH241" s="10">
        <f>IF(AND('PV IN'!$D$37="YES",$C241&lt;='PV IN'!$E$37*12),0,-'PV IN'!$E$18*'PV IN'!$E$36/12)</f>
        <v>-625</v>
      </c>
      <c r="AI241" s="2">
        <f>IF(AND('PV IN'!$D$33="YES",PVCalcs!C241=ROUNDUP('PV IN'!$H$33*12,)),-'PV IN'!$E$33*'PV IN'!$E$18,0)</f>
        <v>0</v>
      </c>
      <c r="AK241" s="2">
        <f t="shared" si="49"/>
        <v>10877.016353433575</v>
      </c>
      <c r="AL241" s="2">
        <f t="shared" si="50"/>
        <v>-1375</v>
      </c>
      <c r="AM241" s="2">
        <f t="shared" si="54"/>
        <v>9502.0163534335752</v>
      </c>
      <c r="AN241" s="43"/>
      <c r="AO241" s="2">
        <f t="shared" si="51"/>
        <v>0</v>
      </c>
      <c r="AP241" s="2">
        <f t="shared" si="55"/>
        <v>-1375</v>
      </c>
      <c r="AR241" s="2">
        <f t="shared" si="56"/>
        <v>-1375</v>
      </c>
      <c r="AS241" s="2">
        <f>-AR241*'PV IN'!$E$8</f>
        <v>288.75</v>
      </c>
      <c r="AT241" s="2">
        <f>IF('PV IN'!$F$4="Battery Only",0,AM241+AS241)</f>
        <v>9790.7663534335752</v>
      </c>
      <c r="AV241" s="10">
        <f t="shared" si="57"/>
        <v>1341862.5573774686</v>
      </c>
      <c r="AW241" s="2">
        <f>AT241/(1+('PV IN'!$G$9))^(C241)</f>
        <v>3735.3218653702443</v>
      </c>
      <c r="AX241" s="2">
        <f>IF(C241&lt;='PV IN'!$O$22*12,AW241+AX240,NA())</f>
        <v>421186.13877847011</v>
      </c>
      <c r="AZ241" s="10">
        <f t="shared" si="52"/>
        <v>-1375</v>
      </c>
      <c r="BA241" s="10">
        <f t="shared" si="53"/>
        <v>0</v>
      </c>
      <c r="BB241" s="10">
        <f t="shared" si="58"/>
        <v>-1375</v>
      </c>
      <c r="BC241" s="10">
        <f t="shared" si="59"/>
        <v>0</v>
      </c>
      <c r="BD241" s="10">
        <f t="shared" si="60"/>
        <v>-1375</v>
      </c>
      <c r="BE241" s="2">
        <f t="shared" si="61"/>
        <v>0</v>
      </c>
      <c r="BF241" s="10">
        <f t="shared" si="62"/>
        <v>-1375</v>
      </c>
      <c r="BG241" s="2">
        <f>-BF241*'PV IN'!$E$8</f>
        <v>288.75</v>
      </c>
      <c r="BH241" s="2">
        <f>IF('PV IN'!$F$4="Battery Only",0,BB241+BG241)</f>
        <v>-1086.25</v>
      </c>
      <c r="BI241" s="2">
        <f>BH241/(1+('PV IN'!$G$9))^(C241)</f>
        <v>-414.42040692100511</v>
      </c>
    </row>
    <row r="242" spans="2:61" x14ac:dyDescent="0.25">
      <c r="C242">
        <v>238</v>
      </c>
      <c r="D242" s="16">
        <f>D241*(1+('PV IN'!$G$6/12))</f>
        <v>7.5999999999999998E-2</v>
      </c>
      <c r="E242" s="16">
        <f>LkUP!$U$40</f>
        <v>8.3481784272323598E-2</v>
      </c>
      <c r="F242" s="16">
        <f>IF('PV IN'!$D$7="Table",E242,D242)</f>
        <v>8.3481784272323598E-2</v>
      </c>
      <c r="G242" s="33">
        <f>('PV IN'!$E$25*'PV IN'!$E$18/12)*(1-(1-'PV IN'!$E$27)/(25*12))^C241</f>
        <v>130205.23104465516</v>
      </c>
      <c r="H242" s="33">
        <f>IF('PV IN'!$D$19="YES",G242*'PV IN'!$E$21,0)</f>
        <v>0</v>
      </c>
      <c r="I242" s="33">
        <f>IF('PV IN'!$D$19="YES",'PV IN'!$E$22*BattCalcs!W242,0)</f>
        <v>0</v>
      </c>
      <c r="J242" s="33">
        <f>IF('PV IN'!$D$19="YES",'PV IN'!$E$23*BattCalcs!Y242,0)</f>
        <v>0</v>
      </c>
      <c r="K242" s="33">
        <f>BattCalcs!AF242</f>
        <v>25811.765833333331</v>
      </c>
      <c r="L242" s="33">
        <f t="shared" si="63"/>
        <v>25811.765833333331</v>
      </c>
      <c r="M242" s="33">
        <f>IF('PV IN'!$F$4="PV Only",G242,G242-SUM(H242:J242,L242))</f>
        <v>130205.23104465516</v>
      </c>
      <c r="N242" s="2">
        <f>IF(C242&lt;='PV IN'!$I$12*12,'PV IN'!$E$12*G242/1000,0)</f>
        <v>0</v>
      </c>
      <c r="O242" s="2">
        <f>IF(AND(C242&gt;'PV IN'!$I$12*12,C242&lt;='PV IN'!$I$13*12+'PV IN'!$I$12*12),'PV IN'!$E$13*PVCalcs!G242/1000,0)</f>
        <v>0</v>
      </c>
      <c r="P242" s="2">
        <f>IF(AND(C242&gt;'PV IN'!$I$12*12+'PV IN'!$I$13*12,C242&lt;='PV IN'!$I$12*12+'PV IN'!$I$13*12+'PV IN'!$I$14*12),'PV IN'!$E$14*PVCalcs!G242/1000,0)</f>
        <v>0</v>
      </c>
      <c r="R242" s="10">
        <f>IF(AND('PV IN'!$D$35="YES",$C242&lt;='PV IN'!$E$35*12),-'PV IN'!$E$18*'PV IN'!$E$34/12,0)</f>
        <v>0</v>
      </c>
      <c r="S242" s="10">
        <f>IF(AND('PV IN'!$D$37="YES",$C242&lt;='PV IN'!$E$37*12),-'PV IN'!$E$18*'PV IN'!$E$36/12,0)</f>
        <v>0</v>
      </c>
      <c r="U242" s="2">
        <f t="shared" si="64"/>
        <v>10869.765009197952</v>
      </c>
      <c r="V242" s="10">
        <f>PVLoan!M269</f>
        <v>0</v>
      </c>
      <c r="W242" s="2">
        <f>IF(C242='PV IN'!$I$40,IF('PV IN'!$G$40="Non-Taxable",'PV IN'!$F$40,0),0)+IF(C242='PV IN'!$I$41,IF('PV IN'!$G$41="Non-Taxable",'PV IN'!$F$41,0),0)</f>
        <v>0</v>
      </c>
      <c r="X242" s="10"/>
      <c r="Y242" s="10">
        <f>IF('PV IN'!$E$15="Non-Taxable",SUM(N242:P242),0)</f>
        <v>0</v>
      </c>
      <c r="Z242" s="10">
        <f>IF('PV IN'!$E$15="Taxable",SUM(N242:P242),0)</f>
        <v>0</v>
      </c>
      <c r="AA242" s="2">
        <f>IF(C242='PV IN'!$I$40,IF('PV IN'!$G$40="Taxable",'PV IN'!$F$40,0),0)+IF(C242='PV IN'!$I$41,IF('PV IN'!$G$41="Taxable",'PV IN'!$F$41,0),0)</f>
        <v>0</v>
      </c>
      <c r="AD242" s="10">
        <f>IF('PV IN'!$D$48="YES",-U242*'PV IN'!$E$8,0)</f>
        <v>0</v>
      </c>
      <c r="AE242" s="10">
        <f>IF('PV IN'!$N$10="Yes",-PVLoan!H270,-PVLoan!L270)</f>
        <v>0</v>
      </c>
      <c r="AF242" s="10">
        <f>IF('PV IN'!$N$10="Yes",-PVLoan!F270,0)</f>
        <v>0</v>
      </c>
      <c r="AG242" s="10">
        <f>IF(AND('PV IN'!$D$35="YES",$C242&lt;='PV IN'!$E$35*12),0,-'PV IN'!$E$18*'PV IN'!$E$34/12)</f>
        <v>-750</v>
      </c>
      <c r="AH242" s="10">
        <f>IF(AND('PV IN'!$D$37="YES",$C242&lt;='PV IN'!$E$37*12),0,-'PV IN'!$E$18*'PV IN'!$E$36/12)</f>
        <v>-625</v>
      </c>
      <c r="AI242" s="2">
        <f>IF(AND('PV IN'!$D$33="YES",PVCalcs!C242=ROUNDUP('PV IN'!$H$33*12,)),-'PV IN'!$E$33*'PV IN'!$E$18,0)</f>
        <v>0</v>
      </c>
      <c r="AK242" s="2">
        <f t="shared" si="49"/>
        <v>10869.765009197952</v>
      </c>
      <c r="AL242" s="2">
        <f t="shared" si="50"/>
        <v>-1375</v>
      </c>
      <c r="AM242" s="2">
        <f t="shared" si="54"/>
        <v>9494.7650091979522</v>
      </c>
      <c r="AN242" s="43"/>
      <c r="AO242" s="2">
        <f t="shared" si="51"/>
        <v>0</v>
      </c>
      <c r="AP242" s="2">
        <f t="shared" si="55"/>
        <v>-1375</v>
      </c>
      <c r="AR242" s="2">
        <f t="shared" si="56"/>
        <v>-1375</v>
      </c>
      <c r="AS242" s="2">
        <f>-AR242*'PV IN'!$E$8</f>
        <v>288.75</v>
      </c>
      <c r="AT242" s="2">
        <f>IF('PV IN'!$F$4="Battery Only",0,AM242+AS242)</f>
        <v>9783.5150091979522</v>
      </c>
      <c r="AV242" s="10">
        <f t="shared" si="57"/>
        <v>1351646.0723866664</v>
      </c>
      <c r="AW242" s="2">
        <f>AT242/(1+('PV IN'!$G$9))^(C242)</f>
        <v>3717.4101812888839</v>
      </c>
      <c r="AX242" s="2">
        <f>IF(C242&lt;='PV IN'!$O$22*12,AW242+AX241,NA())</f>
        <v>424903.54895975901</v>
      </c>
      <c r="AZ242" s="10">
        <f t="shared" si="52"/>
        <v>-1375</v>
      </c>
      <c r="BA242" s="10">
        <f t="shared" si="53"/>
        <v>0</v>
      </c>
      <c r="BB242" s="10">
        <f t="shared" si="58"/>
        <v>-1375</v>
      </c>
      <c r="BC242" s="10">
        <f t="shared" si="59"/>
        <v>0</v>
      </c>
      <c r="BD242" s="10">
        <f t="shared" si="60"/>
        <v>-1375</v>
      </c>
      <c r="BE242" s="2">
        <f t="shared" si="61"/>
        <v>0</v>
      </c>
      <c r="BF242" s="10">
        <f t="shared" si="62"/>
        <v>-1375</v>
      </c>
      <c r="BG242" s="2">
        <f>-BF242*'PV IN'!$E$8</f>
        <v>288.75</v>
      </c>
      <c r="BH242" s="2">
        <f>IF('PV IN'!$F$4="Battery Only",0,BB242+BG242)</f>
        <v>-1086.25</v>
      </c>
      <c r="BI242" s="2">
        <f>BH242/(1+('PV IN'!$G$9))^(C242)</f>
        <v>-412.73885772431464</v>
      </c>
    </row>
    <row r="243" spans="2:61" x14ac:dyDescent="0.25">
      <c r="C243">
        <v>239</v>
      </c>
      <c r="D243" s="16">
        <f>D242*(1+('PV IN'!$G$6/12))</f>
        <v>7.5999999999999998E-2</v>
      </c>
      <c r="E243" s="16">
        <f>LkUP!$U$40</f>
        <v>8.3481784272323598E-2</v>
      </c>
      <c r="F243" s="16">
        <f>IF('PV IN'!$D$7="Table",E243,D243)</f>
        <v>8.3481784272323598E-2</v>
      </c>
      <c r="G243" s="33">
        <f>('PV IN'!$E$25*'PV IN'!$E$18/12)*(1-(1-'PV IN'!$E$27)/(25*12))^C242</f>
        <v>130118.42755729205</v>
      </c>
      <c r="H243" s="33">
        <f>IF('PV IN'!$D$19="YES",G243*'PV IN'!$E$21,0)</f>
        <v>0</v>
      </c>
      <c r="I243" s="33">
        <f>IF('PV IN'!$D$19="YES",'PV IN'!$E$22*BattCalcs!W243,0)</f>
        <v>0</v>
      </c>
      <c r="J243" s="33">
        <f>IF('PV IN'!$D$19="YES",'PV IN'!$E$23*BattCalcs!Y243,0)</f>
        <v>0</v>
      </c>
      <c r="K243" s="33">
        <f>BattCalcs!AF243</f>
        <v>25811.765833333331</v>
      </c>
      <c r="L243" s="33">
        <f t="shared" si="63"/>
        <v>25811.765833333331</v>
      </c>
      <c r="M243" s="33">
        <f>IF('PV IN'!$F$4="PV Only",G243,G243-SUM(H243:J243,L243))</f>
        <v>130118.42755729205</v>
      </c>
      <c r="N243" s="2">
        <f>IF(C243&lt;='PV IN'!$I$12*12,'PV IN'!$E$12*G243/1000,0)</f>
        <v>0</v>
      </c>
      <c r="O243" s="2">
        <f>IF(AND(C243&gt;'PV IN'!$I$12*12,C243&lt;='PV IN'!$I$13*12+'PV IN'!$I$12*12),'PV IN'!$E$13*PVCalcs!G243/1000,0)</f>
        <v>0</v>
      </c>
      <c r="P243" s="2">
        <f>IF(AND(C243&gt;'PV IN'!$I$12*12+'PV IN'!$I$13*12,C243&lt;='PV IN'!$I$12*12+'PV IN'!$I$13*12+'PV IN'!$I$14*12),'PV IN'!$E$14*PVCalcs!G243/1000,0)</f>
        <v>0</v>
      </c>
      <c r="R243" s="10">
        <f>IF(AND('PV IN'!$D$35="YES",$C243&lt;='PV IN'!$E$35*12),-'PV IN'!$E$18*'PV IN'!$E$34/12,0)</f>
        <v>0</v>
      </c>
      <c r="S243" s="10">
        <f>IF(AND('PV IN'!$D$37="YES",$C243&lt;='PV IN'!$E$37*12),-'PV IN'!$E$18*'PV IN'!$E$36/12,0)</f>
        <v>0</v>
      </c>
      <c r="U243" s="2">
        <f t="shared" si="64"/>
        <v>10862.518499191821</v>
      </c>
      <c r="V243" s="10">
        <f>PVLoan!M270</f>
        <v>0</v>
      </c>
      <c r="W243" s="2">
        <f>IF(C243='PV IN'!$I$40,IF('PV IN'!$G$40="Non-Taxable",'PV IN'!$F$40,0),0)+IF(C243='PV IN'!$I$41,IF('PV IN'!$G$41="Non-Taxable",'PV IN'!$F$41,0),0)</f>
        <v>0</v>
      </c>
      <c r="X243" s="10"/>
      <c r="Y243" s="10">
        <f>IF('PV IN'!$E$15="Non-Taxable",SUM(N243:P243),0)</f>
        <v>0</v>
      </c>
      <c r="Z243" s="10">
        <f>IF('PV IN'!$E$15="Taxable",SUM(N243:P243),0)</f>
        <v>0</v>
      </c>
      <c r="AA243" s="2">
        <f>IF(C243='PV IN'!$I$40,IF('PV IN'!$G$40="Taxable",'PV IN'!$F$40,0),0)+IF(C243='PV IN'!$I$41,IF('PV IN'!$G$41="Taxable",'PV IN'!$F$41,0),0)</f>
        <v>0</v>
      </c>
      <c r="AD243" s="10">
        <f>IF('PV IN'!$D$48="YES",-U243*'PV IN'!$E$8,0)</f>
        <v>0</v>
      </c>
      <c r="AE243" s="10">
        <f>IF('PV IN'!$N$10="Yes",-PVLoan!H271,-PVLoan!L271)</f>
        <v>0</v>
      </c>
      <c r="AF243" s="10">
        <f>IF('PV IN'!$N$10="Yes",-PVLoan!F271,0)</f>
        <v>0</v>
      </c>
      <c r="AG243" s="10">
        <f>IF(AND('PV IN'!$D$35="YES",$C243&lt;='PV IN'!$E$35*12),0,-'PV IN'!$E$18*'PV IN'!$E$34/12)</f>
        <v>-750</v>
      </c>
      <c r="AH243" s="10">
        <f>IF(AND('PV IN'!$D$37="YES",$C243&lt;='PV IN'!$E$37*12),0,-'PV IN'!$E$18*'PV IN'!$E$36/12)</f>
        <v>-625</v>
      </c>
      <c r="AI243" s="2">
        <f>IF(AND('PV IN'!$D$33="YES",PVCalcs!C243=ROUNDUP('PV IN'!$H$33*12,)),-'PV IN'!$E$33*'PV IN'!$E$18,0)</f>
        <v>0</v>
      </c>
      <c r="AK243" s="2">
        <f t="shared" si="49"/>
        <v>10862.518499191821</v>
      </c>
      <c r="AL243" s="2">
        <f t="shared" si="50"/>
        <v>-1375</v>
      </c>
      <c r="AM243" s="2">
        <f t="shared" si="54"/>
        <v>9487.5184991918213</v>
      </c>
      <c r="AN243" s="43"/>
      <c r="AO243" s="2">
        <f t="shared" si="51"/>
        <v>0</v>
      </c>
      <c r="AP243" s="2">
        <f t="shared" si="55"/>
        <v>-1375</v>
      </c>
      <c r="AR243" s="2">
        <f t="shared" si="56"/>
        <v>-1375</v>
      </c>
      <c r="AS243" s="2">
        <f>-AR243*'PV IN'!$E$8</f>
        <v>288.75</v>
      </c>
      <c r="AT243" s="2">
        <f>IF('PV IN'!$F$4="Battery Only",0,AM243+AS243)</f>
        <v>9776.2684991918213</v>
      </c>
      <c r="AV243" s="10">
        <f t="shared" si="57"/>
        <v>1361422.3408858583</v>
      </c>
      <c r="AW243" s="2">
        <f>AT243/(1+('PV IN'!$G$9))^(C243)</f>
        <v>3699.5841846797957</v>
      </c>
      <c r="AX243" s="2">
        <f>IF(C243&lt;='PV IN'!$O$22*12,AW243+AX242,NA())</f>
        <v>428603.13314443879</v>
      </c>
      <c r="AZ243" s="10">
        <f t="shared" si="52"/>
        <v>-1375</v>
      </c>
      <c r="BA243" s="10">
        <f t="shared" si="53"/>
        <v>0</v>
      </c>
      <c r="BB243" s="10">
        <f t="shared" si="58"/>
        <v>-1375</v>
      </c>
      <c r="BC243" s="10">
        <f t="shared" si="59"/>
        <v>0</v>
      </c>
      <c r="BD243" s="10">
        <f t="shared" si="60"/>
        <v>-1375</v>
      </c>
      <c r="BE243" s="2">
        <f t="shared" si="61"/>
        <v>0</v>
      </c>
      <c r="BF243" s="10">
        <f t="shared" si="62"/>
        <v>-1375</v>
      </c>
      <c r="BG243" s="2">
        <f>-BF243*'PV IN'!$E$8</f>
        <v>288.75</v>
      </c>
      <c r="BH243" s="2">
        <f>IF('PV IN'!$F$4="Battery Only",0,BB243+BG243)</f>
        <v>-1086.25</v>
      </c>
      <c r="BI243" s="2">
        <f>BH243/(1+('PV IN'!$G$9))^(C243)</f>
        <v>-411.06413156928346</v>
      </c>
    </row>
    <row r="244" spans="2:61" x14ac:dyDescent="0.25">
      <c r="B244">
        <v>20</v>
      </c>
      <c r="C244">
        <v>240</v>
      </c>
      <c r="D244" s="16">
        <f>D243*(1+('PV IN'!$G$6/12))</f>
        <v>7.5999999999999998E-2</v>
      </c>
      <c r="E244" s="16">
        <f>LkUP!$U$40</f>
        <v>8.3481784272323598E-2</v>
      </c>
      <c r="F244" s="16">
        <f>IF('PV IN'!$D$7="Table",E244,D244)</f>
        <v>8.3481784272323598E-2</v>
      </c>
      <c r="G244" s="33">
        <f>('PV IN'!$E$25*'PV IN'!$E$18/12)*(1-(1-'PV IN'!$E$27)/(25*12))^C243</f>
        <v>130031.68193892052</v>
      </c>
      <c r="H244" s="33">
        <f>IF('PV IN'!$D$19="YES",G244*'PV IN'!$E$21,0)</f>
        <v>0</v>
      </c>
      <c r="I244" s="33">
        <f>IF('PV IN'!$D$19="YES",'PV IN'!$E$22*BattCalcs!W244,0)</f>
        <v>0</v>
      </c>
      <c r="J244" s="33">
        <f>IF('PV IN'!$D$19="YES",'PV IN'!$E$23*BattCalcs!Y244,0)</f>
        <v>0</v>
      </c>
      <c r="K244" s="33">
        <f>BattCalcs!AF244</f>
        <v>25811.765833333331</v>
      </c>
      <c r="L244" s="33">
        <f t="shared" si="63"/>
        <v>25811.765833333331</v>
      </c>
      <c r="M244" s="33">
        <f>IF('PV IN'!$F$4="PV Only",G244,G244-SUM(H244:J244,L244))</f>
        <v>130031.68193892052</v>
      </c>
      <c r="N244" s="2">
        <f>IF(C244&lt;='PV IN'!$I$12*12,'PV IN'!$E$12*G244/1000,0)</f>
        <v>0</v>
      </c>
      <c r="O244" s="2">
        <f>IF(AND(C244&gt;'PV IN'!$I$12*12,C244&lt;='PV IN'!$I$13*12+'PV IN'!$I$12*12),'PV IN'!$E$13*PVCalcs!G244/1000,0)</f>
        <v>0</v>
      </c>
      <c r="P244" s="2">
        <f>IF(AND(C244&gt;'PV IN'!$I$12*12+'PV IN'!$I$13*12,C244&lt;='PV IN'!$I$12*12+'PV IN'!$I$13*12+'PV IN'!$I$14*12),'PV IN'!$E$14*PVCalcs!G244/1000,0)</f>
        <v>0</v>
      </c>
      <c r="R244" s="10">
        <f>IF(AND('PV IN'!$D$35="YES",$C244&lt;='PV IN'!$E$35*12),-'PV IN'!$E$18*'PV IN'!$E$34/12,0)</f>
        <v>0</v>
      </c>
      <c r="S244" s="10">
        <f>IF(AND('PV IN'!$D$37="YES",$C244&lt;='PV IN'!$E$37*12),-'PV IN'!$E$18*'PV IN'!$E$36/12,0)</f>
        <v>0</v>
      </c>
      <c r="U244" s="2">
        <f t="shared" si="64"/>
        <v>10855.276820192359</v>
      </c>
      <c r="V244" s="10">
        <f>PVLoan!M271</f>
        <v>0</v>
      </c>
      <c r="W244" s="2">
        <f>IF(C244='PV IN'!$I$40,IF('PV IN'!$G$40="Non-Taxable",'PV IN'!$F$40,0),0)+IF(C244='PV IN'!$I$41,IF('PV IN'!$G$41="Non-Taxable",'PV IN'!$F$41,0),0)</f>
        <v>0</v>
      </c>
      <c r="X244" s="10"/>
      <c r="Y244" s="10">
        <f>IF('PV IN'!$E$15="Non-Taxable",SUM(N244:P244),0)</f>
        <v>0</v>
      </c>
      <c r="Z244" s="10">
        <f>IF('PV IN'!$E$15="Taxable",SUM(N244:P244),0)</f>
        <v>0</v>
      </c>
      <c r="AA244" s="2">
        <f>IF(C244='PV IN'!$I$40,IF('PV IN'!$G$40="Taxable",'PV IN'!$F$40,0),0)+IF(C244='PV IN'!$I$41,IF('PV IN'!$G$41="Taxable",'PV IN'!$F$41,0),0)</f>
        <v>0</v>
      </c>
      <c r="AD244" s="10">
        <f>IF('PV IN'!$D$48="YES",-U244*'PV IN'!$E$8,0)</f>
        <v>0</v>
      </c>
      <c r="AE244" s="10">
        <f>IF('PV IN'!$N$10="Yes",-PVLoan!H272,-PVLoan!L272)</f>
        <v>0</v>
      </c>
      <c r="AF244" s="10">
        <f>IF('PV IN'!$N$10="Yes",-PVLoan!F272,0)</f>
        <v>0</v>
      </c>
      <c r="AG244" s="10">
        <f>IF(AND('PV IN'!$D$35="YES",$C244&lt;='PV IN'!$E$35*12),0,-'PV IN'!$E$18*'PV IN'!$E$34/12)</f>
        <v>-750</v>
      </c>
      <c r="AH244" s="10">
        <f>IF(AND('PV IN'!$D$37="YES",$C244&lt;='PV IN'!$E$37*12),0,-'PV IN'!$E$18*'PV IN'!$E$36/12)</f>
        <v>-625</v>
      </c>
      <c r="AI244" s="2">
        <f>IF(AND('PV IN'!$D$33="YES",PVCalcs!C244=ROUNDUP('PV IN'!$H$33*12,)),-'PV IN'!$E$33*'PV IN'!$E$18,0)</f>
        <v>0</v>
      </c>
      <c r="AK244" s="2">
        <f t="shared" si="49"/>
        <v>10855.276820192359</v>
      </c>
      <c r="AL244" s="2">
        <f t="shared" si="50"/>
        <v>-1375</v>
      </c>
      <c r="AM244" s="2">
        <f t="shared" si="54"/>
        <v>9480.2768201923591</v>
      </c>
      <c r="AN244" s="43"/>
      <c r="AO244" s="2">
        <f t="shared" si="51"/>
        <v>0</v>
      </c>
      <c r="AP244" s="2">
        <f t="shared" si="55"/>
        <v>-1375</v>
      </c>
      <c r="AR244" s="2">
        <f t="shared" si="56"/>
        <v>-1375</v>
      </c>
      <c r="AS244" s="2">
        <f>-AR244*'PV IN'!$E$8</f>
        <v>288.75</v>
      </c>
      <c r="AT244" s="2">
        <f>IF('PV IN'!$F$4="Battery Only",0,AM244+AS244)</f>
        <v>9769.0268201923591</v>
      </c>
      <c r="AV244" s="10">
        <f t="shared" si="57"/>
        <v>1371191.3677060506</v>
      </c>
      <c r="AW244" s="2">
        <f>AT244/(1+('PV IN'!$G$9))^(C244)</f>
        <v>3681.8434664346901</v>
      </c>
      <c r="AX244" s="2">
        <f>IF(C244&lt;='PV IN'!$O$22*12,AW244+AX243,NA())</f>
        <v>432284.97661087348</v>
      </c>
      <c r="AZ244" s="10">
        <f t="shared" si="52"/>
        <v>-1375</v>
      </c>
      <c r="BA244" s="10">
        <f t="shared" si="53"/>
        <v>0</v>
      </c>
      <c r="BB244" s="10">
        <f t="shared" si="58"/>
        <v>-1375</v>
      </c>
      <c r="BC244" s="10">
        <f t="shared" si="59"/>
        <v>0</v>
      </c>
      <c r="BD244" s="10">
        <f t="shared" si="60"/>
        <v>-1375</v>
      </c>
      <c r="BE244" s="2">
        <f t="shared" si="61"/>
        <v>0</v>
      </c>
      <c r="BF244" s="10">
        <f t="shared" si="62"/>
        <v>-1375</v>
      </c>
      <c r="BG244" s="2">
        <f>-BF244*'PV IN'!$E$8</f>
        <v>288.75</v>
      </c>
      <c r="BH244" s="2">
        <f>IF('PV IN'!$F$4="Battery Only",0,BB244+BG244)</f>
        <v>-1086.25</v>
      </c>
      <c r="BI244" s="2">
        <f>BH244/(1+('PV IN'!$G$9))^(C244)</f>
        <v>-409.39620077078786</v>
      </c>
    </row>
    <row r="245" spans="2:61" x14ac:dyDescent="0.25">
      <c r="C245">
        <v>241</v>
      </c>
      <c r="D245" s="16">
        <f>D244*(1+('PV IN'!$G$6/12))</f>
        <v>7.5999999999999998E-2</v>
      </c>
      <c r="E245" s="16">
        <f>LkUP!$U$41</f>
        <v>8.3376332931343902E-2</v>
      </c>
      <c r="F245" s="16">
        <f>IF('PV IN'!$D$7="Table",E245,D245)</f>
        <v>8.3376332931343902E-2</v>
      </c>
      <c r="G245" s="33">
        <f>('PV IN'!$E$25*'PV IN'!$E$18/12)*(1-(1-'PV IN'!$E$27)/(25*12))^C244</f>
        <v>129944.99415096123</v>
      </c>
      <c r="H245" s="33">
        <f>IF('PV IN'!$D$19="YES",G245*'PV IN'!$E$21,0)</f>
        <v>0</v>
      </c>
      <c r="I245" s="33">
        <f>IF('PV IN'!$D$19="YES",'PV IN'!$E$22*BattCalcs!W245,0)</f>
        <v>0</v>
      </c>
      <c r="J245" s="33">
        <f>IF('PV IN'!$D$19="YES",'PV IN'!$E$23*BattCalcs!Y245,0)</f>
        <v>0</v>
      </c>
      <c r="K245" s="33">
        <f>BattCalcs!AF245</f>
        <v>25811.765833333331</v>
      </c>
      <c r="L245" s="33">
        <f t="shared" si="63"/>
        <v>25811.765833333331</v>
      </c>
      <c r="M245" s="33">
        <f>IF('PV IN'!$F$4="PV Only",G245,G245-SUM(H245:J245,L245))</f>
        <v>129944.99415096123</v>
      </c>
      <c r="N245" s="2">
        <f>IF(C245&lt;='PV IN'!$I$12*12,'PV IN'!$E$12*G245/1000,0)</f>
        <v>0</v>
      </c>
      <c r="O245" s="2">
        <f>IF(AND(C245&gt;'PV IN'!$I$12*12,C245&lt;='PV IN'!$I$13*12+'PV IN'!$I$12*12),'PV IN'!$E$13*PVCalcs!G245/1000,0)</f>
        <v>0</v>
      </c>
      <c r="P245" s="2">
        <f>IF(AND(C245&gt;'PV IN'!$I$12*12+'PV IN'!$I$13*12,C245&lt;='PV IN'!$I$12*12+'PV IN'!$I$13*12+'PV IN'!$I$14*12),'PV IN'!$E$14*PVCalcs!G245/1000,0)</f>
        <v>0</v>
      </c>
      <c r="R245" s="10">
        <f>IF(AND('PV IN'!$D$35="YES",$C245&lt;='PV IN'!$E$35*12),-'PV IN'!$E$18*'PV IN'!$E$34/12,0)</f>
        <v>0</v>
      </c>
      <c r="S245" s="10">
        <f>IF(AND('PV IN'!$D$37="YES",$C245&lt;='PV IN'!$E$37*12),-'PV IN'!$E$18*'PV IN'!$E$36/12,0)</f>
        <v>0</v>
      </c>
      <c r="U245" s="2">
        <f t="shared" si="64"/>
        <v>10834.33709509208</v>
      </c>
      <c r="V245" s="10">
        <f>PVLoan!M272</f>
        <v>0</v>
      </c>
      <c r="W245" s="2">
        <f>IF(C245='PV IN'!$I$40,IF('PV IN'!$G$40="Non-Taxable",'PV IN'!$F$40,0),0)+IF(C245='PV IN'!$I$41,IF('PV IN'!$G$41="Non-Taxable",'PV IN'!$F$41,0),0)</f>
        <v>0</v>
      </c>
      <c r="X245" s="10"/>
      <c r="Y245" s="10">
        <f>IF('PV IN'!$E$15="Non-Taxable",SUM(N245:P245),0)</f>
        <v>0</v>
      </c>
      <c r="Z245" s="10">
        <f>IF('PV IN'!$E$15="Taxable",SUM(N245:P245),0)</f>
        <v>0</v>
      </c>
      <c r="AA245" s="2">
        <f>IF(C245='PV IN'!$I$40,IF('PV IN'!$G$40="Taxable",'PV IN'!$F$40,0),0)+IF(C245='PV IN'!$I$41,IF('PV IN'!$G$41="Taxable",'PV IN'!$F$41,0),0)</f>
        <v>0</v>
      </c>
      <c r="AD245" s="10">
        <f>IF('PV IN'!$D$48="YES",-U245*'PV IN'!$E$8,0)</f>
        <v>0</v>
      </c>
      <c r="AE245" s="10">
        <f>IF('PV IN'!$N$10="Yes",-PVLoan!H273,-PVLoan!L273)</f>
        <v>0</v>
      </c>
      <c r="AF245" s="10">
        <f>IF('PV IN'!$N$10="Yes",-PVLoan!F273,0)</f>
        <v>0</v>
      </c>
      <c r="AG245" s="10">
        <f>IF(AND('PV IN'!$D$35="YES",$C245&lt;='PV IN'!$E$35*12),0,-'PV IN'!$E$18*'PV IN'!$E$34/12)</f>
        <v>-750</v>
      </c>
      <c r="AH245" s="10">
        <f>IF(AND('PV IN'!$D$37="YES",$C245&lt;='PV IN'!$E$37*12),0,-'PV IN'!$E$18*'PV IN'!$E$36/12)</f>
        <v>-625</v>
      </c>
      <c r="AI245" s="2">
        <f>IF(AND('PV IN'!$D$33="YES",PVCalcs!C245=ROUNDUP('PV IN'!$H$33*12,)),-'PV IN'!$E$33*'PV IN'!$E$18,0)</f>
        <v>0</v>
      </c>
      <c r="AK245" s="2">
        <f t="shared" si="49"/>
        <v>10834.33709509208</v>
      </c>
      <c r="AL245" s="2">
        <f t="shared" si="50"/>
        <v>-1375</v>
      </c>
      <c r="AM245" s="2">
        <f t="shared" si="54"/>
        <v>9459.3370950920798</v>
      </c>
      <c r="AN245" s="43"/>
      <c r="AO245" s="2">
        <f t="shared" si="51"/>
        <v>0</v>
      </c>
      <c r="AP245" s="2">
        <f t="shared" si="55"/>
        <v>-1375</v>
      </c>
      <c r="AR245" s="2">
        <f t="shared" si="56"/>
        <v>-1375</v>
      </c>
      <c r="AS245" s="2">
        <f>-AR245*'PV IN'!$E$8</f>
        <v>288.75</v>
      </c>
      <c r="AT245" s="2">
        <f>IF('PV IN'!$F$4="Battery Only",0,AM245+AS245)</f>
        <v>9748.0870950920798</v>
      </c>
      <c r="AV245" s="10">
        <f t="shared" si="57"/>
        <v>1380939.4548011427</v>
      </c>
      <c r="AW245" s="2">
        <f>AT245/(1+('PV IN'!$G$9))^(C245)</f>
        <v>3659.0441056538812</v>
      </c>
      <c r="AX245" s="2" t="e">
        <f>IF(C245&lt;='PV IN'!$O$22*12,AW245+AX244,NA())</f>
        <v>#N/A</v>
      </c>
      <c r="AZ245" s="10">
        <f t="shared" si="52"/>
        <v>-1375</v>
      </c>
      <c r="BA245" s="10">
        <f t="shared" si="53"/>
        <v>0</v>
      </c>
      <c r="BB245" s="10">
        <f t="shared" si="58"/>
        <v>-1375</v>
      </c>
      <c r="BC245" s="10">
        <f t="shared" si="59"/>
        <v>0</v>
      </c>
      <c r="BD245" s="10">
        <f t="shared" si="60"/>
        <v>-1375</v>
      </c>
      <c r="BE245" s="2">
        <f t="shared" si="61"/>
        <v>0</v>
      </c>
      <c r="BF245" s="10">
        <f t="shared" si="62"/>
        <v>-1375</v>
      </c>
      <c r="BG245" s="2">
        <f>-BF245*'PV IN'!$E$8</f>
        <v>288.75</v>
      </c>
      <c r="BH245" s="2">
        <f>IF('PV IN'!$F$4="Battery Only",0,BB245+BG245)</f>
        <v>-1086.25</v>
      </c>
      <c r="BI245" s="2">
        <f>BH245/(1+('PV IN'!$G$9))^(C245)</f>
        <v>-407.73503775603928</v>
      </c>
    </row>
    <row r="246" spans="2:61" x14ac:dyDescent="0.25">
      <c r="C246">
        <v>242</v>
      </c>
      <c r="D246" s="16">
        <f>D245*(1+('PV IN'!$G$6/12))</f>
        <v>7.5999999999999998E-2</v>
      </c>
      <c r="E246" s="16">
        <f>LkUP!$U$41</f>
        <v>8.3376332931343902E-2</v>
      </c>
      <c r="F246" s="16">
        <f>IF('PV IN'!$D$7="Table",E246,D246)</f>
        <v>8.3376332931343902E-2</v>
      </c>
      <c r="G246" s="33">
        <f>('PV IN'!$E$25*'PV IN'!$E$18/12)*(1-(1-'PV IN'!$E$27)/(25*12))^C245</f>
        <v>129858.36415486057</v>
      </c>
      <c r="H246" s="33">
        <f>IF('PV IN'!$D$19="YES",G246*'PV IN'!$E$21,0)</f>
        <v>0</v>
      </c>
      <c r="I246" s="33">
        <f>IF('PV IN'!$D$19="YES",'PV IN'!$E$22*BattCalcs!W246,0)</f>
        <v>0</v>
      </c>
      <c r="J246" s="33">
        <f>IF('PV IN'!$D$19="YES",'PV IN'!$E$23*BattCalcs!Y246,0)</f>
        <v>0</v>
      </c>
      <c r="K246" s="33">
        <f>BattCalcs!AF246</f>
        <v>25811.765833333331</v>
      </c>
      <c r="L246" s="33">
        <f t="shared" si="63"/>
        <v>25811.765833333331</v>
      </c>
      <c r="M246" s="33">
        <f>IF('PV IN'!$F$4="PV Only",G246,G246-SUM(H246:J246,L246))</f>
        <v>129858.36415486057</v>
      </c>
      <c r="N246" s="2">
        <f>IF(C246&lt;='PV IN'!$I$12*12,'PV IN'!$E$12*G246/1000,0)</f>
        <v>0</v>
      </c>
      <c r="O246" s="2">
        <f>IF(AND(C246&gt;'PV IN'!$I$12*12,C246&lt;='PV IN'!$I$13*12+'PV IN'!$I$12*12),'PV IN'!$E$13*PVCalcs!G246/1000,0)</f>
        <v>0</v>
      </c>
      <c r="P246" s="2">
        <f>IF(AND(C246&gt;'PV IN'!$I$12*12+'PV IN'!$I$13*12,C246&lt;='PV IN'!$I$12*12+'PV IN'!$I$13*12+'PV IN'!$I$14*12),'PV IN'!$E$14*PVCalcs!G246/1000,0)</f>
        <v>0</v>
      </c>
      <c r="R246" s="10">
        <f>IF(AND('PV IN'!$D$35="YES",$C246&lt;='PV IN'!$E$35*12),-'PV IN'!$E$18*'PV IN'!$E$34/12,0)</f>
        <v>0</v>
      </c>
      <c r="S246" s="10">
        <f>IF(AND('PV IN'!$D$37="YES",$C246&lt;='PV IN'!$E$37*12),-'PV IN'!$E$18*'PV IN'!$E$36/12,0)</f>
        <v>0</v>
      </c>
      <c r="U246" s="2">
        <f t="shared" si="64"/>
        <v>10827.11420369535</v>
      </c>
      <c r="V246" s="10">
        <f>PVLoan!M273</f>
        <v>0</v>
      </c>
      <c r="W246" s="2">
        <f>IF(C246='PV IN'!$I$40,IF('PV IN'!$G$40="Non-Taxable",'PV IN'!$F$40,0),0)+IF(C246='PV IN'!$I$41,IF('PV IN'!$G$41="Non-Taxable",'PV IN'!$F$41,0),0)</f>
        <v>0</v>
      </c>
      <c r="X246" s="10"/>
      <c r="Y246" s="10">
        <f>IF('PV IN'!$E$15="Non-Taxable",SUM(N246:P246),0)</f>
        <v>0</v>
      </c>
      <c r="Z246" s="10">
        <f>IF('PV IN'!$E$15="Taxable",SUM(N246:P246),0)</f>
        <v>0</v>
      </c>
      <c r="AA246" s="2">
        <f>IF(C246='PV IN'!$I$40,IF('PV IN'!$G$40="Taxable",'PV IN'!$F$40,0),0)+IF(C246='PV IN'!$I$41,IF('PV IN'!$G$41="Taxable",'PV IN'!$F$41,0),0)</f>
        <v>0</v>
      </c>
      <c r="AD246" s="10">
        <f>IF('PV IN'!$D$48="YES",-U246*'PV IN'!$E$8,0)</f>
        <v>0</v>
      </c>
      <c r="AE246" s="10">
        <f>IF('PV IN'!$N$10="Yes",-PVLoan!H274,-PVLoan!L274)</f>
        <v>0</v>
      </c>
      <c r="AF246" s="10">
        <f>IF('PV IN'!$N$10="Yes",-PVLoan!F274,0)</f>
        <v>0</v>
      </c>
      <c r="AG246" s="10">
        <f>IF(AND('PV IN'!$D$35="YES",$C246&lt;='PV IN'!$E$35*12),0,-'PV IN'!$E$18*'PV IN'!$E$34/12)</f>
        <v>-750</v>
      </c>
      <c r="AH246" s="10">
        <f>IF(AND('PV IN'!$D$37="YES",$C246&lt;='PV IN'!$E$37*12),0,-'PV IN'!$E$18*'PV IN'!$E$36/12)</f>
        <v>-625</v>
      </c>
      <c r="AI246" s="2">
        <f>IF(AND('PV IN'!$D$33="YES",PVCalcs!C246=ROUNDUP('PV IN'!$H$33*12,)),-'PV IN'!$E$33*'PV IN'!$E$18,0)</f>
        <v>0</v>
      </c>
      <c r="AK246" s="2">
        <f t="shared" si="49"/>
        <v>10827.11420369535</v>
      </c>
      <c r="AL246" s="2">
        <f t="shared" si="50"/>
        <v>-1375</v>
      </c>
      <c r="AM246" s="2">
        <f t="shared" si="54"/>
        <v>9452.1142036953497</v>
      </c>
      <c r="AN246" s="43"/>
      <c r="AO246" s="2">
        <f t="shared" si="51"/>
        <v>0</v>
      </c>
      <c r="AP246" s="2">
        <f t="shared" si="55"/>
        <v>-1375</v>
      </c>
      <c r="AR246" s="2">
        <f t="shared" si="56"/>
        <v>-1375</v>
      </c>
      <c r="AS246" s="2">
        <f>-AR246*'PV IN'!$E$8</f>
        <v>288.75</v>
      </c>
      <c r="AT246" s="2">
        <f>IF('PV IN'!$F$4="Battery Only",0,AM246+AS246)</f>
        <v>9740.8642036953497</v>
      </c>
      <c r="AV246" s="10">
        <f t="shared" si="57"/>
        <v>1390680.3190048381</v>
      </c>
      <c r="AW246" s="2">
        <f>AT246/(1+('PV IN'!$G$9))^(C246)</f>
        <v>3641.4970099818215</v>
      </c>
      <c r="AX246" s="2" t="e">
        <f>IF(C246&lt;='PV IN'!$O$22*12,AW246+AX245,NA())</f>
        <v>#N/A</v>
      </c>
      <c r="AZ246" s="10">
        <f t="shared" si="52"/>
        <v>-1375</v>
      </c>
      <c r="BA246" s="10">
        <f t="shared" si="53"/>
        <v>0</v>
      </c>
      <c r="BB246" s="10">
        <f t="shared" si="58"/>
        <v>-1375</v>
      </c>
      <c r="BC246" s="10">
        <f t="shared" si="59"/>
        <v>0</v>
      </c>
      <c r="BD246" s="10">
        <f t="shared" si="60"/>
        <v>-1375</v>
      </c>
      <c r="BE246" s="2">
        <f t="shared" si="61"/>
        <v>0</v>
      </c>
      <c r="BF246" s="10">
        <f t="shared" si="62"/>
        <v>-1375</v>
      </c>
      <c r="BG246" s="2">
        <f>-BF246*'PV IN'!$E$8</f>
        <v>288.75</v>
      </c>
      <c r="BH246" s="2">
        <f>IF('PV IN'!$F$4="Battery Only",0,BB246+BG246)</f>
        <v>-1086.25</v>
      </c>
      <c r="BI246" s="2">
        <f>BH246/(1+('PV IN'!$G$9))^(C246)</f>
        <v>-406.08061506412787</v>
      </c>
    </row>
    <row r="247" spans="2:61" x14ac:dyDescent="0.25">
      <c r="C247">
        <v>243</v>
      </c>
      <c r="D247" s="16">
        <f>D246*(1+('PV IN'!$G$6/12))</f>
        <v>7.5999999999999998E-2</v>
      </c>
      <c r="E247" s="16">
        <f>LkUP!$U$41</f>
        <v>8.3376332931343902E-2</v>
      </c>
      <c r="F247" s="16">
        <f>IF('PV IN'!$D$7="Table",E247,D247)</f>
        <v>8.3376332931343902E-2</v>
      </c>
      <c r="G247" s="33">
        <f>('PV IN'!$E$25*'PV IN'!$E$18/12)*(1-(1-'PV IN'!$E$27)/(25*12))^C246</f>
        <v>129771.79191209067</v>
      </c>
      <c r="H247" s="33">
        <f>IF('PV IN'!$D$19="YES",G247*'PV IN'!$E$21,0)</f>
        <v>0</v>
      </c>
      <c r="I247" s="33">
        <f>IF('PV IN'!$D$19="YES",'PV IN'!$E$22*BattCalcs!W247,0)</f>
        <v>0</v>
      </c>
      <c r="J247" s="33">
        <f>IF('PV IN'!$D$19="YES",'PV IN'!$E$23*BattCalcs!Y247,0)</f>
        <v>0</v>
      </c>
      <c r="K247" s="33">
        <f>BattCalcs!AF247</f>
        <v>25811.765833333331</v>
      </c>
      <c r="L247" s="33">
        <f t="shared" si="63"/>
        <v>25811.765833333331</v>
      </c>
      <c r="M247" s="33">
        <f>IF('PV IN'!$F$4="PV Only",G247,G247-SUM(H247:J247,L247))</f>
        <v>129771.79191209067</v>
      </c>
      <c r="N247" s="2">
        <f>IF(C247&lt;='PV IN'!$I$12*12,'PV IN'!$E$12*G247/1000,0)</f>
        <v>0</v>
      </c>
      <c r="O247" s="2">
        <f>IF(AND(C247&gt;'PV IN'!$I$12*12,C247&lt;='PV IN'!$I$13*12+'PV IN'!$I$12*12),'PV IN'!$E$13*PVCalcs!G247/1000,0)</f>
        <v>0</v>
      </c>
      <c r="P247" s="2">
        <f>IF(AND(C247&gt;'PV IN'!$I$12*12+'PV IN'!$I$13*12,C247&lt;='PV IN'!$I$12*12+'PV IN'!$I$13*12+'PV IN'!$I$14*12),'PV IN'!$E$14*PVCalcs!G247/1000,0)</f>
        <v>0</v>
      </c>
      <c r="R247" s="10">
        <f>IF(AND('PV IN'!$D$35="YES",$C247&lt;='PV IN'!$E$35*12),-'PV IN'!$E$18*'PV IN'!$E$34/12,0)</f>
        <v>0</v>
      </c>
      <c r="S247" s="10">
        <f>IF(AND('PV IN'!$D$37="YES",$C247&lt;='PV IN'!$E$37*12),-'PV IN'!$E$18*'PV IN'!$E$36/12,0)</f>
        <v>0</v>
      </c>
      <c r="U247" s="2">
        <f t="shared" si="64"/>
        <v>10819.896127559554</v>
      </c>
      <c r="V247" s="10">
        <f>PVLoan!M274</f>
        <v>0</v>
      </c>
      <c r="W247" s="2">
        <f>IF(C247='PV IN'!$I$40,IF('PV IN'!$G$40="Non-Taxable",'PV IN'!$F$40,0),0)+IF(C247='PV IN'!$I$41,IF('PV IN'!$G$41="Non-Taxable",'PV IN'!$F$41,0),0)</f>
        <v>0</v>
      </c>
      <c r="X247" s="10"/>
      <c r="Y247" s="10">
        <f>IF('PV IN'!$E$15="Non-Taxable",SUM(N247:P247),0)</f>
        <v>0</v>
      </c>
      <c r="Z247" s="10">
        <f>IF('PV IN'!$E$15="Taxable",SUM(N247:P247),0)</f>
        <v>0</v>
      </c>
      <c r="AA247" s="2">
        <f>IF(C247='PV IN'!$I$40,IF('PV IN'!$G$40="Taxable",'PV IN'!$F$40,0),0)+IF(C247='PV IN'!$I$41,IF('PV IN'!$G$41="Taxable",'PV IN'!$F$41,0),0)</f>
        <v>0</v>
      </c>
      <c r="AD247" s="10">
        <f>IF('PV IN'!$D$48="YES",-U247*'PV IN'!$E$8,0)</f>
        <v>0</v>
      </c>
      <c r="AE247" s="10">
        <f>IF('PV IN'!$N$10="Yes",-PVLoan!H275,-PVLoan!L275)</f>
        <v>0</v>
      </c>
      <c r="AF247" s="10">
        <f>IF('PV IN'!$N$10="Yes",-PVLoan!F275,0)</f>
        <v>0</v>
      </c>
      <c r="AG247" s="10">
        <f>IF(AND('PV IN'!$D$35="YES",$C247&lt;='PV IN'!$E$35*12),0,-'PV IN'!$E$18*'PV IN'!$E$34/12)</f>
        <v>-750</v>
      </c>
      <c r="AH247" s="10">
        <f>IF(AND('PV IN'!$D$37="YES",$C247&lt;='PV IN'!$E$37*12),0,-'PV IN'!$E$18*'PV IN'!$E$36/12)</f>
        <v>-625</v>
      </c>
      <c r="AI247" s="2">
        <f>IF(AND('PV IN'!$D$33="YES",PVCalcs!C247=ROUNDUP('PV IN'!$H$33*12,)),-'PV IN'!$E$33*'PV IN'!$E$18,0)</f>
        <v>0</v>
      </c>
      <c r="AK247" s="2">
        <f t="shared" si="49"/>
        <v>10819.896127559554</v>
      </c>
      <c r="AL247" s="2">
        <f t="shared" si="50"/>
        <v>-1375</v>
      </c>
      <c r="AM247" s="2">
        <f t="shared" si="54"/>
        <v>9444.8961275595539</v>
      </c>
      <c r="AN247" s="43"/>
      <c r="AO247" s="2">
        <f t="shared" si="51"/>
        <v>0</v>
      </c>
      <c r="AP247" s="2">
        <f t="shared" si="55"/>
        <v>-1375</v>
      </c>
      <c r="AR247" s="2">
        <f t="shared" si="56"/>
        <v>-1375</v>
      </c>
      <c r="AS247" s="2">
        <f>-AR247*'PV IN'!$E$8</f>
        <v>288.75</v>
      </c>
      <c r="AT247" s="2">
        <f>IF('PV IN'!$F$4="Battery Only",0,AM247+AS247)</f>
        <v>9733.6461275595539</v>
      </c>
      <c r="AV247" s="10">
        <f t="shared" si="57"/>
        <v>1400413.9651323976</v>
      </c>
      <c r="AW247" s="2">
        <f>AT247/(1+('PV IN'!$G$9))^(C247)</f>
        <v>3624.033862347123</v>
      </c>
      <c r="AX247" s="2" t="e">
        <f>IF(C247&lt;='PV IN'!$O$22*12,AW247+AX246,NA())</f>
        <v>#N/A</v>
      </c>
      <c r="AZ247" s="10">
        <f t="shared" si="52"/>
        <v>-1375</v>
      </c>
      <c r="BA247" s="10">
        <f t="shared" si="53"/>
        <v>0</v>
      </c>
      <c r="BB247" s="10">
        <f t="shared" si="58"/>
        <v>-1375</v>
      </c>
      <c r="BC247" s="10">
        <f t="shared" si="59"/>
        <v>0</v>
      </c>
      <c r="BD247" s="10">
        <f t="shared" si="60"/>
        <v>-1375</v>
      </c>
      <c r="BE247" s="2">
        <f t="shared" si="61"/>
        <v>0</v>
      </c>
      <c r="BF247" s="10">
        <f t="shared" si="62"/>
        <v>-1375</v>
      </c>
      <c r="BG247" s="2">
        <f>-BF247*'PV IN'!$E$8</f>
        <v>288.75</v>
      </c>
      <c r="BH247" s="2">
        <f>IF('PV IN'!$F$4="Battery Only",0,BB247+BG247)</f>
        <v>-1086.25</v>
      </c>
      <c r="BI247" s="2">
        <f>BH247/(1+('PV IN'!$G$9))^(C247)</f>
        <v>-404.43290534556951</v>
      </c>
    </row>
    <row r="248" spans="2:61" x14ac:dyDescent="0.25">
      <c r="C248">
        <v>244</v>
      </c>
      <c r="D248" s="16">
        <f>D247*(1+('PV IN'!$G$6/12))</f>
        <v>7.5999999999999998E-2</v>
      </c>
      <c r="E248" s="16">
        <f>LkUP!$U$41</f>
        <v>8.3376332931343902E-2</v>
      </c>
      <c r="F248" s="16">
        <f>IF('PV IN'!$D$7="Table",E248,D248)</f>
        <v>8.3376332931343902E-2</v>
      </c>
      <c r="G248" s="33">
        <f>('PV IN'!$E$25*'PV IN'!$E$18/12)*(1-(1-'PV IN'!$E$27)/(25*12))^C247</f>
        <v>129685.27738414927</v>
      </c>
      <c r="H248" s="33">
        <f>IF('PV IN'!$D$19="YES",G248*'PV IN'!$E$21,0)</f>
        <v>0</v>
      </c>
      <c r="I248" s="33">
        <f>IF('PV IN'!$D$19="YES",'PV IN'!$E$22*BattCalcs!W248,0)</f>
        <v>0</v>
      </c>
      <c r="J248" s="33">
        <f>IF('PV IN'!$D$19="YES",'PV IN'!$E$23*BattCalcs!Y248,0)</f>
        <v>0</v>
      </c>
      <c r="K248" s="33">
        <f>BattCalcs!AF248</f>
        <v>25811.765833333331</v>
      </c>
      <c r="L248" s="33">
        <f t="shared" si="63"/>
        <v>25811.765833333331</v>
      </c>
      <c r="M248" s="33">
        <f>IF('PV IN'!$F$4="PV Only",G248,G248-SUM(H248:J248,L248))</f>
        <v>129685.27738414927</v>
      </c>
      <c r="N248" s="2">
        <f>IF(C248&lt;='PV IN'!$I$12*12,'PV IN'!$E$12*G248/1000,0)</f>
        <v>0</v>
      </c>
      <c r="O248" s="2">
        <f>IF(AND(C248&gt;'PV IN'!$I$12*12,C248&lt;='PV IN'!$I$13*12+'PV IN'!$I$12*12),'PV IN'!$E$13*PVCalcs!G248/1000,0)</f>
        <v>0</v>
      </c>
      <c r="P248" s="2">
        <f>IF(AND(C248&gt;'PV IN'!$I$12*12+'PV IN'!$I$13*12,C248&lt;='PV IN'!$I$12*12+'PV IN'!$I$13*12+'PV IN'!$I$14*12),'PV IN'!$E$14*PVCalcs!G248/1000,0)</f>
        <v>0</v>
      </c>
      <c r="R248" s="10">
        <f>IF(AND('PV IN'!$D$35="YES",$C248&lt;='PV IN'!$E$35*12),-'PV IN'!$E$18*'PV IN'!$E$34/12,0)</f>
        <v>0</v>
      </c>
      <c r="S248" s="10">
        <f>IF(AND('PV IN'!$D$37="YES",$C248&lt;='PV IN'!$E$37*12),-'PV IN'!$E$18*'PV IN'!$E$36/12,0)</f>
        <v>0</v>
      </c>
      <c r="U248" s="2">
        <f t="shared" si="64"/>
        <v>10812.682863474514</v>
      </c>
      <c r="V248" s="10">
        <f>PVLoan!M275</f>
        <v>0</v>
      </c>
      <c r="W248" s="2">
        <f>IF(C248='PV IN'!$I$40,IF('PV IN'!$G$40="Non-Taxable",'PV IN'!$F$40,0),0)+IF(C248='PV IN'!$I$41,IF('PV IN'!$G$41="Non-Taxable",'PV IN'!$F$41,0),0)</f>
        <v>0</v>
      </c>
      <c r="X248" s="10"/>
      <c r="Y248" s="10">
        <f>IF('PV IN'!$E$15="Non-Taxable",SUM(N248:P248),0)</f>
        <v>0</v>
      </c>
      <c r="Z248" s="10">
        <f>IF('PV IN'!$E$15="Taxable",SUM(N248:P248),0)</f>
        <v>0</v>
      </c>
      <c r="AA248" s="2">
        <f>IF(C248='PV IN'!$I$40,IF('PV IN'!$G$40="Taxable",'PV IN'!$F$40,0),0)+IF(C248='PV IN'!$I$41,IF('PV IN'!$G$41="Taxable",'PV IN'!$F$41,0),0)</f>
        <v>0</v>
      </c>
      <c r="AD248" s="10">
        <f>IF('PV IN'!$D$48="YES",-U248*'PV IN'!$E$8,0)</f>
        <v>0</v>
      </c>
      <c r="AE248" s="10">
        <f>IF('PV IN'!$N$10="Yes",-PVLoan!H276,-PVLoan!L276)</f>
        <v>0</v>
      </c>
      <c r="AF248" s="10">
        <f>IF('PV IN'!$N$10="Yes",-PVLoan!F276,0)</f>
        <v>0</v>
      </c>
      <c r="AG248" s="10">
        <f>IF(AND('PV IN'!$D$35="YES",$C248&lt;='PV IN'!$E$35*12),0,-'PV IN'!$E$18*'PV IN'!$E$34/12)</f>
        <v>-750</v>
      </c>
      <c r="AH248" s="10">
        <f>IF(AND('PV IN'!$D$37="YES",$C248&lt;='PV IN'!$E$37*12),0,-'PV IN'!$E$18*'PV IN'!$E$36/12)</f>
        <v>-625</v>
      </c>
      <c r="AI248" s="2">
        <f>IF(AND('PV IN'!$D$33="YES",PVCalcs!C248=ROUNDUP('PV IN'!$H$33*12,)),-'PV IN'!$E$33*'PV IN'!$E$18,0)</f>
        <v>0</v>
      </c>
      <c r="AK248" s="2">
        <f t="shared" si="49"/>
        <v>10812.682863474514</v>
      </c>
      <c r="AL248" s="2">
        <f t="shared" si="50"/>
        <v>-1375</v>
      </c>
      <c r="AM248" s="2">
        <f t="shared" si="54"/>
        <v>9437.6828634745143</v>
      </c>
      <c r="AN248" s="43"/>
      <c r="AO248" s="2">
        <f t="shared" si="51"/>
        <v>0</v>
      </c>
      <c r="AP248" s="2">
        <f t="shared" si="55"/>
        <v>-1375</v>
      </c>
      <c r="AR248" s="2">
        <f t="shared" si="56"/>
        <v>-1375</v>
      </c>
      <c r="AS248" s="2">
        <f>-AR248*'PV IN'!$E$8</f>
        <v>288.75</v>
      </c>
      <c r="AT248" s="2">
        <f>IF('PV IN'!$F$4="Battery Only",0,AM248+AS248)</f>
        <v>9726.4328634745143</v>
      </c>
      <c r="AV248" s="10">
        <f t="shared" si="57"/>
        <v>1410140.3979958722</v>
      </c>
      <c r="AW248" s="2">
        <f>AT248/(1+('PV IN'!$G$9))^(C248)</f>
        <v>3606.6542619274123</v>
      </c>
      <c r="AX248" s="2" t="e">
        <f>IF(C248&lt;='PV IN'!$O$22*12,AW248+AX247,NA())</f>
        <v>#N/A</v>
      </c>
      <c r="AZ248" s="10">
        <f t="shared" si="52"/>
        <v>-1375</v>
      </c>
      <c r="BA248" s="10">
        <f t="shared" si="53"/>
        <v>0</v>
      </c>
      <c r="BB248" s="10">
        <f t="shared" si="58"/>
        <v>-1375</v>
      </c>
      <c r="BC248" s="10">
        <f t="shared" si="59"/>
        <v>0</v>
      </c>
      <c r="BD248" s="10">
        <f t="shared" si="60"/>
        <v>-1375</v>
      </c>
      <c r="BE248" s="2">
        <f t="shared" si="61"/>
        <v>0</v>
      </c>
      <c r="BF248" s="10">
        <f t="shared" si="62"/>
        <v>-1375</v>
      </c>
      <c r="BG248" s="2">
        <f>-BF248*'PV IN'!$E$8</f>
        <v>288.75</v>
      </c>
      <c r="BH248" s="2">
        <f>IF('PV IN'!$F$4="Battery Only",0,BB248+BG248)</f>
        <v>-1086.25</v>
      </c>
      <c r="BI248" s="2">
        <f>BH248/(1+('PV IN'!$G$9))^(C248)</f>
        <v>-402.79188136185269</v>
      </c>
    </row>
    <row r="249" spans="2:61" x14ac:dyDescent="0.25">
      <c r="C249">
        <v>245</v>
      </c>
      <c r="D249" s="16">
        <f>D248*(1+('PV IN'!$G$6/12))</f>
        <v>7.5999999999999998E-2</v>
      </c>
      <c r="E249" s="16">
        <f>LkUP!$U$41</f>
        <v>8.3376332931343902E-2</v>
      </c>
      <c r="F249" s="16">
        <f>IF('PV IN'!$D$7="Table",E249,D249)</f>
        <v>8.3376332931343902E-2</v>
      </c>
      <c r="G249" s="33">
        <f>('PV IN'!$E$25*'PV IN'!$E$18/12)*(1-(1-'PV IN'!$E$27)/(25*12))^C248</f>
        <v>129598.82053255982</v>
      </c>
      <c r="H249" s="33">
        <f>IF('PV IN'!$D$19="YES",G249*'PV IN'!$E$21,0)</f>
        <v>0</v>
      </c>
      <c r="I249" s="33">
        <f>IF('PV IN'!$D$19="YES",'PV IN'!$E$22*BattCalcs!W249,0)</f>
        <v>0</v>
      </c>
      <c r="J249" s="33">
        <f>IF('PV IN'!$D$19="YES",'PV IN'!$E$23*BattCalcs!Y249,0)</f>
        <v>0</v>
      </c>
      <c r="K249" s="33">
        <f>BattCalcs!AF249</f>
        <v>25811.765833333331</v>
      </c>
      <c r="L249" s="33">
        <f t="shared" si="63"/>
        <v>25811.765833333331</v>
      </c>
      <c r="M249" s="33">
        <f>IF('PV IN'!$F$4="PV Only",G249,G249-SUM(H249:J249,L249))</f>
        <v>129598.82053255982</v>
      </c>
      <c r="N249" s="2">
        <f>IF(C249&lt;='PV IN'!$I$12*12,'PV IN'!$E$12*G249/1000,0)</f>
        <v>0</v>
      </c>
      <c r="O249" s="2">
        <f>IF(AND(C249&gt;'PV IN'!$I$12*12,C249&lt;='PV IN'!$I$13*12+'PV IN'!$I$12*12),'PV IN'!$E$13*PVCalcs!G249/1000,0)</f>
        <v>0</v>
      </c>
      <c r="P249" s="2">
        <f>IF(AND(C249&gt;'PV IN'!$I$12*12+'PV IN'!$I$13*12,C249&lt;='PV IN'!$I$12*12+'PV IN'!$I$13*12+'PV IN'!$I$14*12),'PV IN'!$E$14*PVCalcs!G249/1000,0)</f>
        <v>0</v>
      </c>
      <c r="R249" s="10">
        <f>IF(AND('PV IN'!$D$35="YES",$C249&lt;='PV IN'!$E$35*12),-'PV IN'!$E$18*'PV IN'!$E$34/12,0)</f>
        <v>0</v>
      </c>
      <c r="S249" s="10">
        <f>IF(AND('PV IN'!$D$37="YES",$C249&lt;='PV IN'!$E$37*12),-'PV IN'!$E$18*'PV IN'!$E$36/12,0)</f>
        <v>0</v>
      </c>
      <c r="U249" s="2">
        <f t="shared" si="64"/>
        <v>10805.474408232196</v>
      </c>
      <c r="V249" s="10">
        <f>PVLoan!M276</f>
        <v>0</v>
      </c>
      <c r="W249" s="2">
        <f>IF(C249='PV IN'!$I$40,IF('PV IN'!$G$40="Non-Taxable",'PV IN'!$F$40,0),0)+IF(C249='PV IN'!$I$41,IF('PV IN'!$G$41="Non-Taxable",'PV IN'!$F$41,0),0)</f>
        <v>0</v>
      </c>
      <c r="X249" s="10"/>
      <c r="Y249" s="10">
        <f>IF('PV IN'!$E$15="Non-Taxable",SUM(N249:P249),0)</f>
        <v>0</v>
      </c>
      <c r="Z249" s="10">
        <f>IF('PV IN'!$E$15="Taxable",SUM(N249:P249),0)</f>
        <v>0</v>
      </c>
      <c r="AA249" s="2">
        <f>IF(C249='PV IN'!$I$40,IF('PV IN'!$G$40="Taxable",'PV IN'!$F$40,0),0)+IF(C249='PV IN'!$I$41,IF('PV IN'!$G$41="Taxable",'PV IN'!$F$41,0),0)</f>
        <v>0</v>
      </c>
      <c r="AD249" s="10">
        <f>IF('PV IN'!$D$48="YES",-U249*'PV IN'!$E$8,0)</f>
        <v>0</v>
      </c>
      <c r="AE249" s="10">
        <f>IF('PV IN'!$N$10="Yes",-PVLoan!H277,-PVLoan!L277)</f>
        <v>0</v>
      </c>
      <c r="AF249" s="10">
        <f>IF('PV IN'!$N$10="Yes",-PVLoan!F277,0)</f>
        <v>0</v>
      </c>
      <c r="AG249" s="10">
        <f>IF(AND('PV IN'!$D$35="YES",$C249&lt;='PV IN'!$E$35*12),0,-'PV IN'!$E$18*'PV IN'!$E$34/12)</f>
        <v>-750</v>
      </c>
      <c r="AH249" s="10">
        <f>IF(AND('PV IN'!$D$37="YES",$C249&lt;='PV IN'!$E$37*12),0,-'PV IN'!$E$18*'PV IN'!$E$36/12)</f>
        <v>-625</v>
      </c>
      <c r="AI249" s="2">
        <f>IF(AND('PV IN'!$D$33="YES",PVCalcs!C249=ROUNDUP('PV IN'!$H$33*12,)),-'PV IN'!$E$33*'PV IN'!$E$18,0)</f>
        <v>0</v>
      </c>
      <c r="AK249" s="2">
        <f t="shared" si="49"/>
        <v>10805.474408232196</v>
      </c>
      <c r="AL249" s="2">
        <f t="shared" si="50"/>
        <v>-1375</v>
      </c>
      <c r="AM249" s="2">
        <f t="shared" si="54"/>
        <v>9430.4744082321959</v>
      </c>
      <c r="AN249" s="43"/>
      <c r="AO249" s="2">
        <f t="shared" si="51"/>
        <v>0</v>
      </c>
      <c r="AP249" s="2">
        <f t="shared" si="55"/>
        <v>-1375</v>
      </c>
      <c r="AR249" s="2">
        <f t="shared" si="56"/>
        <v>-1375</v>
      </c>
      <c r="AS249" s="2">
        <f>-AR249*'PV IN'!$E$8</f>
        <v>288.75</v>
      </c>
      <c r="AT249" s="2">
        <f>IF('PV IN'!$F$4="Battery Only",0,AM249+AS249)</f>
        <v>9719.2244082321959</v>
      </c>
      <c r="AV249" s="10">
        <f t="shared" si="57"/>
        <v>1419859.6224041043</v>
      </c>
      <c r="AW249" s="2">
        <f>AT249/(1+('PV IN'!$G$9))^(C249)</f>
        <v>3589.357809810911</v>
      </c>
      <c r="AX249" s="2" t="e">
        <f>IF(C249&lt;='PV IN'!$O$22*12,AW249+AX248,NA())</f>
        <v>#N/A</v>
      </c>
      <c r="AZ249" s="10">
        <f t="shared" si="52"/>
        <v>-1375</v>
      </c>
      <c r="BA249" s="10">
        <f t="shared" si="53"/>
        <v>0</v>
      </c>
      <c r="BB249" s="10">
        <f t="shared" si="58"/>
        <v>-1375</v>
      </c>
      <c r="BC249" s="10">
        <f t="shared" si="59"/>
        <v>0</v>
      </c>
      <c r="BD249" s="10">
        <f t="shared" si="60"/>
        <v>-1375</v>
      </c>
      <c r="BE249" s="2">
        <f t="shared" si="61"/>
        <v>0</v>
      </c>
      <c r="BF249" s="10">
        <f t="shared" si="62"/>
        <v>-1375</v>
      </c>
      <c r="BG249" s="2">
        <f>-BF249*'PV IN'!$E$8</f>
        <v>288.75</v>
      </c>
      <c r="BH249" s="2">
        <f>IF('PV IN'!$F$4="Battery Only",0,BB249+BG249)</f>
        <v>-1086.25</v>
      </c>
      <c r="BI249" s="2">
        <f>BH249/(1+('PV IN'!$G$9))^(C249)</f>
        <v>-401.157515984989</v>
      </c>
    </row>
    <row r="250" spans="2:61" x14ac:dyDescent="0.25">
      <c r="C250">
        <v>246</v>
      </c>
      <c r="D250" s="16">
        <f>D249*(1+('PV IN'!$G$6/12))</f>
        <v>7.5999999999999998E-2</v>
      </c>
      <c r="E250" s="16">
        <f>LkUP!$U$41</f>
        <v>8.3376332931343902E-2</v>
      </c>
      <c r="F250" s="16">
        <f>IF('PV IN'!$D$7="Table",E250,D250)</f>
        <v>8.3376332931343902E-2</v>
      </c>
      <c r="G250" s="33">
        <f>('PV IN'!$E$25*'PV IN'!$E$18/12)*(1-(1-'PV IN'!$E$27)/(25*12))^C249</f>
        <v>129512.42131887145</v>
      </c>
      <c r="H250" s="33">
        <f>IF('PV IN'!$D$19="YES",G250*'PV IN'!$E$21,0)</f>
        <v>0</v>
      </c>
      <c r="I250" s="33">
        <f>IF('PV IN'!$D$19="YES",'PV IN'!$E$22*BattCalcs!W250,0)</f>
        <v>0</v>
      </c>
      <c r="J250" s="33">
        <f>IF('PV IN'!$D$19="YES",'PV IN'!$E$23*BattCalcs!Y250,0)</f>
        <v>0</v>
      </c>
      <c r="K250" s="33">
        <f>BattCalcs!AF250</f>
        <v>25811.765833333331</v>
      </c>
      <c r="L250" s="33">
        <f t="shared" si="63"/>
        <v>25811.765833333331</v>
      </c>
      <c r="M250" s="33">
        <f>IF('PV IN'!$F$4="PV Only",G250,G250-SUM(H250:J250,L250))</f>
        <v>129512.42131887145</v>
      </c>
      <c r="N250" s="2">
        <f>IF(C250&lt;='PV IN'!$I$12*12,'PV IN'!$E$12*G250/1000,0)</f>
        <v>0</v>
      </c>
      <c r="O250" s="2">
        <f>IF(AND(C250&gt;'PV IN'!$I$12*12,C250&lt;='PV IN'!$I$13*12+'PV IN'!$I$12*12),'PV IN'!$E$13*PVCalcs!G250/1000,0)</f>
        <v>0</v>
      </c>
      <c r="P250" s="2">
        <f>IF(AND(C250&gt;'PV IN'!$I$12*12+'PV IN'!$I$13*12,C250&lt;='PV IN'!$I$12*12+'PV IN'!$I$13*12+'PV IN'!$I$14*12),'PV IN'!$E$14*PVCalcs!G250/1000,0)</f>
        <v>0</v>
      </c>
      <c r="R250" s="10">
        <f>IF(AND('PV IN'!$D$35="YES",$C250&lt;='PV IN'!$E$35*12),-'PV IN'!$E$18*'PV IN'!$E$34/12,0)</f>
        <v>0</v>
      </c>
      <c r="S250" s="10">
        <f>IF(AND('PV IN'!$D$37="YES",$C250&lt;='PV IN'!$E$37*12),-'PV IN'!$E$18*'PV IN'!$E$36/12,0)</f>
        <v>0</v>
      </c>
      <c r="U250" s="2">
        <f t="shared" si="64"/>
        <v>10798.270758626708</v>
      </c>
      <c r="V250" s="10">
        <f>PVLoan!M277</f>
        <v>0</v>
      </c>
      <c r="W250" s="2">
        <f>IF(C250='PV IN'!$I$40,IF('PV IN'!$G$40="Non-Taxable",'PV IN'!$F$40,0),0)+IF(C250='PV IN'!$I$41,IF('PV IN'!$G$41="Non-Taxable",'PV IN'!$F$41,0),0)</f>
        <v>0</v>
      </c>
      <c r="X250" s="10"/>
      <c r="Y250" s="10">
        <f>IF('PV IN'!$E$15="Non-Taxable",SUM(N250:P250),0)</f>
        <v>0</v>
      </c>
      <c r="Z250" s="10">
        <f>IF('PV IN'!$E$15="Taxable",SUM(N250:P250),0)</f>
        <v>0</v>
      </c>
      <c r="AA250" s="2">
        <f>IF(C250='PV IN'!$I$40,IF('PV IN'!$G$40="Taxable",'PV IN'!$F$40,0),0)+IF(C250='PV IN'!$I$41,IF('PV IN'!$G$41="Taxable",'PV IN'!$F$41,0),0)</f>
        <v>0</v>
      </c>
      <c r="AD250" s="10">
        <f>IF('PV IN'!$D$48="YES",-U250*'PV IN'!$E$8,0)</f>
        <v>0</v>
      </c>
      <c r="AE250" s="10">
        <f>IF('PV IN'!$N$10="Yes",-PVLoan!H278,-PVLoan!L278)</f>
        <v>0</v>
      </c>
      <c r="AF250" s="10">
        <f>IF('PV IN'!$N$10="Yes",-PVLoan!F278,0)</f>
        <v>0</v>
      </c>
      <c r="AG250" s="10">
        <f>IF(AND('PV IN'!$D$35="YES",$C250&lt;='PV IN'!$E$35*12),0,-'PV IN'!$E$18*'PV IN'!$E$34/12)</f>
        <v>-750</v>
      </c>
      <c r="AH250" s="10">
        <f>IF(AND('PV IN'!$D$37="YES",$C250&lt;='PV IN'!$E$37*12),0,-'PV IN'!$E$18*'PV IN'!$E$36/12)</f>
        <v>-625</v>
      </c>
      <c r="AI250" s="2">
        <f>IF(AND('PV IN'!$D$33="YES",PVCalcs!C250=ROUNDUP('PV IN'!$H$33*12,)),-'PV IN'!$E$33*'PV IN'!$E$18,0)</f>
        <v>0</v>
      </c>
      <c r="AK250" s="2">
        <f t="shared" si="49"/>
        <v>10798.270758626708</v>
      </c>
      <c r="AL250" s="2">
        <f t="shared" si="50"/>
        <v>-1375</v>
      </c>
      <c r="AM250" s="2">
        <f t="shared" si="54"/>
        <v>9423.2707586267079</v>
      </c>
      <c r="AN250" s="43"/>
      <c r="AO250" s="2">
        <f t="shared" si="51"/>
        <v>0</v>
      </c>
      <c r="AP250" s="2">
        <f t="shared" si="55"/>
        <v>-1375</v>
      </c>
      <c r="AR250" s="2">
        <f t="shared" si="56"/>
        <v>-1375</v>
      </c>
      <c r="AS250" s="2">
        <f>-AR250*'PV IN'!$E$8</f>
        <v>288.75</v>
      </c>
      <c r="AT250" s="2">
        <f>IF('PV IN'!$F$4="Battery Only",0,AM250+AS250)</f>
        <v>9712.0207586267079</v>
      </c>
      <c r="AV250" s="10">
        <f t="shared" si="57"/>
        <v>1429571.6431627311</v>
      </c>
      <c r="AW250" s="2">
        <f>AT250/(1+('PV IN'!$G$9))^(C250)</f>
        <v>3572.1441089873356</v>
      </c>
      <c r="AX250" s="2" t="e">
        <f>IF(C250&lt;='PV IN'!$O$22*12,AW250+AX249,NA())</f>
        <v>#N/A</v>
      </c>
      <c r="AZ250" s="10">
        <f t="shared" si="52"/>
        <v>-1375</v>
      </c>
      <c r="BA250" s="10">
        <f t="shared" si="53"/>
        <v>0</v>
      </c>
      <c r="BB250" s="10">
        <f t="shared" si="58"/>
        <v>-1375</v>
      </c>
      <c r="BC250" s="10">
        <f t="shared" si="59"/>
        <v>0</v>
      </c>
      <c r="BD250" s="10">
        <f t="shared" si="60"/>
        <v>-1375</v>
      </c>
      <c r="BE250" s="2">
        <f t="shared" si="61"/>
        <v>0</v>
      </c>
      <c r="BF250" s="10">
        <f t="shared" si="62"/>
        <v>-1375</v>
      </c>
      <c r="BG250" s="2">
        <f>-BF250*'PV IN'!$E$8</f>
        <v>288.75</v>
      </c>
      <c r="BH250" s="2">
        <f>IF('PV IN'!$F$4="Battery Only",0,BB250+BG250)</f>
        <v>-1086.25</v>
      </c>
      <c r="BI250" s="2">
        <f>BH250/(1+('PV IN'!$G$9))^(C250)</f>
        <v>-399.52978219706404</v>
      </c>
    </row>
    <row r="251" spans="2:61" x14ac:dyDescent="0.25">
      <c r="C251">
        <v>247</v>
      </c>
      <c r="D251" s="16">
        <f>D250*(1+('PV IN'!$G$6/12))</f>
        <v>7.5999999999999998E-2</v>
      </c>
      <c r="E251" s="16">
        <f>LkUP!$U$41</f>
        <v>8.3376332931343902E-2</v>
      </c>
      <c r="F251" s="16">
        <f>IF('PV IN'!$D$7="Table",E251,D251)</f>
        <v>8.3376332931343902E-2</v>
      </c>
      <c r="G251" s="33">
        <f>('PV IN'!$E$25*'PV IN'!$E$18/12)*(1-(1-'PV IN'!$E$27)/(25*12))^C250</f>
        <v>129426.07970465886</v>
      </c>
      <c r="H251" s="33">
        <f>IF('PV IN'!$D$19="YES",G251*'PV IN'!$E$21,0)</f>
        <v>0</v>
      </c>
      <c r="I251" s="33">
        <f>IF('PV IN'!$D$19="YES",'PV IN'!$E$22*BattCalcs!W251,0)</f>
        <v>0</v>
      </c>
      <c r="J251" s="33">
        <f>IF('PV IN'!$D$19="YES",'PV IN'!$E$23*BattCalcs!Y251,0)</f>
        <v>0</v>
      </c>
      <c r="K251" s="33">
        <f>BattCalcs!AF251</f>
        <v>25811.765833333331</v>
      </c>
      <c r="L251" s="33">
        <f t="shared" si="63"/>
        <v>25811.765833333331</v>
      </c>
      <c r="M251" s="33">
        <f>IF('PV IN'!$F$4="PV Only",G251,G251-SUM(H251:J251,L251))</f>
        <v>129426.07970465886</v>
      </c>
      <c r="N251" s="2">
        <f>IF(C251&lt;='PV IN'!$I$12*12,'PV IN'!$E$12*G251/1000,0)</f>
        <v>0</v>
      </c>
      <c r="O251" s="2">
        <f>IF(AND(C251&gt;'PV IN'!$I$12*12,C251&lt;='PV IN'!$I$13*12+'PV IN'!$I$12*12),'PV IN'!$E$13*PVCalcs!G251/1000,0)</f>
        <v>0</v>
      </c>
      <c r="P251" s="2">
        <f>IF(AND(C251&gt;'PV IN'!$I$12*12+'PV IN'!$I$13*12,C251&lt;='PV IN'!$I$12*12+'PV IN'!$I$13*12+'PV IN'!$I$14*12),'PV IN'!$E$14*PVCalcs!G251/1000,0)</f>
        <v>0</v>
      </c>
      <c r="R251" s="10">
        <f>IF(AND('PV IN'!$D$35="YES",$C251&lt;='PV IN'!$E$35*12),-'PV IN'!$E$18*'PV IN'!$E$34/12,0)</f>
        <v>0</v>
      </c>
      <c r="S251" s="10">
        <f>IF(AND('PV IN'!$D$37="YES",$C251&lt;='PV IN'!$E$37*12),-'PV IN'!$E$18*'PV IN'!$E$36/12,0)</f>
        <v>0</v>
      </c>
      <c r="U251" s="2">
        <f t="shared" si="64"/>
        <v>10791.071911454288</v>
      </c>
      <c r="V251" s="10">
        <f>PVLoan!M278</f>
        <v>0</v>
      </c>
      <c r="W251" s="2">
        <f>IF(C251='PV IN'!$I$40,IF('PV IN'!$G$40="Non-Taxable",'PV IN'!$F$40,0),0)+IF(C251='PV IN'!$I$41,IF('PV IN'!$G$41="Non-Taxable",'PV IN'!$F$41,0),0)</f>
        <v>0</v>
      </c>
      <c r="X251" s="10"/>
      <c r="Y251" s="10">
        <f>IF('PV IN'!$E$15="Non-Taxable",SUM(N251:P251),0)</f>
        <v>0</v>
      </c>
      <c r="Z251" s="10">
        <f>IF('PV IN'!$E$15="Taxable",SUM(N251:P251),0)</f>
        <v>0</v>
      </c>
      <c r="AA251" s="2">
        <f>IF(C251='PV IN'!$I$40,IF('PV IN'!$G$40="Taxable",'PV IN'!$F$40,0),0)+IF(C251='PV IN'!$I$41,IF('PV IN'!$G$41="Taxable",'PV IN'!$F$41,0),0)</f>
        <v>0</v>
      </c>
      <c r="AD251" s="10">
        <f>IF('PV IN'!$D$48="YES",-U251*'PV IN'!$E$8,0)</f>
        <v>0</v>
      </c>
      <c r="AE251" s="10">
        <f>IF('PV IN'!$N$10="Yes",-PVLoan!H279,-PVLoan!L279)</f>
        <v>0</v>
      </c>
      <c r="AF251" s="10">
        <f>IF('PV IN'!$N$10="Yes",-PVLoan!F279,0)</f>
        <v>0</v>
      </c>
      <c r="AG251" s="10">
        <f>IF(AND('PV IN'!$D$35="YES",$C251&lt;='PV IN'!$E$35*12),0,-'PV IN'!$E$18*'PV IN'!$E$34/12)</f>
        <v>-750</v>
      </c>
      <c r="AH251" s="10">
        <f>IF(AND('PV IN'!$D$37="YES",$C251&lt;='PV IN'!$E$37*12),0,-'PV IN'!$E$18*'PV IN'!$E$36/12)</f>
        <v>-625</v>
      </c>
      <c r="AI251" s="2">
        <f>IF(AND('PV IN'!$D$33="YES",PVCalcs!C251=ROUNDUP('PV IN'!$H$33*12,)),-'PV IN'!$E$33*'PV IN'!$E$18,0)</f>
        <v>0</v>
      </c>
      <c r="AK251" s="2">
        <f t="shared" si="49"/>
        <v>10791.071911454288</v>
      </c>
      <c r="AL251" s="2">
        <f t="shared" si="50"/>
        <v>-1375</v>
      </c>
      <c r="AM251" s="2">
        <f t="shared" si="54"/>
        <v>9416.0719114542881</v>
      </c>
      <c r="AN251" s="43"/>
      <c r="AO251" s="2">
        <f t="shared" si="51"/>
        <v>0</v>
      </c>
      <c r="AP251" s="2">
        <f t="shared" si="55"/>
        <v>-1375</v>
      </c>
      <c r="AR251" s="2">
        <f t="shared" si="56"/>
        <v>-1375</v>
      </c>
      <c r="AS251" s="2">
        <f>-AR251*'PV IN'!$E$8</f>
        <v>288.75</v>
      </c>
      <c r="AT251" s="2">
        <f>IF('PV IN'!$F$4="Battery Only",0,AM251+AS251)</f>
        <v>9704.8219114542881</v>
      </c>
      <c r="AV251" s="10">
        <f t="shared" si="57"/>
        <v>1439276.4650741853</v>
      </c>
      <c r="AW251" s="2">
        <f>AT251/(1+('PV IN'!$G$9))^(C251)</f>
        <v>3555.012764338846</v>
      </c>
      <c r="AX251" s="2" t="e">
        <f>IF(C251&lt;='PV IN'!$O$22*12,AW251+AX250,NA())</f>
        <v>#N/A</v>
      </c>
      <c r="AZ251" s="10">
        <f t="shared" si="52"/>
        <v>-1375</v>
      </c>
      <c r="BA251" s="10">
        <f t="shared" si="53"/>
        <v>0</v>
      </c>
      <c r="BB251" s="10">
        <f t="shared" si="58"/>
        <v>-1375</v>
      </c>
      <c r="BC251" s="10">
        <f t="shared" si="59"/>
        <v>0</v>
      </c>
      <c r="BD251" s="10">
        <f t="shared" si="60"/>
        <v>-1375</v>
      </c>
      <c r="BE251" s="2">
        <f t="shared" si="61"/>
        <v>0</v>
      </c>
      <c r="BF251" s="10">
        <f t="shared" si="62"/>
        <v>-1375</v>
      </c>
      <c r="BG251" s="2">
        <f>-BF251*'PV IN'!$E$8</f>
        <v>288.75</v>
      </c>
      <c r="BH251" s="2">
        <f>IF('PV IN'!$F$4="Battery Only",0,BB251+BG251)</f>
        <v>-1086.25</v>
      </c>
      <c r="BI251" s="2">
        <f>BH251/(1+('PV IN'!$G$9))^(C251)</f>
        <v>-397.90865308979147</v>
      </c>
    </row>
    <row r="252" spans="2:61" x14ac:dyDescent="0.25">
      <c r="C252">
        <v>248</v>
      </c>
      <c r="D252" s="16">
        <f>D251*(1+('PV IN'!$G$6/12))</f>
        <v>7.5999999999999998E-2</v>
      </c>
      <c r="E252" s="16">
        <f>LkUP!$U$41</f>
        <v>8.3376332931343902E-2</v>
      </c>
      <c r="F252" s="16">
        <f>IF('PV IN'!$D$7="Table",E252,D252)</f>
        <v>8.3376332931343902E-2</v>
      </c>
      <c r="G252" s="33">
        <f>('PV IN'!$E$25*'PV IN'!$E$18/12)*(1-(1-'PV IN'!$E$27)/(25*12))^C251</f>
        <v>129339.79565152244</v>
      </c>
      <c r="H252" s="33">
        <f>IF('PV IN'!$D$19="YES",G252*'PV IN'!$E$21,0)</f>
        <v>0</v>
      </c>
      <c r="I252" s="33">
        <f>IF('PV IN'!$D$19="YES",'PV IN'!$E$22*BattCalcs!W252,0)</f>
        <v>0</v>
      </c>
      <c r="J252" s="33">
        <f>IF('PV IN'!$D$19="YES",'PV IN'!$E$23*BattCalcs!Y252,0)</f>
        <v>0</v>
      </c>
      <c r="K252" s="33">
        <f>BattCalcs!AF252</f>
        <v>25811.765833333331</v>
      </c>
      <c r="L252" s="33">
        <f t="shared" si="63"/>
        <v>25811.765833333331</v>
      </c>
      <c r="M252" s="33">
        <f>IF('PV IN'!$F$4="PV Only",G252,G252-SUM(H252:J252,L252))</f>
        <v>129339.79565152244</v>
      </c>
      <c r="N252" s="2">
        <f>IF(C252&lt;='PV IN'!$I$12*12,'PV IN'!$E$12*G252/1000,0)</f>
        <v>0</v>
      </c>
      <c r="O252" s="2">
        <f>IF(AND(C252&gt;'PV IN'!$I$12*12,C252&lt;='PV IN'!$I$13*12+'PV IN'!$I$12*12),'PV IN'!$E$13*PVCalcs!G252/1000,0)</f>
        <v>0</v>
      </c>
      <c r="P252" s="2">
        <f>IF(AND(C252&gt;'PV IN'!$I$12*12+'PV IN'!$I$13*12,C252&lt;='PV IN'!$I$12*12+'PV IN'!$I$13*12+'PV IN'!$I$14*12),'PV IN'!$E$14*PVCalcs!G252/1000,0)</f>
        <v>0</v>
      </c>
      <c r="R252" s="10">
        <f>IF(AND('PV IN'!$D$35="YES",$C252&lt;='PV IN'!$E$35*12),-'PV IN'!$E$18*'PV IN'!$E$34/12,0)</f>
        <v>0</v>
      </c>
      <c r="S252" s="10">
        <f>IF(AND('PV IN'!$D$37="YES",$C252&lt;='PV IN'!$E$37*12),-'PV IN'!$E$18*'PV IN'!$E$36/12,0)</f>
        <v>0</v>
      </c>
      <c r="U252" s="2">
        <f t="shared" si="64"/>
        <v>10783.87786351332</v>
      </c>
      <c r="V252" s="10">
        <f>PVLoan!M279</f>
        <v>0</v>
      </c>
      <c r="W252" s="2">
        <f>IF(C252='PV IN'!$I$40,IF('PV IN'!$G$40="Non-Taxable",'PV IN'!$F$40,0),0)+IF(C252='PV IN'!$I$41,IF('PV IN'!$G$41="Non-Taxable",'PV IN'!$F$41,0),0)</f>
        <v>0</v>
      </c>
      <c r="X252" s="10"/>
      <c r="Y252" s="10">
        <f>IF('PV IN'!$E$15="Non-Taxable",SUM(N252:P252),0)</f>
        <v>0</v>
      </c>
      <c r="Z252" s="10">
        <f>IF('PV IN'!$E$15="Taxable",SUM(N252:P252),0)</f>
        <v>0</v>
      </c>
      <c r="AA252" s="2">
        <f>IF(C252='PV IN'!$I$40,IF('PV IN'!$G$40="Taxable",'PV IN'!$F$40,0),0)+IF(C252='PV IN'!$I$41,IF('PV IN'!$G$41="Taxable",'PV IN'!$F$41,0),0)</f>
        <v>0</v>
      </c>
      <c r="AD252" s="10">
        <f>IF('PV IN'!$D$48="YES",-U252*'PV IN'!$E$8,0)</f>
        <v>0</v>
      </c>
      <c r="AE252" s="10">
        <f>IF('PV IN'!$N$10="Yes",-PVLoan!H280,-PVLoan!L280)</f>
        <v>0</v>
      </c>
      <c r="AF252" s="10">
        <f>IF('PV IN'!$N$10="Yes",-PVLoan!F280,0)</f>
        <v>0</v>
      </c>
      <c r="AG252" s="10">
        <f>IF(AND('PV IN'!$D$35="YES",$C252&lt;='PV IN'!$E$35*12),0,-'PV IN'!$E$18*'PV IN'!$E$34/12)</f>
        <v>-750</v>
      </c>
      <c r="AH252" s="10">
        <f>IF(AND('PV IN'!$D$37="YES",$C252&lt;='PV IN'!$E$37*12),0,-'PV IN'!$E$18*'PV IN'!$E$36/12)</f>
        <v>-625</v>
      </c>
      <c r="AI252" s="2">
        <f>IF(AND('PV IN'!$D$33="YES",PVCalcs!C252=ROUNDUP('PV IN'!$H$33*12,)),-'PV IN'!$E$33*'PV IN'!$E$18,0)</f>
        <v>0</v>
      </c>
      <c r="AK252" s="2">
        <f t="shared" si="49"/>
        <v>10783.87786351332</v>
      </c>
      <c r="AL252" s="2">
        <f t="shared" si="50"/>
        <v>-1375</v>
      </c>
      <c r="AM252" s="2">
        <f t="shared" si="54"/>
        <v>9408.8778635133203</v>
      </c>
      <c r="AN252" s="43"/>
      <c r="AO252" s="2">
        <f t="shared" si="51"/>
        <v>0</v>
      </c>
      <c r="AP252" s="2">
        <f t="shared" si="55"/>
        <v>-1375</v>
      </c>
      <c r="AR252" s="2">
        <f t="shared" si="56"/>
        <v>-1375</v>
      </c>
      <c r="AS252" s="2">
        <f>-AR252*'PV IN'!$E$8</f>
        <v>288.75</v>
      </c>
      <c r="AT252" s="2">
        <f>IF('PV IN'!$F$4="Battery Only",0,AM252+AS252)</f>
        <v>9697.6278635133203</v>
      </c>
      <c r="AV252" s="10">
        <f t="shared" si="57"/>
        <v>1448974.0929376986</v>
      </c>
      <c r="AW252" s="2">
        <f>AT252/(1+('PV IN'!$G$9))^(C252)</f>
        <v>3537.9633826310387</v>
      </c>
      <c r="AX252" s="2" t="e">
        <f>IF(C252&lt;='PV IN'!$O$22*12,AW252+AX251,NA())</f>
        <v>#N/A</v>
      </c>
      <c r="AZ252" s="10">
        <f t="shared" si="52"/>
        <v>-1375</v>
      </c>
      <c r="BA252" s="10">
        <f t="shared" si="53"/>
        <v>0</v>
      </c>
      <c r="BB252" s="10">
        <f t="shared" si="58"/>
        <v>-1375</v>
      </c>
      <c r="BC252" s="10">
        <f t="shared" si="59"/>
        <v>0</v>
      </c>
      <c r="BD252" s="10">
        <f t="shared" si="60"/>
        <v>-1375</v>
      </c>
      <c r="BE252" s="2">
        <f t="shared" si="61"/>
        <v>0</v>
      </c>
      <c r="BF252" s="10">
        <f t="shared" si="62"/>
        <v>-1375</v>
      </c>
      <c r="BG252" s="2">
        <f>-BF252*'PV IN'!$E$8</f>
        <v>288.75</v>
      </c>
      <c r="BH252" s="2">
        <f>IF('PV IN'!$F$4="Battery Only",0,BB252+BG252)</f>
        <v>-1086.25</v>
      </c>
      <c r="BI252" s="2">
        <f>BH252/(1+('PV IN'!$G$9))^(C252)</f>
        <v>-396.29410186406739</v>
      </c>
    </row>
    <row r="253" spans="2:61" x14ac:dyDescent="0.25">
      <c r="C253">
        <v>249</v>
      </c>
      <c r="D253" s="16">
        <f>D252*(1+('PV IN'!$G$6/12))</f>
        <v>7.5999999999999998E-2</v>
      </c>
      <c r="E253" s="16">
        <f>LkUP!$U$41</f>
        <v>8.3376332931343902E-2</v>
      </c>
      <c r="F253" s="16">
        <f>IF('PV IN'!$D$7="Table",E253,D253)</f>
        <v>8.3376332931343902E-2</v>
      </c>
      <c r="G253" s="33">
        <f>('PV IN'!$E$25*'PV IN'!$E$18/12)*(1-(1-'PV IN'!$E$27)/(25*12))^C252</f>
        <v>129253.56912108808</v>
      </c>
      <c r="H253" s="33">
        <f>IF('PV IN'!$D$19="YES",G253*'PV IN'!$E$21,0)</f>
        <v>0</v>
      </c>
      <c r="I253" s="33">
        <f>IF('PV IN'!$D$19="YES",'PV IN'!$E$22*BattCalcs!W253,0)</f>
        <v>0</v>
      </c>
      <c r="J253" s="33">
        <f>IF('PV IN'!$D$19="YES",'PV IN'!$E$23*BattCalcs!Y253,0)</f>
        <v>0</v>
      </c>
      <c r="K253" s="33">
        <f>BattCalcs!AF253</f>
        <v>25811.765833333331</v>
      </c>
      <c r="L253" s="33">
        <f t="shared" si="63"/>
        <v>25811.765833333331</v>
      </c>
      <c r="M253" s="33">
        <f>IF('PV IN'!$F$4="PV Only",G253,G253-SUM(H253:J253,L253))</f>
        <v>129253.56912108808</v>
      </c>
      <c r="N253" s="2">
        <f>IF(C253&lt;='PV IN'!$I$12*12,'PV IN'!$E$12*G253/1000,0)</f>
        <v>0</v>
      </c>
      <c r="O253" s="2">
        <f>IF(AND(C253&gt;'PV IN'!$I$12*12,C253&lt;='PV IN'!$I$13*12+'PV IN'!$I$12*12),'PV IN'!$E$13*PVCalcs!G253/1000,0)</f>
        <v>0</v>
      </c>
      <c r="P253" s="2">
        <f>IF(AND(C253&gt;'PV IN'!$I$12*12+'PV IN'!$I$13*12,C253&lt;='PV IN'!$I$12*12+'PV IN'!$I$13*12+'PV IN'!$I$14*12),'PV IN'!$E$14*PVCalcs!G253/1000,0)</f>
        <v>0</v>
      </c>
      <c r="R253" s="10">
        <f>IF(AND('PV IN'!$D$35="YES",$C253&lt;='PV IN'!$E$35*12),-'PV IN'!$E$18*'PV IN'!$E$34/12,0)</f>
        <v>0</v>
      </c>
      <c r="S253" s="10">
        <f>IF(AND('PV IN'!$D$37="YES",$C253&lt;='PV IN'!$E$37*12),-'PV IN'!$E$18*'PV IN'!$E$36/12,0)</f>
        <v>0</v>
      </c>
      <c r="U253" s="2">
        <f t="shared" si="64"/>
        <v>10776.688611604312</v>
      </c>
      <c r="V253" s="10">
        <f>PVLoan!M280</f>
        <v>0</v>
      </c>
      <c r="W253" s="2">
        <f>IF(C253='PV IN'!$I$40,IF('PV IN'!$G$40="Non-Taxable",'PV IN'!$F$40,0),0)+IF(C253='PV IN'!$I$41,IF('PV IN'!$G$41="Non-Taxable",'PV IN'!$F$41,0),0)</f>
        <v>0</v>
      </c>
      <c r="X253" s="10"/>
      <c r="Y253" s="10">
        <f>IF('PV IN'!$E$15="Non-Taxable",SUM(N253:P253),0)</f>
        <v>0</v>
      </c>
      <c r="Z253" s="10">
        <f>IF('PV IN'!$E$15="Taxable",SUM(N253:P253),0)</f>
        <v>0</v>
      </c>
      <c r="AA253" s="2">
        <f>IF(C253='PV IN'!$I$40,IF('PV IN'!$G$40="Taxable",'PV IN'!$F$40,0),0)+IF(C253='PV IN'!$I$41,IF('PV IN'!$G$41="Taxable",'PV IN'!$F$41,0),0)</f>
        <v>0</v>
      </c>
      <c r="AD253" s="10">
        <f>IF('PV IN'!$D$48="YES",-U253*'PV IN'!$E$8,0)</f>
        <v>0</v>
      </c>
      <c r="AE253" s="10">
        <f>IF('PV IN'!$N$10="Yes",-PVLoan!H281,-PVLoan!L281)</f>
        <v>0</v>
      </c>
      <c r="AF253" s="10">
        <f>IF('PV IN'!$N$10="Yes",-PVLoan!F281,0)</f>
        <v>0</v>
      </c>
      <c r="AG253" s="10">
        <f>IF(AND('PV IN'!$D$35="YES",$C253&lt;='PV IN'!$E$35*12),0,-'PV IN'!$E$18*'PV IN'!$E$34/12)</f>
        <v>-750</v>
      </c>
      <c r="AH253" s="10">
        <f>IF(AND('PV IN'!$D$37="YES",$C253&lt;='PV IN'!$E$37*12),0,-'PV IN'!$E$18*'PV IN'!$E$36/12)</f>
        <v>-625</v>
      </c>
      <c r="AI253" s="2">
        <f>IF(AND('PV IN'!$D$33="YES",PVCalcs!C253=ROUNDUP('PV IN'!$H$33*12,)),-'PV IN'!$E$33*'PV IN'!$E$18,0)</f>
        <v>0</v>
      </c>
      <c r="AK253" s="2">
        <f t="shared" si="49"/>
        <v>10776.688611604312</v>
      </c>
      <c r="AL253" s="2">
        <f t="shared" si="50"/>
        <v>-1375</v>
      </c>
      <c r="AM253" s="2">
        <f t="shared" si="54"/>
        <v>9401.6886116043115</v>
      </c>
      <c r="AN253" s="43"/>
      <c r="AO253" s="2">
        <f t="shared" si="51"/>
        <v>0</v>
      </c>
      <c r="AP253" s="2">
        <f t="shared" si="55"/>
        <v>-1375</v>
      </c>
      <c r="AR253" s="2">
        <f t="shared" si="56"/>
        <v>-1375</v>
      </c>
      <c r="AS253" s="2">
        <f>-AR253*'PV IN'!$E$8</f>
        <v>288.75</v>
      </c>
      <c r="AT253" s="2">
        <f>IF('PV IN'!$F$4="Battery Only",0,AM253+AS253)</f>
        <v>9690.4386116043115</v>
      </c>
      <c r="AV253" s="10">
        <f t="shared" si="57"/>
        <v>1458664.5315493029</v>
      </c>
      <c r="AW253" s="2">
        <f>AT253/(1+('PV IN'!$G$9))^(C253)</f>
        <v>3520.9955725039831</v>
      </c>
      <c r="AX253" s="2" t="e">
        <f>IF(C253&lt;='PV IN'!$O$22*12,AW253+AX252,NA())</f>
        <v>#N/A</v>
      </c>
      <c r="AZ253" s="10">
        <f t="shared" si="52"/>
        <v>-1375</v>
      </c>
      <c r="BA253" s="10">
        <f t="shared" si="53"/>
        <v>0</v>
      </c>
      <c r="BB253" s="10">
        <f t="shared" si="58"/>
        <v>-1375</v>
      </c>
      <c r="BC253" s="10">
        <f t="shared" si="59"/>
        <v>0</v>
      </c>
      <c r="BD253" s="10">
        <f t="shared" si="60"/>
        <v>-1375</v>
      </c>
      <c r="BE253" s="2">
        <f t="shared" si="61"/>
        <v>0</v>
      </c>
      <c r="BF253" s="10">
        <f t="shared" si="62"/>
        <v>-1375</v>
      </c>
      <c r="BG253" s="2">
        <f>-BF253*'PV IN'!$E$8</f>
        <v>288.75</v>
      </c>
      <c r="BH253" s="2">
        <f>IF('PV IN'!$F$4="Battery Only",0,BB253+BG253)</f>
        <v>-1086.25</v>
      </c>
      <c r="BI253" s="2">
        <f>BH253/(1+('PV IN'!$G$9))^(C253)</f>
        <v>-394.68610182952824</v>
      </c>
    </row>
    <row r="254" spans="2:61" x14ac:dyDescent="0.25">
      <c r="C254">
        <v>250</v>
      </c>
      <c r="D254" s="16">
        <f>D253*(1+('PV IN'!$G$6/12))</f>
        <v>7.5999999999999998E-2</v>
      </c>
      <c r="E254" s="16">
        <f>LkUP!$U$41</f>
        <v>8.3376332931343902E-2</v>
      </c>
      <c r="F254" s="16">
        <f>IF('PV IN'!$D$7="Table",E254,D254)</f>
        <v>8.3376332931343902E-2</v>
      </c>
      <c r="G254" s="33">
        <f>('PV IN'!$E$25*'PV IN'!$E$18/12)*(1-(1-'PV IN'!$E$27)/(25*12))^C253</f>
        <v>129167.40007500736</v>
      </c>
      <c r="H254" s="33">
        <f>IF('PV IN'!$D$19="YES",G254*'PV IN'!$E$21,0)</f>
        <v>0</v>
      </c>
      <c r="I254" s="33">
        <f>IF('PV IN'!$D$19="YES",'PV IN'!$E$22*BattCalcs!W254,0)</f>
        <v>0</v>
      </c>
      <c r="J254" s="33">
        <f>IF('PV IN'!$D$19="YES",'PV IN'!$E$23*BattCalcs!Y254,0)</f>
        <v>0</v>
      </c>
      <c r="K254" s="33">
        <f>BattCalcs!AF254</f>
        <v>25811.765833333331</v>
      </c>
      <c r="L254" s="33">
        <f t="shared" si="63"/>
        <v>25811.765833333331</v>
      </c>
      <c r="M254" s="33">
        <f>IF('PV IN'!$F$4="PV Only",G254,G254-SUM(H254:J254,L254))</f>
        <v>129167.40007500736</v>
      </c>
      <c r="N254" s="2">
        <f>IF(C254&lt;='PV IN'!$I$12*12,'PV IN'!$E$12*G254/1000,0)</f>
        <v>0</v>
      </c>
      <c r="O254" s="2">
        <f>IF(AND(C254&gt;'PV IN'!$I$12*12,C254&lt;='PV IN'!$I$13*12+'PV IN'!$I$12*12),'PV IN'!$E$13*PVCalcs!G254/1000,0)</f>
        <v>0</v>
      </c>
      <c r="P254" s="2">
        <f>IF(AND(C254&gt;'PV IN'!$I$12*12+'PV IN'!$I$13*12,C254&lt;='PV IN'!$I$12*12+'PV IN'!$I$13*12+'PV IN'!$I$14*12),'PV IN'!$E$14*PVCalcs!G254/1000,0)</f>
        <v>0</v>
      </c>
      <c r="R254" s="10">
        <f>IF(AND('PV IN'!$D$35="YES",$C254&lt;='PV IN'!$E$35*12),-'PV IN'!$E$18*'PV IN'!$E$34/12,0)</f>
        <v>0</v>
      </c>
      <c r="S254" s="10">
        <f>IF(AND('PV IN'!$D$37="YES",$C254&lt;='PV IN'!$E$37*12),-'PV IN'!$E$18*'PV IN'!$E$36/12,0)</f>
        <v>0</v>
      </c>
      <c r="U254" s="2">
        <f t="shared" si="64"/>
        <v>10769.504152529909</v>
      </c>
      <c r="V254" s="10">
        <f>PVLoan!M281</f>
        <v>0</v>
      </c>
      <c r="W254" s="2">
        <f>IF(C254='PV IN'!$I$40,IF('PV IN'!$G$40="Non-Taxable",'PV IN'!$F$40,0),0)+IF(C254='PV IN'!$I$41,IF('PV IN'!$G$41="Non-Taxable",'PV IN'!$F$41,0),0)</f>
        <v>0</v>
      </c>
      <c r="X254" s="10"/>
      <c r="Y254" s="10">
        <f>IF('PV IN'!$E$15="Non-Taxable",SUM(N254:P254),0)</f>
        <v>0</v>
      </c>
      <c r="Z254" s="10">
        <f>IF('PV IN'!$E$15="Taxable",SUM(N254:P254),0)</f>
        <v>0</v>
      </c>
      <c r="AA254" s="2">
        <f>IF(C254='PV IN'!$I$40,IF('PV IN'!$G$40="Taxable",'PV IN'!$F$40,0),0)+IF(C254='PV IN'!$I$41,IF('PV IN'!$G$41="Taxable",'PV IN'!$F$41,0),0)</f>
        <v>0</v>
      </c>
      <c r="AD254" s="10">
        <f>IF('PV IN'!$D$48="YES",-U254*'PV IN'!$E$8,0)</f>
        <v>0</v>
      </c>
      <c r="AE254" s="10">
        <f>IF('PV IN'!$N$10="Yes",-PVLoan!H282,-PVLoan!L282)</f>
        <v>0</v>
      </c>
      <c r="AF254" s="10">
        <f>IF('PV IN'!$N$10="Yes",-PVLoan!F282,0)</f>
        <v>0</v>
      </c>
      <c r="AG254" s="10">
        <f>IF(AND('PV IN'!$D$35="YES",$C254&lt;='PV IN'!$E$35*12),0,-'PV IN'!$E$18*'PV IN'!$E$34/12)</f>
        <v>-750</v>
      </c>
      <c r="AH254" s="10">
        <f>IF(AND('PV IN'!$D$37="YES",$C254&lt;='PV IN'!$E$37*12),0,-'PV IN'!$E$18*'PV IN'!$E$36/12)</f>
        <v>-625</v>
      </c>
      <c r="AI254" s="2">
        <f>IF(AND('PV IN'!$D$33="YES",PVCalcs!C254=ROUNDUP('PV IN'!$H$33*12,)),-'PV IN'!$E$33*'PV IN'!$E$18,0)</f>
        <v>0</v>
      </c>
      <c r="AK254" s="2">
        <f t="shared" si="49"/>
        <v>10769.504152529909</v>
      </c>
      <c r="AL254" s="2">
        <f t="shared" si="50"/>
        <v>-1375</v>
      </c>
      <c r="AM254" s="2">
        <f t="shared" si="54"/>
        <v>9394.5041525299093</v>
      </c>
      <c r="AN254" s="43"/>
      <c r="AO254" s="2">
        <f t="shared" si="51"/>
        <v>0</v>
      </c>
      <c r="AP254" s="2">
        <f t="shared" si="55"/>
        <v>-1375</v>
      </c>
      <c r="AR254" s="2">
        <f t="shared" si="56"/>
        <v>-1375</v>
      </c>
      <c r="AS254" s="2">
        <f>-AR254*'PV IN'!$E$8</f>
        <v>288.75</v>
      </c>
      <c r="AT254" s="2">
        <f>IF('PV IN'!$F$4="Battery Only",0,AM254+AS254)</f>
        <v>9683.2541525299093</v>
      </c>
      <c r="AV254" s="10">
        <f t="shared" si="57"/>
        <v>1468347.7857018327</v>
      </c>
      <c r="AW254" s="2">
        <f>AT254/(1+('PV IN'!$G$9))^(C254)</f>
        <v>3504.1089444632953</v>
      </c>
      <c r="AX254" s="2" t="e">
        <f>IF(C254&lt;='PV IN'!$O$22*12,AW254+AX253,NA())</f>
        <v>#N/A</v>
      </c>
      <c r="AZ254" s="10">
        <f t="shared" si="52"/>
        <v>-1375</v>
      </c>
      <c r="BA254" s="10">
        <f t="shared" si="53"/>
        <v>0</v>
      </c>
      <c r="BB254" s="10">
        <f t="shared" si="58"/>
        <v>-1375</v>
      </c>
      <c r="BC254" s="10">
        <f t="shared" si="59"/>
        <v>0</v>
      </c>
      <c r="BD254" s="10">
        <f t="shared" si="60"/>
        <v>-1375</v>
      </c>
      <c r="BE254" s="2">
        <f t="shared" si="61"/>
        <v>0</v>
      </c>
      <c r="BF254" s="10">
        <f t="shared" si="62"/>
        <v>-1375</v>
      </c>
      <c r="BG254" s="2">
        <f>-BF254*'PV IN'!$E$8</f>
        <v>288.75</v>
      </c>
      <c r="BH254" s="2">
        <f>IF('PV IN'!$F$4="Battery Only",0,BB254+BG254)</f>
        <v>-1086.25</v>
      </c>
      <c r="BI254" s="2">
        <f>BH254/(1+('PV IN'!$G$9))^(C254)</f>
        <v>-393.0846264041088</v>
      </c>
    </row>
    <row r="255" spans="2:61" x14ac:dyDescent="0.25">
      <c r="C255">
        <v>251</v>
      </c>
      <c r="D255" s="16">
        <f>D254*(1+('PV IN'!$G$6/12))</f>
        <v>7.5999999999999998E-2</v>
      </c>
      <c r="E255" s="16">
        <f>LkUP!$U$41</f>
        <v>8.3376332931343902E-2</v>
      </c>
      <c r="F255" s="16">
        <f>IF('PV IN'!$D$7="Table",E255,D255)</f>
        <v>8.3376332931343902E-2</v>
      </c>
      <c r="G255" s="33">
        <f>('PV IN'!$E$25*'PV IN'!$E$18/12)*(1-(1-'PV IN'!$E$27)/(25*12))^C254</f>
        <v>129081.28847495734</v>
      </c>
      <c r="H255" s="33">
        <f>IF('PV IN'!$D$19="YES",G255*'PV IN'!$E$21,0)</f>
        <v>0</v>
      </c>
      <c r="I255" s="33">
        <f>IF('PV IN'!$D$19="YES",'PV IN'!$E$22*BattCalcs!W255,0)</f>
        <v>0</v>
      </c>
      <c r="J255" s="33">
        <f>IF('PV IN'!$D$19="YES",'PV IN'!$E$23*BattCalcs!Y255,0)</f>
        <v>0</v>
      </c>
      <c r="K255" s="33">
        <f>BattCalcs!AF255</f>
        <v>25811.765833333331</v>
      </c>
      <c r="L255" s="33">
        <f t="shared" si="63"/>
        <v>25811.765833333331</v>
      </c>
      <c r="M255" s="33">
        <f>IF('PV IN'!$F$4="PV Only",G255,G255-SUM(H255:J255,L255))</f>
        <v>129081.28847495734</v>
      </c>
      <c r="N255" s="2">
        <f>IF(C255&lt;='PV IN'!$I$12*12,'PV IN'!$E$12*G255/1000,0)</f>
        <v>0</v>
      </c>
      <c r="O255" s="2">
        <f>IF(AND(C255&gt;'PV IN'!$I$12*12,C255&lt;='PV IN'!$I$13*12+'PV IN'!$I$12*12),'PV IN'!$E$13*PVCalcs!G255/1000,0)</f>
        <v>0</v>
      </c>
      <c r="P255" s="2">
        <f>IF(AND(C255&gt;'PV IN'!$I$12*12+'PV IN'!$I$13*12,C255&lt;='PV IN'!$I$12*12+'PV IN'!$I$13*12+'PV IN'!$I$14*12),'PV IN'!$E$14*PVCalcs!G255/1000,0)</f>
        <v>0</v>
      </c>
      <c r="R255" s="10">
        <f>IF(AND('PV IN'!$D$35="YES",$C255&lt;='PV IN'!$E$35*12),-'PV IN'!$E$18*'PV IN'!$E$34/12,0)</f>
        <v>0</v>
      </c>
      <c r="S255" s="10">
        <f>IF(AND('PV IN'!$D$37="YES",$C255&lt;='PV IN'!$E$37*12),-'PV IN'!$E$18*'PV IN'!$E$36/12,0)</f>
        <v>0</v>
      </c>
      <c r="U255" s="2">
        <f t="shared" si="64"/>
        <v>10762.324483094888</v>
      </c>
      <c r="V255" s="10">
        <f>PVLoan!M282</f>
        <v>0</v>
      </c>
      <c r="W255" s="2">
        <f>IF(C255='PV IN'!$I$40,IF('PV IN'!$G$40="Non-Taxable",'PV IN'!$F$40,0),0)+IF(C255='PV IN'!$I$41,IF('PV IN'!$G$41="Non-Taxable",'PV IN'!$F$41,0),0)</f>
        <v>0</v>
      </c>
      <c r="X255" s="10"/>
      <c r="Y255" s="10">
        <f>IF('PV IN'!$E$15="Non-Taxable",SUM(N255:P255),0)</f>
        <v>0</v>
      </c>
      <c r="Z255" s="10">
        <f>IF('PV IN'!$E$15="Taxable",SUM(N255:P255),0)</f>
        <v>0</v>
      </c>
      <c r="AA255" s="2">
        <f>IF(C255='PV IN'!$I$40,IF('PV IN'!$G$40="Taxable",'PV IN'!$F$40,0),0)+IF(C255='PV IN'!$I$41,IF('PV IN'!$G$41="Taxable",'PV IN'!$F$41,0),0)</f>
        <v>0</v>
      </c>
      <c r="AD255" s="10">
        <f>IF('PV IN'!$D$48="YES",-U255*'PV IN'!$E$8,0)</f>
        <v>0</v>
      </c>
      <c r="AE255" s="10">
        <f>IF('PV IN'!$N$10="Yes",-PVLoan!H283,-PVLoan!L283)</f>
        <v>0</v>
      </c>
      <c r="AF255" s="10">
        <f>IF('PV IN'!$N$10="Yes",-PVLoan!F283,0)</f>
        <v>0</v>
      </c>
      <c r="AG255" s="10">
        <f>IF(AND('PV IN'!$D$35="YES",$C255&lt;='PV IN'!$E$35*12),0,-'PV IN'!$E$18*'PV IN'!$E$34/12)</f>
        <v>-750</v>
      </c>
      <c r="AH255" s="10">
        <f>IF(AND('PV IN'!$D$37="YES",$C255&lt;='PV IN'!$E$37*12),0,-'PV IN'!$E$18*'PV IN'!$E$36/12)</f>
        <v>-625</v>
      </c>
      <c r="AI255" s="2">
        <f>IF(AND('PV IN'!$D$33="YES",PVCalcs!C255=ROUNDUP('PV IN'!$H$33*12,)),-'PV IN'!$E$33*'PV IN'!$E$18,0)</f>
        <v>0</v>
      </c>
      <c r="AK255" s="2">
        <f t="shared" si="49"/>
        <v>10762.324483094888</v>
      </c>
      <c r="AL255" s="2">
        <f t="shared" si="50"/>
        <v>-1375</v>
      </c>
      <c r="AM255" s="2">
        <f t="shared" si="54"/>
        <v>9387.3244830948879</v>
      </c>
      <c r="AN255" s="43"/>
      <c r="AO255" s="2">
        <f t="shared" si="51"/>
        <v>0</v>
      </c>
      <c r="AP255" s="2">
        <f t="shared" si="55"/>
        <v>-1375</v>
      </c>
      <c r="AR255" s="2">
        <f t="shared" si="56"/>
        <v>-1375</v>
      </c>
      <c r="AS255" s="2">
        <f>-AR255*'PV IN'!$E$8</f>
        <v>288.75</v>
      </c>
      <c r="AT255" s="2">
        <f>IF('PV IN'!$F$4="Battery Only",0,AM255+AS255)</f>
        <v>9676.0744830948879</v>
      </c>
      <c r="AV255" s="10">
        <f t="shared" si="57"/>
        <v>1478023.8601849277</v>
      </c>
      <c r="AW255" s="2">
        <f>AT255/(1+('PV IN'!$G$9))^(C255)</f>
        <v>3487.3031108712576</v>
      </c>
      <c r="AX255" s="2" t="e">
        <f>IF(C255&lt;='PV IN'!$O$22*12,AW255+AX254,NA())</f>
        <v>#N/A</v>
      </c>
      <c r="AZ255" s="10">
        <f t="shared" si="52"/>
        <v>-1375</v>
      </c>
      <c r="BA255" s="10">
        <f t="shared" si="53"/>
        <v>0</v>
      </c>
      <c r="BB255" s="10">
        <f t="shared" si="58"/>
        <v>-1375</v>
      </c>
      <c r="BC255" s="10">
        <f t="shared" si="59"/>
        <v>0</v>
      </c>
      <c r="BD255" s="10">
        <f t="shared" si="60"/>
        <v>-1375</v>
      </c>
      <c r="BE255" s="2">
        <f t="shared" si="61"/>
        <v>0</v>
      </c>
      <c r="BF255" s="10">
        <f t="shared" si="62"/>
        <v>-1375</v>
      </c>
      <c r="BG255" s="2">
        <f>-BF255*'PV IN'!$E$8</f>
        <v>288.75</v>
      </c>
      <c r="BH255" s="2">
        <f>IF('PV IN'!$F$4="Battery Only",0,BB255+BG255)</f>
        <v>-1086.25</v>
      </c>
      <c r="BI255" s="2">
        <f>BH255/(1+('PV IN'!$G$9))^(C255)</f>
        <v>-391.48964911360287</v>
      </c>
    </row>
    <row r="256" spans="2:61" x14ac:dyDescent="0.25">
      <c r="B256">
        <v>21</v>
      </c>
      <c r="C256">
        <v>252</v>
      </c>
      <c r="D256" s="16">
        <f>D255*(1+('PV IN'!$G$6/12))</f>
        <v>7.5999999999999998E-2</v>
      </c>
      <c r="E256" s="16">
        <f>LkUP!$U$41</f>
        <v>8.3376332931343902E-2</v>
      </c>
      <c r="F256" s="16">
        <f>IF('PV IN'!$D$7="Table",E256,D256)</f>
        <v>8.3376332931343902E-2</v>
      </c>
      <c r="G256" s="33">
        <f>('PV IN'!$E$25*'PV IN'!$E$18/12)*(1-(1-'PV IN'!$E$27)/(25*12))^C255</f>
        <v>128995.23428264068</v>
      </c>
      <c r="H256" s="33">
        <f>IF('PV IN'!$D$19="YES",G256*'PV IN'!$E$21,0)</f>
        <v>0</v>
      </c>
      <c r="I256" s="33">
        <f>IF('PV IN'!$D$19="YES",'PV IN'!$E$22*BattCalcs!W256,0)</f>
        <v>0</v>
      </c>
      <c r="J256" s="33">
        <f>IF('PV IN'!$D$19="YES",'PV IN'!$E$23*BattCalcs!Y256,0)</f>
        <v>0</v>
      </c>
      <c r="K256" s="33">
        <f>BattCalcs!AF256</f>
        <v>25811.765833333331</v>
      </c>
      <c r="L256" s="33">
        <f t="shared" si="63"/>
        <v>25811.765833333331</v>
      </c>
      <c r="M256" s="33">
        <f>IF('PV IN'!$F$4="PV Only",G256,G256-SUM(H256:J256,L256))</f>
        <v>128995.23428264068</v>
      </c>
      <c r="N256" s="2">
        <f>IF(C256&lt;='PV IN'!$I$12*12,'PV IN'!$E$12*G256/1000,0)</f>
        <v>0</v>
      </c>
      <c r="O256" s="2">
        <f>IF(AND(C256&gt;'PV IN'!$I$12*12,C256&lt;='PV IN'!$I$13*12+'PV IN'!$I$12*12),'PV IN'!$E$13*PVCalcs!G256/1000,0)</f>
        <v>0</v>
      </c>
      <c r="P256" s="2">
        <f>IF(AND(C256&gt;'PV IN'!$I$12*12+'PV IN'!$I$13*12,C256&lt;='PV IN'!$I$12*12+'PV IN'!$I$13*12+'PV IN'!$I$14*12),'PV IN'!$E$14*PVCalcs!G256/1000,0)</f>
        <v>0</v>
      </c>
      <c r="R256" s="10">
        <f>IF(AND('PV IN'!$D$35="YES",$C256&lt;='PV IN'!$E$35*12),-'PV IN'!$E$18*'PV IN'!$E$34/12,0)</f>
        <v>0</v>
      </c>
      <c r="S256" s="10">
        <f>IF(AND('PV IN'!$D$37="YES",$C256&lt;='PV IN'!$E$37*12),-'PV IN'!$E$18*'PV IN'!$E$36/12,0)</f>
        <v>0</v>
      </c>
      <c r="U256" s="2">
        <f t="shared" si="64"/>
        <v>10755.149600106157</v>
      </c>
      <c r="V256" s="10">
        <f>PVLoan!M283</f>
        <v>0</v>
      </c>
      <c r="W256" s="2">
        <f>IF(C256='PV IN'!$I$40,IF('PV IN'!$G$40="Non-Taxable",'PV IN'!$F$40,0),0)+IF(C256='PV IN'!$I$41,IF('PV IN'!$G$41="Non-Taxable",'PV IN'!$F$41,0),0)</f>
        <v>0</v>
      </c>
      <c r="X256" s="10"/>
      <c r="Y256" s="10">
        <f>IF('PV IN'!$E$15="Non-Taxable",SUM(N256:P256),0)</f>
        <v>0</v>
      </c>
      <c r="Z256" s="10">
        <f>IF('PV IN'!$E$15="Taxable",SUM(N256:P256),0)</f>
        <v>0</v>
      </c>
      <c r="AA256" s="2">
        <f>IF(C256='PV IN'!$I$40,IF('PV IN'!$G$40="Taxable",'PV IN'!$F$40,0),0)+IF(C256='PV IN'!$I$41,IF('PV IN'!$G$41="Taxable",'PV IN'!$F$41,0),0)</f>
        <v>0</v>
      </c>
      <c r="AD256" s="10">
        <f>IF('PV IN'!$D$48="YES",-U256*'PV IN'!$E$8,0)</f>
        <v>0</v>
      </c>
      <c r="AE256" s="10">
        <f>IF('PV IN'!$N$10="Yes",-PVLoan!H284,-PVLoan!L284)</f>
        <v>0</v>
      </c>
      <c r="AF256" s="10">
        <f>IF('PV IN'!$N$10="Yes",-PVLoan!F284,0)</f>
        <v>0</v>
      </c>
      <c r="AG256" s="10">
        <f>IF(AND('PV IN'!$D$35="YES",$C256&lt;='PV IN'!$E$35*12),0,-'PV IN'!$E$18*'PV IN'!$E$34/12)</f>
        <v>-750</v>
      </c>
      <c r="AH256" s="10">
        <f>IF(AND('PV IN'!$D$37="YES",$C256&lt;='PV IN'!$E$37*12),0,-'PV IN'!$E$18*'PV IN'!$E$36/12)</f>
        <v>-625</v>
      </c>
      <c r="AI256" s="2">
        <f>IF(AND('PV IN'!$D$33="YES",PVCalcs!C256=ROUNDUP('PV IN'!$H$33*12,)),-'PV IN'!$E$33*'PV IN'!$E$18,0)</f>
        <v>0</v>
      </c>
      <c r="AK256" s="2">
        <f t="shared" si="49"/>
        <v>10755.149600106157</v>
      </c>
      <c r="AL256" s="2">
        <f t="shared" si="50"/>
        <v>-1375</v>
      </c>
      <c r="AM256" s="2">
        <f t="shared" si="54"/>
        <v>9380.1496001061569</v>
      </c>
      <c r="AN256" s="43"/>
      <c r="AO256" s="2">
        <f t="shared" si="51"/>
        <v>0</v>
      </c>
      <c r="AP256" s="2">
        <f t="shared" si="55"/>
        <v>-1375</v>
      </c>
      <c r="AR256" s="2">
        <f t="shared" si="56"/>
        <v>-1375</v>
      </c>
      <c r="AS256" s="2">
        <f>-AR256*'PV IN'!$E$8</f>
        <v>288.75</v>
      </c>
      <c r="AT256" s="2">
        <f>IF('PV IN'!$F$4="Battery Only",0,AM256+AS256)</f>
        <v>9668.8996001061569</v>
      </c>
      <c r="AV256" s="10">
        <f t="shared" si="57"/>
        <v>1487692.7597850338</v>
      </c>
      <c r="AW256" s="2">
        <f>AT256/(1+('PV IN'!$G$9))^(C256)</f>
        <v>3470.577685937988</v>
      </c>
      <c r="AX256" s="2" t="e">
        <f>IF(C256&lt;='PV IN'!$O$22*12,AW256+AX255,NA())</f>
        <v>#N/A</v>
      </c>
      <c r="AZ256" s="10">
        <f t="shared" si="52"/>
        <v>-1375</v>
      </c>
      <c r="BA256" s="10">
        <f t="shared" si="53"/>
        <v>0</v>
      </c>
      <c r="BB256" s="10">
        <f t="shared" si="58"/>
        <v>-1375</v>
      </c>
      <c r="BC256" s="10">
        <f t="shared" si="59"/>
        <v>0</v>
      </c>
      <c r="BD256" s="10">
        <f t="shared" si="60"/>
        <v>-1375</v>
      </c>
      <c r="BE256" s="2">
        <f t="shared" si="61"/>
        <v>0</v>
      </c>
      <c r="BF256" s="10">
        <f t="shared" si="62"/>
        <v>-1375</v>
      </c>
      <c r="BG256" s="2">
        <f>-BF256*'PV IN'!$E$8</f>
        <v>288.75</v>
      </c>
      <c r="BH256" s="2">
        <f>IF('PV IN'!$F$4="Battery Only",0,BB256+BG256)</f>
        <v>-1086.25</v>
      </c>
      <c r="BI256" s="2">
        <f>BH256/(1+('PV IN'!$G$9))^(C256)</f>
        <v>-389.90114359122612</v>
      </c>
    </row>
    <row r="257" spans="2:61" x14ac:dyDescent="0.25">
      <c r="C257">
        <v>253</v>
      </c>
      <c r="D257" s="16">
        <f>D256*(1+('PV IN'!$G$6/12))</f>
        <v>7.5999999999999998E-2</v>
      </c>
      <c r="E257" s="16">
        <f>LkUP!$U$42</f>
        <v>8.3285531604918986E-2</v>
      </c>
      <c r="F257" s="16">
        <f>IF('PV IN'!$D$7="Table",E257,D257)</f>
        <v>8.3285531604918986E-2</v>
      </c>
      <c r="G257" s="33">
        <f>('PV IN'!$E$25*'PV IN'!$E$18/12)*(1-(1-'PV IN'!$E$27)/(25*12))^C256</f>
        <v>128909.23745978561</v>
      </c>
      <c r="H257" s="33">
        <f>IF('PV IN'!$D$19="YES",G257*'PV IN'!$E$21,0)</f>
        <v>0</v>
      </c>
      <c r="I257" s="33">
        <f>IF('PV IN'!$D$19="YES",'PV IN'!$E$22*BattCalcs!W257,0)</f>
        <v>0</v>
      </c>
      <c r="J257" s="33">
        <f>IF('PV IN'!$D$19="YES",'PV IN'!$E$23*BattCalcs!Y257,0)</f>
        <v>0</v>
      </c>
      <c r="K257" s="33">
        <f>BattCalcs!AF257</f>
        <v>25811.765833333331</v>
      </c>
      <c r="L257" s="33">
        <f t="shared" si="63"/>
        <v>25811.765833333331</v>
      </c>
      <c r="M257" s="33">
        <f>IF('PV IN'!$F$4="PV Only",G257,G257-SUM(H257:J257,L257))</f>
        <v>128909.23745978561</v>
      </c>
      <c r="N257" s="2">
        <f>IF(C257&lt;='PV IN'!$I$12*12,'PV IN'!$E$12*G257/1000,0)</f>
        <v>0</v>
      </c>
      <c r="O257" s="2">
        <f>IF(AND(C257&gt;'PV IN'!$I$12*12,C257&lt;='PV IN'!$I$13*12+'PV IN'!$I$12*12),'PV IN'!$E$13*PVCalcs!G257/1000,0)</f>
        <v>0</v>
      </c>
      <c r="P257" s="2">
        <f>IF(AND(C257&gt;'PV IN'!$I$12*12+'PV IN'!$I$13*12,C257&lt;='PV IN'!$I$12*12+'PV IN'!$I$13*12+'PV IN'!$I$14*12),'PV IN'!$E$14*PVCalcs!G257/1000,0)</f>
        <v>0</v>
      </c>
      <c r="R257" s="10">
        <f>IF(AND('PV IN'!$D$35="YES",$C257&lt;='PV IN'!$E$35*12),-'PV IN'!$E$18*'PV IN'!$E$34/12,0)</f>
        <v>0</v>
      </c>
      <c r="S257" s="10">
        <f>IF(AND('PV IN'!$D$37="YES",$C257&lt;='PV IN'!$E$37*12),-'PV IN'!$E$18*'PV IN'!$E$36/12,0)</f>
        <v>0</v>
      </c>
      <c r="U257" s="2">
        <f t="shared" si="64"/>
        <v>10736.274370622981</v>
      </c>
      <c r="V257" s="10">
        <f>PVLoan!M284</f>
        <v>0</v>
      </c>
      <c r="W257" s="2">
        <f>IF(C257='PV IN'!$I$40,IF('PV IN'!$G$40="Non-Taxable",'PV IN'!$F$40,0),0)+IF(C257='PV IN'!$I$41,IF('PV IN'!$G$41="Non-Taxable",'PV IN'!$F$41,0),0)</f>
        <v>0</v>
      </c>
      <c r="X257" s="10"/>
      <c r="Y257" s="10">
        <f>IF('PV IN'!$E$15="Non-Taxable",SUM(N257:P257),0)</f>
        <v>0</v>
      </c>
      <c r="Z257" s="10">
        <f>IF('PV IN'!$E$15="Taxable",SUM(N257:P257),0)</f>
        <v>0</v>
      </c>
      <c r="AA257" s="2">
        <f>IF(C257='PV IN'!$I$40,IF('PV IN'!$G$40="Taxable",'PV IN'!$F$40,0),0)+IF(C257='PV IN'!$I$41,IF('PV IN'!$G$41="Taxable",'PV IN'!$F$41,0),0)</f>
        <v>0</v>
      </c>
      <c r="AD257" s="10">
        <f>IF('PV IN'!$D$48="YES",-U257*'PV IN'!$E$8,0)</f>
        <v>0</v>
      </c>
      <c r="AE257" s="10">
        <f>IF('PV IN'!$N$10="Yes",-PVLoan!H285,-PVLoan!L285)</f>
        <v>0</v>
      </c>
      <c r="AF257" s="10">
        <f>IF('PV IN'!$N$10="Yes",-PVLoan!F285,0)</f>
        <v>0</v>
      </c>
      <c r="AG257" s="10">
        <f>IF(AND('PV IN'!$D$35="YES",$C257&lt;='PV IN'!$E$35*12),0,-'PV IN'!$E$18*'PV IN'!$E$34/12)</f>
        <v>-750</v>
      </c>
      <c r="AH257" s="10">
        <f>IF(AND('PV IN'!$D$37="YES",$C257&lt;='PV IN'!$E$37*12),0,-'PV IN'!$E$18*'PV IN'!$E$36/12)</f>
        <v>-625</v>
      </c>
      <c r="AI257" s="2">
        <f>IF(AND('PV IN'!$D$33="YES",PVCalcs!C257=ROUNDUP('PV IN'!$H$33*12,)),-'PV IN'!$E$33*'PV IN'!$E$18,0)</f>
        <v>0</v>
      </c>
      <c r="AK257" s="2">
        <f t="shared" si="49"/>
        <v>10736.274370622981</v>
      </c>
      <c r="AL257" s="2">
        <f t="shared" si="50"/>
        <v>-1375</v>
      </c>
      <c r="AM257" s="2">
        <f t="shared" si="54"/>
        <v>9361.2743706229812</v>
      </c>
      <c r="AN257" s="43"/>
      <c r="AO257" s="2">
        <f t="shared" si="51"/>
        <v>0</v>
      </c>
      <c r="AP257" s="2">
        <f t="shared" si="55"/>
        <v>-1375</v>
      </c>
      <c r="AR257" s="2">
        <f t="shared" si="56"/>
        <v>-1375</v>
      </c>
      <c r="AS257" s="2">
        <f>-AR257*'PV IN'!$E$8</f>
        <v>288.75</v>
      </c>
      <c r="AT257" s="2">
        <f>IF('PV IN'!$F$4="Battery Only",0,AM257+AS257)</f>
        <v>9650.0243706229812</v>
      </c>
      <c r="AV257" s="10">
        <f t="shared" si="57"/>
        <v>1497342.7841556568</v>
      </c>
      <c r="AW257" s="2">
        <f>AT257/(1+('PV IN'!$G$9))^(C257)</f>
        <v>3449.7478666032375</v>
      </c>
      <c r="AX257" s="2" t="e">
        <f>IF(C257&lt;='PV IN'!$O$22*12,AW257+AX256,NA())</f>
        <v>#N/A</v>
      </c>
      <c r="AZ257" s="10">
        <f t="shared" si="52"/>
        <v>-1375</v>
      </c>
      <c r="BA257" s="10">
        <f t="shared" si="53"/>
        <v>0</v>
      </c>
      <c r="BB257" s="10">
        <f t="shared" si="58"/>
        <v>-1375</v>
      </c>
      <c r="BC257" s="10">
        <f t="shared" si="59"/>
        <v>0</v>
      </c>
      <c r="BD257" s="10">
        <f t="shared" si="60"/>
        <v>-1375</v>
      </c>
      <c r="BE257" s="2">
        <f t="shared" si="61"/>
        <v>0</v>
      </c>
      <c r="BF257" s="10">
        <f t="shared" si="62"/>
        <v>-1375</v>
      </c>
      <c r="BG257" s="2">
        <f>-BF257*'PV IN'!$E$8</f>
        <v>288.75</v>
      </c>
      <c r="BH257" s="2">
        <f>IF('PV IN'!$F$4="Battery Only",0,BB257+BG257)</f>
        <v>-1086.25</v>
      </c>
      <c r="BI257" s="2">
        <f>BH257/(1+('PV IN'!$G$9))^(C257)</f>
        <v>-388.31908357717975</v>
      </c>
    </row>
    <row r="258" spans="2:61" x14ac:dyDescent="0.25">
      <c r="C258">
        <v>254</v>
      </c>
      <c r="D258" s="16">
        <f>D257*(1+('PV IN'!$G$6/12))</f>
        <v>7.5999999999999998E-2</v>
      </c>
      <c r="E258" s="16">
        <f>LkUP!$U$42</f>
        <v>8.3285531604918986E-2</v>
      </c>
      <c r="F258" s="16">
        <f>IF('PV IN'!$D$7="Table",E258,D258)</f>
        <v>8.3285531604918986E-2</v>
      </c>
      <c r="G258" s="33">
        <f>('PV IN'!$E$25*'PV IN'!$E$18/12)*(1-(1-'PV IN'!$E$27)/(25*12))^C257</f>
        <v>128823.29796814575</v>
      </c>
      <c r="H258" s="33">
        <f>IF('PV IN'!$D$19="YES",G258*'PV IN'!$E$21,0)</f>
        <v>0</v>
      </c>
      <c r="I258" s="33">
        <f>IF('PV IN'!$D$19="YES",'PV IN'!$E$22*BattCalcs!W258,0)</f>
        <v>0</v>
      </c>
      <c r="J258" s="33">
        <f>IF('PV IN'!$D$19="YES",'PV IN'!$E$23*BattCalcs!Y258,0)</f>
        <v>0</v>
      </c>
      <c r="K258" s="33">
        <f>BattCalcs!AF258</f>
        <v>25811.765833333331</v>
      </c>
      <c r="L258" s="33">
        <f t="shared" si="63"/>
        <v>25811.765833333331</v>
      </c>
      <c r="M258" s="33">
        <f>IF('PV IN'!$F$4="PV Only",G258,G258-SUM(H258:J258,L258))</f>
        <v>128823.29796814575</v>
      </c>
      <c r="N258" s="2">
        <f>IF(C258&lt;='PV IN'!$I$12*12,'PV IN'!$E$12*G258/1000,0)</f>
        <v>0</v>
      </c>
      <c r="O258" s="2">
        <f>IF(AND(C258&gt;'PV IN'!$I$12*12,C258&lt;='PV IN'!$I$13*12+'PV IN'!$I$12*12),'PV IN'!$E$13*PVCalcs!G258/1000,0)</f>
        <v>0</v>
      </c>
      <c r="P258" s="2">
        <f>IF(AND(C258&gt;'PV IN'!$I$12*12+'PV IN'!$I$13*12,C258&lt;='PV IN'!$I$12*12+'PV IN'!$I$13*12+'PV IN'!$I$14*12),'PV IN'!$E$14*PVCalcs!G258/1000,0)</f>
        <v>0</v>
      </c>
      <c r="R258" s="10">
        <f>IF(AND('PV IN'!$D$35="YES",$C258&lt;='PV IN'!$E$35*12),-'PV IN'!$E$18*'PV IN'!$E$34/12,0)</f>
        <v>0</v>
      </c>
      <c r="S258" s="10">
        <f>IF(AND('PV IN'!$D$37="YES",$C258&lt;='PV IN'!$E$37*12),-'PV IN'!$E$18*'PV IN'!$E$36/12,0)</f>
        <v>0</v>
      </c>
      <c r="U258" s="2">
        <f t="shared" si="64"/>
        <v>10729.116854375899</v>
      </c>
      <c r="V258" s="10">
        <f>PVLoan!M285</f>
        <v>0</v>
      </c>
      <c r="W258" s="2">
        <f>IF(C258='PV IN'!$I$40,IF('PV IN'!$G$40="Non-Taxable",'PV IN'!$F$40,0),0)+IF(C258='PV IN'!$I$41,IF('PV IN'!$G$41="Non-Taxable",'PV IN'!$F$41,0),0)</f>
        <v>0</v>
      </c>
      <c r="X258" s="10"/>
      <c r="Y258" s="10">
        <f>IF('PV IN'!$E$15="Non-Taxable",SUM(N258:P258),0)</f>
        <v>0</v>
      </c>
      <c r="Z258" s="10">
        <f>IF('PV IN'!$E$15="Taxable",SUM(N258:P258),0)</f>
        <v>0</v>
      </c>
      <c r="AA258" s="2">
        <f>IF(C258='PV IN'!$I$40,IF('PV IN'!$G$40="Taxable",'PV IN'!$F$40,0),0)+IF(C258='PV IN'!$I$41,IF('PV IN'!$G$41="Taxable",'PV IN'!$F$41,0),0)</f>
        <v>0</v>
      </c>
      <c r="AD258" s="10">
        <f>IF('PV IN'!$D$48="YES",-U258*'PV IN'!$E$8,0)</f>
        <v>0</v>
      </c>
      <c r="AE258" s="10">
        <f>IF('PV IN'!$N$10="Yes",-PVLoan!H286,-PVLoan!L286)</f>
        <v>0</v>
      </c>
      <c r="AF258" s="10">
        <f>IF('PV IN'!$N$10="Yes",-PVLoan!F286,0)</f>
        <v>0</v>
      </c>
      <c r="AG258" s="10">
        <f>IF(AND('PV IN'!$D$35="YES",$C258&lt;='PV IN'!$E$35*12),0,-'PV IN'!$E$18*'PV IN'!$E$34/12)</f>
        <v>-750</v>
      </c>
      <c r="AH258" s="10">
        <f>IF(AND('PV IN'!$D$37="YES",$C258&lt;='PV IN'!$E$37*12),0,-'PV IN'!$E$18*'PV IN'!$E$36/12)</f>
        <v>-625</v>
      </c>
      <c r="AI258" s="2">
        <f>IF(AND('PV IN'!$D$33="YES",PVCalcs!C258=ROUNDUP('PV IN'!$H$33*12,)),-'PV IN'!$E$33*'PV IN'!$E$18,0)</f>
        <v>0</v>
      </c>
      <c r="AK258" s="2">
        <f t="shared" si="49"/>
        <v>10729.116854375899</v>
      </c>
      <c r="AL258" s="2">
        <f t="shared" si="50"/>
        <v>-1375</v>
      </c>
      <c r="AM258" s="2">
        <f t="shared" si="54"/>
        <v>9354.1168543758995</v>
      </c>
      <c r="AN258" s="43"/>
      <c r="AO258" s="2">
        <f t="shared" si="51"/>
        <v>0</v>
      </c>
      <c r="AP258" s="2">
        <f t="shared" si="55"/>
        <v>-1375</v>
      </c>
      <c r="AR258" s="2">
        <f t="shared" si="56"/>
        <v>-1375</v>
      </c>
      <c r="AS258" s="2">
        <f>-AR258*'PV IN'!$E$8</f>
        <v>288.75</v>
      </c>
      <c r="AT258" s="2">
        <f>IF('PV IN'!$F$4="Battery Only",0,AM258+AS258)</f>
        <v>9642.8668543758995</v>
      </c>
      <c r="AV258" s="10">
        <f t="shared" si="57"/>
        <v>1506985.6510100327</v>
      </c>
      <c r="AW258" s="2">
        <f>AT258/(1+('PV IN'!$G$9))^(C258)</f>
        <v>3433.2018659270784</v>
      </c>
      <c r="AX258" s="2" t="e">
        <f>IF(C258&lt;='PV IN'!$O$22*12,AW258+AX257,NA())</f>
        <v>#N/A</v>
      </c>
      <c r="AZ258" s="10">
        <f t="shared" si="52"/>
        <v>-1375</v>
      </c>
      <c r="BA258" s="10">
        <f t="shared" si="53"/>
        <v>0</v>
      </c>
      <c r="BB258" s="10">
        <f t="shared" si="58"/>
        <v>-1375</v>
      </c>
      <c r="BC258" s="10">
        <f t="shared" si="59"/>
        <v>0</v>
      </c>
      <c r="BD258" s="10">
        <f t="shared" si="60"/>
        <v>-1375</v>
      </c>
      <c r="BE258" s="2">
        <f t="shared" si="61"/>
        <v>0</v>
      </c>
      <c r="BF258" s="10">
        <f t="shared" si="62"/>
        <v>-1375</v>
      </c>
      <c r="BG258" s="2">
        <f>-BF258*'PV IN'!$E$8</f>
        <v>288.75</v>
      </c>
      <c r="BH258" s="2">
        <f>IF('PV IN'!$F$4="Battery Only",0,BB258+BG258)</f>
        <v>-1086.25</v>
      </c>
      <c r="BI258" s="2">
        <f>BH258/(1+('PV IN'!$G$9))^(C258)</f>
        <v>-386.7434429182166</v>
      </c>
    </row>
    <row r="259" spans="2:61" x14ac:dyDescent="0.25">
      <c r="C259">
        <v>255</v>
      </c>
      <c r="D259" s="16">
        <f>D258*(1+('PV IN'!$G$6/12))</f>
        <v>7.5999999999999998E-2</v>
      </c>
      <c r="E259" s="16">
        <f>LkUP!$U$42</f>
        <v>8.3285531604918986E-2</v>
      </c>
      <c r="F259" s="16">
        <f>IF('PV IN'!$D$7="Table",E259,D259)</f>
        <v>8.3285531604918986E-2</v>
      </c>
      <c r="G259" s="33">
        <f>('PV IN'!$E$25*'PV IN'!$E$18/12)*(1-(1-'PV IN'!$E$27)/(25*12))^C258</f>
        <v>128737.41576950028</v>
      </c>
      <c r="H259" s="33">
        <f>IF('PV IN'!$D$19="YES",G259*'PV IN'!$E$21,0)</f>
        <v>0</v>
      </c>
      <c r="I259" s="33">
        <f>IF('PV IN'!$D$19="YES",'PV IN'!$E$22*BattCalcs!W259,0)</f>
        <v>0</v>
      </c>
      <c r="J259" s="33">
        <f>IF('PV IN'!$D$19="YES",'PV IN'!$E$23*BattCalcs!Y259,0)</f>
        <v>0</v>
      </c>
      <c r="K259" s="33">
        <f>BattCalcs!AF259</f>
        <v>25811.765833333331</v>
      </c>
      <c r="L259" s="33">
        <f t="shared" si="63"/>
        <v>25811.765833333331</v>
      </c>
      <c r="M259" s="33">
        <f>IF('PV IN'!$F$4="PV Only",G259,G259-SUM(H259:J259,L259))</f>
        <v>128737.41576950028</v>
      </c>
      <c r="N259" s="2">
        <f>IF(C259&lt;='PV IN'!$I$12*12,'PV IN'!$E$12*G259/1000,0)</f>
        <v>0</v>
      </c>
      <c r="O259" s="2">
        <f>IF(AND(C259&gt;'PV IN'!$I$12*12,C259&lt;='PV IN'!$I$13*12+'PV IN'!$I$12*12),'PV IN'!$E$13*PVCalcs!G259/1000,0)</f>
        <v>0</v>
      </c>
      <c r="P259" s="2">
        <f>IF(AND(C259&gt;'PV IN'!$I$12*12+'PV IN'!$I$13*12,C259&lt;='PV IN'!$I$12*12+'PV IN'!$I$13*12+'PV IN'!$I$14*12),'PV IN'!$E$14*PVCalcs!G259/1000,0)</f>
        <v>0</v>
      </c>
      <c r="R259" s="10">
        <f>IF(AND('PV IN'!$D$35="YES",$C259&lt;='PV IN'!$E$35*12),-'PV IN'!$E$18*'PV IN'!$E$34/12,0)</f>
        <v>0</v>
      </c>
      <c r="S259" s="10">
        <f>IF(AND('PV IN'!$D$37="YES",$C259&lt;='PV IN'!$E$37*12),-'PV IN'!$E$18*'PV IN'!$E$36/12,0)</f>
        <v>0</v>
      </c>
      <c r="U259" s="2">
        <f t="shared" si="64"/>
        <v>10721.964109806311</v>
      </c>
      <c r="V259" s="10">
        <f>PVLoan!M286</f>
        <v>0</v>
      </c>
      <c r="W259" s="2">
        <f>IF(C259='PV IN'!$I$40,IF('PV IN'!$G$40="Non-Taxable",'PV IN'!$F$40,0),0)+IF(C259='PV IN'!$I$41,IF('PV IN'!$G$41="Non-Taxable",'PV IN'!$F$41,0),0)</f>
        <v>0</v>
      </c>
      <c r="X259" s="10"/>
      <c r="Y259" s="10">
        <f>IF('PV IN'!$E$15="Non-Taxable",SUM(N259:P259),0)</f>
        <v>0</v>
      </c>
      <c r="Z259" s="10">
        <f>IF('PV IN'!$E$15="Taxable",SUM(N259:P259),0)</f>
        <v>0</v>
      </c>
      <c r="AA259" s="2">
        <f>IF(C259='PV IN'!$I$40,IF('PV IN'!$G$40="Taxable",'PV IN'!$F$40,0),0)+IF(C259='PV IN'!$I$41,IF('PV IN'!$G$41="Taxable",'PV IN'!$F$41,0),0)</f>
        <v>0</v>
      </c>
      <c r="AD259" s="10">
        <f>IF('PV IN'!$D$48="YES",-U259*'PV IN'!$E$8,0)</f>
        <v>0</v>
      </c>
      <c r="AE259" s="10">
        <f>IF('PV IN'!$N$10="Yes",-PVLoan!H287,-PVLoan!L287)</f>
        <v>0</v>
      </c>
      <c r="AF259" s="10">
        <f>IF('PV IN'!$N$10="Yes",-PVLoan!F287,0)</f>
        <v>0</v>
      </c>
      <c r="AG259" s="10">
        <f>IF(AND('PV IN'!$D$35="YES",$C259&lt;='PV IN'!$E$35*12),0,-'PV IN'!$E$18*'PV IN'!$E$34/12)</f>
        <v>-750</v>
      </c>
      <c r="AH259" s="10">
        <f>IF(AND('PV IN'!$D$37="YES",$C259&lt;='PV IN'!$E$37*12),0,-'PV IN'!$E$18*'PV IN'!$E$36/12)</f>
        <v>-625</v>
      </c>
      <c r="AI259" s="2">
        <f>IF(AND('PV IN'!$D$33="YES",PVCalcs!C259=ROUNDUP('PV IN'!$H$33*12,)),-'PV IN'!$E$33*'PV IN'!$E$18,0)</f>
        <v>0</v>
      </c>
      <c r="AK259" s="2">
        <f t="shared" si="49"/>
        <v>10721.964109806311</v>
      </c>
      <c r="AL259" s="2">
        <f t="shared" si="50"/>
        <v>-1375</v>
      </c>
      <c r="AM259" s="2">
        <f t="shared" si="54"/>
        <v>9346.9641098063112</v>
      </c>
      <c r="AN259" s="43"/>
      <c r="AO259" s="2">
        <f t="shared" si="51"/>
        <v>0</v>
      </c>
      <c r="AP259" s="2">
        <f t="shared" si="55"/>
        <v>-1375</v>
      </c>
      <c r="AR259" s="2">
        <f t="shared" si="56"/>
        <v>-1375</v>
      </c>
      <c r="AS259" s="2">
        <f>-AR259*'PV IN'!$E$8</f>
        <v>288.75</v>
      </c>
      <c r="AT259" s="2">
        <f>IF('PV IN'!$F$4="Battery Only",0,AM259+AS259)</f>
        <v>9635.7141098063112</v>
      </c>
      <c r="AV259" s="10">
        <f t="shared" si="57"/>
        <v>1516621.3651198391</v>
      </c>
      <c r="AW259" s="2">
        <f>AT259/(1+('PV IN'!$G$9))^(C259)</f>
        <v>3416.7350342556942</v>
      </c>
      <c r="AX259" s="2" t="e">
        <f>IF(C259&lt;='PV IN'!$O$22*12,AW259+AX258,NA())</f>
        <v>#N/A</v>
      </c>
      <c r="AZ259" s="10">
        <f t="shared" si="52"/>
        <v>-1375</v>
      </c>
      <c r="BA259" s="10">
        <f t="shared" si="53"/>
        <v>0</v>
      </c>
      <c r="BB259" s="10">
        <f t="shared" si="58"/>
        <v>-1375</v>
      </c>
      <c r="BC259" s="10">
        <f t="shared" si="59"/>
        <v>0</v>
      </c>
      <c r="BD259" s="10">
        <f t="shared" si="60"/>
        <v>-1375</v>
      </c>
      <c r="BE259" s="2">
        <f t="shared" si="61"/>
        <v>0</v>
      </c>
      <c r="BF259" s="10">
        <f t="shared" si="62"/>
        <v>-1375</v>
      </c>
      <c r="BG259" s="2">
        <f>-BF259*'PV IN'!$E$8</f>
        <v>288.75</v>
      </c>
      <c r="BH259" s="2">
        <f>IF('PV IN'!$F$4="Battery Only",0,BB259+BG259)</f>
        <v>-1086.25</v>
      </c>
      <c r="BI259" s="2">
        <f>BH259/(1+('PV IN'!$G$9))^(C259)</f>
        <v>-385.17419556720864</v>
      </c>
    </row>
    <row r="260" spans="2:61" x14ac:dyDescent="0.25">
      <c r="C260">
        <v>256</v>
      </c>
      <c r="D260" s="16">
        <f>D259*(1+('PV IN'!$G$6/12))</f>
        <v>7.5999999999999998E-2</v>
      </c>
      <c r="E260" s="16">
        <f>LkUP!$U$42</f>
        <v>8.3285531604918986E-2</v>
      </c>
      <c r="F260" s="16">
        <f>IF('PV IN'!$D$7="Table",E260,D260)</f>
        <v>8.3285531604918986E-2</v>
      </c>
      <c r="G260" s="33">
        <f>('PV IN'!$E$25*'PV IN'!$E$18/12)*(1-(1-'PV IN'!$E$27)/(25*12))^C259</f>
        <v>128651.59082565396</v>
      </c>
      <c r="H260" s="33">
        <f>IF('PV IN'!$D$19="YES",G260*'PV IN'!$E$21,0)</f>
        <v>0</v>
      </c>
      <c r="I260" s="33">
        <f>IF('PV IN'!$D$19="YES",'PV IN'!$E$22*BattCalcs!W260,0)</f>
        <v>0</v>
      </c>
      <c r="J260" s="33">
        <f>IF('PV IN'!$D$19="YES",'PV IN'!$E$23*BattCalcs!Y260,0)</f>
        <v>0</v>
      </c>
      <c r="K260" s="33">
        <f>BattCalcs!AF260</f>
        <v>25811.765833333331</v>
      </c>
      <c r="L260" s="33">
        <f t="shared" si="63"/>
        <v>25811.765833333331</v>
      </c>
      <c r="M260" s="33">
        <f>IF('PV IN'!$F$4="PV Only",G260,G260-SUM(H260:J260,L260))</f>
        <v>128651.59082565396</v>
      </c>
      <c r="N260" s="2">
        <f>IF(C260&lt;='PV IN'!$I$12*12,'PV IN'!$E$12*G260/1000,0)</f>
        <v>0</v>
      </c>
      <c r="O260" s="2">
        <f>IF(AND(C260&gt;'PV IN'!$I$12*12,C260&lt;='PV IN'!$I$13*12+'PV IN'!$I$12*12),'PV IN'!$E$13*PVCalcs!G260/1000,0)</f>
        <v>0</v>
      </c>
      <c r="P260" s="2">
        <f>IF(AND(C260&gt;'PV IN'!$I$12*12+'PV IN'!$I$13*12,C260&lt;='PV IN'!$I$12*12+'PV IN'!$I$13*12+'PV IN'!$I$14*12),'PV IN'!$E$14*PVCalcs!G260/1000,0)</f>
        <v>0</v>
      </c>
      <c r="R260" s="10">
        <f>IF(AND('PV IN'!$D$35="YES",$C260&lt;='PV IN'!$E$35*12),-'PV IN'!$E$18*'PV IN'!$E$34/12,0)</f>
        <v>0</v>
      </c>
      <c r="S260" s="10">
        <f>IF(AND('PV IN'!$D$37="YES",$C260&lt;='PV IN'!$E$37*12),-'PV IN'!$E$18*'PV IN'!$E$36/12,0)</f>
        <v>0</v>
      </c>
      <c r="U260" s="2">
        <f t="shared" si="64"/>
        <v>10714.816133733108</v>
      </c>
      <c r="V260" s="10">
        <f>PVLoan!M287</f>
        <v>0</v>
      </c>
      <c r="W260" s="2">
        <f>IF(C260='PV IN'!$I$40,IF('PV IN'!$G$40="Non-Taxable",'PV IN'!$F$40,0),0)+IF(C260='PV IN'!$I$41,IF('PV IN'!$G$41="Non-Taxable",'PV IN'!$F$41,0),0)</f>
        <v>0</v>
      </c>
      <c r="X260" s="10"/>
      <c r="Y260" s="10">
        <f>IF('PV IN'!$E$15="Non-Taxable",SUM(N260:P260),0)</f>
        <v>0</v>
      </c>
      <c r="Z260" s="10">
        <f>IF('PV IN'!$E$15="Taxable",SUM(N260:P260),0)</f>
        <v>0</v>
      </c>
      <c r="AA260" s="2">
        <f>IF(C260='PV IN'!$I$40,IF('PV IN'!$G$40="Taxable",'PV IN'!$F$40,0),0)+IF(C260='PV IN'!$I$41,IF('PV IN'!$G$41="Taxable",'PV IN'!$F$41,0),0)</f>
        <v>0</v>
      </c>
      <c r="AD260" s="10">
        <f>IF('PV IN'!$D$48="YES",-U260*'PV IN'!$E$8,0)</f>
        <v>0</v>
      </c>
      <c r="AE260" s="10">
        <f>IF('PV IN'!$N$10="Yes",-PVLoan!H288,-PVLoan!L288)</f>
        <v>0</v>
      </c>
      <c r="AF260" s="10">
        <f>IF('PV IN'!$N$10="Yes",-PVLoan!F288,0)</f>
        <v>0</v>
      </c>
      <c r="AG260" s="10">
        <f>IF(AND('PV IN'!$D$35="YES",$C260&lt;='PV IN'!$E$35*12),0,-'PV IN'!$E$18*'PV IN'!$E$34/12)</f>
        <v>-750</v>
      </c>
      <c r="AH260" s="10">
        <f>IF(AND('PV IN'!$D$37="YES",$C260&lt;='PV IN'!$E$37*12),0,-'PV IN'!$E$18*'PV IN'!$E$36/12)</f>
        <v>-625</v>
      </c>
      <c r="AI260" s="2">
        <f>IF(AND('PV IN'!$D$33="YES",PVCalcs!C260=ROUNDUP('PV IN'!$H$33*12,)),-'PV IN'!$E$33*'PV IN'!$E$18,0)</f>
        <v>0</v>
      </c>
      <c r="AK260" s="2">
        <f t="shared" ref="AK260:AK323" si="65">SUM(U260:AA260)</f>
        <v>10714.816133733108</v>
      </c>
      <c r="AL260" s="2">
        <f t="shared" ref="AL260:AL304" si="66">SUM(AC260:AI260)</f>
        <v>-1375</v>
      </c>
      <c r="AM260" s="2">
        <f t="shared" si="54"/>
        <v>9339.8161337331076</v>
      </c>
      <c r="AN260" s="43"/>
      <c r="AO260" s="2">
        <f t="shared" ref="AO260:AO323" si="67">SUM(Z260:AA260)</f>
        <v>0</v>
      </c>
      <c r="AP260" s="2">
        <f t="shared" si="55"/>
        <v>-1375</v>
      </c>
      <c r="AR260" s="2">
        <f t="shared" si="56"/>
        <v>-1375</v>
      </c>
      <c r="AS260" s="2">
        <f>-AR260*'PV IN'!$E$8</f>
        <v>288.75</v>
      </c>
      <c r="AT260" s="2">
        <f>IF('PV IN'!$F$4="Battery Only",0,AM260+AS260)</f>
        <v>9628.5661337331076</v>
      </c>
      <c r="AV260" s="10">
        <f t="shared" si="57"/>
        <v>1526249.9312535722</v>
      </c>
      <c r="AW260" s="2">
        <f>AT260/(1+('PV IN'!$G$9))^(C260)</f>
        <v>3400.3469935434264</v>
      </c>
      <c r="AX260" s="2" t="e">
        <f>IF(C260&lt;='PV IN'!$O$22*12,AW260+AX259,NA())</f>
        <v>#N/A</v>
      </c>
      <c r="AZ260" s="10">
        <f t="shared" ref="AZ260:AZ323" si="68">AL260-AD260</f>
        <v>-1375</v>
      </c>
      <c r="BA260" s="10">
        <f t="shared" ref="BA260:BA323" si="69">AK260-U260</f>
        <v>0</v>
      </c>
      <c r="BB260" s="10">
        <f t="shared" si="58"/>
        <v>-1375</v>
      </c>
      <c r="BC260" s="10">
        <f t="shared" si="59"/>
        <v>0</v>
      </c>
      <c r="BD260" s="10">
        <f t="shared" si="60"/>
        <v>-1375</v>
      </c>
      <c r="BE260" s="2">
        <f t="shared" si="61"/>
        <v>0</v>
      </c>
      <c r="BF260" s="10">
        <f t="shared" si="62"/>
        <v>-1375</v>
      </c>
      <c r="BG260" s="2">
        <f>-BF260*'PV IN'!$E$8</f>
        <v>288.75</v>
      </c>
      <c r="BH260" s="2">
        <f>IF('PV IN'!$F$4="Battery Only",0,BB260+BG260)</f>
        <v>-1086.25</v>
      </c>
      <c r="BI260" s="2">
        <f>BH260/(1+('PV IN'!$G$9))^(C260)</f>
        <v>-383.61131558271643</v>
      </c>
    </row>
    <row r="261" spans="2:61" x14ac:dyDescent="0.25">
      <c r="C261">
        <v>257</v>
      </c>
      <c r="D261" s="16">
        <f>D260*(1+('PV IN'!$G$6/12))</f>
        <v>7.5999999999999998E-2</v>
      </c>
      <c r="E261" s="16">
        <f>LkUP!$U$42</f>
        <v>8.3285531604918986E-2</v>
      </c>
      <c r="F261" s="16">
        <f>IF('PV IN'!$D$7="Table",E261,D261)</f>
        <v>8.3285531604918986E-2</v>
      </c>
      <c r="G261" s="33">
        <f>('PV IN'!$E$25*'PV IN'!$E$18/12)*(1-(1-'PV IN'!$E$27)/(25*12))^C260</f>
        <v>128565.82309843684</v>
      </c>
      <c r="H261" s="33">
        <f>IF('PV IN'!$D$19="YES",G261*'PV IN'!$E$21,0)</f>
        <v>0</v>
      </c>
      <c r="I261" s="33">
        <f>IF('PV IN'!$D$19="YES",'PV IN'!$E$22*BattCalcs!W261,0)</f>
        <v>0</v>
      </c>
      <c r="J261" s="33">
        <f>IF('PV IN'!$D$19="YES",'PV IN'!$E$23*BattCalcs!Y261,0)</f>
        <v>0</v>
      </c>
      <c r="K261" s="33">
        <f>BattCalcs!AF261</f>
        <v>25811.765833333331</v>
      </c>
      <c r="L261" s="33">
        <f t="shared" si="63"/>
        <v>25811.765833333331</v>
      </c>
      <c r="M261" s="33">
        <f>IF('PV IN'!$F$4="PV Only",G261,G261-SUM(H261:J261,L261))</f>
        <v>128565.82309843684</v>
      </c>
      <c r="N261" s="2">
        <f>IF(C261&lt;='PV IN'!$I$12*12,'PV IN'!$E$12*G261/1000,0)</f>
        <v>0</v>
      </c>
      <c r="O261" s="2">
        <f>IF(AND(C261&gt;'PV IN'!$I$12*12,C261&lt;='PV IN'!$I$13*12+'PV IN'!$I$12*12),'PV IN'!$E$13*PVCalcs!G261/1000,0)</f>
        <v>0</v>
      </c>
      <c r="P261" s="2">
        <f>IF(AND(C261&gt;'PV IN'!$I$12*12+'PV IN'!$I$13*12,C261&lt;='PV IN'!$I$12*12+'PV IN'!$I$13*12+'PV IN'!$I$14*12),'PV IN'!$E$14*PVCalcs!G261/1000,0)</f>
        <v>0</v>
      </c>
      <c r="R261" s="10">
        <f>IF(AND('PV IN'!$D$35="YES",$C261&lt;='PV IN'!$E$35*12),-'PV IN'!$E$18*'PV IN'!$E$34/12,0)</f>
        <v>0</v>
      </c>
      <c r="S261" s="10">
        <f>IF(AND('PV IN'!$D$37="YES",$C261&lt;='PV IN'!$E$37*12),-'PV IN'!$E$18*'PV IN'!$E$36/12,0)</f>
        <v>0</v>
      </c>
      <c r="U261" s="2">
        <f t="shared" si="64"/>
        <v>10707.672922977285</v>
      </c>
      <c r="V261" s="10">
        <f>PVLoan!M288</f>
        <v>0</v>
      </c>
      <c r="W261" s="2">
        <f>IF(C261='PV IN'!$I$40,IF('PV IN'!$G$40="Non-Taxable",'PV IN'!$F$40,0),0)+IF(C261='PV IN'!$I$41,IF('PV IN'!$G$41="Non-Taxable",'PV IN'!$F$41,0),0)</f>
        <v>0</v>
      </c>
      <c r="X261" s="10"/>
      <c r="Y261" s="10">
        <f>IF('PV IN'!$E$15="Non-Taxable",SUM(N261:P261),0)</f>
        <v>0</v>
      </c>
      <c r="Z261" s="10">
        <f>IF('PV IN'!$E$15="Taxable",SUM(N261:P261),0)</f>
        <v>0</v>
      </c>
      <c r="AA261" s="2">
        <f>IF(C261='PV IN'!$I$40,IF('PV IN'!$G$40="Taxable",'PV IN'!$F$40,0),0)+IF(C261='PV IN'!$I$41,IF('PV IN'!$G$41="Taxable",'PV IN'!$F$41,0),0)</f>
        <v>0</v>
      </c>
      <c r="AD261" s="10">
        <f>IF('PV IN'!$D$48="YES",-U261*'PV IN'!$E$8,0)</f>
        <v>0</v>
      </c>
      <c r="AE261" s="10">
        <f>IF('PV IN'!$N$10="Yes",-PVLoan!H289,-PVLoan!L289)</f>
        <v>0</v>
      </c>
      <c r="AF261" s="10">
        <f>IF('PV IN'!$N$10="Yes",-PVLoan!F289,0)</f>
        <v>0</v>
      </c>
      <c r="AG261" s="10">
        <f>IF(AND('PV IN'!$D$35="YES",$C261&lt;='PV IN'!$E$35*12),0,-'PV IN'!$E$18*'PV IN'!$E$34/12)</f>
        <v>-750</v>
      </c>
      <c r="AH261" s="10">
        <f>IF(AND('PV IN'!$D$37="YES",$C261&lt;='PV IN'!$E$37*12),0,-'PV IN'!$E$18*'PV IN'!$E$36/12)</f>
        <v>-625</v>
      </c>
      <c r="AI261" s="2">
        <f>IF(AND('PV IN'!$D$33="YES",PVCalcs!C261=ROUNDUP('PV IN'!$H$33*12,)),-'PV IN'!$E$33*'PV IN'!$E$18,0)</f>
        <v>0</v>
      </c>
      <c r="AK261" s="2">
        <f t="shared" si="65"/>
        <v>10707.672922977285</v>
      </c>
      <c r="AL261" s="2">
        <f t="shared" si="66"/>
        <v>-1375</v>
      </c>
      <c r="AM261" s="2">
        <f t="shared" ref="AM261:AM304" si="70">AK261+AL261</f>
        <v>9332.6729229772845</v>
      </c>
      <c r="AN261" s="43"/>
      <c r="AO261" s="2">
        <f t="shared" si="67"/>
        <v>0</v>
      </c>
      <c r="AP261" s="2">
        <f t="shared" ref="AP261:AP304" si="71">SUM(AF261:AI261)</f>
        <v>-1375</v>
      </c>
      <c r="AR261" s="2">
        <f t="shared" ref="AR261:AR304" si="72">SUM(AO261:AQ261)</f>
        <v>-1375</v>
      </c>
      <c r="AS261" s="2">
        <f>-AR261*'PV IN'!$E$8</f>
        <v>288.75</v>
      </c>
      <c r="AT261" s="2">
        <f>IF('PV IN'!$F$4="Battery Only",0,AM261+AS261)</f>
        <v>9621.4229229772845</v>
      </c>
      <c r="AV261" s="10">
        <f t="shared" ref="AV261:AV304" si="73">AV260+AT261</f>
        <v>1535871.3541765495</v>
      </c>
      <c r="AW261" s="2">
        <f>AT261/(1+('PV IN'!$G$9))^(C261)</f>
        <v>3384.0373675467977</v>
      </c>
      <c r="AX261" s="2" t="e">
        <f>IF(C261&lt;='PV IN'!$O$22*12,AW261+AX260,NA())</f>
        <v>#N/A</v>
      </c>
      <c r="AZ261" s="10">
        <f t="shared" si="68"/>
        <v>-1375</v>
      </c>
      <c r="BA261" s="10">
        <f t="shared" si="69"/>
        <v>0</v>
      </c>
      <c r="BB261" s="10">
        <f t="shared" ref="BB261:BB324" si="74">AZ261+BA261</f>
        <v>-1375</v>
      </c>
      <c r="BC261" s="10">
        <f t="shared" ref="BC261:BC324" si="75">AO261</f>
        <v>0</v>
      </c>
      <c r="BD261" s="10">
        <f t="shared" ref="BD261:BD324" si="76">AP261</f>
        <v>-1375</v>
      </c>
      <c r="BE261" s="2">
        <f t="shared" ref="BE261:BE324" si="77">AQ261</f>
        <v>0</v>
      </c>
      <c r="BF261" s="10">
        <f t="shared" ref="BF261:BF324" si="78">SUM(BC261:BE261)</f>
        <v>-1375</v>
      </c>
      <c r="BG261" s="2">
        <f>-BF261*'PV IN'!$E$8</f>
        <v>288.75</v>
      </c>
      <c r="BH261" s="2">
        <f>IF('PV IN'!$F$4="Battery Only",0,BB261+BG261)</f>
        <v>-1086.25</v>
      </c>
      <c r="BI261" s="2">
        <f>BH261/(1+('PV IN'!$G$9))^(C261)</f>
        <v>-382.05477712856049</v>
      </c>
    </row>
    <row r="262" spans="2:61" x14ac:dyDescent="0.25">
      <c r="C262">
        <v>258</v>
      </c>
      <c r="D262" s="16">
        <f>D261*(1+('PV IN'!$G$6/12))</f>
        <v>7.5999999999999998E-2</v>
      </c>
      <c r="E262" s="16">
        <f>LkUP!$U$42</f>
        <v>8.3285531604918986E-2</v>
      </c>
      <c r="F262" s="16">
        <f>IF('PV IN'!$D$7="Table",E262,D262)</f>
        <v>8.3285531604918986E-2</v>
      </c>
      <c r="G262" s="33">
        <f>('PV IN'!$E$25*'PV IN'!$E$18/12)*(1-(1-'PV IN'!$E$27)/(25*12))^C261</f>
        <v>128480.11254970454</v>
      </c>
      <c r="H262" s="33">
        <f>IF('PV IN'!$D$19="YES",G262*'PV IN'!$E$21,0)</f>
        <v>0</v>
      </c>
      <c r="I262" s="33">
        <f>IF('PV IN'!$D$19="YES",'PV IN'!$E$22*BattCalcs!W262,0)</f>
        <v>0</v>
      </c>
      <c r="J262" s="33">
        <f>IF('PV IN'!$D$19="YES",'PV IN'!$E$23*BattCalcs!Y262,0)</f>
        <v>0</v>
      </c>
      <c r="K262" s="33">
        <f>BattCalcs!AF262</f>
        <v>25811.765833333331</v>
      </c>
      <c r="L262" s="33">
        <f t="shared" ref="L262:L304" si="79">IF(SUM(H262:K262)&lt;=G262,K262,G262-SUM(H262:J262))</f>
        <v>25811.765833333331</v>
      </c>
      <c r="M262" s="33">
        <f>IF('PV IN'!$F$4="PV Only",G262,G262-SUM(H262:J262,L262))</f>
        <v>128480.11254970454</v>
      </c>
      <c r="N262" s="2">
        <f>IF(C262&lt;='PV IN'!$I$12*12,'PV IN'!$E$12*G262/1000,0)</f>
        <v>0</v>
      </c>
      <c r="O262" s="2">
        <f>IF(AND(C262&gt;'PV IN'!$I$12*12,C262&lt;='PV IN'!$I$13*12+'PV IN'!$I$12*12),'PV IN'!$E$13*PVCalcs!G262/1000,0)</f>
        <v>0</v>
      </c>
      <c r="P262" s="2">
        <f>IF(AND(C262&gt;'PV IN'!$I$12*12+'PV IN'!$I$13*12,C262&lt;='PV IN'!$I$12*12+'PV IN'!$I$13*12+'PV IN'!$I$14*12),'PV IN'!$E$14*PVCalcs!G262/1000,0)</f>
        <v>0</v>
      </c>
      <c r="R262" s="10">
        <f>IF(AND('PV IN'!$D$35="YES",$C262&lt;='PV IN'!$E$35*12),-'PV IN'!$E$18*'PV IN'!$E$34/12,0)</f>
        <v>0</v>
      </c>
      <c r="S262" s="10">
        <f>IF(AND('PV IN'!$D$37="YES",$C262&lt;='PV IN'!$E$37*12),-'PV IN'!$E$18*'PV IN'!$E$36/12,0)</f>
        <v>0</v>
      </c>
      <c r="U262" s="2">
        <f t="shared" ref="U262:U325" si="80">F262*M262</f>
        <v>10700.534474361966</v>
      </c>
      <c r="V262" s="10">
        <f>PVLoan!M289</f>
        <v>0</v>
      </c>
      <c r="W262" s="2">
        <f>IF(C262='PV IN'!$I$40,IF('PV IN'!$G$40="Non-Taxable",'PV IN'!$F$40,0),0)+IF(C262='PV IN'!$I$41,IF('PV IN'!$G$41="Non-Taxable",'PV IN'!$F$41,0),0)</f>
        <v>0</v>
      </c>
      <c r="X262" s="10"/>
      <c r="Y262" s="10">
        <f>IF('PV IN'!$E$15="Non-Taxable",SUM(N262:P262),0)</f>
        <v>0</v>
      </c>
      <c r="Z262" s="10">
        <f>IF('PV IN'!$E$15="Taxable",SUM(N262:P262),0)</f>
        <v>0</v>
      </c>
      <c r="AA262" s="2">
        <f>IF(C262='PV IN'!$I$40,IF('PV IN'!$G$40="Taxable",'PV IN'!$F$40,0),0)+IF(C262='PV IN'!$I$41,IF('PV IN'!$G$41="Taxable",'PV IN'!$F$41,0),0)</f>
        <v>0</v>
      </c>
      <c r="AD262" s="10">
        <f>IF('PV IN'!$D$48="YES",-U262*'PV IN'!$E$8,0)</f>
        <v>0</v>
      </c>
      <c r="AE262" s="10">
        <f>IF('PV IN'!$N$10="Yes",-PVLoan!H290,-PVLoan!L290)</f>
        <v>0</v>
      </c>
      <c r="AF262" s="10">
        <f>IF('PV IN'!$N$10="Yes",-PVLoan!F290,0)</f>
        <v>0</v>
      </c>
      <c r="AG262" s="10">
        <f>IF(AND('PV IN'!$D$35="YES",$C262&lt;='PV IN'!$E$35*12),0,-'PV IN'!$E$18*'PV IN'!$E$34/12)</f>
        <v>-750</v>
      </c>
      <c r="AH262" s="10">
        <f>IF(AND('PV IN'!$D$37="YES",$C262&lt;='PV IN'!$E$37*12),0,-'PV IN'!$E$18*'PV IN'!$E$36/12)</f>
        <v>-625</v>
      </c>
      <c r="AI262" s="2">
        <f>IF(AND('PV IN'!$D$33="YES",PVCalcs!C262=ROUNDUP('PV IN'!$H$33*12,)),-'PV IN'!$E$33*'PV IN'!$E$18,0)</f>
        <v>0</v>
      </c>
      <c r="AK262" s="2">
        <f t="shared" si="65"/>
        <v>10700.534474361966</v>
      </c>
      <c r="AL262" s="2">
        <f t="shared" si="66"/>
        <v>-1375</v>
      </c>
      <c r="AM262" s="2">
        <f t="shared" si="70"/>
        <v>9325.5344743619662</v>
      </c>
      <c r="AN262" s="43"/>
      <c r="AO262" s="2">
        <f t="shared" si="67"/>
        <v>0</v>
      </c>
      <c r="AP262" s="2">
        <f t="shared" si="71"/>
        <v>-1375</v>
      </c>
      <c r="AR262" s="2">
        <f t="shared" si="72"/>
        <v>-1375</v>
      </c>
      <c r="AS262" s="2">
        <f>-AR262*'PV IN'!$E$8</f>
        <v>288.75</v>
      </c>
      <c r="AT262" s="2">
        <f>IF('PV IN'!$F$4="Battery Only",0,AM262+AS262)</f>
        <v>9614.2844743619662</v>
      </c>
      <c r="AV262" s="10">
        <f t="shared" si="73"/>
        <v>1545485.6386509114</v>
      </c>
      <c r="AW262" s="2">
        <f>AT262/(1+('PV IN'!$G$9))^(C262)</f>
        <v>3367.8057818159427</v>
      </c>
      <c r="AX262" s="2" t="e">
        <f>IF(C262&lt;='PV IN'!$O$22*12,AW262+AX261,NA())</f>
        <v>#N/A</v>
      </c>
      <c r="AZ262" s="10">
        <f t="shared" si="68"/>
        <v>-1375</v>
      </c>
      <c r="BA262" s="10">
        <f t="shared" si="69"/>
        <v>0</v>
      </c>
      <c r="BB262" s="10">
        <f t="shared" si="74"/>
        <v>-1375</v>
      </c>
      <c r="BC262" s="10">
        <f t="shared" si="75"/>
        <v>0</v>
      </c>
      <c r="BD262" s="10">
        <f t="shared" si="76"/>
        <v>-1375</v>
      </c>
      <c r="BE262" s="2">
        <f t="shared" si="77"/>
        <v>0</v>
      </c>
      <c r="BF262" s="10">
        <f t="shared" si="78"/>
        <v>-1375</v>
      </c>
      <c r="BG262" s="2">
        <f>-BF262*'PV IN'!$E$8</f>
        <v>288.75</v>
      </c>
      <c r="BH262" s="2">
        <f>IF('PV IN'!$F$4="Battery Only",0,BB262+BG262)</f>
        <v>-1086.25</v>
      </c>
      <c r="BI262" s="2">
        <f>BH262/(1+('PV IN'!$G$9))^(C262)</f>
        <v>-380.50455447339385</v>
      </c>
    </row>
    <row r="263" spans="2:61" x14ac:dyDescent="0.25">
      <c r="C263">
        <v>259</v>
      </c>
      <c r="D263" s="16">
        <f>D262*(1+('PV IN'!$G$6/12))</f>
        <v>7.5999999999999998E-2</v>
      </c>
      <c r="E263" s="16">
        <f>LkUP!$U$42</f>
        <v>8.3285531604918986E-2</v>
      </c>
      <c r="F263" s="16">
        <f>IF('PV IN'!$D$7="Table",E263,D263)</f>
        <v>8.3285531604918986E-2</v>
      </c>
      <c r="G263" s="33">
        <f>('PV IN'!$E$25*'PV IN'!$E$18/12)*(1-(1-'PV IN'!$E$27)/(25*12))^C262</f>
        <v>128394.45914133807</v>
      </c>
      <c r="H263" s="33">
        <f>IF('PV IN'!$D$19="YES",G263*'PV IN'!$E$21,0)</f>
        <v>0</v>
      </c>
      <c r="I263" s="33">
        <f>IF('PV IN'!$D$19="YES",'PV IN'!$E$22*BattCalcs!W263,0)</f>
        <v>0</v>
      </c>
      <c r="J263" s="33">
        <f>IF('PV IN'!$D$19="YES",'PV IN'!$E$23*BattCalcs!Y263,0)</f>
        <v>0</v>
      </c>
      <c r="K263" s="33">
        <f>BattCalcs!AF263</f>
        <v>25811.765833333331</v>
      </c>
      <c r="L263" s="33">
        <f t="shared" si="79"/>
        <v>25811.765833333331</v>
      </c>
      <c r="M263" s="33">
        <f>IF('PV IN'!$F$4="PV Only",G263,G263-SUM(H263:J263,L263))</f>
        <v>128394.45914133807</v>
      </c>
      <c r="N263" s="2">
        <f>IF(C263&lt;='PV IN'!$I$12*12,'PV IN'!$E$12*G263/1000,0)</f>
        <v>0</v>
      </c>
      <c r="O263" s="2">
        <f>IF(AND(C263&gt;'PV IN'!$I$12*12,C263&lt;='PV IN'!$I$13*12+'PV IN'!$I$12*12),'PV IN'!$E$13*PVCalcs!G263/1000,0)</f>
        <v>0</v>
      </c>
      <c r="P263" s="2">
        <f>IF(AND(C263&gt;'PV IN'!$I$12*12+'PV IN'!$I$13*12,C263&lt;='PV IN'!$I$12*12+'PV IN'!$I$13*12+'PV IN'!$I$14*12),'PV IN'!$E$14*PVCalcs!G263/1000,0)</f>
        <v>0</v>
      </c>
      <c r="R263" s="10">
        <f>IF(AND('PV IN'!$D$35="YES",$C263&lt;='PV IN'!$E$35*12),-'PV IN'!$E$18*'PV IN'!$E$34/12,0)</f>
        <v>0</v>
      </c>
      <c r="S263" s="10">
        <f>IF(AND('PV IN'!$D$37="YES",$C263&lt;='PV IN'!$E$37*12),-'PV IN'!$E$18*'PV IN'!$E$36/12,0)</f>
        <v>0</v>
      </c>
      <c r="U263" s="2">
        <f t="shared" si="80"/>
        <v>10693.40078471239</v>
      </c>
      <c r="V263" s="10">
        <f>PVLoan!M290</f>
        <v>0</v>
      </c>
      <c r="W263" s="2">
        <f>IF(C263='PV IN'!$I$40,IF('PV IN'!$G$40="Non-Taxable",'PV IN'!$F$40,0),0)+IF(C263='PV IN'!$I$41,IF('PV IN'!$G$41="Non-Taxable",'PV IN'!$F$41,0),0)</f>
        <v>0</v>
      </c>
      <c r="X263" s="10"/>
      <c r="Y263" s="10">
        <f>IF('PV IN'!$E$15="Non-Taxable",SUM(N263:P263),0)</f>
        <v>0</v>
      </c>
      <c r="Z263" s="10">
        <f>IF('PV IN'!$E$15="Taxable",SUM(N263:P263),0)</f>
        <v>0</v>
      </c>
      <c r="AA263" s="2">
        <f>IF(C263='PV IN'!$I$40,IF('PV IN'!$G$40="Taxable",'PV IN'!$F$40,0),0)+IF(C263='PV IN'!$I$41,IF('PV IN'!$G$41="Taxable",'PV IN'!$F$41,0),0)</f>
        <v>0</v>
      </c>
      <c r="AD263" s="10">
        <f>IF('PV IN'!$D$48="YES",-U263*'PV IN'!$E$8,0)</f>
        <v>0</v>
      </c>
      <c r="AE263" s="10">
        <f>IF('PV IN'!$N$10="Yes",-PVLoan!H291,-PVLoan!L291)</f>
        <v>0</v>
      </c>
      <c r="AF263" s="10">
        <f>IF('PV IN'!$N$10="Yes",-PVLoan!F291,0)</f>
        <v>0</v>
      </c>
      <c r="AG263" s="10">
        <f>IF(AND('PV IN'!$D$35="YES",$C263&lt;='PV IN'!$E$35*12),0,-'PV IN'!$E$18*'PV IN'!$E$34/12)</f>
        <v>-750</v>
      </c>
      <c r="AH263" s="10">
        <f>IF(AND('PV IN'!$D$37="YES",$C263&lt;='PV IN'!$E$37*12),0,-'PV IN'!$E$18*'PV IN'!$E$36/12)</f>
        <v>-625</v>
      </c>
      <c r="AI263" s="2">
        <f>IF(AND('PV IN'!$D$33="YES",PVCalcs!C263=ROUNDUP('PV IN'!$H$33*12,)),-'PV IN'!$E$33*'PV IN'!$E$18,0)</f>
        <v>0</v>
      </c>
      <c r="AK263" s="2">
        <f t="shared" si="65"/>
        <v>10693.40078471239</v>
      </c>
      <c r="AL263" s="2">
        <f t="shared" si="66"/>
        <v>-1375</v>
      </c>
      <c r="AM263" s="2">
        <f t="shared" si="70"/>
        <v>9318.4007847123903</v>
      </c>
      <c r="AN263" s="43"/>
      <c r="AO263" s="2">
        <f t="shared" si="67"/>
        <v>0</v>
      </c>
      <c r="AP263" s="2">
        <f t="shared" si="71"/>
        <v>-1375</v>
      </c>
      <c r="AR263" s="2">
        <f t="shared" si="72"/>
        <v>-1375</v>
      </c>
      <c r="AS263" s="2">
        <f>-AR263*'PV IN'!$E$8</f>
        <v>288.75</v>
      </c>
      <c r="AT263" s="2">
        <f>IF('PV IN'!$F$4="Battery Only",0,AM263+AS263)</f>
        <v>9607.1507847123903</v>
      </c>
      <c r="AV263" s="10">
        <f t="shared" si="73"/>
        <v>1555092.7894356237</v>
      </c>
      <c r="AW263" s="2">
        <f>AT263/(1+('PV IN'!$G$9))^(C263)</f>
        <v>3351.6518636860628</v>
      </c>
      <c r="AX263" s="2" t="e">
        <f>IF(C263&lt;='PV IN'!$O$22*12,AW263+AX262,NA())</f>
        <v>#N/A</v>
      </c>
      <c r="AZ263" s="10">
        <f t="shared" si="68"/>
        <v>-1375</v>
      </c>
      <c r="BA263" s="10">
        <f t="shared" si="69"/>
        <v>0</v>
      </c>
      <c r="BB263" s="10">
        <f t="shared" si="74"/>
        <v>-1375</v>
      </c>
      <c r="BC263" s="10">
        <f t="shared" si="75"/>
        <v>0</v>
      </c>
      <c r="BD263" s="10">
        <f t="shared" si="76"/>
        <v>-1375</v>
      </c>
      <c r="BE263" s="2">
        <f t="shared" si="77"/>
        <v>0</v>
      </c>
      <c r="BF263" s="10">
        <f t="shared" si="78"/>
        <v>-1375</v>
      </c>
      <c r="BG263" s="2">
        <f>-BF263*'PV IN'!$E$8</f>
        <v>288.75</v>
      </c>
      <c r="BH263" s="2">
        <f>IF('PV IN'!$F$4="Battery Only",0,BB263+BG263)</f>
        <v>-1086.25</v>
      </c>
      <c r="BI263" s="2">
        <f>BH263/(1+('PV IN'!$G$9))^(C263)</f>
        <v>-378.96062199027705</v>
      </c>
    </row>
    <row r="264" spans="2:61" x14ac:dyDescent="0.25">
      <c r="C264">
        <v>260</v>
      </c>
      <c r="D264" s="16">
        <f>D263*(1+('PV IN'!$G$6/12))</f>
        <v>7.5999999999999998E-2</v>
      </c>
      <c r="E264" s="16">
        <f>LkUP!$U$42</f>
        <v>8.3285531604918986E-2</v>
      </c>
      <c r="F264" s="16">
        <f>IF('PV IN'!$D$7="Table",E264,D264)</f>
        <v>8.3285531604918986E-2</v>
      </c>
      <c r="G264" s="33">
        <f>('PV IN'!$E$25*'PV IN'!$E$18/12)*(1-(1-'PV IN'!$E$27)/(25*12))^C263</f>
        <v>128308.86283524384</v>
      </c>
      <c r="H264" s="33">
        <f>IF('PV IN'!$D$19="YES",G264*'PV IN'!$E$21,0)</f>
        <v>0</v>
      </c>
      <c r="I264" s="33">
        <f>IF('PV IN'!$D$19="YES",'PV IN'!$E$22*BattCalcs!W264,0)</f>
        <v>0</v>
      </c>
      <c r="J264" s="33">
        <f>IF('PV IN'!$D$19="YES",'PV IN'!$E$23*BattCalcs!Y264,0)</f>
        <v>0</v>
      </c>
      <c r="K264" s="33">
        <f>BattCalcs!AF264</f>
        <v>25811.765833333331</v>
      </c>
      <c r="L264" s="33">
        <f t="shared" si="79"/>
        <v>25811.765833333331</v>
      </c>
      <c r="M264" s="33">
        <f>IF('PV IN'!$F$4="PV Only",G264,G264-SUM(H264:J264,L264))</f>
        <v>128308.86283524384</v>
      </c>
      <c r="N264" s="2">
        <f>IF(C264&lt;='PV IN'!$I$12*12,'PV IN'!$E$12*G264/1000,0)</f>
        <v>0</v>
      </c>
      <c r="O264" s="2">
        <f>IF(AND(C264&gt;'PV IN'!$I$12*12,C264&lt;='PV IN'!$I$13*12+'PV IN'!$I$12*12),'PV IN'!$E$13*PVCalcs!G264/1000,0)</f>
        <v>0</v>
      </c>
      <c r="P264" s="2">
        <f>IF(AND(C264&gt;'PV IN'!$I$12*12+'PV IN'!$I$13*12,C264&lt;='PV IN'!$I$12*12+'PV IN'!$I$13*12+'PV IN'!$I$14*12),'PV IN'!$E$14*PVCalcs!G264/1000,0)</f>
        <v>0</v>
      </c>
      <c r="R264" s="10">
        <f>IF(AND('PV IN'!$D$35="YES",$C264&lt;='PV IN'!$E$35*12),-'PV IN'!$E$18*'PV IN'!$E$34/12,0)</f>
        <v>0</v>
      </c>
      <c r="S264" s="10">
        <f>IF(AND('PV IN'!$D$37="YES",$C264&lt;='PV IN'!$E$37*12),-'PV IN'!$E$18*'PV IN'!$E$36/12,0)</f>
        <v>0</v>
      </c>
      <c r="U264" s="2">
        <f t="shared" si="80"/>
        <v>10686.271850855916</v>
      </c>
      <c r="V264" s="10">
        <f>PVLoan!M291</f>
        <v>0</v>
      </c>
      <c r="W264" s="2">
        <f>IF(C264='PV IN'!$I$40,IF('PV IN'!$G$40="Non-Taxable",'PV IN'!$F$40,0),0)+IF(C264='PV IN'!$I$41,IF('PV IN'!$G$41="Non-Taxable",'PV IN'!$F$41,0),0)</f>
        <v>0</v>
      </c>
      <c r="X264" s="10"/>
      <c r="Y264" s="10">
        <f>IF('PV IN'!$E$15="Non-Taxable",SUM(N264:P264),0)</f>
        <v>0</v>
      </c>
      <c r="Z264" s="10">
        <f>IF('PV IN'!$E$15="Taxable",SUM(N264:P264),0)</f>
        <v>0</v>
      </c>
      <c r="AA264" s="2">
        <f>IF(C264='PV IN'!$I$40,IF('PV IN'!$G$40="Taxable",'PV IN'!$F$40,0),0)+IF(C264='PV IN'!$I$41,IF('PV IN'!$G$41="Taxable",'PV IN'!$F$41,0),0)</f>
        <v>0</v>
      </c>
      <c r="AD264" s="10">
        <f>IF('PV IN'!$D$48="YES",-U264*'PV IN'!$E$8,0)</f>
        <v>0</v>
      </c>
      <c r="AE264" s="10">
        <f>IF('PV IN'!$N$10="Yes",-PVLoan!H292,-PVLoan!L292)</f>
        <v>0</v>
      </c>
      <c r="AF264" s="10">
        <f>IF('PV IN'!$N$10="Yes",-PVLoan!F292,0)</f>
        <v>0</v>
      </c>
      <c r="AG264" s="10">
        <f>IF(AND('PV IN'!$D$35="YES",$C264&lt;='PV IN'!$E$35*12),0,-'PV IN'!$E$18*'PV IN'!$E$34/12)</f>
        <v>-750</v>
      </c>
      <c r="AH264" s="10">
        <f>IF(AND('PV IN'!$D$37="YES",$C264&lt;='PV IN'!$E$37*12),0,-'PV IN'!$E$18*'PV IN'!$E$36/12)</f>
        <v>-625</v>
      </c>
      <c r="AI264" s="2">
        <f>IF(AND('PV IN'!$D$33="YES",PVCalcs!C264=ROUNDUP('PV IN'!$H$33*12,)),-'PV IN'!$E$33*'PV IN'!$E$18,0)</f>
        <v>0</v>
      </c>
      <c r="AK264" s="2">
        <f t="shared" si="65"/>
        <v>10686.271850855916</v>
      </c>
      <c r="AL264" s="2">
        <f t="shared" si="66"/>
        <v>-1375</v>
      </c>
      <c r="AM264" s="2">
        <f t="shared" si="70"/>
        <v>9311.2718508559155</v>
      </c>
      <c r="AN264" s="43"/>
      <c r="AO264" s="2">
        <f t="shared" si="67"/>
        <v>0</v>
      </c>
      <c r="AP264" s="2">
        <f t="shared" si="71"/>
        <v>-1375</v>
      </c>
      <c r="AR264" s="2">
        <f t="shared" si="72"/>
        <v>-1375</v>
      </c>
      <c r="AS264" s="2">
        <f>-AR264*'PV IN'!$E$8</f>
        <v>288.75</v>
      </c>
      <c r="AT264" s="2">
        <f>IF('PV IN'!$F$4="Battery Only",0,AM264+AS264)</f>
        <v>9600.0218508559155</v>
      </c>
      <c r="AV264" s="10">
        <f t="shared" si="73"/>
        <v>1564692.8112864797</v>
      </c>
      <c r="AW264" s="2">
        <f>AT264/(1+('PV IN'!$G$9))^(C264)</f>
        <v>3335.5752422689361</v>
      </c>
      <c r="AX264" s="2" t="e">
        <f>IF(C264&lt;='PV IN'!$O$22*12,AW264+AX263,NA())</f>
        <v>#N/A</v>
      </c>
      <c r="AZ264" s="10">
        <f t="shared" si="68"/>
        <v>-1375</v>
      </c>
      <c r="BA264" s="10">
        <f t="shared" si="69"/>
        <v>0</v>
      </c>
      <c r="BB264" s="10">
        <f t="shared" si="74"/>
        <v>-1375</v>
      </c>
      <c r="BC264" s="10">
        <f t="shared" si="75"/>
        <v>0</v>
      </c>
      <c r="BD264" s="10">
        <f t="shared" si="76"/>
        <v>-1375</v>
      </c>
      <c r="BE264" s="2">
        <f t="shared" si="77"/>
        <v>0</v>
      </c>
      <c r="BF264" s="10">
        <f t="shared" si="78"/>
        <v>-1375</v>
      </c>
      <c r="BG264" s="2">
        <f>-BF264*'PV IN'!$E$8</f>
        <v>288.75</v>
      </c>
      <c r="BH264" s="2">
        <f>IF('PV IN'!$F$4="Battery Only",0,BB264+BG264)</f>
        <v>-1086.25</v>
      </c>
      <c r="BI264" s="2">
        <f>BH264/(1+('PV IN'!$G$9))^(C264)</f>
        <v>-377.42295415625432</v>
      </c>
    </row>
    <row r="265" spans="2:61" x14ac:dyDescent="0.25">
      <c r="C265">
        <v>261</v>
      </c>
      <c r="D265" s="16">
        <f>D264*(1+('PV IN'!$G$6/12))</f>
        <v>7.5999999999999998E-2</v>
      </c>
      <c r="E265" s="16">
        <f>LkUP!$U$42</f>
        <v>8.3285531604918986E-2</v>
      </c>
      <c r="F265" s="16">
        <f>IF('PV IN'!$D$7="Table",E265,D265)</f>
        <v>8.3285531604918986E-2</v>
      </c>
      <c r="G265" s="33">
        <f>('PV IN'!$E$25*'PV IN'!$E$18/12)*(1-(1-'PV IN'!$E$27)/(25*12))^C264</f>
        <v>128223.32359335369</v>
      </c>
      <c r="H265" s="33">
        <f>IF('PV IN'!$D$19="YES",G265*'PV IN'!$E$21,0)</f>
        <v>0</v>
      </c>
      <c r="I265" s="33">
        <f>IF('PV IN'!$D$19="YES",'PV IN'!$E$22*BattCalcs!W265,0)</f>
        <v>0</v>
      </c>
      <c r="J265" s="33">
        <f>IF('PV IN'!$D$19="YES",'PV IN'!$E$23*BattCalcs!Y265,0)</f>
        <v>0</v>
      </c>
      <c r="K265" s="33">
        <f>BattCalcs!AF265</f>
        <v>25811.765833333331</v>
      </c>
      <c r="L265" s="33">
        <f t="shared" si="79"/>
        <v>25811.765833333331</v>
      </c>
      <c r="M265" s="33">
        <f>IF('PV IN'!$F$4="PV Only",G265,G265-SUM(H265:J265,L265))</f>
        <v>128223.32359335369</v>
      </c>
      <c r="N265" s="2">
        <f>IF(C265&lt;='PV IN'!$I$12*12,'PV IN'!$E$12*G265/1000,0)</f>
        <v>0</v>
      </c>
      <c r="O265" s="2">
        <f>IF(AND(C265&gt;'PV IN'!$I$12*12,C265&lt;='PV IN'!$I$13*12+'PV IN'!$I$12*12),'PV IN'!$E$13*PVCalcs!G265/1000,0)</f>
        <v>0</v>
      </c>
      <c r="P265" s="2">
        <f>IF(AND(C265&gt;'PV IN'!$I$12*12+'PV IN'!$I$13*12,C265&lt;='PV IN'!$I$12*12+'PV IN'!$I$13*12+'PV IN'!$I$14*12),'PV IN'!$E$14*PVCalcs!G265/1000,0)</f>
        <v>0</v>
      </c>
      <c r="R265" s="10">
        <f>IF(AND('PV IN'!$D$35="YES",$C265&lt;='PV IN'!$E$35*12),-'PV IN'!$E$18*'PV IN'!$E$34/12,0)</f>
        <v>0</v>
      </c>
      <c r="S265" s="10">
        <f>IF(AND('PV IN'!$D$37="YES",$C265&lt;='PV IN'!$E$37*12),-'PV IN'!$E$18*'PV IN'!$E$36/12,0)</f>
        <v>0</v>
      </c>
      <c r="U265" s="2">
        <f t="shared" si="80"/>
        <v>10679.147669622012</v>
      </c>
      <c r="V265" s="10">
        <f>PVLoan!M292</f>
        <v>0</v>
      </c>
      <c r="W265" s="2">
        <f>IF(C265='PV IN'!$I$40,IF('PV IN'!$G$40="Non-Taxable",'PV IN'!$F$40,0),0)+IF(C265='PV IN'!$I$41,IF('PV IN'!$G$41="Non-Taxable",'PV IN'!$F$41,0),0)</f>
        <v>0</v>
      </c>
      <c r="X265" s="10"/>
      <c r="Y265" s="10">
        <f>IF('PV IN'!$E$15="Non-Taxable",SUM(N265:P265),0)</f>
        <v>0</v>
      </c>
      <c r="Z265" s="10">
        <f>IF('PV IN'!$E$15="Taxable",SUM(N265:P265),0)</f>
        <v>0</v>
      </c>
      <c r="AA265" s="2">
        <f>IF(C265='PV IN'!$I$40,IF('PV IN'!$G$40="Taxable",'PV IN'!$F$40,0),0)+IF(C265='PV IN'!$I$41,IF('PV IN'!$G$41="Taxable",'PV IN'!$F$41,0),0)</f>
        <v>0</v>
      </c>
      <c r="AD265" s="10">
        <f>IF('PV IN'!$D$48="YES",-U265*'PV IN'!$E$8,0)</f>
        <v>0</v>
      </c>
      <c r="AE265" s="10">
        <f>IF('PV IN'!$N$10="Yes",-PVLoan!H293,-PVLoan!L293)</f>
        <v>0</v>
      </c>
      <c r="AF265" s="10">
        <f>IF('PV IN'!$N$10="Yes",-PVLoan!F293,0)</f>
        <v>0</v>
      </c>
      <c r="AG265" s="10">
        <f>IF(AND('PV IN'!$D$35="YES",$C265&lt;='PV IN'!$E$35*12),0,-'PV IN'!$E$18*'PV IN'!$E$34/12)</f>
        <v>-750</v>
      </c>
      <c r="AH265" s="10">
        <f>IF(AND('PV IN'!$D$37="YES",$C265&lt;='PV IN'!$E$37*12),0,-'PV IN'!$E$18*'PV IN'!$E$36/12)</f>
        <v>-625</v>
      </c>
      <c r="AI265" s="2">
        <f>IF(AND('PV IN'!$D$33="YES",PVCalcs!C265=ROUNDUP('PV IN'!$H$33*12,)),-'PV IN'!$E$33*'PV IN'!$E$18,0)</f>
        <v>0</v>
      </c>
      <c r="AK265" s="2">
        <f t="shared" si="65"/>
        <v>10679.147669622012</v>
      </c>
      <c r="AL265" s="2">
        <f t="shared" si="66"/>
        <v>-1375</v>
      </c>
      <c r="AM265" s="2">
        <f t="shared" si="70"/>
        <v>9304.1476696220125</v>
      </c>
      <c r="AN265" s="43"/>
      <c r="AO265" s="2">
        <f t="shared" si="67"/>
        <v>0</v>
      </c>
      <c r="AP265" s="2">
        <f t="shared" si="71"/>
        <v>-1375</v>
      </c>
      <c r="AR265" s="2">
        <f t="shared" si="72"/>
        <v>-1375</v>
      </c>
      <c r="AS265" s="2">
        <f>-AR265*'PV IN'!$E$8</f>
        <v>288.75</v>
      </c>
      <c r="AT265" s="2">
        <f>IF('PV IN'!$F$4="Battery Only",0,AM265+AS265)</f>
        <v>9592.8976696220125</v>
      </c>
      <c r="AV265" s="10">
        <f t="shared" si="73"/>
        <v>1574285.7089561017</v>
      </c>
      <c r="AW265" s="2">
        <f>AT265/(1+('PV IN'!$G$9))^(C265)</f>
        <v>3319.5755484444508</v>
      </c>
      <c r="AX265" s="2" t="e">
        <f>IF(C265&lt;='PV IN'!$O$22*12,AW265+AX264,NA())</f>
        <v>#N/A</v>
      </c>
      <c r="AZ265" s="10">
        <f t="shared" si="68"/>
        <v>-1375</v>
      </c>
      <c r="BA265" s="10">
        <f t="shared" si="69"/>
        <v>0</v>
      </c>
      <c r="BB265" s="10">
        <f t="shared" si="74"/>
        <v>-1375</v>
      </c>
      <c r="BC265" s="10">
        <f t="shared" si="75"/>
        <v>0</v>
      </c>
      <c r="BD265" s="10">
        <f t="shared" si="76"/>
        <v>-1375</v>
      </c>
      <c r="BE265" s="2">
        <f t="shared" si="77"/>
        <v>0</v>
      </c>
      <c r="BF265" s="10">
        <f t="shared" si="78"/>
        <v>-1375</v>
      </c>
      <c r="BG265" s="2">
        <f>-BF265*'PV IN'!$E$8</f>
        <v>288.75</v>
      </c>
      <c r="BH265" s="2">
        <f>IF('PV IN'!$F$4="Battery Only",0,BB265+BG265)</f>
        <v>-1086.25</v>
      </c>
      <c r="BI265" s="2">
        <f>BH265/(1+('PV IN'!$G$9))^(C265)</f>
        <v>-375.8915255519313</v>
      </c>
    </row>
    <row r="266" spans="2:61" x14ac:dyDescent="0.25">
      <c r="C266">
        <v>262</v>
      </c>
      <c r="D266" s="16">
        <f>D265*(1+('PV IN'!$G$6/12))</f>
        <v>7.5999999999999998E-2</v>
      </c>
      <c r="E266" s="16">
        <f>LkUP!$U$42</f>
        <v>8.3285531604918986E-2</v>
      </c>
      <c r="F266" s="16">
        <f>IF('PV IN'!$D$7="Table",E266,D266)</f>
        <v>8.3285531604918986E-2</v>
      </c>
      <c r="G266" s="33">
        <f>('PV IN'!$E$25*'PV IN'!$E$18/12)*(1-(1-'PV IN'!$E$27)/(25*12))^C265</f>
        <v>128137.84137762476</v>
      </c>
      <c r="H266" s="33">
        <f>IF('PV IN'!$D$19="YES",G266*'PV IN'!$E$21,0)</f>
        <v>0</v>
      </c>
      <c r="I266" s="33">
        <f>IF('PV IN'!$D$19="YES",'PV IN'!$E$22*BattCalcs!W266,0)</f>
        <v>0</v>
      </c>
      <c r="J266" s="33">
        <f>IF('PV IN'!$D$19="YES",'PV IN'!$E$23*BattCalcs!Y266,0)</f>
        <v>0</v>
      </c>
      <c r="K266" s="33">
        <f>BattCalcs!AF266</f>
        <v>25811.765833333331</v>
      </c>
      <c r="L266" s="33">
        <f t="shared" si="79"/>
        <v>25811.765833333331</v>
      </c>
      <c r="M266" s="33">
        <f>IF('PV IN'!$F$4="PV Only",G266,G266-SUM(H266:J266,L266))</f>
        <v>128137.84137762476</v>
      </c>
      <c r="N266" s="2">
        <f>IF(C266&lt;='PV IN'!$I$12*12,'PV IN'!$E$12*G266/1000,0)</f>
        <v>0</v>
      </c>
      <c r="O266" s="2">
        <f>IF(AND(C266&gt;'PV IN'!$I$12*12,C266&lt;='PV IN'!$I$13*12+'PV IN'!$I$12*12),'PV IN'!$E$13*PVCalcs!G266/1000,0)</f>
        <v>0</v>
      </c>
      <c r="P266" s="2">
        <f>IF(AND(C266&gt;'PV IN'!$I$12*12+'PV IN'!$I$13*12,C266&lt;='PV IN'!$I$12*12+'PV IN'!$I$13*12+'PV IN'!$I$14*12),'PV IN'!$E$14*PVCalcs!G266/1000,0)</f>
        <v>0</v>
      </c>
      <c r="R266" s="10">
        <f>IF(AND('PV IN'!$D$35="YES",$C266&lt;='PV IN'!$E$35*12),-'PV IN'!$E$18*'PV IN'!$E$34/12,0)</f>
        <v>0</v>
      </c>
      <c r="S266" s="10">
        <f>IF(AND('PV IN'!$D$37="YES",$C266&lt;='PV IN'!$E$37*12),-'PV IN'!$E$18*'PV IN'!$E$36/12,0)</f>
        <v>0</v>
      </c>
      <c r="U266" s="2">
        <f t="shared" si="80"/>
        <v>10672.028237842263</v>
      </c>
      <c r="V266" s="10">
        <f>PVLoan!M293</f>
        <v>0</v>
      </c>
      <c r="W266" s="2">
        <f>IF(C266='PV IN'!$I$40,IF('PV IN'!$G$40="Non-Taxable",'PV IN'!$F$40,0),0)+IF(C266='PV IN'!$I$41,IF('PV IN'!$G$41="Non-Taxable",'PV IN'!$F$41,0),0)</f>
        <v>0</v>
      </c>
      <c r="X266" s="10"/>
      <c r="Y266" s="10">
        <f>IF('PV IN'!$E$15="Non-Taxable",SUM(N266:P266),0)</f>
        <v>0</v>
      </c>
      <c r="Z266" s="10">
        <f>IF('PV IN'!$E$15="Taxable",SUM(N266:P266),0)</f>
        <v>0</v>
      </c>
      <c r="AA266" s="2">
        <f>IF(C266='PV IN'!$I$40,IF('PV IN'!$G$40="Taxable",'PV IN'!$F$40,0),0)+IF(C266='PV IN'!$I$41,IF('PV IN'!$G$41="Taxable",'PV IN'!$F$41,0),0)</f>
        <v>0</v>
      </c>
      <c r="AD266" s="10">
        <f>IF('PV IN'!$D$48="YES",-U266*'PV IN'!$E$8,0)</f>
        <v>0</v>
      </c>
      <c r="AE266" s="10">
        <f>IF('PV IN'!$N$10="Yes",-PVLoan!H294,-PVLoan!L294)</f>
        <v>0</v>
      </c>
      <c r="AF266" s="10">
        <f>IF('PV IN'!$N$10="Yes",-PVLoan!F294,0)</f>
        <v>0</v>
      </c>
      <c r="AG266" s="10">
        <f>IF(AND('PV IN'!$D$35="YES",$C266&lt;='PV IN'!$E$35*12),0,-'PV IN'!$E$18*'PV IN'!$E$34/12)</f>
        <v>-750</v>
      </c>
      <c r="AH266" s="10">
        <f>IF(AND('PV IN'!$D$37="YES",$C266&lt;='PV IN'!$E$37*12),0,-'PV IN'!$E$18*'PV IN'!$E$36/12)</f>
        <v>-625</v>
      </c>
      <c r="AI266" s="2">
        <f>IF(AND('PV IN'!$D$33="YES",PVCalcs!C266=ROUNDUP('PV IN'!$H$33*12,)),-'PV IN'!$E$33*'PV IN'!$E$18,0)</f>
        <v>0</v>
      </c>
      <c r="AK266" s="2">
        <f t="shared" si="65"/>
        <v>10672.028237842263</v>
      </c>
      <c r="AL266" s="2">
        <f t="shared" si="66"/>
        <v>-1375</v>
      </c>
      <c r="AM266" s="2">
        <f t="shared" si="70"/>
        <v>9297.0282378422635</v>
      </c>
      <c r="AN266" s="43"/>
      <c r="AO266" s="2">
        <f t="shared" si="67"/>
        <v>0</v>
      </c>
      <c r="AP266" s="2">
        <f t="shared" si="71"/>
        <v>-1375</v>
      </c>
      <c r="AR266" s="2">
        <f t="shared" si="72"/>
        <v>-1375</v>
      </c>
      <c r="AS266" s="2">
        <f>-AR266*'PV IN'!$E$8</f>
        <v>288.75</v>
      </c>
      <c r="AT266" s="2">
        <f>IF('PV IN'!$F$4="Battery Only",0,AM266+AS266)</f>
        <v>9585.7782378422635</v>
      </c>
      <c r="AV266" s="10">
        <f t="shared" si="73"/>
        <v>1583871.4871939439</v>
      </c>
      <c r="AW266" s="2">
        <f>AT266/(1+('PV IN'!$G$9))^(C266)</f>
        <v>3303.6524148521962</v>
      </c>
      <c r="AX266" s="2" t="e">
        <f>IF(C266&lt;='PV IN'!$O$22*12,AW266+AX265,NA())</f>
        <v>#N/A</v>
      </c>
      <c r="AZ266" s="10">
        <f t="shared" si="68"/>
        <v>-1375</v>
      </c>
      <c r="BA266" s="10">
        <f t="shared" si="69"/>
        <v>0</v>
      </c>
      <c r="BB266" s="10">
        <f t="shared" si="74"/>
        <v>-1375</v>
      </c>
      <c r="BC266" s="10">
        <f t="shared" si="75"/>
        <v>0</v>
      </c>
      <c r="BD266" s="10">
        <f t="shared" si="76"/>
        <v>-1375</v>
      </c>
      <c r="BE266" s="2">
        <f t="shared" si="77"/>
        <v>0</v>
      </c>
      <c r="BF266" s="10">
        <f t="shared" si="78"/>
        <v>-1375</v>
      </c>
      <c r="BG266" s="2">
        <f>-BF266*'PV IN'!$E$8</f>
        <v>288.75</v>
      </c>
      <c r="BH266" s="2">
        <f>IF('PV IN'!$F$4="Battery Only",0,BB266+BG266)</f>
        <v>-1086.25</v>
      </c>
      <c r="BI266" s="2">
        <f>BH266/(1+('PV IN'!$G$9))^(C266)</f>
        <v>-374.36631086105552</v>
      </c>
    </row>
    <row r="267" spans="2:61" x14ac:dyDescent="0.25">
      <c r="C267">
        <v>263</v>
      </c>
      <c r="D267" s="16">
        <f>D266*(1+('PV IN'!$G$6/12))</f>
        <v>7.5999999999999998E-2</v>
      </c>
      <c r="E267" s="16">
        <f>LkUP!$U$42</f>
        <v>8.3285531604918986E-2</v>
      </c>
      <c r="F267" s="16">
        <f>IF('PV IN'!$D$7="Table",E267,D267)</f>
        <v>8.3285531604918986E-2</v>
      </c>
      <c r="G267" s="33">
        <f>('PV IN'!$E$25*'PV IN'!$E$18/12)*(1-(1-'PV IN'!$E$27)/(25*12))^C266</f>
        <v>128052.41615003969</v>
      </c>
      <c r="H267" s="33">
        <f>IF('PV IN'!$D$19="YES",G267*'PV IN'!$E$21,0)</f>
        <v>0</v>
      </c>
      <c r="I267" s="33">
        <f>IF('PV IN'!$D$19="YES",'PV IN'!$E$22*BattCalcs!W267,0)</f>
        <v>0</v>
      </c>
      <c r="J267" s="33">
        <f>IF('PV IN'!$D$19="YES",'PV IN'!$E$23*BattCalcs!Y267,0)</f>
        <v>0</v>
      </c>
      <c r="K267" s="33">
        <f>BattCalcs!AF267</f>
        <v>25811.765833333331</v>
      </c>
      <c r="L267" s="33">
        <f t="shared" si="79"/>
        <v>25811.765833333331</v>
      </c>
      <c r="M267" s="33">
        <f>IF('PV IN'!$F$4="PV Only",G267,G267-SUM(H267:J267,L267))</f>
        <v>128052.41615003969</v>
      </c>
      <c r="N267" s="2">
        <f>IF(C267&lt;='PV IN'!$I$12*12,'PV IN'!$E$12*G267/1000,0)</f>
        <v>0</v>
      </c>
      <c r="O267" s="2">
        <f>IF(AND(C267&gt;'PV IN'!$I$12*12,C267&lt;='PV IN'!$I$13*12+'PV IN'!$I$12*12),'PV IN'!$E$13*PVCalcs!G267/1000,0)</f>
        <v>0</v>
      </c>
      <c r="P267" s="2">
        <f>IF(AND(C267&gt;'PV IN'!$I$12*12+'PV IN'!$I$13*12,C267&lt;='PV IN'!$I$12*12+'PV IN'!$I$13*12+'PV IN'!$I$14*12),'PV IN'!$E$14*PVCalcs!G267/1000,0)</f>
        <v>0</v>
      </c>
      <c r="R267" s="10">
        <f>IF(AND('PV IN'!$D$35="YES",$C267&lt;='PV IN'!$E$35*12),-'PV IN'!$E$18*'PV IN'!$E$34/12,0)</f>
        <v>0</v>
      </c>
      <c r="S267" s="10">
        <f>IF(AND('PV IN'!$D$37="YES",$C267&lt;='PV IN'!$E$37*12),-'PV IN'!$E$18*'PV IN'!$E$36/12,0)</f>
        <v>0</v>
      </c>
      <c r="U267" s="2">
        <f t="shared" si="80"/>
        <v>10664.913552350368</v>
      </c>
      <c r="V267" s="10">
        <f>PVLoan!M294</f>
        <v>0</v>
      </c>
      <c r="W267" s="2">
        <f>IF(C267='PV IN'!$I$40,IF('PV IN'!$G$40="Non-Taxable",'PV IN'!$F$40,0),0)+IF(C267='PV IN'!$I$41,IF('PV IN'!$G$41="Non-Taxable",'PV IN'!$F$41,0),0)</f>
        <v>0</v>
      </c>
      <c r="X267" s="10"/>
      <c r="Y267" s="10">
        <f>IF('PV IN'!$E$15="Non-Taxable",SUM(N267:P267),0)</f>
        <v>0</v>
      </c>
      <c r="Z267" s="10">
        <f>IF('PV IN'!$E$15="Taxable",SUM(N267:P267),0)</f>
        <v>0</v>
      </c>
      <c r="AA267" s="2">
        <f>IF(C267='PV IN'!$I$40,IF('PV IN'!$G$40="Taxable",'PV IN'!$F$40,0),0)+IF(C267='PV IN'!$I$41,IF('PV IN'!$G$41="Taxable",'PV IN'!$F$41,0),0)</f>
        <v>0</v>
      </c>
      <c r="AD267" s="10">
        <f>IF('PV IN'!$D$48="YES",-U267*'PV IN'!$E$8,0)</f>
        <v>0</v>
      </c>
      <c r="AE267" s="10">
        <f>IF('PV IN'!$N$10="Yes",-PVLoan!H295,-PVLoan!L295)</f>
        <v>0</v>
      </c>
      <c r="AF267" s="10">
        <f>IF('PV IN'!$N$10="Yes",-PVLoan!F295,0)</f>
        <v>0</v>
      </c>
      <c r="AG267" s="10">
        <f>IF(AND('PV IN'!$D$35="YES",$C267&lt;='PV IN'!$E$35*12),0,-'PV IN'!$E$18*'PV IN'!$E$34/12)</f>
        <v>-750</v>
      </c>
      <c r="AH267" s="10">
        <f>IF(AND('PV IN'!$D$37="YES",$C267&lt;='PV IN'!$E$37*12),0,-'PV IN'!$E$18*'PV IN'!$E$36/12)</f>
        <v>-625</v>
      </c>
      <c r="AI267" s="2">
        <f>IF(AND('PV IN'!$D$33="YES",PVCalcs!C267=ROUNDUP('PV IN'!$H$33*12,)),-'PV IN'!$E$33*'PV IN'!$E$18,0)</f>
        <v>0</v>
      </c>
      <c r="AK267" s="2">
        <f t="shared" si="65"/>
        <v>10664.913552350368</v>
      </c>
      <c r="AL267" s="2">
        <f t="shared" si="66"/>
        <v>-1375</v>
      </c>
      <c r="AM267" s="2">
        <f t="shared" si="70"/>
        <v>9289.9135523503683</v>
      </c>
      <c r="AN267" s="43"/>
      <c r="AO267" s="2">
        <f t="shared" si="67"/>
        <v>0</v>
      </c>
      <c r="AP267" s="2">
        <f t="shared" si="71"/>
        <v>-1375</v>
      </c>
      <c r="AR267" s="2">
        <f t="shared" si="72"/>
        <v>-1375</v>
      </c>
      <c r="AS267" s="2">
        <f>-AR267*'PV IN'!$E$8</f>
        <v>288.75</v>
      </c>
      <c r="AT267" s="2">
        <f>IF('PV IN'!$F$4="Battery Only",0,AM267+AS267)</f>
        <v>9578.6635523503683</v>
      </c>
      <c r="AV267" s="10">
        <f t="shared" si="73"/>
        <v>1593450.1507462943</v>
      </c>
      <c r="AW267" s="2">
        <f>AT267/(1+('PV IN'!$G$9))^(C267)</f>
        <v>3287.8054758830826</v>
      </c>
      <c r="AX267" s="2" t="e">
        <f>IF(C267&lt;='PV IN'!$O$22*12,AW267+AX266,NA())</f>
        <v>#N/A</v>
      </c>
      <c r="AZ267" s="10">
        <f t="shared" si="68"/>
        <v>-1375</v>
      </c>
      <c r="BA267" s="10">
        <f t="shared" si="69"/>
        <v>0</v>
      </c>
      <c r="BB267" s="10">
        <f t="shared" si="74"/>
        <v>-1375</v>
      </c>
      <c r="BC267" s="10">
        <f t="shared" si="75"/>
        <v>0</v>
      </c>
      <c r="BD267" s="10">
        <f t="shared" si="76"/>
        <v>-1375</v>
      </c>
      <c r="BE267" s="2">
        <f t="shared" si="77"/>
        <v>0</v>
      </c>
      <c r="BF267" s="10">
        <f t="shared" si="78"/>
        <v>-1375</v>
      </c>
      <c r="BG267" s="2">
        <f>-BF267*'PV IN'!$E$8</f>
        <v>288.75</v>
      </c>
      <c r="BH267" s="2">
        <f>IF('PV IN'!$F$4="Battery Only",0,BB267+BG267)</f>
        <v>-1086.25</v>
      </c>
      <c r="BI267" s="2">
        <f>BH267/(1+('PV IN'!$G$9))^(C267)</f>
        <v>-372.84728487009761</v>
      </c>
    </row>
    <row r="268" spans="2:61" x14ac:dyDescent="0.25">
      <c r="B268">
        <v>22</v>
      </c>
      <c r="C268">
        <v>264</v>
      </c>
      <c r="D268" s="16">
        <f>D267*(1+('PV IN'!$G$6/12))</f>
        <v>7.5999999999999998E-2</v>
      </c>
      <c r="E268" s="16">
        <f>LkUP!$U$42</f>
        <v>8.3285531604918986E-2</v>
      </c>
      <c r="F268" s="16">
        <f>IF('PV IN'!$D$7="Table",E268,D268)</f>
        <v>8.3285531604918986E-2</v>
      </c>
      <c r="G268" s="33">
        <f>('PV IN'!$E$25*'PV IN'!$E$18/12)*(1-(1-'PV IN'!$E$27)/(25*12))^C267</f>
        <v>127967.04787260633</v>
      </c>
      <c r="H268" s="33">
        <f>IF('PV IN'!$D$19="YES",G268*'PV IN'!$E$21,0)</f>
        <v>0</v>
      </c>
      <c r="I268" s="33">
        <f>IF('PV IN'!$D$19="YES",'PV IN'!$E$22*BattCalcs!W268,0)</f>
        <v>0</v>
      </c>
      <c r="J268" s="33">
        <f>IF('PV IN'!$D$19="YES",'PV IN'!$E$23*BattCalcs!Y268,0)</f>
        <v>0</v>
      </c>
      <c r="K268" s="33">
        <f>BattCalcs!AF268</f>
        <v>25811.765833333331</v>
      </c>
      <c r="L268" s="33">
        <f t="shared" si="79"/>
        <v>25811.765833333331</v>
      </c>
      <c r="M268" s="33">
        <f>IF('PV IN'!$F$4="PV Only",G268,G268-SUM(H268:J268,L268))</f>
        <v>127967.04787260633</v>
      </c>
      <c r="N268" s="2">
        <f>IF(C268&lt;='PV IN'!$I$12*12,'PV IN'!$E$12*G268/1000,0)</f>
        <v>0</v>
      </c>
      <c r="O268" s="2">
        <f>IF(AND(C268&gt;'PV IN'!$I$12*12,C268&lt;='PV IN'!$I$13*12+'PV IN'!$I$12*12),'PV IN'!$E$13*PVCalcs!G268/1000,0)</f>
        <v>0</v>
      </c>
      <c r="P268" s="2">
        <f>IF(AND(C268&gt;'PV IN'!$I$12*12+'PV IN'!$I$13*12,C268&lt;='PV IN'!$I$12*12+'PV IN'!$I$13*12+'PV IN'!$I$14*12),'PV IN'!$E$14*PVCalcs!G268/1000,0)</f>
        <v>0</v>
      </c>
      <c r="R268" s="10">
        <f>IF(AND('PV IN'!$D$35="YES",$C268&lt;='PV IN'!$E$35*12),-'PV IN'!$E$18*'PV IN'!$E$34/12,0)</f>
        <v>0</v>
      </c>
      <c r="S268" s="10">
        <f>IF(AND('PV IN'!$D$37="YES",$C268&lt;='PV IN'!$E$37*12),-'PV IN'!$E$18*'PV IN'!$E$36/12,0)</f>
        <v>0</v>
      </c>
      <c r="U268" s="2">
        <f t="shared" si="80"/>
        <v>10657.803609982135</v>
      </c>
      <c r="V268" s="10">
        <f>PVLoan!M295</f>
        <v>0</v>
      </c>
      <c r="W268" s="2">
        <f>IF(C268='PV IN'!$I$40,IF('PV IN'!$G$40="Non-Taxable",'PV IN'!$F$40,0),0)+IF(C268='PV IN'!$I$41,IF('PV IN'!$G$41="Non-Taxable",'PV IN'!$F$41,0),0)</f>
        <v>0</v>
      </c>
      <c r="X268" s="10"/>
      <c r="Y268" s="10">
        <f>IF('PV IN'!$E$15="Non-Taxable",SUM(N268:P268),0)</f>
        <v>0</v>
      </c>
      <c r="Z268" s="10">
        <f>IF('PV IN'!$E$15="Taxable",SUM(N268:P268),0)</f>
        <v>0</v>
      </c>
      <c r="AA268" s="2">
        <f>IF(C268='PV IN'!$I$40,IF('PV IN'!$G$40="Taxable",'PV IN'!$F$40,0),0)+IF(C268='PV IN'!$I$41,IF('PV IN'!$G$41="Taxable",'PV IN'!$F$41,0),0)</f>
        <v>0</v>
      </c>
      <c r="AD268" s="10">
        <f>IF('PV IN'!$D$48="YES",-U268*'PV IN'!$E$8,0)</f>
        <v>0</v>
      </c>
      <c r="AE268" s="10">
        <f>IF('PV IN'!$N$10="Yes",-PVLoan!H296,-PVLoan!L296)</f>
        <v>0</v>
      </c>
      <c r="AF268" s="10">
        <f>IF('PV IN'!$N$10="Yes",-PVLoan!F296,0)</f>
        <v>0</v>
      </c>
      <c r="AG268" s="10">
        <f>IF(AND('PV IN'!$D$35="YES",$C268&lt;='PV IN'!$E$35*12),0,-'PV IN'!$E$18*'PV IN'!$E$34/12)</f>
        <v>-750</v>
      </c>
      <c r="AH268" s="10">
        <f>IF(AND('PV IN'!$D$37="YES",$C268&lt;='PV IN'!$E$37*12),0,-'PV IN'!$E$18*'PV IN'!$E$36/12)</f>
        <v>-625</v>
      </c>
      <c r="AI268" s="2">
        <f>IF(AND('PV IN'!$D$33="YES",PVCalcs!C268=ROUNDUP('PV IN'!$H$33*12,)),-'PV IN'!$E$33*'PV IN'!$E$18,0)</f>
        <v>0</v>
      </c>
      <c r="AK268" s="2">
        <f t="shared" si="65"/>
        <v>10657.803609982135</v>
      </c>
      <c r="AL268" s="2">
        <f t="shared" si="66"/>
        <v>-1375</v>
      </c>
      <c r="AM268" s="2">
        <f t="shared" si="70"/>
        <v>9282.8036099821347</v>
      </c>
      <c r="AN268" s="43"/>
      <c r="AO268" s="2">
        <f t="shared" si="67"/>
        <v>0</v>
      </c>
      <c r="AP268" s="2">
        <f t="shared" si="71"/>
        <v>-1375</v>
      </c>
      <c r="AR268" s="2">
        <f t="shared" si="72"/>
        <v>-1375</v>
      </c>
      <c r="AS268" s="2">
        <f>-AR268*'PV IN'!$E$8</f>
        <v>288.75</v>
      </c>
      <c r="AT268" s="2">
        <f>IF('PV IN'!$F$4="Battery Only",0,AM268+AS268)</f>
        <v>9571.5536099821347</v>
      </c>
      <c r="AV268" s="10">
        <f t="shared" si="73"/>
        <v>1603021.7043562764</v>
      </c>
      <c r="AW268" s="2">
        <f>AT268/(1+('PV IN'!$G$9))^(C268)</f>
        <v>3272.0343676710036</v>
      </c>
      <c r="AX268" s="2" t="e">
        <f>IF(C268&lt;='PV IN'!$O$22*12,AW268+AX267,NA())</f>
        <v>#N/A</v>
      </c>
      <c r="AZ268" s="10">
        <f t="shared" si="68"/>
        <v>-1375</v>
      </c>
      <c r="BA268" s="10">
        <f>AK268-U268</f>
        <v>0</v>
      </c>
      <c r="BB268" s="10">
        <f>AZ268+BA268</f>
        <v>-1375</v>
      </c>
      <c r="BC268" s="10">
        <f t="shared" si="75"/>
        <v>0</v>
      </c>
      <c r="BD268" s="10">
        <f t="shared" si="76"/>
        <v>-1375</v>
      </c>
      <c r="BE268" s="2">
        <f t="shared" si="77"/>
        <v>0</v>
      </c>
      <c r="BF268" s="10">
        <f t="shared" si="78"/>
        <v>-1375</v>
      </c>
      <c r="BG268" s="2">
        <f>-BF268*'PV IN'!$E$8</f>
        <v>288.75</v>
      </c>
      <c r="BH268" s="2">
        <f>IF('PV IN'!$F$4="Battery Only",0,BB268+BG268)</f>
        <v>-1086.25</v>
      </c>
      <c r="BI268" s="2">
        <f>BH268/(1+('PV IN'!$G$9))^(C268)</f>
        <v>-371.33442246783403</v>
      </c>
    </row>
    <row r="269" spans="2:61" x14ac:dyDescent="0.25">
      <c r="C269">
        <v>265</v>
      </c>
      <c r="D269" s="16">
        <f>D268*(1+('PV IN'!$G$6/12))</f>
        <v>7.5999999999999998E-2</v>
      </c>
      <c r="E269" s="16">
        <f>LkUP!$U$43</f>
        <v>8.3169508674233894E-2</v>
      </c>
      <c r="F269" s="16">
        <f>IF('PV IN'!$D$7="Table",E269,D269)</f>
        <v>8.3169508674233894E-2</v>
      </c>
      <c r="G269" s="33">
        <f>('PV IN'!$E$25*'PV IN'!$E$18/12)*(1-(1-'PV IN'!$E$27)/(25*12))^C268</f>
        <v>127881.73650735791</v>
      </c>
      <c r="H269" s="33">
        <f>IF('PV IN'!$D$19="YES",G269*'PV IN'!$E$21,0)</f>
        <v>0</v>
      </c>
      <c r="I269" s="33">
        <f>IF('PV IN'!$D$19="YES",'PV IN'!$E$22*BattCalcs!W269,0)</f>
        <v>0</v>
      </c>
      <c r="J269" s="33">
        <f>IF('PV IN'!$D$19="YES",'PV IN'!$E$23*BattCalcs!Y269,0)</f>
        <v>0</v>
      </c>
      <c r="K269" s="33">
        <f>BattCalcs!AF269</f>
        <v>25811.765833333331</v>
      </c>
      <c r="L269" s="33">
        <f t="shared" si="79"/>
        <v>25811.765833333331</v>
      </c>
      <c r="M269" s="33">
        <f>IF('PV IN'!$F$4="PV Only",G269,G269-SUM(H269:J269,L269))</f>
        <v>127881.73650735791</v>
      </c>
      <c r="N269" s="2">
        <f>IF(C269&lt;='PV IN'!$I$12*12,'PV IN'!$E$12*G269/1000,0)</f>
        <v>0</v>
      </c>
      <c r="O269" s="2">
        <f>IF(AND(C269&gt;'PV IN'!$I$12*12,C269&lt;='PV IN'!$I$13*12+'PV IN'!$I$12*12),'PV IN'!$E$13*PVCalcs!G269/1000,0)</f>
        <v>0</v>
      </c>
      <c r="P269" s="2">
        <f>IF(AND(C269&gt;'PV IN'!$I$12*12+'PV IN'!$I$13*12,C269&lt;='PV IN'!$I$12*12+'PV IN'!$I$13*12+'PV IN'!$I$14*12),'PV IN'!$E$14*PVCalcs!G269/1000,0)</f>
        <v>0</v>
      </c>
      <c r="R269" s="10">
        <f>IF(AND('PV IN'!$D$35="YES",$C269&lt;='PV IN'!$E$35*12),-'PV IN'!$E$18*'PV IN'!$E$34/12,0)</f>
        <v>0</v>
      </c>
      <c r="S269" s="10">
        <f>IF(AND('PV IN'!$D$37="YES",$C269&lt;='PV IN'!$E$37*12),-'PV IN'!$E$18*'PV IN'!$E$36/12,0)</f>
        <v>0</v>
      </c>
      <c r="U269" s="2">
        <f t="shared" si="80"/>
        <v>10635.861193724797</v>
      </c>
      <c r="V269" s="10">
        <f>PVLoan!M296</f>
        <v>0</v>
      </c>
      <c r="W269" s="2">
        <f>IF(C269='PV IN'!$I$40,IF('PV IN'!$G$40="Non-Taxable",'PV IN'!$F$40,0),0)+IF(C269='PV IN'!$I$41,IF('PV IN'!$G$41="Non-Taxable",'PV IN'!$F$41,0),0)</f>
        <v>0</v>
      </c>
      <c r="X269" s="10"/>
      <c r="Y269" s="10">
        <f>IF('PV IN'!$E$15="Non-Taxable",SUM(N269:P269),0)</f>
        <v>0</v>
      </c>
      <c r="Z269" s="10">
        <f>IF('PV IN'!$E$15="Taxable",SUM(N269:P269),0)</f>
        <v>0</v>
      </c>
      <c r="AA269" s="2">
        <f>IF(C269='PV IN'!$I$40,IF('PV IN'!$G$40="Taxable",'PV IN'!$F$40,0),0)+IF(C269='PV IN'!$I$41,IF('PV IN'!$G$41="Taxable",'PV IN'!$F$41,0),0)</f>
        <v>0</v>
      </c>
      <c r="AD269" s="10">
        <f>IF('PV IN'!$D$48="YES",-U269*'PV IN'!$E$8,0)</f>
        <v>0</v>
      </c>
      <c r="AE269" s="10">
        <f>IF('PV IN'!$N$10="Yes",-PVLoan!H297,-PVLoan!L297)</f>
        <v>0</v>
      </c>
      <c r="AF269" s="10">
        <f>IF('PV IN'!$N$10="Yes",-PVLoan!F297,0)</f>
        <v>0</v>
      </c>
      <c r="AG269" s="10">
        <f>IF(AND('PV IN'!$D$35="YES",$C269&lt;='PV IN'!$E$35*12),0,-'PV IN'!$E$18*'PV IN'!$E$34/12)</f>
        <v>-750</v>
      </c>
      <c r="AH269" s="10">
        <f>IF(AND('PV IN'!$D$37="YES",$C269&lt;='PV IN'!$E$37*12),0,-'PV IN'!$E$18*'PV IN'!$E$36/12)</f>
        <v>-625</v>
      </c>
      <c r="AI269" s="2">
        <f>IF(AND('PV IN'!$D$33="YES",PVCalcs!C269=ROUNDUP('PV IN'!$H$33*12,)),-'PV IN'!$E$33*'PV IN'!$E$18,0)</f>
        <v>0</v>
      </c>
      <c r="AK269" s="2">
        <f t="shared" si="65"/>
        <v>10635.861193724797</v>
      </c>
      <c r="AL269" s="2">
        <f t="shared" si="66"/>
        <v>-1375</v>
      </c>
      <c r="AM269" s="2">
        <f t="shared" si="70"/>
        <v>9260.861193724797</v>
      </c>
      <c r="AN269" s="43"/>
      <c r="AO269" s="2">
        <f t="shared" si="67"/>
        <v>0</v>
      </c>
      <c r="AP269" s="2">
        <f t="shared" si="71"/>
        <v>-1375</v>
      </c>
      <c r="AR269" s="2">
        <f t="shared" si="72"/>
        <v>-1375</v>
      </c>
      <c r="AS269" s="2">
        <f>-AR269*'PV IN'!$E$8</f>
        <v>288.75</v>
      </c>
      <c r="AT269" s="2">
        <f>IF('PV IN'!$F$4="Battery Only",0,AM269+AS269)</f>
        <v>9549.611193724797</v>
      </c>
      <c r="AV269" s="10">
        <f t="shared" si="73"/>
        <v>1612571.3155500013</v>
      </c>
      <c r="AW269" s="2">
        <f>AT269/(1+('PV IN'!$G$9))^(C269)</f>
        <v>3251.2872089566217</v>
      </c>
      <c r="AX269" s="2" t="e">
        <f>IF(C269&lt;='PV IN'!$O$22*12,AW269+AX268,NA())</f>
        <v>#N/A</v>
      </c>
      <c r="AZ269" s="10">
        <f t="shared" si="68"/>
        <v>-1375</v>
      </c>
      <c r="BA269" s="10">
        <f t="shared" si="69"/>
        <v>0</v>
      </c>
      <c r="BB269" s="10">
        <f t="shared" si="74"/>
        <v>-1375</v>
      </c>
      <c r="BC269" s="10">
        <f t="shared" si="75"/>
        <v>0</v>
      </c>
      <c r="BD269" s="10">
        <f t="shared" si="76"/>
        <v>-1375</v>
      </c>
      <c r="BE269" s="2">
        <f t="shared" si="77"/>
        <v>0</v>
      </c>
      <c r="BF269" s="10">
        <f t="shared" si="78"/>
        <v>-1375</v>
      </c>
      <c r="BG269" s="2">
        <f>-BF269*'PV IN'!$E$8</f>
        <v>288.75</v>
      </c>
      <c r="BH269" s="2">
        <f>IF('PV IN'!$F$4="Battery Only",0,BB269+BG269)</f>
        <v>-1086.25</v>
      </c>
      <c r="BI269" s="2">
        <f>BH269/(1+('PV IN'!$G$9))^(C269)</f>
        <v>-369.8276986449327</v>
      </c>
    </row>
    <row r="270" spans="2:61" x14ac:dyDescent="0.25">
      <c r="C270">
        <v>266</v>
      </c>
      <c r="D270" s="16">
        <f>D269*(1+('PV IN'!$G$6/12))</f>
        <v>7.5999999999999998E-2</v>
      </c>
      <c r="E270" s="16">
        <f>LkUP!$U$43</f>
        <v>8.3169508674233894E-2</v>
      </c>
      <c r="F270" s="16">
        <f>IF('PV IN'!$D$7="Table",E270,D270)</f>
        <v>8.3169508674233894E-2</v>
      </c>
      <c r="G270" s="33">
        <f>('PV IN'!$E$25*'PV IN'!$E$18/12)*(1-(1-'PV IN'!$E$27)/(25*12))^C269</f>
        <v>127796.48201635302</v>
      </c>
      <c r="H270" s="33">
        <f>IF('PV IN'!$D$19="YES",G270*'PV IN'!$E$21,0)</f>
        <v>0</v>
      </c>
      <c r="I270" s="33">
        <f>IF('PV IN'!$D$19="YES",'PV IN'!$E$22*BattCalcs!W270,0)</f>
        <v>0</v>
      </c>
      <c r="J270" s="33">
        <f>IF('PV IN'!$D$19="YES",'PV IN'!$E$23*BattCalcs!Y270,0)</f>
        <v>0</v>
      </c>
      <c r="K270" s="33">
        <f>BattCalcs!AF270</f>
        <v>25811.765833333331</v>
      </c>
      <c r="L270" s="33">
        <f t="shared" si="79"/>
        <v>25811.765833333331</v>
      </c>
      <c r="M270" s="33">
        <f>IF('PV IN'!$F$4="PV Only",G270,G270-SUM(H270:J270,L270))</f>
        <v>127796.48201635302</v>
      </c>
      <c r="N270" s="2">
        <f>IF(C270&lt;='PV IN'!$I$12*12,'PV IN'!$E$12*G270/1000,0)</f>
        <v>0</v>
      </c>
      <c r="O270" s="2">
        <f>IF(AND(C270&gt;'PV IN'!$I$12*12,C270&lt;='PV IN'!$I$13*12+'PV IN'!$I$12*12),'PV IN'!$E$13*PVCalcs!G270/1000,0)</f>
        <v>0</v>
      </c>
      <c r="P270" s="2">
        <f>IF(AND(C270&gt;'PV IN'!$I$12*12+'PV IN'!$I$13*12,C270&lt;='PV IN'!$I$12*12+'PV IN'!$I$13*12+'PV IN'!$I$14*12),'PV IN'!$E$14*PVCalcs!G270/1000,0)</f>
        <v>0</v>
      </c>
      <c r="R270" s="10">
        <f>IF(AND('PV IN'!$D$35="YES",$C270&lt;='PV IN'!$E$35*12),-'PV IN'!$E$18*'PV IN'!$E$34/12,0)</f>
        <v>0</v>
      </c>
      <c r="S270" s="10">
        <f>IF(AND('PV IN'!$D$37="YES",$C270&lt;='PV IN'!$E$37*12),-'PV IN'!$E$18*'PV IN'!$E$36/12,0)</f>
        <v>0</v>
      </c>
      <c r="U270" s="2">
        <f t="shared" si="80"/>
        <v>10628.770619595649</v>
      </c>
      <c r="V270" s="10">
        <f>PVLoan!M297</f>
        <v>0</v>
      </c>
      <c r="W270" s="2">
        <f>IF(C270='PV IN'!$I$40,IF('PV IN'!$G$40="Non-Taxable",'PV IN'!$F$40,0),0)+IF(C270='PV IN'!$I$41,IF('PV IN'!$G$41="Non-Taxable",'PV IN'!$F$41,0),0)</f>
        <v>0</v>
      </c>
      <c r="X270" s="10"/>
      <c r="Y270" s="10">
        <f>IF('PV IN'!$E$15="Non-Taxable",SUM(N270:P270),0)</f>
        <v>0</v>
      </c>
      <c r="Z270" s="10">
        <f>IF('PV IN'!$E$15="Taxable",SUM(N270:P270),0)</f>
        <v>0</v>
      </c>
      <c r="AA270" s="2">
        <f>IF(C270='PV IN'!$I$40,IF('PV IN'!$G$40="Taxable",'PV IN'!$F$40,0),0)+IF(C270='PV IN'!$I$41,IF('PV IN'!$G$41="Taxable",'PV IN'!$F$41,0),0)</f>
        <v>0</v>
      </c>
      <c r="AD270" s="10">
        <f>IF('PV IN'!$D$48="YES",-U270*'PV IN'!$E$8,0)</f>
        <v>0</v>
      </c>
      <c r="AE270" s="10">
        <f>IF('PV IN'!$N$10="Yes",-PVLoan!H298,-PVLoan!L298)</f>
        <v>0</v>
      </c>
      <c r="AF270" s="10">
        <f>IF('PV IN'!$N$10="Yes",-PVLoan!F298,0)</f>
        <v>0</v>
      </c>
      <c r="AG270" s="10">
        <f>IF(AND('PV IN'!$D$35="YES",$C270&lt;='PV IN'!$E$35*12),0,-'PV IN'!$E$18*'PV IN'!$E$34/12)</f>
        <v>-750</v>
      </c>
      <c r="AH270" s="10">
        <f>IF(AND('PV IN'!$D$37="YES",$C270&lt;='PV IN'!$E$37*12),0,-'PV IN'!$E$18*'PV IN'!$E$36/12)</f>
        <v>-625</v>
      </c>
      <c r="AI270" s="2">
        <f>IF(AND('PV IN'!$D$33="YES",PVCalcs!C270=ROUNDUP('PV IN'!$H$33*12,)),-'PV IN'!$E$33*'PV IN'!$E$18,0)</f>
        <v>0</v>
      </c>
      <c r="AK270" s="2">
        <f t="shared" si="65"/>
        <v>10628.770619595649</v>
      </c>
      <c r="AL270" s="2">
        <f t="shared" si="66"/>
        <v>-1375</v>
      </c>
      <c r="AM270" s="2">
        <f t="shared" si="70"/>
        <v>9253.7706195956489</v>
      </c>
      <c r="AN270" s="43"/>
      <c r="AO270" s="2">
        <f t="shared" si="67"/>
        <v>0</v>
      </c>
      <c r="AP270" s="2">
        <f t="shared" si="71"/>
        <v>-1375</v>
      </c>
      <c r="AR270" s="2">
        <f t="shared" si="72"/>
        <v>-1375</v>
      </c>
      <c r="AS270" s="2">
        <f>-AR270*'PV IN'!$E$8</f>
        <v>288.75</v>
      </c>
      <c r="AT270" s="2">
        <f>IF('PV IN'!$F$4="Battery Only",0,AM270+AS270)</f>
        <v>9542.5206195956489</v>
      </c>
      <c r="AV270" s="10">
        <f t="shared" si="73"/>
        <v>1622113.836169597</v>
      </c>
      <c r="AW270" s="2">
        <f>AT270/(1+('PV IN'!$G$9))^(C270)</f>
        <v>3235.6905286124088</v>
      </c>
      <c r="AX270" s="2" t="e">
        <f>IF(C270&lt;='PV IN'!$O$22*12,AW270+AX269,NA())</f>
        <v>#N/A</v>
      </c>
      <c r="AZ270" s="10">
        <f t="shared" si="68"/>
        <v>-1375</v>
      </c>
      <c r="BA270" s="10">
        <f t="shared" si="69"/>
        <v>0</v>
      </c>
      <c r="BB270" s="10">
        <f t="shared" si="74"/>
        <v>-1375</v>
      </c>
      <c r="BC270" s="10">
        <f t="shared" si="75"/>
        <v>0</v>
      </c>
      <c r="BD270" s="10">
        <f t="shared" si="76"/>
        <v>-1375</v>
      </c>
      <c r="BE270" s="2">
        <f t="shared" si="77"/>
        <v>0</v>
      </c>
      <c r="BF270" s="10">
        <f t="shared" si="78"/>
        <v>-1375</v>
      </c>
      <c r="BG270" s="2">
        <f>-BF270*'PV IN'!$E$8</f>
        <v>288.75</v>
      </c>
      <c r="BH270" s="2">
        <f>IF('PV IN'!$F$4="Battery Only",0,BB270+BG270)</f>
        <v>-1086.25</v>
      </c>
      <c r="BI270" s="2">
        <f>BH270/(1+('PV IN'!$G$9))^(C270)</f>
        <v>-368.32708849353918</v>
      </c>
    </row>
    <row r="271" spans="2:61" x14ac:dyDescent="0.25">
      <c r="C271">
        <v>267</v>
      </c>
      <c r="D271" s="16">
        <f>D270*(1+('PV IN'!$G$6/12))</f>
        <v>7.5999999999999998E-2</v>
      </c>
      <c r="E271" s="16">
        <f>LkUP!$U$43</f>
        <v>8.3169508674233894E-2</v>
      </c>
      <c r="F271" s="16">
        <f>IF('PV IN'!$D$7="Table",E271,D271)</f>
        <v>8.3169508674233894E-2</v>
      </c>
      <c r="G271" s="33">
        <f>('PV IN'!$E$25*'PV IN'!$E$18/12)*(1-(1-'PV IN'!$E$27)/(25*12))^C270</f>
        <v>127711.28436167543</v>
      </c>
      <c r="H271" s="33">
        <f>IF('PV IN'!$D$19="YES",G271*'PV IN'!$E$21,0)</f>
        <v>0</v>
      </c>
      <c r="I271" s="33">
        <f>IF('PV IN'!$D$19="YES",'PV IN'!$E$22*BattCalcs!W271,0)</f>
        <v>0</v>
      </c>
      <c r="J271" s="33">
        <f>IF('PV IN'!$D$19="YES",'PV IN'!$E$23*BattCalcs!Y271,0)</f>
        <v>0</v>
      </c>
      <c r="K271" s="33">
        <f>BattCalcs!AF271</f>
        <v>25811.765833333331</v>
      </c>
      <c r="L271" s="33">
        <f t="shared" si="79"/>
        <v>25811.765833333331</v>
      </c>
      <c r="M271" s="33">
        <f>IF('PV IN'!$F$4="PV Only",G271,G271-SUM(H271:J271,L271))</f>
        <v>127711.28436167543</v>
      </c>
      <c r="N271" s="2">
        <f>IF(C271&lt;='PV IN'!$I$12*12,'PV IN'!$E$12*G271/1000,0)</f>
        <v>0</v>
      </c>
      <c r="O271" s="2">
        <f>IF(AND(C271&gt;'PV IN'!$I$12*12,C271&lt;='PV IN'!$I$13*12+'PV IN'!$I$12*12),'PV IN'!$E$13*PVCalcs!G271/1000,0)</f>
        <v>0</v>
      </c>
      <c r="P271" s="2">
        <f>IF(AND(C271&gt;'PV IN'!$I$12*12+'PV IN'!$I$13*12,C271&lt;='PV IN'!$I$12*12+'PV IN'!$I$13*12+'PV IN'!$I$14*12),'PV IN'!$E$14*PVCalcs!G271/1000,0)</f>
        <v>0</v>
      </c>
      <c r="R271" s="10">
        <f>IF(AND('PV IN'!$D$35="YES",$C271&lt;='PV IN'!$E$35*12),-'PV IN'!$E$18*'PV IN'!$E$34/12,0)</f>
        <v>0</v>
      </c>
      <c r="S271" s="10">
        <f>IF(AND('PV IN'!$D$37="YES",$C271&lt;='PV IN'!$E$37*12),-'PV IN'!$E$18*'PV IN'!$E$36/12,0)</f>
        <v>0</v>
      </c>
      <c r="U271" s="2">
        <f t="shared" si="80"/>
        <v>10621.684772515915</v>
      </c>
      <c r="V271" s="10">
        <f>PVLoan!M298</f>
        <v>0</v>
      </c>
      <c r="W271" s="2">
        <f>IF(C271='PV IN'!$I$40,IF('PV IN'!$G$40="Non-Taxable",'PV IN'!$F$40,0),0)+IF(C271='PV IN'!$I$41,IF('PV IN'!$G$41="Non-Taxable",'PV IN'!$F$41,0),0)</f>
        <v>0</v>
      </c>
      <c r="X271" s="10"/>
      <c r="Y271" s="10">
        <f>IF('PV IN'!$E$15="Non-Taxable",SUM(N271:P271),0)</f>
        <v>0</v>
      </c>
      <c r="Z271" s="10">
        <f>IF('PV IN'!$E$15="Taxable",SUM(N271:P271),0)</f>
        <v>0</v>
      </c>
      <c r="AA271" s="2">
        <f>IF(C271='PV IN'!$I$40,IF('PV IN'!$G$40="Taxable",'PV IN'!$F$40,0),0)+IF(C271='PV IN'!$I$41,IF('PV IN'!$G$41="Taxable",'PV IN'!$F$41,0),0)</f>
        <v>0</v>
      </c>
      <c r="AD271" s="10">
        <f>IF('PV IN'!$D$48="YES",-U271*'PV IN'!$E$8,0)</f>
        <v>0</v>
      </c>
      <c r="AE271" s="10">
        <f>IF('PV IN'!$N$10="Yes",-PVLoan!H299,-PVLoan!L299)</f>
        <v>0</v>
      </c>
      <c r="AF271" s="10">
        <f>IF('PV IN'!$N$10="Yes",-PVLoan!F299,0)</f>
        <v>0</v>
      </c>
      <c r="AG271" s="10">
        <f>IF(AND('PV IN'!$D$35="YES",$C271&lt;='PV IN'!$E$35*12),0,-'PV IN'!$E$18*'PV IN'!$E$34/12)</f>
        <v>-750</v>
      </c>
      <c r="AH271" s="10">
        <f>IF(AND('PV IN'!$D$37="YES",$C271&lt;='PV IN'!$E$37*12),0,-'PV IN'!$E$18*'PV IN'!$E$36/12)</f>
        <v>-625</v>
      </c>
      <c r="AI271" s="2">
        <f>IF(AND('PV IN'!$D$33="YES",PVCalcs!C271=ROUNDUP('PV IN'!$H$33*12,)),-'PV IN'!$E$33*'PV IN'!$E$18,0)</f>
        <v>0</v>
      </c>
      <c r="AK271" s="2">
        <f t="shared" si="65"/>
        <v>10621.684772515915</v>
      </c>
      <c r="AL271" s="2">
        <f t="shared" si="66"/>
        <v>-1375</v>
      </c>
      <c r="AM271" s="2">
        <f t="shared" si="70"/>
        <v>9246.684772515915</v>
      </c>
      <c r="AN271" s="43"/>
      <c r="AO271" s="2">
        <f t="shared" si="67"/>
        <v>0</v>
      </c>
      <c r="AP271" s="2">
        <f t="shared" si="71"/>
        <v>-1375</v>
      </c>
      <c r="AR271" s="2">
        <f t="shared" si="72"/>
        <v>-1375</v>
      </c>
      <c r="AS271" s="2">
        <f>-AR271*'PV IN'!$E$8</f>
        <v>288.75</v>
      </c>
      <c r="AT271" s="2">
        <f>IF('PV IN'!$F$4="Battery Only",0,AM271+AS271)</f>
        <v>9535.434772515915</v>
      </c>
      <c r="AV271" s="10">
        <f t="shared" si="73"/>
        <v>1631649.2709421129</v>
      </c>
      <c r="AW271" s="2">
        <f>AT271/(1+('PV IN'!$G$9))^(C271)</f>
        <v>3220.1684851881441</v>
      </c>
      <c r="AX271" s="2" t="e">
        <f>IF(C271&lt;='PV IN'!$O$22*12,AW271+AX270,NA())</f>
        <v>#N/A</v>
      </c>
      <c r="AZ271" s="10">
        <f t="shared" si="68"/>
        <v>-1375</v>
      </c>
      <c r="BA271" s="10">
        <f t="shared" si="69"/>
        <v>0</v>
      </c>
      <c r="BB271" s="10">
        <f t="shared" si="74"/>
        <v>-1375</v>
      </c>
      <c r="BC271" s="10">
        <f t="shared" si="75"/>
        <v>0</v>
      </c>
      <c r="BD271" s="10">
        <f t="shared" si="76"/>
        <v>-1375</v>
      </c>
      <c r="BE271" s="2">
        <f t="shared" si="77"/>
        <v>0</v>
      </c>
      <c r="BF271" s="10">
        <f t="shared" si="78"/>
        <v>-1375</v>
      </c>
      <c r="BG271" s="2">
        <f>-BF271*'PV IN'!$E$8</f>
        <v>288.75</v>
      </c>
      <c r="BH271" s="2">
        <f>IF('PV IN'!$F$4="Battery Only",0,BB271+BG271)</f>
        <v>-1086.25</v>
      </c>
      <c r="BI271" s="2">
        <f>BH271/(1+('PV IN'!$G$9))^(C271)</f>
        <v>-366.83256720686495</v>
      </c>
    </row>
    <row r="272" spans="2:61" x14ac:dyDescent="0.25">
      <c r="C272">
        <v>268</v>
      </c>
      <c r="D272" s="16">
        <f>D271*(1+('PV IN'!$G$6/12))</f>
        <v>7.5999999999999998E-2</v>
      </c>
      <c r="E272" s="16">
        <f>LkUP!$U$43</f>
        <v>8.3169508674233894E-2</v>
      </c>
      <c r="F272" s="16">
        <f>IF('PV IN'!$D$7="Table",E272,D272)</f>
        <v>8.3169508674233894E-2</v>
      </c>
      <c r="G272" s="33">
        <f>('PV IN'!$E$25*'PV IN'!$E$18/12)*(1-(1-'PV IN'!$E$27)/(25*12))^C271</f>
        <v>127626.14350543432</v>
      </c>
      <c r="H272" s="33">
        <f>IF('PV IN'!$D$19="YES",G272*'PV IN'!$E$21,0)</f>
        <v>0</v>
      </c>
      <c r="I272" s="33">
        <f>IF('PV IN'!$D$19="YES",'PV IN'!$E$22*BattCalcs!W272,0)</f>
        <v>0</v>
      </c>
      <c r="J272" s="33">
        <f>IF('PV IN'!$D$19="YES",'PV IN'!$E$23*BattCalcs!Y272,0)</f>
        <v>0</v>
      </c>
      <c r="K272" s="33">
        <f>BattCalcs!AF272</f>
        <v>25811.765833333331</v>
      </c>
      <c r="L272" s="33">
        <f t="shared" si="79"/>
        <v>25811.765833333331</v>
      </c>
      <c r="M272" s="33">
        <f>IF('PV IN'!$F$4="PV Only",G272,G272-SUM(H272:J272,L272))</f>
        <v>127626.14350543432</v>
      </c>
      <c r="N272" s="2">
        <f>IF(C272&lt;='PV IN'!$I$12*12,'PV IN'!$E$12*G272/1000,0)</f>
        <v>0</v>
      </c>
      <c r="O272" s="2">
        <f>IF(AND(C272&gt;'PV IN'!$I$12*12,C272&lt;='PV IN'!$I$13*12+'PV IN'!$I$12*12),'PV IN'!$E$13*PVCalcs!G272/1000,0)</f>
        <v>0</v>
      </c>
      <c r="P272" s="2">
        <f>IF(AND(C272&gt;'PV IN'!$I$12*12+'PV IN'!$I$13*12,C272&lt;='PV IN'!$I$12*12+'PV IN'!$I$13*12+'PV IN'!$I$14*12),'PV IN'!$E$14*PVCalcs!G272/1000,0)</f>
        <v>0</v>
      </c>
      <c r="R272" s="10">
        <f>IF(AND('PV IN'!$D$35="YES",$C272&lt;='PV IN'!$E$35*12),-'PV IN'!$E$18*'PV IN'!$E$34/12,0)</f>
        <v>0</v>
      </c>
      <c r="S272" s="10">
        <f>IF(AND('PV IN'!$D$37="YES",$C272&lt;='PV IN'!$E$37*12),-'PV IN'!$E$18*'PV IN'!$E$36/12,0)</f>
        <v>0</v>
      </c>
      <c r="U272" s="2">
        <f t="shared" si="80"/>
        <v>10614.60364933424</v>
      </c>
      <c r="V272" s="10">
        <f>PVLoan!M299</f>
        <v>0</v>
      </c>
      <c r="W272" s="2">
        <f>IF(C272='PV IN'!$I$40,IF('PV IN'!$G$40="Non-Taxable",'PV IN'!$F$40,0),0)+IF(C272='PV IN'!$I$41,IF('PV IN'!$G$41="Non-Taxable",'PV IN'!$F$41,0),0)</f>
        <v>0</v>
      </c>
      <c r="X272" s="10"/>
      <c r="Y272" s="10">
        <f>IF('PV IN'!$E$15="Non-Taxable",SUM(N272:P272),0)</f>
        <v>0</v>
      </c>
      <c r="Z272" s="10">
        <f>IF('PV IN'!$E$15="Taxable",SUM(N272:P272),0)</f>
        <v>0</v>
      </c>
      <c r="AA272" s="2">
        <f>IF(C272='PV IN'!$I$40,IF('PV IN'!$G$40="Taxable",'PV IN'!$F$40,0),0)+IF(C272='PV IN'!$I$41,IF('PV IN'!$G$41="Taxable",'PV IN'!$F$41,0),0)</f>
        <v>0</v>
      </c>
      <c r="AD272" s="10">
        <f>IF('PV IN'!$D$48="YES",-U272*'PV IN'!$E$8,0)</f>
        <v>0</v>
      </c>
      <c r="AE272" s="10">
        <f>IF('PV IN'!$N$10="Yes",-PVLoan!H300,-PVLoan!L300)</f>
        <v>0</v>
      </c>
      <c r="AF272" s="10">
        <f>IF('PV IN'!$N$10="Yes",-PVLoan!F300,0)</f>
        <v>0</v>
      </c>
      <c r="AG272" s="10">
        <f>IF(AND('PV IN'!$D$35="YES",$C272&lt;='PV IN'!$E$35*12),0,-'PV IN'!$E$18*'PV IN'!$E$34/12)</f>
        <v>-750</v>
      </c>
      <c r="AH272" s="10">
        <f>IF(AND('PV IN'!$D$37="YES",$C272&lt;='PV IN'!$E$37*12),0,-'PV IN'!$E$18*'PV IN'!$E$36/12)</f>
        <v>-625</v>
      </c>
      <c r="AI272" s="2">
        <f>IF(AND('PV IN'!$D$33="YES",PVCalcs!C272=ROUNDUP('PV IN'!$H$33*12,)),-'PV IN'!$E$33*'PV IN'!$E$18,0)</f>
        <v>0</v>
      </c>
      <c r="AK272" s="2">
        <f t="shared" si="65"/>
        <v>10614.60364933424</v>
      </c>
      <c r="AL272" s="2">
        <f t="shared" si="66"/>
        <v>-1375</v>
      </c>
      <c r="AM272" s="2">
        <f t="shared" si="70"/>
        <v>9239.6036493342399</v>
      </c>
      <c r="AN272" s="43"/>
      <c r="AO272" s="2">
        <f t="shared" si="67"/>
        <v>0</v>
      </c>
      <c r="AP272" s="2">
        <f t="shared" si="71"/>
        <v>-1375</v>
      </c>
      <c r="AR272" s="2">
        <f t="shared" si="72"/>
        <v>-1375</v>
      </c>
      <c r="AS272" s="2">
        <f>-AR272*'PV IN'!$E$8</f>
        <v>288.75</v>
      </c>
      <c r="AT272" s="2">
        <f>IF('PV IN'!$F$4="Battery Only",0,AM272+AS272)</f>
        <v>9528.3536493342399</v>
      </c>
      <c r="AV272" s="10">
        <f t="shared" si="73"/>
        <v>1641177.6245914472</v>
      </c>
      <c r="AW272" s="2">
        <f>AT272/(1+('PV IN'!$G$9))^(C272)</f>
        <v>3204.720722238791</v>
      </c>
      <c r="AX272" s="2" t="e">
        <f>IF(C272&lt;='PV IN'!$O$22*12,AW272+AX271,NA())</f>
        <v>#N/A</v>
      </c>
      <c r="AZ272" s="10">
        <f t="shared" si="68"/>
        <v>-1375</v>
      </c>
      <c r="BA272" s="10">
        <f t="shared" si="69"/>
        <v>0</v>
      </c>
      <c r="BB272" s="10">
        <f t="shared" si="74"/>
        <v>-1375</v>
      </c>
      <c r="BC272" s="10">
        <f t="shared" si="75"/>
        <v>0</v>
      </c>
      <c r="BD272" s="10">
        <f t="shared" si="76"/>
        <v>-1375</v>
      </c>
      <c r="BE272" s="2">
        <f t="shared" si="77"/>
        <v>0</v>
      </c>
      <c r="BF272" s="10">
        <f t="shared" si="78"/>
        <v>-1375</v>
      </c>
      <c r="BG272" s="2">
        <f>-BF272*'PV IN'!$E$8</f>
        <v>288.75</v>
      </c>
      <c r="BH272" s="2">
        <f>IF('PV IN'!$F$4="Battery Only",0,BB272+BG272)</f>
        <v>-1086.25</v>
      </c>
      <c r="BI272" s="2">
        <f>BH272/(1+('PV IN'!$G$9))^(C272)</f>
        <v>-365.34411007877713</v>
      </c>
    </row>
    <row r="273" spans="2:61" x14ac:dyDescent="0.25">
      <c r="C273">
        <v>269</v>
      </c>
      <c r="D273" s="16">
        <f>D272*(1+('PV IN'!$G$6/12))</f>
        <v>7.5999999999999998E-2</v>
      </c>
      <c r="E273" s="16">
        <f>LkUP!$U$43</f>
        <v>8.3169508674233894E-2</v>
      </c>
      <c r="F273" s="16">
        <f>IF('PV IN'!$D$7="Table",E273,D273)</f>
        <v>8.3169508674233894E-2</v>
      </c>
      <c r="G273" s="33">
        <f>('PV IN'!$E$25*'PV IN'!$E$18/12)*(1-(1-'PV IN'!$E$27)/(25*12))^C272</f>
        <v>127541.05940976403</v>
      </c>
      <c r="H273" s="33">
        <f>IF('PV IN'!$D$19="YES",G273*'PV IN'!$E$21,0)</f>
        <v>0</v>
      </c>
      <c r="I273" s="33">
        <f>IF('PV IN'!$D$19="YES",'PV IN'!$E$22*BattCalcs!W273,0)</f>
        <v>0</v>
      </c>
      <c r="J273" s="33">
        <f>IF('PV IN'!$D$19="YES",'PV IN'!$E$23*BattCalcs!Y273,0)</f>
        <v>0</v>
      </c>
      <c r="K273" s="33">
        <f>BattCalcs!AF273</f>
        <v>25811.765833333331</v>
      </c>
      <c r="L273" s="33">
        <f t="shared" si="79"/>
        <v>25811.765833333331</v>
      </c>
      <c r="M273" s="33">
        <f>IF('PV IN'!$F$4="PV Only",G273,G273-SUM(H273:J273,L273))</f>
        <v>127541.05940976403</v>
      </c>
      <c r="N273" s="2">
        <f>IF(C273&lt;='PV IN'!$I$12*12,'PV IN'!$E$12*G273/1000,0)</f>
        <v>0</v>
      </c>
      <c r="O273" s="2">
        <f>IF(AND(C273&gt;'PV IN'!$I$12*12,C273&lt;='PV IN'!$I$13*12+'PV IN'!$I$12*12),'PV IN'!$E$13*PVCalcs!G273/1000,0)</f>
        <v>0</v>
      </c>
      <c r="P273" s="2">
        <f>IF(AND(C273&gt;'PV IN'!$I$12*12+'PV IN'!$I$13*12,C273&lt;='PV IN'!$I$12*12+'PV IN'!$I$13*12+'PV IN'!$I$14*12),'PV IN'!$E$14*PVCalcs!G273/1000,0)</f>
        <v>0</v>
      </c>
      <c r="R273" s="10">
        <f>IF(AND('PV IN'!$D$35="YES",$C273&lt;='PV IN'!$E$35*12),-'PV IN'!$E$18*'PV IN'!$E$34/12,0)</f>
        <v>0</v>
      </c>
      <c r="S273" s="10">
        <f>IF(AND('PV IN'!$D$37="YES",$C273&lt;='PV IN'!$E$37*12),-'PV IN'!$E$18*'PV IN'!$E$36/12,0)</f>
        <v>0</v>
      </c>
      <c r="U273" s="2">
        <f t="shared" si="80"/>
        <v>10607.527246901349</v>
      </c>
      <c r="V273" s="10">
        <f>PVLoan!M300</f>
        <v>0</v>
      </c>
      <c r="W273" s="2">
        <f>IF(C273='PV IN'!$I$40,IF('PV IN'!$G$40="Non-Taxable",'PV IN'!$F$40,0),0)+IF(C273='PV IN'!$I$41,IF('PV IN'!$G$41="Non-Taxable",'PV IN'!$F$41,0),0)</f>
        <v>0</v>
      </c>
      <c r="X273" s="10"/>
      <c r="Y273" s="10">
        <f>IF('PV IN'!$E$15="Non-Taxable",SUM(N273:P273),0)</f>
        <v>0</v>
      </c>
      <c r="Z273" s="10">
        <f>IF('PV IN'!$E$15="Taxable",SUM(N273:P273),0)</f>
        <v>0</v>
      </c>
      <c r="AA273" s="2">
        <f>IF(C273='PV IN'!$I$40,IF('PV IN'!$G$40="Taxable",'PV IN'!$F$40,0),0)+IF(C273='PV IN'!$I$41,IF('PV IN'!$G$41="Taxable",'PV IN'!$F$41,0),0)</f>
        <v>0</v>
      </c>
      <c r="AD273" s="10">
        <f>IF('PV IN'!$D$48="YES",-U273*'PV IN'!$E$8,0)</f>
        <v>0</v>
      </c>
      <c r="AE273" s="10">
        <f>IF('PV IN'!$N$10="Yes",-PVLoan!H301,-PVLoan!L301)</f>
        <v>0</v>
      </c>
      <c r="AF273" s="10">
        <f>IF('PV IN'!$N$10="Yes",-PVLoan!F301,0)</f>
        <v>0</v>
      </c>
      <c r="AG273" s="10">
        <f>IF(AND('PV IN'!$D$35="YES",$C273&lt;='PV IN'!$E$35*12),0,-'PV IN'!$E$18*'PV IN'!$E$34/12)</f>
        <v>-750</v>
      </c>
      <c r="AH273" s="10">
        <f>IF(AND('PV IN'!$D$37="YES",$C273&lt;='PV IN'!$E$37*12),0,-'PV IN'!$E$18*'PV IN'!$E$36/12)</f>
        <v>-625</v>
      </c>
      <c r="AI273" s="2">
        <f>IF(AND('PV IN'!$D$33="YES",PVCalcs!C273=ROUNDUP('PV IN'!$H$33*12,)),-'PV IN'!$E$33*'PV IN'!$E$18,0)</f>
        <v>0</v>
      </c>
      <c r="AK273" s="2">
        <f t="shared" si="65"/>
        <v>10607.527246901349</v>
      </c>
      <c r="AL273" s="2">
        <f t="shared" si="66"/>
        <v>-1375</v>
      </c>
      <c r="AM273" s="2">
        <f t="shared" si="70"/>
        <v>9232.5272469013489</v>
      </c>
      <c r="AN273" s="43"/>
      <c r="AO273" s="2">
        <f t="shared" si="67"/>
        <v>0</v>
      </c>
      <c r="AP273" s="2">
        <f t="shared" si="71"/>
        <v>-1375</v>
      </c>
      <c r="AR273" s="2">
        <f t="shared" si="72"/>
        <v>-1375</v>
      </c>
      <c r="AS273" s="2">
        <f>-AR273*'PV IN'!$E$8</f>
        <v>288.75</v>
      </c>
      <c r="AT273" s="2">
        <f>IF('PV IN'!$F$4="Battery Only",0,AM273+AS273)</f>
        <v>9521.2772469013489</v>
      </c>
      <c r="AV273" s="10">
        <f t="shared" si="73"/>
        <v>1650698.9018383485</v>
      </c>
      <c r="AW273" s="2">
        <f>AT273/(1+('PV IN'!$G$9))^(C273)</f>
        <v>3189.346885018686</v>
      </c>
      <c r="AX273" s="2" t="e">
        <f>IF(C273&lt;='PV IN'!$O$22*12,AW273+AX272,NA())</f>
        <v>#N/A</v>
      </c>
      <c r="AZ273" s="10">
        <f t="shared" si="68"/>
        <v>-1375</v>
      </c>
      <c r="BA273" s="10">
        <f t="shared" si="69"/>
        <v>0</v>
      </c>
      <c r="BB273" s="10">
        <f t="shared" si="74"/>
        <v>-1375</v>
      </c>
      <c r="BC273" s="10">
        <f t="shared" si="75"/>
        <v>0</v>
      </c>
      <c r="BD273" s="10">
        <f t="shared" si="76"/>
        <v>-1375</v>
      </c>
      <c r="BE273" s="2">
        <f t="shared" si="77"/>
        <v>0</v>
      </c>
      <c r="BF273" s="10">
        <f t="shared" si="78"/>
        <v>-1375</v>
      </c>
      <c r="BG273" s="2">
        <f>-BF273*'PV IN'!$E$8</f>
        <v>288.75</v>
      </c>
      <c r="BH273" s="2">
        <f>IF('PV IN'!$F$4="Battery Only",0,BB273+BG273)</f>
        <v>-1086.25</v>
      </c>
      <c r="BI273" s="2">
        <f>BH273/(1+('PV IN'!$G$9))^(C273)</f>
        <v>-363.86169250339054</v>
      </c>
    </row>
    <row r="274" spans="2:61" x14ac:dyDescent="0.25">
      <c r="C274">
        <v>270</v>
      </c>
      <c r="D274" s="16">
        <f>D273*(1+('PV IN'!$G$6/12))</f>
        <v>7.5999999999999998E-2</v>
      </c>
      <c r="E274" s="16">
        <f>LkUP!$U$43</f>
        <v>8.3169508674233894E-2</v>
      </c>
      <c r="F274" s="16">
        <f>IF('PV IN'!$D$7="Table",E274,D274)</f>
        <v>8.3169508674233894E-2</v>
      </c>
      <c r="G274" s="33">
        <f>('PV IN'!$E$25*'PV IN'!$E$18/12)*(1-(1-'PV IN'!$E$27)/(25*12))^C273</f>
        <v>127456.03203682417</v>
      </c>
      <c r="H274" s="33">
        <f>IF('PV IN'!$D$19="YES",G274*'PV IN'!$E$21,0)</f>
        <v>0</v>
      </c>
      <c r="I274" s="33">
        <f>IF('PV IN'!$D$19="YES",'PV IN'!$E$22*BattCalcs!W274,0)</f>
        <v>0</v>
      </c>
      <c r="J274" s="33">
        <f>IF('PV IN'!$D$19="YES",'PV IN'!$E$23*BattCalcs!Y274,0)</f>
        <v>0</v>
      </c>
      <c r="K274" s="33">
        <f>BattCalcs!AF274</f>
        <v>25811.765833333331</v>
      </c>
      <c r="L274" s="33">
        <f t="shared" si="79"/>
        <v>25811.765833333331</v>
      </c>
      <c r="M274" s="33">
        <f>IF('PV IN'!$F$4="PV Only",G274,G274-SUM(H274:J274,L274))</f>
        <v>127456.03203682417</v>
      </c>
      <c r="N274" s="2">
        <f>IF(C274&lt;='PV IN'!$I$12*12,'PV IN'!$E$12*G274/1000,0)</f>
        <v>0</v>
      </c>
      <c r="O274" s="2">
        <f>IF(AND(C274&gt;'PV IN'!$I$12*12,C274&lt;='PV IN'!$I$13*12+'PV IN'!$I$12*12),'PV IN'!$E$13*PVCalcs!G274/1000,0)</f>
        <v>0</v>
      </c>
      <c r="P274" s="2">
        <f>IF(AND(C274&gt;'PV IN'!$I$12*12+'PV IN'!$I$13*12,C274&lt;='PV IN'!$I$12*12+'PV IN'!$I$13*12+'PV IN'!$I$14*12),'PV IN'!$E$14*PVCalcs!G274/1000,0)</f>
        <v>0</v>
      </c>
      <c r="R274" s="10">
        <f>IF(AND('PV IN'!$D$35="YES",$C274&lt;='PV IN'!$E$35*12),-'PV IN'!$E$18*'PV IN'!$E$34/12,0)</f>
        <v>0</v>
      </c>
      <c r="S274" s="10">
        <f>IF(AND('PV IN'!$D$37="YES",$C274&lt;='PV IN'!$E$37*12),-'PV IN'!$E$18*'PV IN'!$E$36/12,0)</f>
        <v>0</v>
      </c>
      <c r="U274" s="2">
        <f t="shared" si="80"/>
        <v>10600.455562070081</v>
      </c>
      <c r="V274" s="10">
        <f>PVLoan!M301</f>
        <v>0</v>
      </c>
      <c r="W274" s="2">
        <f>IF(C274='PV IN'!$I$40,IF('PV IN'!$G$40="Non-Taxable",'PV IN'!$F$40,0),0)+IF(C274='PV IN'!$I$41,IF('PV IN'!$G$41="Non-Taxable",'PV IN'!$F$41,0),0)</f>
        <v>0</v>
      </c>
      <c r="X274" s="10"/>
      <c r="Y274" s="10">
        <f>IF('PV IN'!$E$15="Non-Taxable",SUM(N274:P274),0)</f>
        <v>0</v>
      </c>
      <c r="Z274" s="10">
        <f>IF('PV IN'!$E$15="Taxable",SUM(N274:P274),0)</f>
        <v>0</v>
      </c>
      <c r="AA274" s="2">
        <f>IF(C274='PV IN'!$I$40,IF('PV IN'!$G$40="Taxable",'PV IN'!$F$40,0),0)+IF(C274='PV IN'!$I$41,IF('PV IN'!$G$41="Taxable",'PV IN'!$F$41,0),0)</f>
        <v>0</v>
      </c>
      <c r="AD274" s="10">
        <f>IF('PV IN'!$D$48="YES",-U274*'PV IN'!$E$8,0)</f>
        <v>0</v>
      </c>
      <c r="AE274" s="10">
        <f>IF('PV IN'!$N$10="Yes",-PVLoan!H302,-PVLoan!L302)</f>
        <v>0</v>
      </c>
      <c r="AF274" s="10">
        <f>IF('PV IN'!$N$10="Yes",-PVLoan!F302,0)</f>
        <v>0</v>
      </c>
      <c r="AG274" s="10">
        <f>IF(AND('PV IN'!$D$35="YES",$C274&lt;='PV IN'!$E$35*12),0,-'PV IN'!$E$18*'PV IN'!$E$34/12)</f>
        <v>-750</v>
      </c>
      <c r="AH274" s="10">
        <f>IF(AND('PV IN'!$D$37="YES",$C274&lt;='PV IN'!$E$37*12),0,-'PV IN'!$E$18*'PV IN'!$E$36/12)</f>
        <v>-625</v>
      </c>
      <c r="AI274" s="2">
        <f>IF(AND('PV IN'!$D$33="YES",PVCalcs!C274=ROUNDUP('PV IN'!$H$33*12,)),-'PV IN'!$E$33*'PV IN'!$E$18,0)</f>
        <v>0</v>
      </c>
      <c r="AK274" s="2">
        <f t="shared" si="65"/>
        <v>10600.455562070081</v>
      </c>
      <c r="AL274" s="2">
        <f t="shared" si="66"/>
        <v>-1375</v>
      </c>
      <c r="AM274" s="2">
        <f t="shared" si="70"/>
        <v>9225.4555620700812</v>
      </c>
      <c r="AN274" s="43"/>
      <c r="AO274" s="2">
        <f t="shared" si="67"/>
        <v>0</v>
      </c>
      <c r="AP274" s="2">
        <f t="shared" si="71"/>
        <v>-1375</v>
      </c>
      <c r="AR274" s="2">
        <f t="shared" si="72"/>
        <v>-1375</v>
      </c>
      <c r="AS274" s="2">
        <f>-AR274*'PV IN'!$E$8</f>
        <v>288.75</v>
      </c>
      <c r="AT274" s="2">
        <f>IF('PV IN'!$F$4="Battery Only",0,AM274+AS274)</f>
        <v>9514.2055620700812</v>
      </c>
      <c r="AV274" s="10">
        <f t="shared" si="73"/>
        <v>1660213.1074004185</v>
      </c>
      <c r="AW274" s="2">
        <f>AT274/(1+('PV IN'!$G$9))^(C274)</f>
        <v>3174.046620473458</v>
      </c>
      <c r="AX274" s="2" t="e">
        <f>IF(C274&lt;='PV IN'!$O$22*12,AW274+AX273,NA())</f>
        <v>#N/A</v>
      </c>
      <c r="AZ274" s="10">
        <f t="shared" si="68"/>
        <v>-1375</v>
      </c>
      <c r="BA274" s="10">
        <f t="shared" si="69"/>
        <v>0</v>
      </c>
      <c r="BB274" s="10">
        <f t="shared" si="74"/>
        <v>-1375</v>
      </c>
      <c r="BC274" s="10">
        <f t="shared" si="75"/>
        <v>0</v>
      </c>
      <c r="BD274" s="10">
        <f t="shared" si="76"/>
        <v>-1375</v>
      </c>
      <c r="BE274" s="2">
        <f t="shared" si="77"/>
        <v>0</v>
      </c>
      <c r="BF274" s="10">
        <f t="shared" si="78"/>
        <v>-1375</v>
      </c>
      <c r="BG274" s="2">
        <f>-BF274*'PV IN'!$E$8</f>
        <v>288.75</v>
      </c>
      <c r="BH274" s="2">
        <f>IF('PV IN'!$F$4="Battery Only",0,BB274+BG274)</f>
        <v>-1086.25</v>
      </c>
      <c r="BI274" s="2">
        <f>BH274/(1+('PV IN'!$G$9))^(C274)</f>
        <v>-362.38528997466045</v>
      </c>
    </row>
    <row r="275" spans="2:61" x14ac:dyDescent="0.25">
      <c r="C275">
        <v>271</v>
      </c>
      <c r="D275" s="16">
        <f>D274*(1+('PV IN'!$G$6/12))</f>
        <v>7.5999999999999998E-2</v>
      </c>
      <c r="E275" s="16">
        <f>LkUP!$U$43</f>
        <v>8.3169508674233894E-2</v>
      </c>
      <c r="F275" s="16">
        <f>IF('PV IN'!$D$7="Table",E275,D275)</f>
        <v>8.3169508674233894E-2</v>
      </c>
      <c r="G275" s="33">
        <f>('PV IN'!$E$25*'PV IN'!$E$18/12)*(1-(1-'PV IN'!$E$27)/(25*12))^C274</f>
        <v>127371.06134879962</v>
      </c>
      <c r="H275" s="33">
        <f>IF('PV IN'!$D$19="YES",G275*'PV IN'!$E$21,0)</f>
        <v>0</v>
      </c>
      <c r="I275" s="33">
        <f>IF('PV IN'!$D$19="YES",'PV IN'!$E$22*BattCalcs!W275,0)</f>
        <v>0</v>
      </c>
      <c r="J275" s="33">
        <f>IF('PV IN'!$D$19="YES",'PV IN'!$E$23*BattCalcs!Y275,0)</f>
        <v>0</v>
      </c>
      <c r="K275" s="33">
        <f>BattCalcs!AF275</f>
        <v>25811.765833333331</v>
      </c>
      <c r="L275" s="33">
        <f t="shared" si="79"/>
        <v>25811.765833333331</v>
      </c>
      <c r="M275" s="33">
        <f>IF('PV IN'!$F$4="PV Only",G275,G275-SUM(H275:J275,L275))</f>
        <v>127371.06134879962</v>
      </c>
      <c r="N275" s="2">
        <f>IF(C275&lt;='PV IN'!$I$12*12,'PV IN'!$E$12*G275/1000,0)</f>
        <v>0</v>
      </c>
      <c r="O275" s="2">
        <f>IF(AND(C275&gt;'PV IN'!$I$12*12,C275&lt;='PV IN'!$I$13*12+'PV IN'!$I$12*12),'PV IN'!$E$13*PVCalcs!G275/1000,0)</f>
        <v>0</v>
      </c>
      <c r="P275" s="2">
        <f>IF(AND(C275&gt;'PV IN'!$I$12*12+'PV IN'!$I$13*12,C275&lt;='PV IN'!$I$12*12+'PV IN'!$I$13*12+'PV IN'!$I$14*12),'PV IN'!$E$14*PVCalcs!G275/1000,0)</f>
        <v>0</v>
      </c>
      <c r="R275" s="10">
        <f>IF(AND('PV IN'!$D$35="YES",$C275&lt;='PV IN'!$E$35*12),-'PV IN'!$E$18*'PV IN'!$E$34/12,0)</f>
        <v>0</v>
      </c>
      <c r="S275" s="10">
        <f>IF(AND('PV IN'!$D$37="YES",$C275&lt;='PV IN'!$E$37*12),-'PV IN'!$E$18*'PV IN'!$E$36/12,0)</f>
        <v>0</v>
      </c>
      <c r="U275" s="2">
        <f t="shared" si="80"/>
        <v>10593.388591695368</v>
      </c>
      <c r="V275" s="10">
        <f>PVLoan!M302</f>
        <v>0</v>
      </c>
      <c r="W275" s="2">
        <f>IF(C275='PV IN'!$I$40,IF('PV IN'!$G$40="Non-Taxable",'PV IN'!$F$40,0),0)+IF(C275='PV IN'!$I$41,IF('PV IN'!$G$41="Non-Taxable",'PV IN'!$F$41,0),0)</f>
        <v>0</v>
      </c>
      <c r="X275" s="10"/>
      <c r="Y275" s="10">
        <f>IF('PV IN'!$E$15="Non-Taxable",SUM(N275:P275),0)</f>
        <v>0</v>
      </c>
      <c r="Z275" s="10">
        <f>IF('PV IN'!$E$15="Taxable",SUM(N275:P275),0)</f>
        <v>0</v>
      </c>
      <c r="AA275" s="2">
        <f>IF(C275='PV IN'!$I$40,IF('PV IN'!$G$40="Taxable",'PV IN'!$F$40,0),0)+IF(C275='PV IN'!$I$41,IF('PV IN'!$G$41="Taxable",'PV IN'!$F$41,0),0)</f>
        <v>0</v>
      </c>
      <c r="AD275" s="10">
        <f>IF('PV IN'!$D$48="YES",-U275*'PV IN'!$E$8,0)</f>
        <v>0</v>
      </c>
      <c r="AE275" s="10">
        <f>IF('PV IN'!$N$10="Yes",-PVLoan!H303,-PVLoan!L303)</f>
        <v>0</v>
      </c>
      <c r="AF275" s="10">
        <f>IF('PV IN'!$N$10="Yes",-PVLoan!F303,0)</f>
        <v>0</v>
      </c>
      <c r="AG275" s="10">
        <f>IF(AND('PV IN'!$D$35="YES",$C275&lt;='PV IN'!$E$35*12),0,-'PV IN'!$E$18*'PV IN'!$E$34/12)</f>
        <v>-750</v>
      </c>
      <c r="AH275" s="10">
        <f>IF(AND('PV IN'!$D$37="YES",$C275&lt;='PV IN'!$E$37*12),0,-'PV IN'!$E$18*'PV IN'!$E$36/12)</f>
        <v>-625</v>
      </c>
      <c r="AI275" s="2">
        <f>IF(AND('PV IN'!$D$33="YES",PVCalcs!C275=ROUNDUP('PV IN'!$H$33*12,)),-'PV IN'!$E$33*'PV IN'!$E$18,0)</f>
        <v>0</v>
      </c>
      <c r="AK275" s="2">
        <f t="shared" si="65"/>
        <v>10593.388591695368</v>
      </c>
      <c r="AL275" s="2">
        <f t="shared" si="66"/>
        <v>-1375</v>
      </c>
      <c r="AM275" s="2">
        <f t="shared" si="70"/>
        <v>9218.3885916953677</v>
      </c>
      <c r="AN275" s="43"/>
      <c r="AO275" s="2">
        <f t="shared" si="67"/>
        <v>0</v>
      </c>
      <c r="AP275" s="2">
        <f t="shared" si="71"/>
        <v>-1375</v>
      </c>
      <c r="AR275" s="2">
        <f t="shared" si="72"/>
        <v>-1375</v>
      </c>
      <c r="AS275" s="2">
        <f>-AR275*'PV IN'!$E$8</f>
        <v>288.75</v>
      </c>
      <c r="AT275" s="2">
        <f>IF('PV IN'!$F$4="Battery Only",0,AM275+AS275)</f>
        <v>9507.1385916953677</v>
      </c>
      <c r="AV275" s="10">
        <f t="shared" si="73"/>
        <v>1669720.2459921138</v>
      </c>
      <c r="AW275" s="2">
        <f>AT275/(1+('PV IN'!$G$9))^(C275)</f>
        <v>3158.8195772319709</v>
      </c>
      <c r="AX275" s="2" t="e">
        <f>IF(C275&lt;='PV IN'!$O$22*12,AW275+AX274,NA())</f>
        <v>#N/A</v>
      </c>
      <c r="AZ275" s="10">
        <f t="shared" si="68"/>
        <v>-1375</v>
      </c>
      <c r="BA275" s="10">
        <f t="shared" si="69"/>
        <v>0</v>
      </c>
      <c r="BB275" s="10">
        <f t="shared" si="74"/>
        <v>-1375</v>
      </c>
      <c r="BC275" s="10">
        <f t="shared" si="75"/>
        <v>0</v>
      </c>
      <c r="BD275" s="10">
        <f t="shared" si="76"/>
        <v>-1375</v>
      </c>
      <c r="BE275" s="2">
        <f t="shared" si="77"/>
        <v>0</v>
      </c>
      <c r="BF275" s="10">
        <f t="shared" si="78"/>
        <v>-1375</v>
      </c>
      <c r="BG275" s="2">
        <f>-BF275*'PV IN'!$E$8</f>
        <v>288.75</v>
      </c>
      <c r="BH275" s="2">
        <f>IF('PV IN'!$F$4="Battery Only",0,BB275+BG275)</f>
        <v>-1086.25</v>
      </c>
      <c r="BI275" s="2">
        <f>BH275/(1+('PV IN'!$G$9))^(C275)</f>
        <v>-360.91487808597782</v>
      </c>
    </row>
    <row r="276" spans="2:61" x14ac:dyDescent="0.25">
      <c r="C276">
        <v>272</v>
      </c>
      <c r="D276" s="16">
        <f>D275*(1+('PV IN'!$G$6/12))</f>
        <v>7.5999999999999998E-2</v>
      </c>
      <c r="E276" s="16">
        <f>LkUP!$U$43</f>
        <v>8.3169508674233894E-2</v>
      </c>
      <c r="F276" s="16">
        <f>IF('PV IN'!$D$7="Table",E276,D276)</f>
        <v>8.3169508674233894E-2</v>
      </c>
      <c r="G276" s="33">
        <f>('PV IN'!$E$25*'PV IN'!$E$18/12)*(1-(1-'PV IN'!$E$27)/(25*12))^C275</f>
        <v>127286.14730790044</v>
      </c>
      <c r="H276" s="33">
        <f>IF('PV IN'!$D$19="YES",G276*'PV IN'!$E$21,0)</f>
        <v>0</v>
      </c>
      <c r="I276" s="33">
        <f>IF('PV IN'!$D$19="YES",'PV IN'!$E$22*BattCalcs!W276,0)</f>
        <v>0</v>
      </c>
      <c r="J276" s="33">
        <f>IF('PV IN'!$D$19="YES",'PV IN'!$E$23*BattCalcs!Y276,0)</f>
        <v>0</v>
      </c>
      <c r="K276" s="33">
        <f>BattCalcs!AF276</f>
        <v>25811.765833333331</v>
      </c>
      <c r="L276" s="33">
        <f t="shared" si="79"/>
        <v>25811.765833333331</v>
      </c>
      <c r="M276" s="33">
        <f>IF('PV IN'!$F$4="PV Only",G276,G276-SUM(H276:J276,L276))</f>
        <v>127286.14730790044</v>
      </c>
      <c r="N276" s="2">
        <f>IF(C276&lt;='PV IN'!$I$12*12,'PV IN'!$E$12*G276/1000,0)</f>
        <v>0</v>
      </c>
      <c r="O276" s="2">
        <f>IF(AND(C276&gt;'PV IN'!$I$12*12,C276&lt;='PV IN'!$I$13*12+'PV IN'!$I$12*12),'PV IN'!$E$13*PVCalcs!G276/1000,0)</f>
        <v>0</v>
      </c>
      <c r="P276" s="2">
        <f>IF(AND(C276&gt;'PV IN'!$I$12*12+'PV IN'!$I$13*12,C276&lt;='PV IN'!$I$12*12+'PV IN'!$I$13*12+'PV IN'!$I$14*12),'PV IN'!$E$14*PVCalcs!G276/1000,0)</f>
        <v>0</v>
      </c>
      <c r="R276" s="10">
        <f>IF(AND('PV IN'!$D$35="YES",$C276&lt;='PV IN'!$E$35*12),-'PV IN'!$E$18*'PV IN'!$E$34/12,0)</f>
        <v>0</v>
      </c>
      <c r="S276" s="10">
        <f>IF(AND('PV IN'!$D$37="YES",$C276&lt;='PV IN'!$E$37*12),-'PV IN'!$E$18*'PV IN'!$E$36/12,0)</f>
        <v>0</v>
      </c>
      <c r="U276" s="2">
        <f t="shared" si="80"/>
        <v>10586.326332634238</v>
      </c>
      <c r="V276" s="10">
        <f>PVLoan!M303</f>
        <v>0</v>
      </c>
      <c r="W276" s="2">
        <f>IF(C276='PV IN'!$I$40,IF('PV IN'!$G$40="Non-Taxable",'PV IN'!$F$40,0),0)+IF(C276='PV IN'!$I$41,IF('PV IN'!$G$41="Non-Taxable",'PV IN'!$F$41,0),0)</f>
        <v>0</v>
      </c>
      <c r="X276" s="10"/>
      <c r="Y276" s="10">
        <f>IF('PV IN'!$E$15="Non-Taxable",SUM(N276:P276),0)</f>
        <v>0</v>
      </c>
      <c r="Z276" s="10">
        <f>IF('PV IN'!$E$15="Taxable",SUM(N276:P276),0)</f>
        <v>0</v>
      </c>
      <c r="AA276" s="2">
        <f>IF(C276='PV IN'!$I$40,IF('PV IN'!$G$40="Taxable",'PV IN'!$F$40,0),0)+IF(C276='PV IN'!$I$41,IF('PV IN'!$G$41="Taxable",'PV IN'!$F$41,0),0)</f>
        <v>0</v>
      </c>
      <c r="AD276" s="10">
        <f>IF('PV IN'!$D$48="YES",-U276*'PV IN'!$E$8,0)</f>
        <v>0</v>
      </c>
      <c r="AE276" s="10">
        <f>IF('PV IN'!$N$10="Yes",-PVLoan!H304,-PVLoan!L304)</f>
        <v>0</v>
      </c>
      <c r="AF276" s="10">
        <f>IF('PV IN'!$N$10="Yes",-PVLoan!F304,0)</f>
        <v>0</v>
      </c>
      <c r="AG276" s="10">
        <f>IF(AND('PV IN'!$D$35="YES",$C276&lt;='PV IN'!$E$35*12),0,-'PV IN'!$E$18*'PV IN'!$E$34/12)</f>
        <v>-750</v>
      </c>
      <c r="AH276" s="10">
        <f>IF(AND('PV IN'!$D$37="YES",$C276&lt;='PV IN'!$E$37*12),0,-'PV IN'!$E$18*'PV IN'!$E$36/12)</f>
        <v>-625</v>
      </c>
      <c r="AI276" s="2">
        <f>IF(AND('PV IN'!$D$33="YES",PVCalcs!C276=ROUNDUP('PV IN'!$H$33*12,)),-'PV IN'!$E$33*'PV IN'!$E$18,0)</f>
        <v>0</v>
      </c>
      <c r="AK276" s="2">
        <f t="shared" si="65"/>
        <v>10586.326332634238</v>
      </c>
      <c r="AL276" s="2">
        <f t="shared" si="66"/>
        <v>-1375</v>
      </c>
      <c r="AM276" s="2">
        <f t="shared" si="70"/>
        <v>9211.3263326342385</v>
      </c>
      <c r="AN276" s="43"/>
      <c r="AO276" s="2">
        <f t="shared" si="67"/>
        <v>0</v>
      </c>
      <c r="AP276" s="2">
        <f t="shared" si="71"/>
        <v>-1375</v>
      </c>
      <c r="AR276" s="2">
        <f t="shared" si="72"/>
        <v>-1375</v>
      </c>
      <c r="AS276" s="2">
        <f>-AR276*'PV IN'!$E$8</f>
        <v>288.75</v>
      </c>
      <c r="AT276" s="2">
        <f>IF('PV IN'!$F$4="Battery Only",0,AM276+AS276)</f>
        <v>9500.0763326342385</v>
      </c>
      <c r="AV276" s="10">
        <f t="shared" si="73"/>
        <v>1679220.3223247482</v>
      </c>
      <c r="AW276" s="2">
        <f>AT276/(1+('PV IN'!$G$9))^(C276)</f>
        <v>3143.6654055983113</v>
      </c>
      <c r="AX276" s="2" t="e">
        <f>IF(C276&lt;='PV IN'!$O$22*12,AW276+AX275,NA())</f>
        <v>#N/A</v>
      </c>
      <c r="AZ276" s="10">
        <f t="shared" si="68"/>
        <v>-1375</v>
      </c>
      <c r="BA276" s="10">
        <f t="shared" si="69"/>
        <v>0</v>
      </c>
      <c r="BB276" s="10">
        <f t="shared" si="74"/>
        <v>-1375</v>
      </c>
      <c r="BC276" s="10">
        <f t="shared" si="75"/>
        <v>0</v>
      </c>
      <c r="BD276" s="10">
        <f t="shared" si="76"/>
        <v>-1375</v>
      </c>
      <c r="BE276" s="2">
        <f t="shared" si="77"/>
        <v>0</v>
      </c>
      <c r="BF276" s="10">
        <f t="shared" si="78"/>
        <v>-1375</v>
      </c>
      <c r="BG276" s="2">
        <f>-BF276*'PV IN'!$E$8</f>
        <v>288.75</v>
      </c>
      <c r="BH276" s="2">
        <f>IF('PV IN'!$F$4="Battery Only",0,BB276+BG276)</f>
        <v>-1086.25</v>
      </c>
      <c r="BI276" s="2">
        <f>BH276/(1+('PV IN'!$G$9))^(C276)</f>
        <v>-359.45043252976552</v>
      </c>
    </row>
    <row r="277" spans="2:61" x14ac:dyDescent="0.25">
      <c r="C277">
        <v>273</v>
      </c>
      <c r="D277" s="16">
        <f>D276*(1+('PV IN'!$G$6/12))</f>
        <v>7.5999999999999998E-2</v>
      </c>
      <c r="E277" s="16">
        <f>LkUP!$U$43</f>
        <v>8.3169508674233894E-2</v>
      </c>
      <c r="F277" s="16">
        <f>IF('PV IN'!$D$7="Table",E277,D277)</f>
        <v>8.3169508674233894E-2</v>
      </c>
      <c r="G277" s="33">
        <f>('PV IN'!$E$25*'PV IN'!$E$18/12)*(1-(1-'PV IN'!$E$27)/(25*12))^C276</f>
        <v>127201.28987636181</v>
      </c>
      <c r="H277" s="33">
        <f>IF('PV IN'!$D$19="YES",G277*'PV IN'!$E$21,0)</f>
        <v>0</v>
      </c>
      <c r="I277" s="33">
        <f>IF('PV IN'!$D$19="YES",'PV IN'!$E$22*BattCalcs!W277,0)</f>
        <v>0</v>
      </c>
      <c r="J277" s="33">
        <f>IF('PV IN'!$D$19="YES",'PV IN'!$E$23*BattCalcs!Y277,0)</f>
        <v>0</v>
      </c>
      <c r="K277" s="33">
        <f>BattCalcs!AF277</f>
        <v>25811.765833333331</v>
      </c>
      <c r="L277" s="33">
        <f t="shared" si="79"/>
        <v>25811.765833333331</v>
      </c>
      <c r="M277" s="33">
        <f>IF('PV IN'!$F$4="PV Only",G277,G277-SUM(H277:J277,L277))</f>
        <v>127201.28987636181</v>
      </c>
      <c r="N277" s="2">
        <f>IF(C277&lt;='PV IN'!$I$12*12,'PV IN'!$E$12*G277/1000,0)</f>
        <v>0</v>
      </c>
      <c r="O277" s="2">
        <f>IF(AND(C277&gt;'PV IN'!$I$12*12,C277&lt;='PV IN'!$I$13*12+'PV IN'!$I$12*12),'PV IN'!$E$13*PVCalcs!G277/1000,0)</f>
        <v>0</v>
      </c>
      <c r="P277" s="2">
        <f>IF(AND(C277&gt;'PV IN'!$I$12*12+'PV IN'!$I$13*12,C277&lt;='PV IN'!$I$12*12+'PV IN'!$I$13*12+'PV IN'!$I$14*12),'PV IN'!$E$14*PVCalcs!G277/1000,0)</f>
        <v>0</v>
      </c>
      <c r="R277" s="10">
        <f>IF(AND('PV IN'!$D$35="YES",$C277&lt;='PV IN'!$E$35*12),-'PV IN'!$E$18*'PV IN'!$E$34/12,0)</f>
        <v>0</v>
      </c>
      <c r="S277" s="10">
        <f>IF(AND('PV IN'!$D$37="YES",$C277&lt;='PV IN'!$E$37*12),-'PV IN'!$E$18*'PV IN'!$E$36/12,0)</f>
        <v>0</v>
      </c>
      <c r="U277" s="2">
        <f t="shared" si="80"/>
        <v>10579.268781745814</v>
      </c>
      <c r="V277" s="10">
        <f>PVLoan!M304</f>
        <v>0</v>
      </c>
      <c r="W277" s="2">
        <f>IF(C277='PV IN'!$I$40,IF('PV IN'!$G$40="Non-Taxable",'PV IN'!$F$40,0),0)+IF(C277='PV IN'!$I$41,IF('PV IN'!$G$41="Non-Taxable",'PV IN'!$F$41,0),0)</f>
        <v>0</v>
      </c>
      <c r="X277" s="10"/>
      <c r="Y277" s="10">
        <f>IF('PV IN'!$E$15="Non-Taxable",SUM(N277:P277),0)</f>
        <v>0</v>
      </c>
      <c r="Z277" s="10">
        <f>IF('PV IN'!$E$15="Taxable",SUM(N277:P277),0)</f>
        <v>0</v>
      </c>
      <c r="AA277" s="2">
        <f>IF(C277='PV IN'!$I$40,IF('PV IN'!$G$40="Taxable",'PV IN'!$F$40,0),0)+IF(C277='PV IN'!$I$41,IF('PV IN'!$G$41="Taxable",'PV IN'!$F$41,0),0)</f>
        <v>0</v>
      </c>
      <c r="AD277" s="10">
        <f>IF('PV IN'!$D$48="YES",-U277*'PV IN'!$E$8,0)</f>
        <v>0</v>
      </c>
      <c r="AE277" s="10">
        <f>IF('PV IN'!$N$10="Yes",-PVLoan!H305,-PVLoan!L305)</f>
        <v>0</v>
      </c>
      <c r="AF277" s="10">
        <f>IF('PV IN'!$N$10="Yes",-PVLoan!F305,0)</f>
        <v>0</v>
      </c>
      <c r="AG277" s="10">
        <f>IF(AND('PV IN'!$D$35="YES",$C277&lt;='PV IN'!$E$35*12),0,-'PV IN'!$E$18*'PV IN'!$E$34/12)</f>
        <v>-750</v>
      </c>
      <c r="AH277" s="10">
        <f>IF(AND('PV IN'!$D$37="YES",$C277&lt;='PV IN'!$E$37*12),0,-'PV IN'!$E$18*'PV IN'!$E$36/12)</f>
        <v>-625</v>
      </c>
      <c r="AI277" s="2">
        <f>IF(AND('PV IN'!$D$33="YES",PVCalcs!C277=ROUNDUP('PV IN'!$H$33*12,)),-'PV IN'!$E$33*'PV IN'!$E$18,0)</f>
        <v>0</v>
      </c>
      <c r="AK277" s="2">
        <f t="shared" si="65"/>
        <v>10579.268781745814</v>
      </c>
      <c r="AL277" s="2">
        <f t="shared" si="66"/>
        <v>-1375</v>
      </c>
      <c r="AM277" s="2">
        <f t="shared" si="70"/>
        <v>9204.2687817458136</v>
      </c>
      <c r="AN277" s="43"/>
      <c r="AO277" s="2">
        <f t="shared" si="67"/>
        <v>0</v>
      </c>
      <c r="AP277" s="2">
        <f t="shared" si="71"/>
        <v>-1375</v>
      </c>
      <c r="AR277" s="2">
        <f t="shared" si="72"/>
        <v>-1375</v>
      </c>
      <c r="AS277" s="2">
        <f>-AR277*'PV IN'!$E$8</f>
        <v>288.75</v>
      </c>
      <c r="AT277" s="2">
        <f>IF('PV IN'!$F$4="Battery Only",0,AM277+AS277)</f>
        <v>9493.0187817458136</v>
      </c>
      <c r="AV277" s="10">
        <f t="shared" si="73"/>
        <v>1688713.341106494</v>
      </c>
      <c r="AW277" s="2">
        <f>AT277/(1+('PV IN'!$G$9))^(C277)</f>
        <v>3128.583757543814</v>
      </c>
      <c r="AX277" s="2" t="e">
        <f>IF(C277&lt;='PV IN'!$O$22*12,AW277+AX276,NA())</f>
        <v>#N/A</v>
      </c>
      <c r="AZ277" s="10">
        <f t="shared" si="68"/>
        <v>-1375</v>
      </c>
      <c r="BA277" s="10">
        <f t="shared" si="69"/>
        <v>0</v>
      </c>
      <c r="BB277" s="10">
        <f t="shared" si="74"/>
        <v>-1375</v>
      </c>
      <c r="BC277" s="10">
        <f t="shared" si="75"/>
        <v>0</v>
      </c>
      <c r="BD277" s="10">
        <f t="shared" si="76"/>
        <v>-1375</v>
      </c>
      <c r="BE277" s="2">
        <f t="shared" si="77"/>
        <v>0</v>
      </c>
      <c r="BF277" s="10">
        <f t="shared" si="78"/>
        <v>-1375</v>
      </c>
      <c r="BG277" s="2">
        <f>-BF277*'PV IN'!$E$8</f>
        <v>288.75</v>
      </c>
      <c r="BH277" s="2">
        <f>IF('PV IN'!$F$4="Battery Only",0,BB277+BG277)</f>
        <v>-1086.25</v>
      </c>
      <c r="BI277" s="2">
        <f>BH277/(1+('PV IN'!$G$9))^(C277)</f>
        <v>-357.99192909707705</v>
      </c>
    </row>
    <row r="278" spans="2:61" x14ac:dyDescent="0.25">
      <c r="C278">
        <v>274</v>
      </c>
      <c r="D278" s="16">
        <f>D277*(1+('PV IN'!$G$6/12))</f>
        <v>7.5999999999999998E-2</v>
      </c>
      <c r="E278" s="16">
        <f>LkUP!$U$43</f>
        <v>8.3169508674233894E-2</v>
      </c>
      <c r="F278" s="16">
        <f>IF('PV IN'!$D$7="Table",E278,D278)</f>
        <v>8.3169508674233894E-2</v>
      </c>
      <c r="G278" s="33">
        <f>('PV IN'!$E$25*'PV IN'!$E$18/12)*(1-(1-'PV IN'!$E$27)/(25*12))^C277</f>
        <v>127116.48901644422</v>
      </c>
      <c r="H278" s="33">
        <f>IF('PV IN'!$D$19="YES",G278*'PV IN'!$E$21,0)</f>
        <v>0</v>
      </c>
      <c r="I278" s="33">
        <f>IF('PV IN'!$D$19="YES",'PV IN'!$E$22*BattCalcs!W278,0)</f>
        <v>0</v>
      </c>
      <c r="J278" s="33">
        <f>IF('PV IN'!$D$19="YES",'PV IN'!$E$23*BattCalcs!Y278,0)</f>
        <v>0</v>
      </c>
      <c r="K278" s="33">
        <f>BattCalcs!AF278</f>
        <v>25811.765833333331</v>
      </c>
      <c r="L278" s="33">
        <f t="shared" si="79"/>
        <v>25811.765833333331</v>
      </c>
      <c r="M278" s="33">
        <f>IF('PV IN'!$F$4="PV Only",G278,G278-SUM(H278:J278,L278))</f>
        <v>127116.48901644422</v>
      </c>
      <c r="N278" s="2">
        <f>IF(C278&lt;='PV IN'!$I$12*12,'PV IN'!$E$12*G278/1000,0)</f>
        <v>0</v>
      </c>
      <c r="O278" s="2">
        <f>IF(AND(C278&gt;'PV IN'!$I$12*12,C278&lt;='PV IN'!$I$13*12+'PV IN'!$I$12*12),'PV IN'!$E$13*PVCalcs!G278/1000,0)</f>
        <v>0</v>
      </c>
      <c r="P278" s="2">
        <f>IF(AND(C278&gt;'PV IN'!$I$12*12+'PV IN'!$I$13*12,C278&lt;='PV IN'!$I$12*12+'PV IN'!$I$13*12+'PV IN'!$I$14*12),'PV IN'!$E$14*PVCalcs!G278/1000,0)</f>
        <v>0</v>
      </c>
      <c r="R278" s="10">
        <f>IF(AND('PV IN'!$D$35="YES",$C278&lt;='PV IN'!$E$35*12),-'PV IN'!$E$18*'PV IN'!$E$34/12,0)</f>
        <v>0</v>
      </c>
      <c r="S278" s="10">
        <f>IF(AND('PV IN'!$D$37="YES",$C278&lt;='PV IN'!$E$37*12),-'PV IN'!$E$18*'PV IN'!$E$36/12,0)</f>
        <v>0</v>
      </c>
      <c r="U278" s="2">
        <f t="shared" si="80"/>
        <v>10572.215935891314</v>
      </c>
      <c r="V278" s="10">
        <f>PVLoan!M305</f>
        <v>0</v>
      </c>
      <c r="W278" s="2">
        <f>IF(C278='PV IN'!$I$40,IF('PV IN'!$G$40="Non-Taxable",'PV IN'!$F$40,0),0)+IF(C278='PV IN'!$I$41,IF('PV IN'!$G$41="Non-Taxable",'PV IN'!$F$41,0),0)</f>
        <v>0</v>
      </c>
      <c r="X278" s="10"/>
      <c r="Y278" s="10">
        <f>IF('PV IN'!$E$15="Non-Taxable",SUM(N278:P278),0)</f>
        <v>0</v>
      </c>
      <c r="Z278" s="10">
        <f>IF('PV IN'!$E$15="Taxable",SUM(N278:P278),0)</f>
        <v>0</v>
      </c>
      <c r="AA278" s="2">
        <f>IF(C278='PV IN'!$I$40,IF('PV IN'!$G$40="Taxable",'PV IN'!$F$40,0),0)+IF(C278='PV IN'!$I$41,IF('PV IN'!$G$41="Taxable",'PV IN'!$F$41,0),0)</f>
        <v>0</v>
      </c>
      <c r="AD278" s="10">
        <f>IF('PV IN'!$D$48="YES",-U278*'PV IN'!$E$8,0)</f>
        <v>0</v>
      </c>
      <c r="AE278" s="10">
        <f>IF('PV IN'!$N$10="Yes",-PVLoan!H306,-PVLoan!L306)</f>
        <v>0</v>
      </c>
      <c r="AF278" s="10">
        <f>IF('PV IN'!$N$10="Yes",-PVLoan!F306,0)</f>
        <v>0</v>
      </c>
      <c r="AG278" s="10">
        <f>IF(AND('PV IN'!$D$35="YES",$C278&lt;='PV IN'!$E$35*12),0,-'PV IN'!$E$18*'PV IN'!$E$34/12)</f>
        <v>-750</v>
      </c>
      <c r="AH278" s="10">
        <f>IF(AND('PV IN'!$D$37="YES",$C278&lt;='PV IN'!$E$37*12),0,-'PV IN'!$E$18*'PV IN'!$E$36/12)</f>
        <v>-625</v>
      </c>
      <c r="AI278" s="2">
        <f>IF(AND('PV IN'!$D$33="YES",PVCalcs!C278=ROUNDUP('PV IN'!$H$33*12,)),-'PV IN'!$E$33*'PV IN'!$E$18,0)</f>
        <v>0</v>
      </c>
      <c r="AK278" s="2">
        <f t="shared" si="65"/>
        <v>10572.215935891314</v>
      </c>
      <c r="AL278" s="2">
        <f t="shared" si="66"/>
        <v>-1375</v>
      </c>
      <c r="AM278" s="2">
        <f t="shared" si="70"/>
        <v>9197.2159358913141</v>
      </c>
      <c r="AN278" s="43"/>
      <c r="AO278" s="2">
        <f t="shared" si="67"/>
        <v>0</v>
      </c>
      <c r="AP278" s="2">
        <f t="shared" si="71"/>
        <v>-1375</v>
      </c>
      <c r="AR278" s="2">
        <f t="shared" si="72"/>
        <v>-1375</v>
      </c>
      <c r="AS278" s="2">
        <f>-AR278*'PV IN'!$E$8</f>
        <v>288.75</v>
      </c>
      <c r="AT278" s="2">
        <f>IF('PV IN'!$F$4="Battery Only",0,AM278+AS278)</f>
        <v>9485.9659358913141</v>
      </c>
      <c r="AV278" s="10">
        <f t="shared" si="73"/>
        <v>1698199.3070423852</v>
      </c>
      <c r="AW278" s="2">
        <f>AT278/(1+('PV IN'!$G$9))^(C278)</f>
        <v>3113.5742866991218</v>
      </c>
      <c r="AX278" s="2" t="e">
        <f>IF(C278&lt;='PV IN'!$O$22*12,AW278+AX277,NA())</f>
        <v>#N/A</v>
      </c>
      <c r="AZ278" s="10">
        <f t="shared" si="68"/>
        <v>-1375</v>
      </c>
      <c r="BA278" s="10">
        <f t="shared" si="69"/>
        <v>0</v>
      </c>
      <c r="BB278" s="10">
        <f t="shared" si="74"/>
        <v>-1375</v>
      </c>
      <c r="BC278" s="10">
        <f t="shared" si="75"/>
        <v>0</v>
      </c>
      <c r="BD278" s="10">
        <f t="shared" si="76"/>
        <v>-1375</v>
      </c>
      <c r="BE278" s="2">
        <f t="shared" si="77"/>
        <v>0</v>
      </c>
      <c r="BF278" s="10">
        <f t="shared" si="78"/>
        <v>-1375</v>
      </c>
      <c r="BG278" s="2">
        <f>-BF278*'PV IN'!$E$8</f>
        <v>288.75</v>
      </c>
      <c r="BH278" s="2">
        <f>IF('PV IN'!$F$4="Battery Only",0,BB278+BG278)</f>
        <v>-1086.25</v>
      </c>
      <c r="BI278" s="2">
        <f>BH278/(1+('PV IN'!$G$9))^(C278)</f>
        <v>-356.53934367719535</v>
      </c>
    </row>
    <row r="279" spans="2:61" x14ac:dyDescent="0.25">
      <c r="C279">
        <v>275</v>
      </c>
      <c r="D279" s="16">
        <f>D278*(1+('PV IN'!$G$6/12))</f>
        <v>7.5999999999999998E-2</v>
      </c>
      <c r="E279" s="16">
        <f>LkUP!$U$43</f>
        <v>8.3169508674233894E-2</v>
      </c>
      <c r="F279" s="16">
        <f>IF('PV IN'!$D$7="Table",E279,D279)</f>
        <v>8.3169508674233894E-2</v>
      </c>
      <c r="G279" s="33">
        <f>('PV IN'!$E$25*'PV IN'!$E$18/12)*(1-(1-'PV IN'!$E$27)/(25*12))^C278</f>
        <v>127031.74469043326</v>
      </c>
      <c r="H279" s="33">
        <f>IF('PV IN'!$D$19="YES",G279*'PV IN'!$E$21,0)</f>
        <v>0</v>
      </c>
      <c r="I279" s="33">
        <f>IF('PV IN'!$D$19="YES",'PV IN'!$E$22*BattCalcs!W279,0)</f>
        <v>0</v>
      </c>
      <c r="J279" s="33">
        <f>IF('PV IN'!$D$19="YES",'PV IN'!$E$23*BattCalcs!Y279,0)</f>
        <v>0</v>
      </c>
      <c r="K279" s="33">
        <f>BattCalcs!AF279</f>
        <v>25811.765833333331</v>
      </c>
      <c r="L279" s="33">
        <f t="shared" si="79"/>
        <v>25811.765833333331</v>
      </c>
      <c r="M279" s="33">
        <f>IF('PV IN'!$F$4="PV Only",G279,G279-SUM(H279:J279,L279))</f>
        <v>127031.74469043326</v>
      </c>
      <c r="N279" s="2">
        <f>IF(C279&lt;='PV IN'!$I$12*12,'PV IN'!$E$12*G279/1000,0)</f>
        <v>0</v>
      </c>
      <c r="O279" s="2">
        <f>IF(AND(C279&gt;'PV IN'!$I$12*12,C279&lt;='PV IN'!$I$13*12+'PV IN'!$I$12*12),'PV IN'!$E$13*PVCalcs!G279/1000,0)</f>
        <v>0</v>
      </c>
      <c r="P279" s="2">
        <f>IF(AND(C279&gt;'PV IN'!$I$12*12+'PV IN'!$I$13*12,C279&lt;='PV IN'!$I$12*12+'PV IN'!$I$13*12+'PV IN'!$I$14*12),'PV IN'!$E$14*PVCalcs!G279/1000,0)</f>
        <v>0</v>
      </c>
      <c r="R279" s="10">
        <f>IF(AND('PV IN'!$D$35="YES",$C279&lt;='PV IN'!$E$35*12),-'PV IN'!$E$18*'PV IN'!$E$34/12,0)</f>
        <v>0</v>
      </c>
      <c r="S279" s="10">
        <f>IF(AND('PV IN'!$D$37="YES",$C279&lt;='PV IN'!$E$37*12),-'PV IN'!$E$18*'PV IN'!$E$36/12,0)</f>
        <v>0</v>
      </c>
      <c r="U279" s="2">
        <f t="shared" si="80"/>
        <v>10565.167791934055</v>
      </c>
      <c r="V279" s="10">
        <f>PVLoan!M306</f>
        <v>0</v>
      </c>
      <c r="W279" s="2">
        <f>IF(C279='PV IN'!$I$40,IF('PV IN'!$G$40="Non-Taxable",'PV IN'!$F$40,0),0)+IF(C279='PV IN'!$I$41,IF('PV IN'!$G$41="Non-Taxable",'PV IN'!$F$41,0),0)</f>
        <v>0</v>
      </c>
      <c r="X279" s="10"/>
      <c r="Y279" s="10">
        <f>IF('PV IN'!$E$15="Non-Taxable",SUM(N279:P279),0)</f>
        <v>0</v>
      </c>
      <c r="Z279" s="10">
        <f>IF('PV IN'!$E$15="Taxable",SUM(N279:P279),0)</f>
        <v>0</v>
      </c>
      <c r="AA279" s="2">
        <f>IF(C279='PV IN'!$I$40,IF('PV IN'!$G$40="Taxable",'PV IN'!$F$40,0),0)+IF(C279='PV IN'!$I$41,IF('PV IN'!$G$41="Taxable",'PV IN'!$F$41,0),0)</f>
        <v>0</v>
      </c>
      <c r="AD279" s="10">
        <f>IF('PV IN'!$D$48="YES",-U279*'PV IN'!$E$8,0)</f>
        <v>0</v>
      </c>
      <c r="AE279" s="10">
        <f>IF('PV IN'!$N$10="Yes",-PVLoan!H307,-PVLoan!L307)</f>
        <v>0</v>
      </c>
      <c r="AF279" s="10">
        <f>IF('PV IN'!$N$10="Yes",-PVLoan!F307,0)</f>
        <v>0</v>
      </c>
      <c r="AG279" s="10">
        <f>IF(AND('PV IN'!$D$35="YES",$C279&lt;='PV IN'!$E$35*12),0,-'PV IN'!$E$18*'PV IN'!$E$34/12)</f>
        <v>-750</v>
      </c>
      <c r="AH279" s="10">
        <f>IF(AND('PV IN'!$D$37="YES",$C279&lt;='PV IN'!$E$37*12),0,-'PV IN'!$E$18*'PV IN'!$E$36/12)</f>
        <v>-625</v>
      </c>
      <c r="AI279" s="2">
        <f>IF(AND('PV IN'!$D$33="YES",PVCalcs!C279=ROUNDUP('PV IN'!$H$33*12,)),-'PV IN'!$E$33*'PV IN'!$E$18,0)</f>
        <v>0</v>
      </c>
      <c r="AK279" s="2">
        <f t="shared" si="65"/>
        <v>10565.167791934055</v>
      </c>
      <c r="AL279" s="2">
        <f t="shared" si="66"/>
        <v>-1375</v>
      </c>
      <c r="AM279" s="2">
        <f t="shared" si="70"/>
        <v>9190.1677919340545</v>
      </c>
      <c r="AN279" s="43"/>
      <c r="AO279" s="2">
        <f t="shared" si="67"/>
        <v>0</v>
      </c>
      <c r="AP279" s="2">
        <f t="shared" si="71"/>
        <v>-1375</v>
      </c>
      <c r="AR279" s="2">
        <f t="shared" si="72"/>
        <v>-1375</v>
      </c>
      <c r="AS279" s="2">
        <f>-AR279*'PV IN'!$E$8</f>
        <v>288.75</v>
      </c>
      <c r="AT279" s="2">
        <f>IF('PV IN'!$F$4="Battery Only",0,AM279+AS279)</f>
        <v>9478.9177919340545</v>
      </c>
      <c r="AV279" s="10">
        <f t="shared" si="73"/>
        <v>1707678.2248343192</v>
      </c>
      <c r="AW279" s="2">
        <f>AT279/(1+('PV IN'!$G$9))^(C279)</f>
        <v>3098.6366483462925</v>
      </c>
      <c r="AX279" s="2" t="e">
        <f>IF(C279&lt;='PV IN'!$O$22*12,AW279+AX278,NA())</f>
        <v>#N/A</v>
      </c>
      <c r="AZ279" s="10">
        <f t="shared" si="68"/>
        <v>-1375</v>
      </c>
      <c r="BA279" s="10">
        <f t="shared" si="69"/>
        <v>0</v>
      </c>
      <c r="BB279" s="10">
        <f t="shared" si="74"/>
        <v>-1375</v>
      </c>
      <c r="BC279" s="10">
        <f t="shared" si="75"/>
        <v>0</v>
      </c>
      <c r="BD279" s="10">
        <f t="shared" si="76"/>
        <v>-1375</v>
      </c>
      <c r="BE279" s="2">
        <f t="shared" si="77"/>
        <v>0</v>
      </c>
      <c r="BF279" s="10">
        <f t="shared" si="78"/>
        <v>-1375</v>
      </c>
      <c r="BG279" s="2">
        <f>-BF279*'PV IN'!$E$8</f>
        <v>288.75</v>
      </c>
      <c r="BH279" s="2">
        <f>IF('PV IN'!$F$4="Battery Only",0,BB279+BG279)</f>
        <v>-1086.25</v>
      </c>
      <c r="BI279" s="2">
        <f>BH279/(1+('PV IN'!$G$9))^(C279)</f>
        <v>-355.09265225723533</v>
      </c>
    </row>
    <row r="280" spans="2:61" x14ac:dyDescent="0.25">
      <c r="B280">
        <v>23</v>
      </c>
      <c r="C280">
        <v>276</v>
      </c>
      <c r="D280" s="16">
        <f>D279*(1+('PV IN'!$G$6/12))</f>
        <v>7.5999999999999998E-2</v>
      </c>
      <c r="E280" s="16">
        <f>LkUP!$U$43</f>
        <v>8.3169508674233894E-2</v>
      </c>
      <c r="F280" s="16">
        <f>IF('PV IN'!$D$7="Table",E280,D280)</f>
        <v>8.3169508674233894E-2</v>
      </c>
      <c r="G280" s="33">
        <f>('PV IN'!$E$25*'PV IN'!$E$18/12)*(1-(1-'PV IN'!$E$27)/(25*12))^C279</f>
        <v>126947.05686063964</v>
      </c>
      <c r="H280" s="33">
        <f>IF('PV IN'!$D$19="YES",G280*'PV IN'!$E$21,0)</f>
        <v>0</v>
      </c>
      <c r="I280" s="33">
        <f>IF('PV IN'!$D$19="YES",'PV IN'!$E$22*BattCalcs!W280,0)</f>
        <v>0</v>
      </c>
      <c r="J280" s="33">
        <f>IF('PV IN'!$D$19="YES",'PV IN'!$E$23*BattCalcs!Y280,0)</f>
        <v>0</v>
      </c>
      <c r="K280" s="33">
        <f>BattCalcs!AF280</f>
        <v>25811.765833333331</v>
      </c>
      <c r="L280" s="33">
        <f t="shared" si="79"/>
        <v>25811.765833333331</v>
      </c>
      <c r="M280" s="33">
        <f>IF('PV IN'!$F$4="PV Only",G280,G280-SUM(H280:J280,L280))</f>
        <v>126947.05686063964</v>
      </c>
      <c r="N280" s="2">
        <f>IF(C280&lt;='PV IN'!$I$12*12,'PV IN'!$E$12*G280/1000,0)</f>
        <v>0</v>
      </c>
      <c r="O280" s="2">
        <f>IF(AND(C280&gt;'PV IN'!$I$12*12,C280&lt;='PV IN'!$I$13*12+'PV IN'!$I$12*12),'PV IN'!$E$13*PVCalcs!G280/1000,0)</f>
        <v>0</v>
      </c>
      <c r="P280" s="2">
        <f>IF(AND(C280&gt;'PV IN'!$I$12*12+'PV IN'!$I$13*12,C280&lt;='PV IN'!$I$12*12+'PV IN'!$I$13*12+'PV IN'!$I$14*12),'PV IN'!$E$14*PVCalcs!G280/1000,0)</f>
        <v>0</v>
      </c>
      <c r="R280" s="10">
        <f>IF(AND('PV IN'!$D$35="YES",$C280&lt;='PV IN'!$E$35*12),-'PV IN'!$E$18*'PV IN'!$E$34/12,0)</f>
        <v>0</v>
      </c>
      <c r="S280" s="10">
        <f>IF(AND('PV IN'!$D$37="YES",$C280&lt;='PV IN'!$E$37*12),-'PV IN'!$E$18*'PV IN'!$E$36/12,0)</f>
        <v>0</v>
      </c>
      <c r="U280" s="2">
        <f t="shared" si="80"/>
        <v>10558.124346739432</v>
      </c>
      <c r="V280" s="10">
        <f>PVLoan!M307</f>
        <v>0</v>
      </c>
      <c r="W280" s="2">
        <f>IF(C280='PV IN'!$I$40,IF('PV IN'!$G$40="Non-Taxable",'PV IN'!$F$40,0),0)+IF(C280='PV IN'!$I$41,IF('PV IN'!$G$41="Non-Taxable",'PV IN'!$F$41,0),0)</f>
        <v>0</v>
      </c>
      <c r="X280" s="10"/>
      <c r="Y280" s="10">
        <f>IF('PV IN'!$E$15="Non-Taxable",SUM(N280:P280),0)</f>
        <v>0</v>
      </c>
      <c r="Z280" s="10">
        <f>IF('PV IN'!$E$15="Taxable",SUM(N280:P280),0)</f>
        <v>0</v>
      </c>
      <c r="AA280" s="2">
        <f>IF(C280='PV IN'!$I$40,IF('PV IN'!$G$40="Taxable",'PV IN'!$F$40,0),0)+IF(C280='PV IN'!$I$41,IF('PV IN'!$G$41="Taxable",'PV IN'!$F$41,0),0)</f>
        <v>0</v>
      </c>
      <c r="AD280" s="10">
        <f>IF('PV IN'!$D$48="YES",-U280*'PV IN'!$E$8,0)</f>
        <v>0</v>
      </c>
      <c r="AE280" s="10">
        <f>IF('PV IN'!$N$10="Yes",-PVLoan!H308,-PVLoan!L308)</f>
        <v>0</v>
      </c>
      <c r="AF280" s="10">
        <f>IF('PV IN'!$N$10="Yes",-PVLoan!F308,0)</f>
        <v>0</v>
      </c>
      <c r="AG280" s="10">
        <f>IF(AND('PV IN'!$D$35="YES",$C280&lt;='PV IN'!$E$35*12),0,-'PV IN'!$E$18*'PV IN'!$E$34/12)</f>
        <v>-750</v>
      </c>
      <c r="AH280" s="10">
        <f>IF(AND('PV IN'!$D$37="YES",$C280&lt;='PV IN'!$E$37*12),0,-'PV IN'!$E$18*'PV IN'!$E$36/12)</f>
        <v>-625</v>
      </c>
      <c r="AI280" s="2">
        <f>IF(AND('PV IN'!$D$33="YES",PVCalcs!C280=ROUNDUP('PV IN'!$H$33*12,)),-'PV IN'!$E$33*'PV IN'!$E$18,0)</f>
        <v>0</v>
      </c>
      <c r="AK280" s="2">
        <f t="shared" si="65"/>
        <v>10558.124346739432</v>
      </c>
      <c r="AL280" s="2">
        <f t="shared" si="66"/>
        <v>-1375</v>
      </c>
      <c r="AM280" s="2">
        <f t="shared" si="70"/>
        <v>9183.1243467394324</v>
      </c>
      <c r="AN280" s="43"/>
      <c r="AO280" s="2">
        <f t="shared" si="67"/>
        <v>0</v>
      </c>
      <c r="AP280" s="2">
        <f t="shared" si="71"/>
        <v>-1375</v>
      </c>
      <c r="AR280" s="2">
        <f t="shared" si="72"/>
        <v>-1375</v>
      </c>
      <c r="AS280" s="2">
        <f>-AR280*'PV IN'!$E$8</f>
        <v>288.75</v>
      </c>
      <c r="AT280" s="2">
        <f>IF('PV IN'!$F$4="Battery Only",0,AM280+AS280)</f>
        <v>9471.8743467394324</v>
      </c>
      <c r="AV280" s="10">
        <f t="shared" si="73"/>
        <v>1717150.0991810586</v>
      </c>
      <c r="AW280" s="2">
        <f>AT280/(1+('PV IN'!$G$9))^(C280)</f>
        <v>3083.7704994109272</v>
      </c>
      <c r="AX280" s="2" t="e">
        <f>IF(C280&lt;='PV IN'!$O$22*12,AW280+AX279,NA())</f>
        <v>#N/A</v>
      </c>
      <c r="AZ280" s="10">
        <f t="shared" si="68"/>
        <v>-1375</v>
      </c>
      <c r="BA280" s="10">
        <f t="shared" si="69"/>
        <v>0</v>
      </c>
      <c r="BB280" s="10">
        <f t="shared" si="74"/>
        <v>-1375</v>
      </c>
      <c r="BC280" s="10">
        <f t="shared" si="75"/>
        <v>0</v>
      </c>
      <c r="BD280" s="10">
        <f t="shared" si="76"/>
        <v>-1375</v>
      </c>
      <c r="BE280" s="2">
        <f t="shared" si="77"/>
        <v>0</v>
      </c>
      <c r="BF280" s="10">
        <f t="shared" si="78"/>
        <v>-1375</v>
      </c>
      <c r="BG280" s="2">
        <f>-BF280*'PV IN'!$E$8</f>
        <v>288.75</v>
      </c>
      <c r="BH280" s="2">
        <f>IF('PV IN'!$F$4="Battery Only",0,BB280+BG280)</f>
        <v>-1086.25</v>
      </c>
      <c r="BI280" s="2">
        <f>BH280/(1+('PV IN'!$G$9))^(C280)</f>
        <v>-353.6518309217463</v>
      </c>
    </row>
    <row r="281" spans="2:61" x14ac:dyDescent="0.25">
      <c r="C281">
        <v>277</v>
      </c>
      <c r="D281" s="16">
        <f>D280*(1+('PV IN'!$G$6/12))</f>
        <v>7.5999999999999998E-2</v>
      </c>
      <c r="E281" s="16">
        <f>LkUP!$U$44</f>
        <v>8.2693233167724894E-2</v>
      </c>
      <c r="F281" s="16">
        <f>IF('PV IN'!$D$7="Table",E281,D281)</f>
        <v>8.2693233167724894E-2</v>
      </c>
      <c r="G281" s="33">
        <f>('PV IN'!$E$25*'PV IN'!$E$18/12)*(1-(1-'PV IN'!$E$27)/(25*12))^C280</f>
        <v>126862.4254893992</v>
      </c>
      <c r="H281" s="33">
        <f>IF('PV IN'!$D$19="YES",G281*'PV IN'!$E$21,0)</f>
        <v>0</v>
      </c>
      <c r="I281" s="33">
        <f>IF('PV IN'!$D$19="YES",'PV IN'!$E$22*BattCalcs!W281,0)</f>
        <v>0</v>
      </c>
      <c r="J281" s="33">
        <f>IF('PV IN'!$D$19="YES",'PV IN'!$E$23*BattCalcs!Y281,0)</f>
        <v>0</v>
      </c>
      <c r="K281" s="33">
        <f>BattCalcs!AF281</f>
        <v>25811.765833333331</v>
      </c>
      <c r="L281" s="33">
        <f t="shared" si="79"/>
        <v>25811.765833333331</v>
      </c>
      <c r="M281" s="33">
        <f>IF('PV IN'!$F$4="PV Only",G281,G281-SUM(H281:J281,L281))</f>
        <v>126862.4254893992</v>
      </c>
      <c r="N281" s="2">
        <f>IF(C281&lt;='PV IN'!$I$12*12,'PV IN'!$E$12*G281/1000,0)</f>
        <v>0</v>
      </c>
      <c r="O281" s="2">
        <f>IF(AND(C281&gt;'PV IN'!$I$12*12,C281&lt;='PV IN'!$I$13*12+'PV IN'!$I$12*12),'PV IN'!$E$13*PVCalcs!G281/1000,0)</f>
        <v>0</v>
      </c>
      <c r="P281" s="2">
        <f>IF(AND(C281&gt;'PV IN'!$I$12*12+'PV IN'!$I$13*12,C281&lt;='PV IN'!$I$12*12+'PV IN'!$I$13*12+'PV IN'!$I$14*12),'PV IN'!$E$14*PVCalcs!G281/1000,0)</f>
        <v>0</v>
      </c>
      <c r="R281" s="10">
        <f>IF(AND('PV IN'!$D$35="YES",$C281&lt;='PV IN'!$E$35*12),-'PV IN'!$E$18*'PV IN'!$E$34/12,0)</f>
        <v>0</v>
      </c>
      <c r="S281" s="10">
        <f>IF(AND('PV IN'!$D$37="YES",$C281&lt;='PV IN'!$E$37*12),-'PV IN'!$E$18*'PV IN'!$E$36/12,0)</f>
        <v>0</v>
      </c>
      <c r="U281" s="2">
        <f t="shared" si="80"/>
        <v>10490.664131218015</v>
      </c>
      <c r="V281" s="10">
        <f>PVLoan!M308</f>
        <v>0</v>
      </c>
      <c r="W281" s="2">
        <f>IF(C281='PV IN'!$I$40,IF('PV IN'!$G$40="Non-Taxable",'PV IN'!$F$40,0),0)+IF(C281='PV IN'!$I$41,IF('PV IN'!$G$41="Non-Taxable",'PV IN'!$F$41,0),0)</f>
        <v>0</v>
      </c>
      <c r="X281" s="10"/>
      <c r="Y281" s="10">
        <f>IF('PV IN'!$E$15="Non-Taxable",SUM(N281:P281),0)</f>
        <v>0</v>
      </c>
      <c r="Z281" s="10">
        <f>IF('PV IN'!$E$15="Taxable",SUM(N281:P281),0)</f>
        <v>0</v>
      </c>
      <c r="AA281" s="2">
        <f>IF(C281='PV IN'!$I$40,IF('PV IN'!$G$40="Taxable",'PV IN'!$F$40,0),0)+IF(C281='PV IN'!$I$41,IF('PV IN'!$G$41="Taxable",'PV IN'!$F$41,0),0)</f>
        <v>0</v>
      </c>
      <c r="AD281" s="10">
        <f>IF('PV IN'!$D$48="YES",-U281*'PV IN'!$E$8,0)</f>
        <v>0</v>
      </c>
      <c r="AE281" s="10">
        <f>IF('PV IN'!$N$10="Yes",-PVLoan!H309,-PVLoan!L309)</f>
        <v>0</v>
      </c>
      <c r="AF281" s="10">
        <f>IF('PV IN'!$N$10="Yes",-PVLoan!F309,0)</f>
        <v>0</v>
      </c>
      <c r="AG281" s="10">
        <f>IF(AND('PV IN'!$D$35="YES",$C281&lt;='PV IN'!$E$35*12),0,-'PV IN'!$E$18*'PV IN'!$E$34/12)</f>
        <v>-750</v>
      </c>
      <c r="AH281" s="10">
        <f>IF(AND('PV IN'!$D$37="YES",$C281&lt;='PV IN'!$E$37*12),0,-'PV IN'!$E$18*'PV IN'!$E$36/12)</f>
        <v>-625</v>
      </c>
      <c r="AI281" s="2">
        <f>IF(AND('PV IN'!$D$33="YES",PVCalcs!C281=ROUNDUP('PV IN'!$H$33*12,)),-'PV IN'!$E$33*'PV IN'!$E$18,0)</f>
        <v>0</v>
      </c>
      <c r="AK281" s="2">
        <f t="shared" si="65"/>
        <v>10490.664131218015</v>
      </c>
      <c r="AL281" s="2">
        <f t="shared" si="66"/>
        <v>-1375</v>
      </c>
      <c r="AM281" s="2">
        <f t="shared" si="70"/>
        <v>9115.6641312180145</v>
      </c>
      <c r="AN281" s="43"/>
      <c r="AO281" s="2">
        <f t="shared" si="67"/>
        <v>0</v>
      </c>
      <c r="AP281" s="2">
        <f t="shared" si="71"/>
        <v>-1375</v>
      </c>
      <c r="AR281" s="2">
        <f t="shared" si="72"/>
        <v>-1375</v>
      </c>
      <c r="AS281" s="2">
        <f>-AR281*'PV IN'!$E$8</f>
        <v>288.75</v>
      </c>
      <c r="AT281" s="2">
        <f>IF('PV IN'!$F$4="Battery Only",0,AM281+AS281)</f>
        <v>9404.4141312180145</v>
      </c>
      <c r="AV281" s="10">
        <f t="shared" si="73"/>
        <v>1726554.5133122767</v>
      </c>
      <c r="AW281" s="2">
        <f>AT281/(1+('PV IN'!$G$9))^(C281)</f>
        <v>3049.383821800418</v>
      </c>
      <c r="AX281" s="2" t="e">
        <f>IF(C281&lt;='PV IN'!$O$22*12,AW281+AX280,NA())</f>
        <v>#N/A</v>
      </c>
      <c r="AZ281" s="10">
        <f t="shared" si="68"/>
        <v>-1375</v>
      </c>
      <c r="BA281" s="10">
        <f t="shared" si="69"/>
        <v>0</v>
      </c>
      <c r="BB281" s="10">
        <f t="shared" si="74"/>
        <v>-1375</v>
      </c>
      <c r="BC281" s="10">
        <f t="shared" si="75"/>
        <v>0</v>
      </c>
      <c r="BD281" s="10">
        <f t="shared" si="76"/>
        <v>-1375</v>
      </c>
      <c r="BE281" s="2">
        <f t="shared" si="77"/>
        <v>0</v>
      </c>
      <c r="BF281" s="10">
        <f t="shared" si="78"/>
        <v>-1375</v>
      </c>
      <c r="BG281" s="2">
        <f>-BF281*'PV IN'!$E$8</f>
        <v>288.75</v>
      </c>
      <c r="BH281" s="2">
        <f>IF('PV IN'!$F$4="Battery Only",0,BB281+BG281)</f>
        <v>-1086.25</v>
      </c>
      <c r="BI281" s="2">
        <f>BH281/(1+('PV IN'!$G$9))^(C281)</f>
        <v>-352.21685585231648</v>
      </c>
    </row>
    <row r="282" spans="2:61" x14ac:dyDescent="0.25">
      <c r="C282">
        <v>278</v>
      </c>
      <c r="D282" s="16">
        <f>D281*(1+('PV IN'!$G$6/12))</f>
        <v>7.5999999999999998E-2</v>
      </c>
      <c r="E282" s="16">
        <f>LkUP!$U$44</f>
        <v>8.2693233167724894E-2</v>
      </c>
      <c r="F282" s="16">
        <f>IF('PV IN'!$D$7="Table",E282,D282)</f>
        <v>8.2693233167724894E-2</v>
      </c>
      <c r="G282" s="33">
        <f>('PV IN'!$E$25*'PV IN'!$E$18/12)*(1-(1-'PV IN'!$E$27)/(25*12))^C281</f>
        <v>126777.85053907293</v>
      </c>
      <c r="H282" s="33">
        <f>IF('PV IN'!$D$19="YES",G282*'PV IN'!$E$21,0)</f>
        <v>0</v>
      </c>
      <c r="I282" s="33">
        <f>IF('PV IN'!$D$19="YES",'PV IN'!$E$22*BattCalcs!W282,0)</f>
        <v>0</v>
      </c>
      <c r="J282" s="33">
        <f>IF('PV IN'!$D$19="YES",'PV IN'!$E$23*BattCalcs!Y282,0)</f>
        <v>0</v>
      </c>
      <c r="K282" s="33">
        <f>BattCalcs!AF282</f>
        <v>25811.765833333331</v>
      </c>
      <c r="L282" s="33">
        <f t="shared" si="79"/>
        <v>25811.765833333331</v>
      </c>
      <c r="M282" s="33">
        <f>IF('PV IN'!$F$4="PV Only",G282,G282-SUM(H282:J282,L282))</f>
        <v>126777.85053907293</v>
      </c>
      <c r="N282" s="2">
        <f>IF(C282&lt;='PV IN'!$I$12*12,'PV IN'!$E$12*G282/1000,0)</f>
        <v>0</v>
      </c>
      <c r="O282" s="2">
        <f>IF(AND(C282&gt;'PV IN'!$I$12*12,C282&lt;='PV IN'!$I$13*12+'PV IN'!$I$12*12),'PV IN'!$E$13*PVCalcs!G282/1000,0)</f>
        <v>0</v>
      </c>
      <c r="P282" s="2">
        <f>IF(AND(C282&gt;'PV IN'!$I$12*12+'PV IN'!$I$13*12,C282&lt;='PV IN'!$I$12*12+'PV IN'!$I$13*12+'PV IN'!$I$14*12),'PV IN'!$E$14*PVCalcs!G282/1000,0)</f>
        <v>0</v>
      </c>
      <c r="R282" s="10">
        <f>IF(AND('PV IN'!$D$35="YES",$C282&lt;='PV IN'!$E$35*12),-'PV IN'!$E$18*'PV IN'!$E$34/12,0)</f>
        <v>0</v>
      </c>
      <c r="S282" s="10">
        <f>IF(AND('PV IN'!$D$37="YES",$C282&lt;='PV IN'!$E$37*12),-'PV IN'!$E$18*'PV IN'!$E$36/12,0)</f>
        <v>0</v>
      </c>
      <c r="U282" s="2">
        <f t="shared" si="80"/>
        <v>10483.670355130535</v>
      </c>
      <c r="V282" s="10">
        <f>PVLoan!M309</f>
        <v>0</v>
      </c>
      <c r="W282" s="2">
        <f>IF(C282='PV IN'!$I$40,IF('PV IN'!$G$40="Non-Taxable",'PV IN'!$F$40,0),0)+IF(C282='PV IN'!$I$41,IF('PV IN'!$G$41="Non-Taxable",'PV IN'!$F$41,0),0)</f>
        <v>0</v>
      </c>
      <c r="X282" s="10"/>
      <c r="Y282" s="10">
        <f>IF('PV IN'!$E$15="Non-Taxable",SUM(N282:P282),0)</f>
        <v>0</v>
      </c>
      <c r="Z282" s="10">
        <f>IF('PV IN'!$E$15="Taxable",SUM(N282:P282),0)</f>
        <v>0</v>
      </c>
      <c r="AA282" s="2">
        <f>IF(C282='PV IN'!$I$40,IF('PV IN'!$G$40="Taxable",'PV IN'!$F$40,0),0)+IF(C282='PV IN'!$I$41,IF('PV IN'!$G$41="Taxable",'PV IN'!$F$41,0),0)</f>
        <v>0</v>
      </c>
      <c r="AD282" s="10">
        <f>IF('PV IN'!$D$48="YES",-U282*'PV IN'!$E$8,0)</f>
        <v>0</v>
      </c>
      <c r="AE282" s="10">
        <f>IF('PV IN'!$N$10="Yes",-PVLoan!H310,-PVLoan!L310)</f>
        <v>0</v>
      </c>
      <c r="AF282" s="10">
        <f>IF('PV IN'!$N$10="Yes",-PVLoan!F310,0)</f>
        <v>0</v>
      </c>
      <c r="AG282" s="10">
        <f>IF(AND('PV IN'!$D$35="YES",$C282&lt;='PV IN'!$E$35*12),0,-'PV IN'!$E$18*'PV IN'!$E$34/12)</f>
        <v>-750</v>
      </c>
      <c r="AH282" s="10">
        <f>IF(AND('PV IN'!$D$37="YES",$C282&lt;='PV IN'!$E$37*12),0,-'PV IN'!$E$18*'PV IN'!$E$36/12)</f>
        <v>-625</v>
      </c>
      <c r="AI282" s="2">
        <f>IF(AND('PV IN'!$D$33="YES",PVCalcs!C282=ROUNDUP('PV IN'!$H$33*12,)),-'PV IN'!$E$33*'PV IN'!$E$18,0)</f>
        <v>0</v>
      </c>
      <c r="AK282" s="2">
        <f t="shared" si="65"/>
        <v>10483.670355130535</v>
      </c>
      <c r="AL282" s="2">
        <f t="shared" si="66"/>
        <v>-1375</v>
      </c>
      <c r="AM282" s="2">
        <f t="shared" si="70"/>
        <v>9108.6703551305345</v>
      </c>
      <c r="AN282" s="43"/>
      <c r="AO282" s="2">
        <f t="shared" si="67"/>
        <v>0</v>
      </c>
      <c r="AP282" s="2">
        <f t="shared" si="71"/>
        <v>-1375</v>
      </c>
      <c r="AR282" s="2">
        <f t="shared" si="72"/>
        <v>-1375</v>
      </c>
      <c r="AS282" s="2">
        <f>-AR282*'PV IN'!$E$8</f>
        <v>288.75</v>
      </c>
      <c r="AT282" s="2">
        <f>IF('PV IN'!$F$4="Battery Only",0,AM282+AS282)</f>
        <v>9397.4203551305345</v>
      </c>
      <c r="AV282" s="10">
        <f t="shared" si="73"/>
        <v>1735951.9336674071</v>
      </c>
      <c r="AW282" s="2">
        <f>AT282/(1+('PV IN'!$G$9))^(C282)</f>
        <v>3034.7521321761392</v>
      </c>
      <c r="AX282" s="2" t="e">
        <f>IF(C282&lt;='PV IN'!$O$22*12,AW282+AX281,NA())</f>
        <v>#N/A</v>
      </c>
      <c r="AZ282" s="10">
        <f t="shared" si="68"/>
        <v>-1375</v>
      </c>
      <c r="BA282" s="10">
        <f t="shared" si="69"/>
        <v>0</v>
      </c>
      <c r="BB282" s="10">
        <f t="shared" si="74"/>
        <v>-1375</v>
      </c>
      <c r="BC282" s="10">
        <f t="shared" si="75"/>
        <v>0</v>
      </c>
      <c r="BD282" s="10">
        <f t="shared" si="76"/>
        <v>-1375</v>
      </c>
      <c r="BE282" s="2">
        <f t="shared" si="77"/>
        <v>0</v>
      </c>
      <c r="BF282" s="10">
        <f t="shared" si="78"/>
        <v>-1375</v>
      </c>
      <c r="BG282" s="2">
        <f>-BF282*'PV IN'!$E$8</f>
        <v>288.75</v>
      </c>
      <c r="BH282" s="2">
        <f>IF('PV IN'!$F$4="Battery Only",0,BB282+BG282)</f>
        <v>-1086.25</v>
      </c>
      <c r="BI282" s="2">
        <f>BH282/(1+('PV IN'!$G$9))^(C282)</f>
        <v>-350.78770332717988</v>
      </c>
    </row>
    <row r="283" spans="2:61" x14ac:dyDescent="0.25">
      <c r="C283">
        <v>279</v>
      </c>
      <c r="D283" s="16">
        <f>D282*(1+('PV IN'!$G$6/12))</f>
        <v>7.5999999999999998E-2</v>
      </c>
      <c r="E283" s="16">
        <f>LkUP!$U$44</f>
        <v>8.2693233167724894E-2</v>
      </c>
      <c r="F283" s="16">
        <f>IF('PV IN'!$D$7="Table",E283,D283)</f>
        <v>8.2693233167724894E-2</v>
      </c>
      <c r="G283" s="33">
        <f>('PV IN'!$E$25*'PV IN'!$E$18/12)*(1-(1-'PV IN'!$E$27)/(25*12))^C282</f>
        <v>126693.33197204689</v>
      </c>
      <c r="H283" s="33">
        <f>IF('PV IN'!$D$19="YES",G283*'PV IN'!$E$21,0)</f>
        <v>0</v>
      </c>
      <c r="I283" s="33">
        <f>IF('PV IN'!$D$19="YES",'PV IN'!$E$22*BattCalcs!W283,0)</f>
        <v>0</v>
      </c>
      <c r="J283" s="33">
        <f>IF('PV IN'!$D$19="YES",'PV IN'!$E$23*BattCalcs!Y283,0)</f>
        <v>0</v>
      </c>
      <c r="K283" s="33">
        <f>BattCalcs!AF283</f>
        <v>25811.765833333331</v>
      </c>
      <c r="L283" s="33">
        <f t="shared" si="79"/>
        <v>25811.765833333331</v>
      </c>
      <c r="M283" s="33">
        <f>IF('PV IN'!$F$4="PV Only",G283,G283-SUM(H283:J283,L283))</f>
        <v>126693.33197204689</v>
      </c>
      <c r="N283" s="2">
        <f>IF(C283&lt;='PV IN'!$I$12*12,'PV IN'!$E$12*G283/1000,0)</f>
        <v>0</v>
      </c>
      <c r="O283" s="2">
        <f>IF(AND(C283&gt;'PV IN'!$I$12*12,C283&lt;='PV IN'!$I$13*12+'PV IN'!$I$12*12),'PV IN'!$E$13*PVCalcs!G283/1000,0)</f>
        <v>0</v>
      </c>
      <c r="P283" s="2">
        <f>IF(AND(C283&gt;'PV IN'!$I$12*12+'PV IN'!$I$13*12,C283&lt;='PV IN'!$I$12*12+'PV IN'!$I$13*12+'PV IN'!$I$14*12),'PV IN'!$E$14*PVCalcs!G283/1000,0)</f>
        <v>0</v>
      </c>
      <c r="R283" s="10">
        <f>IF(AND('PV IN'!$D$35="YES",$C283&lt;='PV IN'!$E$35*12),-'PV IN'!$E$18*'PV IN'!$E$34/12,0)</f>
        <v>0</v>
      </c>
      <c r="S283" s="10">
        <f>IF(AND('PV IN'!$D$37="YES",$C283&lt;='PV IN'!$E$37*12),-'PV IN'!$E$18*'PV IN'!$E$36/12,0)</f>
        <v>0</v>
      </c>
      <c r="U283" s="2">
        <f t="shared" si="80"/>
        <v>10476.681241560449</v>
      </c>
      <c r="V283" s="10">
        <f>PVLoan!M310</f>
        <v>0</v>
      </c>
      <c r="W283" s="2">
        <f>IF(C283='PV IN'!$I$40,IF('PV IN'!$G$40="Non-Taxable",'PV IN'!$F$40,0),0)+IF(C283='PV IN'!$I$41,IF('PV IN'!$G$41="Non-Taxable",'PV IN'!$F$41,0),0)</f>
        <v>0</v>
      </c>
      <c r="X283" s="10"/>
      <c r="Y283" s="10">
        <f>IF('PV IN'!$E$15="Non-Taxable",SUM(N283:P283),0)</f>
        <v>0</v>
      </c>
      <c r="Z283" s="10">
        <f>IF('PV IN'!$E$15="Taxable",SUM(N283:P283),0)</f>
        <v>0</v>
      </c>
      <c r="AA283" s="2">
        <f>IF(C283='PV IN'!$I$40,IF('PV IN'!$G$40="Taxable",'PV IN'!$F$40,0),0)+IF(C283='PV IN'!$I$41,IF('PV IN'!$G$41="Taxable",'PV IN'!$F$41,0),0)</f>
        <v>0</v>
      </c>
      <c r="AD283" s="10">
        <f>IF('PV IN'!$D$48="YES",-U283*'PV IN'!$E$8,0)</f>
        <v>0</v>
      </c>
      <c r="AE283" s="10">
        <f>IF('PV IN'!$N$10="Yes",-PVLoan!H311,-PVLoan!L311)</f>
        <v>0</v>
      </c>
      <c r="AF283" s="10">
        <f>IF('PV IN'!$N$10="Yes",-PVLoan!F311,0)</f>
        <v>0</v>
      </c>
      <c r="AG283" s="10">
        <f>IF(AND('PV IN'!$D$35="YES",$C283&lt;='PV IN'!$E$35*12),0,-'PV IN'!$E$18*'PV IN'!$E$34/12)</f>
        <v>-750</v>
      </c>
      <c r="AH283" s="10">
        <f>IF(AND('PV IN'!$D$37="YES",$C283&lt;='PV IN'!$E$37*12),0,-'PV IN'!$E$18*'PV IN'!$E$36/12)</f>
        <v>-625</v>
      </c>
      <c r="AI283" s="2">
        <f>IF(AND('PV IN'!$D$33="YES",PVCalcs!C283=ROUNDUP('PV IN'!$H$33*12,)),-'PV IN'!$E$33*'PV IN'!$E$18,0)</f>
        <v>0</v>
      </c>
      <c r="AK283" s="2">
        <f t="shared" si="65"/>
        <v>10476.681241560449</v>
      </c>
      <c r="AL283" s="2">
        <f t="shared" si="66"/>
        <v>-1375</v>
      </c>
      <c r="AM283" s="2">
        <f t="shared" si="70"/>
        <v>9101.6812415604491</v>
      </c>
      <c r="AN283" s="43"/>
      <c r="AO283" s="2">
        <f t="shared" si="67"/>
        <v>0</v>
      </c>
      <c r="AP283" s="2">
        <f t="shared" si="71"/>
        <v>-1375</v>
      </c>
      <c r="AR283" s="2">
        <f t="shared" si="72"/>
        <v>-1375</v>
      </c>
      <c r="AS283" s="2">
        <f>-AR283*'PV IN'!$E$8</f>
        <v>288.75</v>
      </c>
      <c r="AT283" s="2">
        <f>IF('PV IN'!$F$4="Battery Only",0,AM283+AS283)</f>
        <v>9390.4312415604491</v>
      </c>
      <c r="AV283" s="10">
        <f t="shared" si="73"/>
        <v>1745342.3649089676</v>
      </c>
      <c r="AW283" s="2">
        <f>AT283/(1+('PV IN'!$G$9))^(C283)</f>
        <v>3020.190475770652</v>
      </c>
      <c r="AX283" s="2" t="e">
        <f>IF(C283&lt;='PV IN'!$O$22*12,AW283+AX282,NA())</f>
        <v>#N/A</v>
      </c>
      <c r="AZ283" s="10">
        <f t="shared" si="68"/>
        <v>-1375</v>
      </c>
      <c r="BA283" s="10">
        <f t="shared" si="69"/>
        <v>0</v>
      </c>
      <c r="BB283" s="10">
        <f t="shared" si="74"/>
        <v>-1375</v>
      </c>
      <c r="BC283" s="10">
        <f t="shared" si="75"/>
        <v>0</v>
      </c>
      <c r="BD283" s="10">
        <f t="shared" si="76"/>
        <v>-1375</v>
      </c>
      <c r="BE283" s="2">
        <f t="shared" si="77"/>
        <v>0</v>
      </c>
      <c r="BF283" s="10">
        <f t="shared" si="78"/>
        <v>-1375</v>
      </c>
      <c r="BG283" s="2">
        <f>-BF283*'PV IN'!$E$8</f>
        <v>288.75</v>
      </c>
      <c r="BH283" s="2">
        <f>IF('PV IN'!$F$4="Battery Only",0,BB283+BG283)</f>
        <v>-1086.25</v>
      </c>
      <c r="BI283" s="2">
        <f>BH283/(1+('PV IN'!$G$9))^(C283)</f>
        <v>-349.36434972082344</v>
      </c>
    </row>
    <row r="284" spans="2:61" x14ac:dyDescent="0.25">
      <c r="C284">
        <v>280</v>
      </c>
      <c r="D284" s="16">
        <f>D283*(1+('PV IN'!$G$6/12))</f>
        <v>7.5999999999999998E-2</v>
      </c>
      <c r="E284" s="16">
        <f>LkUP!$U$44</f>
        <v>8.2693233167724894E-2</v>
      </c>
      <c r="F284" s="16">
        <f>IF('PV IN'!$D$7="Table",E284,D284)</f>
        <v>8.2693233167724894E-2</v>
      </c>
      <c r="G284" s="33">
        <f>('PV IN'!$E$25*'PV IN'!$E$18/12)*(1-(1-'PV IN'!$E$27)/(25*12))^C283</f>
        <v>126608.86975073219</v>
      </c>
      <c r="H284" s="33">
        <f>IF('PV IN'!$D$19="YES",G284*'PV IN'!$E$21,0)</f>
        <v>0</v>
      </c>
      <c r="I284" s="33">
        <f>IF('PV IN'!$D$19="YES",'PV IN'!$E$22*BattCalcs!W284,0)</f>
        <v>0</v>
      </c>
      <c r="J284" s="33">
        <f>IF('PV IN'!$D$19="YES",'PV IN'!$E$23*BattCalcs!Y284,0)</f>
        <v>0</v>
      </c>
      <c r="K284" s="33">
        <f>BattCalcs!AF284</f>
        <v>25811.765833333331</v>
      </c>
      <c r="L284" s="33">
        <f t="shared" si="79"/>
        <v>25811.765833333331</v>
      </c>
      <c r="M284" s="33">
        <f>IF('PV IN'!$F$4="PV Only",G284,G284-SUM(H284:J284,L284))</f>
        <v>126608.86975073219</v>
      </c>
      <c r="N284" s="2">
        <f>IF(C284&lt;='PV IN'!$I$12*12,'PV IN'!$E$12*G284/1000,0)</f>
        <v>0</v>
      </c>
      <c r="O284" s="2">
        <f>IF(AND(C284&gt;'PV IN'!$I$12*12,C284&lt;='PV IN'!$I$13*12+'PV IN'!$I$12*12),'PV IN'!$E$13*PVCalcs!G284/1000,0)</f>
        <v>0</v>
      </c>
      <c r="P284" s="2">
        <f>IF(AND(C284&gt;'PV IN'!$I$12*12+'PV IN'!$I$13*12,C284&lt;='PV IN'!$I$12*12+'PV IN'!$I$13*12+'PV IN'!$I$14*12),'PV IN'!$E$14*PVCalcs!G284/1000,0)</f>
        <v>0</v>
      </c>
      <c r="R284" s="10">
        <f>IF(AND('PV IN'!$D$35="YES",$C284&lt;='PV IN'!$E$35*12),-'PV IN'!$E$18*'PV IN'!$E$34/12,0)</f>
        <v>0</v>
      </c>
      <c r="S284" s="10">
        <f>IF(AND('PV IN'!$D$37="YES",$C284&lt;='PV IN'!$E$37*12),-'PV IN'!$E$18*'PV IN'!$E$36/12,0)</f>
        <v>0</v>
      </c>
      <c r="U284" s="2">
        <f t="shared" si="80"/>
        <v>10469.696787399409</v>
      </c>
      <c r="V284" s="10">
        <f>PVLoan!M311</f>
        <v>0</v>
      </c>
      <c r="W284" s="2">
        <f>IF(C284='PV IN'!$I$40,IF('PV IN'!$G$40="Non-Taxable",'PV IN'!$F$40,0),0)+IF(C284='PV IN'!$I$41,IF('PV IN'!$G$41="Non-Taxable",'PV IN'!$F$41,0),0)</f>
        <v>0</v>
      </c>
      <c r="X284" s="10"/>
      <c r="Y284" s="10">
        <f>IF('PV IN'!$E$15="Non-Taxable",SUM(N284:P284),0)</f>
        <v>0</v>
      </c>
      <c r="Z284" s="10">
        <f>IF('PV IN'!$E$15="Taxable",SUM(N284:P284),0)</f>
        <v>0</v>
      </c>
      <c r="AA284" s="2">
        <f>IF(C284='PV IN'!$I$40,IF('PV IN'!$G$40="Taxable",'PV IN'!$F$40,0),0)+IF(C284='PV IN'!$I$41,IF('PV IN'!$G$41="Taxable",'PV IN'!$F$41,0),0)</f>
        <v>0</v>
      </c>
      <c r="AD284" s="10">
        <f>IF('PV IN'!$D$48="YES",-U284*'PV IN'!$E$8,0)</f>
        <v>0</v>
      </c>
      <c r="AE284" s="10">
        <f>IF('PV IN'!$N$10="Yes",-PVLoan!H312,-PVLoan!L312)</f>
        <v>0</v>
      </c>
      <c r="AF284" s="10">
        <f>IF('PV IN'!$N$10="Yes",-PVLoan!F312,0)</f>
        <v>0</v>
      </c>
      <c r="AG284" s="10">
        <f>IF(AND('PV IN'!$D$35="YES",$C284&lt;='PV IN'!$E$35*12),0,-'PV IN'!$E$18*'PV IN'!$E$34/12)</f>
        <v>-750</v>
      </c>
      <c r="AH284" s="10">
        <f>IF(AND('PV IN'!$D$37="YES",$C284&lt;='PV IN'!$E$37*12),0,-'PV IN'!$E$18*'PV IN'!$E$36/12)</f>
        <v>-625</v>
      </c>
      <c r="AI284" s="2">
        <f>IF(AND('PV IN'!$D$33="YES",PVCalcs!C284=ROUNDUP('PV IN'!$H$33*12,)),-'PV IN'!$E$33*'PV IN'!$E$18,0)</f>
        <v>0</v>
      </c>
      <c r="AK284" s="2">
        <f t="shared" si="65"/>
        <v>10469.696787399409</v>
      </c>
      <c r="AL284" s="2">
        <f t="shared" si="66"/>
        <v>-1375</v>
      </c>
      <c r="AM284" s="2">
        <f t="shared" si="70"/>
        <v>9094.696787399409</v>
      </c>
      <c r="AN284" s="43"/>
      <c r="AO284" s="2">
        <f t="shared" si="67"/>
        <v>0</v>
      </c>
      <c r="AP284" s="2">
        <f t="shared" si="71"/>
        <v>-1375</v>
      </c>
      <c r="AR284" s="2">
        <f t="shared" si="72"/>
        <v>-1375</v>
      </c>
      <c r="AS284" s="2">
        <f>-AR284*'PV IN'!$E$8</f>
        <v>288.75</v>
      </c>
      <c r="AT284" s="2">
        <f>IF('PV IN'!$F$4="Battery Only",0,AM284+AS284)</f>
        <v>9383.446787399409</v>
      </c>
      <c r="AV284" s="10">
        <f t="shared" si="73"/>
        <v>1754725.8116963671</v>
      </c>
      <c r="AW284" s="2">
        <f>AT284/(1+('PV IN'!$G$9))^(C284)</f>
        <v>3005.6985180680531</v>
      </c>
      <c r="AX284" s="2" t="e">
        <f>IF(C284&lt;='PV IN'!$O$22*12,AW284+AX283,NA())</f>
        <v>#N/A</v>
      </c>
      <c r="AZ284" s="10">
        <f t="shared" si="68"/>
        <v>-1375</v>
      </c>
      <c r="BA284" s="10">
        <f t="shared" si="69"/>
        <v>0</v>
      </c>
      <c r="BB284" s="10">
        <f t="shared" si="74"/>
        <v>-1375</v>
      </c>
      <c r="BC284" s="10">
        <f t="shared" si="75"/>
        <v>0</v>
      </c>
      <c r="BD284" s="10">
        <f t="shared" si="76"/>
        <v>-1375</v>
      </c>
      <c r="BE284" s="2">
        <f t="shared" si="77"/>
        <v>0</v>
      </c>
      <c r="BF284" s="10">
        <f t="shared" si="78"/>
        <v>-1375</v>
      </c>
      <c r="BG284" s="2">
        <f>-BF284*'PV IN'!$E$8</f>
        <v>288.75</v>
      </c>
      <c r="BH284" s="2">
        <f>IF('PV IN'!$F$4="Battery Only",0,BB284+BG284)</f>
        <v>-1086.25</v>
      </c>
      <c r="BI284" s="2">
        <f>BH284/(1+('PV IN'!$G$9))^(C284)</f>
        <v>-347.94677150359689</v>
      </c>
    </row>
    <row r="285" spans="2:61" x14ac:dyDescent="0.25">
      <c r="C285">
        <v>281</v>
      </c>
      <c r="D285" s="16">
        <f>D284*(1+('PV IN'!$G$6/12))</f>
        <v>7.5999999999999998E-2</v>
      </c>
      <c r="E285" s="16">
        <f>LkUP!$U$44</f>
        <v>8.2693233167724894E-2</v>
      </c>
      <c r="F285" s="16">
        <f>IF('PV IN'!$D$7="Table",E285,D285)</f>
        <v>8.2693233167724894E-2</v>
      </c>
      <c r="G285" s="33">
        <f>('PV IN'!$E$25*'PV IN'!$E$18/12)*(1-(1-'PV IN'!$E$27)/(25*12))^C284</f>
        <v>126524.46383756501</v>
      </c>
      <c r="H285" s="33">
        <f>IF('PV IN'!$D$19="YES",G285*'PV IN'!$E$21,0)</f>
        <v>0</v>
      </c>
      <c r="I285" s="33">
        <f>IF('PV IN'!$D$19="YES",'PV IN'!$E$22*BattCalcs!W285,0)</f>
        <v>0</v>
      </c>
      <c r="J285" s="33">
        <f>IF('PV IN'!$D$19="YES",'PV IN'!$E$23*BattCalcs!Y285,0)</f>
        <v>0</v>
      </c>
      <c r="K285" s="33">
        <f>BattCalcs!AF285</f>
        <v>25811.765833333331</v>
      </c>
      <c r="L285" s="33">
        <f t="shared" si="79"/>
        <v>25811.765833333331</v>
      </c>
      <c r="M285" s="33">
        <f>IF('PV IN'!$F$4="PV Only",G285,G285-SUM(H285:J285,L285))</f>
        <v>126524.46383756501</v>
      </c>
      <c r="N285" s="2">
        <f>IF(C285&lt;='PV IN'!$I$12*12,'PV IN'!$E$12*G285/1000,0)</f>
        <v>0</v>
      </c>
      <c r="O285" s="2">
        <f>IF(AND(C285&gt;'PV IN'!$I$12*12,C285&lt;='PV IN'!$I$13*12+'PV IN'!$I$12*12),'PV IN'!$E$13*PVCalcs!G285/1000,0)</f>
        <v>0</v>
      </c>
      <c r="P285" s="2">
        <f>IF(AND(C285&gt;'PV IN'!$I$12*12+'PV IN'!$I$13*12,C285&lt;='PV IN'!$I$12*12+'PV IN'!$I$13*12+'PV IN'!$I$14*12),'PV IN'!$E$14*PVCalcs!G285/1000,0)</f>
        <v>0</v>
      </c>
      <c r="R285" s="10">
        <f>IF(AND('PV IN'!$D$35="YES",$C285&lt;='PV IN'!$E$35*12),-'PV IN'!$E$18*'PV IN'!$E$34/12,0)</f>
        <v>0</v>
      </c>
      <c r="S285" s="10">
        <f>IF(AND('PV IN'!$D$37="YES",$C285&lt;='PV IN'!$E$37*12),-'PV IN'!$E$18*'PV IN'!$E$36/12,0)</f>
        <v>0</v>
      </c>
      <c r="U285" s="2">
        <f t="shared" si="80"/>
        <v>10462.716989541141</v>
      </c>
      <c r="V285" s="10">
        <f>PVLoan!M312</f>
        <v>0</v>
      </c>
      <c r="W285" s="2">
        <f>IF(C285='PV IN'!$I$40,IF('PV IN'!$G$40="Non-Taxable",'PV IN'!$F$40,0),0)+IF(C285='PV IN'!$I$41,IF('PV IN'!$G$41="Non-Taxable",'PV IN'!$F$41,0),0)</f>
        <v>0</v>
      </c>
      <c r="X285" s="10"/>
      <c r="Y285" s="10">
        <f>IF('PV IN'!$E$15="Non-Taxable",SUM(N285:P285),0)</f>
        <v>0</v>
      </c>
      <c r="Z285" s="10">
        <f>IF('PV IN'!$E$15="Taxable",SUM(N285:P285),0)</f>
        <v>0</v>
      </c>
      <c r="AA285" s="2">
        <f>IF(C285='PV IN'!$I$40,IF('PV IN'!$G$40="Taxable",'PV IN'!$F$40,0),0)+IF(C285='PV IN'!$I$41,IF('PV IN'!$G$41="Taxable",'PV IN'!$F$41,0),0)</f>
        <v>0</v>
      </c>
      <c r="AD285" s="10">
        <f>IF('PV IN'!$D$48="YES",-U285*'PV IN'!$E$8,0)</f>
        <v>0</v>
      </c>
      <c r="AE285" s="10">
        <f>IF('PV IN'!$N$10="Yes",-PVLoan!H313,-PVLoan!L313)</f>
        <v>0</v>
      </c>
      <c r="AF285" s="10">
        <f>IF('PV IN'!$N$10="Yes",-PVLoan!F313,0)</f>
        <v>0</v>
      </c>
      <c r="AG285" s="10">
        <f>IF(AND('PV IN'!$D$35="YES",$C285&lt;='PV IN'!$E$35*12),0,-'PV IN'!$E$18*'PV IN'!$E$34/12)</f>
        <v>-750</v>
      </c>
      <c r="AH285" s="10">
        <f>IF(AND('PV IN'!$D$37="YES",$C285&lt;='PV IN'!$E$37*12),0,-'PV IN'!$E$18*'PV IN'!$E$36/12)</f>
        <v>-625</v>
      </c>
      <c r="AI285" s="2">
        <f>IF(AND('PV IN'!$D$33="YES",PVCalcs!C285=ROUNDUP('PV IN'!$H$33*12,)),-'PV IN'!$E$33*'PV IN'!$E$18,0)</f>
        <v>0</v>
      </c>
      <c r="AK285" s="2">
        <f t="shared" si="65"/>
        <v>10462.716989541141</v>
      </c>
      <c r="AL285" s="2">
        <f t="shared" si="66"/>
        <v>-1375</v>
      </c>
      <c r="AM285" s="2">
        <f t="shared" si="70"/>
        <v>9087.7169895411407</v>
      </c>
      <c r="AN285" s="43"/>
      <c r="AO285" s="2">
        <f t="shared" si="67"/>
        <v>0</v>
      </c>
      <c r="AP285" s="2">
        <f t="shared" si="71"/>
        <v>-1375</v>
      </c>
      <c r="AR285" s="2">
        <f t="shared" si="72"/>
        <v>-1375</v>
      </c>
      <c r="AS285" s="2">
        <f>-AR285*'PV IN'!$E$8</f>
        <v>288.75</v>
      </c>
      <c r="AT285" s="2">
        <f>IF('PV IN'!$F$4="Battery Only",0,AM285+AS285)</f>
        <v>9376.4669895411407</v>
      </c>
      <c r="AV285" s="10">
        <f t="shared" si="73"/>
        <v>1764102.2786859083</v>
      </c>
      <c r="AW285" s="2">
        <f>AT285/(1+('PV IN'!$G$9))^(C285)</f>
        <v>2991.2759261474985</v>
      </c>
      <c r="AX285" s="2" t="e">
        <f>IF(C285&lt;='PV IN'!$O$22*12,AW285+AX284,NA())</f>
        <v>#N/A</v>
      </c>
      <c r="AZ285" s="10">
        <f t="shared" si="68"/>
        <v>-1375</v>
      </c>
      <c r="BA285" s="10">
        <f t="shared" si="69"/>
        <v>0</v>
      </c>
      <c r="BB285" s="10">
        <f t="shared" si="74"/>
        <v>-1375</v>
      </c>
      <c r="BC285" s="10">
        <f t="shared" si="75"/>
        <v>0</v>
      </c>
      <c r="BD285" s="10">
        <f t="shared" si="76"/>
        <v>-1375</v>
      </c>
      <c r="BE285" s="2">
        <f t="shared" si="77"/>
        <v>0</v>
      </c>
      <c r="BF285" s="10">
        <f t="shared" si="78"/>
        <v>-1375</v>
      </c>
      <c r="BG285" s="2">
        <f>-BF285*'PV IN'!$E$8</f>
        <v>288.75</v>
      </c>
      <c r="BH285" s="2">
        <f>IF('PV IN'!$F$4="Battery Only",0,BB285+BG285)</f>
        <v>-1086.25</v>
      </c>
      <c r="BI285" s="2">
        <f>BH285/(1+('PV IN'!$G$9))^(C285)</f>
        <v>-346.5349452413239</v>
      </c>
    </row>
    <row r="286" spans="2:61" x14ac:dyDescent="0.25">
      <c r="C286">
        <v>282</v>
      </c>
      <c r="D286" s="16">
        <f>D285*(1+('PV IN'!$G$6/12))</f>
        <v>7.5999999999999998E-2</v>
      </c>
      <c r="E286" s="16">
        <f>LkUP!$U$44</f>
        <v>8.2693233167724894E-2</v>
      </c>
      <c r="F286" s="16">
        <f>IF('PV IN'!$D$7="Table",E286,D286)</f>
        <v>8.2693233167724894E-2</v>
      </c>
      <c r="G286" s="33">
        <f>('PV IN'!$E$25*'PV IN'!$E$18/12)*(1-(1-'PV IN'!$E$27)/(25*12))^C285</f>
        <v>126440.11419500664</v>
      </c>
      <c r="H286" s="33">
        <f>IF('PV IN'!$D$19="YES",G286*'PV IN'!$E$21,0)</f>
        <v>0</v>
      </c>
      <c r="I286" s="33">
        <f>IF('PV IN'!$D$19="YES",'PV IN'!$E$22*BattCalcs!W286,0)</f>
        <v>0</v>
      </c>
      <c r="J286" s="33">
        <f>IF('PV IN'!$D$19="YES",'PV IN'!$E$23*BattCalcs!Y286,0)</f>
        <v>0</v>
      </c>
      <c r="K286" s="33">
        <f>BattCalcs!AF286</f>
        <v>25811.765833333331</v>
      </c>
      <c r="L286" s="33">
        <f t="shared" si="79"/>
        <v>25811.765833333331</v>
      </c>
      <c r="M286" s="33">
        <f>IF('PV IN'!$F$4="PV Only",G286,G286-SUM(H286:J286,L286))</f>
        <v>126440.11419500664</v>
      </c>
      <c r="N286" s="2">
        <f>IF(C286&lt;='PV IN'!$I$12*12,'PV IN'!$E$12*G286/1000,0)</f>
        <v>0</v>
      </c>
      <c r="O286" s="2">
        <f>IF(AND(C286&gt;'PV IN'!$I$12*12,C286&lt;='PV IN'!$I$13*12+'PV IN'!$I$12*12),'PV IN'!$E$13*PVCalcs!G286/1000,0)</f>
        <v>0</v>
      </c>
      <c r="P286" s="2">
        <f>IF(AND(C286&gt;'PV IN'!$I$12*12+'PV IN'!$I$13*12,C286&lt;='PV IN'!$I$12*12+'PV IN'!$I$13*12+'PV IN'!$I$14*12),'PV IN'!$E$14*PVCalcs!G286/1000,0)</f>
        <v>0</v>
      </c>
      <c r="R286" s="10">
        <f>IF(AND('PV IN'!$D$35="YES",$C286&lt;='PV IN'!$E$35*12),-'PV IN'!$E$18*'PV IN'!$E$34/12,0)</f>
        <v>0</v>
      </c>
      <c r="S286" s="10">
        <f>IF(AND('PV IN'!$D$37="YES",$C286&lt;='PV IN'!$E$37*12),-'PV IN'!$E$18*'PV IN'!$E$36/12,0)</f>
        <v>0</v>
      </c>
      <c r="U286" s="2">
        <f t="shared" si="80"/>
        <v>10455.741844881446</v>
      </c>
      <c r="V286" s="10">
        <f>PVLoan!M313</f>
        <v>0</v>
      </c>
      <c r="W286" s="2">
        <f>IF(C286='PV IN'!$I$40,IF('PV IN'!$G$40="Non-Taxable",'PV IN'!$F$40,0),0)+IF(C286='PV IN'!$I$41,IF('PV IN'!$G$41="Non-Taxable",'PV IN'!$F$41,0),0)</f>
        <v>0</v>
      </c>
      <c r="X286" s="10"/>
      <c r="Y286" s="10">
        <f>IF('PV IN'!$E$15="Non-Taxable",SUM(N286:P286),0)</f>
        <v>0</v>
      </c>
      <c r="Z286" s="10">
        <f>IF('PV IN'!$E$15="Taxable",SUM(N286:P286),0)</f>
        <v>0</v>
      </c>
      <c r="AA286" s="2">
        <f>IF(C286='PV IN'!$I$40,IF('PV IN'!$G$40="Taxable",'PV IN'!$F$40,0),0)+IF(C286='PV IN'!$I$41,IF('PV IN'!$G$41="Taxable",'PV IN'!$F$41,0),0)</f>
        <v>0</v>
      </c>
      <c r="AD286" s="10">
        <f>IF('PV IN'!$D$48="YES",-U286*'PV IN'!$E$8,0)</f>
        <v>0</v>
      </c>
      <c r="AE286" s="10">
        <f>IF('PV IN'!$N$10="Yes",-PVLoan!H314,-PVLoan!L314)</f>
        <v>0</v>
      </c>
      <c r="AF286" s="10">
        <f>IF('PV IN'!$N$10="Yes",-PVLoan!F314,0)</f>
        <v>0</v>
      </c>
      <c r="AG286" s="10">
        <f>IF(AND('PV IN'!$D$35="YES",$C286&lt;='PV IN'!$E$35*12),0,-'PV IN'!$E$18*'PV IN'!$E$34/12)</f>
        <v>-750</v>
      </c>
      <c r="AH286" s="10">
        <f>IF(AND('PV IN'!$D$37="YES",$C286&lt;='PV IN'!$E$37*12),0,-'PV IN'!$E$18*'PV IN'!$E$36/12)</f>
        <v>-625</v>
      </c>
      <c r="AI286" s="2">
        <f>IF(AND('PV IN'!$D$33="YES",PVCalcs!C286=ROUNDUP('PV IN'!$H$33*12,)),-'PV IN'!$E$33*'PV IN'!$E$18,0)</f>
        <v>0</v>
      </c>
      <c r="AK286" s="2">
        <f t="shared" si="65"/>
        <v>10455.741844881446</v>
      </c>
      <c r="AL286" s="2">
        <f t="shared" si="66"/>
        <v>-1375</v>
      </c>
      <c r="AM286" s="2">
        <f t="shared" si="70"/>
        <v>9080.741844881446</v>
      </c>
      <c r="AN286" s="43"/>
      <c r="AO286" s="2">
        <f t="shared" si="67"/>
        <v>0</v>
      </c>
      <c r="AP286" s="2">
        <f t="shared" si="71"/>
        <v>-1375</v>
      </c>
      <c r="AR286" s="2">
        <f t="shared" si="72"/>
        <v>-1375</v>
      </c>
      <c r="AS286" s="2">
        <f>-AR286*'PV IN'!$E$8</f>
        <v>288.75</v>
      </c>
      <c r="AT286" s="2">
        <f>IF('PV IN'!$F$4="Battery Only",0,AM286+AS286)</f>
        <v>9369.491844881446</v>
      </c>
      <c r="AV286" s="10">
        <f t="shared" si="73"/>
        <v>1773471.7705307899</v>
      </c>
      <c r="AW286" s="2">
        <f>AT286/(1+('PV IN'!$G$9))^(C286)</f>
        <v>2976.92236867561</v>
      </c>
      <c r="AX286" s="2" t="e">
        <f>IF(C286&lt;='PV IN'!$O$22*12,AW286+AX285,NA())</f>
        <v>#N/A</v>
      </c>
      <c r="AZ286" s="10">
        <f t="shared" si="68"/>
        <v>-1375</v>
      </c>
      <c r="BA286" s="10">
        <f t="shared" si="69"/>
        <v>0</v>
      </c>
      <c r="BB286" s="10">
        <f t="shared" si="74"/>
        <v>-1375</v>
      </c>
      <c r="BC286" s="10">
        <f t="shared" si="75"/>
        <v>0</v>
      </c>
      <c r="BD286" s="10">
        <f t="shared" si="76"/>
        <v>-1375</v>
      </c>
      <c r="BE286" s="2">
        <f t="shared" si="77"/>
        <v>0</v>
      </c>
      <c r="BF286" s="10">
        <f t="shared" si="78"/>
        <v>-1375</v>
      </c>
      <c r="BG286" s="2">
        <f>-BF286*'PV IN'!$E$8</f>
        <v>288.75</v>
      </c>
      <c r="BH286" s="2">
        <f>IF('PV IN'!$F$4="Battery Only",0,BB286+BG286)</f>
        <v>-1086.25</v>
      </c>
      <c r="BI286" s="2">
        <f>BH286/(1+('PV IN'!$G$9))^(C286)</f>
        <v>-345.12884759491436</v>
      </c>
    </row>
    <row r="287" spans="2:61" x14ac:dyDescent="0.25">
      <c r="C287">
        <v>283</v>
      </c>
      <c r="D287" s="16">
        <f>D286*(1+('PV IN'!$G$6/12))</f>
        <v>7.5999999999999998E-2</v>
      </c>
      <c r="E287" s="16">
        <f>LkUP!$U$44</f>
        <v>8.2693233167724894E-2</v>
      </c>
      <c r="F287" s="16">
        <f>IF('PV IN'!$D$7="Table",E287,D287)</f>
        <v>8.2693233167724894E-2</v>
      </c>
      <c r="G287" s="33">
        <f>('PV IN'!$E$25*'PV IN'!$E$18/12)*(1-(1-'PV IN'!$E$27)/(25*12))^C286</f>
        <v>126355.82078554328</v>
      </c>
      <c r="H287" s="33">
        <f>IF('PV IN'!$D$19="YES",G287*'PV IN'!$E$21,0)</f>
        <v>0</v>
      </c>
      <c r="I287" s="33">
        <f>IF('PV IN'!$D$19="YES",'PV IN'!$E$22*BattCalcs!W287,0)</f>
        <v>0</v>
      </c>
      <c r="J287" s="33">
        <f>IF('PV IN'!$D$19="YES",'PV IN'!$E$23*BattCalcs!Y287,0)</f>
        <v>0</v>
      </c>
      <c r="K287" s="33">
        <f>BattCalcs!AF287</f>
        <v>25811.765833333331</v>
      </c>
      <c r="L287" s="33">
        <f t="shared" si="79"/>
        <v>25811.765833333331</v>
      </c>
      <c r="M287" s="33">
        <f>IF('PV IN'!$F$4="PV Only",G287,G287-SUM(H287:J287,L287))</f>
        <v>126355.82078554328</v>
      </c>
      <c r="N287" s="2">
        <f>IF(C287&lt;='PV IN'!$I$12*12,'PV IN'!$E$12*G287/1000,0)</f>
        <v>0</v>
      </c>
      <c r="O287" s="2">
        <f>IF(AND(C287&gt;'PV IN'!$I$12*12,C287&lt;='PV IN'!$I$13*12+'PV IN'!$I$12*12),'PV IN'!$E$13*PVCalcs!G287/1000,0)</f>
        <v>0</v>
      </c>
      <c r="P287" s="2">
        <f>IF(AND(C287&gt;'PV IN'!$I$12*12+'PV IN'!$I$13*12,C287&lt;='PV IN'!$I$12*12+'PV IN'!$I$13*12+'PV IN'!$I$14*12),'PV IN'!$E$14*PVCalcs!G287/1000,0)</f>
        <v>0</v>
      </c>
      <c r="R287" s="10">
        <f>IF(AND('PV IN'!$D$35="YES",$C287&lt;='PV IN'!$E$35*12),-'PV IN'!$E$18*'PV IN'!$E$34/12,0)</f>
        <v>0</v>
      </c>
      <c r="S287" s="10">
        <f>IF(AND('PV IN'!$D$37="YES",$C287&lt;='PV IN'!$E$37*12),-'PV IN'!$E$18*'PV IN'!$E$36/12,0)</f>
        <v>0</v>
      </c>
      <c r="U287" s="2">
        <f t="shared" si="80"/>
        <v>10448.771350318191</v>
      </c>
      <c r="V287" s="10">
        <f>PVLoan!M314</f>
        <v>0</v>
      </c>
      <c r="W287" s="2">
        <f>IF(C287='PV IN'!$I$40,IF('PV IN'!$G$40="Non-Taxable",'PV IN'!$F$40,0),0)+IF(C287='PV IN'!$I$41,IF('PV IN'!$G$41="Non-Taxable",'PV IN'!$F$41,0),0)</f>
        <v>0</v>
      </c>
      <c r="X287" s="10"/>
      <c r="Y287" s="10">
        <f>IF('PV IN'!$E$15="Non-Taxable",SUM(N287:P287),0)</f>
        <v>0</v>
      </c>
      <c r="Z287" s="10">
        <f>IF('PV IN'!$E$15="Taxable",SUM(N287:P287),0)</f>
        <v>0</v>
      </c>
      <c r="AA287" s="2">
        <f>IF(C287='PV IN'!$I$40,IF('PV IN'!$G$40="Taxable",'PV IN'!$F$40,0),0)+IF(C287='PV IN'!$I$41,IF('PV IN'!$G$41="Taxable",'PV IN'!$F$41,0),0)</f>
        <v>0</v>
      </c>
      <c r="AD287" s="10">
        <f>IF('PV IN'!$D$48="YES",-U287*'PV IN'!$E$8,0)</f>
        <v>0</v>
      </c>
      <c r="AE287" s="10">
        <f>IF('PV IN'!$N$10="Yes",-PVLoan!H315,-PVLoan!L315)</f>
        <v>0</v>
      </c>
      <c r="AF287" s="10">
        <f>IF('PV IN'!$N$10="Yes",-PVLoan!F315,0)</f>
        <v>0</v>
      </c>
      <c r="AG287" s="10">
        <f>IF(AND('PV IN'!$D$35="YES",$C287&lt;='PV IN'!$E$35*12),0,-'PV IN'!$E$18*'PV IN'!$E$34/12)</f>
        <v>-750</v>
      </c>
      <c r="AH287" s="10">
        <f>IF(AND('PV IN'!$D$37="YES",$C287&lt;='PV IN'!$E$37*12),0,-'PV IN'!$E$18*'PV IN'!$E$36/12)</f>
        <v>-625</v>
      </c>
      <c r="AI287" s="2">
        <f>IF(AND('PV IN'!$D$33="YES",PVCalcs!C287=ROUNDUP('PV IN'!$H$33*12,)),-'PV IN'!$E$33*'PV IN'!$E$18,0)</f>
        <v>0</v>
      </c>
      <c r="AK287" s="2">
        <f t="shared" si="65"/>
        <v>10448.771350318191</v>
      </c>
      <c r="AL287" s="2">
        <f t="shared" si="66"/>
        <v>-1375</v>
      </c>
      <c r="AM287" s="2">
        <f t="shared" si="70"/>
        <v>9073.7713503181913</v>
      </c>
      <c r="AN287" s="43"/>
      <c r="AO287" s="2">
        <f t="shared" si="67"/>
        <v>0</v>
      </c>
      <c r="AP287" s="2">
        <f t="shared" si="71"/>
        <v>-1375</v>
      </c>
      <c r="AR287" s="2">
        <f t="shared" si="72"/>
        <v>-1375</v>
      </c>
      <c r="AS287" s="2">
        <f>-AR287*'PV IN'!$E$8</f>
        <v>288.75</v>
      </c>
      <c r="AT287" s="2">
        <f>IF('PV IN'!$F$4="Battery Only",0,AM287+AS287)</f>
        <v>9362.5213503181913</v>
      </c>
      <c r="AV287" s="10">
        <f t="shared" si="73"/>
        <v>1782834.291881108</v>
      </c>
      <c r="AW287" s="2">
        <f>AT287/(1+('PV IN'!$G$9))^(C287)</f>
        <v>2962.6375158989104</v>
      </c>
      <c r="AX287" s="2" t="e">
        <f>IF(C287&lt;='PV IN'!$O$22*12,AW287+AX286,NA())</f>
        <v>#N/A</v>
      </c>
      <c r="AZ287" s="10">
        <f t="shared" si="68"/>
        <v>-1375</v>
      </c>
      <c r="BA287" s="10">
        <f t="shared" si="69"/>
        <v>0</v>
      </c>
      <c r="BB287" s="10">
        <f t="shared" si="74"/>
        <v>-1375</v>
      </c>
      <c r="BC287" s="10">
        <f t="shared" si="75"/>
        <v>0</v>
      </c>
      <c r="BD287" s="10">
        <f t="shared" si="76"/>
        <v>-1375</v>
      </c>
      <c r="BE287" s="2">
        <f t="shared" si="77"/>
        <v>0</v>
      </c>
      <c r="BF287" s="10">
        <f t="shared" si="78"/>
        <v>-1375</v>
      </c>
      <c r="BG287" s="2">
        <f>-BF287*'PV IN'!$E$8</f>
        <v>288.75</v>
      </c>
      <c r="BH287" s="2">
        <f>IF('PV IN'!$F$4="Battery Only",0,BB287+BG287)</f>
        <v>-1086.25</v>
      </c>
      <c r="BI287" s="2">
        <f>BH287/(1+('PV IN'!$G$9))^(C287)</f>
        <v>-343.72845531997848</v>
      </c>
    </row>
    <row r="288" spans="2:61" x14ac:dyDescent="0.25">
      <c r="C288">
        <v>284</v>
      </c>
      <c r="D288" s="16">
        <f>D287*(1+('PV IN'!$G$6/12))</f>
        <v>7.5999999999999998E-2</v>
      </c>
      <c r="E288" s="16">
        <f>LkUP!$U$44</f>
        <v>8.2693233167724894E-2</v>
      </c>
      <c r="F288" s="16">
        <f>IF('PV IN'!$D$7="Table",E288,D288)</f>
        <v>8.2693233167724894E-2</v>
      </c>
      <c r="G288" s="33">
        <f>('PV IN'!$E$25*'PV IN'!$E$18/12)*(1-(1-'PV IN'!$E$27)/(25*12))^C287</f>
        <v>126271.58357168625</v>
      </c>
      <c r="H288" s="33">
        <f>IF('PV IN'!$D$19="YES",G288*'PV IN'!$E$21,0)</f>
        <v>0</v>
      </c>
      <c r="I288" s="33">
        <f>IF('PV IN'!$D$19="YES",'PV IN'!$E$22*BattCalcs!W288,0)</f>
        <v>0</v>
      </c>
      <c r="J288" s="33">
        <f>IF('PV IN'!$D$19="YES",'PV IN'!$E$23*BattCalcs!Y288,0)</f>
        <v>0</v>
      </c>
      <c r="K288" s="33">
        <f>BattCalcs!AF288</f>
        <v>25811.765833333331</v>
      </c>
      <c r="L288" s="33">
        <f t="shared" si="79"/>
        <v>25811.765833333331</v>
      </c>
      <c r="M288" s="33">
        <f>IF('PV IN'!$F$4="PV Only",G288,G288-SUM(H288:J288,L288))</f>
        <v>126271.58357168625</v>
      </c>
      <c r="N288" s="2">
        <f>IF(C288&lt;='PV IN'!$I$12*12,'PV IN'!$E$12*G288/1000,0)</f>
        <v>0</v>
      </c>
      <c r="O288" s="2">
        <f>IF(AND(C288&gt;'PV IN'!$I$12*12,C288&lt;='PV IN'!$I$13*12+'PV IN'!$I$12*12),'PV IN'!$E$13*PVCalcs!G288/1000,0)</f>
        <v>0</v>
      </c>
      <c r="P288" s="2">
        <f>IF(AND(C288&gt;'PV IN'!$I$12*12+'PV IN'!$I$13*12,C288&lt;='PV IN'!$I$12*12+'PV IN'!$I$13*12+'PV IN'!$I$14*12),'PV IN'!$E$14*PVCalcs!G288/1000,0)</f>
        <v>0</v>
      </c>
      <c r="R288" s="10">
        <f>IF(AND('PV IN'!$D$35="YES",$C288&lt;='PV IN'!$E$35*12),-'PV IN'!$E$18*'PV IN'!$E$34/12,0)</f>
        <v>0</v>
      </c>
      <c r="S288" s="10">
        <f>IF(AND('PV IN'!$D$37="YES",$C288&lt;='PV IN'!$E$37*12),-'PV IN'!$E$18*'PV IN'!$E$36/12,0)</f>
        <v>0</v>
      </c>
      <c r="U288" s="2">
        <f t="shared" si="80"/>
        <v>10441.805502751311</v>
      </c>
      <c r="V288" s="10">
        <f>PVLoan!M315</f>
        <v>0</v>
      </c>
      <c r="W288" s="2">
        <f>IF(C288='PV IN'!$I$40,IF('PV IN'!$G$40="Non-Taxable",'PV IN'!$F$40,0),0)+IF(C288='PV IN'!$I$41,IF('PV IN'!$G$41="Non-Taxable",'PV IN'!$F$41,0),0)</f>
        <v>0</v>
      </c>
      <c r="X288" s="10"/>
      <c r="Y288" s="10">
        <f>IF('PV IN'!$E$15="Non-Taxable",SUM(N288:P288),0)</f>
        <v>0</v>
      </c>
      <c r="Z288" s="10">
        <f>IF('PV IN'!$E$15="Taxable",SUM(N288:P288),0)</f>
        <v>0</v>
      </c>
      <c r="AA288" s="2">
        <f>IF(C288='PV IN'!$I$40,IF('PV IN'!$G$40="Taxable",'PV IN'!$F$40,0),0)+IF(C288='PV IN'!$I$41,IF('PV IN'!$G$41="Taxable",'PV IN'!$F$41,0),0)</f>
        <v>0</v>
      </c>
      <c r="AD288" s="10">
        <f>IF('PV IN'!$D$48="YES",-U288*'PV IN'!$E$8,0)</f>
        <v>0</v>
      </c>
      <c r="AE288" s="10">
        <f>IF('PV IN'!$N$10="Yes",-PVLoan!H316,-PVLoan!L316)</f>
        <v>0</v>
      </c>
      <c r="AF288" s="10">
        <f>IF('PV IN'!$N$10="Yes",-PVLoan!F316,0)</f>
        <v>0</v>
      </c>
      <c r="AG288" s="10">
        <f>IF(AND('PV IN'!$D$35="YES",$C288&lt;='PV IN'!$E$35*12),0,-'PV IN'!$E$18*'PV IN'!$E$34/12)</f>
        <v>-750</v>
      </c>
      <c r="AH288" s="10">
        <f>IF(AND('PV IN'!$D$37="YES",$C288&lt;='PV IN'!$E$37*12),0,-'PV IN'!$E$18*'PV IN'!$E$36/12)</f>
        <v>-625</v>
      </c>
      <c r="AI288" s="2">
        <f>IF(AND('PV IN'!$D$33="YES",PVCalcs!C288=ROUNDUP('PV IN'!$H$33*12,)),-'PV IN'!$E$33*'PV IN'!$E$18,0)</f>
        <v>0</v>
      </c>
      <c r="AK288" s="2">
        <f t="shared" si="65"/>
        <v>10441.805502751311</v>
      </c>
      <c r="AL288" s="2">
        <f t="shared" si="66"/>
        <v>-1375</v>
      </c>
      <c r="AM288" s="2">
        <f t="shared" si="70"/>
        <v>9066.805502751311</v>
      </c>
      <c r="AN288" s="43"/>
      <c r="AO288" s="2">
        <f t="shared" si="67"/>
        <v>0</v>
      </c>
      <c r="AP288" s="2">
        <f t="shared" si="71"/>
        <v>-1375</v>
      </c>
      <c r="AR288" s="2">
        <f t="shared" si="72"/>
        <v>-1375</v>
      </c>
      <c r="AS288" s="2">
        <f>-AR288*'PV IN'!$E$8</f>
        <v>288.75</v>
      </c>
      <c r="AT288" s="2">
        <f>IF('PV IN'!$F$4="Battery Only",0,AM288+AS288)</f>
        <v>9355.555502751311</v>
      </c>
      <c r="AV288" s="10">
        <f t="shared" si="73"/>
        <v>1792189.8473838593</v>
      </c>
      <c r="AW288" s="2">
        <f>AT288/(1+('PV IN'!$G$9))^(C288)</f>
        <v>2948.4210396363055</v>
      </c>
      <c r="AX288" s="2" t="e">
        <f>IF(C288&lt;='PV IN'!$O$22*12,AW288+AX287,NA())</f>
        <v>#N/A</v>
      </c>
      <c r="AZ288" s="10">
        <f t="shared" si="68"/>
        <v>-1375</v>
      </c>
      <c r="BA288" s="10">
        <f t="shared" si="69"/>
        <v>0</v>
      </c>
      <c r="BB288" s="10">
        <f t="shared" si="74"/>
        <v>-1375</v>
      </c>
      <c r="BC288" s="10">
        <f t="shared" si="75"/>
        <v>0</v>
      </c>
      <c r="BD288" s="10">
        <f t="shared" si="76"/>
        <v>-1375</v>
      </c>
      <c r="BE288" s="2">
        <f t="shared" si="77"/>
        <v>0</v>
      </c>
      <c r="BF288" s="10">
        <f t="shared" si="78"/>
        <v>-1375</v>
      </c>
      <c r="BG288" s="2">
        <f>-BF288*'PV IN'!$E$8</f>
        <v>288.75</v>
      </c>
      <c r="BH288" s="2">
        <f>IF('PV IN'!$F$4="Battery Only",0,BB288+BG288)</f>
        <v>-1086.25</v>
      </c>
      <c r="BI288" s="2">
        <f>BH288/(1+('PV IN'!$G$9))^(C288)</f>
        <v>-342.33374526644303</v>
      </c>
    </row>
    <row r="289" spans="2:61" x14ac:dyDescent="0.25">
      <c r="C289">
        <v>285</v>
      </c>
      <c r="D289" s="16">
        <f>D288*(1+('PV IN'!$G$6/12))</f>
        <v>7.5999999999999998E-2</v>
      </c>
      <c r="E289" s="16">
        <f>LkUP!$U$44</f>
        <v>8.2693233167724894E-2</v>
      </c>
      <c r="F289" s="16">
        <f>IF('PV IN'!$D$7="Table",E289,D289)</f>
        <v>8.2693233167724894E-2</v>
      </c>
      <c r="G289" s="33">
        <f>('PV IN'!$E$25*'PV IN'!$E$18/12)*(1-(1-'PV IN'!$E$27)/(25*12))^C288</f>
        <v>126187.40251597181</v>
      </c>
      <c r="H289" s="33">
        <f>IF('PV IN'!$D$19="YES",G289*'PV IN'!$E$21,0)</f>
        <v>0</v>
      </c>
      <c r="I289" s="33">
        <f>IF('PV IN'!$D$19="YES",'PV IN'!$E$22*BattCalcs!W289,0)</f>
        <v>0</v>
      </c>
      <c r="J289" s="33">
        <f>IF('PV IN'!$D$19="YES",'PV IN'!$E$23*BattCalcs!Y289,0)</f>
        <v>0</v>
      </c>
      <c r="K289" s="33">
        <f>BattCalcs!AF289</f>
        <v>25811.765833333331</v>
      </c>
      <c r="L289" s="33">
        <f t="shared" si="79"/>
        <v>25811.765833333331</v>
      </c>
      <c r="M289" s="33">
        <f>IF('PV IN'!$F$4="PV Only",G289,G289-SUM(H289:J289,L289))</f>
        <v>126187.40251597181</v>
      </c>
      <c r="N289" s="2">
        <f>IF(C289&lt;='PV IN'!$I$12*12,'PV IN'!$E$12*G289/1000,0)</f>
        <v>0</v>
      </c>
      <c r="O289" s="2">
        <f>IF(AND(C289&gt;'PV IN'!$I$12*12,C289&lt;='PV IN'!$I$13*12+'PV IN'!$I$12*12),'PV IN'!$E$13*PVCalcs!G289/1000,0)</f>
        <v>0</v>
      </c>
      <c r="P289" s="2">
        <f>IF(AND(C289&gt;'PV IN'!$I$12*12+'PV IN'!$I$13*12,C289&lt;='PV IN'!$I$12*12+'PV IN'!$I$13*12+'PV IN'!$I$14*12),'PV IN'!$E$14*PVCalcs!G289/1000,0)</f>
        <v>0</v>
      </c>
      <c r="R289" s="10">
        <f>IF(AND('PV IN'!$D$35="YES",$C289&lt;='PV IN'!$E$35*12),-'PV IN'!$E$18*'PV IN'!$E$34/12,0)</f>
        <v>0</v>
      </c>
      <c r="S289" s="10">
        <f>IF(AND('PV IN'!$D$37="YES",$C289&lt;='PV IN'!$E$37*12),-'PV IN'!$E$18*'PV IN'!$E$36/12,0)</f>
        <v>0</v>
      </c>
      <c r="U289" s="2">
        <f t="shared" si="80"/>
        <v>10434.844299082812</v>
      </c>
      <c r="V289" s="10">
        <f>PVLoan!M316</f>
        <v>0</v>
      </c>
      <c r="W289" s="2">
        <f>IF(C289='PV IN'!$I$40,IF('PV IN'!$G$40="Non-Taxable",'PV IN'!$F$40,0),0)+IF(C289='PV IN'!$I$41,IF('PV IN'!$G$41="Non-Taxable",'PV IN'!$F$41,0),0)</f>
        <v>0</v>
      </c>
      <c r="X289" s="10"/>
      <c r="Y289" s="10">
        <f>IF('PV IN'!$E$15="Non-Taxable",SUM(N289:P289),0)</f>
        <v>0</v>
      </c>
      <c r="Z289" s="10">
        <f>IF('PV IN'!$E$15="Taxable",SUM(N289:P289),0)</f>
        <v>0</v>
      </c>
      <c r="AA289" s="2">
        <f>IF(C289='PV IN'!$I$40,IF('PV IN'!$G$40="Taxable",'PV IN'!$F$40,0),0)+IF(C289='PV IN'!$I$41,IF('PV IN'!$G$41="Taxable",'PV IN'!$F$41,0),0)</f>
        <v>0</v>
      </c>
      <c r="AD289" s="10">
        <f>IF('PV IN'!$D$48="YES",-U289*'PV IN'!$E$8,0)</f>
        <v>0</v>
      </c>
      <c r="AE289" s="10">
        <f>IF('PV IN'!$N$10="Yes",-PVLoan!H317,-PVLoan!L317)</f>
        <v>0</v>
      </c>
      <c r="AF289" s="10">
        <f>IF('PV IN'!$N$10="Yes",-PVLoan!F317,0)</f>
        <v>0</v>
      </c>
      <c r="AG289" s="10">
        <f>IF(AND('PV IN'!$D$35="YES",$C289&lt;='PV IN'!$E$35*12),0,-'PV IN'!$E$18*'PV IN'!$E$34/12)</f>
        <v>-750</v>
      </c>
      <c r="AH289" s="10">
        <f>IF(AND('PV IN'!$D$37="YES",$C289&lt;='PV IN'!$E$37*12),0,-'PV IN'!$E$18*'PV IN'!$E$36/12)</f>
        <v>-625</v>
      </c>
      <c r="AI289" s="2">
        <f>IF(AND('PV IN'!$D$33="YES",PVCalcs!C289=ROUNDUP('PV IN'!$H$33*12,)),-'PV IN'!$E$33*'PV IN'!$E$18,0)</f>
        <v>0</v>
      </c>
      <c r="AK289" s="2">
        <f t="shared" si="65"/>
        <v>10434.844299082812</v>
      </c>
      <c r="AL289" s="2">
        <f t="shared" si="66"/>
        <v>-1375</v>
      </c>
      <c r="AM289" s="2">
        <f t="shared" si="70"/>
        <v>9059.8442990828116</v>
      </c>
      <c r="AN289" s="43"/>
      <c r="AO289" s="2">
        <f t="shared" si="67"/>
        <v>0</v>
      </c>
      <c r="AP289" s="2">
        <f t="shared" si="71"/>
        <v>-1375</v>
      </c>
      <c r="AR289" s="2">
        <f t="shared" si="72"/>
        <v>-1375</v>
      </c>
      <c r="AS289" s="2">
        <f>-AR289*'PV IN'!$E$8</f>
        <v>288.75</v>
      </c>
      <c r="AT289" s="2">
        <f>IF('PV IN'!$F$4="Battery Only",0,AM289+AS289)</f>
        <v>9348.5942990828116</v>
      </c>
      <c r="AV289" s="10">
        <f t="shared" si="73"/>
        <v>1801538.4416829422</v>
      </c>
      <c r="AW289" s="2">
        <f>AT289/(1+('PV IN'!$G$9))^(C289)</f>
        <v>2934.2726132715993</v>
      </c>
      <c r="AX289" s="2" t="e">
        <f>IF(C289&lt;='PV IN'!$O$22*12,AW289+AX288,NA())</f>
        <v>#N/A</v>
      </c>
      <c r="AZ289" s="10">
        <f t="shared" si="68"/>
        <v>-1375</v>
      </c>
      <c r="BA289" s="10">
        <f t="shared" si="69"/>
        <v>0</v>
      </c>
      <c r="BB289" s="10">
        <f t="shared" si="74"/>
        <v>-1375</v>
      </c>
      <c r="BC289" s="10">
        <f t="shared" si="75"/>
        <v>0</v>
      </c>
      <c r="BD289" s="10">
        <f t="shared" si="76"/>
        <v>-1375</v>
      </c>
      <c r="BE289" s="2">
        <f t="shared" si="77"/>
        <v>0</v>
      </c>
      <c r="BF289" s="10">
        <f t="shared" si="78"/>
        <v>-1375</v>
      </c>
      <c r="BG289" s="2">
        <f>-BF289*'PV IN'!$E$8</f>
        <v>288.75</v>
      </c>
      <c r="BH289" s="2">
        <f>IF('PV IN'!$F$4="Battery Only",0,BB289+BG289)</f>
        <v>-1086.25</v>
      </c>
      <c r="BI289" s="2">
        <f>BH289/(1+('PV IN'!$G$9))^(C289)</f>
        <v>-340.94469437816821</v>
      </c>
    </row>
    <row r="290" spans="2:61" x14ac:dyDescent="0.25">
      <c r="C290">
        <v>286</v>
      </c>
      <c r="D290" s="16">
        <f>D289*(1+('PV IN'!$G$6/12))</f>
        <v>7.5999999999999998E-2</v>
      </c>
      <c r="E290" s="16">
        <f>LkUP!$U$44</f>
        <v>8.2693233167724894E-2</v>
      </c>
      <c r="F290" s="16">
        <f>IF('PV IN'!$D$7="Table",E290,D290)</f>
        <v>8.2693233167724894E-2</v>
      </c>
      <c r="G290" s="33">
        <f>('PV IN'!$E$25*'PV IN'!$E$18/12)*(1-(1-'PV IN'!$E$27)/(25*12))^C289</f>
        <v>126103.27758096115</v>
      </c>
      <c r="H290" s="33">
        <f>IF('PV IN'!$D$19="YES",G290*'PV IN'!$E$21,0)</f>
        <v>0</v>
      </c>
      <c r="I290" s="33">
        <f>IF('PV IN'!$D$19="YES",'PV IN'!$E$22*BattCalcs!W290,0)</f>
        <v>0</v>
      </c>
      <c r="J290" s="33">
        <f>IF('PV IN'!$D$19="YES",'PV IN'!$E$23*BattCalcs!Y290,0)</f>
        <v>0</v>
      </c>
      <c r="K290" s="33">
        <f>BattCalcs!AF290</f>
        <v>25811.765833333331</v>
      </c>
      <c r="L290" s="33">
        <f t="shared" si="79"/>
        <v>25811.765833333331</v>
      </c>
      <c r="M290" s="33">
        <f>IF('PV IN'!$F$4="PV Only",G290,G290-SUM(H290:J290,L290))</f>
        <v>126103.27758096115</v>
      </c>
      <c r="N290" s="2">
        <f>IF(C290&lt;='PV IN'!$I$12*12,'PV IN'!$E$12*G290/1000,0)</f>
        <v>0</v>
      </c>
      <c r="O290" s="2">
        <f>IF(AND(C290&gt;'PV IN'!$I$12*12,C290&lt;='PV IN'!$I$13*12+'PV IN'!$I$12*12),'PV IN'!$E$13*PVCalcs!G290/1000,0)</f>
        <v>0</v>
      </c>
      <c r="P290" s="2">
        <f>IF(AND(C290&gt;'PV IN'!$I$12*12+'PV IN'!$I$13*12,C290&lt;='PV IN'!$I$12*12+'PV IN'!$I$13*12+'PV IN'!$I$14*12),'PV IN'!$E$14*PVCalcs!G290/1000,0)</f>
        <v>0</v>
      </c>
      <c r="R290" s="10">
        <f>IF(AND('PV IN'!$D$35="YES",$C290&lt;='PV IN'!$E$35*12),-'PV IN'!$E$18*'PV IN'!$E$34/12,0)</f>
        <v>0</v>
      </c>
      <c r="S290" s="10">
        <f>IF(AND('PV IN'!$D$37="YES",$C290&lt;='PV IN'!$E$37*12),-'PV IN'!$E$18*'PV IN'!$E$36/12,0)</f>
        <v>0</v>
      </c>
      <c r="U290" s="2">
        <f t="shared" si="80"/>
        <v>10427.887736216755</v>
      </c>
      <c r="V290" s="10">
        <f>PVLoan!M317</f>
        <v>0</v>
      </c>
      <c r="W290" s="2">
        <f>IF(C290='PV IN'!$I$40,IF('PV IN'!$G$40="Non-Taxable",'PV IN'!$F$40,0),0)+IF(C290='PV IN'!$I$41,IF('PV IN'!$G$41="Non-Taxable",'PV IN'!$F$41,0),0)</f>
        <v>0</v>
      </c>
      <c r="X290" s="10"/>
      <c r="Y290" s="10">
        <f>IF('PV IN'!$E$15="Non-Taxable",SUM(N290:P290),0)</f>
        <v>0</v>
      </c>
      <c r="Z290" s="10">
        <f>IF('PV IN'!$E$15="Taxable",SUM(N290:P290),0)</f>
        <v>0</v>
      </c>
      <c r="AA290" s="2">
        <f>IF(C290='PV IN'!$I$40,IF('PV IN'!$G$40="Taxable",'PV IN'!$F$40,0),0)+IF(C290='PV IN'!$I$41,IF('PV IN'!$G$41="Taxable",'PV IN'!$F$41,0),0)</f>
        <v>0</v>
      </c>
      <c r="AD290" s="10">
        <f>IF('PV IN'!$D$48="YES",-U290*'PV IN'!$E$8,0)</f>
        <v>0</v>
      </c>
      <c r="AE290" s="10">
        <f>IF('PV IN'!$N$10="Yes",-PVLoan!H318,-PVLoan!L318)</f>
        <v>0</v>
      </c>
      <c r="AF290" s="10">
        <f>IF('PV IN'!$N$10="Yes",-PVLoan!F318,0)</f>
        <v>0</v>
      </c>
      <c r="AG290" s="10">
        <f>IF(AND('PV IN'!$D$35="YES",$C290&lt;='PV IN'!$E$35*12),0,-'PV IN'!$E$18*'PV IN'!$E$34/12)</f>
        <v>-750</v>
      </c>
      <c r="AH290" s="10">
        <f>IF(AND('PV IN'!$D$37="YES",$C290&lt;='PV IN'!$E$37*12),0,-'PV IN'!$E$18*'PV IN'!$E$36/12)</f>
        <v>-625</v>
      </c>
      <c r="AI290" s="2">
        <f>IF(AND('PV IN'!$D$33="YES",PVCalcs!C290=ROUNDUP('PV IN'!$H$33*12,)),-'PV IN'!$E$33*'PV IN'!$E$18,0)</f>
        <v>0</v>
      </c>
      <c r="AK290" s="2">
        <f t="shared" si="65"/>
        <v>10427.887736216755</v>
      </c>
      <c r="AL290" s="2">
        <f t="shared" si="66"/>
        <v>-1375</v>
      </c>
      <c r="AM290" s="2">
        <f t="shared" si="70"/>
        <v>9052.887736216755</v>
      </c>
      <c r="AN290" s="43"/>
      <c r="AO290" s="2">
        <f t="shared" si="67"/>
        <v>0</v>
      </c>
      <c r="AP290" s="2">
        <f t="shared" si="71"/>
        <v>-1375</v>
      </c>
      <c r="AR290" s="2">
        <f t="shared" si="72"/>
        <v>-1375</v>
      </c>
      <c r="AS290" s="2">
        <f>-AR290*'PV IN'!$E$8</f>
        <v>288.75</v>
      </c>
      <c r="AT290" s="2">
        <f>IF('PV IN'!$F$4="Battery Only",0,AM290+AS290)</f>
        <v>9341.637736216755</v>
      </c>
      <c r="AV290" s="10">
        <f t="shared" si="73"/>
        <v>1810880.0794191589</v>
      </c>
      <c r="AW290" s="2">
        <f>AT290/(1+('PV IN'!$G$9))^(C290)</f>
        <v>2920.191911746037</v>
      </c>
      <c r="AX290" s="2" t="e">
        <f>IF(C290&lt;='PV IN'!$O$22*12,AW290+AX289,NA())</f>
        <v>#N/A</v>
      </c>
      <c r="AZ290" s="10">
        <f t="shared" si="68"/>
        <v>-1375</v>
      </c>
      <c r="BA290" s="10">
        <f t="shared" si="69"/>
        <v>0</v>
      </c>
      <c r="BB290" s="10">
        <f t="shared" si="74"/>
        <v>-1375</v>
      </c>
      <c r="BC290" s="10">
        <f t="shared" si="75"/>
        <v>0</v>
      </c>
      <c r="BD290" s="10">
        <f t="shared" si="76"/>
        <v>-1375</v>
      </c>
      <c r="BE290" s="2">
        <f t="shared" si="77"/>
        <v>0</v>
      </c>
      <c r="BF290" s="10">
        <f t="shared" si="78"/>
        <v>-1375</v>
      </c>
      <c r="BG290" s="2">
        <f>-BF290*'PV IN'!$E$8</f>
        <v>288.75</v>
      </c>
      <c r="BH290" s="2">
        <f>IF('PV IN'!$F$4="Battery Only",0,BB290+BG290)</f>
        <v>-1086.25</v>
      </c>
      <c r="BI290" s="2">
        <f>BH290/(1+('PV IN'!$G$9))^(C290)</f>
        <v>-339.56127969256664</v>
      </c>
    </row>
    <row r="291" spans="2:61" x14ac:dyDescent="0.25">
      <c r="C291">
        <v>287</v>
      </c>
      <c r="D291" s="16">
        <f>D290*(1+('PV IN'!$G$6/12))</f>
        <v>7.5999999999999998E-2</v>
      </c>
      <c r="E291" s="16">
        <f>LkUP!$U$44</f>
        <v>8.2693233167724894E-2</v>
      </c>
      <c r="F291" s="16">
        <f>IF('PV IN'!$D$7="Table",E291,D291)</f>
        <v>8.2693233167724894E-2</v>
      </c>
      <c r="G291" s="33">
        <f>('PV IN'!$E$25*'PV IN'!$E$18/12)*(1-(1-'PV IN'!$E$27)/(25*12))^C290</f>
        <v>126019.20872924049</v>
      </c>
      <c r="H291" s="33">
        <f>IF('PV IN'!$D$19="YES",G291*'PV IN'!$E$21,0)</f>
        <v>0</v>
      </c>
      <c r="I291" s="33">
        <f>IF('PV IN'!$D$19="YES",'PV IN'!$E$22*BattCalcs!W291,0)</f>
        <v>0</v>
      </c>
      <c r="J291" s="33">
        <f>IF('PV IN'!$D$19="YES",'PV IN'!$E$23*BattCalcs!Y291,0)</f>
        <v>0</v>
      </c>
      <c r="K291" s="33">
        <f>BattCalcs!AF291</f>
        <v>25811.765833333331</v>
      </c>
      <c r="L291" s="33">
        <f t="shared" si="79"/>
        <v>25811.765833333331</v>
      </c>
      <c r="M291" s="33">
        <f>IF('PV IN'!$F$4="PV Only",G291,G291-SUM(H291:J291,L291))</f>
        <v>126019.20872924049</v>
      </c>
      <c r="N291" s="2">
        <f>IF(C291&lt;='PV IN'!$I$12*12,'PV IN'!$E$12*G291/1000,0)</f>
        <v>0</v>
      </c>
      <c r="O291" s="2">
        <f>IF(AND(C291&gt;'PV IN'!$I$12*12,C291&lt;='PV IN'!$I$13*12+'PV IN'!$I$12*12),'PV IN'!$E$13*PVCalcs!G291/1000,0)</f>
        <v>0</v>
      </c>
      <c r="P291" s="2">
        <f>IF(AND(C291&gt;'PV IN'!$I$12*12+'PV IN'!$I$13*12,C291&lt;='PV IN'!$I$12*12+'PV IN'!$I$13*12+'PV IN'!$I$14*12),'PV IN'!$E$14*PVCalcs!G291/1000,0)</f>
        <v>0</v>
      </c>
      <c r="R291" s="10">
        <f>IF(AND('PV IN'!$D$35="YES",$C291&lt;='PV IN'!$E$35*12),-'PV IN'!$E$18*'PV IN'!$E$34/12,0)</f>
        <v>0</v>
      </c>
      <c r="S291" s="10">
        <f>IF(AND('PV IN'!$D$37="YES",$C291&lt;='PV IN'!$E$37*12),-'PV IN'!$E$18*'PV IN'!$E$36/12,0)</f>
        <v>0</v>
      </c>
      <c r="U291" s="2">
        <f t="shared" si="80"/>
        <v>10420.935811059277</v>
      </c>
      <c r="V291" s="10">
        <f>PVLoan!M318</f>
        <v>0</v>
      </c>
      <c r="W291" s="2">
        <f>IF(C291='PV IN'!$I$40,IF('PV IN'!$G$40="Non-Taxable",'PV IN'!$F$40,0),0)+IF(C291='PV IN'!$I$41,IF('PV IN'!$G$41="Non-Taxable",'PV IN'!$F$41,0),0)</f>
        <v>0</v>
      </c>
      <c r="X291" s="10"/>
      <c r="Y291" s="10">
        <f>IF('PV IN'!$E$15="Non-Taxable",SUM(N291:P291),0)</f>
        <v>0</v>
      </c>
      <c r="Z291" s="10">
        <f>IF('PV IN'!$E$15="Taxable",SUM(N291:P291),0)</f>
        <v>0</v>
      </c>
      <c r="AA291" s="2">
        <f>IF(C291='PV IN'!$I$40,IF('PV IN'!$G$40="Taxable",'PV IN'!$F$40,0),0)+IF(C291='PV IN'!$I$41,IF('PV IN'!$G$41="Taxable",'PV IN'!$F$41,0),0)</f>
        <v>0</v>
      </c>
      <c r="AD291" s="10">
        <f>IF('PV IN'!$D$48="YES",-U291*'PV IN'!$E$8,0)</f>
        <v>0</v>
      </c>
      <c r="AE291" s="10">
        <f>IF('PV IN'!$N$10="Yes",-PVLoan!H319,-PVLoan!L319)</f>
        <v>0</v>
      </c>
      <c r="AF291" s="10">
        <f>IF('PV IN'!$N$10="Yes",-PVLoan!F319,0)</f>
        <v>0</v>
      </c>
      <c r="AG291" s="10">
        <f>IF(AND('PV IN'!$D$35="YES",$C291&lt;='PV IN'!$E$35*12),0,-'PV IN'!$E$18*'PV IN'!$E$34/12)</f>
        <v>-750</v>
      </c>
      <c r="AH291" s="10">
        <f>IF(AND('PV IN'!$D$37="YES",$C291&lt;='PV IN'!$E$37*12),0,-'PV IN'!$E$18*'PV IN'!$E$36/12)</f>
        <v>-625</v>
      </c>
      <c r="AI291" s="2">
        <f>IF(AND('PV IN'!$D$33="YES",PVCalcs!C291=ROUNDUP('PV IN'!$H$33*12,)),-'PV IN'!$E$33*'PV IN'!$E$18,0)</f>
        <v>0</v>
      </c>
      <c r="AK291" s="2">
        <f t="shared" si="65"/>
        <v>10420.935811059277</v>
      </c>
      <c r="AL291" s="2">
        <f t="shared" si="66"/>
        <v>-1375</v>
      </c>
      <c r="AM291" s="2">
        <f t="shared" si="70"/>
        <v>9045.9358110592766</v>
      </c>
      <c r="AN291" s="43"/>
      <c r="AO291" s="2">
        <f t="shared" si="67"/>
        <v>0</v>
      </c>
      <c r="AP291" s="2">
        <f t="shared" si="71"/>
        <v>-1375</v>
      </c>
      <c r="AR291" s="2">
        <f t="shared" si="72"/>
        <v>-1375</v>
      </c>
      <c r="AS291" s="2">
        <f>-AR291*'PV IN'!$E$8</f>
        <v>288.75</v>
      </c>
      <c r="AT291" s="2">
        <f>IF('PV IN'!$F$4="Battery Only",0,AM291+AS291)</f>
        <v>9334.6858110592766</v>
      </c>
      <c r="AV291" s="10">
        <f t="shared" si="73"/>
        <v>1820214.7652302182</v>
      </c>
      <c r="AW291" s="2">
        <f>AT291/(1+('PV IN'!$G$9))^(C291)</f>
        <v>2906.1786115508944</v>
      </c>
      <c r="AX291" s="2" t="e">
        <f>IF(C291&lt;='PV IN'!$O$22*12,AW291+AX290,NA())</f>
        <v>#N/A</v>
      </c>
      <c r="AZ291" s="10">
        <f t="shared" si="68"/>
        <v>-1375</v>
      </c>
      <c r="BA291" s="10">
        <f t="shared" si="69"/>
        <v>0</v>
      </c>
      <c r="BB291" s="10">
        <f t="shared" si="74"/>
        <v>-1375</v>
      </c>
      <c r="BC291" s="10">
        <f t="shared" si="75"/>
        <v>0</v>
      </c>
      <c r="BD291" s="10">
        <f t="shared" si="76"/>
        <v>-1375</v>
      </c>
      <c r="BE291" s="2">
        <f t="shared" si="77"/>
        <v>0</v>
      </c>
      <c r="BF291" s="10">
        <f t="shared" si="78"/>
        <v>-1375</v>
      </c>
      <c r="BG291" s="2">
        <f>-BF291*'PV IN'!$E$8</f>
        <v>288.75</v>
      </c>
      <c r="BH291" s="2">
        <f>IF('PV IN'!$F$4="Battery Only",0,BB291+BG291)</f>
        <v>-1086.25</v>
      </c>
      <c r="BI291" s="2">
        <f>BH291/(1+('PV IN'!$G$9))^(C291)</f>
        <v>-338.18347834022381</v>
      </c>
    </row>
    <row r="292" spans="2:61" x14ac:dyDescent="0.25">
      <c r="B292">
        <v>24</v>
      </c>
      <c r="C292">
        <v>288</v>
      </c>
      <c r="D292" s="16">
        <f>D291*(1+('PV IN'!$G$6/12))</f>
        <v>7.5999999999999998E-2</v>
      </c>
      <c r="E292" s="16">
        <f>LkUP!$U$44</f>
        <v>8.2693233167724894E-2</v>
      </c>
      <c r="F292" s="16">
        <f>IF('PV IN'!$D$7="Table",E292,D292)</f>
        <v>8.2693233167724894E-2</v>
      </c>
      <c r="G292" s="33">
        <f>('PV IN'!$E$25*'PV IN'!$E$18/12)*(1-(1-'PV IN'!$E$27)/(25*12))^C291</f>
        <v>125935.19592342102</v>
      </c>
      <c r="H292" s="33">
        <f>IF('PV IN'!$D$19="YES",G292*'PV IN'!$E$21,0)</f>
        <v>0</v>
      </c>
      <c r="I292" s="33">
        <f>IF('PV IN'!$D$19="YES",'PV IN'!$E$22*BattCalcs!W292,0)</f>
        <v>0</v>
      </c>
      <c r="J292" s="33">
        <f>IF('PV IN'!$D$19="YES",'PV IN'!$E$23*BattCalcs!Y292,0)</f>
        <v>0</v>
      </c>
      <c r="K292" s="33">
        <f>BattCalcs!AF292</f>
        <v>25811.765833333331</v>
      </c>
      <c r="L292" s="33">
        <f t="shared" si="79"/>
        <v>25811.765833333331</v>
      </c>
      <c r="M292" s="33">
        <f>IF('PV IN'!$F$4="PV Only",G292,G292-SUM(H292:J292,L292))</f>
        <v>125935.19592342102</v>
      </c>
      <c r="N292" s="2">
        <f>IF(C292&lt;='PV IN'!$I$12*12,'PV IN'!$E$12*G292/1000,0)</f>
        <v>0</v>
      </c>
      <c r="O292" s="2">
        <f>IF(AND(C292&gt;'PV IN'!$I$12*12,C292&lt;='PV IN'!$I$13*12+'PV IN'!$I$12*12),'PV IN'!$E$13*PVCalcs!G292/1000,0)</f>
        <v>0</v>
      </c>
      <c r="P292" s="2">
        <f>IF(AND(C292&gt;'PV IN'!$I$12*12+'PV IN'!$I$13*12,C292&lt;='PV IN'!$I$12*12+'PV IN'!$I$13*12+'PV IN'!$I$14*12),'PV IN'!$E$14*PVCalcs!G292/1000,0)</f>
        <v>0</v>
      </c>
      <c r="R292" s="10">
        <f>IF(AND('PV IN'!$D$35="YES",$C292&lt;='PV IN'!$E$35*12),-'PV IN'!$E$18*'PV IN'!$E$34/12,0)</f>
        <v>0</v>
      </c>
      <c r="S292" s="10">
        <f>IF(AND('PV IN'!$D$37="YES",$C292&lt;='PV IN'!$E$37*12),-'PV IN'!$E$18*'PV IN'!$E$36/12,0)</f>
        <v>0</v>
      </c>
      <c r="U292" s="2">
        <f t="shared" si="80"/>
        <v>10413.988520518573</v>
      </c>
      <c r="V292" s="10">
        <f>PVLoan!M319</f>
        <v>0</v>
      </c>
      <c r="W292" s="2">
        <f>IF(C292='PV IN'!$I$40,IF('PV IN'!$G$40="Non-Taxable",'PV IN'!$F$40,0),0)+IF(C292='PV IN'!$I$41,IF('PV IN'!$G$41="Non-Taxable",'PV IN'!$F$41,0),0)</f>
        <v>0</v>
      </c>
      <c r="X292" s="10"/>
      <c r="Y292" s="10">
        <f>IF('PV IN'!$E$15="Non-Taxable",SUM(N292:P292),0)</f>
        <v>0</v>
      </c>
      <c r="Z292" s="10">
        <f>IF('PV IN'!$E$15="Taxable",SUM(N292:P292),0)</f>
        <v>0</v>
      </c>
      <c r="AA292" s="2">
        <f>IF(C292='PV IN'!$I$40,IF('PV IN'!$G$40="Taxable",'PV IN'!$F$40,0),0)+IF(C292='PV IN'!$I$41,IF('PV IN'!$G$41="Taxable",'PV IN'!$F$41,0),0)</f>
        <v>0</v>
      </c>
      <c r="AD292" s="10">
        <f>IF('PV IN'!$D$48="YES",-U292*'PV IN'!$E$8,0)</f>
        <v>0</v>
      </c>
      <c r="AE292" s="10">
        <f>IF('PV IN'!$N$10="Yes",-PVLoan!H320,-PVLoan!L320)</f>
        <v>0</v>
      </c>
      <c r="AF292" s="10">
        <f>IF('PV IN'!$N$10="Yes",-PVLoan!F320,0)</f>
        <v>0</v>
      </c>
      <c r="AG292" s="10">
        <f>IF(AND('PV IN'!$D$35="YES",$C292&lt;='PV IN'!$E$35*12),0,-'PV IN'!$E$18*'PV IN'!$E$34/12)</f>
        <v>-750</v>
      </c>
      <c r="AH292" s="10">
        <f>IF(AND('PV IN'!$D$37="YES",$C292&lt;='PV IN'!$E$37*12),0,-'PV IN'!$E$18*'PV IN'!$E$36/12)</f>
        <v>-625</v>
      </c>
      <c r="AI292" s="2">
        <f>IF(AND('PV IN'!$D$33="YES",PVCalcs!C292=ROUNDUP('PV IN'!$H$33*12,)),-'PV IN'!$E$33*'PV IN'!$E$18,0)</f>
        <v>0</v>
      </c>
      <c r="AK292" s="2">
        <f t="shared" si="65"/>
        <v>10413.988520518573</v>
      </c>
      <c r="AL292" s="2">
        <f t="shared" si="66"/>
        <v>-1375</v>
      </c>
      <c r="AM292" s="2">
        <f t="shared" si="70"/>
        <v>9038.9885205185728</v>
      </c>
      <c r="AN292" s="43"/>
      <c r="AO292" s="2">
        <f t="shared" si="67"/>
        <v>0</v>
      </c>
      <c r="AP292" s="2">
        <f t="shared" si="71"/>
        <v>-1375</v>
      </c>
      <c r="AR292" s="2">
        <f t="shared" si="72"/>
        <v>-1375</v>
      </c>
      <c r="AS292" s="2">
        <f>-AR292*'PV IN'!$E$8</f>
        <v>288.75</v>
      </c>
      <c r="AT292" s="2">
        <f>IF('PV IN'!$F$4="Battery Only",0,AM292+AS292)</f>
        <v>9327.7385205185728</v>
      </c>
      <c r="AV292" s="10">
        <f t="shared" si="73"/>
        <v>1829542.5037507368</v>
      </c>
      <c r="AW292" s="2">
        <f>AT292/(1+('PV IN'!$G$9))^(C292)</f>
        <v>2892.2323907200966</v>
      </c>
      <c r="AX292" s="2" t="e">
        <f>IF(C292&lt;='PV IN'!$O$22*12,AW292+AX291,NA())</f>
        <v>#N/A</v>
      </c>
      <c r="AZ292" s="10">
        <f t="shared" si="68"/>
        <v>-1375</v>
      </c>
      <c r="BA292" s="10">
        <f t="shared" si="69"/>
        <v>0</v>
      </c>
      <c r="BB292" s="10">
        <f t="shared" si="74"/>
        <v>-1375</v>
      </c>
      <c r="BC292" s="10">
        <f t="shared" si="75"/>
        <v>0</v>
      </c>
      <c r="BD292" s="10">
        <f t="shared" si="76"/>
        <v>-1375</v>
      </c>
      <c r="BE292" s="2">
        <f t="shared" si="77"/>
        <v>0</v>
      </c>
      <c r="BF292" s="10">
        <f t="shared" si="78"/>
        <v>-1375</v>
      </c>
      <c r="BG292" s="2">
        <f>-BF292*'PV IN'!$E$8</f>
        <v>288.75</v>
      </c>
      <c r="BH292" s="2">
        <f>IF('PV IN'!$F$4="Battery Only",0,BB292+BG292)</f>
        <v>-1086.25</v>
      </c>
      <c r="BI292" s="2">
        <f>BH292/(1+('PV IN'!$G$9))^(C292)</f>
        <v>-336.81126754451986</v>
      </c>
    </row>
    <row r="293" spans="2:61" x14ac:dyDescent="0.25">
      <c r="C293">
        <v>289</v>
      </c>
      <c r="D293" s="16">
        <f>D292*(1+('PV IN'!$G$6/12))</f>
        <v>7.5999999999999998E-2</v>
      </c>
      <c r="E293" s="16">
        <f>LkUP!$U$45</f>
        <v>8.194902450204164E-2</v>
      </c>
      <c r="F293" s="16">
        <f>IF('PV IN'!$D$7="Table",E293,D293)</f>
        <v>8.194902450204164E-2</v>
      </c>
      <c r="G293" s="33">
        <f>('PV IN'!$E$25*'PV IN'!$E$18/12)*(1-(1-'PV IN'!$E$27)/(25*12))^C292</f>
        <v>125851.23912613871</v>
      </c>
      <c r="H293" s="33">
        <f>IF('PV IN'!$D$19="YES",G293*'PV IN'!$E$21,0)</f>
        <v>0</v>
      </c>
      <c r="I293" s="33">
        <f>IF('PV IN'!$D$19="YES",'PV IN'!$E$22*BattCalcs!W293,0)</f>
        <v>0</v>
      </c>
      <c r="J293" s="33">
        <f>IF('PV IN'!$D$19="YES",'PV IN'!$E$23*BattCalcs!Y293,0)</f>
        <v>0</v>
      </c>
      <c r="K293" s="33">
        <f>BattCalcs!AF293</f>
        <v>25811.765833333331</v>
      </c>
      <c r="L293" s="33">
        <f t="shared" si="79"/>
        <v>25811.765833333331</v>
      </c>
      <c r="M293" s="33">
        <f>IF('PV IN'!$F$4="PV Only",G293,G293-SUM(H293:J293,L293))</f>
        <v>125851.23912613871</v>
      </c>
      <c r="N293" s="2">
        <f>IF(C293&lt;='PV IN'!$I$12*12,'PV IN'!$E$12*G293/1000,0)</f>
        <v>0</v>
      </c>
      <c r="O293" s="2">
        <f>IF(AND(C293&gt;'PV IN'!$I$12*12,C293&lt;='PV IN'!$I$13*12+'PV IN'!$I$12*12),'PV IN'!$E$13*PVCalcs!G293/1000,0)</f>
        <v>0</v>
      </c>
      <c r="P293" s="2">
        <f>IF(AND(C293&gt;'PV IN'!$I$12*12+'PV IN'!$I$13*12,C293&lt;='PV IN'!$I$12*12+'PV IN'!$I$13*12+'PV IN'!$I$14*12),'PV IN'!$E$14*PVCalcs!G293/1000,0)</f>
        <v>0</v>
      </c>
      <c r="R293" s="10">
        <f>IF(AND('PV IN'!$D$35="YES",$C293&lt;='PV IN'!$E$35*12),-'PV IN'!$E$18*'PV IN'!$E$34/12,0)</f>
        <v>0</v>
      </c>
      <c r="S293" s="10">
        <f>IF(AND('PV IN'!$D$37="YES",$C293&lt;='PV IN'!$E$37*12),-'PV IN'!$E$18*'PV IN'!$E$36/12,0)</f>
        <v>0</v>
      </c>
      <c r="U293" s="2">
        <f t="shared" si="80"/>
        <v>10313.386278760243</v>
      </c>
      <c r="V293" s="10">
        <f>PVLoan!M320</f>
        <v>0</v>
      </c>
      <c r="W293" s="2">
        <f>IF(C293='PV IN'!$I$40,IF('PV IN'!$G$40="Non-Taxable",'PV IN'!$F$40,0),0)+IF(C293='PV IN'!$I$41,IF('PV IN'!$G$41="Non-Taxable",'PV IN'!$F$41,0),0)</f>
        <v>0</v>
      </c>
      <c r="X293" s="10"/>
      <c r="Y293" s="10">
        <f>IF('PV IN'!$E$15="Non-Taxable",SUM(N293:P293),0)</f>
        <v>0</v>
      </c>
      <c r="Z293" s="10">
        <f>IF('PV IN'!$E$15="Taxable",SUM(N293:P293),0)</f>
        <v>0</v>
      </c>
      <c r="AA293" s="2">
        <f>IF(C293='PV IN'!$I$40,IF('PV IN'!$G$40="Taxable",'PV IN'!$F$40,0),0)+IF(C293='PV IN'!$I$41,IF('PV IN'!$G$41="Taxable",'PV IN'!$F$41,0),0)</f>
        <v>0</v>
      </c>
      <c r="AD293" s="10">
        <f>IF('PV IN'!$D$48="YES",-U293*'PV IN'!$E$8,0)</f>
        <v>0</v>
      </c>
      <c r="AE293" s="10">
        <f>IF('PV IN'!$N$10="Yes",-PVLoan!H321,-PVLoan!L321)</f>
        <v>0</v>
      </c>
      <c r="AF293" s="10">
        <f>IF('PV IN'!$N$10="Yes",-PVLoan!F321,0)</f>
        <v>0</v>
      </c>
      <c r="AG293" s="10">
        <f>IF(AND('PV IN'!$D$35="YES",$C293&lt;='PV IN'!$E$35*12),0,-'PV IN'!$E$18*'PV IN'!$E$34/12)</f>
        <v>-750</v>
      </c>
      <c r="AH293" s="10">
        <f>IF(AND('PV IN'!$D$37="YES",$C293&lt;='PV IN'!$E$37*12),0,-'PV IN'!$E$18*'PV IN'!$E$36/12)</f>
        <v>-625</v>
      </c>
      <c r="AI293" s="2">
        <f>IF(AND('PV IN'!$D$33="YES",PVCalcs!C293=ROUNDUP('PV IN'!$H$33*12,)),-'PV IN'!$E$33*'PV IN'!$E$18,0)</f>
        <v>0</v>
      </c>
      <c r="AK293" s="2">
        <f t="shared" si="65"/>
        <v>10313.386278760243</v>
      </c>
      <c r="AL293" s="2">
        <f t="shared" si="66"/>
        <v>-1375</v>
      </c>
      <c r="AM293" s="2">
        <f t="shared" si="70"/>
        <v>8938.3862787602429</v>
      </c>
      <c r="AN293" s="43"/>
      <c r="AO293" s="2">
        <f t="shared" si="67"/>
        <v>0</v>
      </c>
      <c r="AP293" s="2">
        <f t="shared" si="71"/>
        <v>-1375</v>
      </c>
      <c r="AR293" s="2">
        <f t="shared" si="72"/>
        <v>-1375</v>
      </c>
      <c r="AS293" s="2">
        <f>-AR293*'PV IN'!$E$8</f>
        <v>288.75</v>
      </c>
      <c r="AT293" s="2">
        <f>IF('PV IN'!$F$4="Battery Only",0,AM293+AS293)</f>
        <v>9227.1362787602429</v>
      </c>
      <c r="AV293" s="10">
        <f t="shared" si="73"/>
        <v>1838769.640029497</v>
      </c>
      <c r="AW293" s="2">
        <f>AT293/(1+('PV IN'!$G$9))^(C293)</f>
        <v>2849.4299335860796</v>
      </c>
      <c r="AX293" s="2" t="e">
        <f>IF(C293&lt;='PV IN'!$O$22*12,AW293+AX292,NA())</f>
        <v>#N/A</v>
      </c>
      <c r="AZ293" s="10">
        <f t="shared" si="68"/>
        <v>-1375</v>
      </c>
      <c r="BA293" s="10">
        <f t="shared" si="69"/>
        <v>0</v>
      </c>
      <c r="BB293" s="10">
        <f t="shared" si="74"/>
        <v>-1375</v>
      </c>
      <c r="BC293" s="10">
        <f t="shared" si="75"/>
        <v>0</v>
      </c>
      <c r="BD293" s="10">
        <f t="shared" si="76"/>
        <v>-1375</v>
      </c>
      <c r="BE293" s="2">
        <f t="shared" si="77"/>
        <v>0</v>
      </c>
      <c r="BF293" s="10">
        <f t="shared" si="78"/>
        <v>-1375</v>
      </c>
      <c r="BG293" s="2">
        <f>-BF293*'PV IN'!$E$8</f>
        <v>288.75</v>
      </c>
      <c r="BH293" s="2">
        <f>IF('PV IN'!$F$4="Battery Only",0,BB293+BG293)</f>
        <v>-1086.25</v>
      </c>
      <c r="BI293" s="2">
        <f>BH293/(1+('PV IN'!$G$9))^(C293)</f>
        <v>-335.44462462125341</v>
      </c>
    </row>
    <row r="294" spans="2:61" x14ac:dyDescent="0.25">
      <c r="C294">
        <v>290</v>
      </c>
      <c r="D294" s="16">
        <f>D293*(1+('PV IN'!$G$6/12))</f>
        <v>7.5999999999999998E-2</v>
      </c>
      <c r="E294" s="16">
        <f>LkUP!$U$45</f>
        <v>8.194902450204164E-2</v>
      </c>
      <c r="F294" s="16">
        <f>IF('PV IN'!$D$7="Table",E294,D294)</f>
        <v>8.194902450204164E-2</v>
      </c>
      <c r="G294" s="33">
        <f>('PV IN'!$E$25*'PV IN'!$E$18/12)*(1-(1-'PV IN'!$E$27)/(25*12))^C293</f>
        <v>125767.33830005462</v>
      </c>
      <c r="H294" s="33">
        <f>IF('PV IN'!$D$19="YES",G294*'PV IN'!$E$21,0)</f>
        <v>0</v>
      </c>
      <c r="I294" s="33">
        <f>IF('PV IN'!$D$19="YES",'PV IN'!$E$22*BattCalcs!W294,0)</f>
        <v>0</v>
      </c>
      <c r="J294" s="33">
        <f>IF('PV IN'!$D$19="YES",'PV IN'!$E$23*BattCalcs!Y294,0)</f>
        <v>0</v>
      </c>
      <c r="K294" s="33">
        <f>BattCalcs!AF294</f>
        <v>25811.765833333331</v>
      </c>
      <c r="L294" s="33">
        <f t="shared" si="79"/>
        <v>25811.765833333331</v>
      </c>
      <c r="M294" s="33">
        <f>IF('PV IN'!$F$4="PV Only",G294,G294-SUM(H294:J294,L294))</f>
        <v>125767.33830005462</v>
      </c>
      <c r="N294" s="2">
        <f>IF(C294&lt;='PV IN'!$I$12*12,'PV IN'!$E$12*G294/1000,0)</f>
        <v>0</v>
      </c>
      <c r="O294" s="2">
        <f>IF(AND(C294&gt;'PV IN'!$I$12*12,C294&lt;='PV IN'!$I$13*12+'PV IN'!$I$12*12),'PV IN'!$E$13*PVCalcs!G294/1000,0)</f>
        <v>0</v>
      </c>
      <c r="P294" s="2">
        <f>IF(AND(C294&gt;'PV IN'!$I$12*12+'PV IN'!$I$13*12,C294&lt;='PV IN'!$I$12*12+'PV IN'!$I$13*12+'PV IN'!$I$14*12),'PV IN'!$E$14*PVCalcs!G294/1000,0)</f>
        <v>0</v>
      </c>
      <c r="R294" s="10">
        <f>IF(AND('PV IN'!$D$35="YES",$C294&lt;='PV IN'!$E$35*12),-'PV IN'!$E$18*'PV IN'!$E$34/12,0)</f>
        <v>0</v>
      </c>
      <c r="S294" s="10">
        <f>IF(AND('PV IN'!$D$37="YES",$C294&lt;='PV IN'!$E$37*12),-'PV IN'!$E$18*'PV IN'!$E$36/12,0)</f>
        <v>0</v>
      </c>
      <c r="U294" s="2">
        <f t="shared" si="80"/>
        <v>10306.510687907736</v>
      </c>
      <c r="V294" s="10">
        <f>PVLoan!M321</f>
        <v>0</v>
      </c>
      <c r="W294" s="2">
        <f>IF(C294='PV IN'!$I$40,IF('PV IN'!$G$40="Non-Taxable",'PV IN'!$F$40,0),0)+IF(C294='PV IN'!$I$41,IF('PV IN'!$G$41="Non-Taxable",'PV IN'!$F$41,0),0)</f>
        <v>0</v>
      </c>
      <c r="X294" s="10"/>
      <c r="Y294" s="10">
        <f>IF('PV IN'!$E$15="Non-Taxable",SUM(N294:P294),0)</f>
        <v>0</v>
      </c>
      <c r="Z294" s="10">
        <f>IF('PV IN'!$E$15="Taxable",SUM(N294:P294),0)</f>
        <v>0</v>
      </c>
      <c r="AA294" s="2">
        <f>IF(C294='PV IN'!$I$40,IF('PV IN'!$G$40="Taxable",'PV IN'!$F$40,0),0)+IF(C294='PV IN'!$I$41,IF('PV IN'!$G$41="Taxable",'PV IN'!$F$41,0),0)</f>
        <v>0</v>
      </c>
      <c r="AD294" s="10">
        <f>IF('PV IN'!$D$48="YES",-U294*'PV IN'!$E$8,0)</f>
        <v>0</v>
      </c>
      <c r="AE294" s="10">
        <f>IF('PV IN'!$N$10="Yes",-PVLoan!H322,-PVLoan!L322)</f>
        <v>0</v>
      </c>
      <c r="AF294" s="10">
        <f>IF('PV IN'!$N$10="Yes",-PVLoan!F322,0)</f>
        <v>0</v>
      </c>
      <c r="AG294" s="10">
        <f>IF(AND('PV IN'!$D$35="YES",$C294&lt;='PV IN'!$E$35*12),0,-'PV IN'!$E$18*'PV IN'!$E$34/12)</f>
        <v>-750</v>
      </c>
      <c r="AH294" s="10">
        <f>IF(AND('PV IN'!$D$37="YES",$C294&lt;='PV IN'!$E$37*12),0,-'PV IN'!$E$18*'PV IN'!$E$36/12)</f>
        <v>-625</v>
      </c>
      <c r="AI294" s="2">
        <f>IF(AND('PV IN'!$D$33="YES",PVCalcs!C294=ROUNDUP('PV IN'!$H$33*12,)),-'PV IN'!$E$33*'PV IN'!$E$18,0)</f>
        <v>0</v>
      </c>
      <c r="AK294" s="2">
        <f t="shared" si="65"/>
        <v>10306.510687907736</v>
      </c>
      <c r="AL294" s="2">
        <f t="shared" si="66"/>
        <v>-1375</v>
      </c>
      <c r="AM294" s="2">
        <f t="shared" si="70"/>
        <v>8931.5106879077357</v>
      </c>
      <c r="AN294" s="43"/>
      <c r="AO294" s="2">
        <f t="shared" si="67"/>
        <v>0</v>
      </c>
      <c r="AP294" s="2">
        <f t="shared" si="71"/>
        <v>-1375</v>
      </c>
      <c r="AR294" s="2">
        <f t="shared" si="72"/>
        <v>-1375</v>
      </c>
      <c r="AS294" s="2">
        <f>-AR294*'PV IN'!$E$8</f>
        <v>288.75</v>
      </c>
      <c r="AT294" s="2">
        <f>IF('PV IN'!$F$4="Battery Only",0,AM294+AS294)</f>
        <v>9220.2606879077357</v>
      </c>
      <c r="AV294" s="10">
        <f t="shared" si="73"/>
        <v>1847989.9007174047</v>
      </c>
      <c r="AW294" s="2">
        <f>AT294/(1+('PV IN'!$G$9))^(C294)</f>
        <v>2835.7534732108356</v>
      </c>
      <c r="AX294" s="2" t="e">
        <f>IF(C294&lt;='PV IN'!$O$22*12,AW294+AX293,NA())</f>
        <v>#N/A</v>
      </c>
      <c r="AZ294" s="10">
        <f t="shared" si="68"/>
        <v>-1375</v>
      </c>
      <c r="BA294" s="10">
        <f t="shared" si="69"/>
        <v>0</v>
      </c>
      <c r="BB294" s="10">
        <f t="shared" si="74"/>
        <v>-1375</v>
      </c>
      <c r="BC294" s="10">
        <f t="shared" si="75"/>
        <v>0</v>
      </c>
      <c r="BD294" s="10">
        <f t="shared" si="76"/>
        <v>-1375</v>
      </c>
      <c r="BE294" s="2">
        <f t="shared" si="77"/>
        <v>0</v>
      </c>
      <c r="BF294" s="10">
        <f t="shared" si="78"/>
        <v>-1375</v>
      </c>
      <c r="BG294" s="2">
        <f>-BF294*'PV IN'!$E$8</f>
        <v>288.75</v>
      </c>
      <c r="BH294" s="2">
        <f>IF('PV IN'!$F$4="Battery Only",0,BB294+BG294)</f>
        <v>-1086.25</v>
      </c>
      <c r="BI294" s="2">
        <f>BH294/(1+('PV IN'!$G$9))^(C294)</f>
        <v>-334.08352697826609</v>
      </c>
    </row>
    <row r="295" spans="2:61" x14ac:dyDescent="0.25">
      <c r="C295">
        <v>291</v>
      </c>
      <c r="D295" s="16">
        <f>D294*(1+('PV IN'!$G$6/12))</f>
        <v>7.5999999999999998E-2</v>
      </c>
      <c r="E295" s="16">
        <f>LkUP!$U$45</f>
        <v>8.194902450204164E-2</v>
      </c>
      <c r="F295" s="16">
        <f>IF('PV IN'!$D$7="Table",E295,D295)</f>
        <v>8.194902450204164E-2</v>
      </c>
      <c r="G295" s="33">
        <f>('PV IN'!$E$25*'PV IN'!$E$18/12)*(1-(1-'PV IN'!$E$27)/(25*12))^C294</f>
        <v>125683.49340785458</v>
      </c>
      <c r="H295" s="33">
        <f>IF('PV IN'!$D$19="YES",G295*'PV IN'!$E$21,0)</f>
        <v>0</v>
      </c>
      <c r="I295" s="33">
        <f>IF('PV IN'!$D$19="YES",'PV IN'!$E$22*BattCalcs!W295,0)</f>
        <v>0</v>
      </c>
      <c r="J295" s="33">
        <f>IF('PV IN'!$D$19="YES",'PV IN'!$E$23*BattCalcs!Y295,0)</f>
        <v>0</v>
      </c>
      <c r="K295" s="33">
        <f>BattCalcs!AF295</f>
        <v>25811.765833333331</v>
      </c>
      <c r="L295" s="33">
        <f t="shared" si="79"/>
        <v>25811.765833333331</v>
      </c>
      <c r="M295" s="33">
        <f>IF('PV IN'!$F$4="PV Only",G295,G295-SUM(H295:J295,L295))</f>
        <v>125683.49340785458</v>
      </c>
      <c r="N295" s="2">
        <f>IF(C295&lt;='PV IN'!$I$12*12,'PV IN'!$E$12*G295/1000,0)</f>
        <v>0</v>
      </c>
      <c r="O295" s="2">
        <f>IF(AND(C295&gt;'PV IN'!$I$12*12,C295&lt;='PV IN'!$I$13*12+'PV IN'!$I$12*12),'PV IN'!$E$13*PVCalcs!G295/1000,0)</f>
        <v>0</v>
      </c>
      <c r="P295" s="2">
        <f>IF(AND(C295&gt;'PV IN'!$I$12*12+'PV IN'!$I$13*12,C295&lt;='PV IN'!$I$12*12+'PV IN'!$I$13*12+'PV IN'!$I$14*12),'PV IN'!$E$14*PVCalcs!G295/1000,0)</f>
        <v>0</v>
      </c>
      <c r="R295" s="10">
        <f>IF(AND('PV IN'!$D$35="YES",$C295&lt;='PV IN'!$E$35*12),-'PV IN'!$E$18*'PV IN'!$E$34/12,0)</f>
        <v>0</v>
      </c>
      <c r="S295" s="10">
        <f>IF(AND('PV IN'!$D$37="YES",$C295&lt;='PV IN'!$E$37*12),-'PV IN'!$E$18*'PV IN'!$E$36/12,0)</f>
        <v>0</v>
      </c>
      <c r="U295" s="2">
        <f t="shared" si="80"/>
        <v>10299.639680782464</v>
      </c>
      <c r="V295" s="10">
        <f>PVLoan!M322</f>
        <v>0</v>
      </c>
      <c r="W295" s="2">
        <f>IF(C295='PV IN'!$I$40,IF('PV IN'!$G$40="Non-Taxable",'PV IN'!$F$40,0),0)+IF(C295='PV IN'!$I$41,IF('PV IN'!$G$41="Non-Taxable",'PV IN'!$F$41,0),0)</f>
        <v>0</v>
      </c>
      <c r="X295" s="10"/>
      <c r="Y295" s="10">
        <f>IF('PV IN'!$E$15="Non-Taxable",SUM(N295:P295),0)</f>
        <v>0</v>
      </c>
      <c r="Z295" s="10">
        <f>IF('PV IN'!$E$15="Taxable",SUM(N295:P295),0)</f>
        <v>0</v>
      </c>
      <c r="AA295" s="2">
        <f>IF(C295='PV IN'!$I$40,IF('PV IN'!$G$40="Taxable",'PV IN'!$F$40,0),0)+IF(C295='PV IN'!$I$41,IF('PV IN'!$G$41="Taxable",'PV IN'!$F$41,0),0)</f>
        <v>0</v>
      </c>
      <c r="AD295" s="10">
        <f>IF('PV IN'!$D$48="YES",-U295*'PV IN'!$E$8,0)</f>
        <v>0</v>
      </c>
      <c r="AE295" s="10">
        <f>IF('PV IN'!$N$10="Yes",-PVLoan!H323,-PVLoan!L323)</f>
        <v>0</v>
      </c>
      <c r="AF295" s="10">
        <f>IF('PV IN'!$N$10="Yes",-PVLoan!F323,0)</f>
        <v>0</v>
      </c>
      <c r="AG295" s="10">
        <f>IF(AND('PV IN'!$D$35="YES",$C295&lt;='PV IN'!$E$35*12),0,-'PV IN'!$E$18*'PV IN'!$E$34/12)</f>
        <v>-750</v>
      </c>
      <c r="AH295" s="10">
        <f>IF(AND('PV IN'!$D$37="YES",$C295&lt;='PV IN'!$E$37*12),0,-'PV IN'!$E$18*'PV IN'!$E$36/12)</f>
        <v>-625</v>
      </c>
      <c r="AI295" s="2">
        <f>IF(AND('PV IN'!$D$33="YES",PVCalcs!C295=ROUNDUP('PV IN'!$H$33*12,)),-'PV IN'!$E$33*'PV IN'!$E$18,0)</f>
        <v>0</v>
      </c>
      <c r="AK295" s="2">
        <f t="shared" si="65"/>
        <v>10299.639680782464</v>
      </c>
      <c r="AL295" s="2">
        <f t="shared" si="66"/>
        <v>-1375</v>
      </c>
      <c r="AM295" s="2">
        <f t="shared" si="70"/>
        <v>8924.639680782464</v>
      </c>
      <c r="AN295" s="43"/>
      <c r="AO295" s="2">
        <f t="shared" si="67"/>
        <v>0</v>
      </c>
      <c r="AP295" s="2">
        <f t="shared" si="71"/>
        <v>-1375</v>
      </c>
      <c r="AR295" s="2">
        <f t="shared" si="72"/>
        <v>-1375</v>
      </c>
      <c r="AS295" s="2">
        <f>-AR295*'PV IN'!$E$8</f>
        <v>288.75</v>
      </c>
      <c r="AT295" s="2">
        <f>IF('PV IN'!$F$4="Battery Only",0,AM295+AS295)</f>
        <v>9213.389680782464</v>
      </c>
      <c r="AV295" s="10">
        <f t="shared" si="73"/>
        <v>1857203.2903981872</v>
      </c>
      <c r="AW295" s="2">
        <f>AT295/(1+('PV IN'!$G$9))^(C295)</f>
        <v>2822.14249070183</v>
      </c>
      <c r="AX295" s="2" t="e">
        <f>IF(C295&lt;='PV IN'!$O$22*12,AW295+AX294,NA())</f>
        <v>#N/A</v>
      </c>
      <c r="AZ295" s="10">
        <f t="shared" si="68"/>
        <v>-1375</v>
      </c>
      <c r="BA295" s="10">
        <f t="shared" si="69"/>
        <v>0</v>
      </c>
      <c r="BB295" s="10">
        <f t="shared" si="74"/>
        <v>-1375</v>
      </c>
      <c r="BC295" s="10">
        <f t="shared" si="75"/>
        <v>0</v>
      </c>
      <c r="BD295" s="10">
        <f t="shared" si="76"/>
        <v>-1375</v>
      </c>
      <c r="BE295" s="2">
        <f t="shared" si="77"/>
        <v>0</v>
      </c>
      <c r="BF295" s="10">
        <f t="shared" si="78"/>
        <v>-1375</v>
      </c>
      <c r="BG295" s="2">
        <f>-BF295*'PV IN'!$E$8</f>
        <v>288.75</v>
      </c>
      <c r="BH295" s="2">
        <f>IF('PV IN'!$F$4="Battery Only",0,BB295+BG295)</f>
        <v>-1086.25</v>
      </c>
      <c r="BI295" s="2">
        <f>BH295/(1+('PV IN'!$G$9))^(C295)</f>
        <v>-332.72795211506946</v>
      </c>
    </row>
    <row r="296" spans="2:61" x14ac:dyDescent="0.25">
      <c r="C296">
        <v>292</v>
      </c>
      <c r="D296" s="16">
        <f>D295*(1+('PV IN'!$G$6/12))</f>
        <v>7.5999999999999998E-2</v>
      </c>
      <c r="E296" s="16">
        <f>LkUP!$U$45</f>
        <v>8.194902450204164E-2</v>
      </c>
      <c r="F296" s="16">
        <f>IF('PV IN'!$D$7="Table",E296,D296)</f>
        <v>8.194902450204164E-2</v>
      </c>
      <c r="G296" s="33">
        <f>('PV IN'!$E$25*'PV IN'!$E$18/12)*(1-(1-'PV IN'!$E$27)/(25*12))^C295</f>
        <v>125599.70441224934</v>
      </c>
      <c r="H296" s="33">
        <f>IF('PV IN'!$D$19="YES",G296*'PV IN'!$E$21,0)</f>
        <v>0</v>
      </c>
      <c r="I296" s="33">
        <f>IF('PV IN'!$D$19="YES",'PV IN'!$E$22*BattCalcs!W296,0)</f>
        <v>0</v>
      </c>
      <c r="J296" s="33">
        <f>IF('PV IN'!$D$19="YES",'PV IN'!$E$23*BattCalcs!Y296,0)</f>
        <v>0</v>
      </c>
      <c r="K296" s="33">
        <f>BattCalcs!AF296</f>
        <v>25811.765833333331</v>
      </c>
      <c r="L296" s="33">
        <f t="shared" si="79"/>
        <v>25811.765833333331</v>
      </c>
      <c r="M296" s="33">
        <f>IF('PV IN'!$F$4="PV Only",G296,G296-SUM(H296:J296,L296))</f>
        <v>125599.70441224934</v>
      </c>
      <c r="N296" s="2">
        <f>IF(C296&lt;='PV IN'!$I$12*12,'PV IN'!$E$12*G296/1000,0)</f>
        <v>0</v>
      </c>
      <c r="O296" s="2">
        <f>IF(AND(C296&gt;'PV IN'!$I$12*12,C296&lt;='PV IN'!$I$13*12+'PV IN'!$I$12*12),'PV IN'!$E$13*PVCalcs!G296/1000,0)</f>
        <v>0</v>
      </c>
      <c r="P296" s="2">
        <f>IF(AND(C296&gt;'PV IN'!$I$12*12+'PV IN'!$I$13*12,C296&lt;='PV IN'!$I$12*12+'PV IN'!$I$13*12+'PV IN'!$I$14*12),'PV IN'!$E$14*PVCalcs!G296/1000,0)</f>
        <v>0</v>
      </c>
      <c r="R296" s="10">
        <f>IF(AND('PV IN'!$D$35="YES",$C296&lt;='PV IN'!$E$35*12),-'PV IN'!$E$18*'PV IN'!$E$34/12,0)</f>
        <v>0</v>
      </c>
      <c r="S296" s="10">
        <f>IF(AND('PV IN'!$D$37="YES",$C296&lt;='PV IN'!$E$37*12),-'PV IN'!$E$18*'PV IN'!$E$36/12,0)</f>
        <v>0</v>
      </c>
      <c r="U296" s="2">
        <f t="shared" si="80"/>
        <v>10292.773254328609</v>
      </c>
      <c r="V296" s="10">
        <f>PVLoan!M323</f>
        <v>0</v>
      </c>
      <c r="W296" s="2">
        <f>IF(C296='PV IN'!$I$40,IF('PV IN'!$G$40="Non-Taxable",'PV IN'!$F$40,0),0)+IF(C296='PV IN'!$I$41,IF('PV IN'!$G$41="Non-Taxable",'PV IN'!$F$41,0),0)</f>
        <v>0</v>
      </c>
      <c r="X296" s="10"/>
      <c r="Y296" s="10">
        <f>IF('PV IN'!$E$15="Non-Taxable",SUM(N296:P296),0)</f>
        <v>0</v>
      </c>
      <c r="Z296" s="10">
        <f>IF('PV IN'!$E$15="Taxable",SUM(N296:P296),0)</f>
        <v>0</v>
      </c>
      <c r="AA296" s="2">
        <f>IF(C296='PV IN'!$I$40,IF('PV IN'!$G$40="Taxable",'PV IN'!$F$40,0),0)+IF(C296='PV IN'!$I$41,IF('PV IN'!$G$41="Taxable",'PV IN'!$F$41,0),0)</f>
        <v>0</v>
      </c>
      <c r="AD296" s="10">
        <f>IF('PV IN'!$D$48="YES",-U296*'PV IN'!$E$8,0)</f>
        <v>0</v>
      </c>
      <c r="AE296" s="10">
        <f>IF('PV IN'!$N$10="Yes",-PVLoan!H324,-PVLoan!L324)</f>
        <v>0</v>
      </c>
      <c r="AF296" s="10">
        <f>IF('PV IN'!$N$10="Yes",-PVLoan!F324,0)</f>
        <v>0</v>
      </c>
      <c r="AG296" s="10">
        <f>IF(AND('PV IN'!$D$35="YES",$C296&lt;='PV IN'!$E$35*12),0,-'PV IN'!$E$18*'PV IN'!$E$34/12)</f>
        <v>-750</v>
      </c>
      <c r="AH296" s="10">
        <f>IF(AND('PV IN'!$D$37="YES",$C296&lt;='PV IN'!$E$37*12),0,-'PV IN'!$E$18*'PV IN'!$E$36/12)</f>
        <v>-625</v>
      </c>
      <c r="AI296" s="2">
        <f>IF(AND('PV IN'!$D$33="YES",PVCalcs!C296=ROUNDUP('PV IN'!$H$33*12,)),-'PV IN'!$E$33*'PV IN'!$E$18,0)</f>
        <v>0</v>
      </c>
      <c r="AK296" s="2">
        <f t="shared" si="65"/>
        <v>10292.773254328609</v>
      </c>
      <c r="AL296" s="2">
        <f t="shared" si="66"/>
        <v>-1375</v>
      </c>
      <c r="AM296" s="2">
        <f t="shared" si="70"/>
        <v>8917.7732543286093</v>
      </c>
      <c r="AN296" s="43"/>
      <c r="AO296" s="2">
        <f t="shared" si="67"/>
        <v>0</v>
      </c>
      <c r="AP296" s="2">
        <f t="shared" si="71"/>
        <v>-1375</v>
      </c>
      <c r="AR296" s="2">
        <f t="shared" si="72"/>
        <v>-1375</v>
      </c>
      <c r="AS296" s="2">
        <f>-AR296*'PV IN'!$E$8</f>
        <v>288.75</v>
      </c>
      <c r="AT296" s="2">
        <f>IF('PV IN'!$F$4="Battery Only",0,AM296+AS296)</f>
        <v>9206.5232543286093</v>
      </c>
      <c r="AV296" s="10">
        <f t="shared" si="73"/>
        <v>1866409.8136525159</v>
      </c>
      <c r="AW296" s="2">
        <f>AT296/(1+('PV IN'!$G$9))^(C296)</f>
        <v>2808.5966732348502</v>
      </c>
      <c r="AX296" s="2" t="e">
        <f>IF(C296&lt;='PV IN'!$O$22*12,AW296+AX295,NA())</f>
        <v>#N/A</v>
      </c>
      <c r="AZ296" s="10">
        <f t="shared" si="68"/>
        <v>-1375</v>
      </c>
      <c r="BA296" s="10">
        <f t="shared" si="69"/>
        <v>0</v>
      </c>
      <c r="BB296" s="10">
        <f t="shared" si="74"/>
        <v>-1375</v>
      </c>
      <c r="BC296" s="10">
        <f t="shared" si="75"/>
        <v>0</v>
      </c>
      <c r="BD296" s="10">
        <f t="shared" si="76"/>
        <v>-1375</v>
      </c>
      <c r="BE296" s="2">
        <f t="shared" si="77"/>
        <v>0</v>
      </c>
      <c r="BF296" s="10">
        <f t="shared" si="78"/>
        <v>-1375</v>
      </c>
      <c r="BG296" s="2">
        <f>-BF296*'PV IN'!$E$8</f>
        <v>288.75</v>
      </c>
      <c r="BH296" s="2">
        <f>IF('PV IN'!$F$4="Battery Only",0,BB296+BG296)</f>
        <v>-1086.25</v>
      </c>
      <c r="BI296" s="2">
        <f>BH296/(1+('PV IN'!$G$9))^(C296)</f>
        <v>-331.37787762247285</v>
      </c>
    </row>
    <row r="297" spans="2:61" x14ac:dyDescent="0.25">
      <c r="C297">
        <v>293</v>
      </c>
      <c r="D297" s="16">
        <f>D296*(1+('PV IN'!$G$6/12))</f>
        <v>7.5999999999999998E-2</v>
      </c>
      <c r="E297" s="16">
        <f>LkUP!$U$45</f>
        <v>8.194902450204164E-2</v>
      </c>
      <c r="F297" s="16">
        <f>IF('PV IN'!$D$7="Table",E297,D297)</f>
        <v>8.194902450204164E-2</v>
      </c>
      <c r="G297" s="33">
        <f>('PV IN'!$E$25*'PV IN'!$E$18/12)*(1-(1-'PV IN'!$E$27)/(25*12))^C296</f>
        <v>125515.9712759745</v>
      </c>
      <c r="H297" s="33">
        <f>IF('PV IN'!$D$19="YES",G297*'PV IN'!$E$21,0)</f>
        <v>0</v>
      </c>
      <c r="I297" s="33">
        <f>IF('PV IN'!$D$19="YES",'PV IN'!$E$22*BattCalcs!W297,0)</f>
        <v>0</v>
      </c>
      <c r="J297" s="33">
        <f>IF('PV IN'!$D$19="YES",'PV IN'!$E$23*BattCalcs!Y297,0)</f>
        <v>0</v>
      </c>
      <c r="K297" s="33">
        <f>BattCalcs!AF297</f>
        <v>25811.765833333331</v>
      </c>
      <c r="L297" s="33">
        <f t="shared" si="79"/>
        <v>25811.765833333331</v>
      </c>
      <c r="M297" s="33">
        <f>IF('PV IN'!$F$4="PV Only",G297,G297-SUM(H297:J297,L297))</f>
        <v>125515.9712759745</v>
      </c>
      <c r="N297" s="2">
        <f>IF(C297&lt;='PV IN'!$I$12*12,'PV IN'!$E$12*G297/1000,0)</f>
        <v>0</v>
      </c>
      <c r="O297" s="2">
        <f>IF(AND(C297&gt;'PV IN'!$I$12*12,C297&lt;='PV IN'!$I$13*12+'PV IN'!$I$12*12),'PV IN'!$E$13*PVCalcs!G297/1000,0)</f>
        <v>0</v>
      </c>
      <c r="P297" s="2">
        <f>IF(AND(C297&gt;'PV IN'!$I$12*12+'PV IN'!$I$13*12,C297&lt;='PV IN'!$I$12*12+'PV IN'!$I$13*12+'PV IN'!$I$14*12),'PV IN'!$E$14*PVCalcs!G297/1000,0)</f>
        <v>0</v>
      </c>
      <c r="R297" s="10">
        <f>IF(AND('PV IN'!$D$35="YES",$C297&lt;='PV IN'!$E$35*12),-'PV IN'!$E$18*'PV IN'!$E$34/12,0)</f>
        <v>0</v>
      </c>
      <c r="S297" s="10">
        <f>IF(AND('PV IN'!$D$37="YES",$C297&lt;='PV IN'!$E$37*12),-'PV IN'!$E$18*'PV IN'!$E$36/12,0)</f>
        <v>0</v>
      </c>
      <c r="U297" s="2">
        <f t="shared" si="80"/>
        <v>10285.911405492388</v>
      </c>
      <c r="V297" s="10">
        <f>PVLoan!M324</f>
        <v>0</v>
      </c>
      <c r="W297" s="2">
        <f>IF(C297='PV IN'!$I$40,IF('PV IN'!$G$40="Non-Taxable",'PV IN'!$F$40,0),0)+IF(C297='PV IN'!$I$41,IF('PV IN'!$G$41="Non-Taxable",'PV IN'!$F$41,0),0)</f>
        <v>0</v>
      </c>
      <c r="X297" s="10"/>
      <c r="Y297" s="10">
        <f>IF('PV IN'!$E$15="Non-Taxable",SUM(N297:P297),0)</f>
        <v>0</v>
      </c>
      <c r="Z297" s="10">
        <f>IF('PV IN'!$E$15="Taxable",SUM(N297:P297),0)</f>
        <v>0</v>
      </c>
      <c r="AA297" s="2">
        <f>IF(C297='PV IN'!$I$40,IF('PV IN'!$G$40="Taxable",'PV IN'!$F$40,0),0)+IF(C297='PV IN'!$I$41,IF('PV IN'!$G$41="Taxable",'PV IN'!$F$41,0),0)</f>
        <v>0</v>
      </c>
      <c r="AD297" s="10">
        <f>IF('PV IN'!$D$48="YES",-U297*'PV IN'!$E$8,0)</f>
        <v>0</v>
      </c>
      <c r="AE297" s="10">
        <f>IF('PV IN'!$N$10="Yes",-PVLoan!H325,-PVLoan!L325)</f>
        <v>0</v>
      </c>
      <c r="AF297" s="10">
        <f>IF('PV IN'!$N$10="Yes",-PVLoan!F325,0)</f>
        <v>0</v>
      </c>
      <c r="AG297" s="10">
        <f>IF(AND('PV IN'!$D$35="YES",$C297&lt;='PV IN'!$E$35*12),0,-'PV IN'!$E$18*'PV IN'!$E$34/12)</f>
        <v>-750</v>
      </c>
      <c r="AH297" s="10">
        <f>IF(AND('PV IN'!$D$37="YES",$C297&lt;='PV IN'!$E$37*12),0,-'PV IN'!$E$18*'PV IN'!$E$36/12)</f>
        <v>-625</v>
      </c>
      <c r="AI297" s="2">
        <f>IF(AND('PV IN'!$D$33="YES",PVCalcs!C297=ROUNDUP('PV IN'!$H$33*12,)),-'PV IN'!$E$33*'PV IN'!$E$18,0)</f>
        <v>0</v>
      </c>
      <c r="AK297" s="2">
        <f t="shared" si="65"/>
        <v>10285.911405492388</v>
      </c>
      <c r="AL297" s="2">
        <f t="shared" si="66"/>
        <v>-1375</v>
      </c>
      <c r="AM297" s="2">
        <f t="shared" si="70"/>
        <v>8910.9114054923884</v>
      </c>
      <c r="AN297" s="43"/>
      <c r="AO297" s="2">
        <f t="shared" si="67"/>
        <v>0</v>
      </c>
      <c r="AP297" s="2">
        <f t="shared" si="71"/>
        <v>-1375</v>
      </c>
      <c r="AR297" s="2">
        <f t="shared" si="72"/>
        <v>-1375</v>
      </c>
      <c r="AS297" s="2">
        <f>-AR297*'PV IN'!$E$8</f>
        <v>288.75</v>
      </c>
      <c r="AT297" s="2">
        <f>IF('PV IN'!$F$4="Battery Only",0,AM297+AS297)</f>
        <v>9199.6614054923884</v>
      </c>
      <c r="AV297" s="10">
        <f t="shared" si="73"/>
        <v>1875609.4750580082</v>
      </c>
      <c r="AW297" s="2">
        <f>AT297/(1+('PV IN'!$G$9))^(C297)</f>
        <v>2795.1157094775804</v>
      </c>
      <c r="AX297" s="2" t="e">
        <f>IF(C297&lt;='PV IN'!$O$22*12,AW297+AX296,NA())</f>
        <v>#N/A</v>
      </c>
      <c r="AZ297" s="10">
        <f t="shared" si="68"/>
        <v>-1375</v>
      </c>
      <c r="BA297" s="10">
        <f t="shared" si="69"/>
        <v>0</v>
      </c>
      <c r="BB297" s="10">
        <f t="shared" si="74"/>
        <v>-1375</v>
      </c>
      <c r="BC297" s="10">
        <f t="shared" si="75"/>
        <v>0</v>
      </c>
      <c r="BD297" s="10">
        <f t="shared" si="76"/>
        <v>-1375</v>
      </c>
      <c r="BE297" s="2">
        <f t="shared" si="77"/>
        <v>0</v>
      </c>
      <c r="BF297" s="10">
        <f t="shared" si="78"/>
        <v>-1375</v>
      </c>
      <c r="BG297" s="2">
        <f>-BF297*'PV IN'!$E$8</f>
        <v>288.75</v>
      </c>
      <c r="BH297" s="2">
        <f>IF('PV IN'!$F$4="Battery Only",0,BB297+BG297)</f>
        <v>-1086.25</v>
      </c>
      <c r="BI297" s="2">
        <f>BH297/(1+('PV IN'!$G$9))^(C297)</f>
        <v>-330.03328118221293</v>
      </c>
    </row>
    <row r="298" spans="2:61" x14ac:dyDescent="0.25">
      <c r="C298">
        <v>294</v>
      </c>
      <c r="D298" s="16">
        <f>D297*(1+('PV IN'!$G$6/12))</f>
        <v>7.5999999999999998E-2</v>
      </c>
      <c r="E298" s="16">
        <f>LkUP!$U$45</f>
        <v>8.194902450204164E-2</v>
      </c>
      <c r="F298" s="16">
        <f>IF('PV IN'!$D$7="Table",E298,D298)</f>
        <v>8.194902450204164E-2</v>
      </c>
      <c r="G298" s="33">
        <f>('PV IN'!$E$25*'PV IN'!$E$18/12)*(1-(1-'PV IN'!$E$27)/(25*12))^C297</f>
        <v>125432.29396179052</v>
      </c>
      <c r="H298" s="33">
        <f>IF('PV IN'!$D$19="YES",G298*'PV IN'!$E$21,0)</f>
        <v>0</v>
      </c>
      <c r="I298" s="33">
        <f>IF('PV IN'!$D$19="YES",'PV IN'!$E$22*BattCalcs!W298,0)</f>
        <v>0</v>
      </c>
      <c r="J298" s="33">
        <f>IF('PV IN'!$D$19="YES",'PV IN'!$E$23*BattCalcs!Y298,0)</f>
        <v>0</v>
      </c>
      <c r="K298" s="33">
        <f>BattCalcs!AF298</f>
        <v>25811.765833333331</v>
      </c>
      <c r="L298" s="33">
        <f t="shared" si="79"/>
        <v>25811.765833333331</v>
      </c>
      <c r="M298" s="33">
        <f>IF('PV IN'!$F$4="PV Only",G298,G298-SUM(H298:J298,L298))</f>
        <v>125432.29396179052</v>
      </c>
      <c r="N298" s="2">
        <f>IF(C298&lt;='PV IN'!$I$12*12,'PV IN'!$E$12*G298/1000,0)</f>
        <v>0</v>
      </c>
      <c r="O298" s="2">
        <f>IF(AND(C298&gt;'PV IN'!$I$12*12,C298&lt;='PV IN'!$I$13*12+'PV IN'!$I$12*12),'PV IN'!$E$13*PVCalcs!G298/1000,0)</f>
        <v>0</v>
      </c>
      <c r="P298" s="2">
        <f>IF(AND(C298&gt;'PV IN'!$I$12*12+'PV IN'!$I$13*12,C298&lt;='PV IN'!$I$12*12+'PV IN'!$I$13*12+'PV IN'!$I$14*12),'PV IN'!$E$14*PVCalcs!G298/1000,0)</f>
        <v>0</v>
      </c>
      <c r="R298" s="10">
        <f>IF(AND('PV IN'!$D$35="YES",$C298&lt;='PV IN'!$E$35*12),-'PV IN'!$E$18*'PV IN'!$E$34/12,0)</f>
        <v>0</v>
      </c>
      <c r="S298" s="10">
        <f>IF(AND('PV IN'!$D$37="YES",$C298&lt;='PV IN'!$E$37*12),-'PV IN'!$E$18*'PV IN'!$E$36/12,0)</f>
        <v>0</v>
      </c>
      <c r="U298" s="2">
        <f t="shared" si="80"/>
        <v>10279.054131222061</v>
      </c>
      <c r="V298" s="10">
        <f>PVLoan!M325</f>
        <v>0</v>
      </c>
      <c r="W298" s="2">
        <f>IF(C298='PV IN'!$I$40,IF('PV IN'!$G$40="Non-Taxable",'PV IN'!$F$40,0),0)+IF(C298='PV IN'!$I$41,IF('PV IN'!$G$41="Non-Taxable",'PV IN'!$F$41,0),0)</f>
        <v>0</v>
      </c>
      <c r="X298" s="10"/>
      <c r="Y298" s="10">
        <f>IF('PV IN'!$E$15="Non-Taxable",SUM(N298:P298),0)</f>
        <v>0</v>
      </c>
      <c r="Z298" s="10">
        <f>IF('PV IN'!$E$15="Taxable",SUM(N298:P298),0)</f>
        <v>0</v>
      </c>
      <c r="AA298" s="2">
        <f>IF(C298='PV IN'!$I$40,IF('PV IN'!$G$40="Taxable",'PV IN'!$F$40,0),0)+IF(C298='PV IN'!$I$41,IF('PV IN'!$G$41="Taxable",'PV IN'!$F$41,0),0)</f>
        <v>0</v>
      </c>
      <c r="AD298" s="10">
        <f>IF('PV IN'!$D$48="YES",-U298*'PV IN'!$E$8,0)</f>
        <v>0</v>
      </c>
      <c r="AE298" s="10">
        <f>IF('PV IN'!$N$10="Yes",-PVLoan!H326,-PVLoan!L326)</f>
        <v>0</v>
      </c>
      <c r="AF298" s="10">
        <f>IF('PV IN'!$N$10="Yes",-PVLoan!F326,0)</f>
        <v>0</v>
      </c>
      <c r="AG298" s="10">
        <f>IF(AND('PV IN'!$D$35="YES",$C298&lt;='PV IN'!$E$35*12),0,-'PV IN'!$E$18*'PV IN'!$E$34/12)</f>
        <v>-750</v>
      </c>
      <c r="AH298" s="10">
        <f>IF(AND('PV IN'!$D$37="YES",$C298&lt;='PV IN'!$E$37*12),0,-'PV IN'!$E$18*'PV IN'!$E$36/12)</f>
        <v>-625</v>
      </c>
      <c r="AI298" s="2">
        <f>IF(AND('PV IN'!$D$33="YES",PVCalcs!C298=ROUNDUP('PV IN'!$H$33*12,)),-'PV IN'!$E$33*'PV IN'!$E$18,0)</f>
        <v>0</v>
      </c>
      <c r="AK298" s="2">
        <f t="shared" si="65"/>
        <v>10279.054131222061</v>
      </c>
      <c r="AL298" s="2">
        <f t="shared" si="66"/>
        <v>-1375</v>
      </c>
      <c r="AM298" s="2">
        <f t="shared" si="70"/>
        <v>8904.0541312220612</v>
      </c>
      <c r="AN298" s="43"/>
      <c r="AO298" s="2">
        <f t="shared" si="67"/>
        <v>0</v>
      </c>
      <c r="AP298" s="2">
        <f t="shared" si="71"/>
        <v>-1375</v>
      </c>
      <c r="AR298" s="2">
        <f t="shared" si="72"/>
        <v>-1375</v>
      </c>
      <c r="AS298" s="2">
        <f>-AR298*'PV IN'!$E$8</f>
        <v>288.75</v>
      </c>
      <c r="AT298" s="2">
        <f>IF('PV IN'!$F$4="Battery Only",0,AM298+AS298)</f>
        <v>9192.8041312220612</v>
      </c>
      <c r="AV298" s="10">
        <f t="shared" si="73"/>
        <v>1884802.2791892302</v>
      </c>
      <c r="AW298" s="2">
        <f>AT298/(1+('PV IN'!$G$9))^(C298)</f>
        <v>2781.6992895824947</v>
      </c>
      <c r="AX298" s="2" t="e">
        <f>IF(C298&lt;='PV IN'!$O$22*12,AW298+AX297,NA())</f>
        <v>#N/A</v>
      </c>
      <c r="AZ298" s="10">
        <f t="shared" si="68"/>
        <v>-1375</v>
      </c>
      <c r="BA298" s="10">
        <f t="shared" si="69"/>
        <v>0</v>
      </c>
      <c r="BB298" s="10">
        <f t="shared" si="74"/>
        <v>-1375</v>
      </c>
      <c r="BC298" s="10">
        <f t="shared" si="75"/>
        <v>0</v>
      </c>
      <c r="BD298" s="10">
        <f t="shared" si="76"/>
        <v>-1375</v>
      </c>
      <c r="BE298" s="2">
        <f t="shared" si="77"/>
        <v>0</v>
      </c>
      <c r="BF298" s="10">
        <f t="shared" si="78"/>
        <v>-1375</v>
      </c>
      <c r="BG298" s="2">
        <f>-BF298*'PV IN'!$E$8</f>
        <v>288.75</v>
      </c>
      <c r="BH298" s="2">
        <f>IF('PV IN'!$F$4="Battery Only",0,BB298+BG298)</f>
        <v>-1086.25</v>
      </c>
      <c r="BI298" s="2">
        <f>BH298/(1+('PV IN'!$G$9))^(C298)</f>
        <v>-328.69414056658474</v>
      </c>
    </row>
    <row r="299" spans="2:61" x14ac:dyDescent="0.25">
      <c r="C299">
        <v>295</v>
      </c>
      <c r="D299" s="16">
        <f>D298*(1+('PV IN'!$G$6/12))</f>
        <v>7.5999999999999998E-2</v>
      </c>
      <c r="E299" s="16">
        <f>LkUP!$U$45</f>
        <v>8.194902450204164E-2</v>
      </c>
      <c r="F299" s="16">
        <f>IF('PV IN'!$D$7="Table",E299,D299)</f>
        <v>8.194902450204164E-2</v>
      </c>
      <c r="G299" s="33">
        <f>('PV IN'!$E$25*'PV IN'!$E$18/12)*(1-(1-'PV IN'!$E$27)/(25*12))^C298</f>
        <v>125348.67243248265</v>
      </c>
      <c r="H299" s="33">
        <f>IF('PV IN'!$D$19="YES",G299*'PV IN'!$E$21,0)</f>
        <v>0</v>
      </c>
      <c r="I299" s="33">
        <f>IF('PV IN'!$D$19="YES",'PV IN'!$E$22*BattCalcs!W299,0)</f>
        <v>0</v>
      </c>
      <c r="J299" s="33">
        <f>IF('PV IN'!$D$19="YES",'PV IN'!$E$23*BattCalcs!Y299,0)</f>
        <v>0</v>
      </c>
      <c r="K299" s="33">
        <f>BattCalcs!AF299</f>
        <v>25811.765833333331</v>
      </c>
      <c r="L299" s="33">
        <f t="shared" si="79"/>
        <v>25811.765833333331</v>
      </c>
      <c r="M299" s="33">
        <f>IF('PV IN'!$F$4="PV Only",G299,G299-SUM(H299:J299,L299))</f>
        <v>125348.67243248265</v>
      </c>
      <c r="N299" s="2">
        <f>IF(C299&lt;='PV IN'!$I$12*12,'PV IN'!$E$12*G299/1000,0)</f>
        <v>0</v>
      </c>
      <c r="O299" s="2">
        <f>IF(AND(C299&gt;'PV IN'!$I$12*12,C299&lt;='PV IN'!$I$13*12+'PV IN'!$I$12*12),'PV IN'!$E$13*PVCalcs!G299/1000,0)</f>
        <v>0</v>
      </c>
      <c r="P299" s="2">
        <f>IF(AND(C299&gt;'PV IN'!$I$12*12+'PV IN'!$I$13*12,C299&lt;='PV IN'!$I$12*12+'PV IN'!$I$13*12+'PV IN'!$I$14*12),'PV IN'!$E$14*PVCalcs!G299/1000,0)</f>
        <v>0</v>
      </c>
      <c r="R299" s="10">
        <f>IF(AND('PV IN'!$D$35="YES",$C299&lt;='PV IN'!$E$35*12),-'PV IN'!$E$18*'PV IN'!$E$34/12,0)</f>
        <v>0</v>
      </c>
      <c r="S299" s="10">
        <f>IF(AND('PV IN'!$D$37="YES",$C299&lt;='PV IN'!$E$37*12),-'PV IN'!$E$18*'PV IN'!$E$36/12,0)</f>
        <v>0</v>
      </c>
      <c r="U299" s="2">
        <f t="shared" si="80"/>
        <v>10272.201428467912</v>
      </c>
      <c r="V299" s="10">
        <f>PVLoan!M326</f>
        <v>0</v>
      </c>
      <c r="W299" s="2">
        <f>IF(C299='PV IN'!$I$40,IF('PV IN'!$G$40="Non-Taxable",'PV IN'!$F$40,0),0)+IF(C299='PV IN'!$I$41,IF('PV IN'!$G$41="Non-Taxable",'PV IN'!$F$41,0),0)</f>
        <v>0</v>
      </c>
      <c r="X299" s="10"/>
      <c r="Y299" s="10">
        <f>IF('PV IN'!$E$15="Non-Taxable",SUM(N299:P299),0)</f>
        <v>0</v>
      </c>
      <c r="Z299" s="10">
        <f>IF('PV IN'!$E$15="Taxable",SUM(N299:P299),0)</f>
        <v>0</v>
      </c>
      <c r="AA299" s="2">
        <f>IF(C299='PV IN'!$I$40,IF('PV IN'!$G$40="Taxable",'PV IN'!$F$40,0),0)+IF(C299='PV IN'!$I$41,IF('PV IN'!$G$41="Taxable",'PV IN'!$F$41,0),0)</f>
        <v>0</v>
      </c>
      <c r="AD299" s="10">
        <f>IF('PV IN'!$D$48="YES",-U299*'PV IN'!$E$8,0)</f>
        <v>0</v>
      </c>
      <c r="AE299" s="10">
        <f>IF('PV IN'!$N$10="Yes",-PVLoan!H327,-PVLoan!L327)</f>
        <v>0</v>
      </c>
      <c r="AF299" s="10">
        <f>IF('PV IN'!$N$10="Yes",-PVLoan!F327,0)</f>
        <v>0</v>
      </c>
      <c r="AG299" s="10">
        <f>IF(AND('PV IN'!$D$35="YES",$C299&lt;='PV IN'!$E$35*12),0,-'PV IN'!$E$18*'PV IN'!$E$34/12)</f>
        <v>-750</v>
      </c>
      <c r="AH299" s="10">
        <f>IF(AND('PV IN'!$D$37="YES",$C299&lt;='PV IN'!$E$37*12),0,-'PV IN'!$E$18*'PV IN'!$E$36/12)</f>
        <v>-625</v>
      </c>
      <c r="AI299" s="2">
        <f>IF(AND('PV IN'!$D$33="YES",PVCalcs!C299=ROUNDUP('PV IN'!$H$33*12,)),-'PV IN'!$E$33*'PV IN'!$E$18,0)</f>
        <v>0</v>
      </c>
      <c r="AK299" s="2">
        <f t="shared" si="65"/>
        <v>10272.201428467912</v>
      </c>
      <c r="AL299" s="2">
        <f t="shared" si="66"/>
        <v>-1375</v>
      </c>
      <c r="AM299" s="2">
        <f t="shared" si="70"/>
        <v>8897.2014284679117</v>
      </c>
      <c r="AN299" s="43"/>
      <c r="AO299" s="2">
        <f t="shared" si="67"/>
        <v>0</v>
      </c>
      <c r="AP299" s="2">
        <f t="shared" si="71"/>
        <v>-1375</v>
      </c>
      <c r="AR299" s="2">
        <f t="shared" si="72"/>
        <v>-1375</v>
      </c>
      <c r="AS299" s="2">
        <f>-AR299*'PV IN'!$E$8</f>
        <v>288.75</v>
      </c>
      <c r="AT299" s="2">
        <f>IF('PV IN'!$F$4="Battery Only",0,AM299+AS299)</f>
        <v>9185.9514284679117</v>
      </c>
      <c r="AV299" s="10">
        <f t="shared" si="73"/>
        <v>1893988.230617698</v>
      </c>
      <c r="AW299" s="2">
        <f>AT299/(1+('PV IN'!$G$9))^(C299)</f>
        <v>2768.3471051797878</v>
      </c>
      <c r="AX299" s="2" t="e">
        <f>IF(C299&lt;='PV IN'!$O$22*12,AW299+AX298,NA())</f>
        <v>#N/A</v>
      </c>
      <c r="AZ299" s="10">
        <f t="shared" si="68"/>
        <v>-1375</v>
      </c>
      <c r="BA299" s="10">
        <f t="shared" si="69"/>
        <v>0</v>
      </c>
      <c r="BB299" s="10">
        <f t="shared" si="74"/>
        <v>-1375</v>
      </c>
      <c r="BC299" s="10">
        <f t="shared" si="75"/>
        <v>0</v>
      </c>
      <c r="BD299" s="10">
        <f t="shared" si="76"/>
        <v>-1375</v>
      </c>
      <c r="BE299" s="2">
        <f t="shared" si="77"/>
        <v>0</v>
      </c>
      <c r="BF299" s="10">
        <f t="shared" si="78"/>
        <v>-1375</v>
      </c>
      <c r="BG299" s="2">
        <f>-BF299*'PV IN'!$E$8</f>
        <v>288.75</v>
      </c>
      <c r="BH299" s="2">
        <f>IF('PV IN'!$F$4="Battery Only",0,BB299+BG299)</f>
        <v>-1086.25</v>
      </c>
      <c r="BI299" s="2">
        <f>BH299/(1+('PV IN'!$G$9))^(C299)</f>
        <v>-327.36043363807437</v>
      </c>
    </row>
    <row r="300" spans="2:61" x14ac:dyDescent="0.25">
      <c r="C300">
        <v>296</v>
      </c>
      <c r="D300" s="16">
        <f>D299*(1+('PV IN'!$G$6/12))</f>
        <v>7.5999999999999998E-2</v>
      </c>
      <c r="E300" s="16">
        <f>LkUP!$U$45</f>
        <v>8.194902450204164E-2</v>
      </c>
      <c r="F300" s="16">
        <f>IF('PV IN'!$D$7="Table",E300,D300)</f>
        <v>8.194902450204164E-2</v>
      </c>
      <c r="G300" s="33">
        <f>('PV IN'!$E$25*'PV IN'!$E$18/12)*(1-(1-'PV IN'!$E$27)/(25*12))^C299</f>
        <v>125265.10665086101</v>
      </c>
      <c r="H300" s="33">
        <f>IF('PV IN'!$D$19="YES",G300*'PV IN'!$E$21,0)</f>
        <v>0</v>
      </c>
      <c r="I300" s="33">
        <f>IF('PV IN'!$D$19="YES",'PV IN'!$E$22*BattCalcs!W300,0)</f>
        <v>0</v>
      </c>
      <c r="J300" s="33">
        <f>IF('PV IN'!$D$19="YES",'PV IN'!$E$23*BattCalcs!Y300,0)</f>
        <v>0</v>
      </c>
      <c r="K300" s="33">
        <f>BattCalcs!AF300</f>
        <v>25811.765833333331</v>
      </c>
      <c r="L300" s="33">
        <f t="shared" si="79"/>
        <v>25811.765833333331</v>
      </c>
      <c r="M300" s="33">
        <f>IF('PV IN'!$F$4="PV Only",G300,G300-SUM(H300:J300,L300))</f>
        <v>125265.10665086101</v>
      </c>
      <c r="N300" s="2">
        <f>IF(C300&lt;='PV IN'!$I$12*12,'PV IN'!$E$12*G300/1000,0)</f>
        <v>0</v>
      </c>
      <c r="O300" s="2">
        <f>IF(AND(C300&gt;'PV IN'!$I$12*12,C300&lt;='PV IN'!$I$13*12+'PV IN'!$I$12*12),'PV IN'!$E$13*PVCalcs!G300/1000,0)</f>
        <v>0</v>
      </c>
      <c r="P300" s="2">
        <f>IF(AND(C300&gt;'PV IN'!$I$12*12+'PV IN'!$I$13*12,C300&lt;='PV IN'!$I$12*12+'PV IN'!$I$13*12+'PV IN'!$I$14*12),'PV IN'!$E$14*PVCalcs!G300/1000,0)</f>
        <v>0</v>
      </c>
      <c r="R300" s="10">
        <f>IF(AND('PV IN'!$D$35="YES",$C300&lt;='PV IN'!$E$35*12),-'PV IN'!$E$18*'PV IN'!$E$34/12,0)</f>
        <v>0</v>
      </c>
      <c r="S300" s="10">
        <f>IF(AND('PV IN'!$D$37="YES",$C300&lt;='PV IN'!$E$37*12),-'PV IN'!$E$18*'PV IN'!$E$36/12,0)</f>
        <v>0</v>
      </c>
      <c r="U300" s="2">
        <f t="shared" si="80"/>
        <v>10265.353294182269</v>
      </c>
      <c r="V300" s="10">
        <f>PVLoan!M327</f>
        <v>0</v>
      </c>
      <c r="W300" s="2">
        <f>IF(C300='PV IN'!$I$40,IF('PV IN'!$G$40="Non-Taxable",'PV IN'!$F$40,0),0)+IF(C300='PV IN'!$I$41,IF('PV IN'!$G$41="Non-Taxable",'PV IN'!$F$41,0),0)</f>
        <v>0</v>
      </c>
      <c r="X300" s="10"/>
      <c r="Y300" s="10">
        <f>IF('PV IN'!$E$15="Non-Taxable",SUM(N300:P300),0)</f>
        <v>0</v>
      </c>
      <c r="Z300" s="10">
        <f>IF('PV IN'!$E$15="Taxable",SUM(N300:P300),0)</f>
        <v>0</v>
      </c>
      <c r="AA300" s="2">
        <f>IF(C300='PV IN'!$I$40,IF('PV IN'!$G$40="Taxable",'PV IN'!$F$40,0),0)+IF(C300='PV IN'!$I$41,IF('PV IN'!$G$41="Taxable",'PV IN'!$F$41,0),0)</f>
        <v>0</v>
      </c>
      <c r="AD300" s="10">
        <f>IF('PV IN'!$D$48="YES",-U300*'PV IN'!$E$8,0)</f>
        <v>0</v>
      </c>
      <c r="AE300" s="10">
        <f>IF('PV IN'!$N$10="Yes",-PVLoan!H328,-PVLoan!L328)</f>
        <v>0</v>
      </c>
      <c r="AF300" s="10">
        <f>IF('PV IN'!$N$10="Yes",-PVLoan!F328,0)</f>
        <v>0</v>
      </c>
      <c r="AG300" s="10">
        <f>IF(AND('PV IN'!$D$35="YES",$C300&lt;='PV IN'!$E$35*12),0,-'PV IN'!$E$18*'PV IN'!$E$34/12)</f>
        <v>-750</v>
      </c>
      <c r="AH300" s="10">
        <f>IF(AND('PV IN'!$D$37="YES",$C300&lt;='PV IN'!$E$37*12),0,-'PV IN'!$E$18*'PV IN'!$E$36/12)</f>
        <v>-625</v>
      </c>
      <c r="AI300" s="2">
        <f>IF(AND('PV IN'!$D$33="YES",PVCalcs!C300=ROUNDUP('PV IN'!$H$33*12,)),-'PV IN'!$E$33*'PV IN'!$E$18,0)</f>
        <v>0</v>
      </c>
      <c r="AK300" s="2">
        <f t="shared" si="65"/>
        <v>10265.353294182269</v>
      </c>
      <c r="AL300" s="2">
        <f t="shared" si="66"/>
        <v>-1375</v>
      </c>
      <c r="AM300" s="2">
        <f t="shared" si="70"/>
        <v>8890.3532941822687</v>
      </c>
      <c r="AN300" s="43"/>
      <c r="AO300" s="2">
        <f t="shared" si="67"/>
        <v>0</v>
      </c>
      <c r="AP300" s="2">
        <f t="shared" si="71"/>
        <v>-1375</v>
      </c>
      <c r="AR300" s="2">
        <f t="shared" si="72"/>
        <v>-1375</v>
      </c>
      <c r="AS300" s="2">
        <f>-AR300*'PV IN'!$E$8</f>
        <v>288.75</v>
      </c>
      <c r="AT300" s="2">
        <f>IF('PV IN'!$F$4="Battery Only",0,AM300+AS300)</f>
        <v>9179.1032941822687</v>
      </c>
      <c r="AV300" s="10">
        <f t="shared" si="73"/>
        <v>1903167.3339118804</v>
      </c>
      <c r="AW300" s="2">
        <f>AT300/(1+('PV IN'!$G$9))^(C300)</f>
        <v>2755.058849370339</v>
      </c>
      <c r="AX300" s="2" t="e">
        <f>IF(C300&lt;='PV IN'!$O$22*12,AW300+AX299,NA())</f>
        <v>#N/A</v>
      </c>
      <c r="AZ300" s="10">
        <f t="shared" si="68"/>
        <v>-1375</v>
      </c>
      <c r="BA300" s="10">
        <f t="shared" si="69"/>
        <v>0</v>
      </c>
      <c r="BB300" s="10">
        <f t="shared" si="74"/>
        <v>-1375</v>
      </c>
      <c r="BC300" s="10">
        <f t="shared" si="75"/>
        <v>0</v>
      </c>
      <c r="BD300" s="10">
        <f t="shared" si="76"/>
        <v>-1375</v>
      </c>
      <c r="BE300" s="2">
        <f t="shared" si="77"/>
        <v>0</v>
      </c>
      <c r="BF300" s="10">
        <f t="shared" si="78"/>
        <v>-1375</v>
      </c>
      <c r="BG300" s="2">
        <f>-BF300*'PV IN'!$E$8</f>
        <v>288.75</v>
      </c>
      <c r="BH300" s="2">
        <f>IF('PV IN'!$F$4="Battery Only",0,BB300+BG300)</f>
        <v>-1086.25</v>
      </c>
      <c r="BI300" s="2">
        <f>BH300/(1+('PV IN'!$G$9))^(C300)</f>
        <v>-326.03213834899299</v>
      </c>
    </row>
    <row r="301" spans="2:61" x14ac:dyDescent="0.25">
      <c r="C301">
        <v>297</v>
      </c>
      <c r="D301" s="16">
        <f>D300*(1+('PV IN'!$G$6/12))</f>
        <v>7.5999999999999998E-2</v>
      </c>
      <c r="E301" s="16">
        <f>LkUP!$U$45</f>
        <v>8.194902450204164E-2</v>
      </c>
      <c r="F301" s="16">
        <f>IF('PV IN'!$D$7="Table",E301,D301)</f>
        <v>8.194902450204164E-2</v>
      </c>
      <c r="G301" s="33">
        <f>('PV IN'!$E$25*'PV IN'!$E$18/12)*(1-(1-'PV IN'!$E$27)/(25*12))^C300</f>
        <v>125181.59657976041</v>
      </c>
      <c r="H301" s="33">
        <f>IF('PV IN'!$D$19="YES",G301*'PV IN'!$E$21,0)</f>
        <v>0</v>
      </c>
      <c r="I301" s="33">
        <f>IF('PV IN'!$D$19="YES",'PV IN'!$E$22*BattCalcs!W301,0)</f>
        <v>0</v>
      </c>
      <c r="J301" s="33">
        <f>IF('PV IN'!$D$19="YES",'PV IN'!$E$23*BattCalcs!Y301,0)</f>
        <v>0</v>
      </c>
      <c r="K301" s="33">
        <f>BattCalcs!AF301</f>
        <v>25811.765833333331</v>
      </c>
      <c r="L301" s="33">
        <f t="shared" si="79"/>
        <v>25811.765833333331</v>
      </c>
      <c r="M301" s="33">
        <f>IF('PV IN'!$F$4="PV Only",G301,G301-SUM(H301:J301,L301))</f>
        <v>125181.59657976041</v>
      </c>
      <c r="N301" s="2">
        <f>IF(C301&lt;='PV IN'!$I$12*12,'PV IN'!$E$12*G301/1000,0)</f>
        <v>0</v>
      </c>
      <c r="O301" s="2">
        <f>IF(AND(C301&gt;'PV IN'!$I$12*12,C301&lt;='PV IN'!$I$13*12+'PV IN'!$I$12*12),'PV IN'!$E$13*PVCalcs!G301/1000,0)</f>
        <v>0</v>
      </c>
      <c r="P301" s="2">
        <f>IF(AND(C301&gt;'PV IN'!$I$12*12+'PV IN'!$I$13*12,C301&lt;='PV IN'!$I$12*12+'PV IN'!$I$13*12+'PV IN'!$I$14*12),'PV IN'!$E$14*PVCalcs!G301/1000,0)</f>
        <v>0</v>
      </c>
      <c r="R301" s="10">
        <f>IF(AND('PV IN'!$D$35="YES",$C301&lt;='PV IN'!$E$35*12),-'PV IN'!$E$18*'PV IN'!$E$34/12,0)</f>
        <v>0</v>
      </c>
      <c r="S301" s="10">
        <f>IF(AND('PV IN'!$D$37="YES",$C301&lt;='PV IN'!$E$37*12),-'PV IN'!$E$18*'PV IN'!$E$36/12,0)</f>
        <v>0</v>
      </c>
      <c r="U301" s="2">
        <f t="shared" si="80"/>
        <v>10258.509725319478</v>
      </c>
      <c r="V301" s="10">
        <f>PVLoan!M328</f>
        <v>0</v>
      </c>
      <c r="W301" s="2">
        <f>IF(C301='PV IN'!$I$40,IF('PV IN'!$G$40="Non-Taxable",'PV IN'!$F$40,0),0)+IF(C301='PV IN'!$I$41,IF('PV IN'!$G$41="Non-Taxable",'PV IN'!$F$41,0),0)</f>
        <v>0</v>
      </c>
      <c r="X301" s="10"/>
      <c r="Y301" s="10">
        <f>IF('PV IN'!$E$15="Non-Taxable",SUM(N301:P301),0)</f>
        <v>0</v>
      </c>
      <c r="Z301" s="10">
        <f>IF('PV IN'!$E$15="Taxable",SUM(N301:P301),0)</f>
        <v>0</v>
      </c>
      <c r="AA301" s="2">
        <f>IF(C301='PV IN'!$I$40,IF('PV IN'!$G$40="Taxable",'PV IN'!$F$40,0),0)+IF(C301='PV IN'!$I$41,IF('PV IN'!$G$41="Taxable",'PV IN'!$F$41,0),0)</f>
        <v>0</v>
      </c>
      <c r="AD301" s="10">
        <f>IF('PV IN'!$D$48="YES",-U301*'PV IN'!$E$8,0)</f>
        <v>0</v>
      </c>
      <c r="AE301" s="10">
        <f>IF('PV IN'!$N$10="Yes",-PVLoan!H329,-PVLoan!L329)</f>
        <v>0</v>
      </c>
      <c r="AF301" s="10">
        <f>IF('PV IN'!$N$10="Yes",-PVLoan!F329,0)</f>
        <v>0</v>
      </c>
      <c r="AG301" s="10">
        <f>IF(AND('PV IN'!$D$35="YES",$C301&lt;='PV IN'!$E$35*12),0,-'PV IN'!$E$18*'PV IN'!$E$34/12)</f>
        <v>-750</v>
      </c>
      <c r="AH301" s="10">
        <f>IF(AND('PV IN'!$D$37="YES",$C301&lt;='PV IN'!$E$37*12),0,-'PV IN'!$E$18*'PV IN'!$E$36/12)</f>
        <v>-625</v>
      </c>
      <c r="AI301" s="2">
        <f>IF(AND('PV IN'!$D$33="YES",PVCalcs!C301=ROUNDUP('PV IN'!$H$33*12,)),-'PV IN'!$E$33*'PV IN'!$E$18,0)</f>
        <v>0</v>
      </c>
      <c r="AK301" s="2">
        <f t="shared" si="65"/>
        <v>10258.509725319478</v>
      </c>
      <c r="AL301" s="2">
        <f t="shared" si="66"/>
        <v>-1375</v>
      </c>
      <c r="AM301" s="2">
        <f t="shared" si="70"/>
        <v>8883.5097253194781</v>
      </c>
      <c r="AN301" s="43"/>
      <c r="AO301" s="2">
        <f t="shared" si="67"/>
        <v>0</v>
      </c>
      <c r="AP301" s="2">
        <f t="shared" si="71"/>
        <v>-1375</v>
      </c>
      <c r="AR301" s="2">
        <f t="shared" si="72"/>
        <v>-1375</v>
      </c>
      <c r="AS301" s="2">
        <f>-AR301*'PV IN'!$E$8</f>
        <v>288.75</v>
      </c>
      <c r="AT301" s="2">
        <f>IF('PV IN'!$F$4="Battery Only",0,AM301+AS301)</f>
        <v>9172.2597253194781</v>
      </c>
      <c r="AV301" s="10">
        <f t="shared" si="73"/>
        <v>1912339.5936371998</v>
      </c>
      <c r="AW301" s="2">
        <f>AT301/(1+('PV IN'!$G$9))^(C301)</f>
        <v>2741.8342167187038</v>
      </c>
      <c r="AX301" s="2" t="e">
        <f>IF(C301&lt;='PV IN'!$O$22*12,AW301+AX300,NA())</f>
        <v>#N/A</v>
      </c>
      <c r="AZ301" s="10">
        <f t="shared" si="68"/>
        <v>-1375</v>
      </c>
      <c r="BA301" s="10">
        <f t="shared" si="69"/>
        <v>0</v>
      </c>
      <c r="BB301" s="10">
        <f t="shared" si="74"/>
        <v>-1375</v>
      </c>
      <c r="BC301" s="10">
        <f t="shared" si="75"/>
        <v>0</v>
      </c>
      <c r="BD301" s="10">
        <f t="shared" si="76"/>
        <v>-1375</v>
      </c>
      <c r="BE301" s="2">
        <f t="shared" si="77"/>
        <v>0</v>
      </c>
      <c r="BF301" s="10">
        <f t="shared" si="78"/>
        <v>-1375</v>
      </c>
      <c r="BG301" s="2">
        <f>-BF301*'PV IN'!$E$8</f>
        <v>288.75</v>
      </c>
      <c r="BH301" s="2">
        <f>IF('PV IN'!$F$4="Battery Only",0,BB301+BG301)</f>
        <v>-1086.25</v>
      </c>
      <c r="BI301" s="2">
        <f>BH301/(1+('PV IN'!$G$9))^(C301)</f>
        <v>-324.7092327411122</v>
      </c>
    </row>
    <row r="302" spans="2:61" x14ac:dyDescent="0.25">
      <c r="C302">
        <v>298</v>
      </c>
      <c r="D302" s="16">
        <f>D301*(1+('PV IN'!$G$6/12))</f>
        <v>7.5999999999999998E-2</v>
      </c>
      <c r="E302" s="16">
        <f>LkUP!$U$45</f>
        <v>8.194902450204164E-2</v>
      </c>
      <c r="F302" s="16">
        <f>IF('PV IN'!$D$7="Table",E302,D302)</f>
        <v>8.194902450204164E-2</v>
      </c>
      <c r="G302" s="33">
        <f>('PV IN'!$E$25*'PV IN'!$E$18/12)*(1-(1-'PV IN'!$E$27)/(25*12))^C301</f>
        <v>125098.14218204057</v>
      </c>
      <c r="H302" s="33">
        <f>IF('PV IN'!$D$19="YES",G302*'PV IN'!$E$21,0)</f>
        <v>0</v>
      </c>
      <c r="I302" s="33">
        <f>IF('PV IN'!$D$19="YES",'PV IN'!$E$22*BattCalcs!W302,0)</f>
        <v>0</v>
      </c>
      <c r="J302" s="33">
        <f>IF('PV IN'!$D$19="YES",'PV IN'!$E$23*BattCalcs!Y302,0)</f>
        <v>0</v>
      </c>
      <c r="K302" s="33">
        <f>BattCalcs!AF302</f>
        <v>25811.765833333331</v>
      </c>
      <c r="L302" s="33">
        <f t="shared" si="79"/>
        <v>25811.765833333331</v>
      </c>
      <c r="M302" s="33">
        <f>IF('PV IN'!$F$4="PV Only",G302,G302-SUM(H302:J302,L302))</f>
        <v>125098.14218204057</v>
      </c>
      <c r="N302" s="2">
        <f>IF(C302&lt;='PV IN'!$I$12*12,'PV IN'!$E$12*G302/1000,0)</f>
        <v>0</v>
      </c>
      <c r="O302" s="2">
        <f>IF(AND(C302&gt;'PV IN'!$I$12*12,C302&lt;='PV IN'!$I$13*12+'PV IN'!$I$12*12),'PV IN'!$E$13*PVCalcs!G302/1000,0)</f>
        <v>0</v>
      </c>
      <c r="P302" s="2">
        <f>IF(AND(C302&gt;'PV IN'!$I$12*12+'PV IN'!$I$13*12,C302&lt;='PV IN'!$I$12*12+'PV IN'!$I$13*12+'PV IN'!$I$14*12),'PV IN'!$E$14*PVCalcs!G302/1000,0)</f>
        <v>0</v>
      </c>
      <c r="R302" s="10">
        <f>IF(AND('PV IN'!$D$35="YES",$C302&lt;='PV IN'!$E$35*12),-'PV IN'!$E$18*'PV IN'!$E$34/12,0)</f>
        <v>0</v>
      </c>
      <c r="S302" s="10">
        <f>IF(AND('PV IN'!$D$37="YES",$C302&lt;='PV IN'!$E$37*12),-'PV IN'!$E$18*'PV IN'!$E$36/12,0)</f>
        <v>0</v>
      </c>
      <c r="U302" s="2">
        <f t="shared" si="80"/>
        <v>10251.670718835931</v>
      </c>
      <c r="V302" s="10">
        <f>PVLoan!M329</f>
        <v>0</v>
      </c>
      <c r="W302" s="2">
        <f>IF(C302='PV IN'!$I$40,IF('PV IN'!$G$40="Non-Taxable",'PV IN'!$F$40,0),0)+IF(C302='PV IN'!$I$41,IF('PV IN'!$G$41="Non-Taxable",'PV IN'!$F$41,0),0)</f>
        <v>0</v>
      </c>
      <c r="X302" s="10"/>
      <c r="Y302" s="10">
        <f>IF('PV IN'!$E$15="Non-Taxable",SUM(N302:P302),0)</f>
        <v>0</v>
      </c>
      <c r="Z302" s="10">
        <f>IF('PV IN'!$E$15="Taxable",SUM(N302:P302),0)</f>
        <v>0</v>
      </c>
      <c r="AA302" s="2">
        <f>IF(C302='PV IN'!$I$40,IF('PV IN'!$G$40="Taxable",'PV IN'!$F$40,0),0)+IF(C302='PV IN'!$I$41,IF('PV IN'!$G$41="Taxable",'PV IN'!$F$41,0),0)</f>
        <v>0</v>
      </c>
      <c r="AD302" s="10">
        <f>IF('PV IN'!$D$48="YES",-U302*'PV IN'!$E$8,0)</f>
        <v>0</v>
      </c>
      <c r="AE302" s="10">
        <f>IF('PV IN'!$N$10="Yes",-PVLoan!H330,-PVLoan!L330)</f>
        <v>0</v>
      </c>
      <c r="AF302" s="10">
        <f>IF('PV IN'!$N$10="Yes",-PVLoan!F330,0)</f>
        <v>0</v>
      </c>
      <c r="AG302" s="10">
        <f>IF(AND('PV IN'!$D$35="YES",$C302&lt;='PV IN'!$E$35*12),0,-'PV IN'!$E$18*'PV IN'!$E$34/12)</f>
        <v>-750</v>
      </c>
      <c r="AH302" s="10">
        <f>IF(AND('PV IN'!$D$37="YES",$C302&lt;='PV IN'!$E$37*12),0,-'PV IN'!$E$18*'PV IN'!$E$36/12)</f>
        <v>-625</v>
      </c>
      <c r="AI302" s="2">
        <f>IF(AND('PV IN'!$D$33="YES",PVCalcs!C302=ROUNDUP('PV IN'!$H$33*12,)),-'PV IN'!$E$33*'PV IN'!$E$18,0)</f>
        <v>0</v>
      </c>
      <c r="AK302" s="2">
        <f t="shared" si="65"/>
        <v>10251.670718835931</v>
      </c>
      <c r="AL302" s="2">
        <f t="shared" si="66"/>
        <v>-1375</v>
      </c>
      <c r="AM302" s="2">
        <f t="shared" si="70"/>
        <v>8876.6707188359305</v>
      </c>
      <c r="AN302" s="43"/>
      <c r="AO302" s="2">
        <f t="shared" si="67"/>
        <v>0</v>
      </c>
      <c r="AP302" s="2">
        <f t="shared" si="71"/>
        <v>-1375</v>
      </c>
      <c r="AR302" s="2">
        <f t="shared" si="72"/>
        <v>-1375</v>
      </c>
      <c r="AS302" s="2">
        <f>-AR302*'PV IN'!$E$8</f>
        <v>288.75</v>
      </c>
      <c r="AT302" s="2">
        <f>IF('PV IN'!$F$4="Battery Only",0,AM302+AS302)</f>
        <v>9165.4207188359305</v>
      </c>
      <c r="AV302" s="10">
        <f t="shared" si="73"/>
        <v>1921505.0143560357</v>
      </c>
      <c r="AW302" s="2">
        <f>AT302/(1+('PV IN'!$G$9))^(C302)</f>
        <v>2728.6729032461517</v>
      </c>
      <c r="AX302" s="2" t="e">
        <f>IF(C302&lt;='PV IN'!$O$22*12,AW302+AX301,NA())</f>
        <v>#N/A</v>
      </c>
      <c r="AZ302" s="10">
        <f t="shared" si="68"/>
        <v>-1375</v>
      </c>
      <c r="BA302" s="10">
        <f t="shared" si="69"/>
        <v>0</v>
      </c>
      <c r="BB302" s="10">
        <f t="shared" si="74"/>
        <v>-1375</v>
      </c>
      <c r="BC302" s="10">
        <f t="shared" si="75"/>
        <v>0</v>
      </c>
      <c r="BD302" s="10">
        <f t="shared" si="76"/>
        <v>-1375</v>
      </c>
      <c r="BE302" s="2">
        <f t="shared" si="77"/>
        <v>0</v>
      </c>
      <c r="BF302" s="10">
        <f t="shared" si="78"/>
        <v>-1375</v>
      </c>
      <c r="BG302" s="2">
        <f>-BF302*'PV IN'!$E$8</f>
        <v>288.75</v>
      </c>
      <c r="BH302" s="2">
        <f>IF('PV IN'!$F$4="Battery Only",0,BB302+BG302)</f>
        <v>-1086.25</v>
      </c>
      <c r="BI302" s="2">
        <f>BH302/(1+('PV IN'!$G$9))^(C302)</f>
        <v>-323.39169494530114</v>
      </c>
    </row>
    <row r="303" spans="2:61" x14ac:dyDescent="0.25">
      <c r="C303">
        <v>299</v>
      </c>
      <c r="D303" s="16">
        <f>D302*(1+('PV IN'!$G$6/12))</f>
        <v>7.5999999999999998E-2</v>
      </c>
      <c r="E303" s="16">
        <f>LkUP!$U$45</f>
        <v>8.194902450204164E-2</v>
      </c>
      <c r="F303" s="16">
        <f>IF('PV IN'!$D$7="Table",E303,D303)</f>
        <v>8.194902450204164E-2</v>
      </c>
      <c r="G303" s="33">
        <f>('PV IN'!$E$25*'PV IN'!$E$18/12)*(1-(1-'PV IN'!$E$27)/(25*12))^C302</f>
        <v>125014.74342058589</v>
      </c>
      <c r="H303" s="33">
        <f>IF('PV IN'!$D$19="YES",G303*'PV IN'!$E$21,0)</f>
        <v>0</v>
      </c>
      <c r="I303" s="33">
        <f>IF('PV IN'!$D$19="YES",'PV IN'!$E$22*BattCalcs!W303,0)</f>
        <v>0</v>
      </c>
      <c r="J303" s="33">
        <f>IF('PV IN'!$D$19="YES",'PV IN'!$E$23*BattCalcs!Y303,0)</f>
        <v>0</v>
      </c>
      <c r="K303" s="33">
        <f>BattCalcs!AF303</f>
        <v>25811.765833333331</v>
      </c>
      <c r="L303" s="33">
        <f t="shared" si="79"/>
        <v>25811.765833333331</v>
      </c>
      <c r="M303" s="33">
        <f>IF('PV IN'!$F$4="PV Only",G303,G303-SUM(H303:J303,L303))</f>
        <v>125014.74342058589</v>
      </c>
      <c r="N303" s="2">
        <f>IF(C303&lt;='PV IN'!$I$12*12,'PV IN'!$E$12*G303/1000,0)</f>
        <v>0</v>
      </c>
      <c r="O303" s="2">
        <f>IF(AND(C303&gt;'PV IN'!$I$12*12,C303&lt;='PV IN'!$I$13*12+'PV IN'!$I$12*12),'PV IN'!$E$13*PVCalcs!G303/1000,0)</f>
        <v>0</v>
      </c>
      <c r="P303" s="2">
        <f>IF(AND(C303&gt;'PV IN'!$I$12*12+'PV IN'!$I$13*12,C303&lt;='PV IN'!$I$12*12+'PV IN'!$I$13*12+'PV IN'!$I$14*12),'PV IN'!$E$14*PVCalcs!G303/1000,0)</f>
        <v>0</v>
      </c>
      <c r="R303" s="10">
        <f>IF(AND('PV IN'!$D$35="YES",$C303&lt;='PV IN'!$E$35*12),-'PV IN'!$E$18*'PV IN'!$E$34/12,0)</f>
        <v>0</v>
      </c>
      <c r="S303" s="10">
        <f>IF(AND('PV IN'!$D$37="YES",$C303&lt;='PV IN'!$E$37*12),-'PV IN'!$E$18*'PV IN'!$E$36/12,0)</f>
        <v>0</v>
      </c>
      <c r="U303" s="2">
        <f t="shared" si="80"/>
        <v>10244.836271690041</v>
      </c>
      <c r="V303" s="10">
        <f>PVLoan!M330</f>
        <v>0</v>
      </c>
      <c r="W303" s="2">
        <f>IF(C303='PV IN'!$I$40,IF('PV IN'!$G$40="Non-Taxable",'PV IN'!$F$40,0),0)+IF(C303='PV IN'!$I$41,IF('PV IN'!$G$41="Non-Taxable",'PV IN'!$F$41,0),0)</f>
        <v>0</v>
      </c>
      <c r="X303" s="10"/>
      <c r="Y303" s="10">
        <f>IF('PV IN'!$E$15="Non-Taxable",SUM(N303:P303),0)</f>
        <v>0</v>
      </c>
      <c r="Z303" s="10">
        <f>IF('PV IN'!$E$15="Taxable",SUM(N303:P303),0)</f>
        <v>0</v>
      </c>
      <c r="AA303" s="2">
        <f>IF(C303='PV IN'!$I$40,IF('PV IN'!$G$40="Taxable",'PV IN'!$F$40,0),0)+IF(C303='PV IN'!$I$41,IF('PV IN'!$G$41="Taxable",'PV IN'!$F$41,0),0)</f>
        <v>0</v>
      </c>
      <c r="AD303" s="10">
        <f>IF('PV IN'!$D$48="YES",-U303*'PV IN'!$E$8,0)</f>
        <v>0</v>
      </c>
      <c r="AE303" s="10">
        <f>IF('PV IN'!$N$10="Yes",-PVLoan!H331,-PVLoan!L331)</f>
        <v>0</v>
      </c>
      <c r="AF303" s="10">
        <f>IF('PV IN'!$N$10="Yes",-PVLoan!F331,0)</f>
        <v>0</v>
      </c>
      <c r="AG303" s="10">
        <f>IF(AND('PV IN'!$D$35="YES",$C303&lt;='PV IN'!$E$35*12),0,-'PV IN'!$E$18*'PV IN'!$E$34/12)</f>
        <v>-750</v>
      </c>
      <c r="AH303" s="10">
        <f>IF(AND('PV IN'!$D$37="YES",$C303&lt;='PV IN'!$E$37*12),0,-'PV IN'!$E$18*'PV IN'!$E$36/12)</f>
        <v>-625</v>
      </c>
      <c r="AI303" s="2">
        <f>IF(AND('PV IN'!$D$33="YES",PVCalcs!C303=ROUNDUP('PV IN'!$H$33*12,)),-'PV IN'!$E$33*'PV IN'!$E$18,0)</f>
        <v>0</v>
      </c>
      <c r="AK303" s="2">
        <f t="shared" si="65"/>
        <v>10244.836271690041</v>
      </c>
      <c r="AL303" s="2">
        <f t="shared" si="66"/>
        <v>-1375</v>
      </c>
      <c r="AM303" s="2">
        <f t="shared" si="70"/>
        <v>8869.836271690041</v>
      </c>
      <c r="AN303" s="43"/>
      <c r="AO303" s="2">
        <f t="shared" si="67"/>
        <v>0</v>
      </c>
      <c r="AP303" s="2">
        <f t="shared" si="71"/>
        <v>-1375</v>
      </c>
      <c r="AR303" s="2">
        <f t="shared" si="72"/>
        <v>-1375</v>
      </c>
      <c r="AS303" s="2">
        <f>-AR303*'PV IN'!$E$8</f>
        <v>288.75</v>
      </c>
      <c r="AT303" s="2">
        <f>IF('PV IN'!$F$4="Battery Only",0,AM303+AS303)</f>
        <v>9158.586271690041</v>
      </c>
      <c r="AV303" s="10">
        <f t="shared" si="73"/>
        <v>1930663.6006277257</v>
      </c>
      <c r="AW303" s="2">
        <f>AT303/(1+('PV IN'!$G$9))^(C303)</f>
        <v>2715.5746064237219</v>
      </c>
      <c r="AX303" s="2" t="e">
        <f>IF(C303&lt;='PV IN'!$O$22*12,AW303+AX302,NA())</f>
        <v>#N/A</v>
      </c>
      <c r="AZ303" s="10">
        <f t="shared" si="68"/>
        <v>-1375</v>
      </c>
      <c r="BA303" s="10">
        <f t="shared" si="69"/>
        <v>0</v>
      </c>
      <c r="BB303" s="10">
        <f t="shared" si="74"/>
        <v>-1375</v>
      </c>
      <c r="BC303" s="10">
        <f t="shared" si="75"/>
        <v>0</v>
      </c>
      <c r="BD303" s="10">
        <f t="shared" si="76"/>
        <v>-1375</v>
      </c>
      <c r="BE303" s="2">
        <f t="shared" si="77"/>
        <v>0</v>
      </c>
      <c r="BF303" s="10">
        <f t="shared" si="78"/>
        <v>-1375</v>
      </c>
      <c r="BG303" s="2">
        <f>-BF303*'PV IN'!$E$8</f>
        <v>288.75</v>
      </c>
      <c r="BH303" s="2">
        <f>IF('PV IN'!$F$4="Battery Only",0,BB303+BG303)</f>
        <v>-1086.25</v>
      </c>
      <c r="BI303" s="2">
        <f>BH303/(1+('PV IN'!$G$9))^(C303)</f>
        <v>-322.07950318116514</v>
      </c>
    </row>
    <row r="304" spans="2:61" x14ac:dyDescent="0.25">
      <c r="B304">
        <v>25</v>
      </c>
      <c r="C304">
        <v>300</v>
      </c>
      <c r="D304" s="16">
        <f>D303*(1+('PV IN'!$G$6/12))</f>
        <v>7.5999999999999998E-2</v>
      </c>
      <c r="E304" s="16">
        <f>LkUP!$U$45</f>
        <v>8.194902450204164E-2</v>
      </c>
      <c r="F304" s="16">
        <f>IF('PV IN'!$D$7="Table",E304,D304)</f>
        <v>8.194902450204164E-2</v>
      </c>
      <c r="G304" s="33">
        <f>('PV IN'!$E$25*'PV IN'!$E$18/12)*(1-(1-'PV IN'!$E$27)/(25*12))^C303</f>
        <v>124931.40025830548</v>
      </c>
      <c r="H304" s="33">
        <f>IF('PV IN'!$D$19="YES",G304*'PV IN'!$E$21,0)</f>
        <v>0</v>
      </c>
      <c r="I304" s="33">
        <f>IF('PV IN'!$D$19="YES",'PV IN'!$E$22*BattCalcs!W304,0)</f>
        <v>0</v>
      </c>
      <c r="J304" s="33">
        <f>IF('PV IN'!$D$19="YES",'PV IN'!$E$23*BattCalcs!Y304,0)</f>
        <v>0</v>
      </c>
      <c r="K304" s="33">
        <f>BattCalcs!AF304</f>
        <v>25811.765833333331</v>
      </c>
      <c r="L304" s="33">
        <f t="shared" si="79"/>
        <v>25811.765833333331</v>
      </c>
      <c r="M304" s="33">
        <f>IF('PV IN'!$F$4="PV Only",G304,G304-SUM(H304:J304,L304))</f>
        <v>124931.40025830548</v>
      </c>
      <c r="N304" s="2">
        <f>IF(C304&lt;='PV IN'!$I$12*12,'PV IN'!$E$12*G304/1000,0)</f>
        <v>0</v>
      </c>
      <c r="O304" s="2">
        <f>IF(AND(C304&gt;'PV IN'!$I$12*12,C304&lt;='PV IN'!$I$13*12+'PV IN'!$I$12*12),'PV IN'!$E$13*PVCalcs!G304/1000,0)</f>
        <v>0</v>
      </c>
      <c r="P304" s="2">
        <f>IF(AND(C304&gt;'PV IN'!$I$12*12+'PV IN'!$I$13*12,C304&lt;='PV IN'!$I$12*12+'PV IN'!$I$13*12+'PV IN'!$I$14*12),'PV IN'!$E$14*PVCalcs!G304/1000,0)</f>
        <v>0</v>
      </c>
      <c r="R304" s="10">
        <f>IF(AND('PV IN'!$D$35="YES",$C304&lt;='PV IN'!$E$35*12),-'PV IN'!$E$18*'PV IN'!$E$34/12,0)</f>
        <v>0</v>
      </c>
      <c r="S304" s="10">
        <f>IF(AND('PV IN'!$D$37="YES",$C304&lt;='PV IN'!$E$37*12),-'PV IN'!$E$18*'PV IN'!$E$36/12,0)</f>
        <v>0</v>
      </c>
      <c r="U304" s="2">
        <f t="shared" si="80"/>
        <v>10238.006380842247</v>
      </c>
      <c r="V304" s="10">
        <f>PVLoan!M331</f>
        <v>0</v>
      </c>
      <c r="W304" s="2">
        <f>IF(C304='PV IN'!$I$40,IF('PV IN'!$G$40="Non-Taxable",'PV IN'!$F$40,0),0)+IF(C304='PV IN'!$I$41,IF('PV IN'!$G$41="Non-Taxable",'PV IN'!$F$41,0),0)</f>
        <v>0</v>
      </c>
      <c r="X304" s="10"/>
      <c r="Y304" s="10">
        <f>IF('PV IN'!$E$15="Non-Taxable",SUM(N304:P304),0)</f>
        <v>0</v>
      </c>
      <c r="Z304" s="10">
        <f>IF('PV IN'!$E$15="Taxable",SUM(N304:P304),0)</f>
        <v>0</v>
      </c>
      <c r="AA304" s="2">
        <f>IF(C304='PV IN'!$I$40,IF('PV IN'!$G$40="Taxable",'PV IN'!$F$40,0),0)+IF(C304='PV IN'!$I$41,IF('PV IN'!$G$41="Taxable",'PV IN'!$F$41,0),0)</f>
        <v>0</v>
      </c>
      <c r="AD304" s="10">
        <f>IF('PV IN'!$D$48="YES",-U304*'PV IN'!$E$8,0)</f>
        <v>0</v>
      </c>
      <c r="AE304" s="10">
        <f>IF('PV IN'!$N$10="Yes",-PVLoan!H332,-PVLoan!L332)</f>
        <v>0</v>
      </c>
      <c r="AF304" s="10">
        <f>IF('PV IN'!$N$10="Yes",-PVLoan!F332,0)</f>
        <v>0</v>
      </c>
      <c r="AG304" s="10">
        <f>IF(AND('PV IN'!$D$35="YES",$C304&lt;='PV IN'!$E$35*12),0,-'PV IN'!$E$18*'PV IN'!$E$34/12)</f>
        <v>-750</v>
      </c>
      <c r="AH304" s="10">
        <f>IF(AND('PV IN'!$D$37="YES",$C304&lt;='PV IN'!$E$37*12),0,-'PV IN'!$E$18*'PV IN'!$E$36/12)</f>
        <v>-625</v>
      </c>
      <c r="AI304" s="2">
        <f>IF(AND('PV IN'!$D$33="YES",PVCalcs!C304=ROUNDUP('PV IN'!$H$33*12,)),-'PV IN'!$E$33*'PV IN'!$E$18,0)</f>
        <v>0</v>
      </c>
      <c r="AK304" s="2">
        <f t="shared" si="65"/>
        <v>10238.006380842247</v>
      </c>
      <c r="AL304" s="2">
        <f t="shared" si="66"/>
        <v>-1375</v>
      </c>
      <c r="AM304" s="2">
        <f t="shared" si="70"/>
        <v>8863.0063808422474</v>
      </c>
      <c r="AN304" s="43"/>
      <c r="AO304" s="2">
        <f t="shared" si="67"/>
        <v>0</v>
      </c>
      <c r="AP304" s="2">
        <f t="shared" si="71"/>
        <v>-1375</v>
      </c>
      <c r="AR304" s="2">
        <f t="shared" si="72"/>
        <v>-1375</v>
      </c>
      <c r="AS304" s="2">
        <f>-AR304*'PV IN'!$E$8</f>
        <v>288.75</v>
      </c>
      <c r="AT304" s="2">
        <f>IF('PV IN'!$F$4="Battery Only",0,AM304+AS304)</f>
        <v>9151.7563808422474</v>
      </c>
      <c r="AV304" s="10">
        <f t="shared" si="73"/>
        <v>1939815.357008568</v>
      </c>
      <c r="AW304" s="2">
        <f>AT304/(1+('PV IN'!$G$9))^(C304)</f>
        <v>2702.5390251653212</v>
      </c>
      <c r="AX304" s="2" t="e">
        <f>IF(C304&lt;='PV IN'!$O$22*12,AW304+AX303,NA())</f>
        <v>#N/A</v>
      </c>
      <c r="AZ304" s="10">
        <f t="shared" si="68"/>
        <v>-1375</v>
      </c>
      <c r="BA304" s="10">
        <f t="shared" si="69"/>
        <v>0</v>
      </c>
      <c r="BB304" s="10">
        <f t="shared" si="74"/>
        <v>-1375</v>
      </c>
      <c r="BC304" s="10">
        <f t="shared" si="75"/>
        <v>0</v>
      </c>
      <c r="BD304" s="10">
        <f t="shared" si="76"/>
        <v>-1375</v>
      </c>
      <c r="BE304" s="2">
        <f t="shared" si="77"/>
        <v>0</v>
      </c>
      <c r="BF304" s="10">
        <f t="shared" si="78"/>
        <v>-1375</v>
      </c>
      <c r="BG304" s="2">
        <f>-BF304*'PV IN'!$E$8</f>
        <v>288.75</v>
      </c>
      <c r="BH304" s="2">
        <f>IF('PV IN'!$F$4="Battery Only",0,BB304+BG304)</f>
        <v>-1086.25</v>
      </c>
      <c r="BI304" s="2">
        <f>BH304/(1+('PV IN'!$G$9))^(C304)</f>
        <v>-320.77263575668525</v>
      </c>
    </row>
    <row r="305" spans="2:61" x14ac:dyDescent="0.25">
      <c r="C305">
        <v>301</v>
      </c>
      <c r="D305" s="16">
        <f>D304*(1+('PV IN'!$G$6/12))</f>
        <v>7.5999999999999998E-2</v>
      </c>
      <c r="E305" s="16">
        <f>LkUP!$U$46</f>
        <v>8.1329219335301683E-2</v>
      </c>
      <c r="F305" s="16">
        <f>IF('PV IN'!$D$7="Table",E305,D305)</f>
        <v>8.1329219335301683E-2</v>
      </c>
      <c r="G305" s="33">
        <f>('PV IN'!$E$25*'PV IN'!$E$18/12)*(1-(1-'PV IN'!$E$27)/(25*12))^C304</f>
        <v>124848.11265813328</v>
      </c>
      <c r="H305" s="33">
        <f>IF('PV IN'!$D$19="YES",G305*'PV IN'!$E$21,0)</f>
        <v>0</v>
      </c>
      <c r="I305" s="33">
        <f>IF('PV IN'!$D$19="YES",'PV IN'!$E$22*BattCalcs!W305,0)</f>
        <v>0</v>
      </c>
      <c r="J305" s="33">
        <f>IF('PV IN'!$D$19="YES",'PV IN'!$E$23*BattCalcs!Y305,0)</f>
        <v>0</v>
      </c>
      <c r="K305" s="33">
        <f>BattCalcs!AF305</f>
        <v>25811.765833333331</v>
      </c>
      <c r="L305" s="33">
        <f t="shared" ref="L305:L364" si="81">IF(SUM(H305:K305)&lt;=G305,K305,G305-SUM(H305:J305))</f>
        <v>25811.765833333331</v>
      </c>
      <c r="M305" s="33">
        <f>IF('PV IN'!$F$4="PV Only",G305,G305-SUM(H305:J305,L305))</f>
        <v>124848.11265813328</v>
      </c>
      <c r="N305" s="2">
        <f>IF(C305&lt;='PV IN'!$I$12*12,'PV IN'!$E$12*G305/1000,0)</f>
        <v>0</v>
      </c>
      <c r="O305" s="2">
        <f>IF(AND(C305&gt;'PV IN'!$I$12*12,C305&lt;='PV IN'!$I$13*12+'PV IN'!$I$12*12),'PV IN'!$E$13*PVCalcs!G305/1000,0)</f>
        <v>0</v>
      </c>
      <c r="P305" s="2">
        <f>IF(AND(C305&gt;'PV IN'!$I$12*12+'PV IN'!$I$13*12,C305&lt;='PV IN'!$I$12*12+'PV IN'!$I$13*12+'PV IN'!$I$14*12),'PV IN'!$E$14*PVCalcs!G305/1000,0)</f>
        <v>0</v>
      </c>
      <c r="R305" s="10">
        <f>IF(AND('PV IN'!$D$35="YES",$C305&lt;='PV IN'!$E$35*12),-'PV IN'!$E$18*'PV IN'!$E$34/12,0)</f>
        <v>0</v>
      </c>
      <c r="S305" s="10">
        <f>IF(AND('PV IN'!$D$37="YES",$C305&lt;='PV IN'!$E$37*12),-'PV IN'!$E$18*'PV IN'!$E$36/12,0)</f>
        <v>0</v>
      </c>
      <c r="U305" s="2">
        <f t="shared" si="80"/>
        <v>10153.799537971776</v>
      </c>
      <c r="V305" s="10">
        <f>PVLoan!M332</f>
        <v>0</v>
      </c>
      <c r="W305" s="2">
        <f>IF(C305='PV IN'!$I$40,IF('PV IN'!$G$40="Non-Taxable",'PV IN'!$F$40,0),0)+IF(C305='PV IN'!$I$41,IF('PV IN'!$G$41="Non-Taxable",'PV IN'!$F$41,0),0)</f>
        <v>0</v>
      </c>
      <c r="X305" s="10"/>
      <c r="Y305" s="10">
        <f>IF('PV IN'!$E$15="Non-Taxable",SUM(N305:P305),0)</f>
        <v>0</v>
      </c>
      <c r="Z305" s="10">
        <f>IF('PV IN'!$E$15="Taxable",SUM(N305:P305),0)</f>
        <v>0</v>
      </c>
      <c r="AA305" s="2">
        <f>IF(C305='PV IN'!$I$40,IF('PV IN'!$G$40="Taxable",'PV IN'!$F$40,0),0)+IF(C305='PV IN'!$I$41,IF('PV IN'!$G$41="Taxable",'PV IN'!$F$41,0),0)</f>
        <v>0</v>
      </c>
      <c r="AD305" s="10">
        <f>IF('PV IN'!$D$48="YES",-U305*'PV IN'!$E$8,0)</f>
        <v>0</v>
      </c>
      <c r="AE305" s="10">
        <f>IF('PV IN'!$N$10="Yes",-PVLoan!H333,-PVLoan!L333)</f>
        <v>0</v>
      </c>
      <c r="AF305" s="10">
        <f>IF('PV IN'!$N$10="Yes",-PVLoan!F333,0)</f>
        <v>0</v>
      </c>
      <c r="AG305" s="10">
        <f>IF(AND('PV IN'!$D$35="YES",$C305&lt;='PV IN'!$E$35*12),0,-'PV IN'!$E$18*'PV IN'!$E$34/12)</f>
        <v>-750</v>
      </c>
      <c r="AH305" s="10">
        <f>IF(AND('PV IN'!$D$37="YES",$C305&lt;='PV IN'!$E$37*12),0,-'PV IN'!$E$18*'PV IN'!$E$36/12)</f>
        <v>-625</v>
      </c>
      <c r="AI305" s="2">
        <f>IF(AND('PV IN'!$D$33="YES",PVCalcs!C305=ROUNDUP('PV IN'!$H$33*12,)),-'PV IN'!$E$33*'PV IN'!$E$18,0)</f>
        <v>0</v>
      </c>
      <c r="AK305" s="2">
        <f t="shared" si="65"/>
        <v>10153.799537971776</v>
      </c>
      <c r="AL305" s="2">
        <f t="shared" ref="AL305:AL363" si="82">SUM(AC305:AI305)</f>
        <v>-1375</v>
      </c>
      <c r="AM305" s="2">
        <f t="shared" ref="AM305:AM364" si="83">AK305+AL305</f>
        <v>8778.7995379717759</v>
      </c>
      <c r="AN305" s="43"/>
      <c r="AO305" s="2">
        <f t="shared" si="67"/>
        <v>0</v>
      </c>
      <c r="AP305" s="2">
        <f t="shared" ref="AP305:AP364" si="84">SUM(AF305:AI305)</f>
        <v>-1375</v>
      </c>
      <c r="AR305" s="2">
        <f t="shared" ref="AR305:AR364" si="85">SUM(AO305:AQ305)</f>
        <v>-1375</v>
      </c>
      <c r="AS305" s="2">
        <f>-AR305*'PV IN'!$E$8</f>
        <v>288.75</v>
      </c>
      <c r="AT305" s="2">
        <f>IF('PV IN'!$F$4="Battery Only",0,AM305+AS305)</f>
        <v>9067.5495379717759</v>
      </c>
      <c r="AV305" s="10">
        <f t="shared" ref="AV305:AV364" si="86">AV304+AT305</f>
        <v>1948882.9065465399</v>
      </c>
      <c r="AW305" s="2">
        <f>AT305/(1+('PV IN'!$G$9))^(C305)</f>
        <v>2666.807606772587</v>
      </c>
      <c r="AX305" s="2" t="e">
        <f>IF(C305&lt;='PV IN'!$O$22*12,AW305+AX304,NA())</f>
        <v>#N/A</v>
      </c>
      <c r="AZ305" s="10">
        <f t="shared" si="68"/>
        <v>-1375</v>
      </c>
      <c r="BA305" s="10">
        <f t="shared" si="69"/>
        <v>0</v>
      </c>
      <c r="BB305" s="10">
        <f t="shared" si="74"/>
        <v>-1375</v>
      </c>
      <c r="BC305" s="10">
        <f t="shared" si="75"/>
        <v>0</v>
      </c>
      <c r="BD305" s="10">
        <f t="shared" si="76"/>
        <v>-1375</v>
      </c>
      <c r="BE305" s="2">
        <f t="shared" si="77"/>
        <v>0</v>
      </c>
      <c r="BF305" s="10">
        <f t="shared" si="78"/>
        <v>-1375</v>
      </c>
      <c r="BG305" s="2">
        <f>-BF305*'PV IN'!$E$8</f>
        <v>288.75</v>
      </c>
      <c r="BH305" s="2">
        <f>IF('PV IN'!$F$4="Battery Only",0,BB305+BG305)</f>
        <v>-1086.25</v>
      </c>
      <c r="BI305" s="2">
        <f>BH305/(1+('PV IN'!$G$9))^(C305)</f>
        <v>-319.47107106786007</v>
      </c>
    </row>
    <row r="306" spans="2:61" x14ac:dyDescent="0.25">
      <c r="C306">
        <v>302</v>
      </c>
      <c r="D306" s="16">
        <f>D305*(1+('PV IN'!$G$6/12))</f>
        <v>7.5999999999999998E-2</v>
      </c>
      <c r="E306" s="16">
        <f>LkUP!$U$46</f>
        <v>8.1329219335301683E-2</v>
      </c>
      <c r="F306" s="16">
        <f>IF('PV IN'!$D$7="Table",E306,D306)</f>
        <v>8.1329219335301683E-2</v>
      </c>
      <c r="G306" s="33">
        <f>('PV IN'!$E$25*'PV IN'!$E$18/12)*(1-(1-'PV IN'!$E$27)/(25*12))^C305</f>
        <v>124764.88058302786</v>
      </c>
      <c r="H306" s="33">
        <f>IF('PV IN'!$D$19="YES",G306*'PV IN'!$E$21,0)</f>
        <v>0</v>
      </c>
      <c r="I306" s="33">
        <f>IF('PV IN'!$D$19="YES",'PV IN'!$E$22*BattCalcs!W306,0)</f>
        <v>0</v>
      </c>
      <c r="J306" s="33">
        <f>IF('PV IN'!$D$19="YES",'PV IN'!$E$23*BattCalcs!Y306,0)</f>
        <v>0</v>
      </c>
      <c r="K306" s="33">
        <f>BattCalcs!AF306</f>
        <v>25811.765833333331</v>
      </c>
      <c r="L306" s="33">
        <f t="shared" si="81"/>
        <v>25811.765833333331</v>
      </c>
      <c r="M306" s="33">
        <f>IF('PV IN'!$F$4="PV Only",G306,G306-SUM(H306:J306,L306))</f>
        <v>124764.88058302786</v>
      </c>
      <c r="N306" s="2">
        <f>IF(C306&lt;='PV IN'!$I$12*12,'PV IN'!$E$12*G306/1000,0)</f>
        <v>0</v>
      </c>
      <c r="O306" s="2">
        <f>IF(AND(C306&gt;'PV IN'!$I$12*12,C306&lt;='PV IN'!$I$13*12+'PV IN'!$I$12*12),'PV IN'!$E$13*PVCalcs!G306/1000,0)</f>
        <v>0</v>
      </c>
      <c r="P306" s="2">
        <f>IF(AND(C306&gt;'PV IN'!$I$12*12+'PV IN'!$I$13*12,C306&lt;='PV IN'!$I$12*12+'PV IN'!$I$13*12+'PV IN'!$I$14*12),'PV IN'!$E$14*PVCalcs!G306/1000,0)</f>
        <v>0</v>
      </c>
      <c r="R306" s="10">
        <f>IF(AND('PV IN'!$D$35="YES",$C306&lt;='PV IN'!$E$35*12),-'PV IN'!$E$18*'PV IN'!$E$34/12,0)</f>
        <v>0</v>
      </c>
      <c r="S306" s="10">
        <f>IF(AND('PV IN'!$D$37="YES",$C306&lt;='PV IN'!$E$37*12),-'PV IN'!$E$18*'PV IN'!$E$36/12,0)</f>
        <v>0</v>
      </c>
      <c r="U306" s="2">
        <f t="shared" si="80"/>
        <v>10147.030338279796</v>
      </c>
      <c r="V306" s="10">
        <f>PVLoan!M333</f>
        <v>0</v>
      </c>
      <c r="W306" s="2">
        <f>IF(C306='PV IN'!$I$40,IF('PV IN'!$G$40="Non-Taxable",'PV IN'!$F$40,0),0)+IF(C306='PV IN'!$I$41,IF('PV IN'!$G$41="Non-Taxable",'PV IN'!$F$41,0),0)</f>
        <v>0</v>
      </c>
      <c r="X306" s="10"/>
      <c r="Y306" s="10">
        <f>IF('PV IN'!$E$15="Non-Taxable",SUM(N306:P306),0)</f>
        <v>0</v>
      </c>
      <c r="Z306" s="10">
        <f>IF('PV IN'!$E$15="Taxable",SUM(N306:P306),0)</f>
        <v>0</v>
      </c>
      <c r="AA306" s="2">
        <f>IF(C306='PV IN'!$I$40,IF('PV IN'!$G$40="Taxable",'PV IN'!$F$40,0),0)+IF(C306='PV IN'!$I$41,IF('PV IN'!$G$41="Taxable",'PV IN'!$F$41,0),0)</f>
        <v>0</v>
      </c>
      <c r="AD306" s="10">
        <f>IF('PV IN'!$D$48="YES",-U306*'PV IN'!$E$8,0)</f>
        <v>0</v>
      </c>
      <c r="AE306" s="10">
        <f>IF('PV IN'!$N$10="Yes",-PVLoan!H334,-PVLoan!L334)</f>
        <v>0</v>
      </c>
      <c r="AF306" s="10">
        <f>IF('PV IN'!$N$10="Yes",-PVLoan!F334,0)</f>
        <v>0</v>
      </c>
      <c r="AG306" s="10">
        <f>IF(AND('PV IN'!$D$35="YES",$C306&lt;='PV IN'!$E$35*12),0,-'PV IN'!$E$18*'PV IN'!$E$34/12)</f>
        <v>-750</v>
      </c>
      <c r="AH306" s="10">
        <f>IF(AND('PV IN'!$D$37="YES",$C306&lt;='PV IN'!$E$37*12),0,-'PV IN'!$E$18*'PV IN'!$E$36/12)</f>
        <v>-625</v>
      </c>
      <c r="AI306" s="2">
        <f>IF(AND('PV IN'!$D$33="YES",PVCalcs!C306=ROUNDUP('PV IN'!$H$33*12,)),-'PV IN'!$E$33*'PV IN'!$E$18,0)</f>
        <v>0</v>
      </c>
      <c r="AK306" s="2">
        <f t="shared" si="65"/>
        <v>10147.030338279796</v>
      </c>
      <c r="AL306" s="2">
        <f t="shared" si="82"/>
        <v>-1375</v>
      </c>
      <c r="AM306" s="2">
        <f t="shared" si="83"/>
        <v>8772.0303382797956</v>
      </c>
      <c r="AN306" s="43"/>
      <c r="AO306" s="2">
        <f t="shared" si="67"/>
        <v>0</v>
      </c>
      <c r="AP306" s="2">
        <f t="shared" si="84"/>
        <v>-1375</v>
      </c>
      <c r="AR306" s="2">
        <f t="shared" si="85"/>
        <v>-1375</v>
      </c>
      <c r="AS306" s="2">
        <f>-AR306*'PV IN'!$E$8</f>
        <v>288.75</v>
      </c>
      <c r="AT306" s="2">
        <f>IF('PV IN'!$F$4="Battery Only",0,AM306+AS306)</f>
        <v>9060.7803382797956</v>
      </c>
      <c r="AV306" s="10">
        <f t="shared" si="86"/>
        <v>1957943.6868848198</v>
      </c>
      <c r="AW306" s="2">
        <f>AT306/(1+('PV IN'!$G$9))^(C306)</f>
        <v>2654.0040134476085</v>
      </c>
      <c r="AX306" s="2" t="e">
        <f>IF(C306&lt;='PV IN'!$O$22*12,AW306+AX305,NA())</f>
        <v>#N/A</v>
      </c>
      <c r="AZ306" s="10">
        <f t="shared" si="68"/>
        <v>-1375</v>
      </c>
      <c r="BA306" s="10">
        <f t="shared" si="69"/>
        <v>0</v>
      </c>
      <c r="BB306" s="10">
        <f t="shared" si="74"/>
        <v>-1375</v>
      </c>
      <c r="BC306" s="10">
        <f t="shared" si="75"/>
        <v>0</v>
      </c>
      <c r="BD306" s="10">
        <f t="shared" si="76"/>
        <v>-1375</v>
      </c>
      <c r="BE306" s="2">
        <f t="shared" si="77"/>
        <v>0</v>
      </c>
      <c r="BF306" s="10">
        <f t="shared" si="78"/>
        <v>-1375</v>
      </c>
      <c r="BG306" s="2">
        <f>-BF306*'PV IN'!$E$8</f>
        <v>288.75</v>
      </c>
      <c r="BH306" s="2">
        <f>IF('PV IN'!$F$4="Battery Only",0,BB306+BG306)</f>
        <v>-1086.25</v>
      </c>
      <c r="BI306" s="2">
        <f>BH306/(1+('PV IN'!$G$9))^(C306)</f>
        <v>-318.17478759834836</v>
      </c>
    </row>
    <row r="307" spans="2:61" x14ac:dyDescent="0.25">
      <c r="C307">
        <v>303</v>
      </c>
      <c r="D307" s="16">
        <f>D306*(1+('PV IN'!$G$6/12))</f>
        <v>7.5999999999999998E-2</v>
      </c>
      <c r="E307" s="16">
        <f>LkUP!$U$46</f>
        <v>8.1329219335301683E-2</v>
      </c>
      <c r="F307" s="16">
        <f>IF('PV IN'!$D$7="Table",E307,D307)</f>
        <v>8.1329219335301683E-2</v>
      </c>
      <c r="G307" s="33">
        <f>('PV IN'!$E$25*'PV IN'!$E$18/12)*(1-(1-'PV IN'!$E$27)/(25*12))^C306</f>
        <v>124681.70399597249</v>
      </c>
      <c r="H307" s="33">
        <f>IF('PV IN'!$D$19="YES",G307*'PV IN'!$E$21,0)</f>
        <v>0</v>
      </c>
      <c r="I307" s="33">
        <f>IF('PV IN'!$D$19="YES",'PV IN'!$E$22*BattCalcs!W307,0)</f>
        <v>0</v>
      </c>
      <c r="J307" s="33">
        <f>IF('PV IN'!$D$19="YES",'PV IN'!$E$23*BattCalcs!Y307,0)</f>
        <v>0</v>
      </c>
      <c r="K307" s="33">
        <f>BattCalcs!AF307</f>
        <v>25811.765833333331</v>
      </c>
      <c r="L307" s="33">
        <f t="shared" si="81"/>
        <v>25811.765833333331</v>
      </c>
      <c r="M307" s="33">
        <f>IF('PV IN'!$F$4="PV Only",G307,G307-SUM(H307:J307,L307))</f>
        <v>124681.70399597249</v>
      </c>
      <c r="N307" s="2">
        <f>IF(C307&lt;='PV IN'!$I$12*12,'PV IN'!$E$12*G307/1000,0)</f>
        <v>0</v>
      </c>
      <c r="O307" s="2">
        <f>IF(AND(C307&gt;'PV IN'!$I$12*12,C307&lt;='PV IN'!$I$13*12+'PV IN'!$I$12*12),'PV IN'!$E$13*PVCalcs!G307/1000,0)</f>
        <v>0</v>
      </c>
      <c r="P307" s="2">
        <f>IF(AND(C307&gt;'PV IN'!$I$12*12+'PV IN'!$I$13*12,C307&lt;='PV IN'!$I$12*12+'PV IN'!$I$13*12+'PV IN'!$I$14*12),'PV IN'!$E$14*PVCalcs!G307/1000,0)</f>
        <v>0</v>
      </c>
      <c r="R307" s="10">
        <f>IF(AND('PV IN'!$D$35="YES",$C307&lt;='PV IN'!$E$35*12),-'PV IN'!$E$18*'PV IN'!$E$34/12,0)</f>
        <v>0</v>
      </c>
      <c r="S307" s="10">
        <f>IF(AND('PV IN'!$D$37="YES",$C307&lt;='PV IN'!$E$37*12),-'PV IN'!$E$18*'PV IN'!$E$36/12,0)</f>
        <v>0</v>
      </c>
      <c r="U307" s="2">
        <f t="shared" si="80"/>
        <v>10140.265651387608</v>
      </c>
      <c r="V307" s="10">
        <f>PVLoan!M334</f>
        <v>0</v>
      </c>
      <c r="W307" s="2">
        <f>IF(C307='PV IN'!$I$40,IF('PV IN'!$G$40="Non-Taxable",'PV IN'!$F$40,0),0)+IF(C307='PV IN'!$I$41,IF('PV IN'!$G$41="Non-Taxable",'PV IN'!$F$41,0),0)</f>
        <v>0</v>
      </c>
      <c r="X307" s="10"/>
      <c r="Y307" s="10">
        <f>IF('PV IN'!$E$15="Non-Taxable",SUM(N307:P307),0)</f>
        <v>0</v>
      </c>
      <c r="Z307" s="10">
        <f>IF('PV IN'!$E$15="Taxable",SUM(N307:P307),0)</f>
        <v>0</v>
      </c>
      <c r="AA307" s="2">
        <f>IF(C307='PV IN'!$I$40,IF('PV IN'!$G$40="Taxable",'PV IN'!$F$40,0),0)+IF(C307='PV IN'!$I$41,IF('PV IN'!$G$41="Taxable",'PV IN'!$F$41,0),0)</f>
        <v>0</v>
      </c>
      <c r="AD307" s="10">
        <f>IF('PV IN'!$D$48="YES",-U307*'PV IN'!$E$8,0)</f>
        <v>0</v>
      </c>
      <c r="AE307" s="10">
        <f>IF('PV IN'!$N$10="Yes",-PVLoan!H335,-PVLoan!L335)</f>
        <v>0</v>
      </c>
      <c r="AF307" s="10">
        <f>IF('PV IN'!$N$10="Yes",-PVLoan!F335,0)</f>
        <v>0</v>
      </c>
      <c r="AG307" s="10">
        <f>IF(AND('PV IN'!$D$35="YES",$C307&lt;='PV IN'!$E$35*12),0,-'PV IN'!$E$18*'PV IN'!$E$34/12)</f>
        <v>-750</v>
      </c>
      <c r="AH307" s="10">
        <f>IF(AND('PV IN'!$D$37="YES",$C307&lt;='PV IN'!$E$37*12),0,-'PV IN'!$E$18*'PV IN'!$E$36/12)</f>
        <v>-625</v>
      </c>
      <c r="AI307" s="2">
        <f>IF(AND('PV IN'!$D$33="YES",PVCalcs!C307=ROUNDUP('PV IN'!$H$33*12,)),-'PV IN'!$E$33*'PV IN'!$E$18,0)</f>
        <v>0</v>
      </c>
      <c r="AK307" s="2">
        <f t="shared" si="65"/>
        <v>10140.265651387608</v>
      </c>
      <c r="AL307" s="2">
        <f t="shared" si="82"/>
        <v>-1375</v>
      </c>
      <c r="AM307" s="2">
        <f t="shared" si="83"/>
        <v>8765.2656513876082</v>
      </c>
      <c r="AN307" s="43"/>
      <c r="AO307" s="2">
        <f t="shared" si="67"/>
        <v>0</v>
      </c>
      <c r="AP307" s="2">
        <f t="shared" si="84"/>
        <v>-1375</v>
      </c>
      <c r="AR307" s="2">
        <f>SUM(AO307:AQ307)</f>
        <v>-1375</v>
      </c>
      <c r="AS307" s="2">
        <f>-AR307*'PV IN'!$E$8</f>
        <v>288.75</v>
      </c>
      <c r="AT307" s="2">
        <f>IF('PV IN'!$F$4="Battery Only",0,AM307+AS307)</f>
        <v>9054.0156513876082</v>
      </c>
      <c r="AV307" s="10">
        <f t="shared" si="86"/>
        <v>1966997.7025362074</v>
      </c>
      <c r="AW307" s="2">
        <f>AT307/(1+('PV IN'!$G$9))^(C307)</f>
        <v>2641.2617336656103</v>
      </c>
      <c r="AX307" s="2" t="e">
        <f>IF(C307&lt;='PV IN'!$O$22*12,AW307+AX306,NA())</f>
        <v>#N/A</v>
      </c>
      <c r="AZ307" s="10">
        <f t="shared" si="68"/>
        <v>-1375</v>
      </c>
      <c r="BA307" s="10">
        <f t="shared" si="69"/>
        <v>0</v>
      </c>
      <c r="BB307" s="10">
        <f t="shared" si="74"/>
        <v>-1375</v>
      </c>
      <c r="BC307" s="10">
        <f t="shared" si="75"/>
        <v>0</v>
      </c>
      <c r="BD307" s="10">
        <f t="shared" si="76"/>
        <v>-1375</v>
      </c>
      <c r="BE307" s="2">
        <f t="shared" si="77"/>
        <v>0</v>
      </c>
      <c r="BF307" s="10">
        <f t="shared" si="78"/>
        <v>-1375</v>
      </c>
      <c r="BG307" s="2">
        <f>-BF307*'PV IN'!$E$8</f>
        <v>288.75</v>
      </c>
      <c r="BH307" s="2">
        <f>IF('PV IN'!$F$4="Battery Only",0,BB307+BG307)</f>
        <v>-1086.25</v>
      </c>
      <c r="BI307" s="2">
        <f>BH307/(1+('PV IN'!$G$9))^(C307)</f>
        <v>-316.88376391911345</v>
      </c>
    </row>
    <row r="308" spans="2:61" x14ac:dyDescent="0.25">
      <c r="C308">
        <v>304</v>
      </c>
      <c r="D308" s="16">
        <f>D307*(1+('PV IN'!$G$6/12))</f>
        <v>7.5999999999999998E-2</v>
      </c>
      <c r="E308" s="16">
        <f>LkUP!$U$46</f>
        <v>8.1329219335301683E-2</v>
      </c>
      <c r="F308" s="16">
        <f>IF('PV IN'!$D$7="Table",E308,D308)</f>
        <v>8.1329219335301683E-2</v>
      </c>
      <c r="G308" s="33">
        <f>('PV IN'!$E$25*'PV IN'!$E$18/12)*(1-(1-'PV IN'!$E$27)/(25*12))^C307</f>
        <v>124598.58285997517</v>
      </c>
      <c r="H308" s="33">
        <f>IF('PV IN'!$D$19="YES",G308*'PV IN'!$E$21,0)</f>
        <v>0</v>
      </c>
      <c r="I308" s="33">
        <f>IF('PV IN'!$D$19="YES",'PV IN'!$E$22*BattCalcs!W308,0)</f>
        <v>0</v>
      </c>
      <c r="J308" s="33">
        <f>IF('PV IN'!$D$19="YES",'PV IN'!$E$23*BattCalcs!Y308,0)</f>
        <v>0</v>
      </c>
      <c r="K308" s="33">
        <f>BattCalcs!AF308</f>
        <v>25811.765833333331</v>
      </c>
      <c r="L308" s="33">
        <f t="shared" si="81"/>
        <v>25811.765833333331</v>
      </c>
      <c r="M308" s="33">
        <f>IF('PV IN'!$F$4="PV Only",G308,G308-SUM(H308:J308,L308))</f>
        <v>124598.58285997517</v>
      </c>
      <c r="N308" s="2">
        <f>IF(C308&lt;='PV IN'!$I$12*12,'PV IN'!$E$12*G308/1000,0)</f>
        <v>0</v>
      </c>
      <c r="O308" s="2">
        <f>IF(AND(C308&gt;'PV IN'!$I$12*12,C308&lt;='PV IN'!$I$13*12+'PV IN'!$I$12*12),'PV IN'!$E$13*PVCalcs!G308/1000,0)</f>
        <v>0</v>
      </c>
      <c r="P308" s="2">
        <f>IF(AND(C308&gt;'PV IN'!$I$12*12+'PV IN'!$I$13*12,C308&lt;='PV IN'!$I$12*12+'PV IN'!$I$13*12+'PV IN'!$I$14*12),'PV IN'!$E$14*PVCalcs!G308/1000,0)</f>
        <v>0</v>
      </c>
      <c r="R308" s="10">
        <f>IF(AND('PV IN'!$D$35="YES",$C308&lt;='PV IN'!$E$35*12),-'PV IN'!$E$18*'PV IN'!$E$34/12,0)</f>
        <v>0</v>
      </c>
      <c r="S308" s="10">
        <f>IF(AND('PV IN'!$D$37="YES",$C308&lt;='PV IN'!$E$37*12),-'PV IN'!$E$18*'PV IN'!$E$36/12,0)</f>
        <v>0</v>
      </c>
      <c r="U308" s="2">
        <f t="shared" si="80"/>
        <v>10133.505474286681</v>
      </c>
      <c r="V308" s="10">
        <f>PVLoan!M335</f>
        <v>0</v>
      </c>
      <c r="W308" s="2">
        <f>IF(C308='PV IN'!$I$40,IF('PV IN'!$G$40="Non-Taxable",'PV IN'!$F$40,0),0)+IF(C308='PV IN'!$I$41,IF('PV IN'!$G$41="Non-Taxable",'PV IN'!$F$41,0),0)</f>
        <v>0</v>
      </c>
      <c r="X308" s="10"/>
      <c r="Y308" s="10">
        <f>IF('PV IN'!$E$15="Non-Taxable",SUM(N308:P308),0)</f>
        <v>0</v>
      </c>
      <c r="Z308" s="10">
        <f>IF('PV IN'!$E$15="Taxable",SUM(N308:P308),0)</f>
        <v>0</v>
      </c>
      <c r="AA308" s="2">
        <f>IF(C308='PV IN'!$I$40,IF('PV IN'!$G$40="Taxable",'PV IN'!$F$40,0),0)+IF(C308='PV IN'!$I$41,IF('PV IN'!$G$41="Taxable",'PV IN'!$F$41,0),0)</f>
        <v>0</v>
      </c>
      <c r="AD308" s="10">
        <f>IF('PV IN'!$D$48="YES",-U308*'PV IN'!$E$8,0)</f>
        <v>0</v>
      </c>
      <c r="AE308" s="10">
        <f>IF('PV IN'!$N$10="Yes",-PVLoan!H336,-PVLoan!L336)</f>
        <v>0</v>
      </c>
      <c r="AF308" s="10">
        <f>IF('PV IN'!$N$10="Yes",-PVLoan!F336,0)</f>
        <v>0</v>
      </c>
      <c r="AG308" s="10">
        <f>IF(AND('PV IN'!$D$35="YES",$C308&lt;='PV IN'!$E$35*12),0,-'PV IN'!$E$18*'PV IN'!$E$34/12)</f>
        <v>-750</v>
      </c>
      <c r="AH308" s="10">
        <f>IF(AND('PV IN'!$D$37="YES",$C308&lt;='PV IN'!$E$37*12),0,-'PV IN'!$E$18*'PV IN'!$E$36/12)</f>
        <v>-625</v>
      </c>
      <c r="AI308" s="2">
        <f>IF(AND('PV IN'!$D$33="YES",PVCalcs!C308=ROUNDUP('PV IN'!$H$33*12,)),-'PV IN'!$E$33*'PV IN'!$E$18,0)</f>
        <v>0</v>
      </c>
      <c r="AK308" s="2">
        <f t="shared" si="65"/>
        <v>10133.505474286681</v>
      </c>
      <c r="AL308" s="2">
        <f t="shared" si="82"/>
        <v>-1375</v>
      </c>
      <c r="AM308" s="2">
        <f t="shared" si="83"/>
        <v>8758.5054742866814</v>
      </c>
      <c r="AN308" s="43"/>
      <c r="AO308" s="2">
        <f t="shared" si="67"/>
        <v>0</v>
      </c>
      <c r="AP308" s="2">
        <f t="shared" si="84"/>
        <v>-1375</v>
      </c>
      <c r="AR308" s="2">
        <f t="shared" si="85"/>
        <v>-1375</v>
      </c>
      <c r="AS308" s="2">
        <f>-AR308*'PV IN'!$E$8</f>
        <v>288.75</v>
      </c>
      <c r="AT308" s="2">
        <f>IF('PV IN'!$F$4="Battery Only",0,AM308+AS308)</f>
        <v>9047.2554742866814</v>
      </c>
      <c r="AV308" s="10">
        <f t="shared" si="86"/>
        <v>1976044.958010494</v>
      </c>
      <c r="AW308" s="2">
        <f>AT308/(1+('PV IN'!$G$9))^(C308)</f>
        <v>2628.5804744390734</v>
      </c>
      <c r="AX308" s="2" t="e">
        <f>IF(C308&lt;='PV IN'!$O$22*12,AW308+AX307,NA())</f>
        <v>#N/A</v>
      </c>
      <c r="AZ308" s="10">
        <f t="shared" si="68"/>
        <v>-1375</v>
      </c>
      <c r="BA308" s="10">
        <f t="shared" si="69"/>
        <v>0</v>
      </c>
      <c r="BB308" s="10">
        <f t="shared" si="74"/>
        <v>-1375</v>
      </c>
      <c r="BC308" s="10">
        <f t="shared" si="75"/>
        <v>0</v>
      </c>
      <c r="BD308" s="10">
        <f t="shared" si="76"/>
        <v>-1375</v>
      </c>
      <c r="BE308" s="2">
        <f t="shared" si="77"/>
        <v>0</v>
      </c>
      <c r="BF308" s="10">
        <f t="shared" si="78"/>
        <v>-1375</v>
      </c>
      <c r="BG308" s="2">
        <f>-BF308*'PV IN'!$E$8</f>
        <v>288.75</v>
      </c>
      <c r="BH308" s="2">
        <f>IF('PV IN'!$F$4="Battery Only",0,BB308+BG308)</f>
        <v>-1086.25</v>
      </c>
      <c r="BI308" s="2">
        <f>BH308/(1+('PV IN'!$G$9))^(C308)</f>
        <v>-315.59797868806902</v>
      </c>
    </row>
    <row r="309" spans="2:61" x14ac:dyDescent="0.25">
      <c r="C309">
        <v>305</v>
      </c>
      <c r="D309" s="16">
        <f>D308*(1+('PV IN'!$G$6/12))</f>
        <v>7.5999999999999998E-2</v>
      </c>
      <c r="E309" s="16">
        <f>LkUP!$U$46</f>
        <v>8.1329219335301683E-2</v>
      </c>
      <c r="F309" s="16">
        <f>IF('PV IN'!$D$7="Table",E309,D309)</f>
        <v>8.1329219335301683E-2</v>
      </c>
      <c r="G309" s="33">
        <f>('PV IN'!$E$25*'PV IN'!$E$18/12)*(1-(1-'PV IN'!$E$27)/(25*12))^C308</f>
        <v>124515.51713806851</v>
      </c>
      <c r="H309" s="33">
        <f>IF('PV IN'!$D$19="YES",G309*'PV IN'!$E$21,0)</f>
        <v>0</v>
      </c>
      <c r="I309" s="33">
        <f>IF('PV IN'!$D$19="YES",'PV IN'!$E$22*BattCalcs!W309,0)</f>
        <v>0</v>
      </c>
      <c r="J309" s="33">
        <f>IF('PV IN'!$D$19="YES",'PV IN'!$E$23*BattCalcs!Y309,0)</f>
        <v>0</v>
      </c>
      <c r="K309" s="33">
        <f>BattCalcs!AF309</f>
        <v>25811.765833333331</v>
      </c>
      <c r="L309" s="33">
        <f t="shared" si="81"/>
        <v>25811.765833333331</v>
      </c>
      <c r="M309" s="33">
        <f>IF('PV IN'!$F$4="PV Only",G309,G309-SUM(H309:J309,L309))</f>
        <v>124515.51713806851</v>
      </c>
      <c r="N309" s="2">
        <f>IF(C309&lt;='PV IN'!$I$12*12,'PV IN'!$E$12*G309/1000,0)</f>
        <v>0</v>
      </c>
      <c r="O309" s="2">
        <f>IF(AND(C309&gt;'PV IN'!$I$12*12,C309&lt;='PV IN'!$I$13*12+'PV IN'!$I$12*12),'PV IN'!$E$13*PVCalcs!G309/1000,0)</f>
        <v>0</v>
      </c>
      <c r="P309" s="2">
        <f>IF(AND(C309&gt;'PV IN'!$I$12*12+'PV IN'!$I$13*12,C309&lt;='PV IN'!$I$12*12+'PV IN'!$I$13*12+'PV IN'!$I$14*12),'PV IN'!$E$14*PVCalcs!G309/1000,0)</f>
        <v>0</v>
      </c>
      <c r="R309" s="10">
        <f>IF(AND('PV IN'!$D$35="YES",$C309&lt;='PV IN'!$E$35*12),-'PV IN'!$E$18*'PV IN'!$E$34/12,0)</f>
        <v>0</v>
      </c>
      <c r="S309" s="10">
        <f>IF(AND('PV IN'!$D$37="YES",$C309&lt;='PV IN'!$E$37*12),-'PV IN'!$E$18*'PV IN'!$E$36/12,0)</f>
        <v>0</v>
      </c>
      <c r="U309" s="2">
        <f t="shared" si="80"/>
        <v>10126.74980397049</v>
      </c>
      <c r="V309" s="10">
        <f>PVLoan!M336</f>
        <v>0</v>
      </c>
      <c r="W309" s="2">
        <f>IF(C309='PV IN'!$I$40,IF('PV IN'!$G$40="Non-Taxable",'PV IN'!$F$40,0),0)+IF(C309='PV IN'!$I$41,IF('PV IN'!$G$41="Non-Taxable",'PV IN'!$F$41,0),0)</f>
        <v>0</v>
      </c>
      <c r="X309" s="10"/>
      <c r="Y309" s="10">
        <f>IF('PV IN'!$E$15="Non-Taxable",SUM(N309:P309),0)</f>
        <v>0</v>
      </c>
      <c r="Z309" s="10">
        <f>IF('PV IN'!$E$15="Taxable",SUM(N309:P309),0)</f>
        <v>0</v>
      </c>
      <c r="AA309" s="2">
        <f>IF(C309='PV IN'!$I$40,IF('PV IN'!$G$40="Taxable",'PV IN'!$F$40,0),0)+IF(C309='PV IN'!$I$41,IF('PV IN'!$G$41="Taxable",'PV IN'!$F$41,0),0)</f>
        <v>0</v>
      </c>
      <c r="AD309" s="10">
        <f>IF('PV IN'!$D$48="YES",-U309*'PV IN'!$E$8,0)</f>
        <v>0</v>
      </c>
      <c r="AE309" s="10">
        <f>IF('PV IN'!$N$10="Yes",-PVLoan!H337,-PVLoan!L337)</f>
        <v>0</v>
      </c>
      <c r="AF309" s="10">
        <f>IF('PV IN'!$N$10="Yes",-PVLoan!F337,0)</f>
        <v>0</v>
      </c>
      <c r="AG309" s="10">
        <f>IF(AND('PV IN'!$D$35="YES",$C309&lt;='PV IN'!$E$35*12),0,-'PV IN'!$E$18*'PV IN'!$E$34/12)</f>
        <v>-750</v>
      </c>
      <c r="AH309" s="10">
        <f>IF(AND('PV IN'!$D$37="YES",$C309&lt;='PV IN'!$E$37*12),0,-'PV IN'!$E$18*'PV IN'!$E$36/12)</f>
        <v>-625</v>
      </c>
      <c r="AI309" s="2">
        <f>IF(AND('PV IN'!$D$33="YES",PVCalcs!C309=ROUNDUP('PV IN'!$H$33*12,)),-'PV IN'!$E$33*'PV IN'!$E$18,0)</f>
        <v>0</v>
      </c>
      <c r="AK309" s="2">
        <f t="shared" si="65"/>
        <v>10126.74980397049</v>
      </c>
      <c r="AL309" s="2">
        <f t="shared" si="82"/>
        <v>-1375</v>
      </c>
      <c r="AM309" s="2">
        <f t="shared" si="83"/>
        <v>8751.7498039704897</v>
      </c>
      <c r="AN309" s="43"/>
      <c r="AO309" s="2">
        <f t="shared" si="67"/>
        <v>0</v>
      </c>
      <c r="AP309" s="2">
        <f t="shared" si="84"/>
        <v>-1375</v>
      </c>
      <c r="AR309" s="2">
        <f t="shared" si="85"/>
        <v>-1375</v>
      </c>
      <c r="AS309" s="2">
        <f>-AR309*'PV IN'!$E$8</f>
        <v>288.75</v>
      </c>
      <c r="AT309" s="2">
        <f>IF('PV IN'!$F$4="Battery Only",0,AM309+AS309)</f>
        <v>9040.4998039704897</v>
      </c>
      <c r="AV309" s="10">
        <f t="shared" si="86"/>
        <v>1985085.4578144646</v>
      </c>
      <c r="AW309" s="2">
        <f>AT309/(1+('PV IN'!$G$9))^(C309)</f>
        <v>2615.9599441780088</v>
      </c>
      <c r="AX309" s="2" t="e">
        <f>IF(C309&lt;='PV IN'!$O$22*12,AW309+AX308,NA())</f>
        <v>#N/A</v>
      </c>
      <c r="AZ309" s="10">
        <f t="shared" si="68"/>
        <v>-1375</v>
      </c>
      <c r="BA309" s="10">
        <f t="shared" si="69"/>
        <v>0</v>
      </c>
      <c r="BB309" s="10">
        <f t="shared" si="74"/>
        <v>-1375</v>
      </c>
      <c r="BC309" s="10">
        <f t="shared" si="75"/>
        <v>0</v>
      </c>
      <c r="BD309" s="10">
        <f t="shared" si="76"/>
        <v>-1375</v>
      </c>
      <c r="BE309" s="2">
        <f t="shared" si="77"/>
        <v>0</v>
      </c>
      <c r="BF309" s="10">
        <f t="shared" si="78"/>
        <v>-1375</v>
      </c>
      <c r="BG309" s="2">
        <f>-BF309*'PV IN'!$E$8</f>
        <v>288.75</v>
      </c>
      <c r="BH309" s="2">
        <f>IF('PV IN'!$F$4="Battery Only",0,BB309+BG309)</f>
        <v>-1086.25</v>
      </c>
      <c r="BI309" s="2">
        <f>BH309/(1+('PV IN'!$G$9))^(C309)</f>
        <v>-314.31741064972624</v>
      </c>
    </row>
    <row r="310" spans="2:61" x14ac:dyDescent="0.25">
      <c r="C310">
        <v>306</v>
      </c>
      <c r="D310" s="16">
        <f>D309*(1+('PV IN'!$G$6/12))</f>
        <v>7.5999999999999998E-2</v>
      </c>
      <c r="E310" s="16">
        <f>LkUP!$U$46</f>
        <v>8.1329219335301683E-2</v>
      </c>
      <c r="F310" s="16">
        <f>IF('PV IN'!$D$7="Table",E310,D310)</f>
        <v>8.1329219335301683E-2</v>
      </c>
      <c r="G310" s="33">
        <f>('PV IN'!$E$25*'PV IN'!$E$18/12)*(1-(1-'PV IN'!$E$27)/(25*12))^C309</f>
        <v>124432.50679330979</v>
      </c>
      <c r="H310" s="33">
        <f>IF('PV IN'!$D$19="YES",G310*'PV IN'!$E$21,0)</f>
        <v>0</v>
      </c>
      <c r="I310" s="33">
        <f>IF('PV IN'!$D$19="YES",'PV IN'!$E$22*BattCalcs!W310,0)</f>
        <v>0</v>
      </c>
      <c r="J310" s="33">
        <f>IF('PV IN'!$D$19="YES",'PV IN'!$E$23*BattCalcs!Y310,0)</f>
        <v>0</v>
      </c>
      <c r="K310" s="33">
        <f>BattCalcs!AF310</f>
        <v>25811.765833333331</v>
      </c>
      <c r="L310" s="33">
        <f t="shared" si="81"/>
        <v>25811.765833333331</v>
      </c>
      <c r="M310" s="33">
        <f>IF('PV IN'!$F$4="PV Only",G310,G310-SUM(H310:J310,L310))</f>
        <v>124432.50679330979</v>
      </c>
      <c r="N310" s="2">
        <f>IF(C310&lt;='PV IN'!$I$12*12,'PV IN'!$E$12*G310/1000,0)</f>
        <v>0</v>
      </c>
      <c r="O310" s="2">
        <f>IF(AND(C310&gt;'PV IN'!$I$12*12,C310&lt;='PV IN'!$I$13*12+'PV IN'!$I$12*12),'PV IN'!$E$13*PVCalcs!G310/1000,0)</f>
        <v>0</v>
      </c>
      <c r="P310" s="2">
        <f>IF(AND(C310&gt;'PV IN'!$I$12*12+'PV IN'!$I$13*12,C310&lt;='PV IN'!$I$12*12+'PV IN'!$I$13*12+'PV IN'!$I$14*12),'PV IN'!$E$14*PVCalcs!G310/1000,0)</f>
        <v>0</v>
      </c>
      <c r="R310" s="10">
        <f>IF(AND('PV IN'!$D$35="YES",$C310&lt;='PV IN'!$E$35*12),-'PV IN'!$E$18*'PV IN'!$E$34/12,0)</f>
        <v>0</v>
      </c>
      <c r="S310" s="10">
        <f>IF(AND('PV IN'!$D$37="YES",$C310&lt;='PV IN'!$E$37*12),-'PV IN'!$E$18*'PV IN'!$E$36/12,0)</f>
        <v>0</v>
      </c>
      <c r="U310" s="2">
        <f t="shared" si="80"/>
        <v>10119.998637434508</v>
      </c>
      <c r="V310" s="10">
        <f>PVLoan!M337</f>
        <v>0</v>
      </c>
      <c r="W310" s="2">
        <f>IF(C310='PV IN'!$I$40,IF('PV IN'!$G$40="Non-Taxable",'PV IN'!$F$40,0),0)+IF(C310='PV IN'!$I$41,IF('PV IN'!$G$41="Non-Taxable",'PV IN'!$F$41,0),0)</f>
        <v>0</v>
      </c>
      <c r="X310" s="10"/>
      <c r="Y310" s="10">
        <f>IF('PV IN'!$E$15="Non-Taxable",SUM(N310:P310),0)</f>
        <v>0</v>
      </c>
      <c r="Z310" s="10">
        <f>IF('PV IN'!$E$15="Taxable",SUM(N310:P310),0)</f>
        <v>0</v>
      </c>
      <c r="AA310" s="2">
        <f>IF(C310='PV IN'!$I$40,IF('PV IN'!$G$40="Taxable",'PV IN'!$F$40,0),0)+IF(C310='PV IN'!$I$41,IF('PV IN'!$G$41="Taxable",'PV IN'!$F$41,0),0)</f>
        <v>0</v>
      </c>
      <c r="AD310" s="10">
        <f>IF('PV IN'!$D$48="YES",-U310*'PV IN'!$E$8,0)</f>
        <v>0</v>
      </c>
      <c r="AE310" s="10">
        <f>IF('PV IN'!$N$10="Yes",-PVLoan!H338,-PVLoan!L338)</f>
        <v>0</v>
      </c>
      <c r="AF310" s="10">
        <f>IF('PV IN'!$N$10="Yes",-PVLoan!F338,0)</f>
        <v>0</v>
      </c>
      <c r="AG310" s="10">
        <f>IF(AND('PV IN'!$D$35="YES",$C310&lt;='PV IN'!$E$35*12),0,-'PV IN'!$E$18*'PV IN'!$E$34/12)</f>
        <v>-750</v>
      </c>
      <c r="AH310" s="10">
        <f>IF(AND('PV IN'!$D$37="YES",$C310&lt;='PV IN'!$E$37*12),0,-'PV IN'!$E$18*'PV IN'!$E$36/12)</f>
        <v>-625</v>
      </c>
      <c r="AI310" s="2">
        <f>IF(AND('PV IN'!$D$33="YES",PVCalcs!C310=ROUNDUP('PV IN'!$H$33*12,)),-'PV IN'!$E$33*'PV IN'!$E$18,0)</f>
        <v>0</v>
      </c>
      <c r="AK310" s="2">
        <f t="shared" si="65"/>
        <v>10119.998637434508</v>
      </c>
      <c r="AL310" s="2">
        <f t="shared" si="82"/>
        <v>-1375</v>
      </c>
      <c r="AM310" s="2">
        <f t="shared" si="83"/>
        <v>8744.9986374345081</v>
      </c>
      <c r="AN310" s="43"/>
      <c r="AO310" s="2">
        <f t="shared" si="67"/>
        <v>0</v>
      </c>
      <c r="AP310" s="2">
        <f t="shared" si="84"/>
        <v>-1375</v>
      </c>
      <c r="AR310" s="2">
        <f t="shared" si="85"/>
        <v>-1375</v>
      </c>
      <c r="AS310" s="2">
        <f>-AR310*'PV IN'!$E$8</f>
        <v>288.75</v>
      </c>
      <c r="AT310" s="2">
        <f>IF('PV IN'!$F$4="Battery Only",0,AM310+AS310)</f>
        <v>9033.7486374345081</v>
      </c>
      <c r="AV310" s="10">
        <f t="shared" si="86"/>
        <v>1994119.2064518991</v>
      </c>
      <c r="AW310" s="2">
        <f>AT310/(1+('PV IN'!$G$9))^(C310)</f>
        <v>2603.3998526832925</v>
      </c>
      <c r="AX310" s="2" t="e">
        <f>IF(C310&lt;='PV IN'!$O$22*12,AW310+AX309,NA())</f>
        <v>#N/A</v>
      </c>
      <c r="AZ310" s="10">
        <f t="shared" si="68"/>
        <v>-1375</v>
      </c>
      <c r="BA310" s="10">
        <f t="shared" si="69"/>
        <v>0</v>
      </c>
      <c r="BB310" s="10">
        <f t="shared" si="74"/>
        <v>-1375</v>
      </c>
      <c r="BC310" s="10">
        <f t="shared" si="75"/>
        <v>0</v>
      </c>
      <c r="BD310" s="10">
        <f t="shared" si="76"/>
        <v>-1375</v>
      </c>
      <c r="BE310" s="2">
        <f t="shared" si="77"/>
        <v>0</v>
      </c>
      <c r="BF310" s="10">
        <f t="shared" si="78"/>
        <v>-1375</v>
      </c>
      <c r="BG310" s="2">
        <f>-BF310*'PV IN'!$E$8</f>
        <v>288.75</v>
      </c>
      <c r="BH310" s="2">
        <f>IF('PV IN'!$F$4="Battery Only",0,BB310+BG310)</f>
        <v>-1086.25</v>
      </c>
      <c r="BI310" s="2">
        <f>BH310/(1+('PV IN'!$G$9))^(C310)</f>
        <v>-313.04203863484219</v>
      </c>
    </row>
    <row r="311" spans="2:61" x14ac:dyDescent="0.25">
      <c r="C311">
        <v>307</v>
      </c>
      <c r="D311" s="16">
        <f>D310*(1+('PV IN'!$G$6/12))</f>
        <v>7.5999999999999998E-2</v>
      </c>
      <c r="E311" s="16">
        <f>LkUP!$U$46</f>
        <v>8.1329219335301683E-2</v>
      </c>
      <c r="F311" s="16">
        <f>IF('PV IN'!$D$7="Table",E311,D311)</f>
        <v>8.1329219335301683E-2</v>
      </c>
      <c r="G311" s="33">
        <f>('PV IN'!$E$25*'PV IN'!$E$18/12)*(1-(1-'PV IN'!$E$27)/(25*12))^C310</f>
        <v>124349.55178878093</v>
      </c>
      <c r="H311" s="33">
        <f>IF('PV IN'!$D$19="YES",G311*'PV IN'!$E$21,0)</f>
        <v>0</v>
      </c>
      <c r="I311" s="33">
        <f>IF('PV IN'!$D$19="YES",'PV IN'!$E$22*BattCalcs!W311,0)</f>
        <v>0</v>
      </c>
      <c r="J311" s="33">
        <f>IF('PV IN'!$D$19="YES",'PV IN'!$E$23*BattCalcs!Y311,0)</f>
        <v>0</v>
      </c>
      <c r="K311" s="33">
        <f>BattCalcs!AF311</f>
        <v>25811.765833333331</v>
      </c>
      <c r="L311" s="33">
        <f t="shared" si="81"/>
        <v>25811.765833333331</v>
      </c>
      <c r="M311" s="33">
        <f>IF('PV IN'!$F$4="PV Only",G311,G311-SUM(H311:J311,L311))</f>
        <v>124349.55178878093</v>
      </c>
      <c r="N311" s="2">
        <f>IF(C311&lt;='PV IN'!$I$12*12,'PV IN'!$E$12*G311/1000,0)</f>
        <v>0</v>
      </c>
      <c r="O311" s="2">
        <f>IF(AND(C311&gt;'PV IN'!$I$12*12,C311&lt;='PV IN'!$I$13*12+'PV IN'!$I$12*12),'PV IN'!$E$13*PVCalcs!G311/1000,0)</f>
        <v>0</v>
      </c>
      <c r="P311" s="2">
        <f>IF(AND(C311&gt;'PV IN'!$I$12*12+'PV IN'!$I$13*12,C311&lt;='PV IN'!$I$12*12+'PV IN'!$I$13*12+'PV IN'!$I$14*12),'PV IN'!$E$14*PVCalcs!G311/1000,0)</f>
        <v>0</v>
      </c>
      <c r="R311" s="10">
        <f>IF(AND('PV IN'!$D$35="YES",$C311&lt;='PV IN'!$E$35*12),-'PV IN'!$E$18*'PV IN'!$E$34/12,0)</f>
        <v>0</v>
      </c>
      <c r="S311" s="10">
        <f>IF(AND('PV IN'!$D$37="YES",$C311&lt;='PV IN'!$E$37*12),-'PV IN'!$E$18*'PV IN'!$E$36/12,0)</f>
        <v>0</v>
      </c>
      <c r="U311" s="2">
        <f t="shared" si="80"/>
        <v>10113.25197167622</v>
      </c>
      <c r="V311" s="10">
        <f>PVLoan!M338</f>
        <v>0</v>
      </c>
      <c r="W311" s="2">
        <f>IF(C311='PV IN'!$I$40,IF('PV IN'!$G$40="Non-Taxable",'PV IN'!$F$40,0),0)+IF(C311='PV IN'!$I$41,IF('PV IN'!$G$41="Non-Taxable",'PV IN'!$F$41,0),0)</f>
        <v>0</v>
      </c>
      <c r="X311" s="10"/>
      <c r="Y311" s="10">
        <f>IF('PV IN'!$E$15="Non-Taxable",SUM(N311:P311),0)</f>
        <v>0</v>
      </c>
      <c r="Z311" s="10">
        <f>IF('PV IN'!$E$15="Taxable",SUM(N311:P311),0)</f>
        <v>0</v>
      </c>
      <c r="AA311" s="2">
        <f>IF(C311='PV IN'!$I$40,IF('PV IN'!$G$40="Taxable",'PV IN'!$F$40,0),0)+IF(C311='PV IN'!$I$41,IF('PV IN'!$G$41="Taxable",'PV IN'!$F$41,0),0)</f>
        <v>0</v>
      </c>
      <c r="AD311" s="10">
        <f>IF('PV IN'!$D$48="YES",-U311*'PV IN'!$E$8,0)</f>
        <v>0</v>
      </c>
      <c r="AE311" s="10">
        <f>IF('PV IN'!$N$10="Yes",-PVLoan!H339,-PVLoan!L339)</f>
        <v>0</v>
      </c>
      <c r="AF311" s="10">
        <f>IF('PV IN'!$N$10="Yes",-PVLoan!F339,0)</f>
        <v>0</v>
      </c>
      <c r="AG311" s="10">
        <f>IF(AND('PV IN'!$D$35="YES",$C311&lt;='PV IN'!$E$35*12),0,-'PV IN'!$E$18*'PV IN'!$E$34/12)</f>
        <v>-750</v>
      </c>
      <c r="AH311" s="10">
        <f>IF(AND('PV IN'!$D$37="YES",$C311&lt;='PV IN'!$E$37*12),0,-'PV IN'!$E$18*'PV IN'!$E$36/12)</f>
        <v>-625</v>
      </c>
      <c r="AI311" s="2">
        <f>IF(AND('PV IN'!$D$33="YES",PVCalcs!C311=ROUNDUP('PV IN'!$H$33*12,)),-'PV IN'!$E$33*'PV IN'!$E$18,0)</f>
        <v>0</v>
      </c>
      <c r="AK311" s="2">
        <f t="shared" si="65"/>
        <v>10113.25197167622</v>
      </c>
      <c r="AL311" s="2">
        <f t="shared" si="82"/>
        <v>-1375</v>
      </c>
      <c r="AM311" s="2">
        <f t="shared" si="83"/>
        <v>8738.2519716762199</v>
      </c>
      <c r="AN311" s="43"/>
      <c r="AO311" s="2">
        <f t="shared" si="67"/>
        <v>0</v>
      </c>
      <c r="AP311" s="2">
        <f t="shared" si="84"/>
        <v>-1375</v>
      </c>
      <c r="AR311" s="2">
        <f t="shared" si="85"/>
        <v>-1375</v>
      </c>
      <c r="AS311" s="2">
        <f>-AR311*'PV IN'!$E$8</f>
        <v>288.75</v>
      </c>
      <c r="AT311" s="2">
        <f>IF('PV IN'!$F$4="Battery Only",0,AM311+AS311)</f>
        <v>9027.0019716762199</v>
      </c>
      <c r="AV311" s="10">
        <f t="shared" si="86"/>
        <v>2003146.2084235754</v>
      </c>
      <c r="AW311" s="2">
        <f>AT311/(1+('PV IN'!$G$9))^(C311)</f>
        <v>2590.8999111400526</v>
      </c>
      <c r="AX311" s="2" t="e">
        <f>IF(C311&lt;='PV IN'!$O$22*12,AW311+AX310,NA())</f>
        <v>#N/A</v>
      </c>
      <c r="AZ311" s="10">
        <f t="shared" si="68"/>
        <v>-1375</v>
      </c>
      <c r="BA311" s="10">
        <f t="shared" si="69"/>
        <v>0</v>
      </c>
      <c r="BB311" s="10">
        <f t="shared" si="74"/>
        <v>-1375</v>
      </c>
      <c r="BC311" s="10">
        <f t="shared" si="75"/>
        <v>0</v>
      </c>
      <c r="BD311" s="10">
        <f t="shared" si="76"/>
        <v>-1375</v>
      </c>
      <c r="BE311" s="2">
        <f t="shared" si="77"/>
        <v>0</v>
      </c>
      <c r="BF311" s="10">
        <f t="shared" si="78"/>
        <v>-1375</v>
      </c>
      <c r="BG311" s="2">
        <f>-BF311*'PV IN'!$E$8</f>
        <v>288.75</v>
      </c>
      <c r="BH311" s="2">
        <f>IF('PV IN'!$F$4="Battery Only",0,BB311+BG311)</f>
        <v>-1086.25</v>
      </c>
      <c r="BI311" s="2">
        <f>BH311/(1+('PV IN'!$G$9))^(C311)</f>
        <v>-311.77184156007047</v>
      </c>
    </row>
    <row r="312" spans="2:61" x14ac:dyDescent="0.25">
      <c r="C312">
        <v>308</v>
      </c>
      <c r="D312" s="16">
        <f>D311*(1+('PV IN'!$G$6/12))</f>
        <v>7.5999999999999998E-2</v>
      </c>
      <c r="E312" s="16">
        <f>LkUP!$U$46</f>
        <v>8.1329219335301683E-2</v>
      </c>
      <c r="F312" s="16">
        <f>IF('PV IN'!$D$7="Table",E312,D312)</f>
        <v>8.1329219335301683E-2</v>
      </c>
      <c r="G312" s="33">
        <f>('PV IN'!$E$25*'PV IN'!$E$18/12)*(1-(1-'PV IN'!$E$27)/(25*12))^C311</f>
        <v>124266.6520875884</v>
      </c>
      <c r="H312" s="33">
        <f>IF('PV IN'!$D$19="YES",G312*'PV IN'!$E$21,0)</f>
        <v>0</v>
      </c>
      <c r="I312" s="33">
        <f>IF('PV IN'!$D$19="YES",'PV IN'!$E$22*BattCalcs!W312,0)</f>
        <v>0</v>
      </c>
      <c r="J312" s="33">
        <f>IF('PV IN'!$D$19="YES",'PV IN'!$E$23*BattCalcs!Y312,0)</f>
        <v>0</v>
      </c>
      <c r="K312" s="33">
        <f>BattCalcs!AF312</f>
        <v>25811.765833333331</v>
      </c>
      <c r="L312" s="33">
        <f t="shared" si="81"/>
        <v>25811.765833333331</v>
      </c>
      <c r="M312" s="33">
        <f>IF('PV IN'!$F$4="PV Only",G312,G312-SUM(H312:J312,L312))</f>
        <v>124266.6520875884</v>
      </c>
      <c r="N312" s="2">
        <f>IF(C312&lt;='PV IN'!$I$12*12,'PV IN'!$E$12*G312/1000,0)</f>
        <v>0</v>
      </c>
      <c r="O312" s="2">
        <f>IF(AND(C312&gt;'PV IN'!$I$12*12,C312&lt;='PV IN'!$I$13*12+'PV IN'!$I$12*12),'PV IN'!$E$13*PVCalcs!G312/1000,0)</f>
        <v>0</v>
      </c>
      <c r="P312" s="2">
        <f>IF(AND(C312&gt;'PV IN'!$I$12*12+'PV IN'!$I$13*12,C312&lt;='PV IN'!$I$12*12+'PV IN'!$I$13*12+'PV IN'!$I$14*12),'PV IN'!$E$14*PVCalcs!G312/1000,0)</f>
        <v>0</v>
      </c>
      <c r="R312" s="10">
        <f>IF(AND('PV IN'!$D$35="YES",$C312&lt;='PV IN'!$E$35*12),-'PV IN'!$E$18*'PV IN'!$E$34/12,0)</f>
        <v>0</v>
      </c>
      <c r="S312" s="10">
        <f>IF(AND('PV IN'!$D$37="YES",$C312&lt;='PV IN'!$E$37*12),-'PV IN'!$E$18*'PV IN'!$E$36/12,0)</f>
        <v>0</v>
      </c>
      <c r="U312" s="2">
        <f t="shared" si="80"/>
        <v>10106.509803695102</v>
      </c>
      <c r="V312" s="10">
        <f>PVLoan!M339</f>
        <v>0</v>
      </c>
      <c r="W312" s="2">
        <f>IF(C312='PV IN'!$I$40,IF('PV IN'!$G$40="Non-Taxable",'PV IN'!$F$40,0),0)+IF(C312='PV IN'!$I$41,IF('PV IN'!$G$41="Non-Taxable",'PV IN'!$F$41,0),0)</f>
        <v>0</v>
      </c>
      <c r="X312" s="10"/>
      <c r="Y312" s="10">
        <f>IF('PV IN'!$E$15="Non-Taxable",SUM(N312:P312),0)</f>
        <v>0</v>
      </c>
      <c r="Z312" s="10">
        <f>IF('PV IN'!$E$15="Taxable",SUM(N312:P312),0)</f>
        <v>0</v>
      </c>
      <c r="AA312" s="2">
        <f>IF(C312='PV IN'!$I$40,IF('PV IN'!$G$40="Taxable",'PV IN'!$F$40,0),0)+IF(C312='PV IN'!$I$41,IF('PV IN'!$G$41="Taxable",'PV IN'!$F$41,0),0)</f>
        <v>0</v>
      </c>
      <c r="AD312" s="10">
        <f>IF('PV IN'!$D$48="YES",-U312*'PV IN'!$E$8,0)</f>
        <v>0</v>
      </c>
      <c r="AE312" s="10">
        <f>IF('PV IN'!$N$10="Yes",-PVLoan!H340,-PVLoan!L340)</f>
        <v>0</v>
      </c>
      <c r="AF312" s="10">
        <f>IF('PV IN'!$N$10="Yes",-PVLoan!F340,0)</f>
        <v>0</v>
      </c>
      <c r="AG312" s="10">
        <f>IF(AND('PV IN'!$D$35="YES",$C312&lt;='PV IN'!$E$35*12),0,-'PV IN'!$E$18*'PV IN'!$E$34/12)</f>
        <v>-750</v>
      </c>
      <c r="AH312" s="10">
        <f>IF(AND('PV IN'!$D$37="YES",$C312&lt;='PV IN'!$E$37*12),0,-'PV IN'!$E$18*'PV IN'!$E$36/12)</f>
        <v>-625</v>
      </c>
      <c r="AI312" s="2">
        <f>IF(AND('PV IN'!$D$33="YES",PVCalcs!C312=ROUNDUP('PV IN'!$H$33*12,)),-'PV IN'!$E$33*'PV IN'!$E$18,0)</f>
        <v>0</v>
      </c>
      <c r="AK312" s="2">
        <f t="shared" si="65"/>
        <v>10106.509803695102</v>
      </c>
      <c r="AL312" s="2">
        <f t="shared" si="82"/>
        <v>-1375</v>
      </c>
      <c r="AM312" s="2">
        <f t="shared" si="83"/>
        <v>8731.5098036951022</v>
      </c>
      <c r="AN312" s="43"/>
      <c r="AO312" s="2">
        <f t="shared" si="67"/>
        <v>0</v>
      </c>
      <c r="AP312" s="2">
        <f t="shared" si="84"/>
        <v>-1375</v>
      </c>
      <c r="AR312" s="2">
        <f t="shared" si="85"/>
        <v>-1375</v>
      </c>
      <c r="AS312" s="2">
        <f>-AR312*'PV IN'!$E$8</f>
        <v>288.75</v>
      </c>
      <c r="AT312" s="2">
        <f>IF('PV IN'!$F$4="Battery Only",0,AM312+AS312)</f>
        <v>9020.2598036951022</v>
      </c>
      <c r="AV312" s="10">
        <f t="shared" si="86"/>
        <v>2012166.4682272705</v>
      </c>
      <c r="AW312" s="2">
        <f>AT312/(1+('PV IN'!$G$9))^(C312)</f>
        <v>2578.4598321110666</v>
      </c>
      <c r="AX312" s="2" t="e">
        <f>IF(C312&lt;='PV IN'!$O$22*12,AW312+AX311,NA())</f>
        <v>#N/A</v>
      </c>
      <c r="AZ312" s="10">
        <f t="shared" si="68"/>
        <v>-1375</v>
      </c>
      <c r="BA312" s="10">
        <f t="shared" si="69"/>
        <v>0</v>
      </c>
      <c r="BB312" s="10">
        <f t="shared" si="74"/>
        <v>-1375</v>
      </c>
      <c r="BC312" s="10">
        <f t="shared" si="75"/>
        <v>0</v>
      </c>
      <c r="BD312" s="10">
        <f t="shared" si="76"/>
        <v>-1375</v>
      </c>
      <c r="BE312" s="2">
        <f t="shared" si="77"/>
        <v>0</v>
      </c>
      <c r="BF312" s="10">
        <f t="shared" si="78"/>
        <v>-1375</v>
      </c>
      <c r="BG312" s="2">
        <f>-BF312*'PV IN'!$E$8</f>
        <v>288.75</v>
      </c>
      <c r="BH312" s="2">
        <f>IF('PV IN'!$F$4="Battery Only",0,BB312+BG312)</f>
        <v>-1086.25</v>
      </c>
      <c r="BI312" s="2">
        <f>BH312/(1+('PV IN'!$G$9))^(C312)</f>
        <v>-310.50679842761201</v>
      </c>
    </row>
    <row r="313" spans="2:61" x14ac:dyDescent="0.25">
      <c r="C313">
        <v>309</v>
      </c>
      <c r="D313" s="16">
        <f>D312*(1+('PV IN'!$G$6/12))</f>
        <v>7.5999999999999998E-2</v>
      </c>
      <c r="E313" s="16">
        <f>LkUP!$U$46</f>
        <v>8.1329219335301683E-2</v>
      </c>
      <c r="F313" s="16">
        <f>IF('PV IN'!$D$7="Table",E313,D313)</f>
        <v>8.1329219335301683E-2</v>
      </c>
      <c r="G313" s="33">
        <f>('PV IN'!$E$25*'PV IN'!$E$18/12)*(1-(1-'PV IN'!$E$27)/(25*12))^C312</f>
        <v>124183.80765286332</v>
      </c>
      <c r="H313" s="33">
        <f>IF('PV IN'!$D$19="YES",G313*'PV IN'!$E$21,0)</f>
        <v>0</v>
      </c>
      <c r="I313" s="33">
        <f>IF('PV IN'!$D$19="YES",'PV IN'!$E$22*BattCalcs!W313,0)</f>
        <v>0</v>
      </c>
      <c r="J313" s="33">
        <f>IF('PV IN'!$D$19="YES",'PV IN'!$E$23*BattCalcs!Y313,0)</f>
        <v>0</v>
      </c>
      <c r="K313" s="33">
        <f>BattCalcs!AF313</f>
        <v>25811.765833333331</v>
      </c>
      <c r="L313" s="33">
        <f t="shared" si="81"/>
        <v>25811.765833333331</v>
      </c>
      <c r="M313" s="33">
        <f>IF('PV IN'!$F$4="PV Only",G313,G313-SUM(H313:J313,L313))</f>
        <v>124183.80765286332</v>
      </c>
      <c r="N313" s="2">
        <f>IF(C313&lt;='PV IN'!$I$12*12,'PV IN'!$E$12*G313/1000,0)</f>
        <v>0</v>
      </c>
      <c r="O313" s="2">
        <f>IF(AND(C313&gt;'PV IN'!$I$12*12,C313&lt;='PV IN'!$I$13*12+'PV IN'!$I$12*12),'PV IN'!$E$13*PVCalcs!G313/1000,0)</f>
        <v>0</v>
      </c>
      <c r="P313" s="2">
        <f>IF(AND(C313&gt;'PV IN'!$I$12*12+'PV IN'!$I$13*12,C313&lt;='PV IN'!$I$12*12+'PV IN'!$I$13*12+'PV IN'!$I$14*12),'PV IN'!$E$14*PVCalcs!G313/1000,0)</f>
        <v>0</v>
      </c>
      <c r="R313" s="10">
        <f>IF(AND('PV IN'!$D$35="YES",$C313&lt;='PV IN'!$E$35*12),-'PV IN'!$E$18*'PV IN'!$E$34/12,0)</f>
        <v>0</v>
      </c>
      <c r="S313" s="10">
        <f>IF(AND('PV IN'!$D$37="YES",$C313&lt;='PV IN'!$E$37*12),-'PV IN'!$E$18*'PV IN'!$E$36/12,0)</f>
        <v>0</v>
      </c>
      <c r="U313" s="2">
        <f t="shared" si="80"/>
        <v>10099.772130492636</v>
      </c>
      <c r="V313" s="10">
        <f>PVLoan!M340</f>
        <v>0</v>
      </c>
      <c r="W313" s="2">
        <f>IF(C313='PV IN'!$I$40,IF('PV IN'!$G$40="Non-Taxable",'PV IN'!$F$40,0),0)+IF(C313='PV IN'!$I$41,IF('PV IN'!$G$41="Non-Taxable",'PV IN'!$F$41,0),0)</f>
        <v>0</v>
      </c>
      <c r="X313" s="10"/>
      <c r="Y313" s="10">
        <f>IF('PV IN'!$E$15="Non-Taxable",SUM(N313:P313),0)</f>
        <v>0</v>
      </c>
      <c r="Z313" s="10">
        <f>IF('PV IN'!$E$15="Taxable",SUM(N313:P313),0)</f>
        <v>0</v>
      </c>
      <c r="AA313" s="2">
        <f>IF(C313='PV IN'!$I$40,IF('PV IN'!$G$40="Taxable",'PV IN'!$F$40,0),0)+IF(C313='PV IN'!$I$41,IF('PV IN'!$G$41="Taxable",'PV IN'!$F$41,0),0)</f>
        <v>0</v>
      </c>
      <c r="AD313" s="10">
        <f>IF('PV IN'!$D$48="YES",-U313*'PV IN'!$E$8,0)</f>
        <v>0</v>
      </c>
      <c r="AE313" s="10">
        <f>IF('PV IN'!$N$10="Yes",-PVLoan!H341,-PVLoan!L341)</f>
        <v>0</v>
      </c>
      <c r="AF313" s="10">
        <f>IF('PV IN'!$N$10="Yes",-PVLoan!F341,0)</f>
        <v>0</v>
      </c>
      <c r="AG313" s="10">
        <f>IF(AND('PV IN'!$D$35="YES",$C313&lt;='PV IN'!$E$35*12),0,-'PV IN'!$E$18*'PV IN'!$E$34/12)</f>
        <v>-750</v>
      </c>
      <c r="AH313" s="10">
        <f>IF(AND('PV IN'!$D$37="YES",$C313&lt;='PV IN'!$E$37*12),0,-'PV IN'!$E$18*'PV IN'!$E$36/12)</f>
        <v>-625</v>
      </c>
      <c r="AI313" s="2">
        <f>IF(AND('PV IN'!$D$33="YES",PVCalcs!C313=ROUNDUP('PV IN'!$H$33*12,)),-'PV IN'!$E$33*'PV IN'!$E$18,0)</f>
        <v>0</v>
      </c>
      <c r="AK313" s="2">
        <f t="shared" si="65"/>
        <v>10099.772130492636</v>
      </c>
      <c r="AL313" s="2">
        <f t="shared" si="82"/>
        <v>-1375</v>
      </c>
      <c r="AM313" s="2">
        <f t="shared" si="83"/>
        <v>8724.7721304926363</v>
      </c>
      <c r="AN313" s="43"/>
      <c r="AO313" s="2">
        <f t="shared" si="67"/>
        <v>0</v>
      </c>
      <c r="AP313" s="2">
        <f t="shared" si="84"/>
        <v>-1375</v>
      </c>
      <c r="AR313" s="2">
        <f t="shared" si="85"/>
        <v>-1375</v>
      </c>
      <c r="AS313" s="2">
        <f>-AR313*'PV IN'!$E$8</f>
        <v>288.75</v>
      </c>
      <c r="AT313" s="2">
        <f>IF('PV IN'!$F$4="Battery Only",0,AM313+AS313)</f>
        <v>9013.5221304926363</v>
      </c>
      <c r="AV313" s="10">
        <f t="shared" si="86"/>
        <v>2021179.9903577631</v>
      </c>
      <c r="AW313" s="2">
        <f>AT313/(1+('PV IN'!$G$9))^(C313)</f>
        <v>2566.0793295302065</v>
      </c>
      <c r="AX313" s="2" t="e">
        <f>IF(C313&lt;='PV IN'!$O$22*12,AW313+AX312,NA())</f>
        <v>#N/A</v>
      </c>
      <c r="AZ313" s="10">
        <f t="shared" si="68"/>
        <v>-1375</v>
      </c>
      <c r="BA313" s="10">
        <f t="shared" si="69"/>
        <v>0</v>
      </c>
      <c r="BB313" s="10">
        <f t="shared" si="74"/>
        <v>-1375</v>
      </c>
      <c r="BC313" s="10">
        <f t="shared" si="75"/>
        <v>0</v>
      </c>
      <c r="BD313" s="10">
        <f t="shared" si="76"/>
        <v>-1375</v>
      </c>
      <c r="BE313" s="2">
        <f t="shared" si="77"/>
        <v>0</v>
      </c>
      <c r="BF313" s="10">
        <f t="shared" si="78"/>
        <v>-1375</v>
      </c>
      <c r="BG313" s="2">
        <f>-BF313*'PV IN'!$E$8</f>
        <v>288.75</v>
      </c>
      <c r="BH313" s="2">
        <f>IF('PV IN'!$F$4="Battery Only",0,BB313+BG313)</f>
        <v>-1086.25</v>
      </c>
      <c r="BI313" s="2">
        <f>BH313/(1+('PV IN'!$G$9))^(C313)</f>
        <v>-309.24688832486845</v>
      </c>
    </row>
    <row r="314" spans="2:61" x14ac:dyDescent="0.25">
      <c r="C314">
        <v>310</v>
      </c>
      <c r="D314" s="16">
        <f>D313*(1+('PV IN'!$G$6/12))</f>
        <v>7.5999999999999998E-2</v>
      </c>
      <c r="E314" s="16">
        <f>LkUP!$U$46</f>
        <v>8.1329219335301683E-2</v>
      </c>
      <c r="F314" s="16">
        <f>IF('PV IN'!$D$7="Table",E314,D314)</f>
        <v>8.1329219335301683E-2</v>
      </c>
      <c r="G314" s="33">
        <f>('PV IN'!$E$25*'PV IN'!$E$18/12)*(1-(1-'PV IN'!$E$27)/(25*12))^C313</f>
        <v>124101.01844776142</v>
      </c>
      <c r="H314" s="33">
        <f>IF('PV IN'!$D$19="YES",G314*'PV IN'!$E$21,0)</f>
        <v>0</v>
      </c>
      <c r="I314" s="33">
        <f>IF('PV IN'!$D$19="YES",'PV IN'!$E$22*BattCalcs!W314,0)</f>
        <v>0</v>
      </c>
      <c r="J314" s="33">
        <f>IF('PV IN'!$D$19="YES",'PV IN'!$E$23*BattCalcs!Y314,0)</f>
        <v>0</v>
      </c>
      <c r="K314" s="33">
        <f>BattCalcs!AF314</f>
        <v>25811.765833333331</v>
      </c>
      <c r="L314" s="33">
        <f t="shared" si="81"/>
        <v>25811.765833333331</v>
      </c>
      <c r="M314" s="33">
        <f>IF('PV IN'!$F$4="PV Only",G314,G314-SUM(H314:J314,L314))</f>
        <v>124101.01844776142</v>
      </c>
      <c r="N314" s="2">
        <f>IF(C314&lt;='PV IN'!$I$12*12,'PV IN'!$E$12*G314/1000,0)</f>
        <v>0</v>
      </c>
      <c r="O314" s="2">
        <f>IF(AND(C314&gt;'PV IN'!$I$12*12,C314&lt;='PV IN'!$I$13*12+'PV IN'!$I$12*12),'PV IN'!$E$13*PVCalcs!G314/1000,0)</f>
        <v>0</v>
      </c>
      <c r="P314" s="2">
        <f>IF(AND(C314&gt;'PV IN'!$I$12*12+'PV IN'!$I$13*12,C314&lt;='PV IN'!$I$12*12+'PV IN'!$I$13*12+'PV IN'!$I$14*12),'PV IN'!$E$14*PVCalcs!G314/1000,0)</f>
        <v>0</v>
      </c>
      <c r="R314" s="10">
        <f>IF(AND('PV IN'!$D$35="YES",$C314&lt;='PV IN'!$E$35*12),-'PV IN'!$E$18*'PV IN'!$E$34/12,0)</f>
        <v>0</v>
      </c>
      <c r="S314" s="10">
        <f>IF(AND('PV IN'!$D$37="YES",$C314&lt;='PV IN'!$E$37*12),-'PV IN'!$E$18*'PV IN'!$E$36/12,0)</f>
        <v>0</v>
      </c>
      <c r="U314" s="2">
        <f t="shared" si="80"/>
        <v>10093.03894907231</v>
      </c>
      <c r="V314" s="10">
        <f>PVLoan!M341</f>
        <v>0</v>
      </c>
      <c r="W314" s="2">
        <f>IF(C314='PV IN'!$I$40,IF('PV IN'!$G$40="Non-Taxable",'PV IN'!$F$40,0),0)+IF(C314='PV IN'!$I$41,IF('PV IN'!$G$41="Non-Taxable",'PV IN'!$F$41,0),0)</f>
        <v>0</v>
      </c>
      <c r="X314" s="10"/>
      <c r="Y314" s="10">
        <f>IF('PV IN'!$E$15="Non-Taxable",SUM(N314:P314),0)</f>
        <v>0</v>
      </c>
      <c r="Z314" s="10">
        <f>IF('PV IN'!$E$15="Taxable",SUM(N314:P314),0)</f>
        <v>0</v>
      </c>
      <c r="AA314" s="2">
        <f>IF(C314='PV IN'!$I$40,IF('PV IN'!$G$40="Taxable",'PV IN'!$F$40,0),0)+IF(C314='PV IN'!$I$41,IF('PV IN'!$G$41="Taxable",'PV IN'!$F$41,0),0)</f>
        <v>0</v>
      </c>
      <c r="AD314" s="10">
        <f>IF('PV IN'!$D$48="YES",-U314*'PV IN'!$E$8,0)</f>
        <v>0</v>
      </c>
      <c r="AE314" s="10">
        <f>IF('PV IN'!$N$10="Yes",-PVLoan!H342,-PVLoan!L342)</f>
        <v>0</v>
      </c>
      <c r="AF314" s="10">
        <f>IF('PV IN'!$N$10="Yes",-PVLoan!F342,0)</f>
        <v>0</v>
      </c>
      <c r="AG314" s="10">
        <f>IF(AND('PV IN'!$D$35="YES",$C314&lt;='PV IN'!$E$35*12),0,-'PV IN'!$E$18*'PV IN'!$E$34/12)</f>
        <v>-750</v>
      </c>
      <c r="AH314" s="10">
        <f>IF(AND('PV IN'!$D$37="YES",$C314&lt;='PV IN'!$E$37*12),0,-'PV IN'!$E$18*'PV IN'!$E$36/12)</f>
        <v>-625</v>
      </c>
      <c r="AI314" s="2">
        <f>IF(AND('PV IN'!$D$33="YES",PVCalcs!C314=ROUNDUP('PV IN'!$H$33*12,)),-'PV IN'!$E$33*'PV IN'!$E$18,0)</f>
        <v>0</v>
      </c>
      <c r="AK314" s="2">
        <f t="shared" si="65"/>
        <v>10093.03894907231</v>
      </c>
      <c r="AL314" s="2">
        <f t="shared" si="82"/>
        <v>-1375</v>
      </c>
      <c r="AM314" s="2">
        <f t="shared" si="83"/>
        <v>8718.0389490723101</v>
      </c>
      <c r="AN314" s="43"/>
      <c r="AO314" s="2">
        <f t="shared" si="67"/>
        <v>0</v>
      </c>
      <c r="AP314" s="2">
        <f t="shared" si="84"/>
        <v>-1375</v>
      </c>
      <c r="AR314" s="2">
        <f t="shared" si="85"/>
        <v>-1375</v>
      </c>
      <c r="AS314" s="2">
        <f>-AR314*'PV IN'!$E$8</f>
        <v>288.75</v>
      </c>
      <c r="AT314" s="2">
        <f>IF('PV IN'!$F$4="Battery Only",0,AM314+AS314)</f>
        <v>9006.7889490723101</v>
      </c>
      <c r="AV314" s="10">
        <f t="shared" si="86"/>
        <v>2030186.7793068355</v>
      </c>
      <c r="AW314" s="2">
        <f>AT314/(1+('PV IN'!$G$9))^(C314)</f>
        <v>2553.758118695906</v>
      </c>
      <c r="AX314" s="2" t="e">
        <f>IF(C314&lt;='PV IN'!$O$22*12,AW314+AX313,NA())</f>
        <v>#N/A</v>
      </c>
      <c r="AZ314" s="10">
        <f t="shared" si="68"/>
        <v>-1375</v>
      </c>
      <c r="BA314" s="10">
        <f t="shared" si="69"/>
        <v>0</v>
      </c>
      <c r="BB314" s="10">
        <f t="shared" si="74"/>
        <v>-1375</v>
      </c>
      <c r="BC314" s="10">
        <f t="shared" si="75"/>
        <v>0</v>
      </c>
      <c r="BD314" s="10">
        <f t="shared" si="76"/>
        <v>-1375</v>
      </c>
      <c r="BE314" s="2">
        <f t="shared" si="77"/>
        <v>0</v>
      </c>
      <c r="BF314" s="10">
        <f t="shared" si="78"/>
        <v>-1375</v>
      </c>
      <c r="BG314" s="2">
        <f>-BF314*'PV IN'!$E$8</f>
        <v>288.75</v>
      </c>
      <c r="BH314" s="2">
        <f>IF('PV IN'!$F$4="Battery Only",0,BB314+BG314)</f>
        <v>-1086.25</v>
      </c>
      <c r="BI314" s="2">
        <f>BH314/(1+('PV IN'!$G$9))^(C314)</f>
        <v>-307.99209042409603</v>
      </c>
    </row>
    <row r="315" spans="2:61" x14ac:dyDescent="0.25">
      <c r="C315">
        <v>311</v>
      </c>
      <c r="D315" s="16">
        <f>D314*(1+('PV IN'!$G$6/12))</f>
        <v>7.5999999999999998E-2</v>
      </c>
      <c r="E315" s="16">
        <f>LkUP!$U$46</f>
        <v>8.1329219335301683E-2</v>
      </c>
      <c r="F315" s="16">
        <f>IF('PV IN'!$D$7="Table",E315,D315)</f>
        <v>8.1329219335301683E-2</v>
      </c>
      <c r="G315" s="33">
        <f>('PV IN'!$E$25*'PV IN'!$E$18/12)*(1-(1-'PV IN'!$E$27)/(25*12))^C314</f>
        <v>124018.28443546291</v>
      </c>
      <c r="H315" s="33">
        <f>IF('PV IN'!$D$19="YES",G315*'PV IN'!$E$21,0)</f>
        <v>0</v>
      </c>
      <c r="I315" s="33">
        <f>IF('PV IN'!$D$19="YES",'PV IN'!$E$22*BattCalcs!W315,0)</f>
        <v>0</v>
      </c>
      <c r="J315" s="33">
        <f>IF('PV IN'!$D$19="YES",'PV IN'!$E$23*BattCalcs!Y315,0)</f>
        <v>0</v>
      </c>
      <c r="K315" s="33">
        <f>BattCalcs!AF315</f>
        <v>25811.765833333331</v>
      </c>
      <c r="L315" s="33">
        <f t="shared" si="81"/>
        <v>25811.765833333331</v>
      </c>
      <c r="M315" s="33">
        <f>IF('PV IN'!$F$4="PV Only",G315,G315-SUM(H315:J315,L315))</f>
        <v>124018.28443546291</v>
      </c>
      <c r="N315" s="2">
        <f>IF(C315&lt;='PV IN'!$I$12*12,'PV IN'!$E$12*G315/1000,0)</f>
        <v>0</v>
      </c>
      <c r="O315" s="2">
        <f>IF(AND(C315&gt;'PV IN'!$I$12*12,C315&lt;='PV IN'!$I$13*12+'PV IN'!$I$12*12),'PV IN'!$E$13*PVCalcs!G315/1000,0)</f>
        <v>0</v>
      </c>
      <c r="P315" s="2">
        <f>IF(AND(C315&gt;'PV IN'!$I$12*12+'PV IN'!$I$13*12,C315&lt;='PV IN'!$I$12*12+'PV IN'!$I$13*12+'PV IN'!$I$14*12),'PV IN'!$E$14*PVCalcs!G315/1000,0)</f>
        <v>0</v>
      </c>
      <c r="R315" s="10">
        <f>IF(AND('PV IN'!$D$35="YES",$C315&lt;='PV IN'!$E$35*12),-'PV IN'!$E$18*'PV IN'!$E$34/12,0)</f>
        <v>0</v>
      </c>
      <c r="S315" s="10">
        <f>IF(AND('PV IN'!$D$37="YES",$C315&lt;='PV IN'!$E$37*12),-'PV IN'!$E$18*'PV IN'!$E$36/12,0)</f>
        <v>0</v>
      </c>
      <c r="U315" s="2">
        <f t="shared" si="80"/>
        <v>10086.310256439594</v>
      </c>
      <c r="V315" s="10">
        <f>PVLoan!M342</f>
        <v>0</v>
      </c>
      <c r="W315" s="2">
        <f>IF(C315='PV IN'!$I$40,IF('PV IN'!$G$40="Non-Taxable",'PV IN'!$F$40,0),0)+IF(C315='PV IN'!$I$41,IF('PV IN'!$G$41="Non-Taxable",'PV IN'!$F$41,0),0)</f>
        <v>0</v>
      </c>
      <c r="X315" s="10"/>
      <c r="Y315" s="10">
        <f>IF('PV IN'!$E$15="Non-Taxable",SUM(N315:P315),0)</f>
        <v>0</v>
      </c>
      <c r="Z315" s="10">
        <f>IF('PV IN'!$E$15="Taxable",SUM(N315:P315),0)</f>
        <v>0</v>
      </c>
      <c r="AA315" s="2">
        <f>IF(C315='PV IN'!$I$40,IF('PV IN'!$G$40="Taxable",'PV IN'!$F$40,0),0)+IF(C315='PV IN'!$I$41,IF('PV IN'!$G$41="Taxable",'PV IN'!$F$41,0),0)</f>
        <v>0</v>
      </c>
      <c r="AD315" s="10">
        <f>IF('PV IN'!$D$48="YES",-U315*'PV IN'!$E$8,0)</f>
        <v>0</v>
      </c>
      <c r="AE315" s="10">
        <f>IF('PV IN'!$N$10="Yes",-PVLoan!H343,-PVLoan!L343)</f>
        <v>0</v>
      </c>
      <c r="AF315" s="10">
        <f>IF('PV IN'!$N$10="Yes",-PVLoan!F343,0)</f>
        <v>0</v>
      </c>
      <c r="AG315" s="10">
        <f>IF(AND('PV IN'!$D$35="YES",$C315&lt;='PV IN'!$E$35*12),0,-'PV IN'!$E$18*'PV IN'!$E$34/12)</f>
        <v>-750</v>
      </c>
      <c r="AH315" s="10">
        <f>IF(AND('PV IN'!$D$37="YES",$C315&lt;='PV IN'!$E$37*12),0,-'PV IN'!$E$18*'PV IN'!$E$36/12)</f>
        <v>-625</v>
      </c>
      <c r="AI315" s="2">
        <f>IF(AND('PV IN'!$D$33="YES",PVCalcs!C315=ROUNDUP('PV IN'!$H$33*12,)),-'PV IN'!$E$33*'PV IN'!$E$18,0)</f>
        <v>0</v>
      </c>
      <c r="AK315" s="2">
        <f t="shared" si="65"/>
        <v>10086.310256439594</v>
      </c>
      <c r="AL315" s="2">
        <f t="shared" si="82"/>
        <v>-1375</v>
      </c>
      <c r="AM315" s="2">
        <f t="shared" si="83"/>
        <v>8711.310256439594</v>
      </c>
      <c r="AN315" s="43"/>
      <c r="AO315" s="2">
        <f t="shared" si="67"/>
        <v>0</v>
      </c>
      <c r="AP315" s="2">
        <f t="shared" si="84"/>
        <v>-1375</v>
      </c>
      <c r="AR315" s="2">
        <f t="shared" si="85"/>
        <v>-1375</v>
      </c>
      <c r="AS315" s="2">
        <f>-AR315*'PV IN'!$E$8</f>
        <v>288.75</v>
      </c>
      <c r="AT315" s="2">
        <f>IF('PV IN'!$F$4="Battery Only",0,AM315+AS315)</f>
        <v>9000.060256439594</v>
      </c>
      <c r="AV315" s="10">
        <f t="shared" si="86"/>
        <v>2039186.839563275</v>
      </c>
      <c r="AW315" s="2">
        <f>AT315/(1+('PV IN'!$G$9))^(C315)</f>
        <v>2541.4959162646596</v>
      </c>
      <c r="AX315" s="2" t="e">
        <f>IF(C315&lt;='PV IN'!$O$22*12,AW315+AX314,NA())</f>
        <v>#N/A</v>
      </c>
      <c r="AZ315" s="10">
        <f t="shared" si="68"/>
        <v>-1375</v>
      </c>
      <c r="BA315" s="10">
        <f t="shared" si="69"/>
        <v>0</v>
      </c>
      <c r="BB315" s="10">
        <f t="shared" si="74"/>
        <v>-1375</v>
      </c>
      <c r="BC315" s="10">
        <f t="shared" si="75"/>
        <v>0</v>
      </c>
      <c r="BD315" s="10">
        <f t="shared" si="76"/>
        <v>-1375</v>
      </c>
      <c r="BE315" s="2">
        <f t="shared" si="77"/>
        <v>0</v>
      </c>
      <c r="BF315" s="10">
        <f t="shared" si="78"/>
        <v>-1375</v>
      </c>
      <c r="BG315" s="2">
        <f>-BF315*'PV IN'!$E$8</f>
        <v>288.75</v>
      </c>
      <c r="BH315" s="2">
        <f>IF('PV IN'!$F$4="Battery Only",0,BB315+BG315)</f>
        <v>-1086.25</v>
      </c>
      <c r="BI315" s="2">
        <f>BH315/(1+('PV IN'!$G$9))^(C315)</f>
        <v>-306.74238398206171</v>
      </c>
    </row>
    <row r="316" spans="2:61" x14ac:dyDescent="0.25">
      <c r="B316">
        <v>26</v>
      </c>
      <c r="C316">
        <v>312</v>
      </c>
      <c r="D316" s="16">
        <f>D315*(1+('PV IN'!$G$6/12))</f>
        <v>7.5999999999999998E-2</v>
      </c>
      <c r="E316" s="16">
        <f>LkUP!$U$46</f>
        <v>8.1329219335301683E-2</v>
      </c>
      <c r="F316" s="16">
        <f>IF('PV IN'!$D$7="Table",E316,D316)</f>
        <v>8.1329219335301683E-2</v>
      </c>
      <c r="G316" s="33">
        <f>('PV IN'!$E$25*'PV IN'!$E$18/12)*(1-(1-'PV IN'!$E$27)/(25*12))^C315</f>
        <v>123935.6055791726</v>
      </c>
      <c r="H316" s="33">
        <f>IF('PV IN'!$D$19="YES",G316*'PV IN'!$E$21,0)</f>
        <v>0</v>
      </c>
      <c r="I316" s="33">
        <f>IF('PV IN'!$D$19="YES",'PV IN'!$E$22*BattCalcs!W316,0)</f>
        <v>0</v>
      </c>
      <c r="J316" s="33">
        <f>IF('PV IN'!$D$19="YES",'PV IN'!$E$23*BattCalcs!Y316,0)</f>
        <v>0</v>
      </c>
      <c r="K316" s="33">
        <f>BattCalcs!AF316</f>
        <v>25811.765833333331</v>
      </c>
      <c r="L316" s="33">
        <f t="shared" si="81"/>
        <v>25811.765833333331</v>
      </c>
      <c r="M316" s="33">
        <f>IF('PV IN'!$F$4="PV Only",G316,G316-SUM(H316:J316,L316))</f>
        <v>123935.6055791726</v>
      </c>
      <c r="N316" s="2">
        <f>IF(C316&lt;='PV IN'!$I$12*12,'PV IN'!$E$12*G316/1000,0)</f>
        <v>0</v>
      </c>
      <c r="O316" s="2">
        <f>IF(AND(C316&gt;'PV IN'!$I$12*12,C316&lt;='PV IN'!$I$13*12+'PV IN'!$I$12*12),'PV IN'!$E$13*PVCalcs!G316/1000,0)</f>
        <v>0</v>
      </c>
      <c r="P316" s="2">
        <f>IF(AND(C316&gt;'PV IN'!$I$12*12+'PV IN'!$I$13*12,C316&lt;='PV IN'!$I$12*12+'PV IN'!$I$13*12+'PV IN'!$I$14*12),'PV IN'!$E$14*PVCalcs!G316/1000,0)</f>
        <v>0</v>
      </c>
      <c r="R316" s="10">
        <f>IF(AND('PV IN'!$D$35="YES",$C316&lt;='PV IN'!$E$35*12),-'PV IN'!$E$18*'PV IN'!$E$34/12,0)</f>
        <v>0</v>
      </c>
      <c r="S316" s="10">
        <f>IF(AND('PV IN'!$D$37="YES",$C316&lt;='PV IN'!$E$37*12),-'PV IN'!$E$18*'PV IN'!$E$36/12,0)</f>
        <v>0</v>
      </c>
      <c r="U316" s="2">
        <f t="shared" si="80"/>
        <v>10079.586049601967</v>
      </c>
      <c r="V316" s="10">
        <f>PVLoan!M343</f>
        <v>0</v>
      </c>
      <c r="W316" s="2">
        <f>IF(C316='PV IN'!$I$40,IF('PV IN'!$G$40="Non-Taxable",'PV IN'!$F$40,0),0)+IF(C316='PV IN'!$I$41,IF('PV IN'!$G$41="Non-Taxable",'PV IN'!$F$41,0),0)</f>
        <v>0</v>
      </c>
      <c r="X316" s="10"/>
      <c r="Y316" s="10">
        <f>IF('PV IN'!$E$15="Non-Taxable",SUM(N316:P316),0)</f>
        <v>0</v>
      </c>
      <c r="Z316" s="10">
        <f>IF('PV IN'!$E$15="Taxable",SUM(N316:P316),0)</f>
        <v>0</v>
      </c>
      <c r="AA316" s="2">
        <f>IF(C316='PV IN'!$I$40,IF('PV IN'!$G$40="Taxable",'PV IN'!$F$40,0),0)+IF(C316='PV IN'!$I$41,IF('PV IN'!$G$41="Taxable",'PV IN'!$F$41,0),0)</f>
        <v>0</v>
      </c>
      <c r="AD316" s="10">
        <f>IF('PV IN'!$D$48="YES",-U316*'PV IN'!$E$8,0)</f>
        <v>0</v>
      </c>
      <c r="AE316" s="10">
        <f>IF('PV IN'!$N$10="Yes",-PVLoan!H344,-PVLoan!L344)</f>
        <v>0</v>
      </c>
      <c r="AF316" s="10">
        <f>IF('PV IN'!$N$10="Yes",-PVLoan!F344,0)</f>
        <v>0</v>
      </c>
      <c r="AG316" s="10">
        <f>IF(AND('PV IN'!$D$35="YES",$C316&lt;='PV IN'!$E$35*12),0,-'PV IN'!$E$18*'PV IN'!$E$34/12)</f>
        <v>-750</v>
      </c>
      <c r="AH316" s="10">
        <f>IF(AND('PV IN'!$D$37="YES",$C316&lt;='PV IN'!$E$37*12),0,-'PV IN'!$E$18*'PV IN'!$E$36/12)</f>
        <v>-625</v>
      </c>
      <c r="AI316" s="2">
        <f>IF(AND('PV IN'!$D$33="YES",PVCalcs!C316=ROUNDUP('PV IN'!$H$33*12,)),-'PV IN'!$E$33*'PV IN'!$E$18,0)</f>
        <v>0</v>
      </c>
      <c r="AK316" s="2">
        <f t="shared" si="65"/>
        <v>10079.586049601967</v>
      </c>
      <c r="AL316" s="2">
        <f t="shared" si="82"/>
        <v>-1375</v>
      </c>
      <c r="AM316" s="2">
        <f t="shared" si="83"/>
        <v>8704.5860496019668</v>
      </c>
      <c r="AN316" s="43"/>
      <c r="AO316" s="2">
        <f t="shared" si="67"/>
        <v>0</v>
      </c>
      <c r="AP316" s="2">
        <f t="shared" si="84"/>
        <v>-1375</v>
      </c>
      <c r="AR316" s="2">
        <f t="shared" si="85"/>
        <v>-1375</v>
      </c>
      <c r="AS316" s="2">
        <f>-AR316*'PV IN'!$E$8</f>
        <v>288.75</v>
      </c>
      <c r="AT316" s="2">
        <f>IF('PV IN'!$F$4="Battery Only",0,AM316+AS316)</f>
        <v>8993.3360496019668</v>
      </c>
      <c r="AV316" s="10">
        <f t="shared" si="86"/>
        <v>2048180.1756128769</v>
      </c>
      <c r="AW316" s="2">
        <f>AT316/(1+('PV IN'!$G$9))^(C316)</f>
        <v>2529.2924402445592</v>
      </c>
      <c r="AX316" s="2" t="e">
        <f>IF(C316&lt;='PV IN'!$O$22*12,AW316+AX315,NA())</f>
        <v>#N/A</v>
      </c>
      <c r="AZ316" s="10">
        <f t="shared" si="68"/>
        <v>-1375</v>
      </c>
      <c r="BA316" s="10">
        <f t="shared" si="69"/>
        <v>0</v>
      </c>
      <c r="BB316" s="10">
        <f t="shared" si="74"/>
        <v>-1375</v>
      </c>
      <c r="BC316" s="10">
        <f t="shared" si="75"/>
        <v>0</v>
      </c>
      <c r="BD316" s="10">
        <f t="shared" si="76"/>
        <v>-1375</v>
      </c>
      <c r="BE316" s="2">
        <f t="shared" si="77"/>
        <v>0</v>
      </c>
      <c r="BF316" s="10">
        <f t="shared" si="78"/>
        <v>-1375</v>
      </c>
      <c r="BG316" s="2">
        <f>-BF316*'PV IN'!$E$8</f>
        <v>288.75</v>
      </c>
      <c r="BH316" s="2">
        <f>IF('PV IN'!$F$4="Battery Only",0,BB316+BG316)</f>
        <v>-1086.25</v>
      </c>
      <c r="BI316" s="2">
        <f>BH316/(1+('PV IN'!$G$9))^(C316)</f>
        <v>-305.49774833969985</v>
      </c>
    </row>
    <row r="317" spans="2:61" x14ac:dyDescent="0.25">
      <c r="C317">
        <v>313</v>
      </c>
      <c r="D317" s="16">
        <f>D316*(1+('PV IN'!$G$6/12))</f>
        <v>7.5999999999999998E-2</v>
      </c>
      <c r="E317" s="16">
        <f>LkUP!$U$47</f>
        <v>8.071410194180921E-2</v>
      </c>
      <c r="F317" s="16">
        <f>IF('PV IN'!$D$7="Table",E317,D317)</f>
        <v>8.071410194180921E-2</v>
      </c>
      <c r="G317" s="33">
        <f>('PV IN'!$E$25*'PV IN'!$E$18/12)*(1-(1-'PV IN'!$E$27)/(25*12))^C316</f>
        <v>123852.98184211981</v>
      </c>
      <c r="H317" s="33">
        <f>IF('PV IN'!$D$19="YES",G317*'PV IN'!$E$21,0)</f>
        <v>0</v>
      </c>
      <c r="I317" s="33">
        <f>IF('PV IN'!$D$19="YES",'PV IN'!$E$22*BattCalcs!W317,0)</f>
        <v>0</v>
      </c>
      <c r="J317" s="33">
        <f>IF('PV IN'!$D$19="YES",'PV IN'!$E$23*BattCalcs!Y317,0)</f>
        <v>0</v>
      </c>
      <c r="K317" s="33">
        <f>BattCalcs!AF317</f>
        <v>25811.765833333331</v>
      </c>
      <c r="L317" s="33">
        <f t="shared" si="81"/>
        <v>25811.765833333331</v>
      </c>
      <c r="M317" s="33">
        <f>IF('PV IN'!$F$4="PV Only",G317,G317-SUM(H317:J317,L317))</f>
        <v>123852.98184211981</v>
      </c>
      <c r="N317" s="2">
        <f>IF(C317&lt;='PV IN'!$I$12*12,'PV IN'!$E$12*G317/1000,0)</f>
        <v>0</v>
      </c>
      <c r="O317" s="2">
        <f>IF(AND(C317&gt;'PV IN'!$I$12*12,C317&lt;='PV IN'!$I$13*12+'PV IN'!$I$12*12),'PV IN'!$E$13*PVCalcs!G317/1000,0)</f>
        <v>0</v>
      </c>
      <c r="P317" s="2">
        <f>IF(AND(C317&gt;'PV IN'!$I$12*12+'PV IN'!$I$13*12,C317&lt;='PV IN'!$I$12*12+'PV IN'!$I$13*12+'PV IN'!$I$14*12),'PV IN'!$E$14*PVCalcs!G317/1000,0)</f>
        <v>0</v>
      </c>
      <c r="R317" s="10">
        <f>IF(AND('PV IN'!$D$35="YES",$C317&lt;='PV IN'!$E$35*12),-'PV IN'!$E$18*'PV IN'!$E$34/12,0)</f>
        <v>0</v>
      </c>
      <c r="S317" s="10">
        <f>IF(AND('PV IN'!$D$37="YES",$C317&lt;='PV IN'!$E$37*12),-'PV IN'!$E$18*'PV IN'!$E$36/12,0)</f>
        <v>0</v>
      </c>
      <c r="U317" s="2">
        <f t="shared" si="80"/>
        <v>9996.6822022019041</v>
      </c>
      <c r="V317" s="10">
        <f>PVLoan!M344</f>
        <v>0</v>
      </c>
      <c r="W317" s="2">
        <f>IF(C317='PV IN'!$I$40,IF('PV IN'!$G$40="Non-Taxable",'PV IN'!$F$40,0),0)+IF(C317='PV IN'!$I$41,IF('PV IN'!$G$41="Non-Taxable",'PV IN'!$F$41,0),0)</f>
        <v>0</v>
      </c>
      <c r="X317" s="10"/>
      <c r="Y317" s="10">
        <f>IF('PV IN'!$E$15="Non-Taxable",SUM(N317:P317),0)</f>
        <v>0</v>
      </c>
      <c r="Z317" s="10">
        <f>IF('PV IN'!$E$15="Taxable",SUM(N317:P317),0)</f>
        <v>0</v>
      </c>
      <c r="AA317" s="2">
        <f>IF(C317='PV IN'!$I$40,IF('PV IN'!$G$40="Taxable",'PV IN'!$F$40,0),0)+IF(C317='PV IN'!$I$41,IF('PV IN'!$G$41="Taxable",'PV IN'!$F$41,0),0)</f>
        <v>0</v>
      </c>
      <c r="AD317" s="10">
        <f>IF('PV IN'!$D$48="YES",-U317*'PV IN'!$E$8,0)</f>
        <v>0</v>
      </c>
      <c r="AE317" s="10">
        <f>IF('PV IN'!$N$10="Yes",-PVLoan!H345,-PVLoan!L345)</f>
        <v>0</v>
      </c>
      <c r="AF317" s="10">
        <f>IF('PV IN'!$N$10="Yes",-PVLoan!F345,0)</f>
        <v>0</v>
      </c>
      <c r="AG317" s="10">
        <f>IF(AND('PV IN'!$D$35="YES",$C317&lt;='PV IN'!$E$35*12),0,-'PV IN'!$E$18*'PV IN'!$E$34/12)</f>
        <v>-750</v>
      </c>
      <c r="AH317" s="10">
        <f>IF(AND('PV IN'!$D$37="YES",$C317&lt;='PV IN'!$E$37*12),0,-'PV IN'!$E$18*'PV IN'!$E$36/12)</f>
        <v>-625</v>
      </c>
      <c r="AI317" s="2">
        <f>IF(AND('PV IN'!$D$33="YES",PVCalcs!C317=ROUNDUP('PV IN'!$H$33*12,)),-'PV IN'!$E$33*'PV IN'!$E$18,0)</f>
        <v>0</v>
      </c>
      <c r="AK317" s="2">
        <f t="shared" si="65"/>
        <v>9996.6822022019041</v>
      </c>
      <c r="AL317" s="2">
        <f t="shared" si="82"/>
        <v>-1375</v>
      </c>
      <c r="AM317" s="2">
        <f t="shared" si="83"/>
        <v>8621.6822022019041</v>
      </c>
      <c r="AN317" s="43"/>
      <c r="AO317" s="2">
        <f t="shared" si="67"/>
        <v>0</v>
      </c>
      <c r="AP317" s="2">
        <f t="shared" si="84"/>
        <v>-1375</v>
      </c>
      <c r="AR317" s="2">
        <f t="shared" si="85"/>
        <v>-1375</v>
      </c>
      <c r="AS317" s="2">
        <f>-AR317*'PV IN'!$E$8</f>
        <v>288.75</v>
      </c>
      <c r="AT317" s="2">
        <f>IF('PV IN'!$F$4="Battery Only",0,AM317+AS317)</f>
        <v>8910.4322022019041</v>
      </c>
      <c r="AV317" s="10">
        <f t="shared" si="86"/>
        <v>2057090.6078150787</v>
      </c>
      <c r="AW317" s="2">
        <f>AT317/(1+('PV IN'!$G$9))^(C317)</f>
        <v>2495.8082694416044</v>
      </c>
      <c r="AX317" s="2" t="e">
        <f>IF(C317&lt;='PV IN'!$O$22*12,AW317+AX316,NA())</f>
        <v>#N/A</v>
      </c>
      <c r="AZ317" s="10">
        <f t="shared" si="68"/>
        <v>-1375</v>
      </c>
      <c r="BA317" s="10">
        <f t="shared" si="69"/>
        <v>0</v>
      </c>
      <c r="BB317" s="10">
        <f t="shared" si="74"/>
        <v>-1375</v>
      </c>
      <c r="BC317" s="10">
        <f t="shared" si="75"/>
        <v>0</v>
      </c>
      <c r="BD317" s="10">
        <f t="shared" si="76"/>
        <v>-1375</v>
      </c>
      <c r="BE317" s="2">
        <f t="shared" si="77"/>
        <v>0</v>
      </c>
      <c r="BF317" s="10">
        <f t="shared" si="78"/>
        <v>-1375</v>
      </c>
      <c r="BG317" s="2">
        <f>-BF317*'PV IN'!$E$8</f>
        <v>288.75</v>
      </c>
      <c r="BH317" s="2">
        <f>IF('PV IN'!$F$4="Battery Only",0,BB317+BG317)</f>
        <v>-1086.25</v>
      </c>
      <c r="BI317" s="2">
        <f>BH317/(1+('PV IN'!$G$9))^(C317)</f>
        <v>-304.25816292177115</v>
      </c>
    </row>
    <row r="318" spans="2:61" x14ac:dyDescent="0.25">
      <c r="C318">
        <v>314</v>
      </c>
      <c r="D318" s="16">
        <f>D317*(1+('PV IN'!$G$6/12))</f>
        <v>7.5999999999999998E-2</v>
      </c>
      <c r="E318" s="16">
        <f>LkUP!$U$47</f>
        <v>8.071410194180921E-2</v>
      </c>
      <c r="F318" s="16">
        <f>IF('PV IN'!$D$7="Table",E318,D318)</f>
        <v>8.071410194180921E-2</v>
      </c>
      <c r="G318" s="33">
        <f>('PV IN'!$E$25*'PV IN'!$E$18/12)*(1-(1-'PV IN'!$E$27)/(25*12))^C317</f>
        <v>123770.4131875584</v>
      </c>
      <c r="H318" s="33">
        <f>IF('PV IN'!$D$19="YES",G318*'PV IN'!$E$21,0)</f>
        <v>0</v>
      </c>
      <c r="I318" s="33">
        <f>IF('PV IN'!$D$19="YES",'PV IN'!$E$22*BattCalcs!W318,0)</f>
        <v>0</v>
      </c>
      <c r="J318" s="33">
        <f>IF('PV IN'!$D$19="YES",'PV IN'!$E$23*BattCalcs!Y318,0)</f>
        <v>0</v>
      </c>
      <c r="K318" s="33">
        <f>BattCalcs!AF318</f>
        <v>25811.765833333331</v>
      </c>
      <c r="L318" s="33">
        <f t="shared" si="81"/>
        <v>25811.765833333331</v>
      </c>
      <c r="M318" s="33">
        <f>IF('PV IN'!$F$4="PV Only",G318,G318-SUM(H318:J318,L318))</f>
        <v>123770.4131875584</v>
      </c>
      <c r="N318" s="2">
        <f>IF(C318&lt;='PV IN'!$I$12*12,'PV IN'!$E$12*G318/1000,0)</f>
        <v>0</v>
      </c>
      <c r="O318" s="2">
        <f>IF(AND(C318&gt;'PV IN'!$I$12*12,C318&lt;='PV IN'!$I$13*12+'PV IN'!$I$12*12),'PV IN'!$E$13*PVCalcs!G318/1000,0)</f>
        <v>0</v>
      </c>
      <c r="P318" s="2">
        <f>IF(AND(C318&gt;'PV IN'!$I$12*12+'PV IN'!$I$13*12,C318&lt;='PV IN'!$I$12*12+'PV IN'!$I$13*12+'PV IN'!$I$14*12),'PV IN'!$E$14*PVCalcs!G318/1000,0)</f>
        <v>0</v>
      </c>
      <c r="R318" s="10">
        <f>IF(AND('PV IN'!$D$35="YES",$C318&lt;='PV IN'!$E$35*12),-'PV IN'!$E$18*'PV IN'!$E$34/12,0)</f>
        <v>0</v>
      </c>
      <c r="S318" s="10">
        <f>IF(AND('PV IN'!$D$37="YES",$C318&lt;='PV IN'!$E$37*12),-'PV IN'!$E$18*'PV IN'!$E$36/12,0)</f>
        <v>0</v>
      </c>
      <c r="U318" s="2">
        <f t="shared" si="80"/>
        <v>9990.0177474004358</v>
      </c>
      <c r="V318" s="10">
        <f>PVLoan!M345</f>
        <v>0</v>
      </c>
      <c r="W318" s="2">
        <f>IF(C318='PV IN'!$I$40,IF('PV IN'!$G$40="Non-Taxable",'PV IN'!$F$40,0),0)+IF(C318='PV IN'!$I$41,IF('PV IN'!$G$41="Non-Taxable",'PV IN'!$F$41,0),0)</f>
        <v>0</v>
      </c>
      <c r="X318" s="10"/>
      <c r="Y318" s="10">
        <f>IF('PV IN'!$E$15="Non-Taxable",SUM(N318:P318),0)</f>
        <v>0</v>
      </c>
      <c r="Z318" s="10">
        <f>IF('PV IN'!$E$15="Taxable",SUM(N318:P318),0)</f>
        <v>0</v>
      </c>
      <c r="AA318" s="2">
        <f>IF(C318='PV IN'!$I$40,IF('PV IN'!$G$40="Taxable",'PV IN'!$F$40,0),0)+IF(C318='PV IN'!$I$41,IF('PV IN'!$G$41="Taxable",'PV IN'!$F$41,0),0)</f>
        <v>0</v>
      </c>
      <c r="AD318" s="10">
        <f>IF('PV IN'!$D$48="YES",-U318*'PV IN'!$E$8,0)</f>
        <v>0</v>
      </c>
      <c r="AE318" s="10">
        <f>IF('PV IN'!$N$10="Yes",-PVLoan!H346,-PVLoan!L346)</f>
        <v>0</v>
      </c>
      <c r="AF318" s="10">
        <f>IF('PV IN'!$N$10="Yes",-PVLoan!F346,0)</f>
        <v>0</v>
      </c>
      <c r="AG318" s="10">
        <f>IF(AND('PV IN'!$D$35="YES",$C318&lt;='PV IN'!$E$35*12),0,-'PV IN'!$E$18*'PV IN'!$E$34/12)</f>
        <v>-750</v>
      </c>
      <c r="AH318" s="10">
        <f>IF(AND('PV IN'!$D$37="YES",$C318&lt;='PV IN'!$E$37*12),0,-'PV IN'!$E$18*'PV IN'!$E$36/12)</f>
        <v>-625</v>
      </c>
      <c r="AI318" s="2">
        <f>IF(AND('PV IN'!$D$33="YES",PVCalcs!C318=ROUNDUP('PV IN'!$H$33*12,)),-'PV IN'!$E$33*'PV IN'!$E$18,0)</f>
        <v>0</v>
      </c>
      <c r="AK318" s="2">
        <f t="shared" si="65"/>
        <v>9990.0177474004358</v>
      </c>
      <c r="AL318" s="2">
        <f t="shared" si="82"/>
        <v>-1375</v>
      </c>
      <c r="AM318" s="2">
        <f t="shared" si="83"/>
        <v>8615.0177474004358</v>
      </c>
      <c r="AN318" s="43"/>
      <c r="AO318" s="2">
        <f t="shared" si="67"/>
        <v>0</v>
      </c>
      <c r="AP318" s="2">
        <f t="shared" si="84"/>
        <v>-1375</v>
      </c>
      <c r="AR318" s="2">
        <f t="shared" si="85"/>
        <v>-1375</v>
      </c>
      <c r="AS318" s="2">
        <f>-AR318*'PV IN'!$E$8</f>
        <v>288.75</v>
      </c>
      <c r="AT318" s="2">
        <f>IF('PV IN'!$F$4="Battery Only",0,AM318+AS318)</f>
        <v>8903.7677474004358</v>
      </c>
      <c r="AV318" s="10">
        <f t="shared" si="86"/>
        <v>2065994.375562479</v>
      </c>
      <c r="AW318" s="2">
        <f>AT318/(1+('PV IN'!$G$9))^(C318)</f>
        <v>2483.8221595521113</v>
      </c>
      <c r="AX318" s="2" t="e">
        <f>IF(C318&lt;='PV IN'!$O$22*12,AW318+AX317,NA())</f>
        <v>#N/A</v>
      </c>
      <c r="AZ318" s="10">
        <f t="shared" si="68"/>
        <v>-1375</v>
      </c>
      <c r="BA318" s="10">
        <f t="shared" si="69"/>
        <v>0</v>
      </c>
      <c r="BB318" s="10">
        <f t="shared" si="74"/>
        <v>-1375</v>
      </c>
      <c r="BC318" s="10">
        <f t="shared" si="75"/>
        <v>0</v>
      </c>
      <c r="BD318" s="10">
        <f t="shared" si="76"/>
        <v>-1375</v>
      </c>
      <c r="BE318" s="2">
        <f t="shared" si="77"/>
        <v>0</v>
      </c>
      <c r="BF318" s="10">
        <f t="shared" si="78"/>
        <v>-1375</v>
      </c>
      <c r="BG318" s="2">
        <f>-BF318*'PV IN'!$E$8</f>
        <v>288.75</v>
      </c>
      <c r="BH318" s="2">
        <f>IF('PV IN'!$F$4="Battery Only",0,BB318+BG318)</f>
        <v>-1086.25</v>
      </c>
      <c r="BI318" s="2">
        <f>BH318/(1+('PV IN'!$G$9))^(C318)</f>
        <v>-303.02360723652191</v>
      </c>
    </row>
    <row r="319" spans="2:61" x14ac:dyDescent="0.25">
      <c r="C319">
        <v>315</v>
      </c>
      <c r="D319" s="16">
        <f>D318*(1+('PV IN'!$G$6/12))</f>
        <v>7.5999999999999998E-2</v>
      </c>
      <c r="E319" s="16">
        <f>LkUP!$U$47</f>
        <v>8.071410194180921E-2</v>
      </c>
      <c r="F319" s="16">
        <f>IF('PV IN'!$D$7="Table",E319,D319)</f>
        <v>8.071410194180921E-2</v>
      </c>
      <c r="G319" s="33">
        <f>('PV IN'!$E$25*'PV IN'!$E$18/12)*(1-(1-'PV IN'!$E$27)/(25*12))^C318</f>
        <v>123687.89957876668</v>
      </c>
      <c r="H319" s="33">
        <f>IF('PV IN'!$D$19="YES",G319*'PV IN'!$E$21,0)</f>
        <v>0</v>
      </c>
      <c r="I319" s="33">
        <f>IF('PV IN'!$D$19="YES",'PV IN'!$E$22*BattCalcs!W319,0)</f>
        <v>0</v>
      </c>
      <c r="J319" s="33">
        <f>IF('PV IN'!$D$19="YES",'PV IN'!$E$23*BattCalcs!Y319,0)</f>
        <v>0</v>
      </c>
      <c r="K319" s="33">
        <f>BattCalcs!AF319</f>
        <v>25811.765833333331</v>
      </c>
      <c r="L319" s="33">
        <f t="shared" si="81"/>
        <v>25811.765833333331</v>
      </c>
      <c r="M319" s="33">
        <f>IF('PV IN'!$F$4="PV Only",G319,G319-SUM(H319:J319,L319))</f>
        <v>123687.89957876668</v>
      </c>
      <c r="N319" s="2">
        <f>IF(C319&lt;='PV IN'!$I$12*12,'PV IN'!$E$12*G319/1000,0)</f>
        <v>0</v>
      </c>
      <c r="O319" s="2">
        <f>IF(AND(C319&gt;'PV IN'!$I$12*12,C319&lt;='PV IN'!$I$13*12+'PV IN'!$I$12*12),'PV IN'!$E$13*PVCalcs!G319/1000,0)</f>
        <v>0</v>
      </c>
      <c r="P319" s="2">
        <f>IF(AND(C319&gt;'PV IN'!$I$12*12+'PV IN'!$I$13*12,C319&lt;='PV IN'!$I$12*12+'PV IN'!$I$13*12+'PV IN'!$I$14*12),'PV IN'!$E$14*PVCalcs!G319/1000,0)</f>
        <v>0</v>
      </c>
      <c r="R319" s="10">
        <f>IF(AND('PV IN'!$D$35="YES",$C319&lt;='PV IN'!$E$35*12),-'PV IN'!$E$18*'PV IN'!$E$34/12,0)</f>
        <v>0</v>
      </c>
      <c r="S319" s="10">
        <f>IF(AND('PV IN'!$D$37="YES",$C319&lt;='PV IN'!$E$37*12),-'PV IN'!$E$18*'PV IN'!$E$36/12,0)</f>
        <v>0</v>
      </c>
      <c r="U319" s="2">
        <f t="shared" si="80"/>
        <v>9983.357735568834</v>
      </c>
      <c r="V319" s="10">
        <f>PVLoan!M346</f>
        <v>0</v>
      </c>
      <c r="W319" s="2">
        <f>IF(C319='PV IN'!$I$40,IF('PV IN'!$G$40="Non-Taxable",'PV IN'!$F$40,0),0)+IF(C319='PV IN'!$I$41,IF('PV IN'!$G$41="Non-Taxable",'PV IN'!$F$41,0),0)</f>
        <v>0</v>
      </c>
      <c r="X319" s="10"/>
      <c r="Y319" s="10">
        <f>IF('PV IN'!$E$15="Non-Taxable",SUM(N319:P319),0)</f>
        <v>0</v>
      </c>
      <c r="Z319" s="10">
        <f>IF('PV IN'!$E$15="Taxable",SUM(N319:P319),0)</f>
        <v>0</v>
      </c>
      <c r="AA319" s="2">
        <f>IF(C319='PV IN'!$I$40,IF('PV IN'!$G$40="Taxable",'PV IN'!$F$40,0),0)+IF(C319='PV IN'!$I$41,IF('PV IN'!$G$41="Taxable",'PV IN'!$F$41,0),0)</f>
        <v>0</v>
      </c>
      <c r="AD319" s="10">
        <f>IF('PV IN'!$D$48="YES",-U319*'PV IN'!$E$8,0)</f>
        <v>0</v>
      </c>
      <c r="AE319" s="10">
        <f>IF('PV IN'!$N$10="Yes",-PVLoan!H347,-PVLoan!L347)</f>
        <v>0</v>
      </c>
      <c r="AF319" s="10">
        <f>IF('PV IN'!$N$10="Yes",-PVLoan!F347,0)</f>
        <v>0</v>
      </c>
      <c r="AG319" s="10">
        <f>IF(AND('PV IN'!$D$35="YES",$C319&lt;='PV IN'!$E$35*12),0,-'PV IN'!$E$18*'PV IN'!$E$34/12)</f>
        <v>-750</v>
      </c>
      <c r="AH319" s="10">
        <f>IF(AND('PV IN'!$D$37="YES",$C319&lt;='PV IN'!$E$37*12),0,-'PV IN'!$E$18*'PV IN'!$E$36/12)</f>
        <v>-625</v>
      </c>
      <c r="AI319" s="2">
        <f>IF(AND('PV IN'!$D$33="YES",PVCalcs!C319=ROUNDUP('PV IN'!$H$33*12,)),-'PV IN'!$E$33*'PV IN'!$E$18,0)</f>
        <v>0</v>
      </c>
      <c r="AK319" s="2">
        <f t="shared" si="65"/>
        <v>9983.357735568834</v>
      </c>
      <c r="AL319" s="2">
        <f t="shared" si="82"/>
        <v>-1375</v>
      </c>
      <c r="AM319" s="2">
        <f t="shared" si="83"/>
        <v>8608.357735568834</v>
      </c>
      <c r="AN319" s="43"/>
      <c r="AO319" s="2">
        <f t="shared" si="67"/>
        <v>0</v>
      </c>
      <c r="AP319" s="2">
        <f t="shared" si="84"/>
        <v>-1375</v>
      </c>
      <c r="AR319" s="2">
        <f t="shared" si="85"/>
        <v>-1375</v>
      </c>
      <c r="AS319" s="2">
        <f>-AR319*'PV IN'!$E$8</f>
        <v>288.75</v>
      </c>
      <c r="AT319" s="2">
        <f>IF('PV IN'!$F$4="Battery Only",0,AM319+AS319)</f>
        <v>8897.107735568834</v>
      </c>
      <c r="AV319" s="10">
        <f t="shared" si="86"/>
        <v>2074891.4832980479</v>
      </c>
      <c r="AW319" s="2">
        <f>AT319/(1+('PV IN'!$G$9))^(C319)</f>
        <v>2471.8934624283274</v>
      </c>
      <c r="AX319" s="2" t="e">
        <f>IF(C319&lt;='PV IN'!$O$22*12,AW319+AX318,NA())</f>
        <v>#N/A</v>
      </c>
      <c r="AZ319" s="10">
        <f t="shared" si="68"/>
        <v>-1375</v>
      </c>
      <c r="BA319" s="10">
        <f t="shared" si="69"/>
        <v>0</v>
      </c>
      <c r="BB319" s="10">
        <f t="shared" si="74"/>
        <v>-1375</v>
      </c>
      <c r="BC319" s="10">
        <f t="shared" si="75"/>
        <v>0</v>
      </c>
      <c r="BD319" s="10">
        <f t="shared" si="76"/>
        <v>-1375</v>
      </c>
      <c r="BE319" s="2">
        <f t="shared" si="77"/>
        <v>0</v>
      </c>
      <c r="BF319" s="10">
        <f t="shared" si="78"/>
        <v>-1375</v>
      </c>
      <c r="BG319" s="2">
        <f>-BF319*'PV IN'!$E$8</f>
        <v>288.75</v>
      </c>
      <c r="BH319" s="2">
        <f>IF('PV IN'!$F$4="Battery Only",0,BB319+BG319)</f>
        <v>-1086.25</v>
      </c>
      <c r="BI319" s="2">
        <f>BH319/(1+('PV IN'!$G$9))^(C319)</f>
        <v>-301.79406087534579</v>
      </c>
    </row>
    <row r="320" spans="2:61" x14ac:dyDescent="0.25">
      <c r="C320">
        <v>316</v>
      </c>
      <c r="D320" s="16">
        <f>D319*(1+('PV IN'!$G$6/12))</f>
        <v>7.5999999999999998E-2</v>
      </c>
      <c r="E320" s="16">
        <f>LkUP!$U$47</f>
        <v>8.071410194180921E-2</v>
      </c>
      <c r="F320" s="16">
        <f>IF('PV IN'!$D$7="Table",E320,D320)</f>
        <v>8.071410194180921E-2</v>
      </c>
      <c r="G320" s="33">
        <f>('PV IN'!$E$25*'PV IN'!$E$18/12)*(1-(1-'PV IN'!$E$27)/(25*12))^C319</f>
        <v>123605.4409790475</v>
      </c>
      <c r="H320" s="33">
        <f>IF('PV IN'!$D$19="YES",G320*'PV IN'!$E$21,0)</f>
        <v>0</v>
      </c>
      <c r="I320" s="33">
        <f>IF('PV IN'!$D$19="YES",'PV IN'!$E$22*BattCalcs!W320,0)</f>
        <v>0</v>
      </c>
      <c r="J320" s="33">
        <f>IF('PV IN'!$D$19="YES",'PV IN'!$E$23*BattCalcs!Y320,0)</f>
        <v>0</v>
      </c>
      <c r="K320" s="33">
        <f>BattCalcs!AF320</f>
        <v>25811.765833333331</v>
      </c>
      <c r="L320" s="33">
        <f t="shared" si="81"/>
        <v>25811.765833333331</v>
      </c>
      <c r="M320" s="33">
        <f>IF('PV IN'!$F$4="PV Only",G320,G320-SUM(H320:J320,L320))</f>
        <v>123605.4409790475</v>
      </c>
      <c r="N320" s="2">
        <f>IF(C320&lt;='PV IN'!$I$12*12,'PV IN'!$E$12*G320/1000,0)</f>
        <v>0</v>
      </c>
      <c r="O320" s="2">
        <f>IF(AND(C320&gt;'PV IN'!$I$12*12,C320&lt;='PV IN'!$I$13*12+'PV IN'!$I$12*12),'PV IN'!$E$13*PVCalcs!G320/1000,0)</f>
        <v>0</v>
      </c>
      <c r="P320" s="2">
        <f>IF(AND(C320&gt;'PV IN'!$I$12*12+'PV IN'!$I$13*12,C320&lt;='PV IN'!$I$12*12+'PV IN'!$I$13*12+'PV IN'!$I$14*12),'PV IN'!$E$14*PVCalcs!G320/1000,0)</f>
        <v>0</v>
      </c>
      <c r="R320" s="10">
        <f>IF(AND('PV IN'!$D$35="YES",$C320&lt;='PV IN'!$E$35*12),-'PV IN'!$E$18*'PV IN'!$E$34/12,0)</f>
        <v>0</v>
      </c>
      <c r="S320" s="10">
        <f>IF(AND('PV IN'!$D$37="YES",$C320&lt;='PV IN'!$E$37*12),-'PV IN'!$E$18*'PV IN'!$E$36/12,0)</f>
        <v>0</v>
      </c>
      <c r="U320" s="2">
        <f t="shared" si="80"/>
        <v>9976.7021637451217</v>
      </c>
      <c r="V320" s="10">
        <f>PVLoan!M347</f>
        <v>0</v>
      </c>
      <c r="W320" s="2">
        <f>IF(C320='PV IN'!$I$40,IF('PV IN'!$G$40="Non-Taxable",'PV IN'!$F$40,0),0)+IF(C320='PV IN'!$I$41,IF('PV IN'!$G$41="Non-Taxable",'PV IN'!$F$41,0),0)</f>
        <v>0</v>
      </c>
      <c r="X320" s="10"/>
      <c r="Y320" s="10">
        <f>IF('PV IN'!$E$15="Non-Taxable",SUM(N320:P320),0)</f>
        <v>0</v>
      </c>
      <c r="Z320" s="10">
        <f>IF('PV IN'!$E$15="Taxable",SUM(N320:P320),0)</f>
        <v>0</v>
      </c>
      <c r="AA320" s="2">
        <f>IF(C320='PV IN'!$I$40,IF('PV IN'!$G$40="Taxable",'PV IN'!$F$40,0),0)+IF(C320='PV IN'!$I$41,IF('PV IN'!$G$41="Taxable",'PV IN'!$F$41,0),0)</f>
        <v>0</v>
      </c>
      <c r="AD320" s="10">
        <f>IF('PV IN'!$D$48="YES",-U320*'PV IN'!$E$8,0)</f>
        <v>0</v>
      </c>
      <c r="AE320" s="10">
        <f>IF('PV IN'!$N$10="Yes",-PVLoan!H348,-PVLoan!L348)</f>
        <v>0</v>
      </c>
      <c r="AF320" s="10">
        <f>IF('PV IN'!$N$10="Yes",-PVLoan!F348,0)</f>
        <v>0</v>
      </c>
      <c r="AG320" s="10">
        <f>IF(AND('PV IN'!$D$35="YES",$C320&lt;='PV IN'!$E$35*12),0,-'PV IN'!$E$18*'PV IN'!$E$34/12)</f>
        <v>-750</v>
      </c>
      <c r="AH320" s="10">
        <f>IF(AND('PV IN'!$D$37="YES",$C320&lt;='PV IN'!$E$37*12),0,-'PV IN'!$E$18*'PV IN'!$E$36/12)</f>
        <v>-625</v>
      </c>
      <c r="AI320" s="2">
        <f>IF(AND('PV IN'!$D$33="YES",PVCalcs!C320=ROUNDUP('PV IN'!$H$33*12,)),-'PV IN'!$E$33*'PV IN'!$E$18,0)</f>
        <v>0</v>
      </c>
      <c r="AK320" s="2">
        <f t="shared" si="65"/>
        <v>9976.7021637451217</v>
      </c>
      <c r="AL320" s="2">
        <f t="shared" si="82"/>
        <v>-1375</v>
      </c>
      <c r="AM320" s="2">
        <f t="shared" si="83"/>
        <v>8601.7021637451217</v>
      </c>
      <c r="AN320" s="43"/>
      <c r="AO320" s="2">
        <f t="shared" si="67"/>
        <v>0</v>
      </c>
      <c r="AP320" s="2">
        <f t="shared" si="84"/>
        <v>-1375</v>
      </c>
      <c r="AR320" s="2">
        <f t="shared" si="85"/>
        <v>-1375</v>
      </c>
      <c r="AS320" s="2">
        <f>-AR320*'PV IN'!$E$8</f>
        <v>288.75</v>
      </c>
      <c r="AT320" s="2">
        <f>IF('PV IN'!$F$4="Battery Only",0,AM320+AS320)</f>
        <v>8890.4521637451217</v>
      </c>
      <c r="AV320" s="10">
        <f t="shared" si="86"/>
        <v>2083781.9354617931</v>
      </c>
      <c r="AW320" s="2">
        <f>AT320/(1+('PV IN'!$G$9))^(C320)</f>
        <v>2460.0219036667672</v>
      </c>
      <c r="AX320" s="2" t="e">
        <f>IF(C320&lt;='PV IN'!$O$22*12,AW320+AX319,NA())</f>
        <v>#N/A</v>
      </c>
      <c r="AZ320" s="10">
        <f t="shared" si="68"/>
        <v>-1375</v>
      </c>
      <c r="BA320" s="10">
        <f t="shared" si="69"/>
        <v>0</v>
      </c>
      <c r="BB320" s="10">
        <f t="shared" si="74"/>
        <v>-1375</v>
      </c>
      <c r="BC320" s="10">
        <f t="shared" si="75"/>
        <v>0</v>
      </c>
      <c r="BD320" s="10">
        <f t="shared" si="76"/>
        <v>-1375</v>
      </c>
      <c r="BE320" s="2">
        <f t="shared" si="77"/>
        <v>0</v>
      </c>
      <c r="BF320" s="10">
        <f t="shared" si="78"/>
        <v>-1375</v>
      </c>
      <c r="BG320" s="2">
        <f>-BF320*'PV IN'!$E$8</f>
        <v>288.75</v>
      </c>
      <c r="BH320" s="2">
        <f>IF('PV IN'!$F$4="Battery Only",0,BB320+BG320)</f>
        <v>-1086.25</v>
      </c>
      <c r="BI320" s="2">
        <f>BH320/(1+('PV IN'!$G$9))^(C320)</f>
        <v>-300.56950351244637</v>
      </c>
    </row>
    <row r="321" spans="2:61" x14ac:dyDescent="0.25">
      <c r="C321">
        <v>317</v>
      </c>
      <c r="D321" s="16">
        <f>D320*(1+('PV IN'!$G$6/12))</f>
        <v>7.5999999999999998E-2</v>
      </c>
      <c r="E321" s="16">
        <f>LkUP!$U$47</f>
        <v>8.071410194180921E-2</v>
      </c>
      <c r="F321" s="16">
        <f>IF('PV IN'!$D$7="Table",E321,D321)</f>
        <v>8.071410194180921E-2</v>
      </c>
      <c r="G321" s="33">
        <f>('PV IN'!$E$25*'PV IN'!$E$18/12)*(1-(1-'PV IN'!$E$27)/(25*12))^C320</f>
        <v>123523.03735172814</v>
      </c>
      <c r="H321" s="33">
        <f>IF('PV IN'!$D$19="YES",G321*'PV IN'!$E$21,0)</f>
        <v>0</v>
      </c>
      <c r="I321" s="33">
        <f>IF('PV IN'!$D$19="YES",'PV IN'!$E$22*BattCalcs!W321,0)</f>
        <v>0</v>
      </c>
      <c r="J321" s="33">
        <f>IF('PV IN'!$D$19="YES",'PV IN'!$E$23*BattCalcs!Y321,0)</f>
        <v>0</v>
      </c>
      <c r="K321" s="33">
        <f>BattCalcs!AF321</f>
        <v>25811.765833333331</v>
      </c>
      <c r="L321" s="33">
        <f t="shared" si="81"/>
        <v>25811.765833333331</v>
      </c>
      <c r="M321" s="33">
        <f>IF('PV IN'!$F$4="PV Only",G321,G321-SUM(H321:J321,L321))</f>
        <v>123523.03735172814</v>
      </c>
      <c r="N321" s="2">
        <f>IF(C321&lt;='PV IN'!$I$12*12,'PV IN'!$E$12*G321/1000,0)</f>
        <v>0</v>
      </c>
      <c r="O321" s="2">
        <f>IF(AND(C321&gt;'PV IN'!$I$12*12,C321&lt;='PV IN'!$I$13*12+'PV IN'!$I$12*12),'PV IN'!$E$13*PVCalcs!G321/1000,0)</f>
        <v>0</v>
      </c>
      <c r="P321" s="2">
        <f>IF(AND(C321&gt;'PV IN'!$I$12*12+'PV IN'!$I$13*12,C321&lt;='PV IN'!$I$12*12+'PV IN'!$I$13*12+'PV IN'!$I$14*12),'PV IN'!$E$14*PVCalcs!G321/1000,0)</f>
        <v>0</v>
      </c>
      <c r="R321" s="10">
        <f>IF(AND('PV IN'!$D$35="YES",$C321&lt;='PV IN'!$E$35*12),-'PV IN'!$E$18*'PV IN'!$E$34/12,0)</f>
        <v>0</v>
      </c>
      <c r="S321" s="10">
        <f>IF(AND('PV IN'!$D$37="YES",$C321&lt;='PV IN'!$E$37*12),-'PV IN'!$E$18*'PV IN'!$E$36/12,0)</f>
        <v>0</v>
      </c>
      <c r="U321" s="2">
        <f t="shared" si="80"/>
        <v>9970.051028969292</v>
      </c>
      <c r="V321" s="10">
        <f>PVLoan!M348</f>
        <v>0</v>
      </c>
      <c r="W321" s="2">
        <f>IF(C321='PV IN'!$I$40,IF('PV IN'!$G$40="Non-Taxable",'PV IN'!$F$40,0),0)+IF(C321='PV IN'!$I$41,IF('PV IN'!$G$41="Non-Taxable",'PV IN'!$F$41,0),0)</f>
        <v>0</v>
      </c>
      <c r="X321" s="10"/>
      <c r="Y321" s="10">
        <f>IF('PV IN'!$E$15="Non-Taxable",SUM(N321:P321),0)</f>
        <v>0</v>
      </c>
      <c r="Z321" s="10">
        <f>IF('PV IN'!$E$15="Taxable",SUM(N321:P321),0)</f>
        <v>0</v>
      </c>
      <c r="AA321" s="2">
        <f>IF(C321='PV IN'!$I$40,IF('PV IN'!$G$40="Taxable",'PV IN'!$F$40,0),0)+IF(C321='PV IN'!$I$41,IF('PV IN'!$G$41="Taxable",'PV IN'!$F$41,0),0)</f>
        <v>0</v>
      </c>
      <c r="AD321" s="10">
        <f>IF('PV IN'!$D$48="YES",-U321*'PV IN'!$E$8,0)</f>
        <v>0</v>
      </c>
      <c r="AE321" s="10">
        <f>IF('PV IN'!$N$10="Yes",-PVLoan!H349,-PVLoan!L349)</f>
        <v>0</v>
      </c>
      <c r="AF321" s="10">
        <f>IF('PV IN'!$N$10="Yes",-PVLoan!F349,0)</f>
        <v>0</v>
      </c>
      <c r="AG321" s="10">
        <f>IF(AND('PV IN'!$D$35="YES",$C321&lt;='PV IN'!$E$35*12),0,-'PV IN'!$E$18*'PV IN'!$E$34/12)</f>
        <v>-750</v>
      </c>
      <c r="AH321" s="10">
        <f>IF(AND('PV IN'!$D$37="YES",$C321&lt;='PV IN'!$E$37*12),0,-'PV IN'!$E$18*'PV IN'!$E$36/12)</f>
        <v>-625</v>
      </c>
      <c r="AI321" s="2">
        <f>IF(AND('PV IN'!$D$33="YES",PVCalcs!C321=ROUNDUP('PV IN'!$H$33*12,)),-'PV IN'!$E$33*'PV IN'!$E$18,0)</f>
        <v>0</v>
      </c>
      <c r="AK321" s="2">
        <f t="shared" si="65"/>
        <v>9970.051028969292</v>
      </c>
      <c r="AL321" s="2">
        <f t="shared" si="82"/>
        <v>-1375</v>
      </c>
      <c r="AM321" s="2">
        <f t="shared" si="83"/>
        <v>8595.051028969292</v>
      </c>
      <c r="AN321" s="43"/>
      <c r="AO321" s="2">
        <f t="shared" si="67"/>
        <v>0</v>
      </c>
      <c r="AP321" s="2">
        <f t="shared" si="84"/>
        <v>-1375</v>
      </c>
      <c r="AR321" s="2">
        <f t="shared" si="85"/>
        <v>-1375</v>
      </c>
      <c r="AS321" s="2">
        <f>-AR321*'PV IN'!$E$8</f>
        <v>288.75</v>
      </c>
      <c r="AT321" s="2">
        <f>IF('PV IN'!$F$4="Battery Only",0,AM321+AS321)</f>
        <v>8883.801028969292</v>
      </c>
      <c r="AV321" s="10">
        <f t="shared" si="86"/>
        <v>2092665.7364907623</v>
      </c>
      <c r="AW321" s="2">
        <f>AT321/(1+('PV IN'!$G$9))^(C321)</f>
        <v>2448.2072101730487</v>
      </c>
      <c r="AX321" s="2" t="e">
        <f>IF(C321&lt;='PV IN'!$O$22*12,AW321+AX320,NA())</f>
        <v>#N/A</v>
      </c>
      <c r="AZ321" s="10">
        <f t="shared" si="68"/>
        <v>-1375</v>
      </c>
      <c r="BA321" s="10">
        <f t="shared" si="69"/>
        <v>0</v>
      </c>
      <c r="BB321" s="10">
        <f t="shared" si="74"/>
        <v>-1375</v>
      </c>
      <c r="BC321" s="10">
        <f t="shared" si="75"/>
        <v>0</v>
      </c>
      <c r="BD321" s="10">
        <f t="shared" si="76"/>
        <v>-1375</v>
      </c>
      <c r="BE321" s="2">
        <f t="shared" si="77"/>
        <v>0</v>
      </c>
      <c r="BF321" s="10">
        <f t="shared" si="78"/>
        <v>-1375</v>
      </c>
      <c r="BG321" s="2">
        <f>-BF321*'PV IN'!$E$8</f>
        <v>288.75</v>
      </c>
      <c r="BH321" s="2">
        <f>IF('PV IN'!$F$4="Battery Only",0,BB321+BG321)</f>
        <v>-1086.25</v>
      </c>
      <c r="BI321" s="2">
        <f>BH321/(1+('PV IN'!$G$9))^(C321)</f>
        <v>-299.34991490450079</v>
      </c>
    </row>
    <row r="322" spans="2:61" x14ac:dyDescent="0.25">
      <c r="C322">
        <v>318</v>
      </c>
      <c r="D322" s="16">
        <f>D321*(1+('PV IN'!$G$6/12))</f>
        <v>7.5999999999999998E-2</v>
      </c>
      <c r="E322" s="16">
        <f>LkUP!$U$47</f>
        <v>8.071410194180921E-2</v>
      </c>
      <c r="F322" s="16">
        <f>IF('PV IN'!$D$7="Table",E322,D322)</f>
        <v>8.071410194180921E-2</v>
      </c>
      <c r="G322" s="33">
        <f>('PV IN'!$E$25*'PV IN'!$E$18/12)*(1-(1-'PV IN'!$E$27)/(25*12))^C321</f>
        <v>123440.68866016032</v>
      </c>
      <c r="H322" s="33">
        <f>IF('PV IN'!$D$19="YES",G322*'PV IN'!$E$21,0)</f>
        <v>0</v>
      </c>
      <c r="I322" s="33">
        <f>IF('PV IN'!$D$19="YES",'PV IN'!$E$22*BattCalcs!W322,0)</f>
        <v>0</v>
      </c>
      <c r="J322" s="33">
        <f>IF('PV IN'!$D$19="YES",'PV IN'!$E$23*BattCalcs!Y322,0)</f>
        <v>0</v>
      </c>
      <c r="K322" s="33">
        <f>BattCalcs!AF322</f>
        <v>25811.765833333331</v>
      </c>
      <c r="L322" s="33">
        <f t="shared" si="81"/>
        <v>25811.765833333331</v>
      </c>
      <c r="M322" s="33">
        <f>IF('PV IN'!$F$4="PV Only",G322,G322-SUM(H322:J322,L322))</f>
        <v>123440.68866016032</v>
      </c>
      <c r="N322" s="2">
        <f>IF(C322&lt;='PV IN'!$I$12*12,'PV IN'!$E$12*G322/1000,0)</f>
        <v>0</v>
      </c>
      <c r="O322" s="2">
        <f>IF(AND(C322&gt;'PV IN'!$I$12*12,C322&lt;='PV IN'!$I$13*12+'PV IN'!$I$12*12),'PV IN'!$E$13*PVCalcs!G322/1000,0)</f>
        <v>0</v>
      </c>
      <c r="P322" s="2">
        <f>IF(AND(C322&gt;'PV IN'!$I$12*12+'PV IN'!$I$13*12,C322&lt;='PV IN'!$I$12*12+'PV IN'!$I$13*12+'PV IN'!$I$14*12),'PV IN'!$E$14*PVCalcs!G322/1000,0)</f>
        <v>0</v>
      </c>
      <c r="R322" s="10">
        <f>IF(AND('PV IN'!$D$35="YES",$C322&lt;='PV IN'!$E$35*12),-'PV IN'!$E$18*'PV IN'!$E$34/12,0)</f>
        <v>0</v>
      </c>
      <c r="S322" s="10">
        <f>IF(AND('PV IN'!$D$37="YES",$C322&lt;='PV IN'!$E$37*12),-'PV IN'!$E$18*'PV IN'!$E$36/12,0)</f>
        <v>0</v>
      </c>
      <c r="U322" s="2">
        <f t="shared" si="80"/>
        <v>9963.4043282833118</v>
      </c>
      <c r="V322" s="10">
        <f>PVLoan!M349</f>
        <v>0</v>
      </c>
      <c r="W322" s="2">
        <f>IF(C322='PV IN'!$I$40,IF('PV IN'!$G$40="Non-Taxable",'PV IN'!$F$40,0),0)+IF(C322='PV IN'!$I$41,IF('PV IN'!$G$41="Non-Taxable",'PV IN'!$F$41,0),0)</f>
        <v>0</v>
      </c>
      <c r="X322" s="10"/>
      <c r="Y322" s="10">
        <f>IF('PV IN'!$E$15="Non-Taxable",SUM(N322:P322),0)</f>
        <v>0</v>
      </c>
      <c r="Z322" s="10">
        <f>IF('PV IN'!$E$15="Taxable",SUM(N322:P322),0)</f>
        <v>0</v>
      </c>
      <c r="AA322" s="2">
        <f>IF(C322='PV IN'!$I$40,IF('PV IN'!$G$40="Taxable",'PV IN'!$F$40,0),0)+IF(C322='PV IN'!$I$41,IF('PV IN'!$G$41="Taxable",'PV IN'!$F$41,0),0)</f>
        <v>0</v>
      </c>
      <c r="AD322" s="10">
        <f>IF('PV IN'!$D$48="YES",-U322*'PV IN'!$E$8,0)</f>
        <v>0</v>
      </c>
      <c r="AE322" s="10">
        <f>IF('PV IN'!$N$10="Yes",-PVLoan!H350,-PVLoan!L350)</f>
        <v>0</v>
      </c>
      <c r="AF322" s="10">
        <f>IF('PV IN'!$N$10="Yes",-PVLoan!F350,0)</f>
        <v>0</v>
      </c>
      <c r="AG322" s="10">
        <f>IF(AND('PV IN'!$D$35="YES",$C322&lt;='PV IN'!$E$35*12),0,-'PV IN'!$E$18*'PV IN'!$E$34/12)</f>
        <v>-750</v>
      </c>
      <c r="AH322" s="10">
        <f>IF(AND('PV IN'!$D$37="YES",$C322&lt;='PV IN'!$E$37*12),0,-'PV IN'!$E$18*'PV IN'!$E$36/12)</f>
        <v>-625</v>
      </c>
      <c r="AI322" s="2">
        <f>IF(AND('PV IN'!$D$33="YES",PVCalcs!C322=ROUNDUP('PV IN'!$H$33*12,)),-'PV IN'!$E$33*'PV IN'!$E$18,0)</f>
        <v>0</v>
      </c>
      <c r="AK322" s="2">
        <f t="shared" si="65"/>
        <v>9963.4043282833118</v>
      </c>
      <c r="AL322" s="2">
        <f t="shared" si="82"/>
        <v>-1375</v>
      </c>
      <c r="AM322" s="2">
        <f t="shared" si="83"/>
        <v>8588.4043282833118</v>
      </c>
      <c r="AN322" s="43"/>
      <c r="AO322" s="2">
        <f t="shared" si="67"/>
        <v>0</v>
      </c>
      <c r="AP322" s="2">
        <f t="shared" si="84"/>
        <v>-1375</v>
      </c>
      <c r="AR322" s="2">
        <f t="shared" si="85"/>
        <v>-1375</v>
      </c>
      <c r="AS322" s="2">
        <f>-AR322*'PV IN'!$E$8</f>
        <v>288.75</v>
      </c>
      <c r="AT322" s="2">
        <f>IF('PV IN'!$F$4="Battery Only",0,AM322+AS322)</f>
        <v>8877.1543282833118</v>
      </c>
      <c r="AV322" s="10">
        <f t="shared" si="86"/>
        <v>2101542.8908190457</v>
      </c>
      <c r="AW322" s="2">
        <f>AT322/(1+('PV IN'!$G$9))^(C322)</f>
        <v>2436.4491101556628</v>
      </c>
      <c r="AX322" s="2" t="e">
        <f>IF(C322&lt;='PV IN'!$O$22*12,AW322+AX321,NA())</f>
        <v>#N/A</v>
      </c>
      <c r="AZ322" s="10">
        <f t="shared" si="68"/>
        <v>-1375</v>
      </c>
      <c r="BA322" s="10">
        <f t="shared" si="69"/>
        <v>0</v>
      </c>
      <c r="BB322" s="10">
        <f t="shared" si="74"/>
        <v>-1375</v>
      </c>
      <c r="BC322" s="10">
        <f t="shared" si="75"/>
        <v>0</v>
      </c>
      <c r="BD322" s="10">
        <f t="shared" si="76"/>
        <v>-1375</v>
      </c>
      <c r="BE322" s="2">
        <f t="shared" si="77"/>
        <v>0</v>
      </c>
      <c r="BF322" s="10">
        <f t="shared" si="78"/>
        <v>-1375</v>
      </c>
      <c r="BG322" s="2">
        <f>-BF322*'PV IN'!$E$8</f>
        <v>288.75</v>
      </c>
      <c r="BH322" s="2">
        <f>IF('PV IN'!$F$4="Battery Only",0,BB322+BG322)</f>
        <v>-1086.25</v>
      </c>
      <c r="BI322" s="2">
        <f>BH322/(1+('PV IN'!$G$9))^(C322)</f>
        <v>-298.1352748903256</v>
      </c>
    </row>
    <row r="323" spans="2:61" x14ac:dyDescent="0.25">
      <c r="C323">
        <v>319</v>
      </c>
      <c r="D323" s="16">
        <f>D322*(1+('PV IN'!$G$6/12))</f>
        <v>7.5999999999999998E-2</v>
      </c>
      <c r="E323" s="16">
        <f>LkUP!$U$47</f>
        <v>8.071410194180921E-2</v>
      </c>
      <c r="F323" s="16">
        <f>IF('PV IN'!$D$7="Table",E323,D323)</f>
        <v>8.071410194180921E-2</v>
      </c>
      <c r="G323" s="33">
        <f>('PV IN'!$E$25*'PV IN'!$E$18/12)*(1-(1-'PV IN'!$E$27)/(25*12))^C322</f>
        <v>123358.39486772018</v>
      </c>
      <c r="H323" s="33">
        <f>IF('PV IN'!$D$19="YES",G323*'PV IN'!$E$21,0)</f>
        <v>0</v>
      </c>
      <c r="I323" s="33">
        <f>IF('PV IN'!$D$19="YES",'PV IN'!$E$22*BattCalcs!W323,0)</f>
        <v>0</v>
      </c>
      <c r="J323" s="33">
        <f>IF('PV IN'!$D$19="YES",'PV IN'!$E$23*BattCalcs!Y323,0)</f>
        <v>0</v>
      </c>
      <c r="K323" s="33">
        <f>BattCalcs!AF323</f>
        <v>25811.765833333331</v>
      </c>
      <c r="L323" s="33">
        <f t="shared" si="81"/>
        <v>25811.765833333331</v>
      </c>
      <c r="M323" s="33">
        <f>IF('PV IN'!$F$4="PV Only",G323,G323-SUM(H323:J323,L323))</f>
        <v>123358.39486772018</v>
      </c>
      <c r="N323" s="2">
        <f>IF(C323&lt;='PV IN'!$I$12*12,'PV IN'!$E$12*G323/1000,0)</f>
        <v>0</v>
      </c>
      <c r="O323" s="2">
        <f>IF(AND(C323&gt;'PV IN'!$I$12*12,C323&lt;='PV IN'!$I$13*12+'PV IN'!$I$12*12),'PV IN'!$E$13*PVCalcs!G323/1000,0)</f>
        <v>0</v>
      </c>
      <c r="P323" s="2">
        <f>IF(AND(C323&gt;'PV IN'!$I$12*12+'PV IN'!$I$13*12,C323&lt;='PV IN'!$I$12*12+'PV IN'!$I$13*12+'PV IN'!$I$14*12),'PV IN'!$E$14*PVCalcs!G323/1000,0)</f>
        <v>0</v>
      </c>
      <c r="R323" s="10">
        <f>IF(AND('PV IN'!$D$35="YES",$C323&lt;='PV IN'!$E$35*12),-'PV IN'!$E$18*'PV IN'!$E$34/12,0)</f>
        <v>0</v>
      </c>
      <c r="S323" s="10">
        <f>IF(AND('PV IN'!$D$37="YES",$C323&lt;='PV IN'!$E$37*12),-'PV IN'!$E$18*'PV IN'!$E$36/12,0)</f>
        <v>0</v>
      </c>
      <c r="U323" s="2">
        <f t="shared" si="80"/>
        <v>9956.7620587311212</v>
      </c>
      <c r="V323" s="10">
        <f>PVLoan!M350</f>
        <v>0</v>
      </c>
      <c r="W323" s="2">
        <f>IF(C323='PV IN'!$I$40,IF('PV IN'!$G$40="Non-Taxable",'PV IN'!$F$40,0),0)+IF(C323='PV IN'!$I$41,IF('PV IN'!$G$41="Non-Taxable",'PV IN'!$F$41,0),0)</f>
        <v>0</v>
      </c>
      <c r="X323" s="10"/>
      <c r="Y323" s="10">
        <f>IF('PV IN'!$E$15="Non-Taxable",SUM(N323:P323),0)</f>
        <v>0</v>
      </c>
      <c r="Z323" s="10">
        <f>IF('PV IN'!$E$15="Taxable",SUM(N323:P323),0)</f>
        <v>0</v>
      </c>
      <c r="AA323" s="2">
        <f>IF(C323='PV IN'!$I$40,IF('PV IN'!$G$40="Taxable",'PV IN'!$F$40,0),0)+IF(C323='PV IN'!$I$41,IF('PV IN'!$G$41="Taxable",'PV IN'!$F$41,0),0)</f>
        <v>0</v>
      </c>
      <c r="AD323" s="10">
        <f>IF('PV IN'!$D$48="YES",-U323*'PV IN'!$E$8,0)</f>
        <v>0</v>
      </c>
      <c r="AE323" s="10">
        <f>IF('PV IN'!$N$10="Yes",-PVLoan!H351,-PVLoan!L351)</f>
        <v>0</v>
      </c>
      <c r="AF323" s="10">
        <f>IF('PV IN'!$N$10="Yes",-PVLoan!F351,0)</f>
        <v>0</v>
      </c>
      <c r="AG323" s="10">
        <f>IF(AND('PV IN'!$D$35="YES",$C323&lt;='PV IN'!$E$35*12),0,-'PV IN'!$E$18*'PV IN'!$E$34/12)</f>
        <v>-750</v>
      </c>
      <c r="AH323" s="10">
        <f>IF(AND('PV IN'!$D$37="YES",$C323&lt;='PV IN'!$E$37*12),0,-'PV IN'!$E$18*'PV IN'!$E$36/12)</f>
        <v>-625</v>
      </c>
      <c r="AI323" s="2">
        <f>IF(AND('PV IN'!$D$33="YES",PVCalcs!C323=ROUNDUP('PV IN'!$H$33*12,)),-'PV IN'!$E$33*'PV IN'!$E$18,0)</f>
        <v>0</v>
      </c>
      <c r="AK323" s="2">
        <f t="shared" si="65"/>
        <v>9956.7620587311212</v>
      </c>
      <c r="AL323" s="2">
        <f t="shared" si="82"/>
        <v>-1375</v>
      </c>
      <c r="AM323" s="2">
        <f t="shared" si="83"/>
        <v>8581.7620587311212</v>
      </c>
      <c r="AN323" s="43"/>
      <c r="AO323" s="2">
        <f t="shared" si="67"/>
        <v>0</v>
      </c>
      <c r="AP323" s="2">
        <f t="shared" si="84"/>
        <v>-1375</v>
      </c>
      <c r="AR323" s="2">
        <f t="shared" si="85"/>
        <v>-1375</v>
      </c>
      <c r="AS323" s="2">
        <f>-AR323*'PV IN'!$E$8</f>
        <v>288.75</v>
      </c>
      <c r="AT323" s="2">
        <f>IF('PV IN'!$F$4="Battery Only",0,AM323+AS323)</f>
        <v>8870.5120587311212</v>
      </c>
      <c r="AV323" s="10">
        <f t="shared" si="86"/>
        <v>2110413.4028777769</v>
      </c>
      <c r="AW323" s="2">
        <f>AT323/(1+('PV IN'!$G$9))^(C323)</f>
        <v>2424.7473331197639</v>
      </c>
      <c r="AX323" s="2" t="e">
        <f>IF(C323&lt;='PV IN'!$O$22*12,AW323+AX322,NA())</f>
        <v>#N/A</v>
      </c>
      <c r="AZ323" s="10">
        <f t="shared" si="68"/>
        <v>-1375</v>
      </c>
      <c r="BA323" s="10">
        <f t="shared" si="69"/>
        <v>0</v>
      </c>
      <c r="BB323" s="10">
        <f t="shared" si="74"/>
        <v>-1375</v>
      </c>
      <c r="BC323" s="10">
        <f t="shared" si="75"/>
        <v>0</v>
      </c>
      <c r="BD323" s="10">
        <f t="shared" si="76"/>
        <v>-1375</v>
      </c>
      <c r="BE323" s="2">
        <f t="shared" si="77"/>
        <v>0</v>
      </c>
      <c r="BF323" s="10">
        <f t="shared" si="78"/>
        <v>-1375</v>
      </c>
      <c r="BG323" s="2">
        <f>-BF323*'PV IN'!$E$8</f>
        <v>288.75</v>
      </c>
      <c r="BH323" s="2">
        <f>IF('PV IN'!$F$4="Battery Only",0,BB323+BG323)</f>
        <v>-1086.25</v>
      </c>
      <c r="BI323" s="2">
        <f>BH323/(1+('PV IN'!$G$9))^(C323)</f>
        <v>-296.925563390543</v>
      </c>
    </row>
    <row r="324" spans="2:61" x14ac:dyDescent="0.25">
      <c r="C324">
        <v>320</v>
      </c>
      <c r="D324" s="16">
        <f>D323*(1+('PV IN'!$G$6/12))</f>
        <v>7.5999999999999998E-2</v>
      </c>
      <c r="E324" s="16">
        <f>LkUP!$U$47</f>
        <v>8.071410194180921E-2</v>
      </c>
      <c r="F324" s="16">
        <f>IF('PV IN'!$D$7="Table",E324,D324)</f>
        <v>8.071410194180921E-2</v>
      </c>
      <c r="G324" s="33">
        <f>('PV IN'!$E$25*'PV IN'!$E$18/12)*(1-(1-'PV IN'!$E$27)/(25*12))^C323</f>
        <v>123276.15593780839</v>
      </c>
      <c r="H324" s="33">
        <f>IF('PV IN'!$D$19="YES",G324*'PV IN'!$E$21,0)</f>
        <v>0</v>
      </c>
      <c r="I324" s="33">
        <f>IF('PV IN'!$D$19="YES",'PV IN'!$E$22*BattCalcs!W324,0)</f>
        <v>0</v>
      </c>
      <c r="J324" s="33">
        <f>IF('PV IN'!$D$19="YES",'PV IN'!$E$23*BattCalcs!Y324,0)</f>
        <v>0</v>
      </c>
      <c r="K324" s="33">
        <f>BattCalcs!AF324</f>
        <v>25811.765833333331</v>
      </c>
      <c r="L324" s="33">
        <f t="shared" si="81"/>
        <v>25811.765833333331</v>
      </c>
      <c r="M324" s="33">
        <f>IF('PV IN'!$F$4="PV Only",G324,G324-SUM(H324:J324,L324))</f>
        <v>123276.15593780839</v>
      </c>
      <c r="N324" s="2">
        <f>IF(C324&lt;='PV IN'!$I$12*12,'PV IN'!$E$12*G324/1000,0)</f>
        <v>0</v>
      </c>
      <c r="O324" s="2">
        <f>IF(AND(C324&gt;'PV IN'!$I$12*12,C324&lt;='PV IN'!$I$13*12+'PV IN'!$I$12*12),'PV IN'!$E$13*PVCalcs!G324/1000,0)</f>
        <v>0</v>
      </c>
      <c r="P324" s="2">
        <f>IF(AND(C324&gt;'PV IN'!$I$12*12+'PV IN'!$I$13*12,C324&lt;='PV IN'!$I$12*12+'PV IN'!$I$13*12+'PV IN'!$I$14*12),'PV IN'!$E$14*PVCalcs!G324/1000,0)</f>
        <v>0</v>
      </c>
      <c r="R324" s="10">
        <f>IF(AND('PV IN'!$D$35="YES",$C324&lt;='PV IN'!$E$35*12),-'PV IN'!$E$18*'PV IN'!$E$34/12,0)</f>
        <v>0</v>
      </c>
      <c r="S324" s="10">
        <f>IF(AND('PV IN'!$D$37="YES",$C324&lt;='PV IN'!$E$37*12),-'PV IN'!$E$18*'PV IN'!$E$36/12,0)</f>
        <v>0</v>
      </c>
      <c r="U324" s="2">
        <f t="shared" si="80"/>
        <v>9950.1242173586361</v>
      </c>
      <c r="V324" s="10">
        <f>PVLoan!M351</f>
        <v>0</v>
      </c>
      <c r="W324" s="2">
        <f>IF(C324='PV IN'!$I$40,IF('PV IN'!$G$40="Non-Taxable",'PV IN'!$F$40,0),0)+IF(C324='PV IN'!$I$41,IF('PV IN'!$G$41="Non-Taxable",'PV IN'!$F$41,0),0)</f>
        <v>0</v>
      </c>
      <c r="X324" s="10"/>
      <c r="Y324" s="10">
        <f>IF('PV IN'!$E$15="Non-Taxable",SUM(N324:P324),0)</f>
        <v>0</v>
      </c>
      <c r="Z324" s="10">
        <f>IF('PV IN'!$E$15="Taxable",SUM(N324:P324),0)</f>
        <v>0</v>
      </c>
      <c r="AA324" s="2">
        <f>IF(C324='PV IN'!$I$40,IF('PV IN'!$G$40="Taxable",'PV IN'!$F$40,0),0)+IF(C324='PV IN'!$I$41,IF('PV IN'!$G$41="Taxable",'PV IN'!$F$41,0),0)</f>
        <v>0</v>
      </c>
      <c r="AD324" s="10">
        <f>IF('PV IN'!$D$48="YES",-U324*'PV IN'!$E$8,0)</f>
        <v>0</v>
      </c>
      <c r="AE324" s="10">
        <f>IF('PV IN'!$N$10="Yes",-PVLoan!H352,-PVLoan!L352)</f>
        <v>0</v>
      </c>
      <c r="AF324" s="10">
        <f>IF('PV IN'!$N$10="Yes",-PVLoan!F352,0)</f>
        <v>0</v>
      </c>
      <c r="AG324" s="10">
        <f>IF(AND('PV IN'!$D$35="YES",$C324&lt;='PV IN'!$E$35*12),0,-'PV IN'!$E$18*'PV IN'!$E$34/12)</f>
        <v>-750</v>
      </c>
      <c r="AH324" s="10">
        <f>IF(AND('PV IN'!$D$37="YES",$C324&lt;='PV IN'!$E$37*12),0,-'PV IN'!$E$18*'PV IN'!$E$36/12)</f>
        <v>-625</v>
      </c>
      <c r="AI324" s="2">
        <f>IF(AND('PV IN'!$D$33="YES",PVCalcs!C324=ROUNDUP('PV IN'!$H$33*12,)),-'PV IN'!$E$33*'PV IN'!$E$18,0)</f>
        <v>0</v>
      </c>
      <c r="AK324" s="2">
        <f t="shared" ref="AK324:AK387" si="87">SUM(U324:AA324)</f>
        <v>9950.1242173586361</v>
      </c>
      <c r="AL324" s="2">
        <f t="shared" si="82"/>
        <v>-1375</v>
      </c>
      <c r="AM324" s="2">
        <f t="shared" si="83"/>
        <v>8575.1242173586361</v>
      </c>
      <c r="AN324" s="43"/>
      <c r="AO324" s="2">
        <f t="shared" ref="AO324:AO364" si="88">SUM(Z324:AA324)</f>
        <v>0</v>
      </c>
      <c r="AP324" s="2">
        <f t="shared" si="84"/>
        <v>-1375</v>
      </c>
      <c r="AR324" s="2">
        <f t="shared" si="85"/>
        <v>-1375</v>
      </c>
      <c r="AS324" s="2">
        <f>-AR324*'PV IN'!$E$8</f>
        <v>288.75</v>
      </c>
      <c r="AT324" s="2">
        <f>IF('PV IN'!$F$4="Battery Only",0,AM324+AS324)</f>
        <v>8863.8742173586361</v>
      </c>
      <c r="AV324" s="10">
        <f t="shared" si="86"/>
        <v>2119277.2770951353</v>
      </c>
      <c r="AW324" s="2">
        <f>AT324/(1+('PV IN'!$G$9))^(C324)</f>
        <v>2413.1016098609962</v>
      </c>
      <c r="AX324" s="2" t="e">
        <f>IF(C324&lt;='PV IN'!$O$22*12,AW324+AX323,NA())</f>
        <v>#N/A</v>
      </c>
      <c r="AZ324" s="10">
        <f t="shared" ref="AZ324:AZ364" si="89">AL324-AD324</f>
        <v>-1375</v>
      </c>
      <c r="BA324" s="10">
        <f t="shared" ref="BA324:BA387" si="90">AK324-U324</f>
        <v>0</v>
      </c>
      <c r="BB324" s="10">
        <f t="shared" si="74"/>
        <v>-1375</v>
      </c>
      <c r="BC324" s="10">
        <f t="shared" si="75"/>
        <v>0</v>
      </c>
      <c r="BD324" s="10">
        <f t="shared" si="76"/>
        <v>-1375</v>
      </c>
      <c r="BE324" s="2">
        <f t="shared" si="77"/>
        <v>0</v>
      </c>
      <c r="BF324" s="10">
        <f t="shared" si="78"/>
        <v>-1375</v>
      </c>
      <c r="BG324" s="2">
        <f>-BF324*'PV IN'!$E$8</f>
        <v>288.75</v>
      </c>
      <c r="BH324" s="2">
        <f>IF('PV IN'!$F$4="Battery Only",0,BB324+BG324)</f>
        <v>-1086.25</v>
      </c>
      <c r="BI324" s="2">
        <f>BH324/(1+('PV IN'!$G$9))^(C324)</f>
        <v>-295.7207604072492</v>
      </c>
    </row>
    <row r="325" spans="2:61" x14ac:dyDescent="0.25">
      <c r="C325">
        <v>321</v>
      </c>
      <c r="D325" s="16">
        <f>D324*(1+('PV IN'!$G$6/12))</f>
        <v>7.5999999999999998E-2</v>
      </c>
      <c r="E325" s="16">
        <f>LkUP!$U$47</f>
        <v>8.071410194180921E-2</v>
      </c>
      <c r="F325" s="16">
        <f>IF('PV IN'!$D$7="Table",E325,D325)</f>
        <v>8.071410194180921E-2</v>
      </c>
      <c r="G325" s="33">
        <f>('PV IN'!$E$25*'PV IN'!$E$18/12)*(1-(1-'PV IN'!$E$27)/(25*12))^C324</f>
        <v>123193.97183384984</v>
      </c>
      <c r="H325" s="33">
        <f>IF('PV IN'!$D$19="YES",G325*'PV IN'!$E$21,0)</f>
        <v>0</v>
      </c>
      <c r="I325" s="33">
        <f>IF('PV IN'!$D$19="YES",'PV IN'!$E$22*BattCalcs!W325,0)</f>
        <v>0</v>
      </c>
      <c r="J325" s="33">
        <f>IF('PV IN'!$D$19="YES",'PV IN'!$E$23*BattCalcs!Y325,0)</f>
        <v>0</v>
      </c>
      <c r="K325" s="33">
        <f>BattCalcs!AF325</f>
        <v>25811.765833333331</v>
      </c>
      <c r="L325" s="33">
        <f t="shared" si="81"/>
        <v>25811.765833333331</v>
      </c>
      <c r="M325" s="33">
        <f>IF('PV IN'!$F$4="PV Only",G325,G325-SUM(H325:J325,L325))</f>
        <v>123193.97183384984</v>
      </c>
      <c r="N325" s="2">
        <f>IF(C325&lt;='PV IN'!$I$12*12,'PV IN'!$E$12*G325/1000,0)</f>
        <v>0</v>
      </c>
      <c r="O325" s="2">
        <f>IF(AND(C325&gt;'PV IN'!$I$12*12,C325&lt;='PV IN'!$I$13*12+'PV IN'!$I$12*12),'PV IN'!$E$13*PVCalcs!G325/1000,0)</f>
        <v>0</v>
      </c>
      <c r="P325" s="2">
        <f>IF(AND(C325&gt;'PV IN'!$I$12*12+'PV IN'!$I$13*12,C325&lt;='PV IN'!$I$12*12+'PV IN'!$I$13*12+'PV IN'!$I$14*12),'PV IN'!$E$14*PVCalcs!G325/1000,0)</f>
        <v>0</v>
      </c>
      <c r="R325" s="10">
        <f>IF(AND('PV IN'!$D$35="YES",$C325&lt;='PV IN'!$E$35*12),-'PV IN'!$E$18*'PV IN'!$E$34/12,0)</f>
        <v>0</v>
      </c>
      <c r="S325" s="10">
        <f>IF(AND('PV IN'!$D$37="YES",$C325&lt;='PV IN'!$E$37*12),-'PV IN'!$E$18*'PV IN'!$E$36/12,0)</f>
        <v>0</v>
      </c>
      <c r="U325" s="2">
        <f t="shared" si="80"/>
        <v>9943.4908012137275</v>
      </c>
      <c r="V325" s="10">
        <f>PVLoan!M352</f>
        <v>0</v>
      </c>
      <c r="W325" s="2">
        <f>IF(C325='PV IN'!$I$40,IF('PV IN'!$G$40="Non-Taxable",'PV IN'!$F$40,0),0)+IF(C325='PV IN'!$I$41,IF('PV IN'!$G$41="Non-Taxable",'PV IN'!$F$41,0),0)</f>
        <v>0</v>
      </c>
      <c r="X325" s="10"/>
      <c r="Y325" s="10">
        <f>IF('PV IN'!$E$15="Non-Taxable",SUM(N325:P325),0)</f>
        <v>0</v>
      </c>
      <c r="Z325" s="10">
        <f>IF('PV IN'!$E$15="Taxable",SUM(N325:P325),0)</f>
        <v>0</v>
      </c>
      <c r="AA325" s="2">
        <f>IF(C325='PV IN'!$I$40,IF('PV IN'!$G$40="Taxable",'PV IN'!$F$40,0),0)+IF(C325='PV IN'!$I$41,IF('PV IN'!$G$41="Taxable",'PV IN'!$F$41,0),0)</f>
        <v>0</v>
      </c>
      <c r="AD325" s="10">
        <f>IF('PV IN'!$D$48="YES",-U325*'PV IN'!$E$8,0)</f>
        <v>0</v>
      </c>
      <c r="AE325" s="10">
        <f>IF('PV IN'!$N$10="Yes",-PVLoan!H353,-PVLoan!L353)</f>
        <v>0</v>
      </c>
      <c r="AF325" s="10">
        <f>IF('PV IN'!$N$10="Yes",-PVLoan!F353,0)</f>
        <v>0</v>
      </c>
      <c r="AG325" s="10">
        <f>IF(AND('PV IN'!$D$35="YES",$C325&lt;='PV IN'!$E$35*12),0,-'PV IN'!$E$18*'PV IN'!$E$34/12)</f>
        <v>-750</v>
      </c>
      <c r="AH325" s="10">
        <f>IF(AND('PV IN'!$D$37="YES",$C325&lt;='PV IN'!$E$37*12),0,-'PV IN'!$E$18*'PV IN'!$E$36/12)</f>
        <v>-625</v>
      </c>
      <c r="AI325" s="2">
        <f>IF(AND('PV IN'!$D$33="YES",PVCalcs!C325=ROUNDUP('PV IN'!$H$33*12,)),-'PV IN'!$E$33*'PV IN'!$E$18,0)</f>
        <v>0</v>
      </c>
      <c r="AK325" s="2">
        <f t="shared" si="87"/>
        <v>9943.4908012137275</v>
      </c>
      <c r="AL325" s="2">
        <f t="shared" si="82"/>
        <v>-1375</v>
      </c>
      <c r="AM325" s="2">
        <f t="shared" si="83"/>
        <v>8568.4908012137275</v>
      </c>
      <c r="AN325" s="43"/>
      <c r="AO325" s="2">
        <f t="shared" si="88"/>
        <v>0</v>
      </c>
      <c r="AP325" s="2">
        <f t="shared" si="84"/>
        <v>-1375</v>
      </c>
      <c r="AR325" s="2">
        <f t="shared" si="85"/>
        <v>-1375</v>
      </c>
      <c r="AS325" s="2">
        <f>-AR325*'PV IN'!$E$8</f>
        <v>288.75</v>
      </c>
      <c r="AT325" s="2">
        <f>IF('PV IN'!$F$4="Battery Only",0,AM325+AS325)</f>
        <v>8857.2408012137275</v>
      </c>
      <c r="AV325" s="10">
        <f t="shared" si="86"/>
        <v>2128134.5178963491</v>
      </c>
      <c r="AW325" s="2">
        <f>AT325/(1+('PV IN'!$G$9))^(C325)</f>
        <v>2401.5116724593408</v>
      </c>
      <c r="AX325" s="2" t="e">
        <f>IF(C325&lt;='PV IN'!$O$22*12,AW325+AX324,NA())</f>
        <v>#N/A</v>
      </c>
      <c r="AZ325" s="10">
        <f t="shared" si="89"/>
        <v>-1375</v>
      </c>
      <c r="BA325" s="10">
        <f t="shared" si="90"/>
        <v>0</v>
      </c>
      <c r="BB325" s="10">
        <f t="shared" ref="BB325:BB364" si="91">AZ325+BA325</f>
        <v>-1375</v>
      </c>
      <c r="BC325" s="10">
        <f t="shared" ref="BC325:BC364" si="92">AO325</f>
        <v>0</v>
      </c>
      <c r="BD325" s="10">
        <f t="shared" ref="BD325:BD364" si="93">AP325</f>
        <v>-1375</v>
      </c>
      <c r="BE325" s="2">
        <f t="shared" ref="BE325:BE364" si="94">AQ325</f>
        <v>0</v>
      </c>
      <c r="BF325" s="10">
        <f t="shared" ref="BF325:BF364" si="95">SUM(BC325:BE325)</f>
        <v>-1375</v>
      </c>
      <c r="BG325" s="2">
        <f>-BF325*'PV IN'!$E$8</f>
        <v>288.75</v>
      </c>
      <c r="BH325" s="2">
        <f>IF('PV IN'!$F$4="Battery Only",0,BB325+BG325)</f>
        <v>-1086.25</v>
      </c>
      <c r="BI325" s="2">
        <f>BH325/(1+('PV IN'!$G$9))^(C325)</f>
        <v>-294.52084602368387</v>
      </c>
    </row>
    <row r="326" spans="2:61" x14ac:dyDescent="0.25">
      <c r="C326">
        <v>322</v>
      </c>
      <c r="D326" s="16">
        <f>D325*(1+('PV IN'!$G$6/12))</f>
        <v>7.5999999999999998E-2</v>
      </c>
      <c r="E326" s="16">
        <f>LkUP!$U$47</f>
        <v>8.071410194180921E-2</v>
      </c>
      <c r="F326" s="16">
        <f>IF('PV IN'!$D$7="Table",E326,D326)</f>
        <v>8.071410194180921E-2</v>
      </c>
      <c r="G326" s="33">
        <f>('PV IN'!$E$25*'PV IN'!$E$18/12)*(1-(1-'PV IN'!$E$27)/(25*12))^C325</f>
        <v>123111.84251929393</v>
      </c>
      <c r="H326" s="33">
        <f>IF('PV IN'!$D$19="YES",G326*'PV IN'!$E$21,0)</f>
        <v>0</v>
      </c>
      <c r="I326" s="33">
        <f>IF('PV IN'!$D$19="YES",'PV IN'!$E$22*BattCalcs!W326,0)</f>
        <v>0</v>
      </c>
      <c r="J326" s="33">
        <f>IF('PV IN'!$D$19="YES",'PV IN'!$E$23*BattCalcs!Y326,0)</f>
        <v>0</v>
      </c>
      <c r="K326" s="33">
        <f>BattCalcs!AF326</f>
        <v>25811.765833333331</v>
      </c>
      <c r="L326" s="33">
        <f t="shared" si="81"/>
        <v>25811.765833333331</v>
      </c>
      <c r="M326" s="33">
        <f>IF('PV IN'!$F$4="PV Only",G326,G326-SUM(H326:J326,L326))</f>
        <v>123111.84251929393</v>
      </c>
      <c r="N326" s="2">
        <f>IF(C326&lt;='PV IN'!$I$12*12,'PV IN'!$E$12*G326/1000,0)</f>
        <v>0</v>
      </c>
      <c r="O326" s="2">
        <f>IF(AND(C326&gt;'PV IN'!$I$12*12,C326&lt;='PV IN'!$I$13*12+'PV IN'!$I$12*12),'PV IN'!$E$13*PVCalcs!G326/1000,0)</f>
        <v>0</v>
      </c>
      <c r="P326" s="2">
        <f>IF(AND(C326&gt;'PV IN'!$I$12*12+'PV IN'!$I$13*12,C326&lt;='PV IN'!$I$12*12+'PV IN'!$I$13*12+'PV IN'!$I$14*12),'PV IN'!$E$14*PVCalcs!G326/1000,0)</f>
        <v>0</v>
      </c>
      <c r="R326" s="10">
        <f>IF(AND('PV IN'!$D$35="YES",$C326&lt;='PV IN'!$E$35*12),-'PV IN'!$E$18*'PV IN'!$E$34/12,0)</f>
        <v>0</v>
      </c>
      <c r="S326" s="10">
        <f>IF(AND('PV IN'!$D$37="YES",$C326&lt;='PV IN'!$E$37*12),-'PV IN'!$E$18*'PV IN'!$E$36/12,0)</f>
        <v>0</v>
      </c>
      <c r="U326" s="2">
        <f t="shared" ref="U326:U389" si="96">F326*M326</f>
        <v>9936.8618073462512</v>
      </c>
      <c r="V326" s="10">
        <f>PVLoan!M353</f>
        <v>0</v>
      </c>
      <c r="W326" s="2">
        <f>IF(C326='PV IN'!$I$40,IF('PV IN'!$G$40="Non-Taxable",'PV IN'!$F$40,0),0)+IF(C326='PV IN'!$I$41,IF('PV IN'!$G$41="Non-Taxable",'PV IN'!$F$41,0),0)</f>
        <v>0</v>
      </c>
      <c r="X326" s="10"/>
      <c r="Y326" s="10">
        <f>IF('PV IN'!$E$15="Non-Taxable",SUM(N326:P326),0)</f>
        <v>0</v>
      </c>
      <c r="Z326" s="10">
        <f>IF('PV IN'!$E$15="Taxable",SUM(N326:P326),0)</f>
        <v>0</v>
      </c>
      <c r="AA326" s="2">
        <f>IF(C326='PV IN'!$I$40,IF('PV IN'!$G$40="Taxable",'PV IN'!$F$40,0),0)+IF(C326='PV IN'!$I$41,IF('PV IN'!$G$41="Taxable",'PV IN'!$F$41,0),0)</f>
        <v>0</v>
      </c>
      <c r="AD326" s="10">
        <f>IF('PV IN'!$D$48="YES",-U326*'PV IN'!$E$8,0)</f>
        <v>0</v>
      </c>
      <c r="AE326" s="10">
        <f>IF('PV IN'!$N$10="Yes",-PVLoan!H354,-PVLoan!L354)</f>
        <v>0</v>
      </c>
      <c r="AF326" s="10">
        <f>IF('PV IN'!$N$10="Yes",-PVLoan!F354,0)</f>
        <v>0</v>
      </c>
      <c r="AG326" s="10">
        <f>IF(AND('PV IN'!$D$35="YES",$C326&lt;='PV IN'!$E$35*12),0,-'PV IN'!$E$18*'PV IN'!$E$34/12)</f>
        <v>-750</v>
      </c>
      <c r="AH326" s="10">
        <f>IF(AND('PV IN'!$D$37="YES",$C326&lt;='PV IN'!$E$37*12),0,-'PV IN'!$E$18*'PV IN'!$E$36/12)</f>
        <v>-625</v>
      </c>
      <c r="AI326" s="2">
        <f>IF(AND('PV IN'!$D$33="YES",PVCalcs!C326=ROUNDUP('PV IN'!$H$33*12,)),-'PV IN'!$E$33*'PV IN'!$E$18,0)</f>
        <v>0</v>
      </c>
      <c r="AK326" s="2">
        <f t="shared" si="87"/>
        <v>9936.8618073462512</v>
      </c>
      <c r="AL326" s="2">
        <f t="shared" si="82"/>
        <v>-1375</v>
      </c>
      <c r="AM326" s="2">
        <f t="shared" si="83"/>
        <v>8561.8618073462512</v>
      </c>
      <c r="AN326" s="43"/>
      <c r="AO326" s="2">
        <f t="shared" si="88"/>
        <v>0</v>
      </c>
      <c r="AP326" s="2">
        <f t="shared" si="84"/>
        <v>-1375</v>
      </c>
      <c r="AR326" s="2">
        <f t="shared" si="85"/>
        <v>-1375</v>
      </c>
      <c r="AS326" s="2">
        <f>-AR326*'PV IN'!$E$8</f>
        <v>288.75</v>
      </c>
      <c r="AT326" s="2">
        <f>IF('PV IN'!$F$4="Battery Only",0,AM326+AS326)</f>
        <v>8850.6118073462512</v>
      </c>
      <c r="AV326" s="10">
        <f t="shared" si="86"/>
        <v>2136985.1297036954</v>
      </c>
      <c r="AW326" s="2">
        <f>AT326/(1+('PV IN'!$G$9))^(C326)</f>
        <v>2389.9772542730057</v>
      </c>
      <c r="AX326" s="2" t="e">
        <f>IF(C326&lt;='PV IN'!$O$22*12,AW326+AX325,NA())</f>
        <v>#N/A</v>
      </c>
      <c r="AZ326" s="10">
        <f t="shared" si="89"/>
        <v>-1375</v>
      </c>
      <c r="BA326" s="10">
        <f t="shared" si="90"/>
        <v>0</v>
      </c>
      <c r="BB326" s="10">
        <f t="shared" si="91"/>
        <v>-1375</v>
      </c>
      <c r="BC326" s="10">
        <f t="shared" si="92"/>
        <v>0</v>
      </c>
      <c r="BD326" s="10">
        <f t="shared" si="93"/>
        <v>-1375</v>
      </c>
      <c r="BE326" s="2">
        <f t="shared" si="94"/>
        <v>0</v>
      </c>
      <c r="BF326" s="10">
        <f t="shared" si="95"/>
        <v>-1375</v>
      </c>
      <c r="BG326" s="2">
        <f>-BF326*'PV IN'!$E$8</f>
        <v>288.75</v>
      </c>
      <c r="BH326" s="2">
        <f>IF('PV IN'!$F$4="Battery Only",0,BB326+BG326)</f>
        <v>-1086.25</v>
      </c>
      <c r="BI326" s="2">
        <f>BH326/(1+('PV IN'!$G$9))^(C326)</f>
        <v>-293.32580040390064</v>
      </c>
    </row>
    <row r="327" spans="2:61" x14ac:dyDescent="0.25">
      <c r="C327">
        <v>323</v>
      </c>
      <c r="D327" s="16">
        <f>D326*(1+('PV IN'!$G$6/12))</f>
        <v>7.5999999999999998E-2</v>
      </c>
      <c r="E327" s="16">
        <f>LkUP!$U$47</f>
        <v>8.071410194180921E-2</v>
      </c>
      <c r="F327" s="16">
        <f>IF('PV IN'!$D$7="Table",E327,D327)</f>
        <v>8.071410194180921E-2</v>
      </c>
      <c r="G327" s="33">
        <f>('PV IN'!$E$25*'PV IN'!$E$18/12)*(1-(1-'PV IN'!$E$27)/(25*12))^C326</f>
        <v>123029.7679576144</v>
      </c>
      <c r="H327" s="33">
        <f>IF('PV IN'!$D$19="YES",G327*'PV IN'!$E$21,0)</f>
        <v>0</v>
      </c>
      <c r="I327" s="33">
        <f>IF('PV IN'!$D$19="YES",'PV IN'!$E$22*BattCalcs!W327,0)</f>
        <v>0</v>
      </c>
      <c r="J327" s="33">
        <f>IF('PV IN'!$D$19="YES",'PV IN'!$E$23*BattCalcs!Y327,0)</f>
        <v>0</v>
      </c>
      <c r="K327" s="33">
        <f>BattCalcs!AF327</f>
        <v>25811.765833333331</v>
      </c>
      <c r="L327" s="33">
        <f t="shared" si="81"/>
        <v>25811.765833333331</v>
      </c>
      <c r="M327" s="33">
        <f>IF('PV IN'!$F$4="PV Only",G327,G327-SUM(H327:J327,L327))</f>
        <v>123029.7679576144</v>
      </c>
      <c r="N327" s="2">
        <f>IF(C327&lt;='PV IN'!$I$12*12,'PV IN'!$E$12*G327/1000,0)</f>
        <v>0</v>
      </c>
      <c r="O327" s="2">
        <f>IF(AND(C327&gt;'PV IN'!$I$12*12,C327&lt;='PV IN'!$I$13*12+'PV IN'!$I$12*12),'PV IN'!$E$13*PVCalcs!G327/1000,0)</f>
        <v>0</v>
      </c>
      <c r="P327" s="2">
        <f>IF(AND(C327&gt;'PV IN'!$I$12*12+'PV IN'!$I$13*12,C327&lt;='PV IN'!$I$12*12+'PV IN'!$I$13*12+'PV IN'!$I$14*12),'PV IN'!$E$14*PVCalcs!G327/1000,0)</f>
        <v>0</v>
      </c>
      <c r="R327" s="10">
        <f>IF(AND('PV IN'!$D$35="YES",$C327&lt;='PV IN'!$E$35*12),-'PV IN'!$E$18*'PV IN'!$E$34/12,0)</f>
        <v>0</v>
      </c>
      <c r="S327" s="10">
        <f>IF(AND('PV IN'!$D$37="YES",$C327&lt;='PV IN'!$E$37*12),-'PV IN'!$E$18*'PV IN'!$E$36/12,0)</f>
        <v>0</v>
      </c>
      <c r="U327" s="2">
        <f t="shared" si="96"/>
        <v>9930.2372328080219</v>
      </c>
      <c r="V327" s="10">
        <f>PVLoan!M354</f>
        <v>0</v>
      </c>
      <c r="W327" s="2">
        <f>IF(C327='PV IN'!$I$40,IF('PV IN'!$G$40="Non-Taxable",'PV IN'!$F$40,0),0)+IF(C327='PV IN'!$I$41,IF('PV IN'!$G$41="Non-Taxable",'PV IN'!$F$41,0),0)</f>
        <v>0</v>
      </c>
      <c r="X327" s="10"/>
      <c r="Y327" s="10">
        <f>IF('PV IN'!$E$15="Non-Taxable",SUM(N327:P327),0)</f>
        <v>0</v>
      </c>
      <c r="Z327" s="10">
        <f>IF('PV IN'!$E$15="Taxable",SUM(N327:P327),0)</f>
        <v>0</v>
      </c>
      <c r="AA327" s="2">
        <f>IF(C327='PV IN'!$I$40,IF('PV IN'!$G$40="Taxable",'PV IN'!$F$40,0),0)+IF(C327='PV IN'!$I$41,IF('PV IN'!$G$41="Taxable",'PV IN'!$F$41,0),0)</f>
        <v>0</v>
      </c>
      <c r="AD327" s="10">
        <f>IF('PV IN'!$D$48="YES",-U327*'PV IN'!$E$8,0)</f>
        <v>0</v>
      </c>
      <c r="AE327" s="10">
        <f>IF('PV IN'!$N$10="Yes",-PVLoan!H355,-PVLoan!L355)</f>
        <v>0</v>
      </c>
      <c r="AF327" s="10">
        <f>IF('PV IN'!$N$10="Yes",-PVLoan!F355,0)</f>
        <v>0</v>
      </c>
      <c r="AG327" s="10">
        <f>IF(AND('PV IN'!$D$35="YES",$C327&lt;='PV IN'!$E$35*12),0,-'PV IN'!$E$18*'PV IN'!$E$34/12)</f>
        <v>-750</v>
      </c>
      <c r="AH327" s="10">
        <f>IF(AND('PV IN'!$D$37="YES",$C327&lt;='PV IN'!$E$37*12),0,-'PV IN'!$E$18*'PV IN'!$E$36/12)</f>
        <v>-625</v>
      </c>
      <c r="AI327" s="2">
        <f>IF(AND('PV IN'!$D$33="YES",PVCalcs!C327=ROUNDUP('PV IN'!$H$33*12,)),-'PV IN'!$E$33*'PV IN'!$E$18,0)</f>
        <v>0</v>
      </c>
      <c r="AK327" s="2">
        <f t="shared" si="87"/>
        <v>9930.2372328080219</v>
      </c>
      <c r="AL327" s="2">
        <f t="shared" si="82"/>
        <v>-1375</v>
      </c>
      <c r="AM327" s="2">
        <f t="shared" si="83"/>
        <v>8555.2372328080219</v>
      </c>
      <c r="AN327" s="43"/>
      <c r="AO327" s="2">
        <f t="shared" si="88"/>
        <v>0</v>
      </c>
      <c r="AP327" s="2">
        <f t="shared" si="84"/>
        <v>-1375</v>
      </c>
      <c r="AR327" s="2">
        <f t="shared" si="85"/>
        <v>-1375</v>
      </c>
      <c r="AS327" s="2">
        <f>-AR327*'PV IN'!$E$8</f>
        <v>288.75</v>
      </c>
      <c r="AT327" s="2">
        <f>IF('PV IN'!$F$4="Battery Only",0,AM327+AS327)</f>
        <v>8843.9872328080219</v>
      </c>
      <c r="AV327" s="10">
        <f t="shared" si="86"/>
        <v>2145829.1169365034</v>
      </c>
      <c r="AW327" s="2">
        <f>AT327/(1+('PV IN'!$G$9))^(C327)</f>
        <v>2378.4980899323332</v>
      </c>
      <c r="AX327" s="2" t="e">
        <f>IF(C327&lt;='PV IN'!$O$22*12,AW327+AX326,NA())</f>
        <v>#N/A</v>
      </c>
      <c r="AZ327" s="10">
        <f t="shared" si="89"/>
        <v>-1375</v>
      </c>
      <c r="BA327" s="10">
        <f t="shared" si="90"/>
        <v>0</v>
      </c>
      <c r="BB327" s="10">
        <f t="shared" si="91"/>
        <v>-1375</v>
      </c>
      <c r="BC327" s="10">
        <f t="shared" si="92"/>
        <v>0</v>
      </c>
      <c r="BD327" s="10">
        <f t="shared" si="93"/>
        <v>-1375</v>
      </c>
      <c r="BE327" s="2">
        <f t="shared" si="94"/>
        <v>0</v>
      </c>
      <c r="BF327" s="10">
        <f t="shared" si="95"/>
        <v>-1375</v>
      </c>
      <c r="BG327" s="2">
        <f>-BF327*'PV IN'!$E$8</f>
        <v>288.75</v>
      </c>
      <c r="BH327" s="2">
        <f>IF('PV IN'!$F$4="Battery Only",0,BB327+BG327)</f>
        <v>-1086.25</v>
      </c>
      <c r="BI327" s="2">
        <f>BH327/(1+('PV IN'!$G$9))^(C327)</f>
        <v>-292.13560379243938</v>
      </c>
    </row>
    <row r="328" spans="2:61" x14ac:dyDescent="0.25">
      <c r="B328">
        <v>27</v>
      </c>
      <c r="C328">
        <v>324</v>
      </c>
      <c r="D328" s="16">
        <f>D327*(1+('PV IN'!$G$6/12))</f>
        <v>7.5999999999999998E-2</v>
      </c>
      <c r="E328" s="16">
        <f>LkUP!$U$47</f>
        <v>8.071410194180921E-2</v>
      </c>
      <c r="F328" s="16">
        <f>IF('PV IN'!$D$7="Table",E328,D328)</f>
        <v>8.071410194180921E-2</v>
      </c>
      <c r="G328" s="33">
        <f>('PV IN'!$E$25*'PV IN'!$E$18/12)*(1-(1-'PV IN'!$E$27)/(25*12))^C327</f>
        <v>122947.74811230932</v>
      </c>
      <c r="H328" s="33">
        <f>IF('PV IN'!$D$19="YES",G328*'PV IN'!$E$21,0)</f>
        <v>0</v>
      </c>
      <c r="I328" s="33">
        <f>IF('PV IN'!$D$19="YES",'PV IN'!$E$22*BattCalcs!W328,0)</f>
        <v>0</v>
      </c>
      <c r="J328" s="33">
        <f>IF('PV IN'!$D$19="YES",'PV IN'!$E$23*BattCalcs!Y328,0)</f>
        <v>0</v>
      </c>
      <c r="K328" s="33">
        <f>BattCalcs!AF328</f>
        <v>25811.765833333331</v>
      </c>
      <c r="L328" s="33">
        <f t="shared" si="81"/>
        <v>25811.765833333331</v>
      </c>
      <c r="M328" s="33">
        <f>IF('PV IN'!$F$4="PV Only",G328,G328-SUM(H328:J328,L328))</f>
        <v>122947.74811230932</v>
      </c>
      <c r="N328" s="2">
        <f>IF(C328&lt;='PV IN'!$I$12*12,'PV IN'!$E$12*G328/1000,0)</f>
        <v>0</v>
      </c>
      <c r="O328" s="2">
        <f>IF(AND(C328&gt;'PV IN'!$I$12*12,C328&lt;='PV IN'!$I$13*12+'PV IN'!$I$12*12),'PV IN'!$E$13*PVCalcs!G328/1000,0)</f>
        <v>0</v>
      </c>
      <c r="P328" s="2">
        <f>IF(AND(C328&gt;'PV IN'!$I$12*12+'PV IN'!$I$13*12,C328&lt;='PV IN'!$I$12*12+'PV IN'!$I$13*12+'PV IN'!$I$14*12),'PV IN'!$E$14*PVCalcs!G328/1000,0)</f>
        <v>0</v>
      </c>
      <c r="R328" s="10">
        <f>IF(AND('PV IN'!$D$35="YES",$C328&lt;='PV IN'!$E$35*12),-'PV IN'!$E$18*'PV IN'!$E$34/12,0)</f>
        <v>0</v>
      </c>
      <c r="S328" s="10">
        <f>IF(AND('PV IN'!$D$37="YES",$C328&lt;='PV IN'!$E$37*12),-'PV IN'!$E$18*'PV IN'!$E$36/12,0)</f>
        <v>0</v>
      </c>
      <c r="U328" s="2">
        <f t="shared" si="96"/>
        <v>9923.6170746528151</v>
      </c>
      <c r="V328" s="10">
        <f>PVLoan!M355</f>
        <v>0</v>
      </c>
      <c r="W328" s="2">
        <f>IF(C328='PV IN'!$I$40,IF('PV IN'!$G$40="Non-Taxable",'PV IN'!$F$40,0),0)+IF(C328='PV IN'!$I$41,IF('PV IN'!$G$41="Non-Taxable",'PV IN'!$F$41,0),0)</f>
        <v>0</v>
      </c>
      <c r="X328" s="10"/>
      <c r="Y328" s="10">
        <f>IF('PV IN'!$E$15="Non-Taxable",SUM(N328:P328),0)</f>
        <v>0</v>
      </c>
      <c r="Z328" s="10">
        <f>IF('PV IN'!$E$15="Taxable",SUM(N328:P328),0)</f>
        <v>0</v>
      </c>
      <c r="AA328" s="2">
        <f>IF(C328='PV IN'!$I$40,IF('PV IN'!$G$40="Taxable",'PV IN'!$F$40,0),0)+IF(C328='PV IN'!$I$41,IF('PV IN'!$G$41="Taxable",'PV IN'!$F$41,0),0)</f>
        <v>0</v>
      </c>
      <c r="AD328" s="10">
        <f>IF('PV IN'!$D$48="YES",-U328*'PV IN'!$E$8,0)</f>
        <v>0</v>
      </c>
      <c r="AE328" s="10">
        <f>IF('PV IN'!$N$10="Yes",-PVLoan!H356,-PVLoan!L356)</f>
        <v>0</v>
      </c>
      <c r="AF328" s="10">
        <f>IF('PV IN'!$N$10="Yes",-PVLoan!F356,0)</f>
        <v>0</v>
      </c>
      <c r="AG328" s="10">
        <f>IF(AND('PV IN'!$D$35="YES",$C328&lt;='PV IN'!$E$35*12),0,-'PV IN'!$E$18*'PV IN'!$E$34/12)</f>
        <v>-750</v>
      </c>
      <c r="AH328" s="10">
        <f>IF(AND('PV IN'!$D$37="YES",$C328&lt;='PV IN'!$E$37*12),0,-'PV IN'!$E$18*'PV IN'!$E$36/12)</f>
        <v>-625</v>
      </c>
      <c r="AI328" s="2">
        <f>IF(AND('PV IN'!$D$33="YES",PVCalcs!C328=ROUNDUP('PV IN'!$H$33*12,)),-'PV IN'!$E$33*'PV IN'!$E$18,0)</f>
        <v>0</v>
      </c>
      <c r="AK328" s="2">
        <f t="shared" si="87"/>
        <v>9923.6170746528151</v>
      </c>
      <c r="AL328" s="2">
        <f t="shared" si="82"/>
        <v>-1375</v>
      </c>
      <c r="AM328" s="2">
        <f t="shared" si="83"/>
        <v>8548.6170746528151</v>
      </c>
      <c r="AN328" s="43"/>
      <c r="AO328" s="2">
        <f t="shared" si="88"/>
        <v>0</v>
      </c>
      <c r="AP328" s="2">
        <f t="shared" si="84"/>
        <v>-1375</v>
      </c>
      <c r="AR328" s="2">
        <f t="shared" si="85"/>
        <v>-1375</v>
      </c>
      <c r="AS328" s="2">
        <f>-AR328*'PV IN'!$E$8</f>
        <v>288.75</v>
      </c>
      <c r="AT328" s="2">
        <f>IF('PV IN'!$F$4="Battery Only",0,AM328+AS328)</f>
        <v>8837.3670746528151</v>
      </c>
      <c r="AV328" s="10">
        <f t="shared" si="86"/>
        <v>2154666.4840111565</v>
      </c>
      <c r="AW328" s="2">
        <f>AT328/(1+('PV IN'!$G$9))^(C328)</f>
        <v>2367.0739153337345</v>
      </c>
      <c r="AX328" s="2" t="e">
        <f>IF(C328&lt;='PV IN'!$O$22*12,AW328+AX327,NA())</f>
        <v>#N/A</v>
      </c>
      <c r="AZ328" s="10">
        <f t="shared" si="89"/>
        <v>-1375</v>
      </c>
      <c r="BA328" s="10">
        <f t="shared" si="90"/>
        <v>0</v>
      </c>
      <c r="BB328" s="10">
        <f t="shared" si="91"/>
        <v>-1375</v>
      </c>
      <c r="BC328" s="10">
        <f t="shared" si="92"/>
        <v>0</v>
      </c>
      <c r="BD328" s="10">
        <f t="shared" si="93"/>
        <v>-1375</v>
      </c>
      <c r="BE328" s="2">
        <f t="shared" si="94"/>
        <v>0</v>
      </c>
      <c r="BF328" s="10">
        <f t="shared" si="95"/>
        <v>-1375</v>
      </c>
      <c r="BG328" s="2">
        <f>-BF328*'PV IN'!$E$8</f>
        <v>288.75</v>
      </c>
      <c r="BH328" s="2">
        <f>IF('PV IN'!$F$4="Battery Only",0,BB328+BG328)</f>
        <v>-1086.25</v>
      </c>
      <c r="BI328" s="2">
        <f>BH328/(1+('PV IN'!$G$9))^(C328)</f>
        <v>-290.95023651399958</v>
      </c>
    </row>
    <row r="329" spans="2:61" x14ac:dyDescent="0.25">
      <c r="C329">
        <v>325</v>
      </c>
      <c r="D329" s="16">
        <f>D328*(1+('PV IN'!$G$6/12))</f>
        <v>7.5999999999999998E-2</v>
      </c>
      <c r="E329" s="16">
        <f>LkUP!$U$48</f>
        <v>8.0103636866522526E-2</v>
      </c>
      <c r="F329" s="16">
        <f>IF('PV IN'!$D$7="Table",E329,D329)</f>
        <v>8.0103636866522526E-2</v>
      </c>
      <c r="G329" s="33">
        <f>('PV IN'!$E$25*'PV IN'!$E$18/12)*(1-(1-'PV IN'!$E$27)/(25*12))^C328</f>
        <v>122865.7829469011</v>
      </c>
      <c r="H329" s="33">
        <f>IF('PV IN'!$D$19="YES",G329*'PV IN'!$E$21,0)</f>
        <v>0</v>
      </c>
      <c r="I329" s="33">
        <f>IF('PV IN'!$D$19="YES",'PV IN'!$E$22*BattCalcs!W329,0)</f>
        <v>0</v>
      </c>
      <c r="J329" s="33">
        <f>IF('PV IN'!$D$19="YES",'PV IN'!$E$23*BattCalcs!Y329,0)</f>
        <v>0</v>
      </c>
      <c r="K329" s="33">
        <f>BattCalcs!AF329</f>
        <v>25811.765833333331</v>
      </c>
      <c r="L329" s="33">
        <f t="shared" si="81"/>
        <v>25811.765833333331</v>
      </c>
      <c r="M329" s="33">
        <f>IF('PV IN'!$F$4="PV Only",G329,G329-SUM(H329:J329,L329))</f>
        <v>122865.7829469011</v>
      </c>
      <c r="N329" s="2">
        <f>IF(C329&lt;='PV IN'!$I$12*12,'PV IN'!$E$12*G329/1000,0)</f>
        <v>0</v>
      </c>
      <c r="O329" s="2">
        <f>IF(AND(C329&gt;'PV IN'!$I$12*12,C329&lt;='PV IN'!$I$13*12+'PV IN'!$I$12*12),'PV IN'!$E$13*PVCalcs!G329/1000,0)</f>
        <v>0</v>
      </c>
      <c r="P329" s="2">
        <f>IF(AND(C329&gt;'PV IN'!$I$12*12+'PV IN'!$I$13*12,C329&lt;='PV IN'!$I$12*12+'PV IN'!$I$13*12+'PV IN'!$I$14*12),'PV IN'!$E$14*PVCalcs!G329/1000,0)</f>
        <v>0</v>
      </c>
      <c r="R329" s="10">
        <f>IF(AND('PV IN'!$D$35="YES",$C329&lt;='PV IN'!$E$35*12),-'PV IN'!$E$18*'PV IN'!$E$34/12,0)</f>
        <v>0</v>
      </c>
      <c r="S329" s="10">
        <f>IF(AND('PV IN'!$D$37="YES",$C329&lt;='PV IN'!$E$37*12),-'PV IN'!$E$18*'PV IN'!$E$36/12,0)</f>
        <v>0</v>
      </c>
      <c r="U329" s="2">
        <f t="shared" si="96"/>
        <v>9841.9960604995413</v>
      </c>
      <c r="V329" s="10">
        <f>PVLoan!M356</f>
        <v>0</v>
      </c>
      <c r="W329" s="2">
        <f>IF(C329='PV IN'!$I$40,IF('PV IN'!$G$40="Non-Taxable",'PV IN'!$F$40,0),0)+IF(C329='PV IN'!$I$41,IF('PV IN'!$G$41="Non-Taxable",'PV IN'!$F$41,0),0)</f>
        <v>0</v>
      </c>
      <c r="X329" s="10"/>
      <c r="Y329" s="10">
        <f>IF('PV IN'!$E$15="Non-Taxable",SUM(N329:P329),0)</f>
        <v>0</v>
      </c>
      <c r="Z329" s="10">
        <f>IF('PV IN'!$E$15="Taxable",SUM(N329:P329),0)</f>
        <v>0</v>
      </c>
      <c r="AA329" s="2">
        <f>IF(C329='PV IN'!$I$40,IF('PV IN'!$G$40="Taxable",'PV IN'!$F$40,0),0)+IF(C329='PV IN'!$I$41,IF('PV IN'!$G$41="Taxable",'PV IN'!$F$41,0),0)</f>
        <v>0</v>
      </c>
      <c r="AD329" s="10">
        <f>IF('PV IN'!$D$48="YES",-U329*'PV IN'!$E$8,0)</f>
        <v>0</v>
      </c>
      <c r="AE329" s="10">
        <f>IF('PV IN'!$N$10="Yes",-PVLoan!H357,-PVLoan!L357)</f>
        <v>0</v>
      </c>
      <c r="AF329" s="10">
        <f>IF('PV IN'!$N$10="Yes",-PVLoan!F357,0)</f>
        <v>0</v>
      </c>
      <c r="AG329" s="10">
        <f>IF(AND('PV IN'!$D$35="YES",$C329&lt;='PV IN'!$E$35*12),0,-'PV IN'!$E$18*'PV IN'!$E$34/12)</f>
        <v>-750</v>
      </c>
      <c r="AH329" s="10">
        <f>IF(AND('PV IN'!$D$37="YES",$C329&lt;='PV IN'!$E$37*12),0,-'PV IN'!$E$18*'PV IN'!$E$36/12)</f>
        <v>-625</v>
      </c>
      <c r="AI329" s="2">
        <f>IF(AND('PV IN'!$D$33="YES",PVCalcs!C329=ROUNDUP('PV IN'!$H$33*12,)),-'PV IN'!$E$33*'PV IN'!$E$18,0)</f>
        <v>0</v>
      </c>
      <c r="AK329" s="2">
        <f t="shared" si="87"/>
        <v>9841.9960604995413</v>
      </c>
      <c r="AL329" s="2">
        <f t="shared" si="82"/>
        <v>-1375</v>
      </c>
      <c r="AM329" s="2">
        <f t="shared" si="83"/>
        <v>8466.9960604995413</v>
      </c>
      <c r="AN329" s="43"/>
      <c r="AO329" s="2">
        <f t="shared" si="88"/>
        <v>0</v>
      </c>
      <c r="AP329" s="2">
        <f t="shared" si="84"/>
        <v>-1375</v>
      </c>
      <c r="AR329" s="2">
        <f t="shared" si="85"/>
        <v>-1375</v>
      </c>
      <c r="AS329" s="2">
        <f>-AR329*'PV IN'!$E$8</f>
        <v>288.75</v>
      </c>
      <c r="AT329" s="2">
        <f>IF('PV IN'!$F$4="Battery Only",0,AM329+AS329)</f>
        <v>8755.7460604995413</v>
      </c>
      <c r="AV329" s="10">
        <f t="shared" si="86"/>
        <v>2163422.2300716559</v>
      </c>
      <c r="AW329" s="2">
        <f>AT329/(1+('PV IN'!$G$9))^(C329)</f>
        <v>2335.6959494785442</v>
      </c>
      <c r="AX329" s="2" t="e">
        <f>IF(C329&lt;='PV IN'!$O$22*12,AW329+AX328,NA())</f>
        <v>#N/A</v>
      </c>
      <c r="AZ329" s="10">
        <f t="shared" si="89"/>
        <v>-1375</v>
      </c>
      <c r="BA329" s="10">
        <f t="shared" si="90"/>
        <v>0</v>
      </c>
      <c r="BB329" s="10">
        <f t="shared" si="91"/>
        <v>-1375</v>
      </c>
      <c r="BC329" s="10">
        <f t="shared" si="92"/>
        <v>0</v>
      </c>
      <c r="BD329" s="10">
        <f t="shared" si="93"/>
        <v>-1375</v>
      </c>
      <c r="BE329" s="2">
        <f t="shared" si="94"/>
        <v>0</v>
      </c>
      <c r="BF329" s="10">
        <f t="shared" si="95"/>
        <v>-1375</v>
      </c>
      <c r="BG329" s="2">
        <f>-BF329*'PV IN'!$E$8</f>
        <v>288.75</v>
      </c>
      <c r="BH329" s="2">
        <f>IF('PV IN'!$F$4="Battery Only",0,BB329+BG329)</f>
        <v>-1086.25</v>
      </c>
      <c r="BI329" s="2">
        <f>BH329/(1+('PV IN'!$G$9))^(C329)</f>
        <v>-289.76967897311505</v>
      </c>
    </row>
    <row r="330" spans="2:61" x14ac:dyDescent="0.25">
      <c r="C330">
        <v>326</v>
      </c>
      <c r="D330" s="16">
        <f>D329*(1+('PV IN'!$G$6/12))</f>
        <v>7.5999999999999998E-2</v>
      </c>
      <c r="E330" s="16">
        <f>LkUP!$U$48</f>
        <v>8.0103636866522526E-2</v>
      </c>
      <c r="F330" s="16">
        <f>IF('PV IN'!$D$7="Table",E330,D330)</f>
        <v>8.0103636866522526E-2</v>
      </c>
      <c r="G330" s="33">
        <f>('PV IN'!$E$25*'PV IN'!$E$18/12)*(1-(1-'PV IN'!$E$27)/(25*12))^C329</f>
        <v>122783.87242493649</v>
      </c>
      <c r="H330" s="33">
        <f>IF('PV IN'!$D$19="YES",G330*'PV IN'!$E$21,0)</f>
        <v>0</v>
      </c>
      <c r="I330" s="33">
        <f>IF('PV IN'!$D$19="YES",'PV IN'!$E$22*BattCalcs!W330,0)</f>
        <v>0</v>
      </c>
      <c r="J330" s="33">
        <f>IF('PV IN'!$D$19="YES",'PV IN'!$E$23*BattCalcs!Y330,0)</f>
        <v>0</v>
      </c>
      <c r="K330" s="33">
        <f>BattCalcs!AF330</f>
        <v>25811.765833333331</v>
      </c>
      <c r="L330" s="33">
        <f t="shared" si="81"/>
        <v>25811.765833333331</v>
      </c>
      <c r="M330" s="33">
        <f>IF('PV IN'!$F$4="PV Only",G330,G330-SUM(H330:J330,L330))</f>
        <v>122783.87242493649</v>
      </c>
      <c r="N330" s="2">
        <f>IF(C330&lt;='PV IN'!$I$12*12,'PV IN'!$E$12*G330/1000,0)</f>
        <v>0</v>
      </c>
      <c r="O330" s="2">
        <f>IF(AND(C330&gt;'PV IN'!$I$12*12,C330&lt;='PV IN'!$I$13*12+'PV IN'!$I$12*12),'PV IN'!$E$13*PVCalcs!G330/1000,0)</f>
        <v>0</v>
      </c>
      <c r="P330" s="2">
        <f>IF(AND(C330&gt;'PV IN'!$I$12*12+'PV IN'!$I$13*12,C330&lt;='PV IN'!$I$12*12+'PV IN'!$I$13*12+'PV IN'!$I$14*12),'PV IN'!$E$14*PVCalcs!G330/1000,0)</f>
        <v>0</v>
      </c>
      <c r="R330" s="10">
        <f>IF(AND('PV IN'!$D$35="YES",$C330&lt;='PV IN'!$E$35*12),-'PV IN'!$E$18*'PV IN'!$E$34/12,0)</f>
        <v>0</v>
      </c>
      <c r="S330" s="10">
        <f>IF(AND('PV IN'!$D$37="YES",$C330&lt;='PV IN'!$E$37*12),-'PV IN'!$E$18*'PV IN'!$E$36/12,0)</f>
        <v>0</v>
      </c>
      <c r="U330" s="2">
        <f t="shared" si="96"/>
        <v>9835.4347297925415</v>
      </c>
      <c r="V330" s="10">
        <f>PVLoan!M357</f>
        <v>0</v>
      </c>
      <c r="W330" s="2">
        <f>IF(C330='PV IN'!$I$40,IF('PV IN'!$G$40="Non-Taxable",'PV IN'!$F$40,0),0)+IF(C330='PV IN'!$I$41,IF('PV IN'!$G$41="Non-Taxable",'PV IN'!$F$41,0),0)</f>
        <v>0</v>
      </c>
      <c r="X330" s="10"/>
      <c r="Y330" s="10">
        <f>IF('PV IN'!$E$15="Non-Taxable",SUM(N330:P330),0)</f>
        <v>0</v>
      </c>
      <c r="Z330" s="10">
        <f>IF('PV IN'!$E$15="Taxable",SUM(N330:P330),0)</f>
        <v>0</v>
      </c>
      <c r="AA330" s="2">
        <f>IF(C330='PV IN'!$I$40,IF('PV IN'!$G$40="Taxable",'PV IN'!$F$40,0),0)+IF(C330='PV IN'!$I$41,IF('PV IN'!$G$41="Taxable",'PV IN'!$F$41,0),0)</f>
        <v>0</v>
      </c>
      <c r="AD330" s="10">
        <f>IF('PV IN'!$D$48="YES",-U330*'PV IN'!$E$8,0)</f>
        <v>0</v>
      </c>
      <c r="AE330" s="10">
        <f>IF('PV IN'!$N$10="Yes",-PVLoan!H358,-PVLoan!L358)</f>
        <v>0</v>
      </c>
      <c r="AF330" s="10">
        <f>IF('PV IN'!$N$10="Yes",-PVLoan!F358,0)</f>
        <v>0</v>
      </c>
      <c r="AG330" s="10">
        <f>IF(AND('PV IN'!$D$35="YES",$C330&lt;='PV IN'!$E$35*12),0,-'PV IN'!$E$18*'PV IN'!$E$34/12)</f>
        <v>-750</v>
      </c>
      <c r="AH330" s="10">
        <f>IF(AND('PV IN'!$D$37="YES",$C330&lt;='PV IN'!$E$37*12),0,-'PV IN'!$E$18*'PV IN'!$E$36/12)</f>
        <v>-625</v>
      </c>
      <c r="AI330" s="2">
        <f>IF(AND('PV IN'!$D$33="YES",PVCalcs!C330=ROUNDUP('PV IN'!$H$33*12,)),-'PV IN'!$E$33*'PV IN'!$E$18,0)</f>
        <v>0</v>
      </c>
      <c r="AK330" s="2">
        <f t="shared" si="87"/>
        <v>9835.4347297925415</v>
      </c>
      <c r="AL330" s="2">
        <f t="shared" si="82"/>
        <v>-1375</v>
      </c>
      <c r="AM330" s="2">
        <f t="shared" si="83"/>
        <v>8460.4347297925415</v>
      </c>
      <c r="AN330" s="43"/>
      <c r="AO330" s="2">
        <f t="shared" si="88"/>
        <v>0</v>
      </c>
      <c r="AP330" s="2">
        <f t="shared" si="84"/>
        <v>-1375</v>
      </c>
      <c r="AR330" s="2">
        <f t="shared" si="85"/>
        <v>-1375</v>
      </c>
      <c r="AS330" s="2">
        <f>-AR330*'PV IN'!$E$8</f>
        <v>288.75</v>
      </c>
      <c r="AT330" s="2">
        <f>IF('PV IN'!$F$4="Battery Only",0,AM330+AS330)</f>
        <v>8749.1847297925415</v>
      </c>
      <c r="AV330" s="10">
        <f t="shared" si="86"/>
        <v>2172171.4148014486</v>
      </c>
      <c r="AW330" s="2">
        <f>AT330/(1+('PV IN'!$G$9))^(C330)</f>
        <v>2324.4754383915192</v>
      </c>
      <c r="AX330" s="2" t="e">
        <f>IF(C330&lt;='PV IN'!$O$22*12,AW330+AX329,NA())</f>
        <v>#N/A</v>
      </c>
      <c r="AZ330" s="10">
        <f t="shared" si="89"/>
        <v>-1375</v>
      </c>
      <c r="BA330" s="10">
        <f t="shared" si="90"/>
        <v>0</v>
      </c>
      <c r="BB330" s="10">
        <f t="shared" si="91"/>
        <v>-1375</v>
      </c>
      <c r="BC330" s="10">
        <f t="shared" si="92"/>
        <v>0</v>
      </c>
      <c r="BD330" s="10">
        <f t="shared" si="93"/>
        <v>-1375</v>
      </c>
      <c r="BE330" s="2">
        <f t="shared" si="94"/>
        <v>0</v>
      </c>
      <c r="BF330" s="10">
        <f t="shared" si="95"/>
        <v>-1375</v>
      </c>
      <c r="BG330" s="2">
        <f>-BF330*'PV IN'!$E$8</f>
        <v>288.75</v>
      </c>
      <c r="BH330" s="2">
        <f>IF('PV IN'!$F$4="Battery Only",0,BB330+BG330)</f>
        <v>-1086.25</v>
      </c>
      <c r="BI330" s="2">
        <f>BH330/(1+('PV IN'!$G$9))^(C330)</f>
        <v>-288.59391165383005</v>
      </c>
    </row>
    <row r="331" spans="2:61" x14ac:dyDescent="0.25">
      <c r="C331">
        <v>327</v>
      </c>
      <c r="D331" s="16">
        <f>D330*(1+('PV IN'!$G$6/12))</f>
        <v>7.5999999999999998E-2</v>
      </c>
      <c r="E331" s="16">
        <f>LkUP!$U$48</f>
        <v>8.0103636866522526E-2</v>
      </c>
      <c r="F331" s="16">
        <f>IF('PV IN'!$D$7="Table",E331,D331)</f>
        <v>8.0103636866522526E-2</v>
      </c>
      <c r="G331" s="33">
        <f>('PV IN'!$E$25*'PV IN'!$E$18/12)*(1-(1-'PV IN'!$E$27)/(25*12))^C330</f>
        <v>122702.01650998654</v>
      </c>
      <c r="H331" s="33">
        <f>IF('PV IN'!$D$19="YES",G331*'PV IN'!$E$21,0)</f>
        <v>0</v>
      </c>
      <c r="I331" s="33">
        <f>IF('PV IN'!$D$19="YES",'PV IN'!$E$22*BattCalcs!W331,0)</f>
        <v>0</v>
      </c>
      <c r="J331" s="33">
        <f>IF('PV IN'!$D$19="YES",'PV IN'!$E$23*BattCalcs!Y331,0)</f>
        <v>0</v>
      </c>
      <c r="K331" s="33">
        <f>BattCalcs!AF331</f>
        <v>25811.765833333331</v>
      </c>
      <c r="L331" s="33">
        <f t="shared" si="81"/>
        <v>25811.765833333331</v>
      </c>
      <c r="M331" s="33">
        <f>IF('PV IN'!$F$4="PV Only",G331,G331-SUM(H331:J331,L331))</f>
        <v>122702.01650998654</v>
      </c>
      <c r="N331" s="2">
        <f>IF(C331&lt;='PV IN'!$I$12*12,'PV IN'!$E$12*G331/1000,0)</f>
        <v>0</v>
      </c>
      <c r="O331" s="2">
        <f>IF(AND(C331&gt;'PV IN'!$I$12*12,C331&lt;='PV IN'!$I$13*12+'PV IN'!$I$12*12),'PV IN'!$E$13*PVCalcs!G331/1000,0)</f>
        <v>0</v>
      </c>
      <c r="P331" s="2">
        <f>IF(AND(C331&gt;'PV IN'!$I$12*12+'PV IN'!$I$13*12,C331&lt;='PV IN'!$I$12*12+'PV IN'!$I$13*12+'PV IN'!$I$14*12),'PV IN'!$E$14*PVCalcs!G331/1000,0)</f>
        <v>0</v>
      </c>
      <c r="R331" s="10">
        <f>IF(AND('PV IN'!$D$35="YES",$C331&lt;='PV IN'!$E$35*12),-'PV IN'!$E$18*'PV IN'!$E$34/12,0)</f>
        <v>0</v>
      </c>
      <c r="S331" s="10">
        <f>IF(AND('PV IN'!$D$37="YES",$C331&lt;='PV IN'!$E$37*12),-'PV IN'!$E$18*'PV IN'!$E$36/12,0)</f>
        <v>0</v>
      </c>
      <c r="U331" s="2">
        <f t="shared" si="96"/>
        <v>9828.8777733060142</v>
      </c>
      <c r="V331" s="10">
        <f>PVLoan!M358</f>
        <v>0</v>
      </c>
      <c r="W331" s="2">
        <f>IF(C331='PV IN'!$I$40,IF('PV IN'!$G$40="Non-Taxable",'PV IN'!$F$40,0),0)+IF(C331='PV IN'!$I$41,IF('PV IN'!$G$41="Non-Taxable",'PV IN'!$F$41,0),0)</f>
        <v>0</v>
      </c>
      <c r="X331" s="10"/>
      <c r="Y331" s="10">
        <f>IF('PV IN'!$E$15="Non-Taxable",SUM(N331:P331),0)</f>
        <v>0</v>
      </c>
      <c r="Z331" s="10">
        <f>IF('PV IN'!$E$15="Taxable",SUM(N331:P331),0)</f>
        <v>0</v>
      </c>
      <c r="AA331" s="2">
        <f>IF(C331='PV IN'!$I$40,IF('PV IN'!$G$40="Taxable",'PV IN'!$F$40,0),0)+IF(C331='PV IN'!$I$41,IF('PV IN'!$G$41="Taxable",'PV IN'!$F$41,0),0)</f>
        <v>0</v>
      </c>
      <c r="AD331" s="10">
        <f>IF('PV IN'!$D$48="YES",-U331*'PV IN'!$E$8,0)</f>
        <v>0</v>
      </c>
      <c r="AE331" s="10">
        <f>IF('PV IN'!$N$10="Yes",-PVLoan!H359,-PVLoan!L359)</f>
        <v>0</v>
      </c>
      <c r="AF331" s="10">
        <f>IF('PV IN'!$N$10="Yes",-PVLoan!F359,0)</f>
        <v>0</v>
      </c>
      <c r="AG331" s="10">
        <f>IF(AND('PV IN'!$D$35="YES",$C331&lt;='PV IN'!$E$35*12),0,-'PV IN'!$E$18*'PV IN'!$E$34/12)</f>
        <v>-750</v>
      </c>
      <c r="AH331" s="10">
        <f>IF(AND('PV IN'!$D$37="YES",$C331&lt;='PV IN'!$E$37*12),0,-'PV IN'!$E$18*'PV IN'!$E$36/12)</f>
        <v>-625</v>
      </c>
      <c r="AI331" s="2">
        <f>IF(AND('PV IN'!$D$33="YES",PVCalcs!C331=ROUNDUP('PV IN'!$H$33*12,)),-'PV IN'!$E$33*'PV IN'!$E$18,0)</f>
        <v>0</v>
      </c>
      <c r="AK331" s="2">
        <f t="shared" si="87"/>
        <v>9828.8777733060142</v>
      </c>
      <c r="AL331" s="2">
        <f t="shared" si="82"/>
        <v>-1375</v>
      </c>
      <c r="AM331" s="2">
        <f t="shared" si="83"/>
        <v>8453.8777733060142</v>
      </c>
      <c r="AN331" s="43"/>
      <c r="AO331" s="2">
        <f t="shared" si="88"/>
        <v>0</v>
      </c>
      <c r="AP331" s="2">
        <f t="shared" si="84"/>
        <v>-1375</v>
      </c>
      <c r="AR331" s="2">
        <f t="shared" si="85"/>
        <v>-1375</v>
      </c>
      <c r="AS331" s="2">
        <f>-AR331*'PV IN'!$E$8</f>
        <v>288.75</v>
      </c>
      <c r="AT331" s="2">
        <f>IF('PV IN'!$F$4="Battery Only",0,AM331+AS331)</f>
        <v>8742.6277733060142</v>
      </c>
      <c r="AV331" s="10">
        <f t="shared" si="86"/>
        <v>2180914.0425747545</v>
      </c>
      <c r="AW331" s="2">
        <f>AT331/(1+('PV IN'!$G$9))^(C331)</f>
        <v>2313.3086862207037</v>
      </c>
      <c r="AX331" s="2" t="e">
        <f>IF(C331&lt;='PV IN'!$O$22*12,AW331+AX330,NA())</f>
        <v>#N/A</v>
      </c>
      <c r="AZ331" s="10">
        <f t="shared" si="89"/>
        <v>-1375</v>
      </c>
      <c r="BA331" s="10">
        <f t="shared" si="90"/>
        <v>0</v>
      </c>
      <c r="BB331" s="10">
        <f t="shared" si="91"/>
        <v>-1375</v>
      </c>
      <c r="BC331" s="10">
        <f t="shared" si="92"/>
        <v>0</v>
      </c>
      <c r="BD331" s="10">
        <f t="shared" si="93"/>
        <v>-1375</v>
      </c>
      <c r="BE331" s="2">
        <f t="shared" si="94"/>
        <v>0</v>
      </c>
      <c r="BF331" s="10">
        <f t="shared" si="95"/>
        <v>-1375</v>
      </c>
      <c r="BG331" s="2">
        <f>-BF331*'PV IN'!$E$8</f>
        <v>288.75</v>
      </c>
      <c r="BH331" s="2">
        <f>IF('PV IN'!$F$4="Battery Only",0,BB331+BG331)</f>
        <v>-1086.25</v>
      </c>
      <c r="BI331" s="2">
        <f>BH331/(1+('PV IN'!$G$9))^(C331)</f>
        <v>-287.42291511937668</v>
      </c>
    </row>
    <row r="332" spans="2:61" x14ac:dyDescent="0.25">
      <c r="C332">
        <v>328</v>
      </c>
      <c r="D332" s="16">
        <f>D331*(1+('PV IN'!$G$6/12))</f>
        <v>7.5999999999999998E-2</v>
      </c>
      <c r="E332" s="16">
        <f>LkUP!$U$48</f>
        <v>8.0103636866522526E-2</v>
      </c>
      <c r="F332" s="16">
        <f>IF('PV IN'!$D$7="Table",E332,D332)</f>
        <v>8.0103636866522526E-2</v>
      </c>
      <c r="G332" s="33">
        <f>('PV IN'!$E$25*'PV IN'!$E$18/12)*(1-(1-'PV IN'!$E$27)/(25*12))^C331</f>
        <v>122620.21516564656</v>
      </c>
      <c r="H332" s="33">
        <f>IF('PV IN'!$D$19="YES",G332*'PV IN'!$E$21,0)</f>
        <v>0</v>
      </c>
      <c r="I332" s="33">
        <f>IF('PV IN'!$D$19="YES",'PV IN'!$E$22*BattCalcs!W332,0)</f>
        <v>0</v>
      </c>
      <c r="J332" s="33">
        <f>IF('PV IN'!$D$19="YES",'PV IN'!$E$23*BattCalcs!Y332,0)</f>
        <v>0</v>
      </c>
      <c r="K332" s="33">
        <f>BattCalcs!AF332</f>
        <v>25811.765833333331</v>
      </c>
      <c r="L332" s="33">
        <f t="shared" si="81"/>
        <v>25811.765833333331</v>
      </c>
      <c r="M332" s="33">
        <f>IF('PV IN'!$F$4="PV Only",G332,G332-SUM(H332:J332,L332))</f>
        <v>122620.21516564656</v>
      </c>
      <c r="N332" s="2">
        <f>IF(C332&lt;='PV IN'!$I$12*12,'PV IN'!$E$12*G332/1000,0)</f>
        <v>0</v>
      </c>
      <c r="O332" s="2">
        <f>IF(AND(C332&gt;'PV IN'!$I$12*12,C332&lt;='PV IN'!$I$13*12+'PV IN'!$I$12*12),'PV IN'!$E$13*PVCalcs!G332/1000,0)</f>
        <v>0</v>
      </c>
      <c r="P332" s="2">
        <f>IF(AND(C332&gt;'PV IN'!$I$12*12+'PV IN'!$I$13*12,C332&lt;='PV IN'!$I$12*12+'PV IN'!$I$13*12+'PV IN'!$I$14*12),'PV IN'!$E$14*PVCalcs!G332/1000,0)</f>
        <v>0</v>
      </c>
      <c r="R332" s="10">
        <f>IF(AND('PV IN'!$D$35="YES",$C332&lt;='PV IN'!$E$35*12),-'PV IN'!$E$18*'PV IN'!$E$34/12,0)</f>
        <v>0</v>
      </c>
      <c r="S332" s="10">
        <f>IF(AND('PV IN'!$D$37="YES",$C332&lt;='PV IN'!$E$37*12),-'PV IN'!$E$18*'PV IN'!$E$36/12,0)</f>
        <v>0</v>
      </c>
      <c r="U332" s="2">
        <f t="shared" si="96"/>
        <v>9822.3251881238102</v>
      </c>
      <c r="V332" s="10">
        <f>PVLoan!M359</f>
        <v>0</v>
      </c>
      <c r="W332" s="2">
        <f>IF(C332='PV IN'!$I$40,IF('PV IN'!$G$40="Non-Taxable",'PV IN'!$F$40,0),0)+IF(C332='PV IN'!$I$41,IF('PV IN'!$G$41="Non-Taxable",'PV IN'!$F$41,0),0)</f>
        <v>0</v>
      </c>
      <c r="X332" s="10"/>
      <c r="Y332" s="10">
        <f>IF('PV IN'!$E$15="Non-Taxable",SUM(N332:P332),0)</f>
        <v>0</v>
      </c>
      <c r="Z332" s="10">
        <f>IF('PV IN'!$E$15="Taxable",SUM(N332:P332),0)</f>
        <v>0</v>
      </c>
      <c r="AA332" s="2">
        <f>IF(C332='PV IN'!$I$40,IF('PV IN'!$G$40="Taxable",'PV IN'!$F$40,0),0)+IF(C332='PV IN'!$I$41,IF('PV IN'!$G$41="Taxable",'PV IN'!$F$41,0),0)</f>
        <v>0</v>
      </c>
      <c r="AD332" s="10">
        <f>IF('PV IN'!$D$48="YES",-U332*'PV IN'!$E$8,0)</f>
        <v>0</v>
      </c>
      <c r="AE332" s="10">
        <f>IF('PV IN'!$N$10="Yes",-PVLoan!H360,-PVLoan!L360)</f>
        <v>0</v>
      </c>
      <c r="AF332" s="10">
        <f>IF('PV IN'!$N$10="Yes",-PVLoan!F360,0)</f>
        <v>0</v>
      </c>
      <c r="AG332" s="10">
        <f>IF(AND('PV IN'!$D$35="YES",$C332&lt;='PV IN'!$E$35*12),0,-'PV IN'!$E$18*'PV IN'!$E$34/12)</f>
        <v>-750</v>
      </c>
      <c r="AH332" s="10">
        <f>IF(AND('PV IN'!$D$37="YES",$C332&lt;='PV IN'!$E$37*12),0,-'PV IN'!$E$18*'PV IN'!$E$36/12)</f>
        <v>-625</v>
      </c>
      <c r="AI332" s="2">
        <f>IF(AND('PV IN'!$D$33="YES",PVCalcs!C332=ROUNDUP('PV IN'!$H$33*12,)),-'PV IN'!$E$33*'PV IN'!$E$18,0)</f>
        <v>0</v>
      </c>
      <c r="AK332" s="2">
        <f t="shared" si="87"/>
        <v>9822.3251881238102</v>
      </c>
      <c r="AL332" s="2">
        <f t="shared" si="82"/>
        <v>-1375</v>
      </c>
      <c r="AM332" s="2">
        <f t="shared" si="83"/>
        <v>8447.3251881238102</v>
      </c>
      <c r="AN332" s="43"/>
      <c r="AO332" s="2">
        <f t="shared" si="88"/>
        <v>0</v>
      </c>
      <c r="AP332" s="2">
        <f t="shared" si="84"/>
        <v>-1375</v>
      </c>
      <c r="AR332" s="2">
        <f t="shared" si="85"/>
        <v>-1375</v>
      </c>
      <c r="AS332" s="2">
        <f>-AR332*'PV IN'!$E$8</f>
        <v>288.75</v>
      </c>
      <c r="AT332" s="2">
        <f>IF('PV IN'!$F$4="Battery Only",0,AM332+AS332)</f>
        <v>8736.0751881238102</v>
      </c>
      <c r="AV332" s="10">
        <f t="shared" si="86"/>
        <v>2189650.1177628781</v>
      </c>
      <c r="AW332" s="2">
        <f>AT332/(1+('PV IN'!$G$9))^(C332)</f>
        <v>2302.1954359728397</v>
      </c>
      <c r="AX332" s="2" t="e">
        <f>IF(C332&lt;='PV IN'!$O$22*12,AW332+AX331,NA())</f>
        <v>#N/A</v>
      </c>
      <c r="AZ332" s="10">
        <f t="shared" si="89"/>
        <v>-1375</v>
      </c>
      <c r="BA332" s="10">
        <f t="shared" si="90"/>
        <v>0</v>
      </c>
      <c r="BB332" s="10">
        <f t="shared" si="91"/>
        <v>-1375</v>
      </c>
      <c r="BC332" s="10">
        <f t="shared" si="92"/>
        <v>0</v>
      </c>
      <c r="BD332" s="10">
        <f t="shared" si="93"/>
        <v>-1375</v>
      </c>
      <c r="BE332" s="2">
        <f t="shared" si="94"/>
        <v>0</v>
      </c>
      <c r="BF332" s="10">
        <f t="shared" si="95"/>
        <v>-1375</v>
      </c>
      <c r="BG332" s="2">
        <f>-BF332*'PV IN'!$E$8</f>
        <v>288.75</v>
      </c>
      <c r="BH332" s="2">
        <f>IF('PV IN'!$F$4="Battery Only",0,BB332+BG332)</f>
        <v>-1086.25</v>
      </c>
      <c r="BI332" s="2">
        <f>BH332/(1+('PV IN'!$G$9))^(C332)</f>
        <v>-286.25667001185337</v>
      </c>
    </row>
    <row r="333" spans="2:61" x14ac:dyDescent="0.25">
      <c r="C333">
        <v>329</v>
      </c>
      <c r="D333" s="16">
        <f>D332*(1+('PV IN'!$G$6/12))</f>
        <v>7.5999999999999998E-2</v>
      </c>
      <c r="E333" s="16">
        <f>LkUP!$U$48</f>
        <v>8.0103636866522526E-2</v>
      </c>
      <c r="F333" s="16">
        <f>IF('PV IN'!$D$7="Table",E333,D333)</f>
        <v>8.0103636866522526E-2</v>
      </c>
      <c r="G333" s="33">
        <f>('PV IN'!$E$25*'PV IN'!$E$18/12)*(1-(1-'PV IN'!$E$27)/(25*12))^C332</f>
        <v>122538.4683555361</v>
      </c>
      <c r="H333" s="33">
        <f>IF('PV IN'!$D$19="YES",G333*'PV IN'!$E$21,0)</f>
        <v>0</v>
      </c>
      <c r="I333" s="33">
        <f>IF('PV IN'!$D$19="YES",'PV IN'!$E$22*BattCalcs!W333,0)</f>
        <v>0</v>
      </c>
      <c r="J333" s="33">
        <f>IF('PV IN'!$D$19="YES",'PV IN'!$E$23*BattCalcs!Y333,0)</f>
        <v>0</v>
      </c>
      <c r="K333" s="33">
        <f>BattCalcs!AF333</f>
        <v>25811.765833333331</v>
      </c>
      <c r="L333" s="33">
        <f t="shared" si="81"/>
        <v>25811.765833333331</v>
      </c>
      <c r="M333" s="33">
        <f>IF('PV IN'!$F$4="PV Only",G333,G333-SUM(H333:J333,L333))</f>
        <v>122538.4683555361</v>
      </c>
      <c r="N333" s="2">
        <f>IF(C333&lt;='PV IN'!$I$12*12,'PV IN'!$E$12*G333/1000,0)</f>
        <v>0</v>
      </c>
      <c r="O333" s="2">
        <f>IF(AND(C333&gt;'PV IN'!$I$12*12,C333&lt;='PV IN'!$I$13*12+'PV IN'!$I$12*12),'PV IN'!$E$13*PVCalcs!G333/1000,0)</f>
        <v>0</v>
      </c>
      <c r="P333" s="2">
        <f>IF(AND(C333&gt;'PV IN'!$I$12*12+'PV IN'!$I$13*12,C333&lt;='PV IN'!$I$12*12+'PV IN'!$I$13*12+'PV IN'!$I$14*12),'PV IN'!$E$14*PVCalcs!G333/1000,0)</f>
        <v>0</v>
      </c>
      <c r="R333" s="10">
        <f>IF(AND('PV IN'!$D$35="YES",$C333&lt;='PV IN'!$E$35*12),-'PV IN'!$E$18*'PV IN'!$E$34/12,0)</f>
        <v>0</v>
      </c>
      <c r="S333" s="10">
        <f>IF(AND('PV IN'!$D$37="YES",$C333&lt;='PV IN'!$E$37*12),-'PV IN'!$E$18*'PV IN'!$E$36/12,0)</f>
        <v>0</v>
      </c>
      <c r="U333" s="2">
        <f t="shared" si="96"/>
        <v>9815.7769713317248</v>
      </c>
      <c r="V333" s="10">
        <f>PVLoan!M360</f>
        <v>0</v>
      </c>
      <c r="W333" s="2">
        <f>IF(C333='PV IN'!$I$40,IF('PV IN'!$G$40="Non-Taxable",'PV IN'!$F$40,0),0)+IF(C333='PV IN'!$I$41,IF('PV IN'!$G$41="Non-Taxable",'PV IN'!$F$41,0),0)</f>
        <v>0</v>
      </c>
      <c r="X333" s="10"/>
      <c r="Y333" s="10">
        <f>IF('PV IN'!$E$15="Non-Taxable",SUM(N333:P333),0)</f>
        <v>0</v>
      </c>
      <c r="Z333" s="10">
        <f>IF('PV IN'!$E$15="Taxable",SUM(N333:P333),0)</f>
        <v>0</v>
      </c>
      <c r="AA333" s="2">
        <f>IF(C333='PV IN'!$I$40,IF('PV IN'!$G$40="Taxable",'PV IN'!$F$40,0),0)+IF(C333='PV IN'!$I$41,IF('PV IN'!$G$41="Taxable",'PV IN'!$F$41,0),0)</f>
        <v>0</v>
      </c>
      <c r="AD333" s="10">
        <f>IF('PV IN'!$D$48="YES",-U333*'PV IN'!$E$8,0)</f>
        <v>0</v>
      </c>
      <c r="AE333" s="10">
        <f>IF('PV IN'!$N$10="Yes",-PVLoan!H361,-PVLoan!L361)</f>
        <v>0</v>
      </c>
      <c r="AF333" s="10">
        <f>IF('PV IN'!$N$10="Yes",-PVLoan!F361,0)</f>
        <v>0</v>
      </c>
      <c r="AG333" s="10">
        <f>IF(AND('PV IN'!$D$35="YES",$C333&lt;='PV IN'!$E$35*12),0,-'PV IN'!$E$18*'PV IN'!$E$34/12)</f>
        <v>-750</v>
      </c>
      <c r="AH333" s="10">
        <f>IF(AND('PV IN'!$D$37="YES",$C333&lt;='PV IN'!$E$37*12),0,-'PV IN'!$E$18*'PV IN'!$E$36/12)</f>
        <v>-625</v>
      </c>
      <c r="AI333" s="2">
        <f>IF(AND('PV IN'!$D$33="YES",PVCalcs!C333=ROUNDUP('PV IN'!$H$33*12,)),-'PV IN'!$E$33*'PV IN'!$E$18,0)</f>
        <v>0</v>
      </c>
      <c r="AK333" s="2">
        <f t="shared" si="87"/>
        <v>9815.7769713317248</v>
      </c>
      <c r="AL333" s="2">
        <f t="shared" si="82"/>
        <v>-1375</v>
      </c>
      <c r="AM333" s="2">
        <f t="shared" si="83"/>
        <v>8440.7769713317248</v>
      </c>
      <c r="AN333" s="43"/>
      <c r="AO333" s="2">
        <f t="shared" si="88"/>
        <v>0</v>
      </c>
      <c r="AP333" s="2">
        <f t="shared" si="84"/>
        <v>-1375</v>
      </c>
      <c r="AR333" s="2">
        <f t="shared" si="85"/>
        <v>-1375</v>
      </c>
      <c r="AS333" s="2">
        <f>-AR333*'PV IN'!$E$8</f>
        <v>288.75</v>
      </c>
      <c r="AT333" s="2">
        <f>IF('PV IN'!$F$4="Battery Only",0,AM333+AS333)</f>
        <v>8729.5269713317248</v>
      </c>
      <c r="AV333" s="10">
        <f t="shared" si="86"/>
        <v>2198379.6447342099</v>
      </c>
      <c r="AW333" s="2">
        <f>AT333/(1+('PV IN'!$G$9))^(C333)</f>
        <v>2291.1354318809304</v>
      </c>
      <c r="AX333" s="2" t="e">
        <f>IF(C333&lt;='PV IN'!$O$22*12,AW333+AX332,NA())</f>
        <v>#N/A</v>
      </c>
      <c r="AZ333" s="10">
        <f t="shared" si="89"/>
        <v>-1375</v>
      </c>
      <c r="BA333" s="10">
        <f t="shared" si="90"/>
        <v>0</v>
      </c>
      <c r="BB333" s="10">
        <f t="shared" si="91"/>
        <v>-1375</v>
      </c>
      <c r="BC333" s="10">
        <f t="shared" si="92"/>
        <v>0</v>
      </c>
      <c r="BD333" s="10">
        <f t="shared" si="93"/>
        <v>-1375</v>
      </c>
      <c r="BE333" s="2">
        <f t="shared" si="94"/>
        <v>0</v>
      </c>
      <c r="BF333" s="10">
        <f t="shared" si="95"/>
        <v>-1375</v>
      </c>
      <c r="BG333" s="2">
        <f>-BF333*'PV IN'!$E$8</f>
        <v>288.75</v>
      </c>
      <c r="BH333" s="2">
        <f>IF('PV IN'!$F$4="Battery Only",0,BB333+BG333)</f>
        <v>-1086.25</v>
      </c>
      <c r="BI333" s="2">
        <f>BH333/(1+('PV IN'!$G$9))^(C333)</f>
        <v>-285.09515705190523</v>
      </c>
    </row>
    <row r="334" spans="2:61" x14ac:dyDescent="0.25">
      <c r="C334">
        <v>330</v>
      </c>
      <c r="D334" s="16">
        <f>D333*(1+('PV IN'!$G$6/12))</f>
        <v>7.5999999999999998E-2</v>
      </c>
      <c r="E334" s="16">
        <f>LkUP!$U$48</f>
        <v>8.0103636866522526E-2</v>
      </c>
      <c r="F334" s="16">
        <f>IF('PV IN'!$D$7="Table",E334,D334)</f>
        <v>8.0103636866522526E-2</v>
      </c>
      <c r="G334" s="33">
        <f>('PV IN'!$E$25*'PV IN'!$E$18/12)*(1-(1-'PV IN'!$E$27)/(25*12))^C333</f>
        <v>122456.77604329908</v>
      </c>
      <c r="H334" s="33">
        <f>IF('PV IN'!$D$19="YES",G334*'PV IN'!$E$21,0)</f>
        <v>0</v>
      </c>
      <c r="I334" s="33">
        <f>IF('PV IN'!$D$19="YES",'PV IN'!$E$22*BattCalcs!W334,0)</f>
        <v>0</v>
      </c>
      <c r="J334" s="33">
        <f>IF('PV IN'!$D$19="YES",'PV IN'!$E$23*BattCalcs!Y334,0)</f>
        <v>0</v>
      </c>
      <c r="K334" s="33">
        <f>BattCalcs!AF334</f>
        <v>25811.765833333331</v>
      </c>
      <c r="L334" s="33">
        <f t="shared" si="81"/>
        <v>25811.765833333331</v>
      </c>
      <c r="M334" s="33">
        <f>IF('PV IN'!$F$4="PV Only",G334,G334-SUM(H334:J334,L334))</f>
        <v>122456.77604329908</v>
      </c>
      <c r="N334" s="2">
        <f>IF(C334&lt;='PV IN'!$I$12*12,'PV IN'!$E$12*G334/1000,0)</f>
        <v>0</v>
      </c>
      <c r="O334" s="2">
        <f>IF(AND(C334&gt;'PV IN'!$I$12*12,C334&lt;='PV IN'!$I$13*12+'PV IN'!$I$12*12),'PV IN'!$E$13*PVCalcs!G334/1000,0)</f>
        <v>0</v>
      </c>
      <c r="P334" s="2">
        <f>IF(AND(C334&gt;'PV IN'!$I$12*12+'PV IN'!$I$13*12,C334&lt;='PV IN'!$I$12*12+'PV IN'!$I$13*12+'PV IN'!$I$14*12),'PV IN'!$E$14*PVCalcs!G334/1000,0)</f>
        <v>0</v>
      </c>
      <c r="R334" s="10">
        <f>IF(AND('PV IN'!$D$35="YES",$C334&lt;='PV IN'!$E$35*12),-'PV IN'!$E$18*'PV IN'!$E$34/12,0)</f>
        <v>0</v>
      </c>
      <c r="S334" s="10">
        <f>IF(AND('PV IN'!$D$37="YES",$C334&lt;='PV IN'!$E$37*12),-'PV IN'!$E$18*'PV IN'!$E$36/12,0)</f>
        <v>0</v>
      </c>
      <c r="U334" s="2">
        <f t="shared" si="96"/>
        <v>9809.2331200175049</v>
      </c>
      <c r="V334" s="10">
        <f>PVLoan!M361</f>
        <v>0</v>
      </c>
      <c r="W334" s="2">
        <f>IF(C334='PV IN'!$I$40,IF('PV IN'!$G$40="Non-Taxable",'PV IN'!$F$40,0),0)+IF(C334='PV IN'!$I$41,IF('PV IN'!$G$41="Non-Taxable",'PV IN'!$F$41,0),0)</f>
        <v>0</v>
      </c>
      <c r="X334" s="10"/>
      <c r="Y334" s="10">
        <f>IF('PV IN'!$E$15="Non-Taxable",SUM(N334:P334),0)</f>
        <v>0</v>
      </c>
      <c r="Z334" s="10">
        <f>IF('PV IN'!$E$15="Taxable",SUM(N334:P334),0)</f>
        <v>0</v>
      </c>
      <c r="AA334" s="2">
        <f>IF(C334='PV IN'!$I$40,IF('PV IN'!$G$40="Taxable",'PV IN'!$F$40,0),0)+IF(C334='PV IN'!$I$41,IF('PV IN'!$G$41="Taxable",'PV IN'!$F$41,0),0)</f>
        <v>0</v>
      </c>
      <c r="AD334" s="10">
        <f>IF('PV IN'!$D$48="YES",-U334*'PV IN'!$E$8,0)</f>
        <v>0</v>
      </c>
      <c r="AE334" s="10">
        <f>IF('PV IN'!$N$10="Yes",-PVLoan!H362,-PVLoan!L362)</f>
        <v>0</v>
      </c>
      <c r="AF334" s="10">
        <f>IF('PV IN'!$N$10="Yes",-PVLoan!F362,0)</f>
        <v>0</v>
      </c>
      <c r="AG334" s="10">
        <f>IF(AND('PV IN'!$D$35="YES",$C334&lt;='PV IN'!$E$35*12),0,-'PV IN'!$E$18*'PV IN'!$E$34/12)</f>
        <v>-750</v>
      </c>
      <c r="AH334" s="10">
        <f>IF(AND('PV IN'!$D$37="YES",$C334&lt;='PV IN'!$E$37*12),0,-'PV IN'!$E$18*'PV IN'!$E$36/12)</f>
        <v>-625</v>
      </c>
      <c r="AI334" s="2">
        <f>IF(AND('PV IN'!$D$33="YES",PVCalcs!C334=ROUNDUP('PV IN'!$H$33*12,)),-'PV IN'!$E$33*'PV IN'!$E$18,0)</f>
        <v>0</v>
      </c>
      <c r="AK334" s="2">
        <f t="shared" si="87"/>
        <v>9809.2331200175049</v>
      </c>
      <c r="AL334" s="2">
        <f t="shared" si="82"/>
        <v>-1375</v>
      </c>
      <c r="AM334" s="2">
        <f t="shared" si="83"/>
        <v>8434.2331200175049</v>
      </c>
      <c r="AN334" s="43"/>
      <c r="AO334" s="2">
        <f t="shared" si="88"/>
        <v>0</v>
      </c>
      <c r="AP334" s="2">
        <f t="shared" si="84"/>
        <v>-1375</v>
      </c>
      <c r="AR334" s="2">
        <f t="shared" si="85"/>
        <v>-1375</v>
      </c>
      <c r="AS334" s="2">
        <f>-AR334*'PV IN'!$E$8</f>
        <v>288.75</v>
      </c>
      <c r="AT334" s="2">
        <f>IF('PV IN'!$F$4="Battery Only",0,AM334+AS334)</f>
        <v>8722.9831200175049</v>
      </c>
      <c r="AV334" s="10">
        <f t="shared" si="86"/>
        <v>2207102.6278542276</v>
      </c>
      <c r="AW334" s="2">
        <f>AT334/(1+('PV IN'!$G$9))^(C334)</f>
        <v>2280.1284193983984</v>
      </c>
      <c r="AX334" s="2" t="e">
        <f>IF(C334&lt;='PV IN'!$O$22*12,AW334+AX333,NA())</f>
        <v>#N/A</v>
      </c>
      <c r="AZ334" s="10">
        <f t="shared" si="89"/>
        <v>-1375</v>
      </c>
      <c r="BA334" s="10">
        <f t="shared" si="90"/>
        <v>0</v>
      </c>
      <c r="BB334" s="10">
        <f t="shared" si="91"/>
        <v>-1375</v>
      </c>
      <c r="BC334" s="10">
        <f t="shared" si="92"/>
        <v>0</v>
      </c>
      <c r="BD334" s="10">
        <f t="shared" si="93"/>
        <v>-1375</v>
      </c>
      <c r="BE334" s="2">
        <f t="shared" si="94"/>
        <v>0</v>
      </c>
      <c r="BF334" s="10">
        <f t="shared" si="95"/>
        <v>-1375</v>
      </c>
      <c r="BG334" s="2">
        <f>-BF334*'PV IN'!$E$8</f>
        <v>288.75</v>
      </c>
      <c r="BH334" s="2">
        <f>IF('PV IN'!$F$4="Battery Only",0,BB334+BG334)</f>
        <v>-1086.25</v>
      </c>
      <c r="BI334" s="2">
        <f>BH334/(1+('PV IN'!$G$9))^(C334)</f>
        <v>-283.938357038405</v>
      </c>
    </row>
    <row r="335" spans="2:61" x14ac:dyDescent="0.25">
      <c r="C335">
        <v>331</v>
      </c>
      <c r="D335" s="16">
        <f>D334*(1+('PV IN'!$G$6/12))</f>
        <v>7.5999999999999998E-2</v>
      </c>
      <c r="E335" s="16">
        <f>LkUP!$U$48</f>
        <v>8.0103636866522526E-2</v>
      </c>
      <c r="F335" s="16">
        <f>IF('PV IN'!$D$7="Table",E335,D335)</f>
        <v>8.0103636866522526E-2</v>
      </c>
      <c r="G335" s="33">
        <f>('PV IN'!$E$25*'PV IN'!$E$18/12)*(1-(1-'PV IN'!$E$27)/(25*12))^C334</f>
        <v>122375.13819260355</v>
      </c>
      <c r="H335" s="33">
        <f>IF('PV IN'!$D$19="YES",G335*'PV IN'!$E$21,0)</f>
        <v>0</v>
      </c>
      <c r="I335" s="33">
        <f>IF('PV IN'!$D$19="YES",'PV IN'!$E$22*BattCalcs!W335,0)</f>
        <v>0</v>
      </c>
      <c r="J335" s="33">
        <f>IF('PV IN'!$D$19="YES",'PV IN'!$E$23*BattCalcs!Y335,0)</f>
        <v>0</v>
      </c>
      <c r="K335" s="33">
        <f>BattCalcs!AF335</f>
        <v>25811.765833333331</v>
      </c>
      <c r="L335" s="33">
        <f t="shared" si="81"/>
        <v>25811.765833333331</v>
      </c>
      <c r="M335" s="33">
        <f>IF('PV IN'!$F$4="PV Only",G335,G335-SUM(H335:J335,L335))</f>
        <v>122375.13819260355</v>
      </c>
      <c r="N335" s="2">
        <f>IF(C335&lt;='PV IN'!$I$12*12,'PV IN'!$E$12*G335/1000,0)</f>
        <v>0</v>
      </c>
      <c r="O335" s="2">
        <f>IF(AND(C335&gt;'PV IN'!$I$12*12,C335&lt;='PV IN'!$I$13*12+'PV IN'!$I$12*12),'PV IN'!$E$13*PVCalcs!G335/1000,0)</f>
        <v>0</v>
      </c>
      <c r="P335" s="2">
        <f>IF(AND(C335&gt;'PV IN'!$I$12*12+'PV IN'!$I$13*12,C335&lt;='PV IN'!$I$12*12+'PV IN'!$I$13*12+'PV IN'!$I$14*12),'PV IN'!$E$14*PVCalcs!G335/1000,0)</f>
        <v>0</v>
      </c>
      <c r="R335" s="10">
        <f>IF(AND('PV IN'!$D$35="YES",$C335&lt;='PV IN'!$E$35*12),-'PV IN'!$E$18*'PV IN'!$E$34/12,0)</f>
        <v>0</v>
      </c>
      <c r="S335" s="10">
        <f>IF(AND('PV IN'!$D$37="YES",$C335&lt;='PV IN'!$E$37*12),-'PV IN'!$E$18*'PV IN'!$E$36/12,0)</f>
        <v>0</v>
      </c>
      <c r="U335" s="2">
        <f t="shared" si="96"/>
        <v>9802.6936312708276</v>
      </c>
      <c r="V335" s="10">
        <f>PVLoan!M362</f>
        <v>0</v>
      </c>
      <c r="W335" s="2">
        <f>IF(C335='PV IN'!$I$40,IF('PV IN'!$G$40="Non-Taxable",'PV IN'!$F$40,0),0)+IF(C335='PV IN'!$I$41,IF('PV IN'!$G$41="Non-Taxable",'PV IN'!$F$41,0),0)</f>
        <v>0</v>
      </c>
      <c r="X335" s="10"/>
      <c r="Y335" s="10">
        <f>IF('PV IN'!$E$15="Non-Taxable",SUM(N335:P335),0)</f>
        <v>0</v>
      </c>
      <c r="Z335" s="10">
        <f>IF('PV IN'!$E$15="Taxable",SUM(N335:P335),0)</f>
        <v>0</v>
      </c>
      <c r="AA335" s="2">
        <f>IF(C335='PV IN'!$I$40,IF('PV IN'!$G$40="Taxable",'PV IN'!$F$40,0),0)+IF(C335='PV IN'!$I$41,IF('PV IN'!$G$41="Taxable",'PV IN'!$F$41,0),0)</f>
        <v>0</v>
      </c>
      <c r="AD335" s="10">
        <f>IF('PV IN'!$D$48="YES",-U335*'PV IN'!$E$8,0)</f>
        <v>0</v>
      </c>
      <c r="AE335" s="10">
        <f>IF('PV IN'!$N$10="Yes",-PVLoan!H363,-PVLoan!L363)</f>
        <v>0</v>
      </c>
      <c r="AF335" s="10">
        <f>IF('PV IN'!$N$10="Yes",-PVLoan!F363,0)</f>
        <v>0</v>
      </c>
      <c r="AG335" s="10">
        <f>IF(AND('PV IN'!$D$35="YES",$C335&lt;='PV IN'!$E$35*12),0,-'PV IN'!$E$18*'PV IN'!$E$34/12)</f>
        <v>-750</v>
      </c>
      <c r="AH335" s="10">
        <f>IF(AND('PV IN'!$D$37="YES",$C335&lt;='PV IN'!$E$37*12),0,-'PV IN'!$E$18*'PV IN'!$E$36/12)</f>
        <v>-625</v>
      </c>
      <c r="AI335" s="2">
        <f>IF(AND('PV IN'!$D$33="YES",PVCalcs!C335=ROUNDUP('PV IN'!$H$33*12,)),-'PV IN'!$E$33*'PV IN'!$E$18,0)</f>
        <v>0</v>
      </c>
      <c r="AK335" s="2">
        <f t="shared" si="87"/>
        <v>9802.6936312708276</v>
      </c>
      <c r="AL335" s="2">
        <f t="shared" si="82"/>
        <v>-1375</v>
      </c>
      <c r="AM335" s="2">
        <f t="shared" si="83"/>
        <v>8427.6936312708276</v>
      </c>
      <c r="AN335" s="43"/>
      <c r="AO335" s="2">
        <f t="shared" si="88"/>
        <v>0</v>
      </c>
      <c r="AP335" s="2">
        <f t="shared" si="84"/>
        <v>-1375</v>
      </c>
      <c r="AR335" s="2">
        <f t="shared" si="85"/>
        <v>-1375</v>
      </c>
      <c r="AS335" s="2">
        <f>-AR335*'PV IN'!$E$8</f>
        <v>288.75</v>
      </c>
      <c r="AT335" s="2">
        <f>IF('PV IN'!$F$4="Battery Only",0,AM335+AS335)</f>
        <v>8716.4436312708276</v>
      </c>
      <c r="AV335" s="10">
        <f t="shared" si="86"/>
        <v>2215819.0714854985</v>
      </c>
      <c r="AW335" s="2">
        <f>AT335/(1+('PV IN'!$G$9))^(C335)</f>
        <v>2269.1741451932694</v>
      </c>
      <c r="AX335" s="2" t="e">
        <f>IF(C335&lt;='PV IN'!$O$22*12,AW335+AX334,NA())</f>
        <v>#N/A</v>
      </c>
      <c r="AZ335" s="10">
        <f t="shared" si="89"/>
        <v>-1375</v>
      </c>
      <c r="BA335" s="10">
        <f t="shared" si="90"/>
        <v>0</v>
      </c>
      <c r="BB335" s="10">
        <f t="shared" si="91"/>
        <v>-1375</v>
      </c>
      <c r="BC335" s="10">
        <f t="shared" si="92"/>
        <v>0</v>
      </c>
      <c r="BD335" s="10">
        <f t="shared" si="93"/>
        <v>-1375</v>
      </c>
      <c r="BE335" s="2">
        <f t="shared" si="94"/>
        <v>0</v>
      </c>
      <c r="BF335" s="10">
        <f t="shared" si="95"/>
        <v>-1375</v>
      </c>
      <c r="BG335" s="2">
        <f>-BF335*'PV IN'!$E$8</f>
        <v>288.75</v>
      </c>
      <c r="BH335" s="2">
        <f>IF('PV IN'!$F$4="Battery Only",0,BB335+BG335)</f>
        <v>-1086.25</v>
      </c>
      <c r="BI335" s="2">
        <f>BH335/(1+('PV IN'!$G$9))^(C335)</f>
        <v>-282.78625084813586</v>
      </c>
    </row>
    <row r="336" spans="2:61" x14ac:dyDescent="0.25">
      <c r="C336">
        <v>332</v>
      </c>
      <c r="D336" s="16">
        <f>D335*(1+('PV IN'!$G$6/12))</f>
        <v>7.5999999999999998E-2</v>
      </c>
      <c r="E336" s="16">
        <f>LkUP!$U$48</f>
        <v>8.0103636866522526E-2</v>
      </c>
      <c r="F336" s="16">
        <f>IF('PV IN'!$D$7="Table",E336,D336)</f>
        <v>8.0103636866522526E-2</v>
      </c>
      <c r="G336" s="33">
        <f>('PV IN'!$E$25*'PV IN'!$E$18/12)*(1-(1-'PV IN'!$E$27)/(25*12))^C335</f>
        <v>122293.5547671418</v>
      </c>
      <c r="H336" s="33">
        <f>IF('PV IN'!$D$19="YES",G336*'PV IN'!$E$21,0)</f>
        <v>0</v>
      </c>
      <c r="I336" s="33">
        <f>IF('PV IN'!$D$19="YES",'PV IN'!$E$22*BattCalcs!W336,0)</f>
        <v>0</v>
      </c>
      <c r="J336" s="33">
        <f>IF('PV IN'!$D$19="YES",'PV IN'!$E$23*BattCalcs!Y336,0)</f>
        <v>0</v>
      </c>
      <c r="K336" s="33">
        <f>BattCalcs!AF336</f>
        <v>25811.765833333331</v>
      </c>
      <c r="L336" s="33">
        <f t="shared" si="81"/>
        <v>25811.765833333331</v>
      </c>
      <c r="M336" s="33">
        <f>IF('PV IN'!$F$4="PV Only",G336,G336-SUM(H336:J336,L336))</f>
        <v>122293.5547671418</v>
      </c>
      <c r="N336" s="2">
        <f>IF(C336&lt;='PV IN'!$I$12*12,'PV IN'!$E$12*G336/1000,0)</f>
        <v>0</v>
      </c>
      <c r="O336" s="2">
        <f>IF(AND(C336&gt;'PV IN'!$I$12*12,C336&lt;='PV IN'!$I$13*12+'PV IN'!$I$12*12),'PV IN'!$E$13*PVCalcs!G336/1000,0)</f>
        <v>0</v>
      </c>
      <c r="P336" s="2">
        <f>IF(AND(C336&gt;'PV IN'!$I$12*12+'PV IN'!$I$13*12,C336&lt;='PV IN'!$I$12*12+'PV IN'!$I$13*12+'PV IN'!$I$14*12),'PV IN'!$E$14*PVCalcs!G336/1000,0)</f>
        <v>0</v>
      </c>
      <c r="R336" s="10">
        <f>IF(AND('PV IN'!$D$35="YES",$C336&lt;='PV IN'!$E$35*12),-'PV IN'!$E$18*'PV IN'!$E$34/12,0)</f>
        <v>0</v>
      </c>
      <c r="S336" s="10">
        <f>IF(AND('PV IN'!$D$37="YES",$C336&lt;='PV IN'!$E$37*12),-'PV IN'!$E$18*'PV IN'!$E$36/12,0)</f>
        <v>0</v>
      </c>
      <c r="U336" s="2">
        <f t="shared" si="96"/>
        <v>9796.1585021833125</v>
      </c>
      <c r="V336" s="10">
        <f>PVLoan!M363</f>
        <v>0</v>
      </c>
      <c r="W336" s="2">
        <f>IF(C336='PV IN'!$I$40,IF('PV IN'!$G$40="Non-Taxable",'PV IN'!$F$40,0),0)+IF(C336='PV IN'!$I$41,IF('PV IN'!$G$41="Non-Taxable",'PV IN'!$F$41,0),0)</f>
        <v>0</v>
      </c>
      <c r="X336" s="10"/>
      <c r="Y336" s="10">
        <f>IF('PV IN'!$E$15="Non-Taxable",SUM(N336:P336),0)</f>
        <v>0</v>
      </c>
      <c r="Z336" s="10">
        <f>IF('PV IN'!$E$15="Taxable",SUM(N336:P336),0)</f>
        <v>0</v>
      </c>
      <c r="AA336" s="2">
        <f>IF(C336='PV IN'!$I$40,IF('PV IN'!$G$40="Taxable",'PV IN'!$F$40,0),0)+IF(C336='PV IN'!$I$41,IF('PV IN'!$G$41="Taxable",'PV IN'!$F$41,0),0)</f>
        <v>0</v>
      </c>
      <c r="AD336" s="10">
        <f>IF('PV IN'!$D$48="YES",-U336*'PV IN'!$E$8,0)</f>
        <v>0</v>
      </c>
      <c r="AE336" s="10">
        <f>IF('PV IN'!$N$10="Yes",-PVLoan!H364,-PVLoan!L364)</f>
        <v>0</v>
      </c>
      <c r="AF336" s="10">
        <f>IF('PV IN'!$N$10="Yes",-PVLoan!F364,0)</f>
        <v>0</v>
      </c>
      <c r="AG336" s="10">
        <f>IF(AND('PV IN'!$D$35="YES",$C336&lt;='PV IN'!$E$35*12),0,-'PV IN'!$E$18*'PV IN'!$E$34/12)</f>
        <v>-750</v>
      </c>
      <c r="AH336" s="10">
        <f>IF(AND('PV IN'!$D$37="YES",$C336&lt;='PV IN'!$E$37*12),0,-'PV IN'!$E$18*'PV IN'!$E$36/12)</f>
        <v>-625</v>
      </c>
      <c r="AI336" s="2">
        <f>IF(AND('PV IN'!$D$33="YES",PVCalcs!C336=ROUNDUP('PV IN'!$H$33*12,)),-'PV IN'!$E$33*'PV IN'!$E$18,0)</f>
        <v>0</v>
      </c>
      <c r="AK336" s="2">
        <f t="shared" si="87"/>
        <v>9796.1585021833125</v>
      </c>
      <c r="AL336" s="2">
        <f t="shared" si="82"/>
        <v>-1375</v>
      </c>
      <c r="AM336" s="2">
        <f t="shared" si="83"/>
        <v>8421.1585021833125</v>
      </c>
      <c r="AN336" s="43"/>
      <c r="AO336" s="2">
        <f t="shared" si="88"/>
        <v>0</v>
      </c>
      <c r="AP336" s="2">
        <f t="shared" si="84"/>
        <v>-1375</v>
      </c>
      <c r="AR336" s="2">
        <f t="shared" si="85"/>
        <v>-1375</v>
      </c>
      <c r="AS336" s="2">
        <f>-AR336*'PV IN'!$E$8</f>
        <v>288.75</v>
      </c>
      <c r="AT336" s="2">
        <f>IF('PV IN'!$F$4="Battery Only",0,AM336+AS336)</f>
        <v>8709.9085021833125</v>
      </c>
      <c r="AV336" s="10">
        <f t="shared" si="86"/>
        <v>2224528.9799876818</v>
      </c>
      <c r="AW336" s="2">
        <f>AT336/(1+('PV IN'!$G$9))^(C336)</f>
        <v>2258.2723571423849</v>
      </c>
      <c r="AX336" s="2" t="e">
        <f>IF(C336&lt;='PV IN'!$O$22*12,AW336+AX335,NA())</f>
        <v>#N/A</v>
      </c>
      <c r="AZ336" s="10">
        <f t="shared" si="89"/>
        <v>-1375</v>
      </c>
      <c r="BA336" s="10">
        <f t="shared" si="90"/>
        <v>0</v>
      </c>
      <c r="BB336" s="10">
        <f t="shared" si="91"/>
        <v>-1375</v>
      </c>
      <c r="BC336" s="10">
        <f t="shared" si="92"/>
        <v>0</v>
      </c>
      <c r="BD336" s="10">
        <f t="shared" si="93"/>
        <v>-1375</v>
      </c>
      <c r="BE336" s="2">
        <f t="shared" si="94"/>
        <v>0</v>
      </c>
      <c r="BF336" s="10">
        <f t="shared" si="95"/>
        <v>-1375</v>
      </c>
      <c r="BG336" s="2">
        <f>-BF336*'PV IN'!$E$8</f>
        <v>288.75</v>
      </c>
      <c r="BH336" s="2">
        <f>IF('PV IN'!$F$4="Battery Only",0,BB336+BG336)</f>
        <v>-1086.25</v>
      </c>
      <c r="BI336" s="2">
        <f>BH336/(1+('PV IN'!$G$9))^(C336)</f>
        <v>-281.63881943547511</v>
      </c>
    </row>
    <row r="337" spans="2:61" x14ac:dyDescent="0.25">
      <c r="C337">
        <v>333</v>
      </c>
      <c r="D337" s="16">
        <f>D336*(1+('PV IN'!$G$6/12))</f>
        <v>7.5999999999999998E-2</v>
      </c>
      <c r="E337" s="16">
        <f>LkUP!$U$48</f>
        <v>8.0103636866522526E-2</v>
      </c>
      <c r="F337" s="16">
        <f>IF('PV IN'!$D$7="Table",E337,D337)</f>
        <v>8.0103636866522526E-2</v>
      </c>
      <c r="G337" s="33">
        <f>('PV IN'!$E$25*'PV IN'!$E$18/12)*(1-(1-'PV IN'!$E$27)/(25*12))^C336</f>
        <v>122212.02573063038</v>
      </c>
      <c r="H337" s="33">
        <f>IF('PV IN'!$D$19="YES",G337*'PV IN'!$E$21,0)</f>
        <v>0</v>
      </c>
      <c r="I337" s="33">
        <f>IF('PV IN'!$D$19="YES",'PV IN'!$E$22*BattCalcs!W337,0)</f>
        <v>0</v>
      </c>
      <c r="J337" s="33">
        <f>IF('PV IN'!$D$19="YES",'PV IN'!$E$23*BattCalcs!Y337,0)</f>
        <v>0</v>
      </c>
      <c r="K337" s="33">
        <f>BattCalcs!AF337</f>
        <v>25811.765833333331</v>
      </c>
      <c r="L337" s="33">
        <f t="shared" si="81"/>
        <v>25811.765833333331</v>
      </c>
      <c r="M337" s="33">
        <f>IF('PV IN'!$F$4="PV Only",G337,G337-SUM(H337:J337,L337))</f>
        <v>122212.02573063038</v>
      </c>
      <c r="N337" s="2">
        <f>IF(C337&lt;='PV IN'!$I$12*12,'PV IN'!$E$12*G337/1000,0)</f>
        <v>0</v>
      </c>
      <c r="O337" s="2">
        <f>IF(AND(C337&gt;'PV IN'!$I$12*12,C337&lt;='PV IN'!$I$13*12+'PV IN'!$I$12*12),'PV IN'!$E$13*PVCalcs!G337/1000,0)</f>
        <v>0</v>
      </c>
      <c r="P337" s="2">
        <f>IF(AND(C337&gt;'PV IN'!$I$12*12+'PV IN'!$I$13*12,C337&lt;='PV IN'!$I$12*12+'PV IN'!$I$13*12+'PV IN'!$I$14*12),'PV IN'!$E$14*PVCalcs!G337/1000,0)</f>
        <v>0</v>
      </c>
      <c r="R337" s="10">
        <f>IF(AND('PV IN'!$D$35="YES",$C337&lt;='PV IN'!$E$35*12),-'PV IN'!$E$18*'PV IN'!$E$34/12,0)</f>
        <v>0</v>
      </c>
      <c r="S337" s="10">
        <f>IF(AND('PV IN'!$D$37="YES",$C337&lt;='PV IN'!$E$37*12),-'PV IN'!$E$18*'PV IN'!$E$36/12,0)</f>
        <v>0</v>
      </c>
      <c r="U337" s="2">
        <f t="shared" si="96"/>
        <v>9789.6277298485238</v>
      </c>
      <c r="V337" s="10">
        <f>PVLoan!M364</f>
        <v>0</v>
      </c>
      <c r="W337" s="2">
        <f>IF(C337='PV IN'!$I$40,IF('PV IN'!$G$40="Non-Taxable",'PV IN'!$F$40,0),0)+IF(C337='PV IN'!$I$41,IF('PV IN'!$G$41="Non-Taxable",'PV IN'!$F$41,0),0)</f>
        <v>0</v>
      </c>
      <c r="X337" s="10"/>
      <c r="Y337" s="10">
        <f>IF('PV IN'!$E$15="Non-Taxable",SUM(N337:P337),0)</f>
        <v>0</v>
      </c>
      <c r="Z337" s="10">
        <f>IF('PV IN'!$E$15="Taxable",SUM(N337:P337),0)</f>
        <v>0</v>
      </c>
      <c r="AA337" s="2">
        <f>IF(C337='PV IN'!$I$40,IF('PV IN'!$G$40="Taxable",'PV IN'!$F$40,0),0)+IF(C337='PV IN'!$I$41,IF('PV IN'!$G$41="Taxable",'PV IN'!$F$41,0),0)</f>
        <v>0</v>
      </c>
      <c r="AD337" s="10">
        <f>IF('PV IN'!$D$48="YES",-U337*'PV IN'!$E$8,0)</f>
        <v>0</v>
      </c>
      <c r="AE337" s="10">
        <f>IF('PV IN'!$N$10="Yes",-PVLoan!H365,-PVLoan!L365)</f>
        <v>0</v>
      </c>
      <c r="AF337" s="10">
        <f>IF('PV IN'!$N$10="Yes",-PVLoan!F365,0)</f>
        <v>0</v>
      </c>
      <c r="AG337" s="10">
        <f>IF(AND('PV IN'!$D$35="YES",$C337&lt;='PV IN'!$E$35*12),0,-'PV IN'!$E$18*'PV IN'!$E$34/12)</f>
        <v>-750</v>
      </c>
      <c r="AH337" s="10">
        <f>IF(AND('PV IN'!$D$37="YES",$C337&lt;='PV IN'!$E$37*12),0,-'PV IN'!$E$18*'PV IN'!$E$36/12)</f>
        <v>-625</v>
      </c>
      <c r="AI337" s="2">
        <f>IF(AND('PV IN'!$D$33="YES",PVCalcs!C337=ROUNDUP('PV IN'!$H$33*12,)),-'PV IN'!$E$33*'PV IN'!$E$18,0)</f>
        <v>0</v>
      </c>
      <c r="AK337" s="2">
        <f t="shared" si="87"/>
        <v>9789.6277298485238</v>
      </c>
      <c r="AL337" s="2">
        <f t="shared" si="82"/>
        <v>-1375</v>
      </c>
      <c r="AM337" s="2">
        <f t="shared" si="83"/>
        <v>8414.6277298485238</v>
      </c>
      <c r="AN337" s="43"/>
      <c r="AO337" s="2">
        <f t="shared" si="88"/>
        <v>0</v>
      </c>
      <c r="AP337" s="2">
        <f t="shared" si="84"/>
        <v>-1375</v>
      </c>
      <c r="AR337" s="2">
        <f t="shared" si="85"/>
        <v>-1375</v>
      </c>
      <c r="AS337" s="2">
        <f>-AR337*'PV IN'!$E$8</f>
        <v>288.75</v>
      </c>
      <c r="AT337" s="2">
        <f>IF('PV IN'!$F$4="Battery Only",0,AM337+AS337)</f>
        <v>8703.3777298485238</v>
      </c>
      <c r="AV337" s="10">
        <f t="shared" si="86"/>
        <v>2233232.3577175303</v>
      </c>
      <c r="AW337" s="2">
        <f>AT337/(1+('PV IN'!$G$9))^(C337)</f>
        <v>2247.4228043256494</v>
      </c>
      <c r="AX337" s="2" t="e">
        <f>IF(C337&lt;='PV IN'!$O$22*12,AW337+AX336,NA())</f>
        <v>#N/A</v>
      </c>
      <c r="AZ337" s="10">
        <f t="shared" si="89"/>
        <v>-1375</v>
      </c>
      <c r="BA337" s="10">
        <f t="shared" si="90"/>
        <v>0</v>
      </c>
      <c r="BB337" s="10">
        <f t="shared" si="91"/>
        <v>-1375</v>
      </c>
      <c r="BC337" s="10">
        <f t="shared" si="92"/>
        <v>0</v>
      </c>
      <c r="BD337" s="10">
        <f t="shared" si="93"/>
        <v>-1375</v>
      </c>
      <c r="BE337" s="2">
        <f t="shared" si="94"/>
        <v>0</v>
      </c>
      <c r="BF337" s="10">
        <f t="shared" si="95"/>
        <v>-1375</v>
      </c>
      <c r="BG337" s="2">
        <f>-BF337*'PV IN'!$E$8</f>
        <v>288.75</v>
      </c>
      <c r="BH337" s="2">
        <f>IF('PV IN'!$F$4="Battery Only",0,BB337+BG337)</f>
        <v>-1086.25</v>
      </c>
      <c r="BI337" s="2">
        <f>BH337/(1+('PV IN'!$G$9))^(C337)</f>
        <v>-280.49604383207958</v>
      </c>
    </row>
    <row r="338" spans="2:61" x14ac:dyDescent="0.25">
      <c r="C338">
        <v>334</v>
      </c>
      <c r="D338" s="16">
        <f>D337*(1+('PV IN'!$G$6/12))</f>
        <v>7.5999999999999998E-2</v>
      </c>
      <c r="E338" s="16">
        <f>LkUP!$U$48</f>
        <v>8.0103636866522526E-2</v>
      </c>
      <c r="F338" s="16">
        <f>IF('PV IN'!$D$7="Table",E338,D338)</f>
        <v>8.0103636866522526E-2</v>
      </c>
      <c r="G338" s="33">
        <f>('PV IN'!$E$25*'PV IN'!$E$18/12)*(1-(1-'PV IN'!$E$27)/(25*12))^C337</f>
        <v>122130.55104680994</v>
      </c>
      <c r="H338" s="33">
        <f>IF('PV IN'!$D$19="YES",G338*'PV IN'!$E$21,0)</f>
        <v>0</v>
      </c>
      <c r="I338" s="33">
        <f>IF('PV IN'!$D$19="YES",'PV IN'!$E$22*BattCalcs!W338,0)</f>
        <v>0</v>
      </c>
      <c r="J338" s="33">
        <f>IF('PV IN'!$D$19="YES",'PV IN'!$E$23*BattCalcs!Y338,0)</f>
        <v>0</v>
      </c>
      <c r="K338" s="33">
        <f>BattCalcs!AF338</f>
        <v>25811.765833333331</v>
      </c>
      <c r="L338" s="33">
        <f t="shared" si="81"/>
        <v>25811.765833333331</v>
      </c>
      <c r="M338" s="33">
        <f>IF('PV IN'!$F$4="PV Only",G338,G338-SUM(H338:J338,L338))</f>
        <v>122130.55104680994</v>
      </c>
      <c r="N338" s="2">
        <f>IF(C338&lt;='PV IN'!$I$12*12,'PV IN'!$E$12*G338/1000,0)</f>
        <v>0</v>
      </c>
      <c r="O338" s="2">
        <f>IF(AND(C338&gt;'PV IN'!$I$12*12,C338&lt;='PV IN'!$I$13*12+'PV IN'!$I$12*12),'PV IN'!$E$13*PVCalcs!G338/1000,0)</f>
        <v>0</v>
      </c>
      <c r="P338" s="2">
        <f>IF(AND(C338&gt;'PV IN'!$I$12*12+'PV IN'!$I$13*12,C338&lt;='PV IN'!$I$12*12+'PV IN'!$I$13*12+'PV IN'!$I$14*12),'PV IN'!$E$14*PVCalcs!G338/1000,0)</f>
        <v>0</v>
      </c>
      <c r="R338" s="10">
        <f>IF(AND('PV IN'!$D$35="YES",$C338&lt;='PV IN'!$E$35*12),-'PV IN'!$E$18*'PV IN'!$E$34/12,0)</f>
        <v>0</v>
      </c>
      <c r="S338" s="10">
        <f>IF(AND('PV IN'!$D$37="YES",$C338&lt;='PV IN'!$E$37*12),-'PV IN'!$E$18*'PV IN'!$E$36/12,0)</f>
        <v>0</v>
      </c>
      <c r="U338" s="2">
        <f t="shared" si="96"/>
        <v>9783.1013113619556</v>
      </c>
      <c r="V338" s="10">
        <f>PVLoan!M365</f>
        <v>0</v>
      </c>
      <c r="W338" s="2">
        <f>IF(C338='PV IN'!$I$40,IF('PV IN'!$G$40="Non-Taxable",'PV IN'!$F$40,0),0)+IF(C338='PV IN'!$I$41,IF('PV IN'!$G$41="Non-Taxable",'PV IN'!$F$41,0),0)</f>
        <v>0</v>
      </c>
      <c r="X338" s="10"/>
      <c r="Y338" s="10">
        <f>IF('PV IN'!$E$15="Non-Taxable",SUM(N338:P338),0)</f>
        <v>0</v>
      </c>
      <c r="Z338" s="10">
        <f>IF('PV IN'!$E$15="Taxable",SUM(N338:P338),0)</f>
        <v>0</v>
      </c>
      <c r="AA338" s="2">
        <f>IF(C338='PV IN'!$I$40,IF('PV IN'!$G$40="Taxable",'PV IN'!$F$40,0),0)+IF(C338='PV IN'!$I$41,IF('PV IN'!$G$41="Taxable",'PV IN'!$F$41,0),0)</f>
        <v>0</v>
      </c>
      <c r="AD338" s="10">
        <f>IF('PV IN'!$D$48="YES",-U338*'PV IN'!$E$8,0)</f>
        <v>0</v>
      </c>
      <c r="AE338" s="10">
        <f>IF('PV IN'!$N$10="Yes",-PVLoan!H366,-PVLoan!L366)</f>
        <v>0</v>
      </c>
      <c r="AF338" s="10">
        <f>IF('PV IN'!$N$10="Yes",-PVLoan!F366,0)</f>
        <v>0</v>
      </c>
      <c r="AG338" s="10">
        <f>IF(AND('PV IN'!$D$35="YES",$C338&lt;='PV IN'!$E$35*12),0,-'PV IN'!$E$18*'PV IN'!$E$34/12)</f>
        <v>-750</v>
      </c>
      <c r="AH338" s="10">
        <f>IF(AND('PV IN'!$D$37="YES",$C338&lt;='PV IN'!$E$37*12),0,-'PV IN'!$E$18*'PV IN'!$E$36/12)</f>
        <v>-625</v>
      </c>
      <c r="AI338" s="2">
        <f>IF(AND('PV IN'!$D$33="YES",PVCalcs!C338=ROUNDUP('PV IN'!$H$33*12,)),-'PV IN'!$E$33*'PV IN'!$E$18,0)</f>
        <v>0</v>
      </c>
      <c r="AK338" s="2">
        <f t="shared" si="87"/>
        <v>9783.1013113619556</v>
      </c>
      <c r="AL338" s="2">
        <f t="shared" si="82"/>
        <v>-1375</v>
      </c>
      <c r="AM338" s="2">
        <f t="shared" si="83"/>
        <v>8408.1013113619556</v>
      </c>
      <c r="AN338" s="43"/>
      <c r="AO338" s="2">
        <f t="shared" si="88"/>
        <v>0</v>
      </c>
      <c r="AP338" s="2">
        <f t="shared" si="84"/>
        <v>-1375</v>
      </c>
      <c r="AR338" s="2">
        <f t="shared" si="85"/>
        <v>-1375</v>
      </c>
      <c r="AS338" s="2">
        <f>-AR338*'PV IN'!$E$8</f>
        <v>288.75</v>
      </c>
      <c r="AT338" s="2">
        <f>IF('PV IN'!$F$4="Battery Only",0,AM338+AS338)</f>
        <v>8696.8513113619556</v>
      </c>
      <c r="AV338" s="10">
        <f t="shared" si="86"/>
        <v>2241929.2090288922</v>
      </c>
      <c r="AW338" s="2">
        <f>AT338/(1+('PV IN'!$G$9))^(C338)</f>
        <v>2236.625237020291</v>
      </c>
      <c r="AX338" s="2" t="e">
        <f>IF(C338&lt;='PV IN'!$O$22*12,AW338+AX337,NA())</f>
        <v>#N/A</v>
      </c>
      <c r="AZ338" s="10">
        <f t="shared" si="89"/>
        <v>-1375</v>
      </c>
      <c r="BA338" s="10">
        <f t="shared" si="90"/>
        <v>0</v>
      </c>
      <c r="BB338" s="10">
        <f t="shared" si="91"/>
        <v>-1375</v>
      </c>
      <c r="BC338" s="10">
        <f t="shared" si="92"/>
        <v>0</v>
      </c>
      <c r="BD338" s="10">
        <f t="shared" si="93"/>
        <v>-1375</v>
      </c>
      <c r="BE338" s="2">
        <f t="shared" si="94"/>
        <v>0</v>
      </c>
      <c r="BF338" s="10">
        <f t="shared" si="95"/>
        <v>-1375</v>
      </c>
      <c r="BG338" s="2">
        <f>-BF338*'PV IN'!$E$8</f>
        <v>288.75</v>
      </c>
      <c r="BH338" s="2">
        <f>IF('PV IN'!$F$4="Battery Only",0,BB338+BG338)</f>
        <v>-1086.25</v>
      </c>
      <c r="BI338" s="2">
        <f>BH338/(1+('PV IN'!$G$9))^(C338)</f>
        <v>-279.35790514657174</v>
      </c>
    </row>
    <row r="339" spans="2:61" x14ac:dyDescent="0.25">
      <c r="C339">
        <v>335</v>
      </c>
      <c r="D339" s="16">
        <f>D338*(1+('PV IN'!$G$6/12))</f>
        <v>7.5999999999999998E-2</v>
      </c>
      <c r="E339" s="16">
        <f>LkUP!$U$48</f>
        <v>8.0103636866522526E-2</v>
      </c>
      <c r="F339" s="16">
        <f>IF('PV IN'!$D$7="Table",E339,D339)</f>
        <v>8.0103636866522526E-2</v>
      </c>
      <c r="G339" s="33">
        <f>('PV IN'!$E$25*'PV IN'!$E$18/12)*(1-(1-'PV IN'!$E$27)/(25*12))^C338</f>
        <v>122049.13067944541</v>
      </c>
      <c r="H339" s="33">
        <f>IF('PV IN'!$D$19="YES",G339*'PV IN'!$E$21,0)</f>
        <v>0</v>
      </c>
      <c r="I339" s="33">
        <f>IF('PV IN'!$D$19="YES",'PV IN'!$E$22*BattCalcs!W339,0)</f>
        <v>0</v>
      </c>
      <c r="J339" s="33">
        <f>IF('PV IN'!$D$19="YES",'PV IN'!$E$23*BattCalcs!Y339,0)</f>
        <v>0</v>
      </c>
      <c r="K339" s="33">
        <f>BattCalcs!AF339</f>
        <v>25811.765833333331</v>
      </c>
      <c r="L339" s="33">
        <f t="shared" si="81"/>
        <v>25811.765833333331</v>
      </c>
      <c r="M339" s="33">
        <f>IF('PV IN'!$F$4="PV Only",G339,G339-SUM(H339:J339,L339))</f>
        <v>122049.13067944541</v>
      </c>
      <c r="N339" s="2">
        <f>IF(C339&lt;='PV IN'!$I$12*12,'PV IN'!$E$12*G339/1000,0)</f>
        <v>0</v>
      </c>
      <c r="O339" s="2">
        <f>IF(AND(C339&gt;'PV IN'!$I$12*12,C339&lt;='PV IN'!$I$13*12+'PV IN'!$I$12*12),'PV IN'!$E$13*PVCalcs!G339/1000,0)</f>
        <v>0</v>
      </c>
      <c r="P339" s="2">
        <f>IF(AND(C339&gt;'PV IN'!$I$12*12+'PV IN'!$I$13*12,C339&lt;='PV IN'!$I$12*12+'PV IN'!$I$13*12+'PV IN'!$I$14*12),'PV IN'!$E$14*PVCalcs!G339/1000,0)</f>
        <v>0</v>
      </c>
      <c r="R339" s="10">
        <f>IF(AND('PV IN'!$D$35="YES",$C339&lt;='PV IN'!$E$35*12),-'PV IN'!$E$18*'PV IN'!$E$34/12,0)</f>
        <v>0</v>
      </c>
      <c r="S339" s="10">
        <f>IF(AND('PV IN'!$D$37="YES",$C339&lt;='PV IN'!$E$37*12),-'PV IN'!$E$18*'PV IN'!$E$36/12,0)</f>
        <v>0</v>
      </c>
      <c r="U339" s="2">
        <f t="shared" si="96"/>
        <v>9776.5792438210483</v>
      </c>
      <c r="V339" s="10">
        <f>PVLoan!M366</f>
        <v>0</v>
      </c>
      <c r="W339" s="2">
        <f>IF(C339='PV IN'!$I$40,IF('PV IN'!$G$40="Non-Taxable",'PV IN'!$F$40,0),0)+IF(C339='PV IN'!$I$41,IF('PV IN'!$G$41="Non-Taxable",'PV IN'!$F$41,0),0)</f>
        <v>0</v>
      </c>
      <c r="X339" s="10"/>
      <c r="Y339" s="10">
        <f>IF('PV IN'!$E$15="Non-Taxable",SUM(N339:P339),0)</f>
        <v>0</v>
      </c>
      <c r="Z339" s="10">
        <f>IF('PV IN'!$E$15="Taxable",SUM(N339:P339),0)</f>
        <v>0</v>
      </c>
      <c r="AA339" s="2">
        <f>IF(C339='PV IN'!$I$40,IF('PV IN'!$G$40="Taxable",'PV IN'!$F$40,0),0)+IF(C339='PV IN'!$I$41,IF('PV IN'!$G$41="Taxable",'PV IN'!$F$41,0),0)</f>
        <v>0</v>
      </c>
      <c r="AD339" s="10">
        <f>IF('PV IN'!$D$48="YES",-U339*'PV IN'!$E$8,0)</f>
        <v>0</v>
      </c>
      <c r="AE339" s="10">
        <f>IF('PV IN'!$N$10="Yes",-PVLoan!H367,-PVLoan!L367)</f>
        <v>0</v>
      </c>
      <c r="AF339" s="10">
        <f>IF('PV IN'!$N$10="Yes",-PVLoan!F367,0)</f>
        <v>0</v>
      </c>
      <c r="AG339" s="10">
        <f>IF(AND('PV IN'!$D$35="YES",$C339&lt;='PV IN'!$E$35*12),0,-'PV IN'!$E$18*'PV IN'!$E$34/12)</f>
        <v>-750</v>
      </c>
      <c r="AH339" s="10">
        <f>IF(AND('PV IN'!$D$37="YES",$C339&lt;='PV IN'!$E$37*12),0,-'PV IN'!$E$18*'PV IN'!$E$36/12)</f>
        <v>-625</v>
      </c>
      <c r="AI339" s="2">
        <f>IF(AND('PV IN'!$D$33="YES",PVCalcs!C339=ROUNDUP('PV IN'!$H$33*12,)),-'PV IN'!$E$33*'PV IN'!$E$18,0)</f>
        <v>0</v>
      </c>
      <c r="AK339" s="2">
        <f t="shared" si="87"/>
        <v>9776.5792438210483</v>
      </c>
      <c r="AL339" s="2">
        <f t="shared" si="82"/>
        <v>-1375</v>
      </c>
      <c r="AM339" s="2">
        <f t="shared" si="83"/>
        <v>8401.5792438210483</v>
      </c>
      <c r="AN339" s="43"/>
      <c r="AO339" s="2">
        <f t="shared" si="88"/>
        <v>0</v>
      </c>
      <c r="AP339" s="2">
        <f t="shared" si="84"/>
        <v>-1375</v>
      </c>
      <c r="AR339" s="2">
        <f t="shared" si="85"/>
        <v>-1375</v>
      </c>
      <c r="AS339" s="2">
        <f>-AR339*'PV IN'!$E$8</f>
        <v>288.75</v>
      </c>
      <c r="AT339" s="2">
        <f>IF('PV IN'!$F$4="Battery Only",0,AM339+AS339)</f>
        <v>8690.3292438210483</v>
      </c>
      <c r="AV339" s="10">
        <f t="shared" si="86"/>
        <v>2250619.5382727133</v>
      </c>
      <c r="AW339" s="2">
        <f>AT339/(1+('PV IN'!$G$9))^(C339)</f>
        <v>2225.8794066951637</v>
      </c>
      <c r="AX339" s="2" t="e">
        <f>IF(C339&lt;='PV IN'!$O$22*12,AW339+AX338,NA())</f>
        <v>#N/A</v>
      </c>
      <c r="AZ339" s="10">
        <f t="shared" si="89"/>
        <v>-1375</v>
      </c>
      <c r="BA339" s="10">
        <f t="shared" si="90"/>
        <v>0</v>
      </c>
      <c r="BB339" s="10">
        <f t="shared" si="91"/>
        <v>-1375</v>
      </c>
      <c r="BC339" s="10">
        <f t="shared" si="92"/>
        <v>0</v>
      </c>
      <c r="BD339" s="10">
        <f t="shared" si="93"/>
        <v>-1375</v>
      </c>
      <c r="BE339" s="2">
        <f t="shared" si="94"/>
        <v>0</v>
      </c>
      <c r="BF339" s="10">
        <f t="shared" si="95"/>
        <v>-1375</v>
      </c>
      <c r="BG339" s="2">
        <f>-BF339*'PV IN'!$E$8</f>
        <v>288.75</v>
      </c>
      <c r="BH339" s="2">
        <f>IF('PV IN'!$F$4="Battery Only",0,BB339+BG339)</f>
        <v>-1086.25</v>
      </c>
      <c r="BI339" s="2">
        <f>BH339/(1+('PV IN'!$G$9))^(C339)</f>
        <v>-278.22438456422771</v>
      </c>
    </row>
    <row r="340" spans="2:61" x14ac:dyDescent="0.25">
      <c r="B340">
        <v>28</v>
      </c>
      <c r="C340">
        <v>336</v>
      </c>
      <c r="D340" s="16">
        <f>D339*(1+('PV IN'!$G$6/12))</f>
        <v>7.5999999999999998E-2</v>
      </c>
      <c r="E340" s="16">
        <f>LkUP!$U$48</f>
        <v>8.0103636866522526E-2</v>
      </c>
      <c r="F340" s="16">
        <f>IF('PV IN'!$D$7="Table",E340,D340)</f>
        <v>8.0103636866522526E-2</v>
      </c>
      <c r="G340" s="33">
        <f>('PV IN'!$E$25*'PV IN'!$E$18/12)*(1-(1-'PV IN'!$E$27)/(25*12))^C339</f>
        <v>121967.7645923258</v>
      </c>
      <c r="H340" s="33">
        <f>IF('PV IN'!$D$19="YES",G340*'PV IN'!$E$21,0)</f>
        <v>0</v>
      </c>
      <c r="I340" s="33">
        <f>IF('PV IN'!$D$19="YES",'PV IN'!$E$22*BattCalcs!W340,0)</f>
        <v>0</v>
      </c>
      <c r="J340" s="33">
        <f>IF('PV IN'!$D$19="YES",'PV IN'!$E$23*BattCalcs!Y340,0)</f>
        <v>0</v>
      </c>
      <c r="K340" s="33">
        <f>BattCalcs!AF340</f>
        <v>25811.765833333331</v>
      </c>
      <c r="L340" s="33">
        <f t="shared" si="81"/>
        <v>25811.765833333331</v>
      </c>
      <c r="M340" s="33">
        <f>IF('PV IN'!$F$4="PV Only",G340,G340-SUM(H340:J340,L340))</f>
        <v>121967.7645923258</v>
      </c>
      <c r="N340" s="2">
        <f>IF(C340&lt;='PV IN'!$I$12*12,'PV IN'!$E$12*G340/1000,0)</f>
        <v>0</v>
      </c>
      <c r="O340" s="2">
        <f>IF(AND(C340&gt;'PV IN'!$I$12*12,C340&lt;='PV IN'!$I$13*12+'PV IN'!$I$12*12),'PV IN'!$E$13*PVCalcs!G340/1000,0)</f>
        <v>0</v>
      </c>
      <c r="P340" s="2">
        <f>IF(AND(C340&gt;'PV IN'!$I$12*12+'PV IN'!$I$13*12,C340&lt;='PV IN'!$I$12*12+'PV IN'!$I$13*12+'PV IN'!$I$14*12),'PV IN'!$E$14*PVCalcs!G340/1000,0)</f>
        <v>0</v>
      </c>
      <c r="R340" s="10">
        <f>IF(AND('PV IN'!$D$35="YES",$C340&lt;='PV IN'!$E$35*12),-'PV IN'!$E$18*'PV IN'!$E$34/12,0)</f>
        <v>0</v>
      </c>
      <c r="S340" s="10">
        <f>IF(AND('PV IN'!$D$37="YES",$C340&lt;='PV IN'!$E$37*12),-'PV IN'!$E$18*'PV IN'!$E$36/12,0)</f>
        <v>0</v>
      </c>
      <c r="U340" s="2">
        <f t="shared" si="96"/>
        <v>9770.0615243251686</v>
      </c>
      <c r="V340" s="10">
        <f>PVLoan!M367</f>
        <v>0</v>
      </c>
      <c r="W340" s="2">
        <f>IF(C340='PV IN'!$I$40,IF('PV IN'!$G$40="Non-Taxable",'PV IN'!$F$40,0),0)+IF(C340='PV IN'!$I$41,IF('PV IN'!$G$41="Non-Taxable",'PV IN'!$F$41,0),0)</f>
        <v>0</v>
      </c>
      <c r="X340" s="10"/>
      <c r="Y340" s="10">
        <f>IF('PV IN'!$E$15="Non-Taxable",SUM(N340:P340),0)</f>
        <v>0</v>
      </c>
      <c r="Z340" s="10">
        <f>IF('PV IN'!$E$15="Taxable",SUM(N340:P340),0)</f>
        <v>0</v>
      </c>
      <c r="AA340" s="2">
        <f>IF(C340='PV IN'!$I$40,IF('PV IN'!$G$40="Taxable",'PV IN'!$F$40,0),0)+IF(C340='PV IN'!$I$41,IF('PV IN'!$G$41="Taxable",'PV IN'!$F$41,0),0)</f>
        <v>0</v>
      </c>
      <c r="AD340" s="10">
        <f>IF('PV IN'!$D$48="YES",-U340*'PV IN'!$E$8,0)</f>
        <v>0</v>
      </c>
      <c r="AE340" s="10">
        <f>IF('PV IN'!$N$10="Yes",-PVLoan!H368,-PVLoan!L368)</f>
        <v>0</v>
      </c>
      <c r="AF340" s="10">
        <f>IF('PV IN'!$N$10="Yes",-PVLoan!F368,0)</f>
        <v>0</v>
      </c>
      <c r="AG340" s="10">
        <f>IF(AND('PV IN'!$D$35="YES",$C340&lt;='PV IN'!$E$35*12),0,-'PV IN'!$E$18*'PV IN'!$E$34/12)</f>
        <v>-750</v>
      </c>
      <c r="AH340" s="10">
        <f>IF(AND('PV IN'!$D$37="YES",$C340&lt;='PV IN'!$E$37*12),0,-'PV IN'!$E$18*'PV IN'!$E$36/12)</f>
        <v>-625</v>
      </c>
      <c r="AI340" s="2">
        <f>IF(AND('PV IN'!$D$33="YES",PVCalcs!C340=ROUNDUP('PV IN'!$H$33*12,)),-'PV IN'!$E$33*'PV IN'!$E$18,0)</f>
        <v>0</v>
      </c>
      <c r="AK340" s="2">
        <f t="shared" si="87"/>
        <v>9770.0615243251686</v>
      </c>
      <c r="AL340" s="2">
        <f t="shared" si="82"/>
        <v>-1375</v>
      </c>
      <c r="AM340" s="2">
        <f t="shared" si="83"/>
        <v>8395.0615243251686</v>
      </c>
      <c r="AN340" s="43"/>
      <c r="AO340" s="2">
        <f t="shared" si="88"/>
        <v>0</v>
      </c>
      <c r="AP340" s="2">
        <f t="shared" si="84"/>
        <v>-1375</v>
      </c>
      <c r="AR340" s="2">
        <f t="shared" si="85"/>
        <v>-1375</v>
      </c>
      <c r="AS340" s="2">
        <f>-AR340*'PV IN'!$E$8</f>
        <v>288.75</v>
      </c>
      <c r="AT340" s="2">
        <f>IF('PV IN'!$F$4="Battery Only",0,AM340+AS340)</f>
        <v>8683.8115243251686</v>
      </c>
      <c r="AV340" s="10">
        <f t="shared" si="86"/>
        <v>2259303.3497970384</v>
      </c>
      <c r="AW340" s="2">
        <f>AT340/(1+('PV IN'!$G$9))^(C340)</f>
        <v>2215.1850660050636</v>
      </c>
      <c r="AX340" s="2" t="e">
        <f>IF(C340&lt;='PV IN'!$O$22*12,AW340+AX339,NA())</f>
        <v>#N/A</v>
      </c>
      <c r="AZ340" s="10">
        <f t="shared" si="89"/>
        <v>-1375</v>
      </c>
      <c r="BA340" s="10">
        <f t="shared" si="90"/>
        <v>0</v>
      </c>
      <c r="BB340" s="10">
        <f t="shared" si="91"/>
        <v>-1375</v>
      </c>
      <c r="BC340" s="10">
        <f t="shared" si="92"/>
        <v>0</v>
      </c>
      <c r="BD340" s="10">
        <f t="shared" si="93"/>
        <v>-1375</v>
      </c>
      <c r="BE340" s="2">
        <f t="shared" si="94"/>
        <v>0</v>
      </c>
      <c r="BF340" s="10">
        <f t="shared" si="95"/>
        <v>-1375</v>
      </c>
      <c r="BG340" s="2">
        <f>-BF340*'PV IN'!$E$8</f>
        <v>288.75</v>
      </c>
      <c r="BH340" s="2">
        <f>IF('PV IN'!$F$4="Battery Only",0,BB340+BG340)</f>
        <v>-1086.25</v>
      </c>
      <c r="BI340" s="2">
        <f>BH340/(1+('PV IN'!$G$9))^(C340)</f>
        <v>-277.09546334666595</v>
      </c>
    </row>
    <row r="341" spans="2:61" x14ac:dyDescent="0.25">
      <c r="C341">
        <v>337</v>
      </c>
      <c r="D341" s="16">
        <f>D340*(1+('PV IN'!$G$6/12))</f>
        <v>7.5999999999999998E-2</v>
      </c>
      <c r="E341" s="16">
        <f>LkUP!$U$49</f>
        <v>7.9497788922557128E-2</v>
      </c>
      <c r="F341" s="16">
        <f>IF('PV IN'!$D$7="Table",E341,D341)</f>
        <v>7.9497788922557128E-2</v>
      </c>
      <c r="G341" s="33">
        <f>('PV IN'!$E$25*'PV IN'!$E$18/12)*(1-(1-'PV IN'!$E$27)/(25*12))^C340</f>
        <v>121886.45274926421</v>
      </c>
      <c r="H341" s="33">
        <f>IF('PV IN'!$D$19="YES",G341*'PV IN'!$E$21,0)</f>
        <v>0</v>
      </c>
      <c r="I341" s="33">
        <f>IF('PV IN'!$D$19="YES",'PV IN'!$E$22*BattCalcs!W341,0)</f>
        <v>0</v>
      </c>
      <c r="J341" s="33">
        <f>IF('PV IN'!$D$19="YES",'PV IN'!$E$23*BattCalcs!Y341,0)</f>
        <v>0</v>
      </c>
      <c r="K341" s="33">
        <f>BattCalcs!AF341</f>
        <v>25811.765833333331</v>
      </c>
      <c r="L341" s="33">
        <f t="shared" si="81"/>
        <v>25811.765833333331</v>
      </c>
      <c r="M341" s="33">
        <f>IF('PV IN'!$F$4="PV Only",G341,G341-SUM(H341:J341,L341))</f>
        <v>121886.45274926421</v>
      </c>
      <c r="N341" s="2">
        <f>IF(C341&lt;='PV IN'!$I$12*12,'PV IN'!$E$12*G341/1000,0)</f>
        <v>0</v>
      </c>
      <c r="O341" s="2">
        <f>IF(AND(C341&gt;'PV IN'!$I$12*12,C341&lt;='PV IN'!$I$13*12+'PV IN'!$I$12*12),'PV IN'!$E$13*PVCalcs!G341/1000,0)</f>
        <v>0</v>
      </c>
      <c r="P341" s="2">
        <f>IF(AND(C341&gt;'PV IN'!$I$12*12+'PV IN'!$I$13*12,C341&lt;='PV IN'!$I$12*12+'PV IN'!$I$13*12+'PV IN'!$I$14*12),'PV IN'!$E$14*PVCalcs!G341/1000,0)</f>
        <v>0</v>
      </c>
      <c r="R341" s="10">
        <f>IF(AND('PV IN'!$D$35="YES",$C341&lt;='PV IN'!$E$35*12),-'PV IN'!$E$18*'PV IN'!$E$34/12,0)</f>
        <v>0</v>
      </c>
      <c r="S341" s="10">
        <f>IF(AND('PV IN'!$D$37="YES",$C341&lt;='PV IN'!$E$37*12),-'PV IN'!$E$18*'PV IN'!$E$36/12,0)</f>
        <v>0</v>
      </c>
      <c r="U341" s="2">
        <f t="shared" si="96"/>
        <v>9689.7034931802391</v>
      </c>
      <c r="V341" s="10">
        <f>PVLoan!M368</f>
        <v>0</v>
      </c>
      <c r="W341" s="2">
        <f>IF(C341='PV IN'!$I$40,IF('PV IN'!$G$40="Non-Taxable",'PV IN'!$F$40,0),0)+IF(C341='PV IN'!$I$41,IF('PV IN'!$G$41="Non-Taxable",'PV IN'!$F$41,0),0)</f>
        <v>0</v>
      </c>
      <c r="X341" s="10"/>
      <c r="Y341" s="10">
        <f>IF('PV IN'!$E$15="Non-Taxable",SUM(N341:P341),0)</f>
        <v>0</v>
      </c>
      <c r="Z341" s="10">
        <f>IF('PV IN'!$E$15="Taxable",SUM(N341:P341),0)</f>
        <v>0</v>
      </c>
      <c r="AA341" s="2">
        <f>IF(C341='PV IN'!$I$40,IF('PV IN'!$G$40="Taxable",'PV IN'!$F$40,0),0)+IF(C341='PV IN'!$I$41,IF('PV IN'!$G$41="Taxable",'PV IN'!$F$41,0),0)</f>
        <v>0</v>
      </c>
      <c r="AD341" s="10">
        <f>IF('PV IN'!$D$48="YES",-U341*'PV IN'!$E$8,0)</f>
        <v>0</v>
      </c>
      <c r="AE341" s="10">
        <f>IF('PV IN'!$N$10="Yes",-PVLoan!H369,-PVLoan!L369)</f>
        <v>0</v>
      </c>
      <c r="AF341" s="10">
        <f>IF('PV IN'!$N$10="Yes",-PVLoan!F369,0)</f>
        <v>0</v>
      </c>
      <c r="AG341" s="10">
        <f>IF(AND('PV IN'!$D$35="YES",$C341&lt;='PV IN'!$E$35*12),0,-'PV IN'!$E$18*'PV IN'!$E$34/12)</f>
        <v>-750</v>
      </c>
      <c r="AH341" s="10">
        <f>IF(AND('PV IN'!$D$37="YES",$C341&lt;='PV IN'!$E$37*12),0,-'PV IN'!$E$18*'PV IN'!$E$36/12)</f>
        <v>-625</v>
      </c>
      <c r="AI341" s="2">
        <f>IF(AND('PV IN'!$D$33="YES",PVCalcs!C341=ROUNDUP('PV IN'!$H$33*12,)),-'PV IN'!$E$33*'PV IN'!$E$18,0)</f>
        <v>0</v>
      </c>
      <c r="AK341" s="2">
        <f t="shared" si="87"/>
        <v>9689.7034931802391</v>
      </c>
      <c r="AL341" s="2">
        <f t="shared" si="82"/>
        <v>-1375</v>
      </c>
      <c r="AM341" s="2">
        <f t="shared" si="83"/>
        <v>8314.7034931802391</v>
      </c>
      <c r="AN341" s="43"/>
      <c r="AO341" s="2">
        <f t="shared" si="88"/>
        <v>0</v>
      </c>
      <c r="AP341" s="2">
        <f t="shared" si="84"/>
        <v>-1375</v>
      </c>
      <c r="AR341" s="2">
        <f t="shared" si="85"/>
        <v>-1375</v>
      </c>
      <c r="AS341" s="2">
        <f>-AR341*'PV IN'!$E$8</f>
        <v>288.75</v>
      </c>
      <c r="AT341" s="2">
        <f>IF('PV IN'!$F$4="Battery Only",0,AM341+AS341)</f>
        <v>8603.4534931802391</v>
      </c>
      <c r="AV341" s="10">
        <f t="shared" si="86"/>
        <v>2267906.8032902186</v>
      </c>
      <c r="AW341" s="2">
        <f>AT341/(1+('PV IN'!$G$9))^(C341)</f>
        <v>2185.7811007980363</v>
      </c>
      <c r="AX341" s="2" t="e">
        <f>IF(C341&lt;='PV IN'!$O$22*12,AW341+AX340,NA())</f>
        <v>#N/A</v>
      </c>
      <c r="AZ341" s="10">
        <f t="shared" si="89"/>
        <v>-1375</v>
      </c>
      <c r="BA341" s="10">
        <f t="shared" si="90"/>
        <v>0</v>
      </c>
      <c r="BB341" s="10">
        <f t="shared" si="91"/>
        <v>-1375</v>
      </c>
      <c r="BC341" s="10">
        <f t="shared" si="92"/>
        <v>0</v>
      </c>
      <c r="BD341" s="10">
        <f t="shared" si="93"/>
        <v>-1375</v>
      </c>
      <c r="BE341" s="2">
        <f t="shared" si="94"/>
        <v>0</v>
      </c>
      <c r="BF341" s="10">
        <f t="shared" si="95"/>
        <v>-1375</v>
      </c>
      <c r="BG341" s="2">
        <f>-BF341*'PV IN'!$E$8</f>
        <v>288.75</v>
      </c>
      <c r="BH341" s="2">
        <f>IF('PV IN'!$F$4="Battery Only",0,BB341+BG341)</f>
        <v>-1086.25</v>
      </c>
      <c r="BI341" s="2">
        <f>BH341/(1+('PV IN'!$G$9))^(C341)</f>
        <v>-275.97112283153785</v>
      </c>
    </row>
    <row r="342" spans="2:61" x14ac:dyDescent="0.25">
      <c r="C342">
        <v>338</v>
      </c>
      <c r="D342" s="16">
        <f>D341*(1+('PV IN'!$G$6/12))</f>
        <v>7.5999999999999998E-2</v>
      </c>
      <c r="E342" s="16">
        <f>LkUP!$U$49</f>
        <v>7.9497788922557128E-2</v>
      </c>
      <c r="F342" s="16">
        <f>IF('PV IN'!$D$7="Table",E342,D342)</f>
        <v>7.9497788922557128E-2</v>
      </c>
      <c r="G342" s="33">
        <f>('PV IN'!$E$25*'PV IN'!$E$18/12)*(1-(1-'PV IN'!$E$27)/(25*12))^C341</f>
        <v>121805.19511409802</v>
      </c>
      <c r="H342" s="33">
        <f>IF('PV IN'!$D$19="YES",G342*'PV IN'!$E$21,0)</f>
        <v>0</v>
      </c>
      <c r="I342" s="33">
        <f>IF('PV IN'!$D$19="YES",'PV IN'!$E$22*BattCalcs!W342,0)</f>
        <v>0</v>
      </c>
      <c r="J342" s="33">
        <f>IF('PV IN'!$D$19="YES",'PV IN'!$E$23*BattCalcs!Y342,0)</f>
        <v>0</v>
      </c>
      <c r="K342" s="33">
        <f>BattCalcs!AF342</f>
        <v>25811.765833333331</v>
      </c>
      <c r="L342" s="33">
        <f t="shared" si="81"/>
        <v>25811.765833333331</v>
      </c>
      <c r="M342" s="33">
        <f>IF('PV IN'!$F$4="PV Only",G342,G342-SUM(H342:J342,L342))</f>
        <v>121805.19511409802</v>
      </c>
      <c r="N342" s="2">
        <f>IF(C342&lt;='PV IN'!$I$12*12,'PV IN'!$E$12*G342/1000,0)</f>
        <v>0</v>
      </c>
      <c r="O342" s="2">
        <f>IF(AND(C342&gt;'PV IN'!$I$12*12,C342&lt;='PV IN'!$I$13*12+'PV IN'!$I$12*12),'PV IN'!$E$13*PVCalcs!G342/1000,0)</f>
        <v>0</v>
      </c>
      <c r="P342" s="2">
        <f>IF(AND(C342&gt;'PV IN'!$I$12*12+'PV IN'!$I$13*12,C342&lt;='PV IN'!$I$12*12+'PV IN'!$I$13*12+'PV IN'!$I$14*12),'PV IN'!$E$14*PVCalcs!G342/1000,0)</f>
        <v>0</v>
      </c>
      <c r="R342" s="10">
        <f>IF(AND('PV IN'!$D$35="YES",$C342&lt;='PV IN'!$E$35*12),-'PV IN'!$E$18*'PV IN'!$E$34/12,0)</f>
        <v>0</v>
      </c>
      <c r="S342" s="10">
        <f>IF(AND('PV IN'!$D$37="YES",$C342&lt;='PV IN'!$E$37*12),-'PV IN'!$E$18*'PV IN'!$E$36/12,0)</f>
        <v>0</v>
      </c>
      <c r="U342" s="2">
        <f t="shared" si="96"/>
        <v>9683.2436908514519</v>
      </c>
      <c r="V342" s="10">
        <f>PVLoan!M369</f>
        <v>0</v>
      </c>
      <c r="W342" s="2">
        <f>IF(C342='PV IN'!$I$40,IF('PV IN'!$G$40="Non-Taxable",'PV IN'!$F$40,0),0)+IF(C342='PV IN'!$I$41,IF('PV IN'!$G$41="Non-Taxable",'PV IN'!$F$41,0),0)</f>
        <v>0</v>
      </c>
      <c r="X342" s="10"/>
      <c r="Y342" s="10">
        <f>IF('PV IN'!$E$15="Non-Taxable",SUM(N342:P342),0)</f>
        <v>0</v>
      </c>
      <c r="Z342" s="10">
        <f>IF('PV IN'!$E$15="Taxable",SUM(N342:P342),0)</f>
        <v>0</v>
      </c>
      <c r="AA342" s="2">
        <f>IF(C342='PV IN'!$I$40,IF('PV IN'!$G$40="Taxable",'PV IN'!$F$40,0),0)+IF(C342='PV IN'!$I$41,IF('PV IN'!$G$41="Taxable",'PV IN'!$F$41,0),0)</f>
        <v>0</v>
      </c>
      <c r="AD342" s="10">
        <f>IF('PV IN'!$D$48="YES",-U342*'PV IN'!$E$8,0)</f>
        <v>0</v>
      </c>
      <c r="AE342" s="10">
        <f>IF('PV IN'!$N$10="Yes",-PVLoan!H370,-PVLoan!L370)</f>
        <v>0</v>
      </c>
      <c r="AF342" s="10">
        <f>IF('PV IN'!$N$10="Yes",-PVLoan!F370,0)</f>
        <v>0</v>
      </c>
      <c r="AG342" s="10">
        <f>IF(AND('PV IN'!$D$35="YES",$C342&lt;='PV IN'!$E$35*12),0,-'PV IN'!$E$18*'PV IN'!$E$34/12)</f>
        <v>-750</v>
      </c>
      <c r="AH342" s="10">
        <f>IF(AND('PV IN'!$D$37="YES",$C342&lt;='PV IN'!$E$37*12),0,-'PV IN'!$E$18*'PV IN'!$E$36/12)</f>
        <v>-625</v>
      </c>
      <c r="AI342" s="2">
        <f>IF(AND('PV IN'!$D$33="YES",PVCalcs!C342=ROUNDUP('PV IN'!$H$33*12,)),-'PV IN'!$E$33*'PV IN'!$E$18,0)</f>
        <v>0</v>
      </c>
      <c r="AK342" s="2">
        <f t="shared" si="87"/>
        <v>9683.2436908514519</v>
      </c>
      <c r="AL342" s="2">
        <f t="shared" si="82"/>
        <v>-1375</v>
      </c>
      <c r="AM342" s="2">
        <f t="shared" si="83"/>
        <v>8308.2436908514519</v>
      </c>
      <c r="AN342" s="43"/>
      <c r="AO342" s="2">
        <f t="shared" si="88"/>
        <v>0</v>
      </c>
      <c r="AP342" s="2">
        <f t="shared" si="84"/>
        <v>-1375</v>
      </c>
      <c r="AR342" s="2">
        <f t="shared" si="85"/>
        <v>-1375</v>
      </c>
      <c r="AS342" s="2">
        <f>-AR342*'PV IN'!$E$8</f>
        <v>288.75</v>
      </c>
      <c r="AT342" s="2">
        <f>IF('PV IN'!$F$4="Battery Only",0,AM342+AS342)</f>
        <v>8596.9936908514519</v>
      </c>
      <c r="AV342" s="10">
        <f t="shared" si="86"/>
        <v>2276503.7969810702</v>
      </c>
      <c r="AW342" s="2">
        <f>AT342/(1+('PV IN'!$G$9))^(C342)</f>
        <v>2175.2775825139925</v>
      </c>
      <c r="AX342" s="2" t="e">
        <f>IF(C342&lt;='PV IN'!$O$22*12,AW342+AX341,NA())</f>
        <v>#N/A</v>
      </c>
      <c r="AZ342" s="10">
        <f t="shared" si="89"/>
        <v>-1375</v>
      </c>
      <c r="BA342" s="10">
        <f t="shared" si="90"/>
        <v>0</v>
      </c>
      <c r="BB342" s="10">
        <f t="shared" si="91"/>
        <v>-1375</v>
      </c>
      <c r="BC342" s="10">
        <f t="shared" si="92"/>
        <v>0</v>
      </c>
      <c r="BD342" s="10">
        <f t="shared" si="93"/>
        <v>-1375</v>
      </c>
      <c r="BE342" s="2">
        <f t="shared" si="94"/>
        <v>0</v>
      </c>
      <c r="BF342" s="10">
        <f t="shared" si="95"/>
        <v>-1375</v>
      </c>
      <c r="BG342" s="2">
        <f>-BF342*'PV IN'!$E$8</f>
        <v>288.75</v>
      </c>
      <c r="BH342" s="2">
        <f>IF('PV IN'!$F$4="Battery Only",0,BB342+BG342)</f>
        <v>-1086.25</v>
      </c>
      <c r="BI342" s="2">
        <f>BH342/(1+('PV IN'!$G$9))^(C342)</f>
        <v>-274.85134443221881</v>
      </c>
    </row>
    <row r="343" spans="2:61" x14ac:dyDescent="0.25">
      <c r="C343">
        <v>339</v>
      </c>
      <c r="D343" s="16">
        <f>D342*(1+('PV IN'!$G$6/12))</f>
        <v>7.5999999999999998E-2</v>
      </c>
      <c r="E343" s="16">
        <f>LkUP!$U$49</f>
        <v>7.9497788922557128E-2</v>
      </c>
      <c r="F343" s="16">
        <f>IF('PV IN'!$D$7="Table",E343,D343)</f>
        <v>7.9497788922557128E-2</v>
      </c>
      <c r="G343" s="33">
        <f>('PV IN'!$E$25*'PV IN'!$E$18/12)*(1-(1-'PV IN'!$E$27)/(25*12))^C342</f>
        <v>121723.99165068864</v>
      </c>
      <c r="H343" s="33">
        <f>IF('PV IN'!$D$19="YES",G343*'PV IN'!$E$21,0)</f>
        <v>0</v>
      </c>
      <c r="I343" s="33">
        <f>IF('PV IN'!$D$19="YES",'PV IN'!$E$22*BattCalcs!W343,0)</f>
        <v>0</v>
      </c>
      <c r="J343" s="33">
        <f>IF('PV IN'!$D$19="YES",'PV IN'!$E$23*BattCalcs!Y343,0)</f>
        <v>0</v>
      </c>
      <c r="K343" s="33">
        <f>BattCalcs!AF343</f>
        <v>25811.765833333331</v>
      </c>
      <c r="L343" s="33">
        <f t="shared" si="81"/>
        <v>25811.765833333331</v>
      </c>
      <c r="M343" s="33">
        <f>IF('PV IN'!$F$4="PV Only",G343,G343-SUM(H343:J343,L343))</f>
        <v>121723.99165068864</v>
      </c>
      <c r="N343" s="2">
        <f>IF(C343&lt;='PV IN'!$I$12*12,'PV IN'!$E$12*G343/1000,0)</f>
        <v>0</v>
      </c>
      <c r="O343" s="2">
        <f>IF(AND(C343&gt;'PV IN'!$I$12*12,C343&lt;='PV IN'!$I$13*12+'PV IN'!$I$12*12),'PV IN'!$E$13*PVCalcs!G343/1000,0)</f>
        <v>0</v>
      </c>
      <c r="P343" s="2">
        <f>IF(AND(C343&gt;'PV IN'!$I$12*12+'PV IN'!$I$13*12,C343&lt;='PV IN'!$I$12*12+'PV IN'!$I$13*12+'PV IN'!$I$14*12),'PV IN'!$E$14*PVCalcs!G343/1000,0)</f>
        <v>0</v>
      </c>
      <c r="R343" s="10">
        <f>IF(AND('PV IN'!$D$35="YES",$C343&lt;='PV IN'!$E$35*12),-'PV IN'!$E$18*'PV IN'!$E$34/12,0)</f>
        <v>0</v>
      </c>
      <c r="S343" s="10">
        <f>IF(AND('PV IN'!$D$37="YES",$C343&lt;='PV IN'!$E$37*12),-'PV IN'!$E$18*'PV IN'!$E$36/12,0)</f>
        <v>0</v>
      </c>
      <c r="U343" s="2">
        <f t="shared" si="96"/>
        <v>9676.788195057552</v>
      </c>
      <c r="V343" s="10">
        <f>PVLoan!M370</f>
        <v>0</v>
      </c>
      <c r="W343" s="2">
        <f>IF(C343='PV IN'!$I$40,IF('PV IN'!$G$40="Non-Taxable",'PV IN'!$F$40,0),0)+IF(C343='PV IN'!$I$41,IF('PV IN'!$G$41="Non-Taxable",'PV IN'!$F$41,0),0)</f>
        <v>0</v>
      </c>
      <c r="X343" s="10"/>
      <c r="Y343" s="10">
        <f>IF('PV IN'!$E$15="Non-Taxable",SUM(N343:P343),0)</f>
        <v>0</v>
      </c>
      <c r="Z343" s="10">
        <f>IF('PV IN'!$E$15="Taxable",SUM(N343:P343),0)</f>
        <v>0</v>
      </c>
      <c r="AA343" s="2">
        <f>IF(C343='PV IN'!$I$40,IF('PV IN'!$G$40="Taxable",'PV IN'!$F$40,0),0)+IF(C343='PV IN'!$I$41,IF('PV IN'!$G$41="Taxable",'PV IN'!$F$41,0),0)</f>
        <v>0</v>
      </c>
      <c r="AD343" s="10">
        <f>IF('PV IN'!$D$48="YES",-U343*'PV IN'!$E$8,0)</f>
        <v>0</v>
      </c>
      <c r="AE343" s="10">
        <f>IF('PV IN'!$N$10="Yes",-PVLoan!H371,-PVLoan!L371)</f>
        <v>0</v>
      </c>
      <c r="AF343" s="10">
        <f>IF('PV IN'!$N$10="Yes",-PVLoan!F371,0)</f>
        <v>0</v>
      </c>
      <c r="AG343" s="10">
        <f>IF(AND('PV IN'!$D$35="YES",$C343&lt;='PV IN'!$E$35*12),0,-'PV IN'!$E$18*'PV IN'!$E$34/12)</f>
        <v>-750</v>
      </c>
      <c r="AH343" s="10">
        <f>IF(AND('PV IN'!$D$37="YES",$C343&lt;='PV IN'!$E$37*12),0,-'PV IN'!$E$18*'PV IN'!$E$36/12)</f>
        <v>-625</v>
      </c>
      <c r="AI343" s="2">
        <f>IF(AND('PV IN'!$D$33="YES",PVCalcs!C343=ROUNDUP('PV IN'!$H$33*12,)),-'PV IN'!$E$33*'PV IN'!$E$18,0)</f>
        <v>0</v>
      </c>
      <c r="AK343" s="2">
        <f t="shared" si="87"/>
        <v>9676.788195057552</v>
      </c>
      <c r="AL343" s="2">
        <f t="shared" si="82"/>
        <v>-1375</v>
      </c>
      <c r="AM343" s="2">
        <f t="shared" si="83"/>
        <v>8301.788195057552</v>
      </c>
      <c r="AN343" s="43"/>
      <c r="AO343" s="2">
        <f t="shared" si="88"/>
        <v>0</v>
      </c>
      <c r="AP343" s="2">
        <f t="shared" si="84"/>
        <v>-1375</v>
      </c>
      <c r="AR343" s="2">
        <f t="shared" si="85"/>
        <v>-1375</v>
      </c>
      <c r="AS343" s="2">
        <f>-AR343*'PV IN'!$E$8</f>
        <v>288.75</v>
      </c>
      <c r="AT343" s="2">
        <f>IF('PV IN'!$F$4="Battery Only",0,AM343+AS343)</f>
        <v>8590.538195057552</v>
      </c>
      <c r="AV343" s="10">
        <f t="shared" si="86"/>
        <v>2285094.335176128</v>
      </c>
      <c r="AW343" s="2">
        <f>AT343/(1+('PV IN'!$G$9))^(C343)</f>
        <v>2164.8244006512459</v>
      </c>
      <c r="AX343" s="2" t="e">
        <f>IF(C343&lt;='PV IN'!$O$22*12,AW343+AX342,NA())</f>
        <v>#N/A</v>
      </c>
      <c r="AZ343" s="10">
        <f t="shared" si="89"/>
        <v>-1375</v>
      </c>
      <c r="BA343" s="10">
        <f t="shared" si="90"/>
        <v>0</v>
      </c>
      <c r="BB343" s="10">
        <f t="shared" si="91"/>
        <v>-1375</v>
      </c>
      <c r="BC343" s="10">
        <f t="shared" si="92"/>
        <v>0</v>
      </c>
      <c r="BD343" s="10">
        <f t="shared" si="93"/>
        <v>-1375</v>
      </c>
      <c r="BE343" s="2">
        <f t="shared" si="94"/>
        <v>0</v>
      </c>
      <c r="BF343" s="10">
        <f t="shared" si="95"/>
        <v>-1375</v>
      </c>
      <c r="BG343" s="2">
        <f>-BF343*'PV IN'!$E$8</f>
        <v>288.75</v>
      </c>
      <c r="BH343" s="2">
        <f>IF('PV IN'!$F$4="Battery Only",0,BB343+BG343)</f>
        <v>-1086.25</v>
      </c>
      <c r="BI343" s="2">
        <f>BH343/(1+('PV IN'!$G$9))^(C343)</f>
        <v>-273.73610963750127</v>
      </c>
    </row>
    <row r="344" spans="2:61" x14ac:dyDescent="0.25">
      <c r="C344">
        <v>340</v>
      </c>
      <c r="D344" s="16">
        <f>D343*(1+('PV IN'!$G$6/12))</f>
        <v>7.5999999999999998E-2</v>
      </c>
      <c r="E344" s="16">
        <f>LkUP!$U$49</f>
        <v>7.9497788922557128E-2</v>
      </c>
      <c r="F344" s="16">
        <f>IF('PV IN'!$D$7="Table",E344,D344)</f>
        <v>7.9497788922557128E-2</v>
      </c>
      <c r="G344" s="33">
        <f>('PV IN'!$E$25*'PV IN'!$E$18/12)*(1-(1-'PV IN'!$E$27)/(25*12))^C343</f>
        <v>121642.8423229215</v>
      </c>
      <c r="H344" s="33">
        <f>IF('PV IN'!$D$19="YES",G344*'PV IN'!$E$21,0)</f>
        <v>0</v>
      </c>
      <c r="I344" s="33">
        <f>IF('PV IN'!$D$19="YES",'PV IN'!$E$22*BattCalcs!W344,0)</f>
        <v>0</v>
      </c>
      <c r="J344" s="33">
        <f>IF('PV IN'!$D$19="YES",'PV IN'!$E$23*BattCalcs!Y344,0)</f>
        <v>0</v>
      </c>
      <c r="K344" s="33">
        <f>BattCalcs!AF344</f>
        <v>25811.765833333331</v>
      </c>
      <c r="L344" s="33">
        <f t="shared" si="81"/>
        <v>25811.765833333331</v>
      </c>
      <c r="M344" s="33">
        <f>IF('PV IN'!$F$4="PV Only",G344,G344-SUM(H344:J344,L344))</f>
        <v>121642.8423229215</v>
      </c>
      <c r="N344" s="2">
        <f>IF(C344&lt;='PV IN'!$I$12*12,'PV IN'!$E$12*G344/1000,0)</f>
        <v>0</v>
      </c>
      <c r="O344" s="2">
        <f>IF(AND(C344&gt;'PV IN'!$I$12*12,C344&lt;='PV IN'!$I$13*12+'PV IN'!$I$12*12),'PV IN'!$E$13*PVCalcs!G344/1000,0)</f>
        <v>0</v>
      </c>
      <c r="P344" s="2">
        <f>IF(AND(C344&gt;'PV IN'!$I$12*12+'PV IN'!$I$13*12,C344&lt;='PV IN'!$I$12*12+'PV IN'!$I$13*12+'PV IN'!$I$14*12),'PV IN'!$E$14*PVCalcs!G344/1000,0)</f>
        <v>0</v>
      </c>
      <c r="R344" s="10">
        <f>IF(AND('PV IN'!$D$35="YES",$C344&lt;='PV IN'!$E$35*12),-'PV IN'!$E$18*'PV IN'!$E$34/12,0)</f>
        <v>0</v>
      </c>
      <c r="S344" s="10">
        <f>IF(AND('PV IN'!$D$37="YES",$C344&lt;='PV IN'!$E$37*12),-'PV IN'!$E$18*'PV IN'!$E$36/12,0)</f>
        <v>0</v>
      </c>
      <c r="U344" s="2">
        <f t="shared" si="96"/>
        <v>9670.337002927512</v>
      </c>
      <c r="V344" s="10">
        <f>PVLoan!M371</f>
        <v>0</v>
      </c>
      <c r="W344" s="2">
        <f>IF(C344='PV IN'!$I$40,IF('PV IN'!$G$40="Non-Taxable",'PV IN'!$F$40,0),0)+IF(C344='PV IN'!$I$41,IF('PV IN'!$G$41="Non-Taxable",'PV IN'!$F$41,0),0)</f>
        <v>0</v>
      </c>
      <c r="X344" s="10"/>
      <c r="Y344" s="10">
        <f>IF('PV IN'!$E$15="Non-Taxable",SUM(N344:P344),0)</f>
        <v>0</v>
      </c>
      <c r="Z344" s="10">
        <f>IF('PV IN'!$E$15="Taxable",SUM(N344:P344),0)</f>
        <v>0</v>
      </c>
      <c r="AA344" s="2">
        <f>IF(C344='PV IN'!$I$40,IF('PV IN'!$G$40="Taxable",'PV IN'!$F$40,0),0)+IF(C344='PV IN'!$I$41,IF('PV IN'!$G$41="Taxable",'PV IN'!$F$41,0),0)</f>
        <v>0</v>
      </c>
      <c r="AD344" s="10">
        <f>IF('PV IN'!$D$48="YES",-U344*'PV IN'!$E$8,0)</f>
        <v>0</v>
      </c>
      <c r="AE344" s="10">
        <f>IF('PV IN'!$N$10="Yes",-PVLoan!H372,-PVLoan!L372)</f>
        <v>0</v>
      </c>
      <c r="AF344" s="10">
        <f>IF('PV IN'!$N$10="Yes",-PVLoan!F372,0)</f>
        <v>0</v>
      </c>
      <c r="AG344" s="10">
        <f>IF(AND('PV IN'!$D$35="YES",$C344&lt;='PV IN'!$E$35*12),0,-'PV IN'!$E$18*'PV IN'!$E$34/12)</f>
        <v>-750</v>
      </c>
      <c r="AH344" s="10">
        <f>IF(AND('PV IN'!$D$37="YES",$C344&lt;='PV IN'!$E$37*12),0,-'PV IN'!$E$18*'PV IN'!$E$36/12)</f>
        <v>-625</v>
      </c>
      <c r="AI344" s="2">
        <f>IF(AND('PV IN'!$D$33="YES",PVCalcs!C344=ROUNDUP('PV IN'!$H$33*12,)),-'PV IN'!$E$33*'PV IN'!$E$18,0)</f>
        <v>0</v>
      </c>
      <c r="AK344" s="2">
        <f t="shared" si="87"/>
        <v>9670.337002927512</v>
      </c>
      <c r="AL344" s="2">
        <f t="shared" si="82"/>
        <v>-1375</v>
      </c>
      <c r="AM344" s="2">
        <f t="shared" si="83"/>
        <v>8295.337002927512</v>
      </c>
      <c r="AN344" s="43"/>
      <c r="AO344" s="2">
        <f t="shared" si="88"/>
        <v>0</v>
      </c>
      <c r="AP344" s="2">
        <f t="shared" si="84"/>
        <v>-1375</v>
      </c>
      <c r="AR344" s="2">
        <f t="shared" si="85"/>
        <v>-1375</v>
      </c>
      <c r="AS344" s="2">
        <f>-AR344*'PV IN'!$E$8</f>
        <v>288.75</v>
      </c>
      <c r="AT344" s="2">
        <f>IF('PV IN'!$F$4="Battery Only",0,AM344+AS344)</f>
        <v>8584.087002927512</v>
      </c>
      <c r="AV344" s="10">
        <f t="shared" si="86"/>
        <v>2293678.4221790554</v>
      </c>
      <c r="AW344" s="2">
        <f>AT344/(1+('PV IN'!$G$9))^(C344)</f>
        <v>2154.4213145268736</v>
      </c>
      <c r="AX344" s="2" t="e">
        <f>IF(C344&lt;='PV IN'!$O$22*12,AW344+AX343,NA())</f>
        <v>#N/A</v>
      </c>
      <c r="AZ344" s="10">
        <f t="shared" si="89"/>
        <v>-1375</v>
      </c>
      <c r="BA344" s="10">
        <f t="shared" si="90"/>
        <v>0</v>
      </c>
      <c r="BB344" s="10">
        <f t="shared" si="91"/>
        <v>-1375</v>
      </c>
      <c r="BC344" s="10">
        <f t="shared" si="92"/>
        <v>0</v>
      </c>
      <c r="BD344" s="10">
        <f t="shared" si="93"/>
        <v>-1375</v>
      </c>
      <c r="BE344" s="2">
        <f t="shared" si="94"/>
        <v>0</v>
      </c>
      <c r="BF344" s="10">
        <f t="shared" si="95"/>
        <v>-1375</v>
      </c>
      <c r="BG344" s="2">
        <f>-BF344*'PV IN'!$E$8</f>
        <v>288.75</v>
      </c>
      <c r="BH344" s="2">
        <f>IF('PV IN'!$F$4="Battery Only",0,BB344+BG344)</f>
        <v>-1086.25</v>
      </c>
      <c r="BI344" s="2">
        <f>BH344/(1+('PV IN'!$G$9))^(C344)</f>
        <v>-272.6254000112886</v>
      </c>
    </row>
    <row r="345" spans="2:61" x14ac:dyDescent="0.25">
      <c r="C345">
        <v>341</v>
      </c>
      <c r="D345" s="16">
        <f>D344*(1+('PV IN'!$G$6/12))</f>
        <v>7.5999999999999998E-2</v>
      </c>
      <c r="E345" s="16">
        <f>LkUP!$U$49</f>
        <v>7.9497788922557128E-2</v>
      </c>
      <c r="F345" s="16">
        <f>IF('PV IN'!$D$7="Table",E345,D345)</f>
        <v>7.9497788922557128E-2</v>
      </c>
      <c r="G345" s="33">
        <f>('PV IN'!$E$25*'PV IN'!$E$18/12)*(1-(1-'PV IN'!$E$27)/(25*12))^C344</f>
        <v>121561.74709470622</v>
      </c>
      <c r="H345" s="33">
        <f>IF('PV IN'!$D$19="YES",G345*'PV IN'!$E$21,0)</f>
        <v>0</v>
      </c>
      <c r="I345" s="33">
        <f>IF('PV IN'!$D$19="YES",'PV IN'!$E$22*BattCalcs!W345,0)</f>
        <v>0</v>
      </c>
      <c r="J345" s="33">
        <f>IF('PV IN'!$D$19="YES",'PV IN'!$E$23*BattCalcs!Y345,0)</f>
        <v>0</v>
      </c>
      <c r="K345" s="33">
        <f>BattCalcs!AF345</f>
        <v>25811.765833333331</v>
      </c>
      <c r="L345" s="33">
        <f t="shared" si="81"/>
        <v>25811.765833333331</v>
      </c>
      <c r="M345" s="33">
        <f>IF('PV IN'!$F$4="PV Only",G345,G345-SUM(H345:J345,L345))</f>
        <v>121561.74709470622</v>
      </c>
      <c r="N345" s="2">
        <f>IF(C345&lt;='PV IN'!$I$12*12,'PV IN'!$E$12*G345/1000,0)</f>
        <v>0</v>
      </c>
      <c r="O345" s="2">
        <f>IF(AND(C345&gt;'PV IN'!$I$12*12,C345&lt;='PV IN'!$I$13*12+'PV IN'!$I$12*12),'PV IN'!$E$13*PVCalcs!G345/1000,0)</f>
        <v>0</v>
      </c>
      <c r="P345" s="2">
        <f>IF(AND(C345&gt;'PV IN'!$I$12*12+'PV IN'!$I$13*12,C345&lt;='PV IN'!$I$12*12+'PV IN'!$I$13*12+'PV IN'!$I$14*12),'PV IN'!$E$14*PVCalcs!G345/1000,0)</f>
        <v>0</v>
      </c>
      <c r="R345" s="10">
        <f>IF(AND('PV IN'!$D$35="YES",$C345&lt;='PV IN'!$E$35*12),-'PV IN'!$E$18*'PV IN'!$E$34/12,0)</f>
        <v>0</v>
      </c>
      <c r="S345" s="10">
        <f>IF(AND('PV IN'!$D$37="YES",$C345&lt;='PV IN'!$E$37*12),-'PV IN'!$E$18*'PV IN'!$E$36/12,0)</f>
        <v>0</v>
      </c>
      <c r="U345" s="2">
        <f t="shared" si="96"/>
        <v>9663.8901115922272</v>
      </c>
      <c r="V345" s="10">
        <f>PVLoan!M372</f>
        <v>0</v>
      </c>
      <c r="W345" s="2">
        <f>IF(C345='PV IN'!$I$40,IF('PV IN'!$G$40="Non-Taxable",'PV IN'!$F$40,0),0)+IF(C345='PV IN'!$I$41,IF('PV IN'!$G$41="Non-Taxable",'PV IN'!$F$41,0),0)</f>
        <v>0</v>
      </c>
      <c r="X345" s="10"/>
      <c r="Y345" s="10">
        <f>IF('PV IN'!$E$15="Non-Taxable",SUM(N345:P345),0)</f>
        <v>0</v>
      </c>
      <c r="Z345" s="10">
        <f>IF('PV IN'!$E$15="Taxable",SUM(N345:P345),0)</f>
        <v>0</v>
      </c>
      <c r="AA345" s="2">
        <f>IF(C345='PV IN'!$I$40,IF('PV IN'!$G$40="Taxable",'PV IN'!$F$40,0),0)+IF(C345='PV IN'!$I$41,IF('PV IN'!$G$41="Taxable",'PV IN'!$F$41,0),0)</f>
        <v>0</v>
      </c>
      <c r="AD345" s="10">
        <f>IF('PV IN'!$D$48="YES",-U345*'PV IN'!$E$8,0)</f>
        <v>0</v>
      </c>
      <c r="AE345" s="10">
        <f>IF('PV IN'!$N$10="Yes",-PVLoan!H373,-PVLoan!L373)</f>
        <v>0</v>
      </c>
      <c r="AF345" s="10">
        <f>IF('PV IN'!$N$10="Yes",-PVLoan!F373,0)</f>
        <v>0</v>
      </c>
      <c r="AG345" s="10">
        <f>IF(AND('PV IN'!$D$35="YES",$C345&lt;='PV IN'!$E$35*12),0,-'PV IN'!$E$18*'PV IN'!$E$34/12)</f>
        <v>-750</v>
      </c>
      <c r="AH345" s="10">
        <f>IF(AND('PV IN'!$D$37="YES",$C345&lt;='PV IN'!$E$37*12),0,-'PV IN'!$E$18*'PV IN'!$E$36/12)</f>
        <v>-625</v>
      </c>
      <c r="AI345" s="2">
        <f>IF(AND('PV IN'!$D$33="YES",PVCalcs!C345=ROUNDUP('PV IN'!$H$33*12,)),-'PV IN'!$E$33*'PV IN'!$E$18,0)</f>
        <v>0</v>
      </c>
      <c r="AK345" s="2">
        <f t="shared" si="87"/>
        <v>9663.8901115922272</v>
      </c>
      <c r="AL345" s="2">
        <f t="shared" si="82"/>
        <v>-1375</v>
      </c>
      <c r="AM345" s="2">
        <f t="shared" si="83"/>
        <v>8288.8901115922272</v>
      </c>
      <c r="AN345" s="43"/>
      <c r="AO345" s="2">
        <f t="shared" si="88"/>
        <v>0</v>
      </c>
      <c r="AP345" s="2">
        <f t="shared" si="84"/>
        <v>-1375</v>
      </c>
      <c r="AR345" s="2">
        <f t="shared" si="85"/>
        <v>-1375</v>
      </c>
      <c r="AS345" s="2">
        <f>-AR345*'PV IN'!$E$8</f>
        <v>288.75</v>
      </c>
      <c r="AT345" s="2">
        <f>IF('PV IN'!$F$4="Battery Only",0,AM345+AS345)</f>
        <v>8577.6401115922272</v>
      </c>
      <c r="AV345" s="10">
        <f t="shared" si="86"/>
        <v>2302256.0622906475</v>
      </c>
      <c r="AW345" s="2">
        <f>AT345/(1+('PV IN'!$G$9))^(C345)</f>
        <v>2144.0680846065911</v>
      </c>
      <c r="AX345" s="2" t="e">
        <f>IF(C345&lt;='PV IN'!$O$22*12,AW345+AX344,NA())</f>
        <v>#N/A</v>
      </c>
      <c r="AZ345" s="10">
        <f t="shared" si="89"/>
        <v>-1375</v>
      </c>
      <c r="BA345" s="10">
        <f t="shared" si="90"/>
        <v>0</v>
      </c>
      <c r="BB345" s="10">
        <f t="shared" si="91"/>
        <v>-1375</v>
      </c>
      <c r="BC345" s="10">
        <f t="shared" si="92"/>
        <v>0</v>
      </c>
      <c r="BD345" s="10">
        <f t="shared" si="93"/>
        <v>-1375</v>
      </c>
      <c r="BE345" s="2">
        <f t="shared" si="94"/>
        <v>0</v>
      </c>
      <c r="BF345" s="10">
        <f t="shared" si="95"/>
        <v>-1375</v>
      </c>
      <c r="BG345" s="2">
        <f>-BF345*'PV IN'!$E$8</f>
        <v>288.75</v>
      </c>
      <c r="BH345" s="2">
        <f>IF('PV IN'!$F$4="Battery Only",0,BB345+BG345)</f>
        <v>-1086.25</v>
      </c>
      <c r="BI345" s="2">
        <f>BH345/(1+('PV IN'!$G$9))^(C345)</f>
        <v>-271.51919719229039</v>
      </c>
    </row>
    <row r="346" spans="2:61" x14ac:dyDescent="0.25">
      <c r="C346">
        <v>342</v>
      </c>
      <c r="D346" s="16">
        <f>D345*(1+('PV IN'!$G$6/12))</f>
        <v>7.5999999999999998E-2</v>
      </c>
      <c r="E346" s="16">
        <f>LkUP!$U$49</f>
        <v>7.9497788922557128E-2</v>
      </c>
      <c r="F346" s="16">
        <f>IF('PV IN'!$D$7="Table",E346,D346)</f>
        <v>7.9497788922557128E-2</v>
      </c>
      <c r="G346" s="33">
        <f>('PV IN'!$E$25*'PV IN'!$E$18/12)*(1-(1-'PV IN'!$E$27)/(25*12))^C345</f>
        <v>121480.70592997641</v>
      </c>
      <c r="H346" s="33">
        <f>IF('PV IN'!$D$19="YES",G346*'PV IN'!$E$21,0)</f>
        <v>0</v>
      </c>
      <c r="I346" s="33">
        <f>IF('PV IN'!$D$19="YES",'PV IN'!$E$22*BattCalcs!W346,0)</f>
        <v>0</v>
      </c>
      <c r="J346" s="33">
        <f>IF('PV IN'!$D$19="YES",'PV IN'!$E$23*BattCalcs!Y346,0)</f>
        <v>0</v>
      </c>
      <c r="K346" s="33">
        <f>BattCalcs!AF346</f>
        <v>25811.765833333331</v>
      </c>
      <c r="L346" s="33">
        <f t="shared" si="81"/>
        <v>25811.765833333331</v>
      </c>
      <c r="M346" s="33">
        <f>IF('PV IN'!$F$4="PV Only",G346,G346-SUM(H346:J346,L346))</f>
        <v>121480.70592997641</v>
      </c>
      <c r="N346" s="2">
        <f>IF(C346&lt;='PV IN'!$I$12*12,'PV IN'!$E$12*G346/1000,0)</f>
        <v>0</v>
      </c>
      <c r="O346" s="2">
        <f>IF(AND(C346&gt;'PV IN'!$I$12*12,C346&lt;='PV IN'!$I$13*12+'PV IN'!$I$12*12),'PV IN'!$E$13*PVCalcs!G346/1000,0)</f>
        <v>0</v>
      </c>
      <c r="P346" s="2">
        <f>IF(AND(C346&gt;'PV IN'!$I$12*12+'PV IN'!$I$13*12,C346&lt;='PV IN'!$I$12*12+'PV IN'!$I$13*12+'PV IN'!$I$14*12),'PV IN'!$E$14*PVCalcs!G346/1000,0)</f>
        <v>0</v>
      </c>
      <c r="R346" s="10">
        <f>IF(AND('PV IN'!$D$35="YES",$C346&lt;='PV IN'!$E$35*12),-'PV IN'!$E$18*'PV IN'!$E$34/12,0)</f>
        <v>0</v>
      </c>
      <c r="S346" s="10">
        <f>IF(AND('PV IN'!$D$37="YES",$C346&lt;='PV IN'!$E$37*12),-'PV IN'!$E$18*'PV IN'!$E$36/12,0)</f>
        <v>0</v>
      </c>
      <c r="U346" s="2">
        <f t="shared" si="96"/>
        <v>9657.4475181844991</v>
      </c>
      <c r="V346" s="10">
        <f>PVLoan!M373</f>
        <v>0</v>
      </c>
      <c r="W346" s="2">
        <f>IF(C346='PV IN'!$I$40,IF('PV IN'!$G$40="Non-Taxable",'PV IN'!$F$40,0),0)+IF(C346='PV IN'!$I$41,IF('PV IN'!$G$41="Non-Taxable",'PV IN'!$F$41,0),0)</f>
        <v>0</v>
      </c>
      <c r="X346" s="10"/>
      <c r="Y346" s="10">
        <f>IF('PV IN'!$E$15="Non-Taxable",SUM(N346:P346),0)</f>
        <v>0</v>
      </c>
      <c r="Z346" s="10">
        <f>IF('PV IN'!$E$15="Taxable",SUM(N346:P346),0)</f>
        <v>0</v>
      </c>
      <c r="AA346" s="2">
        <f>IF(C346='PV IN'!$I$40,IF('PV IN'!$G$40="Taxable",'PV IN'!$F$40,0),0)+IF(C346='PV IN'!$I$41,IF('PV IN'!$G$41="Taxable",'PV IN'!$F$41,0),0)</f>
        <v>0</v>
      </c>
      <c r="AD346" s="10">
        <f>IF('PV IN'!$D$48="YES",-U346*'PV IN'!$E$8,0)</f>
        <v>0</v>
      </c>
      <c r="AE346" s="10">
        <f>IF('PV IN'!$N$10="Yes",-PVLoan!H374,-PVLoan!L374)</f>
        <v>0</v>
      </c>
      <c r="AF346" s="10">
        <f>IF('PV IN'!$N$10="Yes",-PVLoan!F374,0)</f>
        <v>0</v>
      </c>
      <c r="AG346" s="10">
        <f>IF(AND('PV IN'!$D$35="YES",$C346&lt;='PV IN'!$E$35*12),0,-'PV IN'!$E$18*'PV IN'!$E$34/12)</f>
        <v>-750</v>
      </c>
      <c r="AH346" s="10">
        <f>IF(AND('PV IN'!$D$37="YES",$C346&lt;='PV IN'!$E$37*12),0,-'PV IN'!$E$18*'PV IN'!$E$36/12)</f>
        <v>-625</v>
      </c>
      <c r="AI346" s="2">
        <f>IF(AND('PV IN'!$D$33="YES",PVCalcs!C346=ROUNDUP('PV IN'!$H$33*12,)),-'PV IN'!$E$33*'PV IN'!$E$18,0)</f>
        <v>0</v>
      </c>
      <c r="AK346" s="2">
        <f t="shared" si="87"/>
        <v>9657.4475181844991</v>
      </c>
      <c r="AL346" s="2">
        <f t="shared" si="82"/>
        <v>-1375</v>
      </c>
      <c r="AM346" s="2">
        <f t="shared" si="83"/>
        <v>8282.4475181844991</v>
      </c>
      <c r="AN346" s="43"/>
      <c r="AO346" s="2">
        <f t="shared" si="88"/>
        <v>0</v>
      </c>
      <c r="AP346" s="2">
        <f t="shared" si="84"/>
        <v>-1375</v>
      </c>
      <c r="AR346" s="2">
        <f t="shared" si="85"/>
        <v>-1375</v>
      </c>
      <c r="AS346" s="2">
        <f>-AR346*'PV IN'!$E$8</f>
        <v>288.75</v>
      </c>
      <c r="AT346" s="2">
        <f>IF('PV IN'!$F$4="Battery Only",0,AM346+AS346)</f>
        <v>8571.1975181844991</v>
      </c>
      <c r="AV346" s="10">
        <f t="shared" si="86"/>
        <v>2310827.2598088318</v>
      </c>
      <c r="AW346" s="2">
        <f>AT346/(1+('PV IN'!$G$9))^(C346)</f>
        <v>2133.7644724992788</v>
      </c>
      <c r="AX346" s="2" t="e">
        <f>IF(C346&lt;='PV IN'!$O$22*12,AW346+AX345,NA())</f>
        <v>#N/A</v>
      </c>
      <c r="AZ346" s="10">
        <f t="shared" si="89"/>
        <v>-1375</v>
      </c>
      <c r="BA346" s="10">
        <f t="shared" si="90"/>
        <v>0</v>
      </c>
      <c r="BB346" s="10">
        <f t="shared" si="91"/>
        <v>-1375</v>
      </c>
      <c r="BC346" s="10">
        <f t="shared" si="92"/>
        <v>0</v>
      </c>
      <c r="BD346" s="10">
        <f t="shared" si="93"/>
        <v>-1375</v>
      </c>
      <c r="BE346" s="2">
        <f t="shared" si="94"/>
        <v>0</v>
      </c>
      <c r="BF346" s="10">
        <f t="shared" si="95"/>
        <v>-1375</v>
      </c>
      <c r="BG346" s="2">
        <f>-BF346*'PV IN'!$E$8</f>
        <v>288.75</v>
      </c>
      <c r="BH346" s="2">
        <f>IF('PV IN'!$F$4="Battery Only",0,BB346+BG346)</f>
        <v>-1086.25</v>
      </c>
      <c r="BI346" s="2">
        <f>BH346/(1+('PV IN'!$G$9))^(C346)</f>
        <v>-270.41748289371873</v>
      </c>
    </row>
    <row r="347" spans="2:61" x14ac:dyDescent="0.25">
      <c r="C347">
        <v>343</v>
      </c>
      <c r="D347" s="16">
        <f>D346*(1+('PV IN'!$G$6/12))</f>
        <v>7.5999999999999998E-2</v>
      </c>
      <c r="E347" s="16">
        <f>LkUP!$U$49</f>
        <v>7.9497788922557128E-2</v>
      </c>
      <c r="F347" s="16">
        <f>IF('PV IN'!$D$7="Table",E347,D347)</f>
        <v>7.9497788922557128E-2</v>
      </c>
      <c r="G347" s="33">
        <f>('PV IN'!$E$25*'PV IN'!$E$18/12)*(1-(1-'PV IN'!$E$27)/(25*12))^C346</f>
        <v>121399.71879268976</v>
      </c>
      <c r="H347" s="33">
        <f>IF('PV IN'!$D$19="YES",G347*'PV IN'!$E$21,0)</f>
        <v>0</v>
      </c>
      <c r="I347" s="33">
        <f>IF('PV IN'!$D$19="YES",'PV IN'!$E$22*BattCalcs!W347,0)</f>
        <v>0</v>
      </c>
      <c r="J347" s="33">
        <f>IF('PV IN'!$D$19="YES",'PV IN'!$E$23*BattCalcs!Y347,0)</f>
        <v>0</v>
      </c>
      <c r="K347" s="33">
        <f>BattCalcs!AF347</f>
        <v>25811.765833333331</v>
      </c>
      <c r="L347" s="33">
        <f t="shared" si="81"/>
        <v>25811.765833333331</v>
      </c>
      <c r="M347" s="33">
        <f>IF('PV IN'!$F$4="PV Only",G347,G347-SUM(H347:J347,L347))</f>
        <v>121399.71879268976</v>
      </c>
      <c r="N347" s="2">
        <f>IF(C347&lt;='PV IN'!$I$12*12,'PV IN'!$E$12*G347/1000,0)</f>
        <v>0</v>
      </c>
      <c r="O347" s="2">
        <f>IF(AND(C347&gt;'PV IN'!$I$12*12,C347&lt;='PV IN'!$I$13*12+'PV IN'!$I$12*12),'PV IN'!$E$13*PVCalcs!G347/1000,0)</f>
        <v>0</v>
      </c>
      <c r="P347" s="2">
        <f>IF(AND(C347&gt;'PV IN'!$I$12*12+'PV IN'!$I$13*12,C347&lt;='PV IN'!$I$12*12+'PV IN'!$I$13*12+'PV IN'!$I$14*12),'PV IN'!$E$14*PVCalcs!G347/1000,0)</f>
        <v>0</v>
      </c>
      <c r="R347" s="10">
        <f>IF(AND('PV IN'!$D$35="YES",$C347&lt;='PV IN'!$E$35*12),-'PV IN'!$E$18*'PV IN'!$E$34/12,0)</f>
        <v>0</v>
      </c>
      <c r="S347" s="10">
        <f>IF(AND('PV IN'!$D$37="YES",$C347&lt;='PV IN'!$E$37*12),-'PV IN'!$E$18*'PV IN'!$E$36/12,0)</f>
        <v>0</v>
      </c>
      <c r="U347" s="2">
        <f t="shared" si="96"/>
        <v>9651.009219839043</v>
      </c>
      <c r="V347" s="10">
        <f>PVLoan!M374</f>
        <v>0</v>
      </c>
      <c r="W347" s="2">
        <f>IF(C347='PV IN'!$I$40,IF('PV IN'!$G$40="Non-Taxable",'PV IN'!$F$40,0),0)+IF(C347='PV IN'!$I$41,IF('PV IN'!$G$41="Non-Taxable",'PV IN'!$F$41,0),0)</f>
        <v>0</v>
      </c>
      <c r="X347" s="10"/>
      <c r="Y347" s="10">
        <f>IF('PV IN'!$E$15="Non-Taxable",SUM(N347:P347),0)</f>
        <v>0</v>
      </c>
      <c r="Z347" s="10">
        <f>IF('PV IN'!$E$15="Taxable",SUM(N347:P347),0)</f>
        <v>0</v>
      </c>
      <c r="AA347" s="2">
        <f>IF(C347='PV IN'!$I$40,IF('PV IN'!$G$40="Taxable",'PV IN'!$F$40,0),0)+IF(C347='PV IN'!$I$41,IF('PV IN'!$G$41="Taxable",'PV IN'!$F$41,0),0)</f>
        <v>0</v>
      </c>
      <c r="AD347" s="10">
        <f>IF('PV IN'!$D$48="YES",-U347*'PV IN'!$E$8,0)</f>
        <v>0</v>
      </c>
      <c r="AE347" s="10">
        <f>IF('PV IN'!$N$10="Yes",-PVLoan!H375,-PVLoan!L375)</f>
        <v>0</v>
      </c>
      <c r="AF347" s="10">
        <f>IF('PV IN'!$N$10="Yes",-PVLoan!F375,0)</f>
        <v>0</v>
      </c>
      <c r="AG347" s="10">
        <f>IF(AND('PV IN'!$D$35="YES",$C347&lt;='PV IN'!$E$35*12),0,-'PV IN'!$E$18*'PV IN'!$E$34/12)</f>
        <v>-750</v>
      </c>
      <c r="AH347" s="10">
        <f>IF(AND('PV IN'!$D$37="YES",$C347&lt;='PV IN'!$E$37*12),0,-'PV IN'!$E$18*'PV IN'!$E$36/12)</f>
        <v>-625</v>
      </c>
      <c r="AI347" s="2">
        <f>IF(AND('PV IN'!$D$33="YES",PVCalcs!C347=ROUNDUP('PV IN'!$H$33*12,)),-'PV IN'!$E$33*'PV IN'!$E$18,0)</f>
        <v>0</v>
      </c>
      <c r="AK347" s="2">
        <f t="shared" si="87"/>
        <v>9651.009219839043</v>
      </c>
      <c r="AL347" s="2">
        <f t="shared" si="82"/>
        <v>-1375</v>
      </c>
      <c r="AM347" s="2">
        <f t="shared" si="83"/>
        <v>8276.009219839043</v>
      </c>
      <c r="AN347" s="43"/>
      <c r="AO347" s="2">
        <f t="shared" si="88"/>
        <v>0</v>
      </c>
      <c r="AP347" s="2">
        <f t="shared" si="84"/>
        <v>-1375</v>
      </c>
      <c r="AR347" s="2">
        <f t="shared" si="85"/>
        <v>-1375</v>
      </c>
      <c r="AS347" s="2">
        <f>-AR347*'PV IN'!$E$8</f>
        <v>288.75</v>
      </c>
      <c r="AT347" s="2">
        <f>IF('PV IN'!$F$4="Battery Only",0,AM347+AS347)</f>
        <v>8564.759219839043</v>
      </c>
      <c r="AV347" s="10">
        <f t="shared" si="86"/>
        <v>2319392.0190286711</v>
      </c>
      <c r="AW347" s="2">
        <f>AT347/(1+('PV IN'!$G$9))^(C347)</f>
        <v>2123.5102409515357</v>
      </c>
      <c r="AX347" s="2" t="e">
        <f>IF(C347&lt;='PV IN'!$O$22*12,AW347+AX346,NA())</f>
        <v>#N/A</v>
      </c>
      <c r="AZ347" s="10">
        <f t="shared" si="89"/>
        <v>-1375</v>
      </c>
      <c r="BA347" s="10">
        <f t="shared" si="90"/>
        <v>0</v>
      </c>
      <c r="BB347" s="10">
        <f t="shared" si="91"/>
        <v>-1375</v>
      </c>
      <c r="BC347" s="10">
        <f t="shared" si="92"/>
        <v>0</v>
      </c>
      <c r="BD347" s="10">
        <f t="shared" si="93"/>
        <v>-1375</v>
      </c>
      <c r="BE347" s="2">
        <f t="shared" si="94"/>
        <v>0</v>
      </c>
      <c r="BF347" s="10">
        <f t="shared" si="95"/>
        <v>-1375</v>
      </c>
      <c r="BG347" s="2">
        <f>-BF347*'PV IN'!$E$8</f>
        <v>288.75</v>
      </c>
      <c r="BH347" s="2">
        <f>IF('PV IN'!$F$4="Battery Only",0,BB347+BG347)</f>
        <v>-1086.25</v>
      </c>
      <c r="BI347" s="2">
        <f>BH347/(1+('PV IN'!$G$9))^(C347)</f>
        <v>-269.32023890298626</v>
      </c>
    </row>
    <row r="348" spans="2:61" x14ac:dyDescent="0.25">
      <c r="C348">
        <v>344</v>
      </c>
      <c r="D348" s="16">
        <f>D347*(1+('PV IN'!$G$6/12))</f>
        <v>7.5999999999999998E-2</v>
      </c>
      <c r="E348" s="16">
        <f>LkUP!$U$49</f>
        <v>7.9497788922557128E-2</v>
      </c>
      <c r="F348" s="16">
        <f>IF('PV IN'!$D$7="Table",E348,D348)</f>
        <v>7.9497788922557128E-2</v>
      </c>
      <c r="G348" s="33">
        <f>('PV IN'!$E$25*'PV IN'!$E$18/12)*(1-(1-'PV IN'!$E$27)/(25*12))^C347</f>
        <v>121318.78564682795</v>
      </c>
      <c r="H348" s="33">
        <f>IF('PV IN'!$D$19="YES",G348*'PV IN'!$E$21,0)</f>
        <v>0</v>
      </c>
      <c r="I348" s="33">
        <f>IF('PV IN'!$D$19="YES",'PV IN'!$E$22*BattCalcs!W348,0)</f>
        <v>0</v>
      </c>
      <c r="J348" s="33">
        <f>IF('PV IN'!$D$19="YES",'PV IN'!$E$23*BattCalcs!Y348,0)</f>
        <v>0</v>
      </c>
      <c r="K348" s="33">
        <f>BattCalcs!AF348</f>
        <v>25811.765833333331</v>
      </c>
      <c r="L348" s="33">
        <f t="shared" si="81"/>
        <v>25811.765833333331</v>
      </c>
      <c r="M348" s="33">
        <f>IF('PV IN'!$F$4="PV Only",G348,G348-SUM(H348:J348,L348))</f>
        <v>121318.78564682795</v>
      </c>
      <c r="N348" s="2">
        <f>IF(C348&lt;='PV IN'!$I$12*12,'PV IN'!$E$12*G348/1000,0)</f>
        <v>0</v>
      </c>
      <c r="O348" s="2">
        <f>IF(AND(C348&gt;'PV IN'!$I$12*12,C348&lt;='PV IN'!$I$13*12+'PV IN'!$I$12*12),'PV IN'!$E$13*PVCalcs!G348/1000,0)</f>
        <v>0</v>
      </c>
      <c r="P348" s="2">
        <f>IF(AND(C348&gt;'PV IN'!$I$12*12+'PV IN'!$I$13*12,C348&lt;='PV IN'!$I$12*12+'PV IN'!$I$13*12+'PV IN'!$I$14*12),'PV IN'!$E$14*PVCalcs!G348/1000,0)</f>
        <v>0</v>
      </c>
      <c r="R348" s="10">
        <f>IF(AND('PV IN'!$D$35="YES",$C348&lt;='PV IN'!$E$35*12),-'PV IN'!$E$18*'PV IN'!$E$34/12,0)</f>
        <v>0</v>
      </c>
      <c r="S348" s="10">
        <f>IF(AND('PV IN'!$D$37="YES",$C348&lt;='PV IN'!$E$37*12),-'PV IN'!$E$18*'PV IN'!$E$36/12,0)</f>
        <v>0</v>
      </c>
      <c r="U348" s="2">
        <f t="shared" si="96"/>
        <v>9644.5752136924821</v>
      </c>
      <c r="V348" s="10">
        <f>PVLoan!M375</f>
        <v>0</v>
      </c>
      <c r="W348" s="2">
        <f>IF(C348='PV IN'!$I$40,IF('PV IN'!$G$40="Non-Taxable",'PV IN'!$F$40,0),0)+IF(C348='PV IN'!$I$41,IF('PV IN'!$G$41="Non-Taxable",'PV IN'!$F$41,0),0)</f>
        <v>0</v>
      </c>
      <c r="X348" s="10"/>
      <c r="Y348" s="10">
        <f>IF('PV IN'!$E$15="Non-Taxable",SUM(N348:P348),0)</f>
        <v>0</v>
      </c>
      <c r="Z348" s="10">
        <f>IF('PV IN'!$E$15="Taxable",SUM(N348:P348),0)</f>
        <v>0</v>
      </c>
      <c r="AA348" s="2">
        <f>IF(C348='PV IN'!$I$40,IF('PV IN'!$G$40="Taxable",'PV IN'!$F$40,0),0)+IF(C348='PV IN'!$I$41,IF('PV IN'!$G$41="Taxable",'PV IN'!$F$41,0),0)</f>
        <v>0</v>
      </c>
      <c r="AD348" s="10">
        <f>IF('PV IN'!$D$48="YES",-U348*'PV IN'!$E$8,0)</f>
        <v>0</v>
      </c>
      <c r="AE348" s="10">
        <f>IF('PV IN'!$N$10="Yes",-PVLoan!H376,-PVLoan!L376)</f>
        <v>0</v>
      </c>
      <c r="AF348" s="10">
        <f>IF('PV IN'!$N$10="Yes",-PVLoan!F376,0)</f>
        <v>0</v>
      </c>
      <c r="AG348" s="10">
        <f>IF(AND('PV IN'!$D$35="YES",$C348&lt;='PV IN'!$E$35*12),0,-'PV IN'!$E$18*'PV IN'!$E$34/12)</f>
        <v>-750</v>
      </c>
      <c r="AH348" s="10">
        <f>IF(AND('PV IN'!$D$37="YES",$C348&lt;='PV IN'!$E$37*12),0,-'PV IN'!$E$18*'PV IN'!$E$36/12)</f>
        <v>-625</v>
      </c>
      <c r="AI348" s="2">
        <f>IF(AND('PV IN'!$D$33="YES",PVCalcs!C348=ROUNDUP('PV IN'!$H$33*12,)),-'PV IN'!$E$33*'PV IN'!$E$18,0)</f>
        <v>0</v>
      </c>
      <c r="AK348" s="2">
        <f t="shared" si="87"/>
        <v>9644.5752136924821</v>
      </c>
      <c r="AL348" s="2">
        <f t="shared" si="82"/>
        <v>-1375</v>
      </c>
      <c r="AM348" s="2">
        <f t="shared" si="83"/>
        <v>8269.5752136924821</v>
      </c>
      <c r="AN348" s="43"/>
      <c r="AO348" s="2">
        <f t="shared" si="88"/>
        <v>0</v>
      </c>
      <c r="AP348" s="2">
        <f t="shared" si="84"/>
        <v>-1375</v>
      </c>
      <c r="AR348" s="2">
        <f t="shared" si="85"/>
        <v>-1375</v>
      </c>
      <c r="AS348" s="2">
        <f>-AR348*'PV IN'!$E$8</f>
        <v>288.75</v>
      </c>
      <c r="AT348" s="2">
        <f>IF('PV IN'!$F$4="Battery Only",0,AM348+AS348)</f>
        <v>8558.3252136924821</v>
      </c>
      <c r="AV348" s="10">
        <f t="shared" si="86"/>
        <v>2327950.3442423637</v>
      </c>
      <c r="AW348" s="2">
        <f>AT348/(1+('PV IN'!$G$9))^(C348)</f>
        <v>2113.3051538422565</v>
      </c>
      <c r="AX348" s="2" t="e">
        <f>IF(C348&lt;='PV IN'!$O$22*12,AW348+AX347,NA())</f>
        <v>#N/A</v>
      </c>
      <c r="AZ348" s="10">
        <f t="shared" si="89"/>
        <v>-1375</v>
      </c>
      <c r="BA348" s="10">
        <f t="shared" si="90"/>
        <v>0</v>
      </c>
      <c r="BB348" s="10">
        <f t="shared" si="91"/>
        <v>-1375</v>
      </c>
      <c r="BC348" s="10">
        <f t="shared" si="92"/>
        <v>0</v>
      </c>
      <c r="BD348" s="10">
        <f t="shared" si="93"/>
        <v>-1375</v>
      </c>
      <c r="BE348" s="2">
        <f t="shared" si="94"/>
        <v>0</v>
      </c>
      <c r="BF348" s="10">
        <f t="shared" si="95"/>
        <v>-1375</v>
      </c>
      <c r="BG348" s="2">
        <f>-BF348*'PV IN'!$E$8</f>
        <v>288.75</v>
      </c>
      <c r="BH348" s="2">
        <f>IF('PV IN'!$F$4="Battery Only",0,BB348+BG348)</f>
        <v>-1086.25</v>
      </c>
      <c r="BI348" s="2">
        <f>BH348/(1+('PV IN'!$G$9))^(C348)</f>
        <v>-268.22744708140459</v>
      </c>
    </row>
    <row r="349" spans="2:61" x14ac:dyDescent="0.25">
      <c r="C349">
        <v>345</v>
      </c>
      <c r="D349" s="16">
        <f>D348*(1+('PV IN'!$G$6/12))</f>
        <v>7.5999999999999998E-2</v>
      </c>
      <c r="E349" s="16">
        <f>LkUP!$U$49</f>
        <v>7.9497788922557128E-2</v>
      </c>
      <c r="F349" s="16">
        <f>IF('PV IN'!$D$7="Table",E349,D349)</f>
        <v>7.9497788922557128E-2</v>
      </c>
      <c r="G349" s="33">
        <f>('PV IN'!$E$25*'PV IN'!$E$18/12)*(1-(1-'PV IN'!$E$27)/(25*12))^C348</f>
        <v>121237.90645639674</v>
      </c>
      <c r="H349" s="33">
        <f>IF('PV IN'!$D$19="YES",G349*'PV IN'!$E$21,0)</f>
        <v>0</v>
      </c>
      <c r="I349" s="33">
        <f>IF('PV IN'!$D$19="YES",'PV IN'!$E$22*BattCalcs!W349,0)</f>
        <v>0</v>
      </c>
      <c r="J349" s="33">
        <f>IF('PV IN'!$D$19="YES",'PV IN'!$E$23*BattCalcs!Y349,0)</f>
        <v>0</v>
      </c>
      <c r="K349" s="33">
        <f>BattCalcs!AF349</f>
        <v>25811.765833333331</v>
      </c>
      <c r="L349" s="33">
        <f t="shared" si="81"/>
        <v>25811.765833333331</v>
      </c>
      <c r="M349" s="33">
        <f>IF('PV IN'!$F$4="PV Only",G349,G349-SUM(H349:J349,L349))</f>
        <v>121237.90645639674</v>
      </c>
      <c r="N349" s="2">
        <f>IF(C349&lt;='PV IN'!$I$12*12,'PV IN'!$E$12*G349/1000,0)</f>
        <v>0</v>
      </c>
      <c r="O349" s="2">
        <f>IF(AND(C349&gt;'PV IN'!$I$12*12,C349&lt;='PV IN'!$I$13*12+'PV IN'!$I$12*12),'PV IN'!$E$13*PVCalcs!G349/1000,0)</f>
        <v>0</v>
      </c>
      <c r="P349" s="2">
        <f>IF(AND(C349&gt;'PV IN'!$I$12*12+'PV IN'!$I$13*12,C349&lt;='PV IN'!$I$12*12+'PV IN'!$I$13*12+'PV IN'!$I$14*12),'PV IN'!$E$14*PVCalcs!G349/1000,0)</f>
        <v>0</v>
      </c>
      <c r="R349" s="10">
        <f>IF(AND('PV IN'!$D$35="YES",$C349&lt;='PV IN'!$E$35*12),-'PV IN'!$E$18*'PV IN'!$E$34/12,0)</f>
        <v>0</v>
      </c>
      <c r="S349" s="10">
        <f>IF(AND('PV IN'!$D$37="YES",$C349&lt;='PV IN'!$E$37*12),-'PV IN'!$E$18*'PV IN'!$E$36/12,0)</f>
        <v>0</v>
      </c>
      <c r="U349" s="2">
        <f t="shared" si="96"/>
        <v>9638.1454968833532</v>
      </c>
      <c r="V349" s="10">
        <f>PVLoan!M376</f>
        <v>0</v>
      </c>
      <c r="W349" s="2">
        <f>IF(C349='PV IN'!$I$40,IF('PV IN'!$G$40="Non-Taxable",'PV IN'!$F$40,0),0)+IF(C349='PV IN'!$I$41,IF('PV IN'!$G$41="Non-Taxable",'PV IN'!$F$41,0),0)</f>
        <v>0</v>
      </c>
      <c r="X349" s="10"/>
      <c r="Y349" s="10">
        <f>IF('PV IN'!$E$15="Non-Taxable",SUM(N349:P349),0)</f>
        <v>0</v>
      </c>
      <c r="Z349" s="10">
        <f>IF('PV IN'!$E$15="Taxable",SUM(N349:P349),0)</f>
        <v>0</v>
      </c>
      <c r="AA349" s="2">
        <f>IF(C349='PV IN'!$I$40,IF('PV IN'!$G$40="Taxable",'PV IN'!$F$40,0),0)+IF(C349='PV IN'!$I$41,IF('PV IN'!$G$41="Taxable",'PV IN'!$F$41,0),0)</f>
        <v>0</v>
      </c>
      <c r="AD349" s="10">
        <f>IF('PV IN'!$D$48="YES",-U349*'PV IN'!$E$8,0)</f>
        <v>0</v>
      </c>
      <c r="AE349" s="10">
        <f>IF('PV IN'!$N$10="Yes",-PVLoan!H377,-PVLoan!L377)</f>
        <v>0</v>
      </c>
      <c r="AF349" s="10">
        <f>IF('PV IN'!$N$10="Yes",-PVLoan!F377,0)</f>
        <v>0</v>
      </c>
      <c r="AG349" s="10">
        <f>IF(AND('PV IN'!$D$35="YES",$C349&lt;='PV IN'!$E$35*12),0,-'PV IN'!$E$18*'PV IN'!$E$34/12)</f>
        <v>-750</v>
      </c>
      <c r="AH349" s="10">
        <f>IF(AND('PV IN'!$D$37="YES",$C349&lt;='PV IN'!$E$37*12),0,-'PV IN'!$E$18*'PV IN'!$E$36/12)</f>
        <v>-625</v>
      </c>
      <c r="AI349" s="2">
        <f>IF(AND('PV IN'!$D$33="YES",PVCalcs!C349=ROUNDUP('PV IN'!$H$33*12,)),-'PV IN'!$E$33*'PV IN'!$E$18,0)</f>
        <v>0</v>
      </c>
      <c r="AK349" s="2">
        <f t="shared" si="87"/>
        <v>9638.1454968833532</v>
      </c>
      <c r="AL349" s="2">
        <f t="shared" si="82"/>
        <v>-1375</v>
      </c>
      <c r="AM349" s="2">
        <f t="shared" si="83"/>
        <v>8263.1454968833532</v>
      </c>
      <c r="AN349" s="43"/>
      <c r="AO349" s="2">
        <f t="shared" si="88"/>
        <v>0</v>
      </c>
      <c r="AP349" s="2">
        <f t="shared" si="84"/>
        <v>-1375</v>
      </c>
      <c r="AR349" s="2">
        <f t="shared" si="85"/>
        <v>-1375</v>
      </c>
      <c r="AS349" s="2">
        <f>-AR349*'PV IN'!$E$8</f>
        <v>288.75</v>
      </c>
      <c r="AT349" s="2">
        <f>IF('PV IN'!$F$4="Battery Only",0,AM349+AS349)</f>
        <v>8551.8954968833532</v>
      </c>
      <c r="AV349" s="10">
        <f t="shared" si="86"/>
        <v>2336502.2397392471</v>
      </c>
      <c r="AW349" s="2">
        <f>AT349/(1+('PV IN'!$G$9))^(C349)</f>
        <v>2103.1489761772405</v>
      </c>
      <c r="AX349" s="2" t="e">
        <f>IF(C349&lt;='PV IN'!$O$22*12,AW349+AX348,NA())</f>
        <v>#N/A</v>
      </c>
      <c r="AZ349" s="10">
        <f t="shared" si="89"/>
        <v>-1375</v>
      </c>
      <c r="BA349" s="10">
        <f t="shared" si="90"/>
        <v>0</v>
      </c>
      <c r="BB349" s="10">
        <f t="shared" si="91"/>
        <v>-1375</v>
      </c>
      <c r="BC349" s="10">
        <f t="shared" si="92"/>
        <v>0</v>
      </c>
      <c r="BD349" s="10">
        <f t="shared" si="93"/>
        <v>-1375</v>
      </c>
      <c r="BE349" s="2">
        <f t="shared" si="94"/>
        <v>0</v>
      </c>
      <c r="BF349" s="10">
        <f t="shared" si="95"/>
        <v>-1375</v>
      </c>
      <c r="BG349" s="2">
        <f>-BF349*'PV IN'!$E$8</f>
        <v>288.75</v>
      </c>
      <c r="BH349" s="2">
        <f>IF('PV IN'!$F$4="Battery Only",0,BB349+BG349)</f>
        <v>-1086.25</v>
      </c>
      <c r="BI349" s="2">
        <f>BH349/(1+('PV IN'!$G$9))^(C349)</f>
        <v>-267.13908936388498</v>
      </c>
    </row>
    <row r="350" spans="2:61" x14ac:dyDescent="0.25">
      <c r="C350">
        <v>346</v>
      </c>
      <c r="D350" s="16">
        <f>D349*(1+('PV IN'!$G$6/12))</f>
        <v>7.5999999999999998E-2</v>
      </c>
      <c r="E350" s="16">
        <f>LkUP!$U$49</f>
        <v>7.9497788922557128E-2</v>
      </c>
      <c r="F350" s="16">
        <f>IF('PV IN'!$D$7="Table",E350,D350)</f>
        <v>7.9497788922557128E-2</v>
      </c>
      <c r="G350" s="33">
        <f>('PV IN'!$E$25*'PV IN'!$E$18/12)*(1-(1-'PV IN'!$E$27)/(25*12))^C349</f>
        <v>121157.08118542581</v>
      </c>
      <c r="H350" s="33">
        <f>IF('PV IN'!$D$19="YES",G350*'PV IN'!$E$21,0)</f>
        <v>0</v>
      </c>
      <c r="I350" s="33">
        <f>IF('PV IN'!$D$19="YES",'PV IN'!$E$22*BattCalcs!W350,0)</f>
        <v>0</v>
      </c>
      <c r="J350" s="33">
        <f>IF('PV IN'!$D$19="YES",'PV IN'!$E$23*BattCalcs!Y350,0)</f>
        <v>0</v>
      </c>
      <c r="K350" s="33">
        <f>BattCalcs!AF350</f>
        <v>25811.765833333331</v>
      </c>
      <c r="L350" s="33">
        <f t="shared" si="81"/>
        <v>25811.765833333331</v>
      </c>
      <c r="M350" s="33">
        <f>IF('PV IN'!$F$4="PV Only",G350,G350-SUM(H350:J350,L350))</f>
        <v>121157.08118542581</v>
      </c>
      <c r="N350" s="2">
        <f>IF(C350&lt;='PV IN'!$I$12*12,'PV IN'!$E$12*G350/1000,0)</f>
        <v>0</v>
      </c>
      <c r="O350" s="2">
        <f>IF(AND(C350&gt;'PV IN'!$I$12*12,C350&lt;='PV IN'!$I$13*12+'PV IN'!$I$12*12),'PV IN'!$E$13*PVCalcs!G350/1000,0)</f>
        <v>0</v>
      </c>
      <c r="P350" s="2">
        <f>IF(AND(C350&gt;'PV IN'!$I$12*12+'PV IN'!$I$13*12,C350&lt;='PV IN'!$I$12*12+'PV IN'!$I$13*12+'PV IN'!$I$14*12),'PV IN'!$E$14*PVCalcs!G350/1000,0)</f>
        <v>0</v>
      </c>
      <c r="R350" s="10">
        <f>IF(AND('PV IN'!$D$35="YES",$C350&lt;='PV IN'!$E$35*12),-'PV IN'!$E$18*'PV IN'!$E$34/12,0)</f>
        <v>0</v>
      </c>
      <c r="S350" s="10">
        <f>IF(AND('PV IN'!$D$37="YES",$C350&lt;='PV IN'!$E$37*12),-'PV IN'!$E$18*'PV IN'!$E$36/12,0)</f>
        <v>0</v>
      </c>
      <c r="U350" s="2">
        <f t="shared" si="96"/>
        <v>9631.7200665520977</v>
      </c>
      <c r="V350" s="10">
        <f>PVLoan!M377</f>
        <v>0</v>
      </c>
      <c r="W350" s="2">
        <f>IF(C350='PV IN'!$I$40,IF('PV IN'!$G$40="Non-Taxable",'PV IN'!$F$40,0),0)+IF(C350='PV IN'!$I$41,IF('PV IN'!$G$41="Non-Taxable",'PV IN'!$F$41,0),0)</f>
        <v>0</v>
      </c>
      <c r="X350" s="10"/>
      <c r="Y350" s="10">
        <f>IF('PV IN'!$E$15="Non-Taxable",SUM(N350:P350),0)</f>
        <v>0</v>
      </c>
      <c r="Z350" s="10">
        <f>IF('PV IN'!$E$15="Taxable",SUM(N350:P350),0)</f>
        <v>0</v>
      </c>
      <c r="AA350" s="2">
        <f>IF(C350='PV IN'!$I$40,IF('PV IN'!$G$40="Taxable",'PV IN'!$F$40,0),0)+IF(C350='PV IN'!$I$41,IF('PV IN'!$G$41="Taxable",'PV IN'!$F$41,0),0)</f>
        <v>0</v>
      </c>
      <c r="AD350" s="10">
        <f>IF('PV IN'!$D$48="YES",-U350*'PV IN'!$E$8,0)</f>
        <v>0</v>
      </c>
      <c r="AE350" s="10">
        <f>IF('PV IN'!$N$10="Yes",-PVLoan!H378,-PVLoan!L378)</f>
        <v>0</v>
      </c>
      <c r="AF350" s="10">
        <f>IF('PV IN'!$N$10="Yes",-PVLoan!F378,0)</f>
        <v>0</v>
      </c>
      <c r="AG350" s="10">
        <f>IF(AND('PV IN'!$D$35="YES",$C350&lt;='PV IN'!$E$35*12),0,-'PV IN'!$E$18*'PV IN'!$E$34/12)</f>
        <v>-750</v>
      </c>
      <c r="AH350" s="10">
        <f>IF(AND('PV IN'!$D$37="YES",$C350&lt;='PV IN'!$E$37*12),0,-'PV IN'!$E$18*'PV IN'!$E$36/12)</f>
        <v>-625</v>
      </c>
      <c r="AI350" s="2">
        <f>IF(AND('PV IN'!$D$33="YES",PVCalcs!C350=ROUNDUP('PV IN'!$H$33*12,)),-'PV IN'!$E$33*'PV IN'!$E$18,0)</f>
        <v>0</v>
      </c>
      <c r="AK350" s="2">
        <f t="shared" si="87"/>
        <v>9631.7200665520977</v>
      </c>
      <c r="AL350" s="2">
        <f t="shared" si="82"/>
        <v>-1375</v>
      </c>
      <c r="AM350" s="2">
        <f t="shared" si="83"/>
        <v>8256.7200665520977</v>
      </c>
      <c r="AN350" s="43"/>
      <c r="AO350" s="2">
        <f t="shared" si="88"/>
        <v>0</v>
      </c>
      <c r="AP350" s="2">
        <f t="shared" si="84"/>
        <v>-1375</v>
      </c>
      <c r="AR350" s="2">
        <f t="shared" si="85"/>
        <v>-1375</v>
      </c>
      <c r="AS350" s="2">
        <f>-AR350*'PV IN'!$E$8</f>
        <v>288.75</v>
      </c>
      <c r="AT350" s="2">
        <f>IF('PV IN'!$F$4="Battery Only",0,AM350+AS350)</f>
        <v>8545.4700665520977</v>
      </c>
      <c r="AV350" s="10">
        <f t="shared" si="86"/>
        <v>2345047.7098057992</v>
      </c>
      <c r="AW350" s="2">
        <f>AT350/(1+('PV IN'!$G$9))^(C350)</f>
        <v>2093.0414740838191</v>
      </c>
      <c r="AX350" s="2" t="e">
        <f>IF(C350&lt;='PV IN'!$O$22*12,AW350+AX349,NA())</f>
        <v>#N/A</v>
      </c>
      <c r="AZ350" s="10">
        <f t="shared" si="89"/>
        <v>-1375</v>
      </c>
      <c r="BA350" s="10">
        <f t="shared" si="90"/>
        <v>0</v>
      </c>
      <c r="BB350" s="10">
        <f t="shared" si="91"/>
        <v>-1375</v>
      </c>
      <c r="BC350" s="10">
        <f t="shared" si="92"/>
        <v>0</v>
      </c>
      <c r="BD350" s="10">
        <f t="shared" si="93"/>
        <v>-1375</v>
      </c>
      <c r="BE350" s="2">
        <f t="shared" si="94"/>
        <v>0</v>
      </c>
      <c r="BF350" s="10">
        <f t="shared" si="95"/>
        <v>-1375</v>
      </c>
      <c r="BG350" s="2">
        <f>-BF350*'PV IN'!$E$8</f>
        <v>288.75</v>
      </c>
      <c r="BH350" s="2">
        <f>IF('PV IN'!$F$4="Battery Only",0,BB350+BG350)</f>
        <v>-1086.25</v>
      </c>
      <c r="BI350" s="2">
        <f>BH350/(1+('PV IN'!$G$9))^(C350)</f>
        <v>-266.05514775863941</v>
      </c>
    </row>
    <row r="351" spans="2:61" x14ac:dyDescent="0.25">
      <c r="C351">
        <v>347</v>
      </c>
      <c r="D351" s="16">
        <f>D350*(1+('PV IN'!$G$6/12))</f>
        <v>7.5999999999999998E-2</v>
      </c>
      <c r="E351" s="16">
        <f>LkUP!$U$49</f>
        <v>7.9497788922557128E-2</v>
      </c>
      <c r="F351" s="16">
        <f>IF('PV IN'!$D$7="Table",E351,D351)</f>
        <v>7.9497788922557128E-2</v>
      </c>
      <c r="G351" s="33">
        <f>('PV IN'!$E$25*'PV IN'!$E$18/12)*(1-(1-'PV IN'!$E$27)/(25*12))^C350</f>
        <v>121076.30979796885</v>
      </c>
      <c r="H351" s="33">
        <f>IF('PV IN'!$D$19="YES",G351*'PV IN'!$E$21,0)</f>
        <v>0</v>
      </c>
      <c r="I351" s="33">
        <f>IF('PV IN'!$D$19="YES",'PV IN'!$E$22*BattCalcs!W351,0)</f>
        <v>0</v>
      </c>
      <c r="J351" s="33">
        <f>IF('PV IN'!$D$19="YES",'PV IN'!$E$23*BattCalcs!Y351,0)</f>
        <v>0</v>
      </c>
      <c r="K351" s="33">
        <f>BattCalcs!AF351</f>
        <v>25811.765833333331</v>
      </c>
      <c r="L351" s="33">
        <f t="shared" si="81"/>
        <v>25811.765833333331</v>
      </c>
      <c r="M351" s="33">
        <f>IF('PV IN'!$F$4="PV Only",G351,G351-SUM(H351:J351,L351))</f>
        <v>121076.30979796885</v>
      </c>
      <c r="N351" s="2">
        <f>IF(C351&lt;='PV IN'!$I$12*12,'PV IN'!$E$12*G351/1000,0)</f>
        <v>0</v>
      </c>
      <c r="O351" s="2">
        <f>IF(AND(C351&gt;'PV IN'!$I$12*12,C351&lt;='PV IN'!$I$13*12+'PV IN'!$I$12*12),'PV IN'!$E$13*PVCalcs!G351/1000,0)</f>
        <v>0</v>
      </c>
      <c r="P351" s="2">
        <f>IF(AND(C351&gt;'PV IN'!$I$12*12+'PV IN'!$I$13*12,C351&lt;='PV IN'!$I$12*12+'PV IN'!$I$13*12+'PV IN'!$I$14*12),'PV IN'!$E$14*PVCalcs!G351/1000,0)</f>
        <v>0</v>
      </c>
      <c r="R351" s="10">
        <f>IF(AND('PV IN'!$D$35="YES",$C351&lt;='PV IN'!$E$35*12),-'PV IN'!$E$18*'PV IN'!$E$34/12,0)</f>
        <v>0</v>
      </c>
      <c r="S351" s="10">
        <f>IF(AND('PV IN'!$D$37="YES",$C351&lt;='PV IN'!$E$37*12),-'PV IN'!$E$18*'PV IN'!$E$36/12,0)</f>
        <v>0</v>
      </c>
      <c r="U351" s="2">
        <f t="shared" si="96"/>
        <v>9625.2989198410633</v>
      </c>
      <c r="V351" s="10">
        <f>PVLoan!M378</f>
        <v>0</v>
      </c>
      <c r="W351" s="2">
        <f>IF(C351='PV IN'!$I$40,IF('PV IN'!$G$40="Non-Taxable",'PV IN'!$F$40,0),0)+IF(C351='PV IN'!$I$41,IF('PV IN'!$G$41="Non-Taxable",'PV IN'!$F$41,0),0)</f>
        <v>0</v>
      </c>
      <c r="X351" s="10"/>
      <c r="Y351" s="10">
        <f>IF('PV IN'!$E$15="Non-Taxable",SUM(N351:P351),0)</f>
        <v>0</v>
      </c>
      <c r="Z351" s="10">
        <f>IF('PV IN'!$E$15="Taxable",SUM(N351:P351),0)</f>
        <v>0</v>
      </c>
      <c r="AA351" s="2">
        <f>IF(C351='PV IN'!$I$40,IF('PV IN'!$G$40="Taxable",'PV IN'!$F$40,0),0)+IF(C351='PV IN'!$I$41,IF('PV IN'!$G$41="Taxable",'PV IN'!$F$41,0),0)</f>
        <v>0</v>
      </c>
      <c r="AD351" s="10">
        <f>IF('PV IN'!$D$48="YES",-U351*'PV IN'!$E$8,0)</f>
        <v>0</v>
      </c>
      <c r="AE351" s="10">
        <f>IF('PV IN'!$N$10="Yes",-PVLoan!H379,-PVLoan!L379)</f>
        <v>0</v>
      </c>
      <c r="AF351" s="10">
        <f>IF('PV IN'!$N$10="Yes",-PVLoan!F379,0)</f>
        <v>0</v>
      </c>
      <c r="AG351" s="10">
        <f>IF(AND('PV IN'!$D$35="YES",$C351&lt;='PV IN'!$E$35*12),0,-'PV IN'!$E$18*'PV IN'!$E$34/12)</f>
        <v>-750</v>
      </c>
      <c r="AH351" s="10">
        <f>IF(AND('PV IN'!$D$37="YES",$C351&lt;='PV IN'!$E$37*12),0,-'PV IN'!$E$18*'PV IN'!$E$36/12)</f>
        <v>-625</v>
      </c>
      <c r="AI351" s="2">
        <f>IF(AND('PV IN'!$D$33="YES",PVCalcs!C351=ROUNDUP('PV IN'!$H$33*12,)),-'PV IN'!$E$33*'PV IN'!$E$18,0)</f>
        <v>0</v>
      </c>
      <c r="AK351" s="2">
        <f t="shared" si="87"/>
        <v>9625.2989198410633</v>
      </c>
      <c r="AL351" s="2">
        <f t="shared" si="82"/>
        <v>-1375</v>
      </c>
      <c r="AM351" s="2">
        <f t="shared" si="83"/>
        <v>8250.2989198410633</v>
      </c>
      <c r="AN351" s="43"/>
      <c r="AO351" s="2">
        <f t="shared" si="88"/>
        <v>0</v>
      </c>
      <c r="AP351" s="2">
        <f t="shared" si="84"/>
        <v>-1375</v>
      </c>
      <c r="AR351" s="2">
        <f t="shared" si="85"/>
        <v>-1375</v>
      </c>
      <c r="AS351" s="2">
        <f>-AR351*'PV IN'!$E$8</f>
        <v>288.75</v>
      </c>
      <c r="AT351" s="2">
        <f>IF('PV IN'!$F$4="Battery Only",0,AM351+AS351)</f>
        <v>8539.0489198410633</v>
      </c>
      <c r="AV351" s="10">
        <f t="shared" si="86"/>
        <v>2353586.7587256404</v>
      </c>
      <c r="AW351" s="2">
        <f>AT351/(1+('PV IN'!$G$9))^(C351)</f>
        <v>2082.9824148055109</v>
      </c>
      <c r="AX351" s="2" t="e">
        <f>IF(C351&lt;='PV IN'!$O$22*12,AW351+AX350,NA())</f>
        <v>#N/A</v>
      </c>
      <c r="AZ351" s="10">
        <f t="shared" si="89"/>
        <v>-1375</v>
      </c>
      <c r="BA351" s="10">
        <f t="shared" si="90"/>
        <v>0</v>
      </c>
      <c r="BB351" s="10">
        <f t="shared" si="91"/>
        <v>-1375</v>
      </c>
      <c r="BC351" s="10">
        <f t="shared" si="92"/>
        <v>0</v>
      </c>
      <c r="BD351" s="10">
        <f t="shared" si="93"/>
        <v>-1375</v>
      </c>
      <c r="BE351" s="2">
        <f t="shared" si="94"/>
        <v>0</v>
      </c>
      <c r="BF351" s="10">
        <f t="shared" si="95"/>
        <v>-1375</v>
      </c>
      <c r="BG351" s="2">
        <f>-BF351*'PV IN'!$E$8</f>
        <v>288.75</v>
      </c>
      <c r="BH351" s="2">
        <f>IF('PV IN'!$F$4="Battery Only",0,BB351+BG351)</f>
        <v>-1086.25</v>
      </c>
      <c r="BI351" s="2">
        <f>BH351/(1+('PV IN'!$G$9))^(C351)</f>
        <v>-264.97560434688319</v>
      </c>
    </row>
    <row r="352" spans="2:61" x14ac:dyDescent="0.25">
      <c r="B352">
        <v>29</v>
      </c>
      <c r="C352">
        <v>348</v>
      </c>
      <c r="D352" s="16">
        <f>D351*(1+('PV IN'!$G$6/12))</f>
        <v>7.5999999999999998E-2</v>
      </c>
      <c r="E352" s="16">
        <f>LkUP!$U$49</f>
        <v>7.9497788922557128E-2</v>
      </c>
      <c r="F352" s="16">
        <f>IF('PV IN'!$D$7="Table",E352,D352)</f>
        <v>7.9497788922557128E-2</v>
      </c>
      <c r="G352" s="33">
        <f>('PV IN'!$E$25*'PV IN'!$E$18/12)*(1-(1-'PV IN'!$E$27)/(25*12))^C351</f>
        <v>120995.59225810351</v>
      </c>
      <c r="H352" s="33">
        <f>IF('PV IN'!$D$19="YES",G352*'PV IN'!$E$21,0)</f>
        <v>0</v>
      </c>
      <c r="I352" s="33">
        <f>IF('PV IN'!$D$19="YES",'PV IN'!$E$22*BattCalcs!W352,0)</f>
        <v>0</v>
      </c>
      <c r="J352" s="33">
        <f>IF('PV IN'!$D$19="YES",'PV IN'!$E$23*BattCalcs!Y352,0)</f>
        <v>0</v>
      </c>
      <c r="K352" s="33">
        <f>BattCalcs!AF352</f>
        <v>25811.765833333331</v>
      </c>
      <c r="L352" s="33">
        <f t="shared" si="81"/>
        <v>25811.765833333331</v>
      </c>
      <c r="M352" s="33">
        <f>IF('PV IN'!$F$4="PV Only",G352,G352-SUM(H352:J352,L352))</f>
        <v>120995.59225810351</v>
      </c>
      <c r="N352" s="2">
        <f>IF(C352&lt;='PV IN'!$I$12*12,'PV IN'!$E$12*G352/1000,0)</f>
        <v>0</v>
      </c>
      <c r="O352" s="2">
        <f>IF(AND(C352&gt;'PV IN'!$I$12*12,C352&lt;='PV IN'!$I$13*12+'PV IN'!$I$12*12),'PV IN'!$E$13*PVCalcs!G352/1000,0)</f>
        <v>0</v>
      </c>
      <c r="P352" s="2">
        <f>IF(AND(C352&gt;'PV IN'!$I$12*12+'PV IN'!$I$13*12,C352&lt;='PV IN'!$I$12*12+'PV IN'!$I$13*12+'PV IN'!$I$14*12),'PV IN'!$E$14*PVCalcs!G352/1000,0)</f>
        <v>0</v>
      </c>
      <c r="R352" s="10">
        <f>IF(AND('PV IN'!$D$35="YES",$C352&lt;='PV IN'!$E$35*12),-'PV IN'!$E$18*'PV IN'!$E$34/12,0)</f>
        <v>0</v>
      </c>
      <c r="S352" s="10">
        <f>IF(AND('PV IN'!$D$37="YES",$C352&lt;='PV IN'!$E$37*12),-'PV IN'!$E$18*'PV IN'!$E$36/12,0)</f>
        <v>0</v>
      </c>
      <c r="U352" s="2">
        <f t="shared" si="96"/>
        <v>9618.8820538945001</v>
      </c>
      <c r="V352" s="10">
        <f>PVLoan!M379</f>
        <v>0</v>
      </c>
      <c r="W352" s="2">
        <f>IF(C352='PV IN'!$I$40,IF('PV IN'!$G$40="Non-Taxable",'PV IN'!$F$40,0),0)+IF(C352='PV IN'!$I$41,IF('PV IN'!$G$41="Non-Taxable",'PV IN'!$F$41,0),0)</f>
        <v>0</v>
      </c>
      <c r="X352" s="10"/>
      <c r="Y352" s="10">
        <f>IF('PV IN'!$E$15="Non-Taxable",SUM(N352:P352),0)</f>
        <v>0</v>
      </c>
      <c r="Z352" s="10">
        <f>IF('PV IN'!$E$15="Taxable",SUM(N352:P352),0)</f>
        <v>0</v>
      </c>
      <c r="AA352" s="2">
        <f>IF(C352='PV IN'!$I$40,IF('PV IN'!$G$40="Taxable",'PV IN'!$F$40,0),0)+IF(C352='PV IN'!$I$41,IF('PV IN'!$G$41="Taxable",'PV IN'!$F$41,0),0)</f>
        <v>0</v>
      </c>
      <c r="AD352" s="10">
        <f>IF('PV IN'!$D$48="YES",-U352*'PV IN'!$E$8,0)</f>
        <v>0</v>
      </c>
      <c r="AE352" s="10">
        <f>IF('PV IN'!$N$10="Yes",-PVLoan!H380,-PVLoan!L380)</f>
        <v>0</v>
      </c>
      <c r="AF352" s="10">
        <f>IF('PV IN'!$N$10="Yes",-PVLoan!F380,0)</f>
        <v>0</v>
      </c>
      <c r="AG352" s="10">
        <f>IF(AND('PV IN'!$D$35="YES",$C352&lt;='PV IN'!$E$35*12),0,-'PV IN'!$E$18*'PV IN'!$E$34/12)</f>
        <v>-750</v>
      </c>
      <c r="AH352" s="10">
        <f>IF(AND('PV IN'!$D$37="YES",$C352&lt;='PV IN'!$E$37*12),0,-'PV IN'!$E$18*'PV IN'!$E$36/12)</f>
        <v>-625</v>
      </c>
      <c r="AI352" s="2">
        <f>IF(AND('PV IN'!$D$33="YES",PVCalcs!C352=ROUNDUP('PV IN'!$H$33*12,)),-'PV IN'!$E$33*'PV IN'!$E$18,0)</f>
        <v>0</v>
      </c>
      <c r="AK352" s="2">
        <f t="shared" si="87"/>
        <v>9618.8820538945001</v>
      </c>
      <c r="AL352" s="2">
        <f t="shared" si="82"/>
        <v>-1375</v>
      </c>
      <c r="AM352" s="2">
        <f t="shared" si="83"/>
        <v>8243.8820538945001</v>
      </c>
      <c r="AN352" s="43"/>
      <c r="AO352" s="2">
        <f t="shared" si="88"/>
        <v>0</v>
      </c>
      <c r="AP352" s="2">
        <f t="shared" si="84"/>
        <v>-1375</v>
      </c>
      <c r="AR352" s="2">
        <f t="shared" si="85"/>
        <v>-1375</v>
      </c>
      <c r="AS352" s="2">
        <f>-AR352*'PV IN'!$E$8</f>
        <v>288.75</v>
      </c>
      <c r="AT352" s="2">
        <f>IF('PV IN'!$F$4="Battery Only",0,AM352+AS352)</f>
        <v>8532.6320538945001</v>
      </c>
      <c r="AV352" s="10">
        <f t="shared" si="86"/>
        <v>2362119.3907795348</v>
      </c>
      <c r="AW352" s="2">
        <f>AT352/(1+('PV IN'!$G$9))^(C352)</f>
        <v>2072.9715666967022</v>
      </c>
      <c r="AX352" s="2" t="e">
        <f>IF(C352&lt;='PV IN'!$O$22*12,AW352+AX351,NA())</f>
        <v>#N/A</v>
      </c>
      <c r="AZ352" s="10">
        <f t="shared" si="89"/>
        <v>-1375</v>
      </c>
      <c r="BA352" s="10">
        <f t="shared" si="90"/>
        <v>0</v>
      </c>
      <c r="BB352" s="10">
        <f t="shared" si="91"/>
        <v>-1375</v>
      </c>
      <c r="BC352" s="10">
        <f t="shared" si="92"/>
        <v>0</v>
      </c>
      <c r="BD352" s="10">
        <f t="shared" si="93"/>
        <v>-1375</v>
      </c>
      <c r="BE352" s="2">
        <f t="shared" si="94"/>
        <v>0</v>
      </c>
      <c r="BF352" s="10">
        <f t="shared" si="95"/>
        <v>-1375</v>
      </c>
      <c r="BG352" s="2">
        <f>-BF352*'PV IN'!$E$8</f>
        <v>288.75</v>
      </c>
      <c r="BH352" s="2">
        <f>IF('PV IN'!$F$4="Battery Only",0,BB352+BG352)</f>
        <v>-1086.25</v>
      </c>
      <c r="BI352" s="2">
        <f>BH352/(1+('PV IN'!$G$9))^(C352)</f>
        <v>-263.90044128253868</v>
      </c>
    </row>
    <row r="353" spans="2:61" x14ac:dyDescent="0.25">
      <c r="C353">
        <v>349</v>
      </c>
      <c r="D353" s="16">
        <f>D352*(1+('PV IN'!$G$6/12))</f>
        <v>7.5999999999999998E-2</v>
      </c>
      <c r="E353" s="16">
        <f>LkUP!$U$50</f>
        <v>7.8896523189157505E-2</v>
      </c>
      <c r="F353" s="16">
        <f>IF('PV IN'!$D$7="Table",E353,D353)</f>
        <v>7.8896523189157505E-2</v>
      </c>
      <c r="G353" s="33">
        <f>('PV IN'!$E$25*'PV IN'!$E$18/12)*(1-(1-'PV IN'!$E$27)/(25*12))^C352</f>
        <v>120914.92852993147</v>
      </c>
      <c r="H353" s="33">
        <f>IF('PV IN'!$D$19="YES",G353*'PV IN'!$E$21,0)</f>
        <v>0</v>
      </c>
      <c r="I353" s="33">
        <f>IF('PV IN'!$D$19="YES",'PV IN'!$E$22*BattCalcs!W353,0)</f>
        <v>0</v>
      </c>
      <c r="J353" s="33">
        <f>IF('PV IN'!$D$19="YES",'PV IN'!$E$23*BattCalcs!Y353,0)</f>
        <v>0</v>
      </c>
      <c r="K353" s="33">
        <f>BattCalcs!AF353</f>
        <v>25811.765833333331</v>
      </c>
      <c r="L353" s="33">
        <f t="shared" si="81"/>
        <v>25811.765833333331</v>
      </c>
      <c r="M353" s="33">
        <f>IF('PV IN'!$F$4="PV Only",G353,G353-SUM(H353:J353,L353))</f>
        <v>120914.92852993147</v>
      </c>
      <c r="N353" s="2">
        <f>IF(C353&lt;='PV IN'!$I$12*12,'PV IN'!$E$12*G353/1000,0)</f>
        <v>0</v>
      </c>
      <c r="O353" s="2">
        <f>IF(AND(C353&gt;'PV IN'!$I$12*12,C353&lt;='PV IN'!$I$13*12+'PV IN'!$I$12*12),'PV IN'!$E$13*PVCalcs!G353/1000,0)</f>
        <v>0</v>
      </c>
      <c r="P353" s="2">
        <f>IF(AND(C353&gt;'PV IN'!$I$12*12+'PV IN'!$I$13*12,C353&lt;='PV IN'!$I$12*12+'PV IN'!$I$13*12+'PV IN'!$I$14*12),'PV IN'!$E$14*PVCalcs!G353/1000,0)</f>
        <v>0</v>
      </c>
      <c r="R353" s="10">
        <f>IF(AND('PV IN'!$D$35="YES",$C353&lt;='PV IN'!$E$35*12),-'PV IN'!$E$18*'PV IN'!$E$34/12,0)</f>
        <v>0</v>
      </c>
      <c r="S353" s="10">
        <f>IF(AND('PV IN'!$D$37="YES",$C353&lt;='PV IN'!$E$37*12),-'PV IN'!$E$18*'PV IN'!$E$36/12,0)</f>
        <v>0</v>
      </c>
      <c r="U353" s="2">
        <f t="shared" si="96"/>
        <v>9539.7674626770604</v>
      </c>
      <c r="V353" s="10">
        <f>PVLoan!M380</f>
        <v>0</v>
      </c>
      <c r="W353" s="2">
        <f>IF(C353='PV IN'!$I$40,IF('PV IN'!$G$40="Non-Taxable",'PV IN'!$F$40,0),0)+IF(C353='PV IN'!$I$41,IF('PV IN'!$G$41="Non-Taxable",'PV IN'!$F$41,0),0)</f>
        <v>0</v>
      </c>
      <c r="X353" s="10"/>
      <c r="Y353" s="10">
        <f>IF('PV IN'!$E$15="Non-Taxable",SUM(N353:P353),0)</f>
        <v>0</v>
      </c>
      <c r="Z353" s="10">
        <f>IF('PV IN'!$E$15="Taxable",SUM(N353:P353),0)</f>
        <v>0</v>
      </c>
      <c r="AA353" s="2">
        <f>IF(C353='PV IN'!$I$40,IF('PV IN'!$G$40="Taxable",'PV IN'!$F$40,0),0)+IF(C353='PV IN'!$I$41,IF('PV IN'!$G$41="Taxable",'PV IN'!$F$41,0),0)</f>
        <v>0</v>
      </c>
      <c r="AD353" s="10">
        <f>IF('PV IN'!$D$48="YES",-U353*'PV IN'!$E$8,0)</f>
        <v>0</v>
      </c>
      <c r="AE353" s="10">
        <f>IF('PV IN'!$N$10="Yes",-PVLoan!H381,-PVLoan!L381)</f>
        <v>0</v>
      </c>
      <c r="AF353" s="10">
        <f>IF('PV IN'!$N$10="Yes",-PVLoan!F381,0)</f>
        <v>0</v>
      </c>
      <c r="AG353" s="10">
        <f>IF(AND('PV IN'!$D$35="YES",$C353&lt;='PV IN'!$E$35*12),0,-'PV IN'!$E$18*'PV IN'!$E$34/12)</f>
        <v>-750</v>
      </c>
      <c r="AH353" s="10">
        <f>IF(AND('PV IN'!$D$37="YES",$C353&lt;='PV IN'!$E$37*12),0,-'PV IN'!$E$18*'PV IN'!$E$36/12)</f>
        <v>-625</v>
      </c>
      <c r="AI353" s="2">
        <f>IF(AND('PV IN'!$D$33="YES",PVCalcs!C353=ROUNDUP('PV IN'!$H$33*12,)),-'PV IN'!$E$33*'PV IN'!$E$18,0)</f>
        <v>0</v>
      </c>
      <c r="AK353" s="2">
        <f t="shared" si="87"/>
        <v>9539.7674626770604</v>
      </c>
      <c r="AL353" s="2">
        <f t="shared" si="82"/>
        <v>-1375</v>
      </c>
      <c r="AM353" s="2">
        <f t="shared" si="83"/>
        <v>8164.7674626770604</v>
      </c>
      <c r="AN353" s="43"/>
      <c r="AO353" s="2">
        <f t="shared" si="88"/>
        <v>0</v>
      </c>
      <c r="AP353" s="2">
        <f t="shared" si="84"/>
        <v>-1375</v>
      </c>
      <c r="AR353" s="2">
        <f t="shared" si="85"/>
        <v>-1375</v>
      </c>
      <c r="AS353" s="2">
        <f>-AR353*'PV IN'!$E$8</f>
        <v>288.75</v>
      </c>
      <c r="AT353" s="2">
        <f>IF('PV IN'!$F$4="Battery Only",0,AM353+AS353)</f>
        <v>8453.5174626770604</v>
      </c>
      <c r="AV353" s="10">
        <f t="shared" si="86"/>
        <v>2370572.9082422117</v>
      </c>
      <c r="AW353" s="2">
        <f>AT353/(1+('PV IN'!$G$9))^(C353)</f>
        <v>2045.4176829862447</v>
      </c>
      <c r="AX353" s="2" t="e">
        <f>IF(C353&lt;='PV IN'!$O$22*12,AW353+AX352,NA())</f>
        <v>#N/A</v>
      </c>
      <c r="AZ353" s="10">
        <f t="shared" si="89"/>
        <v>-1375</v>
      </c>
      <c r="BA353" s="10">
        <f t="shared" si="90"/>
        <v>0</v>
      </c>
      <c r="BB353" s="10">
        <f t="shared" si="91"/>
        <v>-1375</v>
      </c>
      <c r="BC353" s="10">
        <f t="shared" si="92"/>
        <v>0</v>
      </c>
      <c r="BD353" s="10">
        <f t="shared" si="93"/>
        <v>-1375</v>
      </c>
      <c r="BE353" s="2">
        <f t="shared" si="94"/>
        <v>0</v>
      </c>
      <c r="BF353" s="10">
        <f t="shared" si="95"/>
        <v>-1375</v>
      </c>
      <c r="BG353" s="2">
        <f>-BF353*'PV IN'!$E$8</f>
        <v>288.75</v>
      </c>
      <c r="BH353" s="2">
        <f>IF('PV IN'!$F$4="Battery Only",0,BB353+BG353)</f>
        <v>-1086.25</v>
      </c>
      <c r="BI353" s="2">
        <f>BH353/(1+('PV IN'!$G$9))^(C353)</f>
        <v>-262.82964079194051</v>
      </c>
    </row>
    <row r="354" spans="2:61" x14ac:dyDescent="0.25">
      <c r="C354">
        <v>350</v>
      </c>
      <c r="D354" s="16">
        <f>D353*(1+('PV IN'!$G$6/12))</f>
        <v>7.5999999999999998E-2</v>
      </c>
      <c r="E354" s="16">
        <f>LkUP!$U$50</f>
        <v>7.8896523189157505E-2</v>
      </c>
      <c r="F354" s="16">
        <f>IF('PV IN'!$D$7="Table",E354,D354)</f>
        <v>7.8896523189157505E-2</v>
      </c>
      <c r="G354" s="33">
        <f>('PV IN'!$E$25*'PV IN'!$E$18/12)*(1-(1-'PV IN'!$E$27)/(25*12))^C353</f>
        <v>120834.31857757816</v>
      </c>
      <c r="H354" s="33">
        <f>IF('PV IN'!$D$19="YES",G354*'PV IN'!$E$21,0)</f>
        <v>0</v>
      </c>
      <c r="I354" s="33">
        <f>IF('PV IN'!$D$19="YES",'PV IN'!$E$22*BattCalcs!W354,0)</f>
        <v>0</v>
      </c>
      <c r="J354" s="33">
        <f>IF('PV IN'!$D$19="YES",'PV IN'!$E$23*BattCalcs!Y354,0)</f>
        <v>0</v>
      </c>
      <c r="K354" s="33">
        <f>BattCalcs!AF354</f>
        <v>25811.765833333331</v>
      </c>
      <c r="L354" s="33">
        <f t="shared" si="81"/>
        <v>25811.765833333331</v>
      </c>
      <c r="M354" s="33">
        <f>IF('PV IN'!$F$4="PV Only",G354,G354-SUM(H354:J354,L354))</f>
        <v>120834.31857757816</v>
      </c>
      <c r="N354" s="2">
        <f>IF(C354&lt;='PV IN'!$I$12*12,'PV IN'!$E$12*G354/1000,0)</f>
        <v>0</v>
      </c>
      <c r="O354" s="2">
        <f>IF(AND(C354&gt;'PV IN'!$I$12*12,C354&lt;='PV IN'!$I$13*12+'PV IN'!$I$12*12),'PV IN'!$E$13*PVCalcs!G354/1000,0)</f>
        <v>0</v>
      </c>
      <c r="P354" s="2">
        <f>IF(AND(C354&gt;'PV IN'!$I$12*12+'PV IN'!$I$13*12,C354&lt;='PV IN'!$I$12*12+'PV IN'!$I$13*12+'PV IN'!$I$14*12),'PV IN'!$E$14*PVCalcs!G354/1000,0)</f>
        <v>0</v>
      </c>
      <c r="R354" s="10">
        <f>IF(AND('PV IN'!$D$35="YES",$C354&lt;='PV IN'!$E$35*12),-'PV IN'!$E$18*'PV IN'!$E$34/12,0)</f>
        <v>0</v>
      </c>
      <c r="S354" s="10">
        <f>IF(AND('PV IN'!$D$37="YES",$C354&lt;='PV IN'!$E$37*12),-'PV IN'!$E$18*'PV IN'!$E$36/12,0)</f>
        <v>0</v>
      </c>
      <c r="U354" s="2">
        <f t="shared" si="96"/>
        <v>9533.4076177019415</v>
      </c>
      <c r="V354" s="10">
        <f>PVLoan!M381</f>
        <v>0</v>
      </c>
      <c r="W354" s="2">
        <f>IF(C354='PV IN'!$I$40,IF('PV IN'!$G$40="Non-Taxable",'PV IN'!$F$40,0),0)+IF(C354='PV IN'!$I$41,IF('PV IN'!$G$41="Non-Taxable",'PV IN'!$F$41,0),0)</f>
        <v>0</v>
      </c>
      <c r="X354" s="10"/>
      <c r="Y354" s="10">
        <f>IF('PV IN'!$E$15="Non-Taxable",SUM(N354:P354),0)</f>
        <v>0</v>
      </c>
      <c r="Z354" s="10">
        <f>IF('PV IN'!$E$15="Taxable",SUM(N354:P354),0)</f>
        <v>0</v>
      </c>
      <c r="AA354" s="2">
        <f>IF(C354='PV IN'!$I$40,IF('PV IN'!$G$40="Taxable",'PV IN'!$F$40,0),0)+IF(C354='PV IN'!$I$41,IF('PV IN'!$G$41="Taxable",'PV IN'!$F$41,0),0)</f>
        <v>0</v>
      </c>
      <c r="AD354" s="10">
        <f>IF('PV IN'!$D$48="YES",-U354*'PV IN'!$E$8,0)</f>
        <v>0</v>
      </c>
      <c r="AE354" s="10">
        <f>IF('PV IN'!$N$10="Yes",-PVLoan!H382,-PVLoan!L382)</f>
        <v>0</v>
      </c>
      <c r="AF354" s="10">
        <f>IF('PV IN'!$N$10="Yes",-PVLoan!F382,0)</f>
        <v>0</v>
      </c>
      <c r="AG354" s="10">
        <f>IF(AND('PV IN'!$D$35="YES",$C354&lt;='PV IN'!$E$35*12),0,-'PV IN'!$E$18*'PV IN'!$E$34/12)</f>
        <v>-750</v>
      </c>
      <c r="AH354" s="10">
        <f>IF(AND('PV IN'!$D$37="YES",$C354&lt;='PV IN'!$E$37*12),0,-'PV IN'!$E$18*'PV IN'!$E$36/12)</f>
        <v>-625</v>
      </c>
      <c r="AI354" s="2">
        <f>IF(AND('PV IN'!$D$33="YES",PVCalcs!C354=ROUNDUP('PV IN'!$H$33*12,)),-'PV IN'!$E$33*'PV IN'!$E$18,0)</f>
        <v>0</v>
      </c>
      <c r="AK354" s="2">
        <f t="shared" si="87"/>
        <v>9533.4076177019415</v>
      </c>
      <c r="AL354" s="2">
        <f t="shared" si="82"/>
        <v>-1375</v>
      </c>
      <c r="AM354" s="2">
        <f t="shared" si="83"/>
        <v>8158.4076177019415</v>
      </c>
      <c r="AN354" s="43"/>
      <c r="AO354" s="2">
        <f t="shared" si="88"/>
        <v>0</v>
      </c>
      <c r="AP354" s="2">
        <f t="shared" si="84"/>
        <v>-1375</v>
      </c>
      <c r="AR354" s="2">
        <f t="shared" si="85"/>
        <v>-1375</v>
      </c>
      <c r="AS354" s="2">
        <f>-AR354*'PV IN'!$E$8</f>
        <v>288.75</v>
      </c>
      <c r="AT354" s="2">
        <f>IF('PV IN'!$F$4="Battery Only",0,AM354+AS354)</f>
        <v>8447.1576177019415</v>
      </c>
      <c r="AV354" s="10">
        <f t="shared" si="86"/>
        <v>2379020.0658599138</v>
      </c>
      <c r="AW354" s="2">
        <f>AT354/(1+('PV IN'!$G$9))^(C354)</f>
        <v>2035.5856236341581</v>
      </c>
      <c r="AX354" s="2" t="e">
        <f>IF(C354&lt;='PV IN'!$O$22*12,AW354+AX353,NA())</f>
        <v>#N/A</v>
      </c>
      <c r="AZ354" s="10">
        <f t="shared" si="89"/>
        <v>-1375</v>
      </c>
      <c r="BA354" s="10">
        <f t="shared" si="90"/>
        <v>0</v>
      </c>
      <c r="BB354" s="10">
        <f t="shared" si="91"/>
        <v>-1375</v>
      </c>
      <c r="BC354" s="10">
        <f t="shared" si="92"/>
        <v>0</v>
      </c>
      <c r="BD354" s="10">
        <f t="shared" si="93"/>
        <v>-1375</v>
      </c>
      <c r="BE354" s="2">
        <f t="shared" si="94"/>
        <v>0</v>
      </c>
      <c r="BF354" s="10">
        <f t="shared" si="95"/>
        <v>-1375</v>
      </c>
      <c r="BG354" s="2">
        <f>-BF354*'PV IN'!$E$8</f>
        <v>288.75</v>
      </c>
      <c r="BH354" s="2">
        <f>IF('PV IN'!$F$4="Battery Only",0,BB354+BG354)</f>
        <v>-1086.25</v>
      </c>
      <c r="BI354" s="2">
        <f>BH354/(1+('PV IN'!$G$9))^(C354)</f>
        <v>-261.76318517354144</v>
      </c>
    </row>
    <row r="355" spans="2:61" x14ac:dyDescent="0.25">
      <c r="C355">
        <v>351</v>
      </c>
      <c r="D355" s="16">
        <f>D354*(1+('PV IN'!$G$6/12))</f>
        <v>7.5999999999999998E-2</v>
      </c>
      <c r="E355" s="16">
        <f>LkUP!$U$50</f>
        <v>7.8896523189157505E-2</v>
      </c>
      <c r="F355" s="16">
        <f>IF('PV IN'!$D$7="Table",E355,D355)</f>
        <v>7.8896523189157505E-2</v>
      </c>
      <c r="G355" s="33">
        <f>('PV IN'!$E$25*'PV IN'!$E$18/12)*(1-(1-'PV IN'!$E$27)/(25*12))^C354</f>
        <v>120753.76236519309</v>
      </c>
      <c r="H355" s="33">
        <f>IF('PV IN'!$D$19="YES",G355*'PV IN'!$E$21,0)</f>
        <v>0</v>
      </c>
      <c r="I355" s="33">
        <f>IF('PV IN'!$D$19="YES",'PV IN'!$E$22*BattCalcs!W355,0)</f>
        <v>0</v>
      </c>
      <c r="J355" s="33">
        <f>IF('PV IN'!$D$19="YES",'PV IN'!$E$23*BattCalcs!Y355,0)</f>
        <v>0</v>
      </c>
      <c r="K355" s="33">
        <f>BattCalcs!AF355</f>
        <v>25811.765833333331</v>
      </c>
      <c r="L355" s="33">
        <f t="shared" si="81"/>
        <v>25811.765833333331</v>
      </c>
      <c r="M355" s="33">
        <f>IF('PV IN'!$F$4="PV Only",G355,G355-SUM(H355:J355,L355))</f>
        <v>120753.76236519309</v>
      </c>
      <c r="N355" s="2">
        <f>IF(C355&lt;='PV IN'!$I$12*12,'PV IN'!$E$12*G355/1000,0)</f>
        <v>0</v>
      </c>
      <c r="O355" s="2">
        <f>IF(AND(C355&gt;'PV IN'!$I$12*12,C355&lt;='PV IN'!$I$13*12+'PV IN'!$I$12*12),'PV IN'!$E$13*PVCalcs!G355/1000,0)</f>
        <v>0</v>
      </c>
      <c r="P355" s="2">
        <f>IF(AND(C355&gt;'PV IN'!$I$12*12+'PV IN'!$I$13*12,C355&lt;='PV IN'!$I$12*12+'PV IN'!$I$13*12+'PV IN'!$I$14*12),'PV IN'!$E$14*PVCalcs!G355/1000,0)</f>
        <v>0</v>
      </c>
      <c r="R355" s="10">
        <f>IF(AND('PV IN'!$D$35="YES",$C355&lt;='PV IN'!$E$35*12),-'PV IN'!$E$18*'PV IN'!$E$34/12,0)</f>
        <v>0</v>
      </c>
      <c r="S355" s="10">
        <f>IF(AND('PV IN'!$D$37="YES",$C355&lt;='PV IN'!$E$37*12),-'PV IN'!$E$18*'PV IN'!$E$36/12,0)</f>
        <v>0</v>
      </c>
      <c r="U355" s="2">
        <f t="shared" si="96"/>
        <v>9527.0520126234715</v>
      </c>
      <c r="V355" s="10">
        <f>PVLoan!M382</f>
        <v>0</v>
      </c>
      <c r="W355" s="2">
        <f>IF(C355='PV IN'!$I$40,IF('PV IN'!$G$40="Non-Taxable",'PV IN'!$F$40,0),0)+IF(C355='PV IN'!$I$41,IF('PV IN'!$G$41="Non-Taxable",'PV IN'!$F$41,0),0)</f>
        <v>0</v>
      </c>
      <c r="X355" s="10"/>
      <c r="Y355" s="10">
        <f>IF('PV IN'!$E$15="Non-Taxable",SUM(N355:P355),0)</f>
        <v>0</v>
      </c>
      <c r="Z355" s="10">
        <f>IF('PV IN'!$E$15="Taxable",SUM(N355:P355),0)</f>
        <v>0</v>
      </c>
      <c r="AA355" s="2">
        <f>IF(C355='PV IN'!$I$40,IF('PV IN'!$G$40="Taxable",'PV IN'!$F$40,0),0)+IF(C355='PV IN'!$I$41,IF('PV IN'!$G$41="Taxable",'PV IN'!$F$41,0),0)</f>
        <v>0</v>
      </c>
      <c r="AD355" s="10">
        <f>IF('PV IN'!$D$48="YES",-U355*'PV IN'!$E$8,0)</f>
        <v>0</v>
      </c>
      <c r="AE355" s="10">
        <f>IF('PV IN'!$N$10="Yes",-PVLoan!H383,-PVLoan!L383)</f>
        <v>0</v>
      </c>
      <c r="AF355" s="10">
        <f>IF('PV IN'!$N$10="Yes",-PVLoan!F383,0)</f>
        <v>0</v>
      </c>
      <c r="AG355" s="10">
        <f>IF(AND('PV IN'!$D$35="YES",$C355&lt;='PV IN'!$E$35*12),0,-'PV IN'!$E$18*'PV IN'!$E$34/12)</f>
        <v>-750</v>
      </c>
      <c r="AH355" s="10">
        <f>IF(AND('PV IN'!$D$37="YES",$C355&lt;='PV IN'!$E$37*12),0,-'PV IN'!$E$18*'PV IN'!$E$36/12)</f>
        <v>-625</v>
      </c>
      <c r="AI355" s="2">
        <f>IF(AND('PV IN'!$D$33="YES",PVCalcs!C355=ROUNDUP('PV IN'!$H$33*12,)),-'PV IN'!$E$33*'PV IN'!$E$18,0)</f>
        <v>0</v>
      </c>
      <c r="AK355" s="2">
        <f t="shared" si="87"/>
        <v>9527.0520126234715</v>
      </c>
      <c r="AL355" s="2">
        <f t="shared" si="82"/>
        <v>-1375</v>
      </c>
      <c r="AM355" s="2">
        <f t="shared" si="83"/>
        <v>8152.0520126234715</v>
      </c>
      <c r="AN355" s="43"/>
      <c r="AO355" s="2">
        <f t="shared" si="88"/>
        <v>0</v>
      </c>
      <c r="AP355" s="2">
        <f t="shared" si="84"/>
        <v>-1375</v>
      </c>
      <c r="AR355" s="2">
        <f t="shared" si="85"/>
        <v>-1375</v>
      </c>
      <c r="AS355" s="2">
        <f>-AR355*'PV IN'!$E$8</f>
        <v>288.75</v>
      </c>
      <c r="AT355" s="2">
        <f>IF('PV IN'!$F$4="Battery Only",0,AM355+AS355)</f>
        <v>8440.8020126234715</v>
      </c>
      <c r="AV355" s="10">
        <f t="shared" si="86"/>
        <v>2387460.8678725371</v>
      </c>
      <c r="AW355" s="2">
        <f>AT355/(1+('PV IN'!$G$9))^(C355)</f>
        <v>2025.8006949693131</v>
      </c>
      <c r="AX355" s="2" t="e">
        <f>IF(C355&lt;='PV IN'!$O$22*12,AW355+AX354,NA())</f>
        <v>#N/A</v>
      </c>
      <c r="AZ355" s="10">
        <f t="shared" si="89"/>
        <v>-1375</v>
      </c>
      <c r="BA355" s="10">
        <f t="shared" si="90"/>
        <v>0</v>
      </c>
      <c r="BB355" s="10">
        <f t="shared" si="91"/>
        <v>-1375</v>
      </c>
      <c r="BC355" s="10">
        <f t="shared" si="92"/>
        <v>0</v>
      </c>
      <c r="BD355" s="10">
        <f t="shared" si="93"/>
        <v>-1375</v>
      </c>
      <c r="BE355" s="2">
        <f t="shared" si="94"/>
        <v>0</v>
      </c>
      <c r="BF355" s="10">
        <f t="shared" si="95"/>
        <v>-1375</v>
      </c>
      <c r="BG355" s="2">
        <f>-BF355*'PV IN'!$E$8</f>
        <v>288.75</v>
      </c>
      <c r="BH355" s="2">
        <f>IF('PV IN'!$F$4="Battery Only",0,BB355+BG355)</f>
        <v>-1086.25</v>
      </c>
      <c r="BI355" s="2">
        <f>BH355/(1+('PV IN'!$G$9))^(C355)</f>
        <v>-260.70105679761997</v>
      </c>
    </row>
    <row r="356" spans="2:61" x14ac:dyDescent="0.25">
      <c r="C356">
        <v>352</v>
      </c>
      <c r="D356" s="16">
        <f>D355*(1+('PV IN'!$G$6/12))</f>
        <v>7.5999999999999998E-2</v>
      </c>
      <c r="E356" s="16">
        <f>LkUP!$U$50</f>
        <v>7.8896523189157505E-2</v>
      </c>
      <c r="F356" s="16">
        <f>IF('PV IN'!$D$7="Table",E356,D356)</f>
        <v>7.8896523189157505E-2</v>
      </c>
      <c r="G356" s="33">
        <f>('PV IN'!$E$25*'PV IN'!$E$18/12)*(1-(1-'PV IN'!$E$27)/(25*12))^C355</f>
        <v>120673.25985694965</v>
      </c>
      <c r="H356" s="33">
        <f>IF('PV IN'!$D$19="YES",G356*'PV IN'!$E$21,0)</f>
        <v>0</v>
      </c>
      <c r="I356" s="33">
        <f>IF('PV IN'!$D$19="YES",'PV IN'!$E$22*BattCalcs!W356,0)</f>
        <v>0</v>
      </c>
      <c r="J356" s="33">
        <f>IF('PV IN'!$D$19="YES",'PV IN'!$E$23*BattCalcs!Y356,0)</f>
        <v>0</v>
      </c>
      <c r="K356" s="33">
        <f>BattCalcs!AF356</f>
        <v>25811.765833333331</v>
      </c>
      <c r="L356" s="33">
        <f t="shared" si="81"/>
        <v>25811.765833333331</v>
      </c>
      <c r="M356" s="33">
        <f>IF('PV IN'!$F$4="PV Only",G356,G356-SUM(H356:J356,L356))</f>
        <v>120673.25985694965</v>
      </c>
      <c r="N356" s="2">
        <f>IF(C356&lt;='PV IN'!$I$12*12,'PV IN'!$E$12*G356/1000,0)</f>
        <v>0</v>
      </c>
      <c r="O356" s="2">
        <f>IF(AND(C356&gt;'PV IN'!$I$12*12,C356&lt;='PV IN'!$I$13*12+'PV IN'!$I$12*12),'PV IN'!$E$13*PVCalcs!G356/1000,0)</f>
        <v>0</v>
      </c>
      <c r="P356" s="2">
        <f>IF(AND(C356&gt;'PV IN'!$I$12*12+'PV IN'!$I$13*12,C356&lt;='PV IN'!$I$12*12+'PV IN'!$I$13*12+'PV IN'!$I$14*12),'PV IN'!$E$14*PVCalcs!G356/1000,0)</f>
        <v>0</v>
      </c>
      <c r="R356" s="10">
        <f>IF(AND('PV IN'!$D$35="YES",$C356&lt;='PV IN'!$E$35*12),-'PV IN'!$E$18*'PV IN'!$E$34/12,0)</f>
        <v>0</v>
      </c>
      <c r="S356" s="10">
        <f>IF(AND('PV IN'!$D$37="YES",$C356&lt;='PV IN'!$E$37*12),-'PV IN'!$E$18*'PV IN'!$E$36/12,0)</f>
        <v>0</v>
      </c>
      <c r="U356" s="2">
        <f t="shared" si="96"/>
        <v>9520.7006446150572</v>
      </c>
      <c r="V356" s="10">
        <f>PVLoan!M383</f>
        <v>0</v>
      </c>
      <c r="W356" s="2">
        <f>IF(C356='PV IN'!$I$40,IF('PV IN'!$G$40="Non-Taxable",'PV IN'!$F$40,0),0)+IF(C356='PV IN'!$I$41,IF('PV IN'!$G$41="Non-Taxable",'PV IN'!$F$41,0),0)</f>
        <v>0</v>
      </c>
      <c r="X356" s="10"/>
      <c r="Y356" s="10">
        <f>IF('PV IN'!$E$15="Non-Taxable",SUM(N356:P356),0)</f>
        <v>0</v>
      </c>
      <c r="Z356" s="10">
        <f>IF('PV IN'!$E$15="Taxable",SUM(N356:P356),0)</f>
        <v>0</v>
      </c>
      <c r="AA356" s="2">
        <f>IF(C356='PV IN'!$I$40,IF('PV IN'!$G$40="Taxable",'PV IN'!$F$40,0),0)+IF(C356='PV IN'!$I$41,IF('PV IN'!$G$41="Taxable",'PV IN'!$F$41,0),0)</f>
        <v>0</v>
      </c>
      <c r="AD356" s="10">
        <f>IF('PV IN'!$D$48="YES",-U356*'PV IN'!$E$8,0)</f>
        <v>0</v>
      </c>
      <c r="AE356" s="10">
        <f>IF('PV IN'!$N$10="Yes",-PVLoan!H384,-PVLoan!L384)</f>
        <v>0</v>
      </c>
      <c r="AF356" s="10">
        <f>IF('PV IN'!$N$10="Yes",-PVLoan!F384,0)</f>
        <v>0</v>
      </c>
      <c r="AG356" s="10">
        <f>IF(AND('PV IN'!$D$35="YES",$C356&lt;='PV IN'!$E$35*12),0,-'PV IN'!$E$18*'PV IN'!$E$34/12)</f>
        <v>-750</v>
      </c>
      <c r="AH356" s="10">
        <f>IF(AND('PV IN'!$D$37="YES",$C356&lt;='PV IN'!$E$37*12),0,-'PV IN'!$E$18*'PV IN'!$E$36/12)</f>
        <v>-625</v>
      </c>
      <c r="AI356" s="2">
        <f>IF(AND('PV IN'!$D$33="YES",PVCalcs!C356=ROUNDUP('PV IN'!$H$33*12,)),-'PV IN'!$E$33*'PV IN'!$E$18,0)</f>
        <v>0</v>
      </c>
      <c r="AK356" s="2">
        <f t="shared" si="87"/>
        <v>9520.7006446150572</v>
      </c>
      <c r="AL356" s="2">
        <f t="shared" si="82"/>
        <v>-1375</v>
      </c>
      <c r="AM356" s="2">
        <f t="shared" si="83"/>
        <v>8145.7006446150572</v>
      </c>
      <c r="AN356" s="43"/>
      <c r="AO356" s="2">
        <f t="shared" si="88"/>
        <v>0</v>
      </c>
      <c r="AP356" s="2">
        <f t="shared" si="84"/>
        <v>-1375</v>
      </c>
      <c r="AR356" s="2">
        <f t="shared" si="85"/>
        <v>-1375</v>
      </c>
      <c r="AS356" s="2">
        <f>-AR356*'PV IN'!$E$8</f>
        <v>288.75</v>
      </c>
      <c r="AT356" s="2">
        <f>IF('PV IN'!$F$4="Battery Only",0,AM356+AS356)</f>
        <v>8434.4506446150572</v>
      </c>
      <c r="AV356" s="10">
        <f t="shared" si="86"/>
        <v>2395895.3185171522</v>
      </c>
      <c r="AW356" s="2">
        <f>AT356/(1+('PV IN'!$G$9))^(C356)</f>
        <v>2016.0626715884914</v>
      </c>
      <c r="AX356" s="2" t="e">
        <f>IF(C356&lt;='PV IN'!$O$22*12,AW356+AX355,NA())</f>
        <v>#N/A</v>
      </c>
      <c r="AZ356" s="10">
        <f t="shared" si="89"/>
        <v>-1375</v>
      </c>
      <c r="BA356" s="10">
        <f t="shared" si="90"/>
        <v>0</v>
      </c>
      <c r="BB356" s="10">
        <f t="shared" si="91"/>
        <v>-1375</v>
      </c>
      <c r="BC356" s="10">
        <f t="shared" si="92"/>
        <v>0</v>
      </c>
      <c r="BD356" s="10">
        <f t="shared" si="93"/>
        <v>-1375</v>
      </c>
      <c r="BE356" s="2">
        <f t="shared" si="94"/>
        <v>0</v>
      </c>
      <c r="BF356" s="10">
        <f t="shared" si="95"/>
        <v>-1375</v>
      </c>
      <c r="BG356" s="2">
        <f>-BF356*'PV IN'!$E$8</f>
        <v>288.75</v>
      </c>
      <c r="BH356" s="2">
        <f>IF('PV IN'!$F$4="Battery Only",0,BB356+BG356)</f>
        <v>-1086.25</v>
      </c>
      <c r="BI356" s="2">
        <f>BH356/(1+('PV IN'!$G$9))^(C356)</f>
        <v>-259.64323810598887</v>
      </c>
    </row>
    <row r="357" spans="2:61" x14ac:dyDescent="0.25">
      <c r="C357">
        <v>353</v>
      </c>
      <c r="D357" s="16">
        <f>D356*(1+('PV IN'!$G$6/12))</f>
        <v>7.5999999999999998E-2</v>
      </c>
      <c r="E357" s="16">
        <f>LkUP!$U$50</f>
        <v>7.8896523189157505E-2</v>
      </c>
      <c r="F357" s="16">
        <f>IF('PV IN'!$D$7="Table",E357,D357)</f>
        <v>7.8896523189157505E-2</v>
      </c>
      <c r="G357" s="33">
        <f>('PV IN'!$E$25*'PV IN'!$E$18/12)*(1-(1-'PV IN'!$E$27)/(25*12))^C356</f>
        <v>120592.81101704499</v>
      </c>
      <c r="H357" s="33">
        <f>IF('PV IN'!$D$19="YES",G357*'PV IN'!$E$21,0)</f>
        <v>0</v>
      </c>
      <c r="I357" s="33">
        <f>IF('PV IN'!$D$19="YES",'PV IN'!$E$22*BattCalcs!W357,0)</f>
        <v>0</v>
      </c>
      <c r="J357" s="33">
        <f>IF('PV IN'!$D$19="YES",'PV IN'!$E$23*BattCalcs!Y357,0)</f>
        <v>0</v>
      </c>
      <c r="K357" s="33">
        <f>BattCalcs!AF357</f>
        <v>25811.765833333331</v>
      </c>
      <c r="L357" s="33">
        <f t="shared" si="81"/>
        <v>25811.765833333331</v>
      </c>
      <c r="M357" s="33">
        <f>IF('PV IN'!$F$4="PV Only",G357,G357-SUM(H357:J357,L357))</f>
        <v>120592.81101704499</v>
      </c>
      <c r="N357" s="2">
        <f>IF(C357&lt;='PV IN'!$I$12*12,'PV IN'!$E$12*G357/1000,0)</f>
        <v>0</v>
      </c>
      <c r="O357" s="2">
        <f>IF(AND(C357&gt;'PV IN'!$I$12*12,C357&lt;='PV IN'!$I$13*12+'PV IN'!$I$12*12),'PV IN'!$E$13*PVCalcs!G357/1000,0)</f>
        <v>0</v>
      </c>
      <c r="P357" s="2">
        <f>IF(AND(C357&gt;'PV IN'!$I$12*12+'PV IN'!$I$13*12,C357&lt;='PV IN'!$I$12*12+'PV IN'!$I$13*12+'PV IN'!$I$14*12),'PV IN'!$E$14*PVCalcs!G357/1000,0)</f>
        <v>0</v>
      </c>
      <c r="R357" s="10">
        <f>IF(AND('PV IN'!$D$35="YES",$C357&lt;='PV IN'!$E$35*12),-'PV IN'!$E$18*'PV IN'!$E$34/12,0)</f>
        <v>0</v>
      </c>
      <c r="S357" s="10">
        <f>IF(AND('PV IN'!$D$37="YES",$C357&lt;='PV IN'!$E$37*12),-'PV IN'!$E$18*'PV IN'!$E$36/12,0)</f>
        <v>0</v>
      </c>
      <c r="U357" s="2">
        <f t="shared" si="96"/>
        <v>9514.3535108519791</v>
      </c>
      <c r="V357" s="10">
        <f>PVLoan!M384</f>
        <v>0</v>
      </c>
      <c r="W357" s="2">
        <f>IF(C357='PV IN'!$I$40,IF('PV IN'!$G$40="Non-Taxable",'PV IN'!$F$40,0),0)+IF(C357='PV IN'!$I$41,IF('PV IN'!$G$41="Non-Taxable",'PV IN'!$F$41,0),0)</f>
        <v>0</v>
      </c>
      <c r="X357" s="10"/>
      <c r="Y357" s="10">
        <f>IF('PV IN'!$E$15="Non-Taxable",SUM(N357:P357),0)</f>
        <v>0</v>
      </c>
      <c r="Z357" s="10">
        <f>IF('PV IN'!$E$15="Taxable",SUM(N357:P357),0)</f>
        <v>0</v>
      </c>
      <c r="AA357" s="2">
        <f>IF(C357='PV IN'!$I$40,IF('PV IN'!$G$40="Taxable",'PV IN'!$F$40,0),0)+IF(C357='PV IN'!$I$41,IF('PV IN'!$G$41="Taxable",'PV IN'!$F$41,0),0)</f>
        <v>0</v>
      </c>
      <c r="AD357" s="10">
        <f>IF('PV IN'!$D$48="YES",-U357*'PV IN'!$E$8,0)</f>
        <v>0</v>
      </c>
      <c r="AE357" s="10">
        <f>IF('PV IN'!$N$10="Yes",-PVLoan!H385,-PVLoan!L385)</f>
        <v>0</v>
      </c>
      <c r="AF357" s="10">
        <f>IF('PV IN'!$N$10="Yes",-PVLoan!F385,0)</f>
        <v>0</v>
      </c>
      <c r="AG357" s="10">
        <f>IF(AND('PV IN'!$D$35="YES",$C357&lt;='PV IN'!$E$35*12),0,-'PV IN'!$E$18*'PV IN'!$E$34/12)</f>
        <v>-750</v>
      </c>
      <c r="AH357" s="10">
        <f>IF(AND('PV IN'!$D$37="YES",$C357&lt;='PV IN'!$E$37*12),0,-'PV IN'!$E$18*'PV IN'!$E$36/12)</f>
        <v>-625</v>
      </c>
      <c r="AI357" s="2">
        <f>IF(AND('PV IN'!$D$33="YES",PVCalcs!C357=ROUNDUP('PV IN'!$H$33*12,)),-'PV IN'!$E$33*'PV IN'!$E$18,0)</f>
        <v>0</v>
      </c>
      <c r="AK357" s="2">
        <f t="shared" si="87"/>
        <v>9514.3535108519791</v>
      </c>
      <c r="AL357" s="2">
        <f t="shared" si="82"/>
        <v>-1375</v>
      </c>
      <c r="AM357" s="2">
        <f t="shared" si="83"/>
        <v>8139.3535108519791</v>
      </c>
      <c r="AN357" s="43"/>
      <c r="AO357" s="2">
        <f t="shared" si="88"/>
        <v>0</v>
      </c>
      <c r="AP357" s="2">
        <f t="shared" si="84"/>
        <v>-1375</v>
      </c>
      <c r="AR357" s="2">
        <f t="shared" si="85"/>
        <v>-1375</v>
      </c>
      <c r="AS357" s="2">
        <f>-AR357*'PV IN'!$E$8</f>
        <v>288.75</v>
      </c>
      <c r="AT357" s="2">
        <f>IF('PV IN'!$F$4="Battery Only",0,AM357+AS357)</f>
        <v>8428.1035108519791</v>
      </c>
      <c r="AV357" s="10">
        <f t="shared" si="86"/>
        <v>2404323.4220280042</v>
      </c>
      <c r="AW357" s="2">
        <f>AT357/(1+('PV IN'!$G$9))^(C357)</f>
        <v>2006.3713291643826</v>
      </c>
      <c r="AX357" s="2" t="e">
        <f>IF(C357&lt;='PV IN'!$O$22*12,AW357+AX356,NA())</f>
        <v>#N/A</v>
      </c>
      <c r="AZ357" s="10">
        <f t="shared" si="89"/>
        <v>-1375</v>
      </c>
      <c r="BA357" s="10">
        <f t="shared" si="90"/>
        <v>0</v>
      </c>
      <c r="BB357" s="10">
        <f t="shared" si="91"/>
        <v>-1375</v>
      </c>
      <c r="BC357" s="10">
        <f t="shared" si="92"/>
        <v>0</v>
      </c>
      <c r="BD357" s="10">
        <f t="shared" si="93"/>
        <v>-1375</v>
      </c>
      <c r="BE357" s="2">
        <f t="shared" si="94"/>
        <v>0</v>
      </c>
      <c r="BF357" s="10">
        <f t="shared" si="95"/>
        <v>-1375</v>
      </c>
      <c r="BG357" s="2">
        <f>-BF357*'PV IN'!$E$8</f>
        <v>288.75</v>
      </c>
      <c r="BH357" s="2">
        <f>IF('PV IN'!$F$4="Battery Only",0,BB357+BG357)</f>
        <v>-1086.25</v>
      </c>
      <c r="BI357" s="2">
        <f>BH357/(1+('PV IN'!$G$9))^(C357)</f>
        <v>-258.58971161170484</v>
      </c>
    </row>
    <row r="358" spans="2:61" x14ac:dyDescent="0.25">
      <c r="C358">
        <v>354</v>
      </c>
      <c r="D358" s="16">
        <f>D357*(1+('PV IN'!$G$6/12))</f>
        <v>7.5999999999999998E-2</v>
      </c>
      <c r="E358" s="16">
        <f>LkUP!$U$50</f>
        <v>7.8896523189157505E-2</v>
      </c>
      <c r="F358" s="16">
        <f>IF('PV IN'!$D$7="Table",E358,D358)</f>
        <v>7.8896523189157505E-2</v>
      </c>
      <c r="G358" s="33">
        <f>('PV IN'!$E$25*'PV IN'!$E$18/12)*(1-(1-'PV IN'!$E$27)/(25*12))^C357</f>
        <v>120512.41580970029</v>
      </c>
      <c r="H358" s="33">
        <f>IF('PV IN'!$D$19="YES",G358*'PV IN'!$E$21,0)</f>
        <v>0</v>
      </c>
      <c r="I358" s="33">
        <f>IF('PV IN'!$D$19="YES",'PV IN'!$E$22*BattCalcs!W358,0)</f>
        <v>0</v>
      </c>
      <c r="J358" s="33">
        <f>IF('PV IN'!$D$19="YES",'PV IN'!$E$23*BattCalcs!Y358,0)</f>
        <v>0</v>
      </c>
      <c r="K358" s="33">
        <f>BattCalcs!AF358</f>
        <v>25811.765833333331</v>
      </c>
      <c r="L358" s="33">
        <f t="shared" si="81"/>
        <v>25811.765833333331</v>
      </c>
      <c r="M358" s="33">
        <f>IF('PV IN'!$F$4="PV Only",G358,G358-SUM(H358:J358,L358))</f>
        <v>120512.41580970029</v>
      </c>
      <c r="N358" s="2">
        <f>IF(C358&lt;='PV IN'!$I$12*12,'PV IN'!$E$12*G358/1000,0)</f>
        <v>0</v>
      </c>
      <c r="O358" s="2">
        <f>IF(AND(C358&gt;'PV IN'!$I$12*12,C358&lt;='PV IN'!$I$13*12+'PV IN'!$I$12*12),'PV IN'!$E$13*PVCalcs!G358/1000,0)</f>
        <v>0</v>
      </c>
      <c r="P358" s="2">
        <f>IF(AND(C358&gt;'PV IN'!$I$12*12+'PV IN'!$I$13*12,C358&lt;='PV IN'!$I$12*12+'PV IN'!$I$13*12+'PV IN'!$I$14*12),'PV IN'!$E$14*PVCalcs!G358/1000,0)</f>
        <v>0</v>
      </c>
      <c r="R358" s="10">
        <f>IF(AND('PV IN'!$D$35="YES",$C358&lt;='PV IN'!$E$35*12),-'PV IN'!$E$18*'PV IN'!$E$34/12,0)</f>
        <v>0</v>
      </c>
      <c r="S358" s="10">
        <f>IF(AND('PV IN'!$D$37="YES",$C358&lt;='PV IN'!$E$37*12),-'PV IN'!$E$18*'PV IN'!$E$36/12,0)</f>
        <v>0</v>
      </c>
      <c r="U358" s="2">
        <f t="shared" si="96"/>
        <v>9508.0106085114112</v>
      </c>
      <c r="V358" s="10">
        <f>PVLoan!M385</f>
        <v>0</v>
      </c>
      <c r="W358" s="2">
        <f>IF(C358='PV IN'!$I$40,IF('PV IN'!$G$40="Non-Taxable",'PV IN'!$F$40,0),0)+IF(C358='PV IN'!$I$41,IF('PV IN'!$G$41="Non-Taxable",'PV IN'!$F$41,0),0)</f>
        <v>0</v>
      </c>
      <c r="X358" s="10"/>
      <c r="Y358" s="10">
        <f>IF('PV IN'!$E$15="Non-Taxable",SUM(N358:P358),0)</f>
        <v>0</v>
      </c>
      <c r="Z358" s="10">
        <f>IF('PV IN'!$E$15="Taxable",SUM(N358:P358),0)</f>
        <v>0</v>
      </c>
      <c r="AA358" s="2">
        <f>IF(C358='PV IN'!$I$40,IF('PV IN'!$G$40="Taxable",'PV IN'!$F$40,0),0)+IF(C358='PV IN'!$I$41,IF('PV IN'!$G$41="Taxable",'PV IN'!$F$41,0),0)</f>
        <v>0</v>
      </c>
      <c r="AD358" s="10">
        <f>IF('PV IN'!$D$48="YES",-U358*'PV IN'!$E$8,0)</f>
        <v>0</v>
      </c>
      <c r="AE358" s="10">
        <f>IF('PV IN'!$N$10="Yes",-PVLoan!H386,-PVLoan!L386)</f>
        <v>0</v>
      </c>
      <c r="AF358" s="10">
        <f>IF('PV IN'!$N$10="Yes",-PVLoan!F386,0)</f>
        <v>0</v>
      </c>
      <c r="AG358" s="10">
        <f>IF(AND('PV IN'!$D$35="YES",$C358&lt;='PV IN'!$E$35*12),0,-'PV IN'!$E$18*'PV IN'!$E$34/12)</f>
        <v>-750</v>
      </c>
      <c r="AH358" s="10">
        <f>IF(AND('PV IN'!$D$37="YES",$C358&lt;='PV IN'!$E$37*12),0,-'PV IN'!$E$18*'PV IN'!$E$36/12)</f>
        <v>-625</v>
      </c>
      <c r="AI358" s="2">
        <f>IF(AND('PV IN'!$D$33="YES",PVCalcs!C358=ROUNDUP('PV IN'!$H$33*12,)),-'PV IN'!$E$33*'PV IN'!$E$18,0)</f>
        <v>0</v>
      </c>
      <c r="AK358" s="2">
        <f t="shared" si="87"/>
        <v>9508.0106085114112</v>
      </c>
      <c r="AL358" s="2">
        <f t="shared" si="82"/>
        <v>-1375</v>
      </c>
      <c r="AM358" s="2">
        <f t="shared" si="83"/>
        <v>8133.0106085114112</v>
      </c>
      <c r="AN358" s="43"/>
      <c r="AO358" s="2">
        <f t="shared" si="88"/>
        <v>0</v>
      </c>
      <c r="AP358" s="2">
        <f t="shared" si="84"/>
        <v>-1375</v>
      </c>
      <c r="AR358" s="2">
        <f t="shared" si="85"/>
        <v>-1375</v>
      </c>
      <c r="AS358" s="2">
        <f>-AR358*'PV IN'!$E$8</f>
        <v>288.75</v>
      </c>
      <c r="AT358" s="2">
        <f>IF('PV IN'!$F$4="Battery Only",0,AM358+AS358)</f>
        <v>8421.7606085114112</v>
      </c>
      <c r="AV358" s="10">
        <f t="shared" si="86"/>
        <v>2412745.1826365157</v>
      </c>
      <c r="AW358" s="2">
        <f>AT358/(1+('PV IN'!$G$9))^(C358)</f>
        <v>1996.7264444404634</v>
      </c>
      <c r="AX358" s="2" t="e">
        <f>IF(C358&lt;='PV IN'!$O$22*12,AW358+AX357,NA())</f>
        <v>#N/A</v>
      </c>
      <c r="AZ358" s="10">
        <f t="shared" si="89"/>
        <v>-1375</v>
      </c>
      <c r="BA358" s="10">
        <f t="shared" si="90"/>
        <v>0</v>
      </c>
      <c r="BB358" s="10">
        <f t="shared" si="91"/>
        <v>-1375</v>
      </c>
      <c r="BC358" s="10">
        <f t="shared" si="92"/>
        <v>0</v>
      </c>
      <c r="BD358" s="10">
        <f t="shared" si="93"/>
        <v>-1375</v>
      </c>
      <c r="BE358" s="2">
        <f t="shared" si="94"/>
        <v>0</v>
      </c>
      <c r="BF358" s="10">
        <f t="shared" si="95"/>
        <v>-1375</v>
      </c>
      <c r="BG358" s="2">
        <f>-BF358*'PV IN'!$E$8</f>
        <v>288.75</v>
      </c>
      <c r="BH358" s="2">
        <f>IF('PV IN'!$F$4="Battery Only",0,BB358+BG358)</f>
        <v>-1086.25</v>
      </c>
      <c r="BI358" s="2">
        <f>BH358/(1+('PV IN'!$G$9))^(C358)</f>
        <v>-257.54045989877943</v>
      </c>
    </row>
    <row r="359" spans="2:61" x14ac:dyDescent="0.25">
      <c r="C359">
        <v>355</v>
      </c>
      <c r="D359" s="16">
        <f>D358*(1+('PV IN'!$G$6/12))</f>
        <v>7.5999999999999998E-2</v>
      </c>
      <c r="E359" s="16">
        <f>LkUP!$U$50</f>
        <v>7.8896523189157505E-2</v>
      </c>
      <c r="F359" s="16">
        <f>IF('PV IN'!$D$7="Table",E359,D359)</f>
        <v>7.8896523189157505E-2</v>
      </c>
      <c r="G359" s="33">
        <f>('PV IN'!$E$25*'PV IN'!$E$18/12)*(1-(1-'PV IN'!$E$27)/(25*12))^C358</f>
        <v>120432.0741991605</v>
      </c>
      <c r="H359" s="33">
        <f>IF('PV IN'!$D$19="YES",G359*'PV IN'!$E$21,0)</f>
        <v>0</v>
      </c>
      <c r="I359" s="33">
        <f>IF('PV IN'!$D$19="YES",'PV IN'!$E$22*BattCalcs!W359,0)</f>
        <v>0</v>
      </c>
      <c r="J359" s="33">
        <f>IF('PV IN'!$D$19="YES",'PV IN'!$E$23*BattCalcs!Y359,0)</f>
        <v>0</v>
      </c>
      <c r="K359" s="33">
        <f>BattCalcs!AF359</f>
        <v>25811.765833333331</v>
      </c>
      <c r="L359" s="33">
        <f t="shared" si="81"/>
        <v>25811.765833333331</v>
      </c>
      <c r="M359" s="33">
        <f>IF('PV IN'!$F$4="PV Only",G359,G359-SUM(H359:J359,L359))</f>
        <v>120432.0741991605</v>
      </c>
      <c r="N359" s="2">
        <f>IF(C359&lt;='PV IN'!$I$12*12,'PV IN'!$E$12*G359/1000,0)</f>
        <v>0</v>
      </c>
      <c r="O359" s="2">
        <f>IF(AND(C359&gt;'PV IN'!$I$12*12,C359&lt;='PV IN'!$I$13*12+'PV IN'!$I$12*12),'PV IN'!$E$13*PVCalcs!G359/1000,0)</f>
        <v>0</v>
      </c>
      <c r="P359" s="2">
        <f>IF(AND(C359&gt;'PV IN'!$I$12*12+'PV IN'!$I$13*12,C359&lt;='PV IN'!$I$12*12+'PV IN'!$I$13*12+'PV IN'!$I$14*12),'PV IN'!$E$14*PVCalcs!G359/1000,0)</f>
        <v>0</v>
      </c>
      <c r="R359" s="10">
        <f>IF(AND('PV IN'!$D$35="YES",$C359&lt;='PV IN'!$E$35*12),-'PV IN'!$E$18*'PV IN'!$E$34/12,0)</f>
        <v>0</v>
      </c>
      <c r="S359" s="10">
        <f>IF(AND('PV IN'!$D$37="YES",$C359&lt;='PV IN'!$E$37*12),-'PV IN'!$E$18*'PV IN'!$E$36/12,0)</f>
        <v>0</v>
      </c>
      <c r="U359" s="2">
        <f t="shared" si="96"/>
        <v>9501.6719347724047</v>
      </c>
      <c r="V359" s="10">
        <f>PVLoan!M386</f>
        <v>0</v>
      </c>
      <c r="W359" s="2">
        <f>IF(C359='PV IN'!$I$40,IF('PV IN'!$G$40="Non-Taxable",'PV IN'!$F$40,0),0)+IF(C359='PV IN'!$I$41,IF('PV IN'!$G$41="Non-Taxable",'PV IN'!$F$41,0),0)</f>
        <v>0</v>
      </c>
      <c r="X359" s="10"/>
      <c r="Y359" s="10">
        <f>IF('PV IN'!$E$15="Non-Taxable",SUM(N359:P359),0)</f>
        <v>0</v>
      </c>
      <c r="Z359" s="10">
        <f>IF('PV IN'!$E$15="Taxable",SUM(N359:P359),0)</f>
        <v>0</v>
      </c>
      <c r="AA359" s="2">
        <f>IF(C359='PV IN'!$I$40,IF('PV IN'!$G$40="Taxable",'PV IN'!$F$40,0),0)+IF(C359='PV IN'!$I$41,IF('PV IN'!$G$41="Taxable",'PV IN'!$F$41,0),0)</f>
        <v>0</v>
      </c>
      <c r="AD359" s="10">
        <f>IF('PV IN'!$D$48="YES",-U359*'PV IN'!$E$8,0)</f>
        <v>0</v>
      </c>
      <c r="AE359" s="10">
        <f>IF('PV IN'!$N$10="Yes",-PVLoan!H387,-PVLoan!L387)</f>
        <v>0</v>
      </c>
      <c r="AF359" s="10">
        <f>IF('PV IN'!$N$10="Yes",-PVLoan!F387,0)</f>
        <v>0</v>
      </c>
      <c r="AG359" s="10">
        <f>IF(AND('PV IN'!$D$35="YES",$C359&lt;='PV IN'!$E$35*12),0,-'PV IN'!$E$18*'PV IN'!$E$34/12)</f>
        <v>-750</v>
      </c>
      <c r="AH359" s="10">
        <f>IF(AND('PV IN'!$D$37="YES",$C359&lt;='PV IN'!$E$37*12),0,-'PV IN'!$E$18*'PV IN'!$E$36/12)</f>
        <v>-625</v>
      </c>
      <c r="AI359" s="2">
        <f>IF(AND('PV IN'!$D$33="YES",PVCalcs!C359=ROUNDUP('PV IN'!$H$33*12,)),-'PV IN'!$E$33*'PV IN'!$E$18,0)</f>
        <v>0</v>
      </c>
      <c r="AK359" s="2">
        <f t="shared" si="87"/>
        <v>9501.6719347724047</v>
      </c>
      <c r="AL359" s="2">
        <f t="shared" si="82"/>
        <v>-1375</v>
      </c>
      <c r="AM359" s="2">
        <f t="shared" si="83"/>
        <v>8126.6719347724047</v>
      </c>
      <c r="AN359" s="43"/>
      <c r="AO359" s="2">
        <f t="shared" si="88"/>
        <v>0</v>
      </c>
      <c r="AP359" s="2">
        <f t="shared" si="84"/>
        <v>-1375</v>
      </c>
      <c r="AR359" s="2">
        <f t="shared" si="85"/>
        <v>-1375</v>
      </c>
      <c r="AS359" s="2">
        <f>-AR359*'PV IN'!$E$8</f>
        <v>288.75</v>
      </c>
      <c r="AT359" s="2">
        <f>IF('PV IN'!$F$4="Battery Only",0,AM359+AS359)</f>
        <v>8415.4219347724047</v>
      </c>
      <c r="AV359" s="10">
        <f t="shared" si="86"/>
        <v>2421160.604571288</v>
      </c>
      <c r="AW359" s="2">
        <f>AT359/(1+('PV IN'!$G$9))^(C359)</f>
        <v>1987.1277952258922</v>
      </c>
      <c r="AX359" s="2" t="e">
        <f>IF(C359&lt;='PV IN'!$O$22*12,AW359+AX358,NA())</f>
        <v>#N/A</v>
      </c>
      <c r="AZ359" s="10">
        <f t="shared" si="89"/>
        <v>-1375</v>
      </c>
      <c r="BA359" s="10">
        <f t="shared" si="90"/>
        <v>0</v>
      </c>
      <c r="BB359" s="10">
        <f t="shared" si="91"/>
        <v>-1375</v>
      </c>
      <c r="BC359" s="10">
        <f t="shared" si="92"/>
        <v>0</v>
      </c>
      <c r="BD359" s="10">
        <f t="shared" si="93"/>
        <v>-1375</v>
      </c>
      <c r="BE359" s="2">
        <f t="shared" si="94"/>
        <v>0</v>
      </c>
      <c r="BF359" s="10">
        <f t="shared" si="95"/>
        <v>-1375</v>
      </c>
      <c r="BG359" s="2">
        <f>-BF359*'PV IN'!$E$8</f>
        <v>288.75</v>
      </c>
      <c r="BH359" s="2">
        <f>IF('PV IN'!$F$4="Battery Only",0,BB359+BG359)</f>
        <v>-1086.25</v>
      </c>
      <c r="BI359" s="2">
        <f>BH359/(1+('PV IN'!$G$9))^(C359)</f>
        <v>-256.4954656218913</v>
      </c>
    </row>
    <row r="360" spans="2:61" x14ac:dyDescent="0.25">
      <c r="C360">
        <v>356</v>
      </c>
      <c r="D360" s="16">
        <f>D359*(1+('PV IN'!$G$6/12))</f>
        <v>7.5999999999999998E-2</v>
      </c>
      <c r="E360" s="16">
        <f>LkUP!$U$50</f>
        <v>7.8896523189157505E-2</v>
      </c>
      <c r="F360" s="16">
        <f>IF('PV IN'!$D$7="Table",E360,D360)</f>
        <v>7.8896523189157505E-2</v>
      </c>
      <c r="G360" s="33">
        <f>('PV IN'!$E$25*'PV IN'!$E$18/12)*(1-(1-'PV IN'!$E$27)/(25*12))^C359</f>
        <v>120351.7861496944</v>
      </c>
      <c r="H360" s="33">
        <f>IF('PV IN'!$D$19="YES",G360*'PV IN'!$E$21,0)</f>
        <v>0</v>
      </c>
      <c r="I360" s="33">
        <f>IF('PV IN'!$D$19="YES",'PV IN'!$E$22*BattCalcs!W360,0)</f>
        <v>0</v>
      </c>
      <c r="J360" s="33">
        <f>IF('PV IN'!$D$19="YES",'PV IN'!$E$23*BattCalcs!Y360,0)</f>
        <v>0</v>
      </c>
      <c r="K360" s="33">
        <f>BattCalcs!AF360</f>
        <v>25811.765833333331</v>
      </c>
      <c r="L360" s="33">
        <f t="shared" si="81"/>
        <v>25811.765833333331</v>
      </c>
      <c r="M360" s="33">
        <f>IF('PV IN'!$F$4="PV Only",G360,G360-SUM(H360:J360,L360))</f>
        <v>120351.7861496944</v>
      </c>
      <c r="N360" s="2">
        <f>IF(C360&lt;='PV IN'!$I$12*12,'PV IN'!$E$12*G360/1000,0)</f>
        <v>0</v>
      </c>
      <c r="O360" s="2">
        <f>IF(AND(C360&gt;'PV IN'!$I$12*12,C360&lt;='PV IN'!$I$13*12+'PV IN'!$I$12*12),'PV IN'!$E$13*PVCalcs!G360/1000,0)</f>
        <v>0</v>
      </c>
      <c r="P360" s="2">
        <f>IF(AND(C360&gt;'PV IN'!$I$12*12+'PV IN'!$I$13*12,C360&lt;='PV IN'!$I$12*12+'PV IN'!$I$13*12+'PV IN'!$I$14*12),'PV IN'!$E$14*PVCalcs!G360/1000,0)</f>
        <v>0</v>
      </c>
      <c r="R360" s="10">
        <f>IF(AND('PV IN'!$D$35="YES",$C360&lt;='PV IN'!$E$35*12),-'PV IN'!$E$18*'PV IN'!$E$34/12,0)</f>
        <v>0</v>
      </c>
      <c r="S360" s="10">
        <f>IF(AND('PV IN'!$D$37="YES",$C360&lt;='PV IN'!$E$37*12),-'PV IN'!$E$18*'PV IN'!$E$36/12,0)</f>
        <v>0</v>
      </c>
      <c r="U360" s="2">
        <f t="shared" si="96"/>
        <v>9495.337486815888</v>
      </c>
      <c r="V360" s="10">
        <f>PVLoan!M387</f>
        <v>0</v>
      </c>
      <c r="W360" s="2">
        <f>IF(C360='PV IN'!$I$40,IF('PV IN'!$G$40="Non-Taxable",'PV IN'!$F$40,0),0)+IF(C360='PV IN'!$I$41,IF('PV IN'!$G$41="Non-Taxable",'PV IN'!$F$41,0),0)</f>
        <v>0</v>
      </c>
      <c r="X360" s="10"/>
      <c r="Y360" s="10">
        <f>IF('PV IN'!$E$15="Non-Taxable",SUM(N360:P360),0)</f>
        <v>0</v>
      </c>
      <c r="Z360" s="10">
        <f>IF('PV IN'!$E$15="Taxable",SUM(N360:P360),0)</f>
        <v>0</v>
      </c>
      <c r="AA360" s="2">
        <f>IF(C360='PV IN'!$I$40,IF('PV IN'!$G$40="Taxable",'PV IN'!$F$40,0),0)+IF(C360='PV IN'!$I$41,IF('PV IN'!$G$41="Taxable",'PV IN'!$F$41,0),0)</f>
        <v>0</v>
      </c>
      <c r="AD360" s="10">
        <f>IF('PV IN'!$D$48="YES",-U360*'PV IN'!$E$8,0)</f>
        <v>0</v>
      </c>
      <c r="AE360" s="10">
        <f>IF('PV IN'!$N$10="Yes",-PVLoan!H388,-PVLoan!L388)</f>
        <v>0</v>
      </c>
      <c r="AF360" s="10">
        <f>IF('PV IN'!$N$10="Yes",-PVLoan!F388,0)</f>
        <v>0</v>
      </c>
      <c r="AG360" s="10">
        <f>IF(AND('PV IN'!$D$35="YES",$C360&lt;='PV IN'!$E$35*12),0,-'PV IN'!$E$18*'PV IN'!$E$34/12)</f>
        <v>-750</v>
      </c>
      <c r="AH360" s="10">
        <f>IF(AND('PV IN'!$D$37="YES",$C360&lt;='PV IN'!$E$37*12),0,-'PV IN'!$E$18*'PV IN'!$E$36/12)</f>
        <v>-625</v>
      </c>
      <c r="AI360" s="2">
        <f>IF(AND('PV IN'!$D$33="YES",PVCalcs!C360=ROUNDUP('PV IN'!$H$33*12,)),-'PV IN'!$E$33*'PV IN'!$E$18,0)</f>
        <v>0</v>
      </c>
      <c r="AK360" s="2">
        <f t="shared" si="87"/>
        <v>9495.337486815888</v>
      </c>
      <c r="AL360" s="2">
        <f t="shared" si="82"/>
        <v>-1375</v>
      </c>
      <c r="AM360" s="2">
        <f t="shared" si="83"/>
        <v>8120.337486815888</v>
      </c>
      <c r="AN360" s="43"/>
      <c r="AO360" s="2">
        <f t="shared" si="88"/>
        <v>0</v>
      </c>
      <c r="AP360" s="2">
        <f t="shared" si="84"/>
        <v>-1375</v>
      </c>
      <c r="AR360" s="2">
        <f t="shared" si="85"/>
        <v>-1375</v>
      </c>
      <c r="AS360" s="2">
        <f>-AR360*'PV IN'!$E$8</f>
        <v>288.75</v>
      </c>
      <c r="AT360" s="2">
        <f>IF('PV IN'!$F$4="Battery Only",0,AM360+AS360)</f>
        <v>8409.087486815888</v>
      </c>
      <c r="AV360" s="10">
        <f t="shared" si="86"/>
        <v>2429569.6920581041</v>
      </c>
      <c r="AW360" s="2">
        <f>AT360/(1+('PV IN'!$G$9))^(C360)</f>
        <v>1977.575160390428</v>
      </c>
      <c r="AX360" s="2" t="e">
        <f>IF(C360&lt;='PV IN'!$O$22*12,AW360+AX359,NA())</f>
        <v>#N/A</v>
      </c>
      <c r="AZ360" s="10">
        <f t="shared" si="89"/>
        <v>-1375</v>
      </c>
      <c r="BA360" s="10">
        <f t="shared" si="90"/>
        <v>0</v>
      </c>
      <c r="BB360" s="10">
        <f t="shared" si="91"/>
        <v>-1375</v>
      </c>
      <c r="BC360" s="10">
        <f t="shared" si="92"/>
        <v>0</v>
      </c>
      <c r="BD360" s="10">
        <f t="shared" si="93"/>
        <v>-1375</v>
      </c>
      <c r="BE360" s="2">
        <f t="shared" si="94"/>
        <v>0</v>
      </c>
      <c r="BF360" s="10">
        <f t="shared" si="95"/>
        <v>-1375</v>
      </c>
      <c r="BG360" s="2">
        <f>-BF360*'PV IN'!$E$8</f>
        <v>288.75</v>
      </c>
      <c r="BH360" s="2">
        <f>IF('PV IN'!$F$4="Battery Only",0,BB360+BG360)</f>
        <v>-1086.25</v>
      </c>
      <c r="BI360" s="2">
        <f>BH360/(1+('PV IN'!$G$9))^(C360)</f>
        <v>-255.4547115060993</v>
      </c>
    </row>
    <row r="361" spans="2:61" x14ac:dyDescent="0.25">
      <c r="C361">
        <v>357</v>
      </c>
      <c r="D361" s="16">
        <f>D360*(1+('PV IN'!$G$6/12))</f>
        <v>7.5999999999999998E-2</v>
      </c>
      <c r="E361" s="16">
        <f>LkUP!$U$50</f>
        <v>7.8896523189157505E-2</v>
      </c>
      <c r="F361" s="16">
        <f>IF('PV IN'!$D$7="Table",E361,D361)</f>
        <v>7.8896523189157505E-2</v>
      </c>
      <c r="G361" s="33">
        <f>('PV IN'!$E$25*'PV IN'!$E$18/12)*(1-(1-'PV IN'!$E$27)/(25*12))^C360</f>
        <v>120271.55162559458</v>
      </c>
      <c r="H361" s="33">
        <f>IF('PV IN'!$D$19="YES",G361*'PV IN'!$E$21,0)</f>
        <v>0</v>
      </c>
      <c r="I361" s="33">
        <f>IF('PV IN'!$D$19="YES",'PV IN'!$E$22*BattCalcs!W361,0)</f>
        <v>0</v>
      </c>
      <c r="J361" s="33">
        <f>IF('PV IN'!$D$19="YES",'PV IN'!$E$23*BattCalcs!Y361,0)</f>
        <v>0</v>
      </c>
      <c r="K361" s="33">
        <f>BattCalcs!AF361</f>
        <v>25811.765833333331</v>
      </c>
      <c r="L361" s="33">
        <f t="shared" si="81"/>
        <v>25811.765833333331</v>
      </c>
      <c r="M361" s="33">
        <f>IF('PV IN'!$F$4="PV Only",G361,G361-SUM(H361:J361,L361))</f>
        <v>120271.55162559458</v>
      </c>
      <c r="N361" s="2">
        <f>IF(C361&lt;='PV IN'!$I$12*12,'PV IN'!$E$12*G361/1000,0)</f>
        <v>0</v>
      </c>
      <c r="O361" s="2">
        <f>IF(AND(C361&gt;'PV IN'!$I$12*12,C361&lt;='PV IN'!$I$13*12+'PV IN'!$I$12*12),'PV IN'!$E$13*PVCalcs!G361/1000,0)</f>
        <v>0</v>
      </c>
      <c r="P361" s="2">
        <f>IF(AND(C361&gt;'PV IN'!$I$12*12+'PV IN'!$I$13*12,C361&lt;='PV IN'!$I$12*12+'PV IN'!$I$13*12+'PV IN'!$I$14*12),'PV IN'!$E$14*PVCalcs!G361/1000,0)</f>
        <v>0</v>
      </c>
      <c r="R361" s="10">
        <f>IF(AND('PV IN'!$D$35="YES",$C361&lt;='PV IN'!$E$35*12),-'PV IN'!$E$18*'PV IN'!$E$34/12,0)</f>
        <v>0</v>
      </c>
      <c r="S361" s="10">
        <f>IF(AND('PV IN'!$D$37="YES",$C361&lt;='PV IN'!$E$37*12),-'PV IN'!$E$18*'PV IN'!$E$36/12,0)</f>
        <v>0</v>
      </c>
      <c r="U361" s="2">
        <f t="shared" si="96"/>
        <v>9489.0072618246777</v>
      </c>
      <c r="V361" s="10">
        <f>PVLoan!M388</f>
        <v>0</v>
      </c>
      <c r="W361" s="2">
        <f>IF(C361='PV IN'!$I$40,IF('PV IN'!$G$40="Non-Taxable",'PV IN'!$F$40,0),0)+IF(C361='PV IN'!$I$41,IF('PV IN'!$G$41="Non-Taxable",'PV IN'!$F$41,0),0)</f>
        <v>0</v>
      </c>
      <c r="X361" s="10"/>
      <c r="Y361" s="10">
        <f>IF('PV IN'!$E$15="Non-Taxable",SUM(N361:P361),0)</f>
        <v>0</v>
      </c>
      <c r="Z361" s="10">
        <f>IF('PV IN'!$E$15="Taxable",SUM(N361:P361),0)</f>
        <v>0</v>
      </c>
      <c r="AA361" s="2">
        <f>IF(C361='PV IN'!$I$40,IF('PV IN'!$G$40="Taxable",'PV IN'!$F$40,0),0)+IF(C361='PV IN'!$I$41,IF('PV IN'!$G$41="Taxable",'PV IN'!$F$41,0),0)</f>
        <v>0</v>
      </c>
      <c r="AD361" s="10">
        <f>IF('PV IN'!$D$48="YES",-U361*'PV IN'!$E$8,0)</f>
        <v>0</v>
      </c>
      <c r="AE361" s="10">
        <f>IF('PV IN'!$N$10="Yes",-PVLoan!H389,-PVLoan!L389)</f>
        <v>0</v>
      </c>
      <c r="AF361" s="10">
        <f>IF('PV IN'!$N$10="Yes",-PVLoan!F389,0)</f>
        <v>0</v>
      </c>
      <c r="AG361" s="10">
        <f>IF(AND('PV IN'!$D$35="YES",$C361&lt;='PV IN'!$E$35*12),0,-'PV IN'!$E$18*'PV IN'!$E$34/12)</f>
        <v>-750</v>
      </c>
      <c r="AH361" s="10">
        <f>IF(AND('PV IN'!$D$37="YES",$C361&lt;='PV IN'!$E$37*12),0,-'PV IN'!$E$18*'PV IN'!$E$36/12)</f>
        <v>-625</v>
      </c>
      <c r="AI361" s="2">
        <f>IF(AND('PV IN'!$D$33="YES",PVCalcs!C361=ROUNDUP('PV IN'!$H$33*12,)),-'PV IN'!$E$33*'PV IN'!$E$18,0)</f>
        <v>0</v>
      </c>
      <c r="AK361" s="2">
        <f t="shared" si="87"/>
        <v>9489.0072618246777</v>
      </c>
      <c r="AL361" s="2">
        <f t="shared" si="82"/>
        <v>-1375</v>
      </c>
      <c r="AM361" s="2">
        <f t="shared" si="83"/>
        <v>8114.0072618246777</v>
      </c>
      <c r="AN361" s="43"/>
      <c r="AO361" s="2">
        <f t="shared" si="88"/>
        <v>0</v>
      </c>
      <c r="AP361" s="2">
        <f t="shared" si="84"/>
        <v>-1375</v>
      </c>
      <c r="AR361" s="2">
        <f t="shared" si="85"/>
        <v>-1375</v>
      </c>
      <c r="AS361" s="2">
        <f>-AR361*'PV IN'!$E$8</f>
        <v>288.75</v>
      </c>
      <c r="AT361" s="2">
        <f>IF('PV IN'!$F$4="Battery Only",0,AM361+AS361)</f>
        <v>8402.7572618246777</v>
      </c>
      <c r="AV361" s="10">
        <f t="shared" si="86"/>
        <v>2437972.4493199289</v>
      </c>
      <c r="AW361" s="2">
        <f>AT361/(1+('PV IN'!$G$9))^(C361)</f>
        <v>1968.0683198593799</v>
      </c>
      <c r="AX361" s="2" t="e">
        <f>IF(C361&lt;='PV IN'!$O$22*12,AW361+AX360,NA())</f>
        <v>#N/A</v>
      </c>
      <c r="AZ361" s="10">
        <f t="shared" si="89"/>
        <v>-1375</v>
      </c>
      <c r="BA361" s="10">
        <f t="shared" si="90"/>
        <v>0</v>
      </c>
      <c r="BB361" s="10">
        <f t="shared" si="91"/>
        <v>-1375</v>
      </c>
      <c r="BC361" s="10">
        <f t="shared" si="92"/>
        <v>0</v>
      </c>
      <c r="BD361" s="10">
        <f t="shared" si="93"/>
        <v>-1375</v>
      </c>
      <c r="BE361" s="2">
        <f t="shared" si="94"/>
        <v>0</v>
      </c>
      <c r="BF361" s="10">
        <f t="shared" si="95"/>
        <v>-1375</v>
      </c>
      <c r="BG361" s="2">
        <f>-BF361*'PV IN'!$E$8</f>
        <v>288.75</v>
      </c>
      <c r="BH361" s="2">
        <f>IF('PV IN'!$F$4="Battery Only",0,BB361+BG361)</f>
        <v>-1086.25</v>
      </c>
      <c r="BI361" s="2">
        <f>BH361/(1+('PV IN'!$G$9))^(C361)</f>
        <v>-254.41818034655691</v>
      </c>
    </row>
    <row r="362" spans="2:61" x14ac:dyDescent="0.25">
      <c r="C362">
        <v>358</v>
      </c>
      <c r="D362" s="16">
        <f>D361*(1+('PV IN'!$G$6/12))</f>
        <v>7.5999999999999998E-2</v>
      </c>
      <c r="E362" s="16">
        <f>LkUP!$U$50</f>
        <v>7.8896523189157505E-2</v>
      </c>
      <c r="F362" s="16">
        <f>IF('PV IN'!$D$7="Table",E362,D362)</f>
        <v>7.8896523189157505E-2</v>
      </c>
      <c r="G362" s="33">
        <f>('PV IN'!$E$25*'PV IN'!$E$18/12)*(1-(1-'PV IN'!$E$27)/(25*12))^C361</f>
        <v>120191.37059117753</v>
      </c>
      <c r="H362" s="33">
        <f>IF('PV IN'!$D$19="YES",G362*'PV IN'!$E$21,0)</f>
        <v>0</v>
      </c>
      <c r="I362" s="33">
        <f>IF('PV IN'!$D$19="YES",'PV IN'!$E$22*BattCalcs!W362,0)</f>
        <v>0</v>
      </c>
      <c r="J362" s="33">
        <f>IF('PV IN'!$D$19="YES",'PV IN'!$E$23*BattCalcs!Y362,0)</f>
        <v>0</v>
      </c>
      <c r="K362" s="33">
        <f>BattCalcs!AF362</f>
        <v>25811.765833333331</v>
      </c>
      <c r="L362" s="33">
        <f t="shared" si="81"/>
        <v>25811.765833333331</v>
      </c>
      <c r="M362" s="33">
        <f>IF('PV IN'!$F$4="PV Only",G362,G362-SUM(H362:J362,L362))</f>
        <v>120191.37059117753</v>
      </c>
      <c r="N362" s="2">
        <f>IF(C362&lt;='PV IN'!$I$12*12,'PV IN'!$E$12*G362/1000,0)</f>
        <v>0</v>
      </c>
      <c r="O362" s="2">
        <f>IF(AND(C362&gt;'PV IN'!$I$12*12,C362&lt;='PV IN'!$I$13*12+'PV IN'!$I$12*12),'PV IN'!$E$13*PVCalcs!G362/1000,0)</f>
        <v>0</v>
      </c>
      <c r="P362" s="2">
        <f>IF(AND(C362&gt;'PV IN'!$I$12*12+'PV IN'!$I$13*12,C362&lt;='PV IN'!$I$12*12+'PV IN'!$I$13*12+'PV IN'!$I$14*12),'PV IN'!$E$14*PVCalcs!G362/1000,0)</f>
        <v>0</v>
      </c>
      <c r="R362" s="10">
        <f>IF(AND('PV IN'!$D$35="YES",$C362&lt;='PV IN'!$E$35*12),-'PV IN'!$E$18*'PV IN'!$E$34/12,0)</f>
        <v>0</v>
      </c>
      <c r="S362" s="10">
        <f>IF(AND('PV IN'!$D$37="YES",$C362&lt;='PV IN'!$E$37*12),-'PV IN'!$E$18*'PV IN'!$E$36/12,0)</f>
        <v>0</v>
      </c>
      <c r="U362" s="2">
        <f t="shared" si="96"/>
        <v>9482.6812569834619</v>
      </c>
      <c r="V362" s="10">
        <f>PVLoan!M389</f>
        <v>0</v>
      </c>
      <c r="W362" s="2">
        <f>IF(C362='PV IN'!$I$40,IF('PV IN'!$G$40="Non-Taxable",'PV IN'!$F$40,0),0)+IF(C362='PV IN'!$I$41,IF('PV IN'!$G$41="Non-Taxable",'PV IN'!$F$41,0),0)</f>
        <v>0</v>
      </c>
      <c r="X362" s="10"/>
      <c r="Y362" s="10">
        <f>IF('PV IN'!$E$15="Non-Taxable",SUM(N362:P362),0)</f>
        <v>0</v>
      </c>
      <c r="Z362" s="10">
        <f>IF('PV IN'!$E$15="Taxable",SUM(N362:P362),0)</f>
        <v>0</v>
      </c>
      <c r="AA362" s="2">
        <f>IF(C362='PV IN'!$I$40,IF('PV IN'!$G$40="Taxable",'PV IN'!$F$40,0),0)+IF(C362='PV IN'!$I$41,IF('PV IN'!$G$41="Taxable",'PV IN'!$F$41,0),0)</f>
        <v>0</v>
      </c>
      <c r="AD362" s="10">
        <f>IF('PV IN'!$D$48="YES",-U362*'PV IN'!$E$8,0)</f>
        <v>0</v>
      </c>
      <c r="AE362" s="10">
        <f>IF('PV IN'!$N$10="Yes",-PVLoan!H390,-PVLoan!L390)</f>
        <v>0</v>
      </c>
      <c r="AF362" s="10">
        <f>IF('PV IN'!$N$10="Yes",-PVLoan!F390,0)</f>
        <v>0</v>
      </c>
      <c r="AG362" s="10">
        <f>IF(AND('PV IN'!$D$35="YES",$C362&lt;='PV IN'!$E$35*12),0,-'PV IN'!$E$18*'PV IN'!$E$34/12)</f>
        <v>-750</v>
      </c>
      <c r="AH362" s="10">
        <f>IF(AND('PV IN'!$D$37="YES",$C362&lt;='PV IN'!$E$37*12),0,-'PV IN'!$E$18*'PV IN'!$E$36/12)</f>
        <v>-625</v>
      </c>
      <c r="AI362" s="2">
        <f>IF(AND('PV IN'!$D$33="YES",PVCalcs!C362=ROUNDUP('PV IN'!$H$33*12,)),-'PV IN'!$E$33*'PV IN'!$E$18,0)</f>
        <v>0</v>
      </c>
      <c r="AK362" s="2">
        <f t="shared" si="87"/>
        <v>9482.6812569834619</v>
      </c>
      <c r="AL362" s="2">
        <f t="shared" si="82"/>
        <v>-1375</v>
      </c>
      <c r="AM362" s="2">
        <f t="shared" si="83"/>
        <v>8107.6812569834619</v>
      </c>
      <c r="AN362" s="43"/>
      <c r="AO362" s="2">
        <f t="shared" si="88"/>
        <v>0</v>
      </c>
      <c r="AP362" s="2">
        <f t="shared" si="84"/>
        <v>-1375</v>
      </c>
      <c r="AR362" s="2">
        <f t="shared" si="85"/>
        <v>-1375</v>
      </c>
      <c r="AS362" s="2">
        <f>-AR362*'PV IN'!$E$8</f>
        <v>288.75</v>
      </c>
      <c r="AT362" s="2">
        <f>IF('PV IN'!$F$4="Battery Only",0,AM362+AS362)</f>
        <v>8396.4312569834619</v>
      </c>
      <c r="AV362" s="10">
        <f t="shared" si="86"/>
        <v>2446368.8805769123</v>
      </c>
      <c r="AW362" s="2">
        <f>AT362/(1+('PV IN'!$G$9))^(C362)</f>
        <v>1958.6070546085737</v>
      </c>
      <c r="AX362" s="2" t="e">
        <f>IF(C362&lt;='PV IN'!$O$22*12,AW362+AX361,NA())</f>
        <v>#N/A</v>
      </c>
      <c r="AZ362" s="10">
        <f t="shared" si="89"/>
        <v>-1375</v>
      </c>
      <c r="BA362" s="10">
        <f t="shared" si="90"/>
        <v>0</v>
      </c>
      <c r="BB362" s="10">
        <f t="shared" si="91"/>
        <v>-1375</v>
      </c>
      <c r="BC362" s="10">
        <f t="shared" si="92"/>
        <v>0</v>
      </c>
      <c r="BD362" s="10">
        <f t="shared" si="93"/>
        <v>-1375</v>
      </c>
      <c r="BE362" s="2">
        <f t="shared" si="94"/>
        <v>0</v>
      </c>
      <c r="BF362" s="10">
        <f t="shared" si="95"/>
        <v>-1375</v>
      </c>
      <c r="BG362" s="2">
        <f>-BF362*'PV IN'!$E$8</f>
        <v>288.75</v>
      </c>
      <c r="BH362" s="2">
        <f>IF('PV IN'!$F$4="Battery Only",0,BB362+BG362)</f>
        <v>-1086.25</v>
      </c>
      <c r="BI362" s="2">
        <f>BH362/(1+('PV IN'!$G$9))^(C362)</f>
        <v>-253.38585500822779</v>
      </c>
    </row>
    <row r="363" spans="2:61" x14ac:dyDescent="0.25">
      <c r="C363">
        <v>359</v>
      </c>
      <c r="D363" s="16">
        <f>D362*(1+('PV IN'!$G$6/12))</f>
        <v>7.5999999999999998E-2</v>
      </c>
      <c r="E363" s="16">
        <f>LkUP!$U$50</f>
        <v>7.8896523189157505E-2</v>
      </c>
      <c r="F363" s="16">
        <f>IF('PV IN'!$D$7="Table",E363,D363)</f>
        <v>7.8896523189157505E-2</v>
      </c>
      <c r="G363" s="33">
        <f>('PV IN'!$E$25*'PV IN'!$E$18/12)*(1-(1-'PV IN'!$E$27)/(25*12))^C362</f>
        <v>120111.24301078339</v>
      </c>
      <c r="H363" s="33">
        <f>IF('PV IN'!$D$19="YES",G363*'PV IN'!$E$21,0)</f>
        <v>0</v>
      </c>
      <c r="I363" s="33">
        <f>IF('PV IN'!$D$19="YES",'PV IN'!$E$22*BattCalcs!W363,0)</f>
        <v>0</v>
      </c>
      <c r="J363" s="33">
        <f>IF('PV IN'!$D$19="YES",'PV IN'!$E$23*BattCalcs!Y363,0)</f>
        <v>0</v>
      </c>
      <c r="K363" s="33">
        <f>BattCalcs!AF363</f>
        <v>25811.765833333331</v>
      </c>
      <c r="L363" s="33">
        <f t="shared" si="81"/>
        <v>25811.765833333331</v>
      </c>
      <c r="M363" s="33">
        <f>IF('PV IN'!$F$4="PV Only",G363,G363-SUM(H363:J363,L363))</f>
        <v>120111.24301078339</v>
      </c>
      <c r="N363" s="2">
        <f>IF(C363&lt;='PV IN'!$I$12*12,'PV IN'!$E$12*G363/1000,0)</f>
        <v>0</v>
      </c>
      <c r="O363" s="2">
        <f>IF(AND(C363&gt;'PV IN'!$I$12*12,C363&lt;='PV IN'!$I$13*12+'PV IN'!$I$12*12),'PV IN'!$E$13*PVCalcs!G363/1000,0)</f>
        <v>0</v>
      </c>
      <c r="P363" s="2">
        <f>IF(AND(C363&gt;'PV IN'!$I$12*12+'PV IN'!$I$13*12,C363&lt;='PV IN'!$I$12*12+'PV IN'!$I$13*12+'PV IN'!$I$14*12),'PV IN'!$E$14*PVCalcs!G363/1000,0)</f>
        <v>0</v>
      </c>
      <c r="R363" s="10">
        <f>IF(AND('PV IN'!$D$35="YES",$C363&lt;='PV IN'!$E$35*12),-'PV IN'!$E$18*'PV IN'!$E$34/12,0)</f>
        <v>0</v>
      </c>
      <c r="S363" s="10">
        <f>IF(AND('PV IN'!$D$37="YES",$C363&lt;='PV IN'!$E$37*12),-'PV IN'!$E$18*'PV IN'!$E$36/12,0)</f>
        <v>0</v>
      </c>
      <c r="U363" s="2">
        <f t="shared" si="96"/>
        <v>9476.3594694788044</v>
      </c>
      <c r="V363" s="10">
        <f>PVLoan!M390</f>
        <v>0</v>
      </c>
      <c r="W363" s="2">
        <f>IF(C363='PV IN'!$I$40,IF('PV IN'!$G$40="Non-Taxable",'PV IN'!$F$40,0),0)+IF(C363='PV IN'!$I$41,IF('PV IN'!$G$41="Non-Taxable",'PV IN'!$F$41,0),0)</f>
        <v>0</v>
      </c>
      <c r="X363" s="10"/>
      <c r="Y363" s="10">
        <f>IF('PV IN'!$E$15="Non-Taxable",SUM(N363:P363),0)</f>
        <v>0</v>
      </c>
      <c r="Z363" s="10">
        <f>IF('PV IN'!$E$15="Taxable",SUM(N363:P363),0)</f>
        <v>0</v>
      </c>
      <c r="AA363" s="2">
        <f>IF(C363='PV IN'!$I$40,IF('PV IN'!$G$40="Taxable",'PV IN'!$F$40,0),0)+IF(C363='PV IN'!$I$41,IF('PV IN'!$G$41="Taxable",'PV IN'!$F$41,0),0)</f>
        <v>0</v>
      </c>
      <c r="AD363" s="10">
        <f>IF('PV IN'!$D$48="YES",-U363*'PV IN'!$E$8,0)</f>
        <v>0</v>
      </c>
      <c r="AE363" s="10">
        <f>IF('PV IN'!$N$10="Yes",-PVLoan!H391,-PVLoan!L391)</f>
        <v>0</v>
      </c>
      <c r="AF363" s="10">
        <f>IF('PV IN'!$N$10="Yes",-PVLoan!F391,0)</f>
        <v>0</v>
      </c>
      <c r="AG363" s="10">
        <f>IF(AND('PV IN'!$D$35="YES",$C363&lt;='PV IN'!$E$35*12),0,-'PV IN'!$E$18*'PV IN'!$E$34/12)</f>
        <v>-750</v>
      </c>
      <c r="AH363" s="10">
        <f>IF(AND('PV IN'!$D$37="YES",$C363&lt;='PV IN'!$E$37*12),0,-'PV IN'!$E$18*'PV IN'!$E$36/12)</f>
        <v>-625</v>
      </c>
      <c r="AI363" s="2">
        <f>IF(AND('PV IN'!$D$33="YES",PVCalcs!C363=ROUNDUP('PV IN'!$H$33*12,)),-'PV IN'!$E$33*'PV IN'!$E$18,0)</f>
        <v>0</v>
      </c>
      <c r="AK363" s="2">
        <f t="shared" si="87"/>
        <v>9476.3594694788044</v>
      </c>
      <c r="AL363" s="2">
        <f t="shared" si="82"/>
        <v>-1375</v>
      </c>
      <c r="AM363" s="2">
        <f t="shared" si="83"/>
        <v>8101.3594694788044</v>
      </c>
      <c r="AN363" s="43"/>
      <c r="AO363" s="2">
        <f t="shared" si="88"/>
        <v>0</v>
      </c>
      <c r="AP363" s="2">
        <f t="shared" si="84"/>
        <v>-1375</v>
      </c>
      <c r="AR363" s="2">
        <f t="shared" si="85"/>
        <v>-1375</v>
      </c>
      <c r="AS363" s="2">
        <f>-AR363*'PV IN'!$E$8</f>
        <v>288.75</v>
      </c>
      <c r="AT363" s="2">
        <f>IF('PV IN'!$F$4="Battery Only",0,AM363+AS363)</f>
        <v>8390.1094694788044</v>
      </c>
      <c r="AV363" s="10">
        <f t="shared" si="86"/>
        <v>2454758.9900463913</v>
      </c>
      <c r="AW363" s="2">
        <f>AT363/(1+('PV IN'!$G$9))^(C363)</f>
        <v>1949.1911466593469</v>
      </c>
      <c r="AX363" s="2" t="e">
        <f>IF(C363&lt;='PV IN'!$O$22*12,AW363+AX362,NA())</f>
        <v>#N/A</v>
      </c>
      <c r="AZ363" s="10">
        <f t="shared" si="89"/>
        <v>-1375</v>
      </c>
      <c r="BA363" s="10">
        <f t="shared" si="90"/>
        <v>0</v>
      </c>
      <c r="BB363" s="10">
        <f t="shared" si="91"/>
        <v>-1375</v>
      </c>
      <c r="BC363" s="10">
        <f t="shared" si="92"/>
        <v>0</v>
      </c>
      <c r="BD363" s="10">
        <f t="shared" si="93"/>
        <v>-1375</v>
      </c>
      <c r="BE363" s="2">
        <f t="shared" si="94"/>
        <v>0</v>
      </c>
      <c r="BF363" s="10">
        <f t="shared" si="95"/>
        <v>-1375</v>
      </c>
      <c r="BG363" s="2">
        <f>-BF363*'PV IN'!$E$8</f>
        <v>288.75</v>
      </c>
      <c r="BH363" s="2">
        <f>IF('PV IN'!$F$4="Battery Only",0,BB363+BG363)</f>
        <v>-1086.25</v>
      </c>
      <c r="BI363" s="2">
        <f>BH363/(1+('PV IN'!$G$9))^(C363)</f>
        <v>-252.3577184256028</v>
      </c>
    </row>
    <row r="364" spans="2:61" x14ac:dyDescent="0.25">
      <c r="B364">
        <v>30</v>
      </c>
      <c r="C364">
        <v>360</v>
      </c>
      <c r="D364" s="16">
        <f>D363*(1+('PV IN'!$G$6/12))</f>
        <v>7.5999999999999998E-2</v>
      </c>
      <c r="E364" s="16">
        <f>LkUP!$U$50</f>
        <v>7.8896523189157505E-2</v>
      </c>
      <c r="F364" s="16">
        <f>IF('PV IN'!$D$7="Table",E364,D364)</f>
        <v>7.8896523189157505E-2</v>
      </c>
      <c r="G364" s="33">
        <f>('PV IN'!$E$25*'PV IN'!$E$18/12)*(1-(1-'PV IN'!$E$27)/(25*12))^C363</f>
        <v>120031.1688487762</v>
      </c>
      <c r="H364" s="33">
        <f>IF('PV IN'!$D$19="YES",G364*'PV IN'!$E$21,0)</f>
        <v>0</v>
      </c>
      <c r="I364" s="33">
        <f>IF('PV IN'!$D$19="YES",'PV IN'!$E$22*BattCalcs!W364,0)</f>
        <v>0</v>
      </c>
      <c r="J364" s="33">
        <f>IF('PV IN'!$D$19="YES",'PV IN'!$E$23*BattCalcs!Y364,0)</f>
        <v>0</v>
      </c>
      <c r="K364" s="33">
        <f>BattCalcs!AF364</f>
        <v>25811.765833333331</v>
      </c>
      <c r="L364" s="33">
        <f t="shared" si="81"/>
        <v>25811.765833333331</v>
      </c>
      <c r="M364" s="33">
        <f>IF('PV IN'!$F$4="PV Only",G364,G364-SUM(H364:J364,L364))</f>
        <v>120031.1688487762</v>
      </c>
      <c r="N364" s="2">
        <f>IF(C364&lt;='PV IN'!$I$12*12,'PV IN'!$E$12*G364/1000,0)</f>
        <v>0</v>
      </c>
      <c r="O364" s="2">
        <f>IF(AND(C364&gt;'PV IN'!$I$12*12,C364&lt;='PV IN'!$I$13*12+'PV IN'!$I$12*12),'PV IN'!$E$13*PVCalcs!G364/1000,0)</f>
        <v>0</v>
      </c>
      <c r="P364" s="2">
        <f>IF(AND(C364&gt;'PV IN'!$I$12*12+'PV IN'!$I$13*12,C364&lt;='PV IN'!$I$12*12+'PV IN'!$I$13*12+'PV IN'!$I$14*12),'PV IN'!$E$14*PVCalcs!G364/1000,0)</f>
        <v>0</v>
      </c>
      <c r="R364" s="10">
        <f>IF(AND('PV IN'!$D$35="YES",$C364&lt;='PV IN'!$E$35*12),-'PV IN'!$E$18*'PV IN'!$E$34/12,0)</f>
        <v>0</v>
      </c>
      <c r="S364" s="10">
        <f>IF(AND('PV IN'!$D$37="YES",$C364&lt;='PV IN'!$E$37*12),-'PV IN'!$E$18*'PV IN'!$E$36/12,0)</f>
        <v>0</v>
      </c>
      <c r="U364" s="2">
        <f t="shared" si="96"/>
        <v>9470.0418964991513</v>
      </c>
      <c r="V364" s="10">
        <f>PVLoan!M391</f>
        <v>0</v>
      </c>
      <c r="W364" s="2">
        <f>IF(C364='PV IN'!$I$40,IF('PV IN'!$G$40="Non-Taxable",'PV IN'!$F$40,0),0)+IF(C364='PV IN'!$I$41,IF('PV IN'!$G$41="Non-Taxable",'PV IN'!$F$41,0),0)</f>
        <v>0</v>
      </c>
      <c r="X364" s="10"/>
      <c r="Y364" s="10">
        <f>IF('PV IN'!$E$15="Non-Taxable",SUM(N364:P364),0)</f>
        <v>0</v>
      </c>
      <c r="Z364" s="10">
        <f>IF('PV IN'!$E$15="Taxable",SUM(N364:P364),0)</f>
        <v>0</v>
      </c>
      <c r="AA364" s="2">
        <f>IF(C364='PV IN'!$I$40,IF('PV IN'!$G$40="Taxable",'PV IN'!$F$40,0),0)+IF(C364='PV IN'!$I$41,IF('PV IN'!$G$41="Taxable",'PV IN'!$F$41,0),0)</f>
        <v>0</v>
      </c>
      <c r="AD364" s="10">
        <f>IF('PV IN'!$D$48="YES",-U364*'PV IN'!$E$8,0)</f>
        <v>0</v>
      </c>
      <c r="AE364" s="10">
        <f>IF('PV IN'!$N$10="Yes",-PVLoan!H392,-PVLoan!L392)</f>
        <v>0</v>
      </c>
      <c r="AF364" s="10">
        <f>IF('PV IN'!$N$10="Yes",-PVLoan!F392,0)</f>
        <v>0</v>
      </c>
      <c r="AG364" s="10">
        <f>IF(AND('PV IN'!$D$35="YES",$C364&lt;='PV IN'!$E$35*12),0,-'PV IN'!$E$18*'PV IN'!$E$34/12)</f>
        <v>-750</v>
      </c>
      <c r="AH364" s="10">
        <f>IF(AND('PV IN'!$D$37="YES",$C364&lt;='PV IN'!$E$37*12),0,-'PV IN'!$E$18*'PV IN'!$E$36/12)</f>
        <v>-625</v>
      </c>
      <c r="AI364" s="2">
        <f>IF(AND('PV IN'!$D$33="YES",PVCalcs!C364=ROUNDUP('PV IN'!$H$33*12,)),-'PV IN'!$E$33*'PV IN'!$E$18,0)</f>
        <v>0</v>
      </c>
      <c r="AK364" s="2">
        <f t="shared" si="87"/>
        <v>9470.0418964991513</v>
      </c>
      <c r="AL364" s="2">
        <f>SUM(AC364:AI364)</f>
        <v>-1375</v>
      </c>
      <c r="AM364" s="2">
        <f t="shared" si="83"/>
        <v>8095.0418964991513</v>
      </c>
      <c r="AN364" s="43"/>
      <c r="AO364" s="2">
        <f t="shared" si="88"/>
        <v>0</v>
      </c>
      <c r="AP364" s="2">
        <f t="shared" si="84"/>
        <v>-1375</v>
      </c>
      <c r="AR364" s="2">
        <f t="shared" si="85"/>
        <v>-1375</v>
      </c>
      <c r="AS364" s="2">
        <f>-AR364*'PV IN'!$E$8</f>
        <v>288.75</v>
      </c>
      <c r="AT364" s="2">
        <f>IF('PV IN'!$F$4="Battery Only",0,AM364+AS364)</f>
        <v>8383.7918964991513</v>
      </c>
      <c r="AV364" s="10">
        <f t="shared" si="86"/>
        <v>2463142.7819428905</v>
      </c>
      <c r="AW364" s="2">
        <f>AT364/(1+('PV IN'!$G$9))^(C364)</f>
        <v>1939.8203790735674</v>
      </c>
      <c r="AX364" s="2" t="e">
        <f>IF(C364&lt;='PV IN'!$O$22*12,AW364+AX363,NA())</f>
        <v>#N/A</v>
      </c>
      <c r="AZ364" s="10">
        <f t="shared" si="89"/>
        <v>-1375</v>
      </c>
      <c r="BA364" s="10">
        <f t="shared" si="90"/>
        <v>0</v>
      </c>
      <c r="BB364" s="10">
        <f t="shared" si="91"/>
        <v>-1375</v>
      </c>
      <c r="BC364" s="10">
        <f t="shared" si="92"/>
        <v>0</v>
      </c>
      <c r="BD364" s="10">
        <f t="shared" si="93"/>
        <v>-1375</v>
      </c>
      <c r="BE364" s="2">
        <f t="shared" si="94"/>
        <v>0</v>
      </c>
      <c r="BF364" s="10">
        <f t="shared" si="95"/>
        <v>-1375</v>
      </c>
      <c r="BG364" s="2">
        <f>-BF364*'PV IN'!$E$8</f>
        <v>288.75</v>
      </c>
      <c r="BH364" s="2">
        <f>IF('PV IN'!$F$4="Battery Only",0,BB364+BG364)</f>
        <v>-1086.25</v>
      </c>
      <c r="BI364" s="2">
        <f>BH364/(1+('PV IN'!$G$9))^(C364)</f>
        <v>-251.33375360241754</v>
      </c>
    </row>
    <row r="365" spans="2:61" x14ac:dyDescent="0.25">
      <c r="C365">
        <v>361</v>
      </c>
      <c r="D365" s="16">
        <f>D364*(1+('PV IN'!$G$6/12))</f>
        <v>7.5999999999999998E-2</v>
      </c>
      <c r="E365" s="16">
        <f>LkUP!$U$50</f>
        <v>7.8896523189157505E-2</v>
      </c>
      <c r="F365" s="16">
        <f>IF('PV IN'!$D$7="Table",E365,D365)</f>
        <v>7.8896523189157505E-2</v>
      </c>
      <c r="G365" s="33">
        <f>('PV IN'!$E$25*'PV IN'!$E$18/12)*(1-(1-'PV IN'!$E$27)/(25*12))^C364</f>
        <v>119951.14806954369</v>
      </c>
      <c r="H365" s="33">
        <f>IF('PV IN'!$D$19="YES",G365*'PV IN'!$E$21,0)</f>
        <v>0</v>
      </c>
      <c r="I365" s="33">
        <f>IF('PV IN'!$D$19="YES",'PV IN'!$E$22*BattCalcs!W365,0)</f>
        <v>0</v>
      </c>
      <c r="J365" s="33">
        <f>IF('PV IN'!$D$19="YES",'PV IN'!$E$23*BattCalcs!Y365,0)</f>
        <v>0</v>
      </c>
      <c r="K365" s="33">
        <f>BattCalcs!AF365</f>
        <v>25811.765833333331</v>
      </c>
      <c r="L365" s="33">
        <f t="shared" ref="L365:L428" si="97">IF(SUM(H365:K365)&lt;=G365,K365,G365-SUM(H365:J365))</f>
        <v>25811.765833333331</v>
      </c>
      <c r="M365" s="33">
        <f>IF('PV IN'!$F$4="PV Only",G365,G365-SUM(H365:J365,L365))</f>
        <v>119951.14806954369</v>
      </c>
      <c r="N365" s="2">
        <f>IF(C365&lt;='PV IN'!$I$12*12,'PV IN'!$E$12*G365/1000,0)</f>
        <v>0</v>
      </c>
      <c r="O365" s="2">
        <f>IF(AND(C365&gt;'PV IN'!$I$12*12,C365&lt;='PV IN'!$I$13*12+'PV IN'!$I$12*12),'PV IN'!$E$13*PVCalcs!G365/1000,0)</f>
        <v>0</v>
      </c>
      <c r="P365" s="2">
        <f>IF(AND(C365&gt;'PV IN'!$I$12*12+'PV IN'!$I$13*12,C365&lt;='PV IN'!$I$12*12+'PV IN'!$I$13*12+'PV IN'!$I$14*12),'PV IN'!$E$14*PVCalcs!G365/1000,0)</f>
        <v>0</v>
      </c>
      <c r="R365" s="10">
        <f>IF(AND('PV IN'!$D$35="YES",$C365&lt;='PV IN'!$E$35*12),-'PV IN'!$E$18*'PV IN'!$E$34/12,0)</f>
        <v>0</v>
      </c>
      <c r="S365" s="10">
        <f>IF(AND('PV IN'!$D$37="YES",$C365&lt;='PV IN'!$E$37*12),-'PV IN'!$E$18*'PV IN'!$E$36/12,0)</f>
        <v>0</v>
      </c>
      <c r="U365" s="2">
        <f t="shared" si="96"/>
        <v>9463.728535234819</v>
      </c>
      <c r="V365" s="10">
        <f>PVLoan!M392</f>
        <v>0</v>
      </c>
      <c r="W365" s="2">
        <f>IF(C365='PV IN'!$I$40,IF('PV IN'!$G$40="Non-Taxable",'PV IN'!$F$40,0),0)+IF(C365='PV IN'!$I$41,IF('PV IN'!$G$41="Non-Taxable",'PV IN'!$F$41,0),0)</f>
        <v>0</v>
      </c>
      <c r="X365" s="10"/>
      <c r="Y365" s="10">
        <f>IF('PV IN'!$E$15="Non-Taxable",SUM(N365:P365),0)</f>
        <v>0</v>
      </c>
      <c r="Z365" s="10">
        <f>IF('PV IN'!$E$15="Taxable",SUM(N365:P365),0)</f>
        <v>0</v>
      </c>
      <c r="AA365" s="2">
        <f>IF(C365='PV IN'!$I$40,IF('PV IN'!$G$40="Taxable",'PV IN'!$F$40,0),0)+IF(C365='PV IN'!$I$41,IF('PV IN'!$G$41="Taxable",'PV IN'!$F$41,0),0)</f>
        <v>0</v>
      </c>
      <c r="AD365" s="10">
        <f>IF('PV IN'!$D$48="YES",-U365*'PV IN'!$E$8,0)</f>
        <v>0</v>
      </c>
      <c r="AE365" s="10">
        <f>IF('PV IN'!$N$10="Yes",-PVLoan!H393,-PVLoan!L393)</f>
        <v>0</v>
      </c>
      <c r="AF365" s="10">
        <f>IF('PV IN'!$N$10="Yes",-PVLoan!F393,0)</f>
        <v>0</v>
      </c>
      <c r="AG365" s="10">
        <f>IF(AND('PV IN'!$D$35="YES",$C365&lt;='PV IN'!$E$35*12),0,-'PV IN'!$E$18*'PV IN'!$E$34/12)</f>
        <v>-750</v>
      </c>
      <c r="AH365" s="10">
        <f>IF(AND('PV IN'!$D$37="YES",$C365&lt;='PV IN'!$E$37*12),0,-'PV IN'!$E$18*'PV IN'!$E$36/12)</f>
        <v>-625</v>
      </c>
      <c r="AI365" s="2">
        <f>IF(AND('PV IN'!$D$33="YES",PVCalcs!C365=ROUNDUP('PV IN'!$H$33*12,)),-'PV IN'!$E$33*'PV IN'!$E$18,0)</f>
        <v>0</v>
      </c>
      <c r="AK365" s="2">
        <f t="shared" si="87"/>
        <v>9463.728535234819</v>
      </c>
      <c r="AL365" s="2">
        <f t="shared" ref="AL365:AL428" si="98">SUM(AC365:AI365)</f>
        <v>-1375</v>
      </c>
      <c r="AM365" s="2">
        <f t="shared" ref="AM365:AM428" si="99">AK365+AL365</f>
        <v>8088.728535234819</v>
      </c>
      <c r="AN365" s="43"/>
      <c r="AO365" s="2">
        <f t="shared" ref="AO365:AO428" si="100">SUM(Z365:AA365)</f>
        <v>0</v>
      </c>
      <c r="AP365" s="2">
        <f t="shared" ref="AP365:AP428" si="101">SUM(AF365:AI365)</f>
        <v>-1375</v>
      </c>
      <c r="AR365" s="2">
        <f t="shared" ref="AR365:AR428" si="102">SUM(AO365:AQ365)</f>
        <v>-1375</v>
      </c>
      <c r="AS365" s="2">
        <f>-AR365*'PV IN'!$E$8</f>
        <v>288.75</v>
      </c>
      <c r="AT365" s="2">
        <f>IF('PV IN'!$F$4="Battery Only",0,AM365+AS365)</f>
        <v>8377.478535234819</v>
      </c>
      <c r="AV365" s="10">
        <f t="shared" ref="AV365:AV428" si="103">AV364+AT365</f>
        <v>2471520.2604781254</v>
      </c>
      <c r="AW365" s="2">
        <f>AT365/(1+('PV IN'!$G$9))^(C365)</f>
        <v>1930.4945359486712</v>
      </c>
      <c r="AX365" s="2" t="e">
        <f>IF(C365&lt;='PV IN'!$O$22*12,AW365+AX364,NA())</f>
        <v>#N/A</v>
      </c>
      <c r="AZ365" s="10">
        <f t="shared" ref="AZ365:AZ428" si="104">AL365-AD365</f>
        <v>-1375</v>
      </c>
      <c r="BA365" s="10">
        <f t="shared" si="90"/>
        <v>0</v>
      </c>
      <c r="BB365" s="10">
        <f t="shared" ref="BB365:BB428" si="105">AZ365+BA365</f>
        <v>-1375</v>
      </c>
      <c r="BC365" s="10">
        <f t="shared" ref="BC365:BC428" si="106">AO365</f>
        <v>0</v>
      </c>
      <c r="BD365" s="10">
        <f t="shared" ref="BD365:BD428" si="107">AP365</f>
        <v>-1375</v>
      </c>
      <c r="BE365" s="2">
        <f t="shared" ref="BE365:BE428" si="108">AQ365</f>
        <v>0</v>
      </c>
      <c r="BF365" s="10">
        <f t="shared" ref="BF365:BF428" si="109">SUM(BC365:BE365)</f>
        <v>-1375</v>
      </c>
      <c r="BG365" s="2">
        <f>-BF365*'PV IN'!$E$8</f>
        <v>288.75</v>
      </c>
      <c r="BH365" s="2">
        <f>IF('PV IN'!$F$4="Battery Only",0,BB365+BG365)</f>
        <v>-1086.25</v>
      </c>
      <c r="BI365" s="2">
        <f>BH365/(1+('PV IN'!$G$9))^(C365)</f>
        <v>-250.31394361137157</v>
      </c>
    </row>
    <row r="366" spans="2:61" x14ac:dyDescent="0.25">
      <c r="C366">
        <v>362</v>
      </c>
      <c r="D366" s="16">
        <f>D365*(1+('PV IN'!$G$6/12))</f>
        <v>7.5999999999999998E-2</v>
      </c>
      <c r="E366" s="16">
        <f>LkUP!$U$50</f>
        <v>7.8896523189157505E-2</v>
      </c>
      <c r="F366" s="16">
        <f>IF('PV IN'!$D$7="Table",E366,D366)</f>
        <v>7.8896523189157505E-2</v>
      </c>
      <c r="G366" s="33">
        <f>('PV IN'!$E$25*'PV IN'!$E$18/12)*(1-(1-'PV IN'!$E$27)/(25*12))^C365</f>
        <v>119871.18063749732</v>
      </c>
      <c r="H366" s="33">
        <f>IF('PV IN'!$D$19="YES",G366*'PV IN'!$E$21,0)</f>
        <v>0</v>
      </c>
      <c r="I366" s="33">
        <f>IF('PV IN'!$D$19="YES",'PV IN'!$E$22*BattCalcs!W487,0)</f>
        <v>0</v>
      </c>
      <c r="J366" s="33">
        <f>IF('PV IN'!$D$19="YES",'PV IN'!$E$23*BattCalcs!Y487,0)</f>
        <v>0</v>
      </c>
      <c r="K366" s="33">
        <f>BattCalcs!AF487</f>
        <v>0</v>
      </c>
      <c r="L366" s="33">
        <f t="shared" si="97"/>
        <v>0</v>
      </c>
      <c r="M366" s="33">
        <f>IF('PV IN'!$F$4="PV Only",G366,G366-SUM(H366:J366,L366))</f>
        <v>119871.18063749732</v>
      </c>
      <c r="N366" s="2">
        <f>IF(C366&lt;='PV IN'!$I$12*12,'PV IN'!$E$12*G366/1000,0)</f>
        <v>0</v>
      </c>
      <c r="O366" s="2">
        <f>IF(AND(C366&gt;'PV IN'!$I$12*12,C366&lt;='PV IN'!$I$13*12+'PV IN'!$I$12*12),'PV IN'!$E$13*PVCalcs!G366/1000,0)</f>
        <v>0</v>
      </c>
      <c r="P366" s="2">
        <f>IF(AND(C366&gt;'PV IN'!$I$12*12+'PV IN'!$I$13*12,C366&lt;='PV IN'!$I$12*12+'PV IN'!$I$13*12+'PV IN'!$I$14*12),'PV IN'!$E$14*PVCalcs!G366/1000,0)</f>
        <v>0</v>
      </c>
      <c r="R366" s="10">
        <f>IF(AND('PV IN'!$D$35="YES",$C366&lt;='PV IN'!$E$35*12),-'PV IN'!$E$18*'PV IN'!$E$34/12,0)</f>
        <v>0</v>
      </c>
      <c r="S366" s="10">
        <f>IF(AND('PV IN'!$D$37="YES",$C366&lt;='PV IN'!$E$37*12),-'PV IN'!$E$18*'PV IN'!$E$36/12,0)</f>
        <v>0</v>
      </c>
      <c r="U366" s="2">
        <f t="shared" si="96"/>
        <v>9457.4193828779953</v>
      </c>
      <c r="V366" s="10">
        <f>PVLoan!M393</f>
        <v>0</v>
      </c>
      <c r="W366" s="2">
        <f>IF(C366='PV IN'!$I$40,IF('PV IN'!$G$40="Non-Taxable",'PV IN'!$F$40,0),0)+IF(C366='PV IN'!$I$41,IF('PV IN'!$G$41="Non-Taxable",'PV IN'!$F$41,0),0)</f>
        <v>0</v>
      </c>
      <c r="X366" s="10"/>
      <c r="Y366" s="10">
        <f>IF('PV IN'!$E$15="Non-Taxable",SUM(N366:P366),0)</f>
        <v>0</v>
      </c>
      <c r="Z366" s="10">
        <f>IF('PV IN'!$E$15="Taxable",SUM(N366:P366),0)</f>
        <v>0</v>
      </c>
      <c r="AA366" s="2">
        <f>IF(C366='PV IN'!$I$40,IF('PV IN'!$G$40="Taxable",'PV IN'!$F$40,0),0)+IF(C366='PV IN'!$I$41,IF('PV IN'!$G$41="Taxable",'PV IN'!$F$41,0),0)</f>
        <v>0</v>
      </c>
      <c r="AD366" s="10">
        <f>IF('PV IN'!$D$48="YES",-U366*'PV IN'!$E$8,0)</f>
        <v>0</v>
      </c>
      <c r="AE366" s="10">
        <f>IF('PV IN'!$N$10="Yes",-PVLoan!H394,-PVLoan!L394)</f>
        <v>0</v>
      </c>
      <c r="AF366" s="10">
        <f>IF('PV IN'!$N$10="Yes",-PVLoan!F394,0)</f>
        <v>0</v>
      </c>
      <c r="AG366" s="10">
        <f>IF(AND('PV IN'!$D$35="YES",$C366&lt;='PV IN'!$E$35*12),0,-'PV IN'!$E$18*'PV IN'!$E$34/12)</f>
        <v>-750</v>
      </c>
      <c r="AH366" s="10">
        <f>IF(AND('PV IN'!$D$37="YES",$C366&lt;='PV IN'!$E$37*12),0,-'PV IN'!$E$18*'PV IN'!$E$36/12)</f>
        <v>-625</v>
      </c>
      <c r="AI366" s="2">
        <f>IF(AND('PV IN'!$D$33="YES",PVCalcs!C366=ROUNDUP('PV IN'!$H$33*12,)),-'PV IN'!$E$33*'PV IN'!$E$18,0)</f>
        <v>0</v>
      </c>
      <c r="AK366" s="2">
        <f t="shared" si="87"/>
        <v>9457.4193828779953</v>
      </c>
      <c r="AL366" s="2">
        <f t="shared" si="98"/>
        <v>-1375</v>
      </c>
      <c r="AM366" s="2">
        <f t="shared" si="99"/>
        <v>8082.4193828779953</v>
      </c>
      <c r="AN366" s="43"/>
      <c r="AO366" s="2">
        <f t="shared" si="100"/>
        <v>0</v>
      </c>
      <c r="AP366" s="2">
        <f t="shared" si="101"/>
        <v>-1375</v>
      </c>
      <c r="AR366" s="2">
        <f t="shared" si="102"/>
        <v>-1375</v>
      </c>
      <c r="AS366" s="2">
        <f>-AR366*'PV IN'!$E$8</f>
        <v>288.75</v>
      </c>
      <c r="AT366" s="2">
        <f>IF('PV IN'!$F$4="Battery Only",0,AM366+AS366)</f>
        <v>8371.1693828779953</v>
      </c>
      <c r="AV366" s="10">
        <f t="shared" si="103"/>
        <v>2479891.4298610035</v>
      </c>
      <c r="AW366" s="2">
        <f>AT366/(1+('PV IN'!$G$9))^(C366)</f>
        <v>1921.2134024127308</v>
      </c>
      <c r="AX366" s="2" t="e">
        <f>IF(C366&lt;='PV IN'!$O$22*12,AW366+AX365,NA())</f>
        <v>#N/A</v>
      </c>
      <c r="AZ366" s="10">
        <f t="shared" si="104"/>
        <v>-1375</v>
      </c>
      <c r="BA366" s="10">
        <f t="shared" si="90"/>
        <v>0</v>
      </c>
      <c r="BB366" s="10">
        <f t="shared" si="105"/>
        <v>-1375</v>
      </c>
      <c r="BC366" s="10">
        <f t="shared" si="106"/>
        <v>0</v>
      </c>
      <c r="BD366" s="10">
        <f t="shared" si="107"/>
        <v>-1375</v>
      </c>
      <c r="BE366" s="2">
        <f t="shared" si="108"/>
        <v>0</v>
      </c>
      <c r="BF366" s="10">
        <f t="shared" si="109"/>
        <v>-1375</v>
      </c>
      <c r="BG366" s="2">
        <f>-BF366*'PV IN'!$E$8</f>
        <v>288.75</v>
      </c>
      <c r="BH366" s="2">
        <f>IF('PV IN'!$F$4="Battery Only",0,BB366+BG366)</f>
        <v>-1086.25</v>
      </c>
      <c r="BI366" s="2">
        <f>BH366/(1+('PV IN'!$G$9))^(C366)</f>
        <v>-249.29827159384865</v>
      </c>
    </row>
    <row r="367" spans="2:61" x14ac:dyDescent="0.25">
      <c r="C367">
        <v>363</v>
      </c>
      <c r="D367" s="16">
        <f>D366*(1+('PV IN'!$G$6/12))</f>
        <v>7.5999999999999998E-2</v>
      </c>
      <c r="E367" s="16">
        <f>LkUP!$U$50</f>
        <v>7.8896523189157505E-2</v>
      </c>
      <c r="F367" s="16">
        <f>IF('PV IN'!$D$7="Table",E367,D367)</f>
        <v>7.8896523189157505E-2</v>
      </c>
      <c r="G367" s="33">
        <f>('PV IN'!$E$25*'PV IN'!$E$18/12)*(1-(1-'PV IN'!$E$27)/(25*12))^C366</f>
        <v>119791.2665170723</v>
      </c>
      <c r="H367" s="33">
        <f>IF('PV IN'!$D$19="YES",G367*'PV IN'!$E$21,0)</f>
        <v>0</v>
      </c>
      <c r="I367" s="33">
        <f>IF('PV IN'!$D$19="YES",'PV IN'!$E$22*BattCalcs!W367,0)</f>
        <v>0</v>
      </c>
      <c r="J367" s="33">
        <f>IF('PV IN'!$D$19="YES",'PV IN'!$E$23*BattCalcs!Y367,0)</f>
        <v>0</v>
      </c>
      <c r="K367" s="33">
        <f>BattCalcs!AF367</f>
        <v>25811.765833333331</v>
      </c>
      <c r="L367" s="33">
        <f t="shared" si="97"/>
        <v>25811.765833333331</v>
      </c>
      <c r="M367" s="33">
        <f>IF('PV IN'!$F$4="PV Only",G367,G367-SUM(H367:J367,L367))</f>
        <v>119791.2665170723</v>
      </c>
      <c r="N367" s="2">
        <f>IF(C367&lt;='PV IN'!$I$12*12,'PV IN'!$E$12*G367/1000,0)</f>
        <v>0</v>
      </c>
      <c r="O367" s="2">
        <f>IF(AND(C367&gt;'PV IN'!$I$12*12,C367&lt;='PV IN'!$I$13*12+'PV IN'!$I$12*12),'PV IN'!$E$13*PVCalcs!G367/1000,0)</f>
        <v>0</v>
      </c>
      <c r="P367" s="2">
        <f>IF(AND(C367&gt;'PV IN'!$I$12*12+'PV IN'!$I$13*12,C367&lt;='PV IN'!$I$12*12+'PV IN'!$I$13*12+'PV IN'!$I$14*12),'PV IN'!$E$14*PVCalcs!G367/1000,0)</f>
        <v>0</v>
      </c>
      <c r="R367" s="10">
        <f>IF(AND('PV IN'!$D$35="YES",$C367&lt;='PV IN'!$E$35*12),-'PV IN'!$E$18*'PV IN'!$E$34/12,0)</f>
        <v>0</v>
      </c>
      <c r="S367" s="10">
        <f>IF(AND('PV IN'!$D$37="YES",$C367&lt;='PV IN'!$E$37*12),-'PV IN'!$E$18*'PV IN'!$E$36/12,0)</f>
        <v>0</v>
      </c>
      <c r="U367" s="2">
        <f t="shared" si="96"/>
        <v>9451.1144366227418</v>
      </c>
      <c r="V367" s="10">
        <f>PVLoan!M394</f>
        <v>0</v>
      </c>
      <c r="W367" s="2">
        <f>IF(C367='PV IN'!$I$40,IF('PV IN'!$G$40="Non-Taxable",'PV IN'!$F$40,0),0)+IF(C367='PV IN'!$I$41,IF('PV IN'!$G$41="Non-Taxable",'PV IN'!$F$41,0),0)</f>
        <v>0</v>
      </c>
      <c r="X367" s="10"/>
      <c r="Y367" s="10">
        <f>IF('PV IN'!$E$15="Non-Taxable",SUM(N367:P367),0)</f>
        <v>0</v>
      </c>
      <c r="Z367" s="10">
        <f>IF('PV IN'!$E$15="Taxable",SUM(N367:P367),0)</f>
        <v>0</v>
      </c>
      <c r="AA367" s="2">
        <f>IF(C367='PV IN'!$I$40,IF('PV IN'!$G$40="Taxable",'PV IN'!$F$40,0),0)+IF(C367='PV IN'!$I$41,IF('PV IN'!$G$41="Taxable",'PV IN'!$F$41,0),0)</f>
        <v>0</v>
      </c>
      <c r="AD367" s="10">
        <f>IF('PV IN'!$D$48="YES",-U367*'PV IN'!$E$8,0)</f>
        <v>0</v>
      </c>
      <c r="AE367" s="10">
        <f>IF('PV IN'!$N$10="Yes",-PVLoan!H395,-PVLoan!L395)</f>
        <v>0</v>
      </c>
      <c r="AF367" s="10">
        <f>IF('PV IN'!$N$10="Yes",-PVLoan!F395,0)</f>
        <v>0</v>
      </c>
      <c r="AG367" s="10">
        <f>IF(AND('PV IN'!$D$35="YES",$C367&lt;='PV IN'!$E$35*12),0,-'PV IN'!$E$18*'PV IN'!$E$34/12)</f>
        <v>-750</v>
      </c>
      <c r="AH367" s="10">
        <f>IF(AND('PV IN'!$D$37="YES",$C367&lt;='PV IN'!$E$37*12),0,-'PV IN'!$E$18*'PV IN'!$E$36/12)</f>
        <v>-625</v>
      </c>
      <c r="AI367" s="2">
        <f>IF(AND('PV IN'!$D$33="YES",PVCalcs!C367=ROUNDUP('PV IN'!$H$33*12,)),-'PV IN'!$E$33*'PV IN'!$E$18,0)</f>
        <v>0</v>
      </c>
      <c r="AK367" s="2">
        <f t="shared" si="87"/>
        <v>9451.1144366227418</v>
      </c>
      <c r="AL367" s="2">
        <f t="shared" si="98"/>
        <v>-1375</v>
      </c>
      <c r="AM367" s="2">
        <f t="shared" si="99"/>
        <v>8076.1144366227418</v>
      </c>
      <c r="AN367" s="43"/>
      <c r="AO367" s="2">
        <f t="shared" si="100"/>
        <v>0</v>
      </c>
      <c r="AP367" s="2">
        <f t="shared" si="101"/>
        <v>-1375</v>
      </c>
      <c r="AR367" s="2">
        <f t="shared" si="102"/>
        <v>-1375</v>
      </c>
      <c r="AS367" s="2">
        <f>-AR367*'PV IN'!$E$8</f>
        <v>288.75</v>
      </c>
      <c r="AT367" s="2">
        <f>IF('PV IN'!$F$4="Battery Only",0,AM367+AS367)</f>
        <v>8364.8644366227418</v>
      </c>
      <c r="AV367" s="10">
        <f t="shared" si="103"/>
        <v>2488256.2942976262</v>
      </c>
      <c r="AW367" s="2">
        <f>AT367/(1+('PV IN'!$G$9))^(C367)</f>
        <v>1911.9767646195403</v>
      </c>
      <c r="AX367" s="2" t="e">
        <f>IF(C367&lt;='PV IN'!$O$22*12,AW367+AX366,NA())</f>
        <v>#N/A</v>
      </c>
      <c r="AZ367" s="10">
        <f t="shared" si="104"/>
        <v>-1375</v>
      </c>
      <c r="BA367" s="10">
        <f t="shared" si="90"/>
        <v>0</v>
      </c>
      <c r="BB367" s="10">
        <f t="shared" si="105"/>
        <v>-1375</v>
      </c>
      <c r="BC367" s="10">
        <f t="shared" si="106"/>
        <v>0</v>
      </c>
      <c r="BD367" s="10">
        <f t="shared" si="107"/>
        <v>-1375</v>
      </c>
      <c r="BE367" s="2">
        <f t="shared" si="108"/>
        <v>0</v>
      </c>
      <c r="BF367" s="10">
        <f t="shared" si="109"/>
        <v>-1375</v>
      </c>
      <c r="BG367" s="2">
        <f>-BF367*'PV IN'!$E$8</f>
        <v>288.75</v>
      </c>
      <c r="BH367" s="2">
        <f>IF('PV IN'!$F$4="Battery Only",0,BB367+BG367)</f>
        <v>-1086.25</v>
      </c>
      <c r="BI367" s="2">
        <f>BH367/(1+('PV IN'!$G$9))^(C367)</f>
        <v>-248.28672075963777</v>
      </c>
    </row>
    <row r="368" spans="2:61" x14ac:dyDescent="0.25">
      <c r="C368">
        <v>364</v>
      </c>
      <c r="D368" s="16">
        <f>D367*(1+('PV IN'!$G$6/12))</f>
        <v>7.5999999999999998E-2</v>
      </c>
      <c r="E368" s="16">
        <f>LkUP!$U$50</f>
        <v>7.8896523189157505E-2</v>
      </c>
      <c r="F368" s="16">
        <f>IF('PV IN'!$D$7="Table",E368,D368)</f>
        <v>7.8896523189157505E-2</v>
      </c>
      <c r="G368" s="33">
        <f>('PV IN'!$E$25*'PV IN'!$E$18/12)*(1-(1-'PV IN'!$E$27)/(25*12))^C367</f>
        <v>119711.4056727276</v>
      </c>
      <c r="H368" s="33">
        <f>IF('PV IN'!$D$19="YES",G368*'PV IN'!$E$21,0)</f>
        <v>0</v>
      </c>
      <c r="I368" s="33">
        <f>IF('PV IN'!$D$19="YES",'PV IN'!$E$22*BattCalcs!W368,0)</f>
        <v>0</v>
      </c>
      <c r="J368" s="33">
        <f>IF('PV IN'!$D$19="YES",'PV IN'!$E$23*BattCalcs!Y368,0)</f>
        <v>0</v>
      </c>
      <c r="K368" s="33">
        <f>BattCalcs!AF368</f>
        <v>25811.765833333331</v>
      </c>
      <c r="L368" s="33">
        <f t="shared" si="97"/>
        <v>25811.765833333331</v>
      </c>
      <c r="M368" s="33">
        <f>IF('PV IN'!$F$4="PV Only",G368,G368-SUM(H368:J368,L368))</f>
        <v>119711.4056727276</v>
      </c>
      <c r="N368" s="2">
        <f>IF(C368&lt;='PV IN'!$I$12*12,'PV IN'!$E$12*G368/1000,0)</f>
        <v>0</v>
      </c>
      <c r="O368" s="2">
        <f>IF(AND(C368&gt;'PV IN'!$I$12*12,C368&lt;='PV IN'!$I$13*12+'PV IN'!$I$12*12),'PV IN'!$E$13*PVCalcs!G368/1000,0)</f>
        <v>0</v>
      </c>
      <c r="P368" s="2">
        <f>IF(AND(C368&gt;'PV IN'!$I$12*12+'PV IN'!$I$13*12,C368&lt;='PV IN'!$I$12*12+'PV IN'!$I$13*12+'PV IN'!$I$14*12),'PV IN'!$E$14*PVCalcs!G368/1000,0)</f>
        <v>0</v>
      </c>
      <c r="R368" s="10">
        <f>IF(AND('PV IN'!$D$35="YES",$C368&lt;='PV IN'!$E$35*12),-'PV IN'!$E$18*'PV IN'!$E$34/12,0)</f>
        <v>0</v>
      </c>
      <c r="S368" s="10">
        <f>IF(AND('PV IN'!$D$37="YES",$C368&lt;='PV IN'!$E$37*12),-'PV IN'!$E$18*'PV IN'!$E$36/12,0)</f>
        <v>0</v>
      </c>
      <c r="U368" s="2">
        <f t="shared" si="96"/>
        <v>9444.8136936649953</v>
      </c>
      <c r="V368" s="10">
        <f>PVLoan!M395</f>
        <v>0</v>
      </c>
      <c r="W368" s="2">
        <f>IF(C368='PV IN'!$I$40,IF('PV IN'!$G$40="Non-Taxable",'PV IN'!$F$40,0),0)+IF(C368='PV IN'!$I$41,IF('PV IN'!$G$41="Non-Taxable",'PV IN'!$F$41,0),0)</f>
        <v>0</v>
      </c>
      <c r="X368" s="10"/>
      <c r="Y368" s="10">
        <f>IF('PV IN'!$E$15="Non-Taxable",SUM(N368:P368),0)</f>
        <v>0</v>
      </c>
      <c r="Z368" s="10">
        <f>IF('PV IN'!$E$15="Taxable",SUM(N368:P368),0)</f>
        <v>0</v>
      </c>
      <c r="AA368" s="2">
        <f>IF(C368='PV IN'!$I$40,IF('PV IN'!$G$40="Taxable",'PV IN'!$F$40,0),0)+IF(C368='PV IN'!$I$41,IF('PV IN'!$G$41="Taxable",'PV IN'!$F$41,0),0)</f>
        <v>0</v>
      </c>
      <c r="AD368" s="10">
        <f>IF('PV IN'!$D$48="YES",-U368*'PV IN'!$E$8,0)</f>
        <v>0</v>
      </c>
      <c r="AE368" s="10">
        <f>IF('PV IN'!$N$10="Yes",-PVLoan!H396,-PVLoan!L396)</f>
        <v>0</v>
      </c>
      <c r="AF368" s="10">
        <f>IF('PV IN'!$N$10="Yes",-PVLoan!F396,0)</f>
        <v>0</v>
      </c>
      <c r="AG368" s="10">
        <f>IF(AND('PV IN'!$D$35="YES",$C368&lt;='PV IN'!$E$35*12),0,-'PV IN'!$E$18*'PV IN'!$E$34/12)</f>
        <v>-750</v>
      </c>
      <c r="AH368" s="10">
        <f>IF(AND('PV IN'!$D$37="YES",$C368&lt;='PV IN'!$E$37*12),0,-'PV IN'!$E$18*'PV IN'!$E$36/12)</f>
        <v>-625</v>
      </c>
      <c r="AI368" s="2">
        <f>IF(AND('PV IN'!$D$33="YES",PVCalcs!C368=ROUNDUP('PV IN'!$H$33*12,)),-'PV IN'!$E$33*'PV IN'!$E$18,0)</f>
        <v>0</v>
      </c>
      <c r="AK368" s="2">
        <f t="shared" si="87"/>
        <v>9444.8136936649953</v>
      </c>
      <c r="AL368" s="2">
        <f t="shared" si="98"/>
        <v>-1375</v>
      </c>
      <c r="AM368" s="2">
        <f t="shared" si="99"/>
        <v>8069.8136936649953</v>
      </c>
      <c r="AN368" s="43"/>
      <c r="AO368" s="2">
        <f t="shared" si="100"/>
        <v>0</v>
      </c>
      <c r="AP368" s="2">
        <f t="shared" si="101"/>
        <v>-1375</v>
      </c>
      <c r="AR368" s="2">
        <f t="shared" si="102"/>
        <v>-1375</v>
      </c>
      <c r="AS368" s="2">
        <f>-AR368*'PV IN'!$E$8</f>
        <v>288.75</v>
      </c>
      <c r="AT368" s="2">
        <f>IF('PV IN'!$F$4="Battery Only",0,AM368+AS368)</f>
        <v>8358.5636936649953</v>
      </c>
      <c r="AV368" s="10">
        <f t="shared" si="103"/>
        <v>2496614.8579912912</v>
      </c>
      <c r="AW368" s="2">
        <f>AT368/(1+('PV IN'!$G$9))^(C368)</f>
        <v>1902.7844097437287</v>
      </c>
      <c r="AX368" s="2" t="e">
        <f>IF(C368&lt;='PV IN'!$O$22*12,AW368+AX367,NA())</f>
        <v>#N/A</v>
      </c>
      <c r="AZ368" s="10">
        <f t="shared" si="104"/>
        <v>-1375</v>
      </c>
      <c r="BA368" s="10">
        <f t="shared" si="90"/>
        <v>0</v>
      </c>
      <c r="BB368" s="10">
        <f t="shared" si="105"/>
        <v>-1375</v>
      </c>
      <c r="BC368" s="10">
        <f t="shared" si="106"/>
        <v>0</v>
      </c>
      <c r="BD368" s="10">
        <f t="shared" si="107"/>
        <v>-1375</v>
      </c>
      <c r="BE368" s="2">
        <f t="shared" si="108"/>
        <v>0</v>
      </c>
      <c r="BF368" s="10">
        <f t="shared" si="109"/>
        <v>-1375</v>
      </c>
      <c r="BG368" s="2">
        <f>-BF368*'PV IN'!$E$8</f>
        <v>288.75</v>
      </c>
      <c r="BH368" s="2">
        <f>IF('PV IN'!$F$4="Battery Only",0,BB368+BG368)</f>
        <v>-1086.25</v>
      </c>
      <c r="BI368" s="2">
        <f>BH368/(1+('PV IN'!$G$9))^(C368)</f>
        <v>-247.27927438665577</v>
      </c>
    </row>
    <row r="369" spans="2:61" x14ac:dyDescent="0.25">
      <c r="C369">
        <v>365</v>
      </c>
      <c r="D369" s="16">
        <f>D368*(1+('PV IN'!$G$6/12))</f>
        <v>7.5999999999999998E-2</v>
      </c>
      <c r="E369" s="16">
        <f>LkUP!$U$50</f>
        <v>7.8896523189157505E-2</v>
      </c>
      <c r="F369" s="16">
        <f>IF('PV IN'!$D$7="Table",E369,D369)</f>
        <v>7.8896523189157505E-2</v>
      </c>
      <c r="G369" s="33">
        <f>('PV IN'!$E$25*'PV IN'!$E$18/12)*(1-(1-'PV IN'!$E$27)/(25*12))^C368</f>
        <v>119631.59806894578</v>
      </c>
      <c r="H369" s="33">
        <f>IF('PV IN'!$D$19="YES",G369*'PV IN'!$E$21,0)</f>
        <v>0</v>
      </c>
      <c r="I369" s="33">
        <f>IF('PV IN'!$D$19="YES",'PV IN'!$E$22*BattCalcs!W369,0)</f>
        <v>0</v>
      </c>
      <c r="J369" s="33">
        <f>IF('PV IN'!$D$19="YES",'PV IN'!$E$23*BattCalcs!Y369,0)</f>
        <v>0</v>
      </c>
      <c r="K369" s="33">
        <f>BattCalcs!AF369</f>
        <v>25811.765833333331</v>
      </c>
      <c r="L369" s="33">
        <f t="shared" si="97"/>
        <v>25811.765833333331</v>
      </c>
      <c r="M369" s="33">
        <f>IF('PV IN'!$F$4="PV Only",G369,G369-SUM(H369:J369,L369))</f>
        <v>119631.59806894578</v>
      </c>
      <c r="N369" s="2">
        <f>IF(C369&lt;='PV IN'!$I$12*12,'PV IN'!$E$12*G369/1000,0)</f>
        <v>0</v>
      </c>
      <c r="O369" s="2">
        <f>IF(AND(C369&gt;'PV IN'!$I$12*12,C369&lt;='PV IN'!$I$13*12+'PV IN'!$I$12*12),'PV IN'!$E$13*PVCalcs!G369/1000,0)</f>
        <v>0</v>
      </c>
      <c r="P369" s="2">
        <f>IF(AND(C369&gt;'PV IN'!$I$12*12+'PV IN'!$I$13*12,C369&lt;='PV IN'!$I$12*12+'PV IN'!$I$13*12+'PV IN'!$I$14*12),'PV IN'!$E$14*PVCalcs!G369/1000,0)</f>
        <v>0</v>
      </c>
      <c r="R369" s="10">
        <f>IF(AND('PV IN'!$D$35="YES",$C369&lt;='PV IN'!$E$35*12),-'PV IN'!$E$18*'PV IN'!$E$34/12,0)</f>
        <v>0</v>
      </c>
      <c r="S369" s="10">
        <f>IF(AND('PV IN'!$D$37="YES",$C369&lt;='PV IN'!$E$37*12),-'PV IN'!$E$18*'PV IN'!$E$36/12,0)</f>
        <v>0</v>
      </c>
      <c r="U369" s="2">
        <f t="shared" si="96"/>
        <v>9438.5171512025518</v>
      </c>
      <c r="V369" s="10">
        <f>PVLoan!M396</f>
        <v>0</v>
      </c>
      <c r="W369" s="2">
        <f>IF(C369='PV IN'!$I$40,IF('PV IN'!$G$40="Non-Taxable",'PV IN'!$F$40,0),0)+IF(C369='PV IN'!$I$41,IF('PV IN'!$G$41="Non-Taxable",'PV IN'!$F$41,0),0)</f>
        <v>0</v>
      </c>
      <c r="X369" s="10"/>
      <c r="Y369" s="10">
        <f>IF('PV IN'!$E$15="Non-Taxable",SUM(N369:P369),0)</f>
        <v>0</v>
      </c>
      <c r="Z369" s="10">
        <f>IF('PV IN'!$E$15="Taxable",SUM(N369:P369),0)</f>
        <v>0</v>
      </c>
      <c r="AA369" s="2">
        <f>IF(C369='PV IN'!$I$40,IF('PV IN'!$G$40="Taxable",'PV IN'!$F$40,0),0)+IF(C369='PV IN'!$I$41,IF('PV IN'!$G$41="Taxable",'PV IN'!$F$41,0),0)</f>
        <v>0</v>
      </c>
      <c r="AD369" s="10">
        <f>IF('PV IN'!$D$48="YES",-U369*'PV IN'!$E$8,0)</f>
        <v>0</v>
      </c>
      <c r="AE369" s="10">
        <f>IF('PV IN'!$N$10="Yes",-PVLoan!H397,-PVLoan!L397)</f>
        <v>0</v>
      </c>
      <c r="AF369" s="10">
        <f>IF('PV IN'!$N$10="Yes",-PVLoan!F397,0)</f>
        <v>0</v>
      </c>
      <c r="AG369" s="10">
        <f>IF(AND('PV IN'!$D$35="YES",$C369&lt;='PV IN'!$E$35*12),0,-'PV IN'!$E$18*'PV IN'!$E$34/12)</f>
        <v>-750</v>
      </c>
      <c r="AH369" s="10">
        <f>IF(AND('PV IN'!$D$37="YES",$C369&lt;='PV IN'!$E$37*12),0,-'PV IN'!$E$18*'PV IN'!$E$36/12)</f>
        <v>-625</v>
      </c>
      <c r="AI369" s="2">
        <f>IF(AND('PV IN'!$D$33="YES",PVCalcs!C369=ROUNDUP('PV IN'!$H$33*12,)),-'PV IN'!$E$33*'PV IN'!$E$18,0)</f>
        <v>0</v>
      </c>
      <c r="AK369" s="2">
        <f t="shared" si="87"/>
        <v>9438.5171512025518</v>
      </c>
      <c r="AL369" s="2">
        <f t="shared" si="98"/>
        <v>-1375</v>
      </c>
      <c r="AM369" s="2">
        <f t="shared" si="99"/>
        <v>8063.5171512025518</v>
      </c>
      <c r="AN369" s="43"/>
      <c r="AO369" s="2">
        <f t="shared" si="100"/>
        <v>0</v>
      </c>
      <c r="AP369" s="2">
        <f t="shared" si="101"/>
        <v>-1375</v>
      </c>
      <c r="AR369" s="2">
        <f t="shared" si="102"/>
        <v>-1375</v>
      </c>
      <c r="AS369" s="2">
        <f>-AR369*'PV IN'!$E$8</f>
        <v>288.75</v>
      </c>
      <c r="AT369" s="2">
        <f>IF('PV IN'!$F$4="Battery Only",0,AM369+AS369)</f>
        <v>8352.2671512025518</v>
      </c>
      <c r="AV369" s="10">
        <f t="shared" si="103"/>
        <v>2504967.1251424938</v>
      </c>
      <c r="AW369" s="2">
        <f>AT369/(1+('PV IN'!$G$9))^(C369)</f>
        <v>1893.6361259758942</v>
      </c>
      <c r="AX369" s="2" t="e">
        <f>IF(C369&lt;='PV IN'!$O$22*12,AW369+AX368,NA())</f>
        <v>#N/A</v>
      </c>
      <c r="AZ369" s="10">
        <f t="shared" si="104"/>
        <v>-1375</v>
      </c>
      <c r="BA369" s="10">
        <f t="shared" si="90"/>
        <v>0</v>
      </c>
      <c r="BB369" s="10">
        <f t="shared" si="105"/>
        <v>-1375</v>
      </c>
      <c r="BC369" s="10">
        <f t="shared" si="106"/>
        <v>0</v>
      </c>
      <c r="BD369" s="10">
        <f t="shared" si="107"/>
        <v>-1375</v>
      </c>
      <c r="BE369" s="2">
        <f t="shared" si="108"/>
        <v>0</v>
      </c>
      <c r="BF369" s="10">
        <f t="shared" si="109"/>
        <v>-1375</v>
      </c>
      <c r="BG369" s="2">
        <f>-BF369*'PV IN'!$E$8</f>
        <v>288.75</v>
      </c>
      <c r="BH369" s="2">
        <f>IF('PV IN'!$F$4="Battery Only",0,BB369+BG369)</f>
        <v>-1086.25</v>
      </c>
      <c r="BI369" s="2">
        <f>BH369/(1+('PV IN'!$G$9))^(C369)</f>
        <v>-246.27591582067097</v>
      </c>
    </row>
    <row r="370" spans="2:61" x14ac:dyDescent="0.25">
      <c r="C370">
        <v>366</v>
      </c>
      <c r="D370" s="16">
        <f>D369*(1+('PV IN'!$G$6/12))</f>
        <v>7.5999999999999998E-2</v>
      </c>
      <c r="E370" s="16">
        <f>LkUP!$U$50</f>
        <v>7.8896523189157505E-2</v>
      </c>
      <c r="F370" s="16">
        <f>IF('PV IN'!$D$7="Table",E370,D370)</f>
        <v>7.8896523189157505E-2</v>
      </c>
      <c r="G370" s="33">
        <f>('PV IN'!$E$25*'PV IN'!$E$18/12)*(1-(1-'PV IN'!$E$27)/(25*12))^C369</f>
        <v>119551.84367023314</v>
      </c>
      <c r="H370" s="33">
        <f>IF('PV IN'!$D$19="YES",G370*'PV IN'!$E$21,0)</f>
        <v>0</v>
      </c>
      <c r="I370" s="33">
        <f>IF('PV IN'!$D$19="YES",'PV IN'!$E$22*BattCalcs!W370,0)</f>
        <v>0</v>
      </c>
      <c r="J370" s="33">
        <f>IF('PV IN'!$D$19="YES",'PV IN'!$E$23*BattCalcs!Y370,0)</f>
        <v>0</v>
      </c>
      <c r="K370" s="33">
        <f>BattCalcs!AF370</f>
        <v>25811.765833333331</v>
      </c>
      <c r="L370" s="33">
        <f t="shared" si="97"/>
        <v>25811.765833333331</v>
      </c>
      <c r="M370" s="33">
        <f>IF('PV IN'!$F$4="PV Only",G370,G370-SUM(H370:J370,L370))</f>
        <v>119551.84367023314</v>
      </c>
      <c r="N370" s="2">
        <f>IF(C370&lt;='PV IN'!$I$12*12,'PV IN'!$E$12*G370/1000,0)</f>
        <v>0</v>
      </c>
      <c r="O370" s="2">
        <f>IF(AND(C370&gt;'PV IN'!$I$12*12,C370&lt;='PV IN'!$I$13*12+'PV IN'!$I$12*12),'PV IN'!$E$13*PVCalcs!G370/1000,0)</f>
        <v>0</v>
      </c>
      <c r="P370" s="2">
        <f>IF(AND(C370&gt;'PV IN'!$I$12*12+'PV IN'!$I$13*12,C370&lt;='PV IN'!$I$12*12+'PV IN'!$I$13*12+'PV IN'!$I$14*12),'PV IN'!$E$14*PVCalcs!G370/1000,0)</f>
        <v>0</v>
      </c>
      <c r="R370" s="10">
        <f>IF(AND('PV IN'!$D$35="YES",$C370&lt;='PV IN'!$E$35*12),-'PV IN'!$E$18*'PV IN'!$E$34/12,0)</f>
        <v>0</v>
      </c>
      <c r="S370" s="10">
        <f>IF(AND('PV IN'!$D$37="YES",$C370&lt;='PV IN'!$E$37*12),-'PV IN'!$E$18*'PV IN'!$E$36/12,0)</f>
        <v>0</v>
      </c>
      <c r="U370" s="2">
        <f t="shared" si="96"/>
        <v>9432.2248064350824</v>
      </c>
      <c r="V370" s="10">
        <f>PVLoan!M397</f>
        <v>0</v>
      </c>
      <c r="W370" s="2">
        <f>IF(C370='PV IN'!$I$40,IF('PV IN'!$G$40="Non-Taxable",'PV IN'!$F$40,0),0)+IF(C370='PV IN'!$I$41,IF('PV IN'!$G$41="Non-Taxable",'PV IN'!$F$41,0),0)</f>
        <v>0</v>
      </c>
      <c r="X370" s="10"/>
      <c r="Y370" s="10">
        <f>IF('PV IN'!$E$15="Non-Taxable",SUM(N370:P370),0)</f>
        <v>0</v>
      </c>
      <c r="Z370" s="10">
        <f>IF('PV IN'!$E$15="Taxable",SUM(N370:P370),0)</f>
        <v>0</v>
      </c>
      <c r="AA370" s="2">
        <f>IF(C370='PV IN'!$I$40,IF('PV IN'!$G$40="Taxable",'PV IN'!$F$40,0),0)+IF(C370='PV IN'!$I$41,IF('PV IN'!$G$41="Taxable",'PV IN'!$F$41,0),0)</f>
        <v>0</v>
      </c>
      <c r="AD370" s="10">
        <f>IF('PV IN'!$D$48="YES",-U370*'PV IN'!$E$8,0)</f>
        <v>0</v>
      </c>
      <c r="AE370" s="10">
        <f>IF('PV IN'!$N$10="Yes",-PVLoan!H398,-PVLoan!L398)</f>
        <v>0</v>
      </c>
      <c r="AF370" s="10">
        <f>IF('PV IN'!$N$10="Yes",-PVLoan!F398,0)</f>
        <v>0</v>
      </c>
      <c r="AG370" s="10">
        <f>IF(AND('PV IN'!$D$35="YES",$C370&lt;='PV IN'!$E$35*12),0,-'PV IN'!$E$18*'PV IN'!$E$34/12)</f>
        <v>-750</v>
      </c>
      <c r="AH370" s="10">
        <f>IF(AND('PV IN'!$D$37="YES",$C370&lt;='PV IN'!$E$37*12),0,-'PV IN'!$E$18*'PV IN'!$E$36/12)</f>
        <v>-625</v>
      </c>
      <c r="AI370" s="2">
        <f>IF(AND('PV IN'!$D$33="YES",PVCalcs!C370=ROUNDUP('PV IN'!$H$33*12,)),-'PV IN'!$E$33*'PV IN'!$E$18,0)</f>
        <v>0</v>
      </c>
      <c r="AK370" s="2">
        <f t="shared" si="87"/>
        <v>9432.2248064350824</v>
      </c>
      <c r="AL370" s="2">
        <f t="shared" si="98"/>
        <v>-1375</v>
      </c>
      <c r="AM370" s="2">
        <f t="shared" si="99"/>
        <v>8057.2248064350824</v>
      </c>
      <c r="AN370" s="43"/>
      <c r="AO370" s="2">
        <f t="shared" si="100"/>
        <v>0</v>
      </c>
      <c r="AP370" s="2">
        <f t="shared" si="101"/>
        <v>-1375</v>
      </c>
      <c r="AR370" s="2">
        <f t="shared" si="102"/>
        <v>-1375</v>
      </c>
      <c r="AS370" s="2">
        <f>-AR370*'PV IN'!$E$8</f>
        <v>288.75</v>
      </c>
      <c r="AT370" s="2">
        <f>IF('PV IN'!$F$4="Battery Only",0,AM370+AS370)</f>
        <v>8345.9748064350824</v>
      </c>
      <c r="AV370" s="10">
        <f t="shared" si="103"/>
        <v>2513313.0999489287</v>
      </c>
      <c r="AW370" s="2">
        <f>AT370/(1+('PV IN'!$G$9))^(C370)</f>
        <v>1884.5317025177628</v>
      </c>
      <c r="AX370" s="2" t="e">
        <f>IF(C370&lt;='PV IN'!$O$22*12,AW370+AX369,NA())</f>
        <v>#N/A</v>
      </c>
      <c r="AZ370" s="10">
        <f t="shared" si="104"/>
        <v>-1375</v>
      </c>
      <c r="BA370" s="10">
        <f t="shared" si="90"/>
        <v>0</v>
      </c>
      <c r="BB370" s="10">
        <f t="shared" si="105"/>
        <v>-1375</v>
      </c>
      <c r="BC370" s="10">
        <f t="shared" si="106"/>
        <v>0</v>
      </c>
      <c r="BD370" s="10">
        <f t="shared" si="107"/>
        <v>-1375</v>
      </c>
      <c r="BE370" s="2">
        <f t="shared" si="108"/>
        <v>0</v>
      </c>
      <c r="BF370" s="10">
        <f t="shared" si="109"/>
        <v>-1375</v>
      </c>
      <c r="BG370" s="2">
        <f>-BF370*'PV IN'!$E$8</f>
        <v>288.75</v>
      </c>
      <c r="BH370" s="2">
        <f>IF('PV IN'!$F$4="Battery Only",0,BB370+BG370)</f>
        <v>-1086.25</v>
      </c>
      <c r="BI370" s="2">
        <f>BH370/(1+('PV IN'!$G$9))^(C370)</f>
        <v>-245.27662847502779</v>
      </c>
    </row>
    <row r="371" spans="2:61" x14ac:dyDescent="0.25">
      <c r="C371">
        <v>367</v>
      </c>
      <c r="D371" s="16">
        <f>D370*(1+('PV IN'!$G$6/12))</f>
        <v>7.5999999999999998E-2</v>
      </c>
      <c r="E371" s="16">
        <f>LkUP!$U$50</f>
        <v>7.8896523189157505E-2</v>
      </c>
      <c r="F371" s="16">
        <f>IF('PV IN'!$D$7="Table",E371,D371)</f>
        <v>7.8896523189157505E-2</v>
      </c>
      <c r="G371" s="33">
        <f>('PV IN'!$E$25*'PV IN'!$E$18/12)*(1-(1-'PV IN'!$E$27)/(25*12))^C370</f>
        <v>119472.14244111965</v>
      </c>
      <c r="H371" s="33">
        <f>IF('PV IN'!$D$19="YES",G371*'PV IN'!$E$21,0)</f>
        <v>0</v>
      </c>
      <c r="I371" s="33">
        <f>IF('PV IN'!$D$19="YES",'PV IN'!$E$22*BattCalcs!W371,0)</f>
        <v>0</v>
      </c>
      <c r="J371" s="33">
        <f>IF('PV IN'!$D$19="YES",'PV IN'!$E$23*BattCalcs!Y371,0)</f>
        <v>0</v>
      </c>
      <c r="K371" s="33">
        <f>BattCalcs!AF371</f>
        <v>25811.765833333331</v>
      </c>
      <c r="L371" s="33">
        <f t="shared" si="97"/>
        <v>25811.765833333331</v>
      </c>
      <c r="M371" s="33">
        <f>IF('PV IN'!$F$4="PV Only",G371,G371-SUM(H371:J371,L371))</f>
        <v>119472.14244111965</v>
      </c>
      <c r="N371" s="2">
        <f>IF(C371&lt;='PV IN'!$I$12*12,'PV IN'!$E$12*G371/1000,0)</f>
        <v>0</v>
      </c>
      <c r="O371" s="2">
        <f>IF(AND(C371&gt;'PV IN'!$I$12*12,C371&lt;='PV IN'!$I$13*12+'PV IN'!$I$12*12),'PV IN'!$E$13*PVCalcs!G371/1000,0)</f>
        <v>0</v>
      </c>
      <c r="P371" s="2">
        <f>IF(AND(C371&gt;'PV IN'!$I$12*12+'PV IN'!$I$13*12,C371&lt;='PV IN'!$I$12*12+'PV IN'!$I$13*12+'PV IN'!$I$14*12),'PV IN'!$E$14*PVCalcs!G371/1000,0)</f>
        <v>0</v>
      </c>
      <c r="R371" s="10">
        <f>IF(AND('PV IN'!$D$35="YES",$C371&lt;='PV IN'!$E$35*12),-'PV IN'!$E$18*'PV IN'!$E$34/12,0)</f>
        <v>0</v>
      </c>
      <c r="S371" s="10">
        <f>IF(AND('PV IN'!$D$37="YES",$C371&lt;='PV IN'!$E$37*12),-'PV IN'!$E$18*'PV IN'!$E$36/12,0)</f>
        <v>0</v>
      </c>
      <c r="U371" s="2">
        <f t="shared" si="96"/>
        <v>9425.9366565641249</v>
      </c>
      <c r="V371" s="10">
        <f>PVLoan!M398</f>
        <v>0</v>
      </c>
      <c r="W371" s="2">
        <f>IF(C371='PV IN'!$I$40,IF('PV IN'!$G$40="Non-Taxable",'PV IN'!$F$40,0),0)+IF(C371='PV IN'!$I$41,IF('PV IN'!$G$41="Non-Taxable",'PV IN'!$F$41,0),0)</f>
        <v>0</v>
      </c>
      <c r="X371" s="10"/>
      <c r="Y371" s="10">
        <f>IF('PV IN'!$E$15="Non-Taxable",SUM(N371:P371),0)</f>
        <v>0</v>
      </c>
      <c r="Z371" s="10">
        <f>IF('PV IN'!$E$15="Taxable",SUM(N371:P371),0)</f>
        <v>0</v>
      </c>
      <c r="AA371" s="2">
        <f>IF(C371='PV IN'!$I$40,IF('PV IN'!$G$40="Taxable",'PV IN'!$F$40,0),0)+IF(C371='PV IN'!$I$41,IF('PV IN'!$G$41="Taxable",'PV IN'!$F$41,0),0)</f>
        <v>0</v>
      </c>
      <c r="AD371" s="10">
        <f>IF('PV IN'!$D$48="YES",-U371*'PV IN'!$E$8,0)</f>
        <v>0</v>
      </c>
      <c r="AE371" s="10">
        <f>IF('PV IN'!$N$10="Yes",-PVLoan!H399,-PVLoan!L399)</f>
        <v>0</v>
      </c>
      <c r="AF371" s="10">
        <f>IF('PV IN'!$N$10="Yes",-PVLoan!F399,0)</f>
        <v>0</v>
      </c>
      <c r="AG371" s="10">
        <f>IF(AND('PV IN'!$D$35="YES",$C371&lt;='PV IN'!$E$35*12),0,-'PV IN'!$E$18*'PV IN'!$E$34/12)</f>
        <v>-750</v>
      </c>
      <c r="AH371" s="10">
        <f>IF(AND('PV IN'!$D$37="YES",$C371&lt;='PV IN'!$E$37*12),0,-'PV IN'!$E$18*'PV IN'!$E$36/12)</f>
        <v>-625</v>
      </c>
      <c r="AI371" s="2">
        <f>IF(AND('PV IN'!$D$33="YES",PVCalcs!C371=ROUNDUP('PV IN'!$H$33*12,)),-'PV IN'!$E$33*'PV IN'!$E$18,0)</f>
        <v>0</v>
      </c>
      <c r="AK371" s="2">
        <f t="shared" si="87"/>
        <v>9425.9366565641249</v>
      </c>
      <c r="AL371" s="2">
        <f t="shared" si="98"/>
        <v>-1375</v>
      </c>
      <c r="AM371" s="2">
        <f t="shared" si="99"/>
        <v>8050.9366565641249</v>
      </c>
      <c r="AN371" s="43"/>
      <c r="AO371" s="2">
        <f t="shared" si="100"/>
        <v>0</v>
      </c>
      <c r="AP371" s="2">
        <f t="shared" si="101"/>
        <v>-1375</v>
      </c>
      <c r="AR371" s="2">
        <f t="shared" si="102"/>
        <v>-1375</v>
      </c>
      <c r="AS371" s="2">
        <f>-AR371*'PV IN'!$E$8</f>
        <v>288.75</v>
      </c>
      <c r="AT371" s="2">
        <f>IF('PV IN'!$F$4="Battery Only",0,AM371+AS371)</f>
        <v>8339.6866565641249</v>
      </c>
      <c r="AV371" s="10">
        <f t="shared" si="103"/>
        <v>2521652.7866054927</v>
      </c>
      <c r="AW371" s="2">
        <f>AT371/(1+('PV IN'!$G$9))^(C371)</f>
        <v>1875.4709295773682</v>
      </c>
      <c r="AX371" s="2" t="e">
        <f>IF(C371&lt;='PV IN'!$O$22*12,AW371+AX370,NA())</f>
        <v>#N/A</v>
      </c>
      <c r="AZ371" s="10">
        <f t="shared" si="104"/>
        <v>-1375</v>
      </c>
      <c r="BA371" s="10">
        <f t="shared" si="90"/>
        <v>0</v>
      </c>
      <c r="BB371" s="10">
        <f t="shared" si="105"/>
        <v>-1375</v>
      </c>
      <c r="BC371" s="10">
        <f t="shared" si="106"/>
        <v>0</v>
      </c>
      <c r="BD371" s="10">
        <f t="shared" si="107"/>
        <v>-1375</v>
      </c>
      <c r="BE371" s="2">
        <f t="shared" si="108"/>
        <v>0</v>
      </c>
      <c r="BF371" s="10">
        <f t="shared" si="109"/>
        <v>-1375</v>
      </c>
      <c r="BG371" s="2">
        <f>-BF371*'PV IN'!$E$8</f>
        <v>288.75</v>
      </c>
      <c r="BH371" s="2">
        <f>IF('PV IN'!$F$4="Battery Only",0,BB371+BG371)</f>
        <v>-1086.25</v>
      </c>
      <c r="BI371" s="2">
        <f>BH371/(1+('PV IN'!$G$9))^(C371)</f>
        <v>-244.28139583037245</v>
      </c>
    </row>
    <row r="372" spans="2:61" x14ac:dyDescent="0.25">
      <c r="C372">
        <v>368</v>
      </c>
      <c r="D372" s="16">
        <f>D371*(1+('PV IN'!$G$6/12))</f>
        <v>7.5999999999999998E-2</v>
      </c>
      <c r="E372" s="16">
        <f>LkUP!$U$50</f>
        <v>7.8896523189157505E-2</v>
      </c>
      <c r="F372" s="16">
        <f>IF('PV IN'!$D$7="Table",E372,D372)</f>
        <v>7.8896523189157505E-2</v>
      </c>
      <c r="G372" s="33">
        <f>('PV IN'!$E$25*'PV IN'!$E$18/12)*(1-(1-'PV IN'!$E$27)/(25*12))^C371</f>
        <v>119392.49434615891</v>
      </c>
      <c r="H372" s="33">
        <f>IF('PV IN'!$D$19="YES",G372*'PV IN'!$E$21,0)</f>
        <v>0</v>
      </c>
      <c r="I372" s="33">
        <f>IF('PV IN'!$D$19="YES",'PV IN'!$E$22*BattCalcs!W372,0)</f>
        <v>0</v>
      </c>
      <c r="J372" s="33">
        <f>IF('PV IN'!$D$19="YES",'PV IN'!$E$23*BattCalcs!Y372,0)</f>
        <v>0</v>
      </c>
      <c r="K372" s="33">
        <f>BattCalcs!AF372</f>
        <v>25811.765833333331</v>
      </c>
      <c r="L372" s="33">
        <f t="shared" si="97"/>
        <v>25811.765833333331</v>
      </c>
      <c r="M372" s="33">
        <f>IF('PV IN'!$F$4="PV Only",G372,G372-SUM(H372:J372,L372))</f>
        <v>119392.49434615891</v>
      </c>
      <c r="N372" s="2">
        <f>IF(C372&lt;='PV IN'!$I$12*12,'PV IN'!$E$12*G372/1000,0)</f>
        <v>0</v>
      </c>
      <c r="O372" s="2">
        <f>IF(AND(C372&gt;'PV IN'!$I$12*12,C372&lt;='PV IN'!$I$13*12+'PV IN'!$I$12*12),'PV IN'!$E$13*PVCalcs!G372/1000,0)</f>
        <v>0</v>
      </c>
      <c r="P372" s="2">
        <f>IF(AND(C372&gt;'PV IN'!$I$12*12+'PV IN'!$I$13*12,C372&lt;='PV IN'!$I$12*12+'PV IN'!$I$13*12+'PV IN'!$I$14*12),'PV IN'!$E$14*PVCalcs!G372/1000,0)</f>
        <v>0</v>
      </c>
      <c r="R372" s="10">
        <f>IF(AND('PV IN'!$D$35="YES",$C372&lt;='PV IN'!$E$35*12),-'PV IN'!$E$18*'PV IN'!$E$34/12,0)</f>
        <v>0</v>
      </c>
      <c r="S372" s="10">
        <f>IF(AND('PV IN'!$D$37="YES",$C372&lt;='PV IN'!$E$37*12),-'PV IN'!$E$18*'PV IN'!$E$36/12,0)</f>
        <v>0</v>
      </c>
      <c r="U372" s="2">
        <f t="shared" si="96"/>
        <v>9419.6526987930829</v>
      </c>
      <c r="V372" s="10">
        <f>PVLoan!M399</f>
        <v>0</v>
      </c>
      <c r="W372" s="2">
        <f>IF(C372='PV IN'!$I$40,IF('PV IN'!$G$40="Non-Taxable",'PV IN'!$F$40,0),0)+IF(C372='PV IN'!$I$41,IF('PV IN'!$G$41="Non-Taxable",'PV IN'!$F$41,0),0)</f>
        <v>0</v>
      </c>
      <c r="X372" s="10"/>
      <c r="Y372" s="10">
        <f>IF('PV IN'!$E$15="Non-Taxable",SUM(N372:P372),0)</f>
        <v>0</v>
      </c>
      <c r="Z372" s="10">
        <f>IF('PV IN'!$E$15="Taxable",SUM(N372:P372),0)</f>
        <v>0</v>
      </c>
      <c r="AA372" s="2">
        <f>IF(C372='PV IN'!$I$40,IF('PV IN'!$G$40="Taxable",'PV IN'!$F$40,0),0)+IF(C372='PV IN'!$I$41,IF('PV IN'!$G$41="Taxable",'PV IN'!$F$41,0),0)</f>
        <v>0</v>
      </c>
      <c r="AD372" s="10">
        <f>IF('PV IN'!$D$48="YES",-U372*'PV IN'!$E$8,0)</f>
        <v>0</v>
      </c>
      <c r="AE372" s="10">
        <f>IF('PV IN'!$N$10="Yes",-PVLoan!H400,-PVLoan!L400)</f>
        <v>0</v>
      </c>
      <c r="AF372" s="10">
        <f>IF('PV IN'!$N$10="Yes",-PVLoan!F400,0)</f>
        <v>0</v>
      </c>
      <c r="AG372" s="10">
        <f>IF(AND('PV IN'!$D$35="YES",$C372&lt;='PV IN'!$E$35*12),0,-'PV IN'!$E$18*'PV IN'!$E$34/12)</f>
        <v>-750</v>
      </c>
      <c r="AH372" s="10">
        <f>IF(AND('PV IN'!$D$37="YES",$C372&lt;='PV IN'!$E$37*12),0,-'PV IN'!$E$18*'PV IN'!$E$36/12)</f>
        <v>-625</v>
      </c>
      <c r="AI372" s="2">
        <f>IF(AND('PV IN'!$D$33="YES",PVCalcs!C372=ROUNDUP('PV IN'!$H$33*12,)),-'PV IN'!$E$33*'PV IN'!$E$18,0)</f>
        <v>0</v>
      </c>
      <c r="AK372" s="2">
        <f t="shared" si="87"/>
        <v>9419.6526987930829</v>
      </c>
      <c r="AL372" s="2">
        <f t="shared" si="98"/>
        <v>-1375</v>
      </c>
      <c r="AM372" s="2">
        <f t="shared" si="99"/>
        <v>8044.6526987930829</v>
      </c>
      <c r="AN372" s="43"/>
      <c r="AO372" s="2">
        <f t="shared" si="100"/>
        <v>0</v>
      </c>
      <c r="AP372" s="2">
        <f t="shared" si="101"/>
        <v>-1375</v>
      </c>
      <c r="AR372" s="2">
        <f t="shared" si="102"/>
        <v>-1375</v>
      </c>
      <c r="AS372" s="2">
        <f>-AR372*'PV IN'!$E$8</f>
        <v>288.75</v>
      </c>
      <c r="AT372" s="2">
        <f>IF('PV IN'!$F$4="Battery Only",0,AM372+AS372)</f>
        <v>8333.4026987930829</v>
      </c>
      <c r="AV372" s="10">
        <f t="shared" si="103"/>
        <v>2529986.1893042857</v>
      </c>
      <c r="AW372" s="2">
        <f>AT372/(1+('PV IN'!$G$9))^(C372)</f>
        <v>1866.4535983642577</v>
      </c>
      <c r="AX372" s="2" t="e">
        <f>IF(C372&lt;='PV IN'!$O$22*12,AW372+AX371,NA())</f>
        <v>#N/A</v>
      </c>
      <c r="AZ372" s="10">
        <f t="shared" si="104"/>
        <v>-1375</v>
      </c>
      <c r="BA372" s="10">
        <f t="shared" si="90"/>
        <v>0</v>
      </c>
      <c r="BB372" s="10">
        <f t="shared" si="105"/>
        <v>-1375</v>
      </c>
      <c r="BC372" s="10">
        <f t="shared" si="106"/>
        <v>0</v>
      </c>
      <c r="BD372" s="10">
        <f t="shared" si="107"/>
        <v>-1375</v>
      </c>
      <c r="BE372" s="2">
        <f t="shared" si="108"/>
        <v>0</v>
      </c>
      <c r="BF372" s="10">
        <f t="shared" si="109"/>
        <v>-1375</v>
      </c>
      <c r="BG372" s="2">
        <f>-BF372*'PV IN'!$E$8</f>
        <v>288.75</v>
      </c>
      <c r="BH372" s="2">
        <f>IF('PV IN'!$F$4="Battery Only",0,BB372+BG372)</f>
        <v>-1086.25</v>
      </c>
      <c r="BI372" s="2">
        <f>BH372/(1+('PV IN'!$G$9))^(C372)</f>
        <v>-243.29020143437998</v>
      </c>
    </row>
    <row r="373" spans="2:61" x14ac:dyDescent="0.25">
      <c r="C373">
        <v>369</v>
      </c>
      <c r="D373" s="16">
        <f>D372*(1+('PV IN'!$G$6/12))</f>
        <v>7.5999999999999998E-2</v>
      </c>
      <c r="E373" s="16">
        <f>LkUP!$U$50</f>
        <v>7.8896523189157505E-2</v>
      </c>
      <c r="F373" s="16">
        <f>IF('PV IN'!$D$7="Table",E373,D373)</f>
        <v>7.8896523189157505E-2</v>
      </c>
      <c r="G373" s="33">
        <f>('PV IN'!$E$25*'PV IN'!$E$18/12)*(1-(1-'PV IN'!$E$27)/(25*12))^C372</f>
        <v>119312.89934992812</v>
      </c>
      <c r="H373" s="33">
        <f>IF('PV IN'!$D$19="YES",G373*'PV IN'!$E$21,0)</f>
        <v>0</v>
      </c>
      <c r="I373" s="33">
        <f>IF('PV IN'!$D$19="YES",'PV IN'!$E$22*BattCalcs!W373,0)</f>
        <v>0</v>
      </c>
      <c r="J373" s="33">
        <f>IF('PV IN'!$D$19="YES",'PV IN'!$E$23*BattCalcs!Y373,0)</f>
        <v>0</v>
      </c>
      <c r="K373" s="33">
        <f>BattCalcs!AF373</f>
        <v>25811.765833333331</v>
      </c>
      <c r="L373" s="33">
        <f t="shared" si="97"/>
        <v>25811.765833333331</v>
      </c>
      <c r="M373" s="33">
        <f>IF('PV IN'!$F$4="PV Only",G373,G373-SUM(H373:J373,L373))</f>
        <v>119312.89934992812</v>
      </c>
      <c r="N373" s="2">
        <f>IF(C373&lt;='PV IN'!$I$12*12,'PV IN'!$E$12*G373/1000,0)</f>
        <v>0</v>
      </c>
      <c r="O373" s="2">
        <f>IF(AND(C373&gt;'PV IN'!$I$12*12,C373&lt;='PV IN'!$I$13*12+'PV IN'!$I$12*12),'PV IN'!$E$13*PVCalcs!G373/1000,0)</f>
        <v>0</v>
      </c>
      <c r="P373" s="2">
        <f>IF(AND(C373&gt;'PV IN'!$I$12*12+'PV IN'!$I$13*12,C373&lt;='PV IN'!$I$12*12+'PV IN'!$I$13*12+'PV IN'!$I$14*12),'PV IN'!$E$14*PVCalcs!G373/1000,0)</f>
        <v>0</v>
      </c>
      <c r="R373" s="10">
        <f>IF(AND('PV IN'!$D$35="YES",$C373&lt;='PV IN'!$E$35*12),-'PV IN'!$E$18*'PV IN'!$E$34/12,0)</f>
        <v>0</v>
      </c>
      <c r="S373" s="10">
        <f>IF(AND('PV IN'!$D$37="YES",$C373&lt;='PV IN'!$E$37*12),-'PV IN'!$E$18*'PV IN'!$E$36/12,0)</f>
        <v>0</v>
      </c>
      <c r="U373" s="2">
        <f t="shared" si="96"/>
        <v>9413.3729303272194</v>
      </c>
      <c r="V373" s="10">
        <f>PVLoan!M400</f>
        <v>0</v>
      </c>
      <c r="W373" s="2">
        <f>IF(C373='PV IN'!$I$40,IF('PV IN'!$G$40="Non-Taxable",'PV IN'!$F$40,0),0)+IF(C373='PV IN'!$I$41,IF('PV IN'!$G$41="Non-Taxable",'PV IN'!$F$41,0),0)</f>
        <v>0</v>
      </c>
      <c r="X373" s="10"/>
      <c r="Y373" s="10">
        <f>IF('PV IN'!$E$15="Non-Taxable",SUM(N373:P373),0)</f>
        <v>0</v>
      </c>
      <c r="Z373" s="10">
        <f>IF('PV IN'!$E$15="Taxable",SUM(N373:P373),0)</f>
        <v>0</v>
      </c>
      <c r="AA373" s="2">
        <f>IF(C373='PV IN'!$I$40,IF('PV IN'!$G$40="Taxable",'PV IN'!$F$40,0),0)+IF(C373='PV IN'!$I$41,IF('PV IN'!$G$41="Taxable",'PV IN'!$F$41,0),0)</f>
        <v>0</v>
      </c>
      <c r="AD373" s="10">
        <f>IF('PV IN'!$D$48="YES",-U373*'PV IN'!$E$8,0)</f>
        <v>0</v>
      </c>
      <c r="AE373" s="10">
        <f>IF('PV IN'!$N$10="Yes",-PVLoan!H401,-PVLoan!L401)</f>
        <v>0</v>
      </c>
      <c r="AF373" s="10">
        <f>IF('PV IN'!$N$10="Yes",-PVLoan!F401,0)</f>
        <v>0</v>
      </c>
      <c r="AG373" s="10">
        <f>IF(AND('PV IN'!$D$35="YES",$C373&lt;='PV IN'!$E$35*12),0,-'PV IN'!$E$18*'PV IN'!$E$34/12)</f>
        <v>-750</v>
      </c>
      <c r="AH373" s="10">
        <f>IF(AND('PV IN'!$D$37="YES",$C373&lt;='PV IN'!$E$37*12),0,-'PV IN'!$E$18*'PV IN'!$E$36/12)</f>
        <v>-625</v>
      </c>
      <c r="AI373" s="2">
        <f>IF(AND('PV IN'!$D$33="YES",PVCalcs!C373=ROUNDUP('PV IN'!$H$33*12,)),-'PV IN'!$E$33*'PV IN'!$E$18,0)</f>
        <v>0</v>
      </c>
      <c r="AK373" s="2">
        <f t="shared" si="87"/>
        <v>9413.3729303272194</v>
      </c>
      <c r="AL373" s="2">
        <f t="shared" si="98"/>
        <v>-1375</v>
      </c>
      <c r="AM373" s="2">
        <f t="shared" si="99"/>
        <v>8038.3729303272194</v>
      </c>
      <c r="AN373" s="43"/>
      <c r="AO373" s="2">
        <f t="shared" si="100"/>
        <v>0</v>
      </c>
      <c r="AP373" s="2">
        <f t="shared" si="101"/>
        <v>-1375</v>
      </c>
      <c r="AR373" s="2">
        <f t="shared" si="102"/>
        <v>-1375</v>
      </c>
      <c r="AS373" s="2">
        <f>-AR373*'PV IN'!$E$8</f>
        <v>288.75</v>
      </c>
      <c r="AT373" s="2">
        <f>IF('PV IN'!$F$4="Battery Only",0,AM373+AS373)</f>
        <v>8327.1229303272194</v>
      </c>
      <c r="AV373" s="10">
        <f t="shared" si="103"/>
        <v>2538313.3122346131</v>
      </c>
      <c r="AW373" s="2">
        <f>AT373/(1+('PV IN'!$G$9))^(C373)</f>
        <v>1857.4795010847172</v>
      </c>
      <c r="AX373" s="2" t="e">
        <f>IF(C373&lt;='PV IN'!$O$22*12,AW373+AX372,NA())</f>
        <v>#N/A</v>
      </c>
      <c r="AZ373" s="10">
        <f t="shared" si="104"/>
        <v>-1375</v>
      </c>
      <c r="BA373" s="10">
        <f t="shared" si="90"/>
        <v>0</v>
      </c>
      <c r="BB373" s="10">
        <f t="shared" si="105"/>
        <v>-1375</v>
      </c>
      <c r="BC373" s="10">
        <f t="shared" si="106"/>
        <v>0</v>
      </c>
      <c r="BD373" s="10">
        <f t="shared" si="107"/>
        <v>-1375</v>
      </c>
      <c r="BE373" s="2">
        <f t="shared" si="108"/>
        <v>0</v>
      </c>
      <c r="BF373" s="10">
        <f t="shared" si="109"/>
        <v>-1375</v>
      </c>
      <c r="BG373" s="2">
        <f>-BF373*'PV IN'!$E$8</f>
        <v>288.75</v>
      </c>
      <c r="BH373" s="2">
        <f>IF('PV IN'!$F$4="Battery Only",0,BB373+BG373)</f>
        <v>-1086.25</v>
      </c>
      <c r="BI373" s="2">
        <f>BH373/(1+('PV IN'!$G$9))^(C373)</f>
        <v>-242.30302890148252</v>
      </c>
    </row>
    <row r="374" spans="2:61" x14ac:dyDescent="0.25">
      <c r="C374">
        <v>370</v>
      </c>
      <c r="D374" s="16">
        <f>D373*(1+('PV IN'!$G$6/12))</f>
        <v>7.5999999999999998E-2</v>
      </c>
      <c r="E374" s="16">
        <f>LkUP!$U$50</f>
        <v>7.8896523189157505E-2</v>
      </c>
      <c r="F374" s="16">
        <f>IF('PV IN'!$D$7="Table",E374,D374)</f>
        <v>7.8896523189157505E-2</v>
      </c>
      <c r="G374" s="33">
        <f>('PV IN'!$E$25*'PV IN'!$E$18/12)*(1-(1-'PV IN'!$E$27)/(25*12))^C373</f>
        <v>119233.35741702816</v>
      </c>
      <c r="H374" s="33">
        <f>IF('PV IN'!$D$19="YES",G374*'PV IN'!$E$21,0)</f>
        <v>0</v>
      </c>
      <c r="I374" s="33">
        <f>IF('PV IN'!$D$19="YES",'PV IN'!$E$22*BattCalcs!W374,0)</f>
        <v>0</v>
      </c>
      <c r="J374" s="33">
        <f>IF('PV IN'!$D$19="YES",'PV IN'!$E$23*BattCalcs!Y374,0)</f>
        <v>0</v>
      </c>
      <c r="K374" s="33">
        <f>BattCalcs!AF374</f>
        <v>25811.765833333331</v>
      </c>
      <c r="L374" s="33">
        <f t="shared" si="97"/>
        <v>25811.765833333331</v>
      </c>
      <c r="M374" s="33">
        <f>IF('PV IN'!$F$4="PV Only",G374,G374-SUM(H374:J374,L374))</f>
        <v>119233.35741702816</v>
      </c>
      <c r="N374" s="2">
        <f>IF(C374&lt;='PV IN'!$I$12*12,'PV IN'!$E$12*G374/1000,0)</f>
        <v>0</v>
      </c>
      <c r="O374" s="2">
        <f>IF(AND(C374&gt;'PV IN'!$I$12*12,C374&lt;='PV IN'!$I$13*12+'PV IN'!$I$12*12),'PV IN'!$E$13*PVCalcs!G374/1000,0)</f>
        <v>0</v>
      </c>
      <c r="P374" s="2">
        <f>IF(AND(C374&gt;'PV IN'!$I$12*12+'PV IN'!$I$13*12,C374&lt;='PV IN'!$I$12*12+'PV IN'!$I$13*12+'PV IN'!$I$14*12),'PV IN'!$E$14*PVCalcs!G374/1000,0)</f>
        <v>0</v>
      </c>
      <c r="R374" s="10">
        <f>IF(AND('PV IN'!$D$35="YES",$C374&lt;='PV IN'!$E$35*12),-'PV IN'!$E$18*'PV IN'!$E$34/12,0)</f>
        <v>0</v>
      </c>
      <c r="S374" s="10">
        <f>IF(AND('PV IN'!$D$37="YES",$C374&lt;='PV IN'!$E$37*12),-'PV IN'!$E$18*'PV IN'!$E$36/12,0)</f>
        <v>0</v>
      </c>
      <c r="U374" s="2">
        <f t="shared" si="96"/>
        <v>9407.097348373667</v>
      </c>
      <c r="V374" s="10">
        <f>PVLoan!M401</f>
        <v>0</v>
      </c>
      <c r="W374" s="2">
        <f>IF(C374='PV IN'!$I$40,IF('PV IN'!$G$40="Non-Taxable",'PV IN'!$F$40,0),0)+IF(C374='PV IN'!$I$41,IF('PV IN'!$G$41="Non-Taxable",'PV IN'!$F$41,0),0)</f>
        <v>0</v>
      </c>
      <c r="X374" s="10"/>
      <c r="Y374" s="10">
        <f>IF('PV IN'!$E$15="Non-Taxable",SUM(N374:P374),0)</f>
        <v>0</v>
      </c>
      <c r="Z374" s="10">
        <f>IF('PV IN'!$E$15="Taxable",SUM(N374:P374),0)</f>
        <v>0</v>
      </c>
      <c r="AA374" s="2">
        <f>IF(C374='PV IN'!$I$40,IF('PV IN'!$G$40="Taxable",'PV IN'!$F$40,0),0)+IF(C374='PV IN'!$I$41,IF('PV IN'!$G$41="Taxable",'PV IN'!$F$41,0),0)</f>
        <v>0</v>
      </c>
      <c r="AD374" s="10">
        <f>IF('PV IN'!$D$48="YES",-U374*'PV IN'!$E$8,0)</f>
        <v>0</v>
      </c>
      <c r="AE374" s="10">
        <f>IF('PV IN'!$N$10="Yes",-PVLoan!H402,-PVLoan!L402)</f>
        <v>0</v>
      </c>
      <c r="AF374" s="10">
        <f>IF('PV IN'!$N$10="Yes",-PVLoan!F402,0)</f>
        <v>0</v>
      </c>
      <c r="AG374" s="10">
        <f>IF(AND('PV IN'!$D$35="YES",$C374&lt;='PV IN'!$E$35*12),0,-'PV IN'!$E$18*'PV IN'!$E$34/12)</f>
        <v>-750</v>
      </c>
      <c r="AH374" s="10">
        <f>IF(AND('PV IN'!$D$37="YES",$C374&lt;='PV IN'!$E$37*12),0,-'PV IN'!$E$18*'PV IN'!$E$36/12)</f>
        <v>-625</v>
      </c>
      <c r="AI374" s="2">
        <f>IF(AND('PV IN'!$D$33="YES",PVCalcs!C374=ROUNDUP('PV IN'!$H$33*12,)),-'PV IN'!$E$33*'PV IN'!$E$18,0)</f>
        <v>0</v>
      </c>
      <c r="AK374" s="2">
        <f t="shared" si="87"/>
        <v>9407.097348373667</v>
      </c>
      <c r="AL374" s="2">
        <f t="shared" si="98"/>
        <v>-1375</v>
      </c>
      <c r="AM374" s="2">
        <f t="shared" si="99"/>
        <v>8032.097348373667</v>
      </c>
      <c r="AN374" s="43"/>
      <c r="AO374" s="2">
        <f t="shared" si="100"/>
        <v>0</v>
      </c>
      <c r="AP374" s="2">
        <f t="shared" si="101"/>
        <v>-1375</v>
      </c>
      <c r="AR374" s="2">
        <f t="shared" si="102"/>
        <v>-1375</v>
      </c>
      <c r="AS374" s="2">
        <f>-AR374*'PV IN'!$E$8</f>
        <v>288.75</v>
      </c>
      <c r="AT374" s="2">
        <f>IF('PV IN'!$F$4="Battery Only",0,AM374+AS374)</f>
        <v>8320.847348373667</v>
      </c>
      <c r="AV374" s="10">
        <f t="shared" si="103"/>
        <v>2546634.159582987</v>
      </c>
      <c r="AW374" s="2">
        <f>AT374/(1+('PV IN'!$G$9))^(C374)</f>
        <v>1848.548430937019</v>
      </c>
      <c r="AX374" s="2" t="e">
        <f>IF(C374&lt;='PV IN'!$O$22*12,AW374+AX373,NA())</f>
        <v>#N/A</v>
      </c>
      <c r="AZ374" s="10">
        <f t="shared" si="104"/>
        <v>-1375</v>
      </c>
      <c r="BA374" s="10">
        <f t="shared" si="90"/>
        <v>0</v>
      </c>
      <c r="BB374" s="10">
        <f t="shared" si="105"/>
        <v>-1375</v>
      </c>
      <c r="BC374" s="10">
        <f t="shared" si="106"/>
        <v>0</v>
      </c>
      <c r="BD374" s="10">
        <f t="shared" si="107"/>
        <v>-1375</v>
      </c>
      <c r="BE374" s="2">
        <f t="shared" si="108"/>
        <v>0</v>
      </c>
      <c r="BF374" s="10">
        <f t="shared" si="109"/>
        <v>-1375</v>
      </c>
      <c r="BG374" s="2">
        <f>-BF374*'PV IN'!$E$8</f>
        <v>288.75</v>
      </c>
      <c r="BH374" s="2">
        <f>IF('PV IN'!$F$4="Battery Only",0,BB374+BG374)</f>
        <v>-1086.25</v>
      </c>
      <c r="BI374" s="2">
        <f>BH374/(1+('PV IN'!$G$9))^(C374)</f>
        <v>-241.31986191259756</v>
      </c>
    </row>
    <row r="375" spans="2:61" x14ac:dyDescent="0.25">
      <c r="C375">
        <v>371</v>
      </c>
      <c r="D375" s="16">
        <f>D374*(1+('PV IN'!$G$6/12))</f>
        <v>7.5999999999999998E-2</v>
      </c>
      <c r="E375" s="16">
        <f>LkUP!$U$50</f>
        <v>7.8896523189157505E-2</v>
      </c>
      <c r="F375" s="16">
        <f>IF('PV IN'!$D$7="Table",E375,D375)</f>
        <v>7.8896523189157505E-2</v>
      </c>
      <c r="G375" s="33">
        <f>('PV IN'!$E$25*'PV IN'!$E$18/12)*(1-(1-'PV IN'!$E$27)/(25*12))^C374</f>
        <v>119153.86851208347</v>
      </c>
      <c r="H375" s="33">
        <f>IF('PV IN'!$D$19="YES",G375*'PV IN'!$E$21,0)</f>
        <v>0</v>
      </c>
      <c r="I375" s="33">
        <f>IF('PV IN'!$D$19="YES",'PV IN'!$E$22*BattCalcs!W375,0)</f>
        <v>0</v>
      </c>
      <c r="J375" s="33">
        <f>IF('PV IN'!$D$19="YES",'PV IN'!$E$23*BattCalcs!Y375,0)</f>
        <v>0</v>
      </c>
      <c r="K375" s="33">
        <f>BattCalcs!AF375</f>
        <v>25811.765833333331</v>
      </c>
      <c r="L375" s="33">
        <f t="shared" si="97"/>
        <v>25811.765833333331</v>
      </c>
      <c r="M375" s="33">
        <f>IF('PV IN'!$F$4="PV Only",G375,G375-SUM(H375:J375,L375))</f>
        <v>119153.86851208347</v>
      </c>
      <c r="N375" s="2">
        <f>IF(C375&lt;='PV IN'!$I$12*12,'PV IN'!$E$12*G375/1000,0)</f>
        <v>0</v>
      </c>
      <c r="O375" s="2">
        <f>IF(AND(C375&gt;'PV IN'!$I$12*12,C375&lt;='PV IN'!$I$13*12+'PV IN'!$I$12*12),'PV IN'!$E$13*PVCalcs!G375/1000,0)</f>
        <v>0</v>
      </c>
      <c r="P375" s="2">
        <f>IF(AND(C375&gt;'PV IN'!$I$12*12+'PV IN'!$I$13*12,C375&lt;='PV IN'!$I$12*12+'PV IN'!$I$13*12+'PV IN'!$I$14*12),'PV IN'!$E$14*PVCalcs!G375/1000,0)</f>
        <v>0</v>
      </c>
      <c r="R375" s="10">
        <f>IF(AND('PV IN'!$D$35="YES",$C375&lt;='PV IN'!$E$35*12),-'PV IN'!$E$18*'PV IN'!$E$34/12,0)</f>
        <v>0</v>
      </c>
      <c r="S375" s="10">
        <f>IF(AND('PV IN'!$D$37="YES",$C375&lt;='PV IN'!$E$37*12),-'PV IN'!$E$18*'PV IN'!$E$36/12,0)</f>
        <v>0</v>
      </c>
      <c r="U375" s="2">
        <f t="shared" si="96"/>
        <v>9400.8259501414177</v>
      </c>
      <c r="V375" s="10">
        <f>PVLoan!M402</f>
        <v>0</v>
      </c>
      <c r="W375" s="2">
        <f>IF(C375='PV IN'!$I$40,IF('PV IN'!$G$40="Non-Taxable",'PV IN'!$F$40,0),0)+IF(C375='PV IN'!$I$41,IF('PV IN'!$G$41="Non-Taxable",'PV IN'!$F$41,0),0)</f>
        <v>0</v>
      </c>
      <c r="X375" s="10"/>
      <c r="Y375" s="10">
        <f>IF('PV IN'!$E$15="Non-Taxable",SUM(N375:P375),0)</f>
        <v>0</v>
      </c>
      <c r="Z375" s="10">
        <f>IF('PV IN'!$E$15="Taxable",SUM(N375:P375),0)</f>
        <v>0</v>
      </c>
      <c r="AA375" s="2">
        <f>IF(C375='PV IN'!$I$40,IF('PV IN'!$G$40="Taxable",'PV IN'!$F$40,0),0)+IF(C375='PV IN'!$I$41,IF('PV IN'!$G$41="Taxable",'PV IN'!$F$41,0),0)</f>
        <v>0</v>
      </c>
      <c r="AD375" s="10">
        <f>IF('PV IN'!$D$48="YES",-U375*'PV IN'!$E$8,0)</f>
        <v>0</v>
      </c>
      <c r="AE375" s="10">
        <f>IF('PV IN'!$N$10="Yes",-PVLoan!H403,-PVLoan!L403)</f>
        <v>0</v>
      </c>
      <c r="AF375" s="10">
        <f>IF('PV IN'!$N$10="Yes",-PVLoan!F403,0)</f>
        <v>0</v>
      </c>
      <c r="AG375" s="10">
        <f>IF(AND('PV IN'!$D$35="YES",$C375&lt;='PV IN'!$E$35*12),0,-'PV IN'!$E$18*'PV IN'!$E$34/12)</f>
        <v>-750</v>
      </c>
      <c r="AH375" s="10">
        <f>IF(AND('PV IN'!$D$37="YES",$C375&lt;='PV IN'!$E$37*12),0,-'PV IN'!$E$18*'PV IN'!$E$36/12)</f>
        <v>-625</v>
      </c>
      <c r="AI375" s="2">
        <f>IF(AND('PV IN'!$D$33="YES",PVCalcs!C375=ROUNDUP('PV IN'!$H$33*12,)),-'PV IN'!$E$33*'PV IN'!$E$18,0)</f>
        <v>0</v>
      </c>
      <c r="AK375" s="2">
        <f t="shared" si="87"/>
        <v>9400.8259501414177</v>
      </c>
      <c r="AL375" s="2">
        <f t="shared" si="98"/>
        <v>-1375</v>
      </c>
      <c r="AM375" s="2">
        <f t="shared" si="99"/>
        <v>8025.8259501414177</v>
      </c>
      <c r="AN375" s="43"/>
      <c r="AO375" s="2">
        <f t="shared" si="100"/>
        <v>0</v>
      </c>
      <c r="AP375" s="2">
        <f t="shared" si="101"/>
        <v>-1375</v>
      </c>
      <c r="AR375" s="2">
        <f t="shared" si="102"/>
        <v>-1375</v>
      </c>
      <c r="AS375" s="2">
        <f>-AR375*'PV IN'!$E$8</f>
        <v>288.75</v>
      </c>
      <c r="AT375" s="2">
        <f>IF('PV IN'!$F$4="Battery Only",0,AM375+AS375)</f>
        <v>8314.5759501414177</v>
      </c>
      <c r="AV375" s="10">
        <f t="shared" si="103"/>
        <v>2554948.7355331285</v>
      </c>
      <c r="AW375" s="2">
        <f>AT375/(1+('PV IN'!$G$9))^(C375)</f>
        <v>1839.6601821067011</v>
      </c>
      <c r="AX375" s="2" t="e">
        <f>IF(C375&lt;='PV IN'!$O$22*12,AW375+AX374,NA())</f>
        <v>#N/A</v>
      </c>
      <c r="AZ375" s="10">
        <f t="shared" si="104"/>
        <v>-1375</v>
      </c>
      <c r="BA375" s="10">
        <f t="shared" si="90"/>
        <v>0</v>
      </c>
      <c r="BB375" s="10">
        <f t="shared" si="105"/>
        <v>-1375</v>
      </c>
      <c r="BC375" s="10">
        <f t="shared" si="106"/>
        <v>0</v>
      </c>
      <c r="BD375" s="10">
        <f t="shared" si="107"/>
        <v>-1375</v>
      </c>
      <c r="BE375" s="2">
        <f t="shared" si="108"/>
        <v>0</v>
      </c>
      <c r="BF375" s="10">
        <f t="shared" si="109"/>
        <v>-1375</v>
      </c>
      <c r="BG375" s="2">
        <f>-BF375*'PV IN'!$E$8</f>
        <v>288.75</v>
      </c>
      <c r="BH375" s="2">
        <f>IF('PV IN'!$F$4="Battery Only",0,BB375+BG375)</f>
        <v>-1086.25</v>
      </c>
      <c r="BI375" s="2">
        <f>BH375/(1+('PV IN'!$G$9))^(C375)</f>
        <v>-240.34068421485952</v>
      </c>
    </row>
    <row r="376" spans="2:61" x14ac:dyDescent="0.25">
      <c r="B376">
        <v>31</v>
      </c>
      <c r="C376">
        <v>372</v>
      </c>
      <c r="D376" s="16">
        <f>D375*(1+('PV IN'!$G$6/12))</f>
        <v>7.5999999999999998E-2</v>
      </c>
      <c r="E376" s="16">
        <f>LkUP!$U$50</f>
        <v>7.8896523189157505E-2</v>
      </c>
      <c r="F376" s="16">
        <f>IF('PV IN'!$D$7="Table",E376,D376)</f>
        <v>7.8896523189157505E-2</v>
      </c>
      <c r="G376" s="33">
        <f>('PV IN'!$E$25*'PV IN'!$E$18/12)*(1-(1-'PV IN'!$E$27)/(25*12))^C375</f>
        <v>119074.4325997421</v>
      </c>
      <c r="H376" s="33">
        <f>IF('PV IN'!$D$19="YES",G376*'PV IN'!$E$21,0)</f>
        <v>0</v>
      </c>
      <c r="I376" s="33">
        <f>IF('PV IN'!$D$19="YES",'PV IN'!$E$22*BattCalcs!W376,0)</f>
        <v>0</v>
      </c>
      <c r="J376" s="33">
        <f>IF('PV IN'!$D$19="YES",'PV IN'!$E$23*BattCalcs!Y376,0)</f>
        <v>0</v>
      </c>
      <c r="K376" s="33">
        <f>BattCalcs!AF376</f>
        <v>25811.765833333331</v>
      </c>
      <c r="L376" s="33">
        <f t="shared" si="97"/>
        <v>25811.765833333331</v>
      </c>
      <c r="M376" s="33">
        <f>IF('PV IN'!$F$4="PV Only",G376,G376-SUM(H376:J376,L376))</f>
        <v>119074.4325997421</v>
      </c>
      <c r="N376" s="2">
        <f>IF(C376&lt;='PV IN'!$I$12*12,'PV IN'!$E$12*G376/1000,0)</f>
        <v>0</v>
      </c>
      <c r="O376" s="2">
        <f>IF(AND(C376&gt;'PV IN'!$I$12*12,C376&lt;='PV IN'!$I$13*12+'PV IN'!$I$12*12),'PV IN'!$E$13*PVCalcs!G376/1000,0)</f>
        <v>0</v>
      </c>
      <c r="P376" s="2">
        <f>IF(AND(C376&gt;'PV IN'!$I$12*12+'PV IN'!$I$13*12,C376&lt;='PV IN'!$I$12*12+'PV IN'!$I$13*12+'PV IN'!$I$14*12),'PV IN'!$E$14*PVCalcs!G376/1000,0)</f>
        <v>0</v>
      </c>
      <c r="R376" s="10">
        <f>IF(AND('PV IN'!$D$35="YES",$C376&lt;='PV IN'!$E$35*12),-'PV IN'!$E$18*'PV IN'!$E$34/12,0)</f>
        <v>0</v>
      </c>
      <c r="S376" s="10">
        <f>IF(AND('PV IN'!$D$37="YES",$C376&lt;='PV IN'!$E$37*12),-'PV IN'!$E$18*'PV IN'!$E$36/12,0)</f>
        <v>0</v>
      </c>
      <c r="U376" s="2">
        <f t="shared" si="96"/>
        <v>9394.5587328413239</v>
      </c>
      <c r="V376" s="10">
        <f>PVLoan!M403</f>
        <v>0</v>
      </c>
      <c r="W376" s="2">
        <f>IF(C376='PV IN'!$I$40,IF('PV IN'!$G$40="Non-Taxable",'PV IN'!$F$40,0),0)+IF(C376='PV IN'!$I$41,IF('PV IN'!$G$41="Non-Taxable",'PV IN'!$F$41,0),0)</f>
        <v>0</v>
      </c>
      <c r="X376" s="10"/>
      <c r="Y376" s="10">
        <f>IF('PV IN'!$E$15="Non-Taxable",SUM(N376:P376),0)</f>
        <v>0</v>
      </c>
      <c r="Z376" s="10">
        <f>IF('PV IN'!$E$15="Taxable",SUM(N376:P376),0)</f>
        <v>0</v>
      </c>
      <c r="AA376" s="2">
        <f>IF(C376='PV IN'!$I$40,IF('PV IN'!$G$40="Taxable",'PV IN'!$F$40,0),0)+IF(C376='PV IN'!$I$41,IF('PV IN'!$G$41="Taxable",'PV IN'!$F$41,0),0)</f>
        <v>0</v>
      </c>
      <c r="AD376" s="10">
        <f>IF('PV IN'!$D$48="YES",-U376*'PV IN'!$E$8,0)</f>
        <v>0</v>
      </c>
      <c r="AE376" s="10">
        <f>IF('PV IN'!$N$10="Yes",-PVLoan!H404,-PVLoan!L404)</f>
        <v>0</v>
      </c>
      <c r="AF376" s="10">
        <f>IF('PV IN'!$N$10="Yes",-PVLoan!F404,0)</f>
        <v>0</v>
      </c>
      <c r="AG376" s="10">
        <f>IF(AND('PV IN'!$D$35="YES",$C376&lt;='PV IN'!$E$35*12),0,-'PV IN'!$E$18*'PV IN'!$E$34/12)</f>
        <v>-750</v>
      </c>
      <c r="AH376" s="10">
        <f>IF(AND('PV IN'!$D$37="YES",$C376&lt;='PV IN'!$E$37*12),0,-'PV IN'!$E$18*'PV IN'!$E$36/12)</f>
        <v>-625</v>
      </c>
      <c r="AI376" s="2">
        <f>IF(AND('PV IN'!$D$33="YES",PVCalcs!C376=ROUNDUP('PV IN'!$H$33*12,)),-'PV IN'!$E$33*'PV IN'!$E$18,0)</f>
        <v>0</v>
      </c>
      <c r="AK376" s="2">
        <f t="shared" si="87"/>
        <v>9394.5587328413239</v>
      </c>
      <c r="AL376" s="2">
        <f t="shared" si="98"/>
        <v>-1375</v>
      </c>
      <c r="AM376" s="2">
        <f t="shared" si="99"/>
        <v>8019.5587328413239</v>
      </c>
      <c r="AN376" s="43"/>
      <c r="AO376" s="2">
        <f t="shared" si="100"/>
        <v>0</v>
      </c>
      <c r="AP376" s="2">
        <f t="shared" si="101"/>
        <v>-1375</v>
      </c>
      <c r="AR376" s="2">
        <f t="shared" si="102"/>
        <v>-1375</v>
      </c>
      <c r="AS376" s="2">
        <f>-AR376*'PV IN'!$E$8</f>
        <v>288.75</v>
      </c>
      <c r="AT376" s="2">
        <f>IF('PV IN'!$F$4="Battery Only",0,AM376+AS376)</f>
        <v>8308.3087328413239</v>
      </c>
      <c r="AV376" s="10">
        <f t="shared" si="103"/>
        <v>2563257.0442659697</v>
      </c>
      <c r="AW376" s="2">
        <f>AT376/(1+('PV IN'!$G$9))^(C376)</f>
        <v>1830.8145497618525</v>
      </c>
      <c r="AX376" s="2" t="e">
        <f>IF(C376&lt;='PV IN'!$O$22*12,AW376+AX375,NA())</f>
        <v>#N/A</v>
      </c>
      <c r="AZ376" s="10">
        <f t="shared" si="104"/>
        <v>-1375</v>
      </c>
      <c r="BA376" s="10">
        <f t="shared" si="90"/>
        <v>0</v>
      </c>
      <c r="BB376" s="10">
        <f t="shared" si="105"/>
        <v>-1375</v>
      </c>
      <c r="BC376" s="10">
        <f t="shared" si="106"/>
        <v>0</v>
      </c>
      <c r="BD376" s="10">
        <f t="shared" si="107"/>
        <v>-1375</v>
      </c>
      <c r="BE376" s="2">
        <f t="shared" si="108"/>
        <v>0</v>
      </c>
      <c r="BF376" s="10">
        <f t="shared" si="109"/>
        <v>-1375</v>
      </c>
      <c r="BG376" s="2">
        <f>-BF376*'PV IN'!$E$8</f>
        <v>288.75</v>
      </c>
      <c r="BH376" s="2">
        <f>IF('PV IN'!$F$4="Battery Only",0,BB376+BG376)</f>
        <v>-1086.25</v>
      </c>
      <c r="BI376" s="2">
        <f>BH376/(1+('PV IN'!$G$9))^(C376)</f>
        <v>-239.36547962134975</v>
      </c>
    </row>
    <row r="377" spans="2:61" x14ac:dyDescent="0.25">
      <c r="C377">
        <v>373</v>
      </c>
      <c r="D377" s="16">
        <f>D376*(1+('PV IN'!$G$6/12))</f>
        <v>7.5999999999999998E-2</v>
      </c>
      <c r="E377" s="16">
        <f>LkUP!$U$50</f>
        <v>7.8896523189157505E-2</v>
      </c>
      <c r="F377" s="16">
        <f>IF('PV IN'!$D$7="Table",E377,D377)</f>
        <v>7.8896523189157505E-2</v>
      </c>
      <c r="G377" s="33">
        <f>('PV IN'!$E$25*'PV IN'!$E$18/12)*(1-(1-'PV IN'!$E$27)/(25*12))^C376</f>
        <v>118995.04964467557</v>
      </c>
      <c r="H377" s="33">
        <f>IF('PV IN'!$D$19="YES",G377*'PV IN'!$E$21,0)</f>
        <v>0</v>
      </c>
      <c r="I377" s="33">
        <f>IF('PV IN'!$D$19="YES",'PV IN'!$E$22*BattCalcs!W377,0)</f>
        <v>0</v>
      </c>
      <c r="J377" s="33">
        <f>IF('PV IN'!$D$19="YES",'PV IN'!$E$23*BattCalcs!Y377,0)</f>
        <v>0</v>
      </c>
      <c r="K377" s="33">
        <f>BattCalcs!AF377</f>
        <v>25811.765833333331</v>
      </c>
      <c r="L377" s="33">
        <f t="shared" si="97"/>
        <v>25811.765833333331</v>
      </c>
      <c r="M377" s="33">
        <f>IF('PV IN'!$F$4="PV Only",G377,G377-SUM(H377:J377,L377))</f>
        <v>118995.04964467557</v>
      </c>
      <c r="N377" s="2">
        <f>IF(C377&lt;='PV IN'!$I$12*12,'PV IN'!$E$12*G377/1000,0)</f>
        <v>0</v>
      </c>
      <c r="O377" s="2">
        <f>IF(AND(C377&gt;'PV IN'!$I$12*12,C377&lt;='PV IN'!$I$13*12+'PV IN'!$I$12*12),'PV IN'!$E$13*PVCalcs!G377/1000,0)</f>
        <v>0</v>
      </c>
      <c r="P377" s="2">
        <f>IF(AND(C377&gt;'PV IN'!$I$12*12+'PV IN'!$I$13*12,C377&lt;='PV IN'!$I$12*12+'PV IN'!$I$13*12+'PV IN'!$I$14*12),'PV IN'!$E$14*PVCalcs!G377/1000,0)</f>
        <v>0</v>
      </c>
      <c r="R377" s="10">
        <f>IF(AND('PV IN'!$D$35="YES",$C377&lt;='PV IN'!$E$35*12),-'PV IN'!$E$18*'PV IN'!$E$34/12,0)</f>
        <v>0</v>
      </c>
      <c r="S377" s="10">
        <f>IF(AND('PV IN'!$D$37="YES",$C377&lt;='PV IN'!$E$37*12),-'PV IN'!$E$18*'PV IN'!$E$36/12,0)</f>
        <v>0</v>
      </c>
      <c r="U377" s="2">
        <f t="shared" si="96"/>
        <v>9388.2956936860955</v>
      </c>
      <c r="V377" s="10">
        <f>PVLoan!M404</f>
        <v>0</v>
      </c>
      <c r="W377" s="2">
        <f>IF(C377='PV IN'!$I$40,IF('PV IN'!$G$40="Non-Taxable",'PV IN'!$F$40,0),0)+IF(C377='PV IN'!$I$41,IF('PV IN'!$G$41="Non-Taxable",'PV IN'!$F$41,0),0)</f>
        <v>0</v>
      </c>
      <c r="X377" s="10"/>
      <c r="Y377" s="10">
        <f>IF('PV IN'!$E$15="Non-Taxable",SUM(N377:P377),0)</f>
        <v>0</v>
      </c>
      <c r="Z377" s="10">
        <f>IF('PV IN'!$E$15="Taxable",SUM(N377:P377),0)</f>
        <v>0</v>
      </c>
      <c r="AA377" s="2">
        <f>IF(C377='PV IN'!$I$40,IF('PV IN'!$G$40="Taxable",'PV IN'!$F$40,0),0)+IF(C377='PV IN'!$I$41,IF('PV IN'!$G$41="Taxable",'PV IN'!$F$41,0),0)</f>
        <v>0</v>
      </c>
      <c r="AD377" s="10">
        <f>IF('PV IN'!$D$48="YES",-U377*'PV IN'!$E$8,0)</f>
        <v>0</v>
      </c>
      <c r="AE377" s="10">
        <f>IF('PV IN'!$N$10="Yes",-PVLoan!H405,-PVLoan!L405)</f>
        <v>0</v>
      </c>
      <c r="AF377" s="10">
        <f>IF('PV IN'!$N$10="Yes",-PVLoan!F405,0)</f>
        <v>0</v>
      </c>
      <c r="AG377" s="10">
        <f>IF(AND('PV IN'!$D$35="YES",$C377&lt;='PV IN'!$E$35*12),0,-'PV IN'!$E$18*'PV IN'!$E$34/12)</f>
        <v>-750</v>
      </c>
      <c r="AH377" s="10">
        <f>IF(AND('PV IN'!$D$37="YES",$C377&lt;='PV IN'!$E$37*12),0,-'PV IN'!$E$18*'PV IN'!$E$36/12)</f>
        <v>-625</v>
      </c>
      <c r="AI377" s="2">
        <f>IF(AND('PV IN'!$D$33="YES",PVCalcs!C377=ROUNDUP('PV IN'!$H$33*12,)),-'PV IN'!$E$33*'PV IN'!$E$18,0)</f>
        <v>0</v>
      </c>
      <c r="AK377" s="2">
        <f t="shared" si="87"/>
        <v>9388.2956936860955</v>
      </c>
      <c r="AL377" s="2">
        <f t="shared" si="98"/>
        <v>-1375</v>
      </c>
      <c r="AM377" s="2">
        <f t="shared" si="99"/>
        <v>8013.2956936860955</v>
      </c>
      <c r="AN377" s="43"/>
      <c r="AO377" s="2">
        <f t="shared" si="100"/>
        <v>0</v>
      </c>
      <c r="AP377" s="2">
        <f t="shared" si="101"/>
        <v>-1375</v>
      </c>
      <c r="AR377" s="2">
        <f t="shared" si="102"/>
        <v>-1375</v>
      </c>
      <c r="AS377" s="2">
        <f>-AR377*'PV IN'!$E$8</f>
        <v>288.75</v>
      </c>
      <c r="AT377" s="2">
        <f>IF('PV IN'!$F$4="Battery Only",0,AM377+AS377)</f>
        <v>8302.0456936860955</v>
      </c>
      <c r="AV377" s="10">
        <f t="shared" si="103"/>
        <v>2571559.0899596559</v>
      </c>
      <c r="AW377" s="2">
        <f>AT377/(1+('PV IN'!$G$9))^(C377)</f>
        <v>1822.0113300484365</v>
      </c>
      <c r="AX377" s="2" t="e">
        <f>IF(C377&lt;='PV IN'!$O$22*12,AW377+AX376,NA())</f>
        <v>#N/A</v>
      </c>
      <c r="AZ377" s="10">
        <f t="shared" si="104"/>
        <v>-1375</v>
      </c>
      <c r="BA377" s="10">
        <f t="shared" si="90"/>
        <v>0</v>
      </c>
      <c r="BB377" s="10">
        <f t="shared" si="105"/>
        <v>-1375</v>
      </c>
      <c r="BC377" s="10">
        <f t="shared" si="106"/>
        <v>0</v>
      </c>
      <c r="BD377" s="10">
        <f t="shared" si="107"/>
        <v>-1375</v>
      </c>
      <c r="BE377" s="2">
        <f t="shared" si="108"/>
        <v>0</v>
      </c>
      <c r="BF377" s="10">
        <f t="shared" si="109"/>
        <v>-1375</v>
      </c>
      <c r="BG377" s="2">
        <f>-BF377*'PV IN'!$E$8</f>
        <v>288.75</v>
      </c>
      <c r="BH377" s="2">
        <f>IF('PV IN'!$F$4="Battery Only",0,BB377+BG377)</f>
        <v>-1086.25</v>
      </c>
      <c r="BI377" s="2">
        <f>BH377/(1+('PV IN'!$G$9))^(C377)</f>
        <v>-238.39423201082988</v>
      </c>
    </row>
    <row r="378" spans="2:61" x14ac:dyDescent="0.25">
      <c r="C378">
        <v>374</v>
      </c>
      <c r="D378" s="16">
        <f>D377*(1+('PV IN'!$G$6/12))</f>
        <v>7.5999999999999998E-2</v>
      </c>
      <c r="E378" s="16">
        <f>LkUP!$U$50</f>
        <v>7.8896523189157505E-2</v>
      </c>
      <c r="F378" s="16">
        <f>IF('PV IN'!$D$7="Table",E378,D378)</f>
        <v>7.8896523189157505E-2</v>
      </c>
      <c r="G378" s="33">
        <f>('PV IN'!$E$25*'PV IN'!$E$18/12)*(1-(1-'PV IN'!$E$27)/(25*12))^C377</f>
        <v>118915.71961157912</v>
      </c>
      <c r="H378" s="33">
        <f>IF('PV IN'!$D$19="YES",G378*'PV IN'!$E$21,0)</f>
        <v>0</v>
      </c>
      <c r="I378" s="33">
        <f>IF('PV IN'!$D$19="YES",'PV IN'!$E$22*BattCalcs!W378,0)</f>
        <v>0</v>
      </c>
      <c r="J378" s="33">
        <f>IF('PV IN'!$D$19="YES",'PV IN'!$E$23*BattCalcs!Y378,0)</f>
        <v>0</v>
      </c>
      <c r="K378" s="33">
        <f>BattCalcs!AF378</f>
        <v>25811.765833333331</v>
      </c>
      <c r="L378" s="33">
        <f t="shared" si="97"/>
        <v>25811.765833333331</v>
      </c>
      <c r="M378" s="33">
        <f>IF('PV IN'!$F$4="PV Only",G378,G378-SUM(H378:J378,L378))</f>
        <v>118915.71961157912</v>
      </c>
      <c r="N378" s="2">
        <f>IF(C378&lt;='PV IN'!$I$12*12,'PV IN'!$E$12*G378/1000,0)</f>
        <v>0</v>
      </c>
      <c r="O378" s="2">
        <f>IF(AND(C378&gt;'PV IN'!$I$12*12,C378&lt;='PV IN'!$I$13*12+'PV IN'!$I$12*12),'PV IN'!$E$13*PVCalcs!G378/1000,0)</f>
        <v>0</v>
      </c>
      <c r="P378" s="2">
        <f>IF(AND(C378&gt;'PV IN'!$I$12*12+'PV IN'!$I$13*12,C378&lt;='PV IN'!$I$12*12+'PV IN'!$I$13*12+'PV IN'!$I$14*12),'PV IN'!$E$14*PVCalcs!G378/1000,0)</f>
        <v>0</v>
      </c>
      <c r="R378" s="10">
        <f>IF(AND('PV IN'!$D$35="YES",$C378&lt;='PV IN'!$E$35*12),-'PV IN'!$E$18*'PV IN'!$E$34/12,0)</f>
        <v>0</v>
      </c>
      <c r="S378" s="10">
        <f>IF(AND('PV IN'!$D$37="YES",$C378&lt;='PV IN'!$E$37*12),-'PV IN'!$E$18*'PV IN'!$E$36/12,0)</f>
        <v>0</v>
      </c>
      <c r="U378" s="2">
        <f t="shared" si="96"/>
        <v>9382.0368298903031</v>
      </c>
      <c r="V378" s="10">
        <f>PVLoan!M405</f>
        <v>0</v>
      </c>
      <c r="W378" s="2">
        <f>IF(C378='PV IN'!$I$40,IF('PV IN'!$G$40="Non-Taxable",'PV IN'!$F$40,0),0)+IF(C378='PV IN'!$I$41,IF('PV IN'!$G$41="Non-Taxable",'PV IN'!$F$41,0),0)</f>
        <v>0</v>
      </c>
      <c r="X378" s="10"/>
      <c r="Y378" s="10">
        <f>IF('PV IN'!$E$15="Non-Taxable",SUM(N378:P378),0)</f>
        <v>0</v>
      </c>
      <c r="Z378" s="10">
        <f>IF('PV IN'!$E$15="Taxable",SUM(N378:P378),0)</f>
        <v>0</v>
      </c>
      <c r="AA378" s="2">
        <f>IF(C378='PV IN'!$I$40,IF('PV IN'!$G$40="Taxable",'PV IN'!$F$40,0),0)+IF(C378='PV IN'!$I$41,IF('PV IN'!$G$41="Taxable",'PV IN'!$F$41,0),0)</f>
        <v>0</v>
      </c>
      <c r="AD378" s="10">
        <f>IF('PV IN'!$D$48="YES",-U378*'PV IN'!$E$8,0)</f>
        <v>0</v>
      </c>
      <c r="AE378" s="10">
        <f>IF('PV IN'!$N$10="Yes",-PVLoan!H406,-PVLoan!L406)</f>
        <v>0</v>
      </c>
      <c r="AF378" s="10">
        <f>IF('PV IN'!$N$10="Yes",-PVLoan!F406,0)</f>
        <v>0</v>
      </c>
      <c r="AG378" s="10">
        <f>IF(AND('PV IN'!$D$35="YES",$C378&lt;='PV IN'!$E$35*12),0,-'PV IN'!$E$18*'PV IN'!$E$34/12)</f>
        <v>-750</v>
      </c>
      <c r="AH378" s="10">
        <f>IF(AND('PV IN'!$D$37="YES",$C378&lt;='PV IN'!$E$37*12),0,-'PV IN'!$E$18*'PV IN'!$E$36/12)</f>
        <v>-625</v>
      </c>
      <c r="AI378" s="2">
        <f>IF(AND('PV IN'!$D$33="YES",PVCalcs!C378=ROUNDUP('PV IN'!$H$33*12,)),-'PV IN'!$E$33*'PV IN'!$E$18,0)</f>
        <v>0</v>
      </c>
      <c r="AK378" s="2">
        <f t="shared" si="87"/>
        <v>9382.0368298903031</v>
      </c>
      <c r="AL378" s="2">
        <f t="shared" si="98"/>
        <v>-1375</v>
      </c>
      <c r="AM378" s="2">
        <f t="shared" si="99"/>
        <v>8007.0368298903031</v>
      </c>
      <c r="AN378" s="43"/>
      <c r="AO378" s="2">
        <f t="shared" si="100"/>
        <v>0</v>
      </c>
      <c r="AP378" s="2">
        <f t="shared" si="101"/>
        <v>-1375</v>
      </c>
      <c r="AR378" s="2">
        <f t="shared" si="102"/>
        <v>-1375</v>
      </c>
      <c r="AS378" s="2">
        <f>-AR378*'PV IN'!$E$8</f>
        <v>288.75</v>
      </c>
      <c r="AT378" s="2">
        <f>IF('PV IN'!$F$4="Battery Only",0,AM378+AS378)</f>
        <v>8295.7868298903031</v>
      </c>
      <c r="AV378" s="10">
        <f t="shared" si="103"/>
        <v>2579854.8767895461</v>
      </c>
      <c r="AW378" s="2">
        <f>AT378/(1+('PV IN'!$G$9))^(C378)</f>
        <v>1813.2503200856277</v>
      </c>
      <c r="AX378" s="2" t="e">
        <f>IF(C378&lt;='PV IN'!$O$22*12,AW378+AX377,NA())</f>
        <v>#N/A</v>
      </c>
      <c r="AZ378" s="10">
        <f t="shared" si="104"/>
        <v>-1375</v>
      </c>
      <c r="BA378" s="10">
        <f t="shared" si="90"/>
        <v>0</v>
      </c>
      <c r="BB378" s="10">
        <f t="shared" si="105"/>
        <v>-1375</v>
      </c>
      <c r="BC378" s="10">
        <f t="shared" si="106"/>
        <v>0</v>
      </c>
      <c r="BD378" s="10">
        <f t="shared" si="107"/>
        <v>-1375</v>
      </c>
      <c r="BE378" s="2">
        <f t="shared" si="108"/>
        <v>0</v>
      </c>
      <c r="BF378" s="10">
        <f t="shared" si="109"/>
        <v>-1375</v>
      </c>
      <c r="BG378" s="2">
        <f>-BF378*'PV IN'!$E$8</f>
        <v>288.75</v>
      </c>
      <c r="BH378" s="2">
        <f>IF('PV IN'!$F$4="Battery Only",0,BB378+BG378)</f>
        <v>-1086.25</v>
      </c>
      <c r="BI378" s="2">
        <f>BH378/(1+('PV IN'!$G$9))^(C378)</f>
        <v>-237.42692532747472</v>
      </c>
    </row>
    <row r="379" spans="2:61" x14ac:dyDescent="0.25">
      <c r="C379">
        <v>375</v>
      </c>
      <c r="D379" s="16">
        <f>D378*(1+('PV IN'!$G$6/12))</f>
        <v>7.5999999999999998E-2</v>
      </c>
      <c r="E379" s="16">
        <f>LkUP!$U$50</f>
        <v>7.8896523189157505E-2</v>
      </c>
      <c r="F379" s="16">
        <f>IF('PV IN'!$D$7="Table",E379,D379)</f>
        <v>7.8896523189157505E-2</v>
      </c>
      <c r="G379" s="33">
        <f>('PV IN'!$E$25*'PV IN'!$E$18/12)*(1-(1-'PV IN'!$E$27)/(25*12))^C378</f>
        <v>118836.44246517139</v>
      </c>
      <c r="H379" s="33">
        <f>IF('PV IN'!$D$19="YES",G379*'PV IN'!$E$21,0)</f>
        <v>0</v>
      </c>
      <c r="I379" s="33">
        <f>IF('PV IN'!$D$19="YES",'PV IN'!$E$22*BattCalcs!W379,0)</f>
        <v>0</v>
      </c>
      <c r="J379" s="33">
        <f>IF('PV IN'!$D$19="YES",'PV IN'!$E$23*BattCalcs!Y379,0)</f>
        <v>0</v>
      </c>
      <c r="K379" s="33">
        <f>BattCalcs!AF379</f>
        <v>25811.765833333331</v>
      </c>
      <c r="L379" s="33">
        <f t="shared" si="97"/>
        <v>25811.765833333331</v>
      </c>
      <c r="M379" s="33">
        <f>IF('PV IN'!$F$4="PV Only",G379,G379-SUM(H379:J379,L379))</f>
        <v>118836.44246517139</v>
      </c>
      <c r="N379" s="2">
        <f>IF(C379&lt;='PV IN'!$I$12*12,'PV IN'!$E$12*G379/1000,0)</f>
        <v>0</v>
      </c>
      <c r="O379" s="2">
        <f>IF(AND(C379&gt;'PV IN'!$I$12*12,C379&lt;='PV IN'!$I$13*12+'PV IN'!$I$12*12),'PV IN'!$E$13*PVCalcs!G379/1000,0)</f>
        <v>0</v>
      </c>
      <c r="P379" s="2">
        <f>IF(AND(C379&gt;'PV IN'!$I$12*12+'PV IN'!$I$13*12,C379&lt;='PV IN'!$I$12*12+'PV IN'!$I$13*12+'PV IN'!$I$14*12),'PV IN'!$E$14*PVCalcs!G379/1000,0)</f>
        <v>0</v>
      </c>
      <c r="R379" s="10">
        <f>IF(AND('PV IN'!$D$35="YES",$C379&lt;='PV IN'!$E$35*12),-'PV IN'!$E$18*'PV IN'!$E$34/12,0)</f>
        <v>0</v>
      </c>
      <c r="S379" s="10">
        <f>IF(AND('PV IN'!$D$37="YES",$C379&lt;='PV IN'!$E$37*12),-'PV IN'!$E$18*'PV IN'!$E$36/12,0)</f>
        <v>0</v>
      </c>
      <c r="U379" s="2">
        <f t="shared" si="96"/>
        <v>9375.7821386703763</v>
      </c>
      <c r="V379" s="10">
        <f>PVLoan!M406</f>
        <v>0</v>
      </c>
      <c r="W379" s="2">
        <f>IF(C379='PV IN'!$I$40,IF('PV IN'!$G$40="Non-Taxable",'PV IN'!$F$40,0),0)+IF(C379='PV IN'!$I$41,IF('PV IN'!$G$41="Non-Taxable",'PV IN'!$F$41,0),0)</f>
        <v>0</v>
      </c>
      <c r="X379" s="10"/>
      <c r="Y379" s="10">
        <f>IF('PV IN'!$E$15="Non-Taxable",SUM(N379:P379),0)</f>
        <v>0</v>
      </c>
      <c r="Z379" s="10">
        <f>IF('PV IN'!$E$15="Taxable",SUM(N379:P379),0)</f>
        <v>0</v>
      </c>
      <c r="AA379" s="2">
        <f>IF(C379='PV IN'!$I$40,IF('PV IN'!$G$40="Taxable",'PV IN'!$F$40,0),0)+IF(C379='PV IN'!$I$41,IF('PV IN'!$G$41="Taxable",'PV IN'!$F$41,0),0)</f>
        <v>0</v>
      </c>
      <c r="AD379" s="10">
        <f>IF('PV IN'!$D$48="YES",-U379*'PV IN'!$E$8,0)</f>
        <v>0</v>
      </c>
      <c r="AE379" s="10">
        <f>IF('PV IN'!$N$10="Yes",-PVLoan!H407,-PVLoan!L407)</f>
        <v>0</v>
      </c>
      <c r="AF379" s="10">
        <f>IF('PV IN'!$N$10="Yes",-PVLoan!F407,0)</f>
        <v>0</v>
      </c>
      <c r="AG379" s="10">
        <f>IF(AND('PV IN'!$D$35="YES",$C379&lt;='PV IN'!$E$35*12),0,-'PV IN'!$E$18*'PV IN'!$E$34/12)</f>
        <v>-750</v>
      </c>
      <c r="AH379" s="10">
        <f>IF(AND('PV IN'!$D$37="YES",$C379&lt;='PV IN'!$E$37*12),0,-'PV IN'!$E$18*'PV IN'!$E$36/12)</f>
        <v>-625</v>
      </c>
      <c r="AI379" s="2">
        <f>IF(AND('PV IN'!$D$33="YES",PVCalcs!C379=ROUNDUP('PV IN'!$H$33*12,)),-'PV IN'!$E$33*'PV IN'!$E$18,0)</f>
        <v>0</v>
      </c>
      <c r="AK379" s="2">
        <f t="shared" si="87"/>
        <v>9375.7821386703763</v>
      </c>
      <c r="AL379" s="2">
        <f t="shared" si="98"/>
        <v>-1375</v>
      </c>
      <c r="AM379" s="2">
        <f t="shared" si="99"/>
        <v>8000.7821386703763</v>
      </c>
      <c r="AN379" s="43"/>
      <c r="AO379" s="2">
        <f t="shared" si="100"/>
        <v>0</v>
      </c>
      <c r="AP379" s="2">
        <f t="shared" si="101"/>
        <v>-1375</v>
      </c>
      <c r="AR379" s="2">
        <f t="shared" si="102"/>
        <v>-1375</v>
      </c>
      <c r="AS379" s="2">
        <f>-AR379*'PV IN'!$E$8</f>
        <v>288.75</v>
      </c>
      <c r="AT379" s="2">
        <f>IF('PV IN'!$F$4="Battery Only",0,AM379+AS379)</f>
        <v>8289.5321386703763</v>
      </c>
      <c r="AV379" s="10">
        <f t="shared" si="103"/>
        <v>2588144.4089282164</v>
      </c>
      <c r="AW379" s="2">
        <f>AT379/(1+('PV IN'!$G$9))^(C379)</f>
        <v>1804.5313179611749</v>
      </c>
      <c r="AX379" s="2" t="e">
        <f>IF(C379&lt;='PV IN'!$O$22*12,AW379+AX378,NA())</f>
        <v>#N/A</v>
      </c>
      <c r="AZ379" s="10">
        <f t="shared" si="104"/>
        <v>-1375</v>
      </c>
      <c r="BA379" s="10">
        <f t="shared" si="90"/>
        <v>0</v>
      </c>
      <c r="BB379" s="10">
        <f t="shared" si="105"/>
        <v>-1375</v>
      </c>
      <c r="BC379" s="10">
        <f t="shared" si="106"/>
        <v>0</v>
      </c>
      <c r="BD379" s="10">
        <f t="shared" si="107"/>
        <v>-1375</v>
      </c>
      <c r="BE379" s="2">
        <f t="shared" si="108"/>
        <v>0</v>
      </c>
      <c r="BF379" s="10">
        <f t="shared" si="109"/>
        <v>-1375</v>
      </c>
      <c r="BG379" s="2">
        <f>-BF379*'PV IN'!$E$8</f>
        <v>288.75</v>
      </c>
      <c r="BH379" s="2">
        <f>IF('PV IN'!$F$4="Battery Only",0,BB379+BG379)</f>
        <v>-1086.25</v>
      </c>
      <c r="BI379" s="2">
        <f>BH379/(1+('PV IN'!$G$9))^(C379)</f>
        <v>-236.46354358060717</v>
      </c>
    </row>
    <row r="380" spans="2:61" x14ac:dyDescent="0.25">
      <c r="C380">
        <v>376</v>
      </c>
      <c r="D380" s="16">
        <f>D379*(1+('PV IN'!$G$6/12))</f>
        <v>7.5999999999999998E-2</v>
      </c>
      <c r="E380" s="16">
        <f>LkUP!$U$50</f>
        <v>7.8896523189157505E-2</v>
      </c>
      <c r="F380" s="16">
        <f>IF('PV IN'!$D$7="Table",E380,D380)</f>
        <v>7.8896523189157505E-2</v>
      </c>
      <c r="G380" s="33">
        <f>('PV IN'!$E$25*'PV IN'!$E$18/12)*(1-(1-'PV IN'!$E$27)/(25*12))^C379</f>
        <v>118757.21817019462</v>
      </c>
      <c r="H380" s="33">
        <f>IF('PV IN'!$D$19="YES",G380*'PV IN'!$E$21,0)</f>
        <v>0</v>
      </c>
      <c r="I380" s="33">
        <f>IF('PV IN'!$D$19="YES",'PV IN'!$E$22*BattCalcs!W380,0)</f>
        <v>0</v>
      </c>
      <c r="J380" s="33">
        <f>IF('PV IN'!$D$19="YES",'PV IN'!$E$23*BattCalcs!Y380,0)</f>
        <v>0</v>
      </c>
      <c r="K380" s="33">
        <f>BattCalcs!AF380</f>
        <v>25811.765833333331</v>
      </c>
      <c r="L380" s="33">
        <f t="shared" si="97"/>
        <v>25811.765833333331</v>
      </c>
      <c r="M380" s="33">
        <f>IF('PV IN'!$F$4="PV Only",G380,G380-SUM(H380:J380,L380))</f>
        <v>118757.21817019462</v>
      </c>
      <c r="N380" s="2">
        <f>IF(C380&lt;='PV IN'!$I$12*12,'PV IN'!$E$12*G380/1000,0)</f>
        <v>0</v>
      </c>
      <c r="O380" s="2">
        <f>IF(AND(C380&gt;'PV IN'!$I$12*12,C380&lt;='PV IN'!$I$13*12+'PV IN'!$I$12*12),'PV IN'!$E$13*PVCalcs!G380/1000,0)</f>
        <v>0</v>
      </c>
      <c r="P380" s="2">
        <f>IF(AND(C380&gt;'PV IN'!$I$12*12+'PV IN'!$I$13*12,C380&lt;='PV IN'!$I$12*12+'PV IN'!$I$13*12+'PV IN'!$I$14*12),'PV IN'!$E$14*PVCalcs!G380/1000,0)</f>
        <v>0</v>
      </c>
      <c r="R380" s="10">
        <f>IF(AND('PV IN'!$D$35="YES",$C380&lt;='PV IN'!$E$35*12),-'PV IN'!$E$18*'PV IN'!$E$34/12,0)</f>
        <v>0</v>
      </c>
      <c r="S380" s="10">
        <f>IF(AND('PV IN'!$D$37="YES",$C380&lt;='PV IN'!$E$37*12),-'PV IN'!$E$18*'PV IN'!$E$36/12,0)</f>
        <v>0</v>
      </c>
      <c r="U380" s="2">
        <f t="shared" si="96"/>
        <v>9369.5316172445964</v>
      </c>
      <c r="V380" s="10">
        <f>PVLoan!M407</f>
        <v>0</v>
      </c>
      <c r="W380" s="2">
        <f>IF(C380='PV IN'!$I$40,IF('PV IN'!$G$40="Non-Taxable",'PV IN'!$F$40,0),0)+IF(C380='PV IN'!$I$41,IF('PV IN'!$G$41="Non-Taxable",'PV IN'!$F$41,0),0)</f>
        <v>0</v>
      </c>
      <c r="X380" s="10"/>
      <c r="Y380" s="10">
        <f>IF('PV IN'!$E$15="Non-Taxable",SUM(N380:P380),0)</f>
        <v>0</v>
      </c>
      <c r="Z380" s="10">
        <f>IF('PV IN'!$E$15="Taxable",SUM(N380:P380),0)</f>
        <v>0</v>
      </c>
      <c r="AA380" s="2">
        <f>IF(C380='PV IN'!$I$40,IF('PV IN'!$G$40="Taxable",'PV IN'!$F$40,0),0)+IF(C380='PV IN'!$I$41,IF('PV IN'!$G$41="Taxable",'PV IN'!$F$41,0),0)</f>
        <v>0</v>
      </c>
      <c r="AD380" s="10">
        <f>IF('PV IN'!$D$48="YES",-U380*'PV IN'!$E$8,0)</f>
        <v>0</v>
      </c>
      <c r="AE380" s="10">
        <f>IF('PV IN'!$N$10="Yes",-PVLoan!H408,-PVLoan!L408)</f>
        <v>0</v>
      </c>
      <c r="AF380" s="10">
        <f>IF('PV IN'!$N$10="Yes",-PVLoan!F408,0)</f>
        <v>0</v>
      </c>
      <c r="AG380" s="10">
        <f>IF(AND('PV IN'!$D$35="YES",$C380&lt;='PV IN'!$E$35*12),0,-'PV IN'!$E$18*'PV IN'!$E$34/12)</f>
        <v>-750</v>
      </c>
      <c r="AH380" s="10">
        <f>IF(AND('PV IN'!$D$37="YES",$C380&lt;='PV IN'!$E$37*12),0,-'PV IN'!$E$18*'PV IN'!$E$36/12)</f>
        <v>-625</v>
      </c>
      <c r="AI380" s="2">
        <f>IF(AND('PV IN'!$D$33="YES",PVCalcs!C380=ROUNDUP('PV IN'!$H$33*12,)),-'PV IN'!$E$33*'PV IN'!$E$18,0)</f>
        <v>0</v>
      </c>
      <c r="AK380" s="2">
        <f t="shared" si="87"/>
        <v>9369.5316172445964</v>
      </c>
      <c r="AL380" s="2">
        <f t="shared" si="98"/>
        <v>-1375</v>
      </c>
      <c r="AM380" s="2">
        <f t="shared" si="99"/>
        <v>7994.5316172445964</v>
      </c>
      <c r="AN380" s="43"/>
      <c r="AO380" s="2">
        <f t="shared" si="100"/>
        <v>0</v>
      </c>
      <c r="AP380" s="2">
        <f t="shared" si="101"/>
        <v>-1375</v>
      </c>
      <c r="AR380" s="2">
        <f t="shared" si="102"/>
        <v>-1375</v>
      </c>
      <c r="AS380" s="2">
        <f>-AR380*'PV IN'!$E$8</f>
        <v>288.75</v>
      </c>
      <c r="AT380" s="2">
        <f>IF('PV IN'!$F$4="Battery Only",0,AM380+AS380)</f>
        <v>8283.2816172445964</v>
      </c>
      <c r="AV380" s="10">
        <f t="shared" si="103"/>
        <v>2596427.6905454611</v>
      </c>
      <c r="AW380" s="2">
        <f>AT380/(1+('PV IN'!$G$9))^(C380)</f>
        <v>1795.8541227267824</v>
      </c>
      <c r="AX380" s="2" t="e">
        <f>IF(C380&lt;='PV IN'!$O$22*12,AW380+AX379,NA())</f>
        <v>#N/A</v>
      </c>
      <c r="AZ380" s="10">
        <f t="shared" si="104"/>
        <v>-1375</v>
      </c>
      <c r="BA380" s="10">
        <f t="shared" si="90"/>
        <v>0</v>
      </c>
      <c r="BB380" s="10">
        <f t="shared" si="105"/>
        <v>-1375</v>
      </c>
      <c r="BC380" s="10">
        <f t="shared" si="106"/>
        <v>0</v>
      </c>
      <c r="BD380" s="10">
        <f t="shared" si="107"/>
        <v>-1375</v>
      </c>
      <c r="BE380" s="2">
        <f t="shared" si="108"/>
        <v>0</v>
      </c>
      <c r="BF380" s="10">
        <f t="shared" si="109"/>
        <v>-1375</v>
      </c>
      <c r="BG380" s="2">
        <f>-BF380*'PV IN'!$E$8</f>
        <v>288.75</v>
      </c>
      <c r="BH380" s="2">
        <f>IF('PV IN'!$F$4="Battery Only",0,BB380+BG380)</f>
        <v>-1086.25</v>
      </c>
      <c r="BI380" s="2">
        <f>BH380/(1+('PV IN'!$G$9))^(C380)</f>
        <v>-235.50407084443378</v>
      </c>
    </row>
    <row r="381" spans="2:61" x14ac:dyDescent="0.25">
      <c r="C381">
        <v>377</v>
      </c>
      <c r="D381" s="16">
        <f>D380*(1+('PV IN'!$G$6/12))</f>
        <v>7.5999999999999998E-2</v>
      </c>
      <c r="E381" s="16">
        <f>LkUP!$U$50</f>
        <v>7.8896523189157505E-2</v>
      </c>
      <c r="F381" s="16">
        <f>IF('PV IN'!$D$7="Table",E381,D381)</f>
        <v>7.8896523189157505E-2</v>
      </c>
      <c r="G381" s="33">
        <f>('PV IN'!$E$25*'PV IN'!$E$18/12)*(1-(1-'PV IN'!$E$27)/(25*12))^C380</f>
        <v>118678.04669141449</v>
      </c>
      <c r="H381" s="33">
        <f>IF('PV IN'!$D$19="YES",G381*'PV IN'!$E$21,0)</f>
        <v>0</v>
      </c>
      <c r="I381" s="33">
        <f>IF('PV IN'!$D$19="YES",'PV IN'!$E$22*BattCalcs!W381,0)</f>
        <v>0</v>
      </c>
      <c r="J381" s="33">
        <f>IF('PV IN'!$D$19="YES",'PV IN'!$E$23*BattCalcs!Y381,0)</f>
        <v>0</v>
      </c>
      <c r="K381" s="33">
        <f>BattCalcs!AF381</f>
        <v>25811.765833333331</v>
      </c>
      <c r="L381" s="33">
        <f t="shared" si="97"/>
        <v>25811.765833333331</v>
      </c>
      <c r="M381" s="33">
        <f>IF('PV IN'!$F$4="PV Only",G381,G381-SUM(H381:J381,L381))</f>
        <v>118678.04669141449</v>
      </c>
      <c r="N381" s="2">
        <f>IF(C381&lt;='PV IN'!$I$12*12,'PV IN'!$E$12*G381/1000,0)</f>
        <v>0</v>
      </c>
      <c r="O381" s="2">
        <f>IF(AND(C381&gt;'PV IN'!$I$12*12,C381&lt;='PV IN'!$I$13*12+'PV IN'!$I$12*12),'PV IN'!$E$13*PVCalcs!G381/1000,0)</f>
        <v>0</v>
      </c>
      <c r="P381" s="2">
        <f>IF(AND(C381&gt;'PV IN'!$I$12*12+'PV IN'!$I$13*12,C381&lt;='PV IN'!$I$12*12+'PV IN'!$I$13*12+'PV IN'!$I$14*12),'PV IN'!$E$14*PVCalcs!G381/1000,0)</f>
        <v>0</v>
      </c>
      <c r="R381" s="10">
        <f>IF(AND('PV IN'!$D$35="YES",$C381&lt;='PV IN'!$E$35*12),-'PV IN'!$E$18*'PV IN'!$E$34/12,0)</f>
        <v>0</v>
      </c>
      <c r="S381" s="10">
        <f>IF(AND('PV IN'!$D$37="YES",$C381&lt;='PV IN'!$E$37*12),-'PV IN'!$E$18*'PV IN'!$E$36/12,0)</f>
        <v>0</v>
      </c>
      <c r="U381" s="2">
        <f t="shared" si="96"/>
        <v>9363.2852628331002</v>
      </c>
      <c r="V381" s="10">
        <f>PVLoan!M408</f>
        <v>0</v>
      </c>
      <c r="W381" s="2">
        <f>IF(C381='PV IN'!$I$40,IF('PV IN'!$G$40="Non-Taxable",'PV IN'!$F$40,0),0)+IF(C381='PV IN'!$I$41,IF('PV IN'!$G$41="Non-Taxable",'PV IN'!$F$41,0),0)</f>
        <v>0</v>
      </c>
      <c r="X381" s="10"/>
      <c r="Y381" s="10">
        <f>IF('PV IN'!$E$15="Non-Taxable",SUM(N381:P381),0)</f>
        <v>0</v>
      </c>
      <c r="Z381" s="10">
        <f>IF('PV IN'!$E$15="Taxable",SUM(N381:P381),0)</f>
        <v>0</v>
      </c>
      <c r="AA381" s="2">
        <f>IF(C381='PV IN'!$I$40,IF('PV IN'!$G$40="Taxable",'PV IN'!$F$40,0),0)+IF(C381='PV IN'!$I$41,IF('PV IN'!$G$41="Taxable",'PV IN'!$F$41,0),0)</f>
        <v>0</v>
      </c>
      <c r="AD381" s="10">
        <f>IF('PV IN'!$D$48="YES",-U381*'PV IN'!$E$8,0)</f>
        <v>0</v>
      </c>
      <c r="AE381" s="10">
        <f>IF('PV IN'!$N$10="Yes",-PVLoan!H409,-PVLoan!L409)</f>
        <v>0</v>
      </c>
      <c r="AF381" s="10">
        <f>IF('PV IN'!$N$10="Yes",-PVLoan!F409,0)</f>
        <v>0</v>
      </c>
      <c r="AG381" s="10">
        <f>IF(AND('PV IN'!$D$35="YES",$C381&lt;='PV IN'!$E$35*12),0,-'PV IN'!$E$18*'PV IN'!$E$34/12)</f>
        <v>-750</v>
      </c>
      <c r="AH381" s="10">
        <f>IF(AND('PV IN'!$D$37="YES",$C381&lt;='PV IN'!$E$37*12),0,-'PV IN'!$E$18*'PV IN'!$E$36/12)</f>
        <v>-625</v>
      </c>
      <c r="AI381" s="2">
        <f>IF(AND('PV IN'!$D$33="YES",PVCalcs!C381=ROUNDUP('PV IN'!$H$33*12,)),-'PV IN'!$E$33*'PV IN'!$E$18,0)</f>
        <v>0</v>
      </c>
      <c r="AK381" s="2">
        <f t="shared" si="87"/>
        <v>9363.2852628331002</v>
      </c>
      <c r="AL381" s="2">
        <f t="shared" si="98"/>
        <v>-1375</v>
      </c>
      <c r="AM381" s="2">
        <f t="shared" si="99"/>
        <v>7988.2852628331002</v>
      </c>
      <c r="AN381" s="43"/>
      <c r="AO381" s="2">
        <f t="shared" si="100"/>
        <v>0</v>
      </c>
      <c r="AP381" s="2">
        <f t="shared" si="101"/>
        <v>-1375</v>
      </c>
      <c r="AR381" s="2">
        <f t="shared" si="102"/>
        <v>-1375</v>
      </c>
      <c r="AS381" s="2">
        <f>-AR381*'PV IN'!$E$8</f>
        <v>288.75</v>
      </c>
      <c r="AT381" s="2">
        <f>IF('PV IN'!$F$4="Battery Only",0,AM381+AS381)</f>
        <v>8277.0352628331002</v>
      </c>
      <c r="AV381" s="10">
        <f t="shared" si="103"/>
        <v>2604704.725808294</v>
      </c>
      <c r="AW381" s="2">
        <f>AT381/(1+('PV IN'!$G$9))^(C381)</f>
        <v>1787.2185343935184</v>
      </c>
      <c r="AX381" s="2" t="e">
        <f>IF(C381&lt;='PV IN'!$O$22*12,AW381+AX380,NA())</f>
        <v>#N/A</v>
      </c>
      <c r="AZ381" s="10">
        <f t="shared" si="104"/>
        <v>-1375</v>
      </c>
      <c r="BA381" s="10">
        <f t="shared" si="90"/>
        <v>0</v>
      </c>
      <c r="BB381" s="10">
        <f t="shared" si="105"/>
        <v>-1375</v>
      </c>
      <c r="BC381" s="10">
        <f t="shared" si="106"/>
        <v>0</v>
      </c>
      <c r="BD381" s="10">
        <f t="shared" si="107"/>
        <v>-1375</v>
      </c>
      <c r="BE381" s="2">
        <f t="shared" si="108"/>
        <v>0</v>
      </c>
      <c r="BF381" s="10">
        <f t="shared" si="109"/>
        <v>-1375</v>
      </c>
      <c r="BG381" s="2">
        <f>-BF381*'PV IN'!$E$8</f>
        <v>288.75</v>
      </c>
      <c r="BH381" s="2">
        <f>IF('PV IN'!$F$4="Battery Only",0,BB381+BG381)</f>
        <v>-1086.25</v>
      </c>
      <c r="BI381" s="2">
        <f>BH381/(1+('PV IN'!$G$9))^(C381)</f>
        <v>-234.54849125778159</v>
      </c>
    </row>
    <row r="382" spans="2:61" x14ac:dyDescent="0.25">
      <c r="C382">
        <v>378</v>
      </c>
      <c r="D382" s="16">
        <f>D381*(1+('PV IN'!$G$6/12))</f>
        <v>7.5999999999999998E-2</v>
      </c>
      <c r="E382" s="16">
        <f>LkUP!$U$50</f>
        <v>7.8896523189157505E-2</v>
      </c>
      <c r="F382" s="16">
        <f>IF('PV IN'!$D$7="Table",E382,D382)</f>
        <v>7.8896523189157505E-2</v>
      </c>
      <c r="G382" s="33">
        <f>('PV IN'!$E$25*'PV IN'!$E$18/12)*(1-(1-'PV IN'!$E$27)/(25*12))^C381</f>
        <v>118598.92799362022</v>
      </c>
      <c r="H382" s="33">
        <f>IF('PV IN'!$D$19="YES",G382*'PV IN'!$E$21,0)</f>
        <v>0</v>
      </c>
      <c r="I382" s="33">
        <f>IF('PV IN'!$D$19="YES",'PV IN'!$E$22*BattCalcs!W382,0)</f>
        <v>0</v>
      </c>
      <c r="J382" s="33">
        <f>IF('PV IN'!$D$19="YES",'PV IN'!$E$23*BattCalcs!Y382,0)</f>
        <v>0</v>
      </c>
      <c r="K382" s="33">
        <f>BattCalcs!AF382</f>
        <v>25811.765833333331</v>
      </c>
      <c r="L382" s="33">
        <f t="shared" si="97"/>
        <v>25811.765833333331</v>
      </c>
      <c r="M382" s="33">
        <f>IF('PV IN'!$F$4="PV Only",G382,G382-SUM(H382:J382,L382))</f>
        <v>118598.92799362022</v>
      </c>
      <c r="N382" s="2">
        <f>IF(C382&lt;='PV IN'!$I$12*12,'PV IN'!$E$12*G382/1000,0)</f>
        <v>0</v>
      </c>
      <c r="O382" s="2">
        <f>IF(AND(C382&gt;'PV IN'!$I$12*12,C382&lt;='PV IN'!$I$13*12+'PV IN'!$I$12*12),'PV IN'!$E$13*PVCalcs!G382/1000,0)</f>
        <v>0</v>
      </c>
      <c r="P382" s="2">
        <f>IF(AND(C382&gt;'PV IN'!$I$12*12+'PV IN'!$I$13*12,C382&lt;='PV IN'!$I$12*12+'PV IN'!$I$13*12+'PV IN'!$I$14*12),'PV IN'!$E$14*PVCalcs!G382/1000,0)</f>
        <v>0</v>
      </c>
      <c r="R382" s="10">
        <f>IF(AND('PV IN'!$D$35="YES",$C382&lt;='PV IN'!$E$35*12),-'PV IN'!$E$18*'PV IN'!$E$34/12,0)</f>
        <v>0</v>
      </c>
      <c r="S382" s="10">
        <f>IF(AND('PV IN'!$D$37="YES",$C382&lt;='PV IN'!$E$37*12),-'PV IN'!$E$18*'PV IN'!$E$36/12,0)</f>
        <v>0</v>
      </c>
      <c r="U382" s="2">
        <f t="shared" si="96"/>
        <v>9357.0430726578797</v>
      </c>
      <c r="V382" s="10">
        <f>PVLoan!M409</f>
        <v>0</v>
      </c>
      <c r="W382" s="2">
        <f>IF(C382='PV IN'!$I$40,IF('PV IN'!$G$40="Non-Taxable",'PV IN'!$F$40,0),0)+IF(C382='PV IN'!$I$41,IF('PV IN'!$G$41="Non-Taxable",'PV IN'!$F$41,0),0)</f>
        <v>0</v>
      </c>
      <c r="X382" s="10"/>
      <c r="Y382" s="10">
        <f>IF('PV IN'!$E$15="Non-Taxable",SUM(N382:P382),0)</f>
        <v>0</v>
      </c>
      <c r="Z382" s="10">
        <f>IF('PV IN'!$E$15="Taxable",SUM(N382:P382),0)</f>
        <v>0</v>
      </c>
      <c r="AA382" s="2">
        <f>IF(C382='PV IN'!$I$40,IF('PV IN'!$G$40="Taxable",'PV IN'!$F$40,0),0)+IF(C382='PV IN'!$I$41,IF('PV IN'!$G$41="Taxable",'PV IN'!$F$41,0),0)</f>
        <v>0</v>
      </c>
      <c r="AD382" s="10">
        <f>IF('PV IN'!$D$48="YES",-U382*'PV IN'!$E$8,0)</f>
        <v>0</v>
      </c>
      <c r="AE382" s="10">
        <f>IF('PV IN'!$N$10="Yes",-PVLoan!H410,-PVLoan!L410)</f>
        <v>0</v>
      </c>
      <c r="AF382" s="10">
        <f>IF('PV IN'!$N$10="Yes",-PVLoan!F410,0)</f>
        <v>0</v>
      </c>
      <c r="AG382" s="10">
        <f>IF(AND('PV IN'!$D$35="YES",$C382&lt;='PV IN'!$E$35*12),0,-'PV IN'!$E$18*'PV IN'!$E$34/12)</f>
        <v>-750</v>
      </c>
      <c r="AH382" s="10">
        <f>IF(AND('PV IN'!$D$37="YES",$C382&lt;='PV IN'!$E$37*12),0,-'PV IN'!$E$18*'PV IN'!$E$36/12)</f>
        <v>-625</v>
      </c>
      <c r="AI382" s="2">
        <f>IF(AND('PV IN'!$D$33="YES",PVCalcs!C382=ROUNDUP('PV IN'!$H$33*12,)),-'PV IN'!$E$33*'PV IN'!$E$18,0)</f>
        <v>0</v>
      </c>
      <c r="AK382" s="2">
        <f t="shared" si="87"/>
        <v>9357.0430726578797</v>
      </c>
      <c r="AL382" s="2">
        <f t="shared" si="98"/>
        <v>-1375</v>
      </c>
      <c r="AM382" s="2">
        <f t="shared" si="99"/>
        <v>7982.0430726578797</v>
      </c>
      <c r="AN382" s="43"/>
      <c r="AO382" s="2">
        <f t="shared" si="100"/>
        <v>0</v>
      </c>
      <c r="AP382" s="2">
        <f t="shared" si="101"/>
        <v>-1375</v>
      </c>
      <c r="AR382" s="2">
        <f t="shared" si="102"/>
        <v>-1375</v>
      </c>
      <c r="AS382" s="2">
        <f>-AR382*'PV IN'!$E$8</f>
        <v>288.75</v>
      </c>
      <c r="AT382" s="2">
        <f>IF('PV IN'!$F$4="Battery Only",0,AM382+AS382)</f>
        <v>8270.7930726578797</v>
      </c>
      <c r="AV382" s="10">
        <f t="shared" si="103"/>
        <v>2612975.5188809517</v>
      </c>
      <c r="AW382" s="2">
        <f>AT382/(1+('PV IN'!$G$9))^(C382)</f>
        <v>1778.6243539272405</v>
      </c>
      <c r="AX382" s="2" t="e">
        <f>IF(C382&lt;='PV IN'!$O$22*12,AW382+AX381,NA())</f>
        <v>#N/A</v>
      </c>
      <c r="AZ382" s="10">
        <f t="shared" si="104"/>
        <v>-1375</v>
      </c>
      <c r="BA382" s="10">
        <f t="shared" si="90"/>
        <v>0</v>
      </c>
      <c r="BB382" s="10">
        <f t="shared" si="105"/>
        <v>-1375</v>
      </c>
      <c r="BC382" s="10">
        <f t="shared" si="106"/>
        <v>0</v>
      </c>
      <c r="BD382" s="10">
        <f t="shared" si="107"/>
        <v>-1375</v>
      </c>
      <c r="BE382" s="2">
        <f t="shared" si="108"/>
        <v>0</v>
      </c>
      <c r="BF382" s="10">
        <f t="shared" si="109"/>
        <v>-1375</v>
      </c>
      <c r="BG382" s="2">
        <f>-BF382*'PV IN'!$E$8</f>
        <v>288.75</v>
      </c>
      <c r="BH382" s="2">
        <f>IF('PV IN'!$F$4="Battery Only",0,BB382+BG382)</f>
        <v>-1086.25</v>
      </c>
      <c r="BI382" s="2">
        <f>BH382/(1+('PV IN'!$G$9))^(C382)</f>
        <v>-233.59678902383575</v>
      </c>
    </row>
    <row r="383" spans="2:61" x14ac:dyDescent="0.25">
      <c r="C383">
        <v>379</v>
      </c>
      <c r="D383" s="16">
        <f>D382*(1+('PV IN'!$G$6/12))</f>
        <v>7.5999999999999998E-2</v>
      </c>
      <c r="E383" s="16">
        <f>LkUP!$U$50</f>
        <v>7.8896523189157505E-2</v>
      </c>
      <c r="F383" s="16">
        <f>IF('PV IN'!$D$7="Table",E383,D383)</f>
        <v>7.8896523189157505E-2</v>
      </c>
      <c r="G383" s="33">
        <f>('PV IN'!$E$25*'PV IN'!$E$18/12)*(1-(1-'PV IN'!$E$27)/(25*12))^C382</f>
        <v>118519.86204162445</v>
      </c>
      <c r="H383" s="33">
        <f>IF('PV IN'!$D$19="YES",G383*'PV IN'!$E$21,0)</f>
        <v>0</v>
      </c>
      <c r="I383" s="33">
        <f>IF('PV IN'!$D$19="YES",'PV IN'!$E$22*BattCalcs!W383,0)</f>
        <v>0</v>
      </c>
      <c r="J383" s="33">
        <f>IF('PV IN'!$D$19="YES",'PV IN'!$E$23*BattCalcs!Y383,0)</f>
        <v>0</v>
      </c>
      <c r="K383" s="33">
        <f>BattCalcs!AF383</f>
        <v>25811.765833333331</v>
      </c>
      <c r="L383" s="33">
        <f t="shared" si="97"/>
        <v>25811.765833333331</v>
      </c>
      <c r="M383" s="33">
        <f>IF('PV IN'!$F$4="PV Only",G383,G383-SUM(H383:J383,L383))</f>
        <v>118519.86204162445</v>
      </c>
      <c r="N383" s="2">
        <f>IF(C383&lt;='PV IN'!$I$12*12,'PV IN'!$E$12*G383/1000,0)</f>
        <v>0</v>
      </c>
      <c r="O383" s="2">
        <f>IF(AND(C383&gt;'PV IN'!$I$12*12,C383&lt;='PV IN'!$I$13*12+'PV IN'!$I$12*12),'PV IN'!$E$13*PVCalcs!G383/1000,0)</f>
        <v>0</v>
      </c>
      <c r="P383" s="2">
        <f>IF(AND(C383&gt;'PV IN'!$I$12*12+'PV IN'!$I$13*12,C383&lt;='PV IN'!$I$12*12+'PV IN'!$I$13*12+'PV IN'!$I$14*12),'PV IN'!$E$14*PVCalcs!G383/1000,0)</f>
        <v>0</v>
      </c>
      <c r="R383" s="10">
        <f>IF(AND('PV IN'!$D$35="YES",$C383&lt;='PV IN'!$E$35*12),-'PV IN'!$E$18*'PV IN'!$E$34/12,0)</f>
        <v>0</v>
      </c>
      <c r="S383" s="10">
        <f>IF(AND('PV IN'!$D$37="YES",$C383&lt;='PV IN'!$E$37*12),-'PV IN'!$E$18*'PV IN'!$E$36/12,0)</f>
        <v>0</v>
      </c>
      <c r="U383" s="2">
        <f t="shared" si="96"/>
        <v>9350.8050439427716</v>
      </c>
      <c r="V383" s="10">
        <f>PVLoan!M410</f>
        <v>0</v>
      </c>
      <c r="W383" s="2">
        <f>IF(C383='PV IN'!$I$40,IF('PV IN'!$G$40="Non-Taxable",'PV IN'!$F$40,0),0)+IF(C383='PV IN'!$I$41,IF('PV IN'!$G$41="Non-Taxable",'PV IN'!$F$41,0),0)</f>
        <v>0</v>
      </c>
      <c r="X383" s="10"/>
      <c r="Y383" s="10">
        <f>IF('PV IN'!$E$15="Non-Taxable",SUM(N383:P383),0)</f>
        <v>0</v>
      </c>
      <c r="Z383" s="10">
        <f>IF('PV IN'!$E$15="Taxable",SUM(N383:P383),0)</f>
        <v>0</v>
      </c>
      <c r="AA383" s="2">
        <f>IF(C383='PV IN'!$I$40,IF('PV IN'!$G$40="Taxable",'PV IN'!$F$40,0),0)+IF(C383='PV IN'!$I$41,IF('PV IN'!$G$41="Taxable",'PV IN'!$F$41,0),0)</f>
        <v>0</v>
      </c>
      <c r="AD383" s="10">
        <f>IF('PV IN'!$D$48="YES",-U383*'PV IN'!$E$8,0)</f>
        <v>0</v>
      </c>
      <c r="AE383" s="10">
        <f>IF('PV IN'!$N$10="Yes",-PVLoan!H411,-PVLoan!L411)</f>
        <v>0</v>
      </c>
      <c r="AF383" s="10">
        <f>IF('PV IN'!$N$10="Yes",-PVLoan!F411,0)</f>
        <v>0</v>
      </c>
      <c r="AG383" s="10">
        <f>IF(AND('PV IN'!$D$35="YES",$C383&lt;='PV IN'!$E$35*12),0,-'PV IN'!$E$18*'PV IN'!$E$34/12)</f>
        <v>-750</v>
      </c>
      <c r="AH383" s="10">
        <f>IF(AND('PV IN'!$D$37="YES",$C383&lt;='PV IN'!$E$37*12),0,-'PV IN'!$E$18*'PV IN'!$E$36/12)</f>
        <v>-625</v>
      </c>
      <c r="AI383" s="2">
        <f>IF(AND('PV IN'!$D$33="YES",PVCalcs!C383=ROUNDUP('PV IN'!$H$33*12,)),-'PV IN'!$E$33*'PV IN'!$E$18,0)</f>
        <v>0</v>
      </c>
      <c r="AK383" s="2">
        <f t="shared" si="87"/>
        <v>9350.8050439427716</v>
      </c>
      <c r="AL383" s="2">
        <f t="shared" si="98"/>
        <v>-1375</v>
      </c>
      <c r="AM383" s="2">
        <f t="shared" si="99"/>
        <v>7975.8050439427716</v>
      </c>
      <c r="AN383" s="43"/>
      <c r="AO383" s="2">
        <f t="shared" si="100"/>
        <v>0</v>
      </c>
      <c r="AP383" s="2">
        <f t="shared" si="101"/>
        <v>-1375</v>
      </c>
      <c r="AR383" s="2">
        <f t="shared" si="102"/>
        <v>-1375</v>
      </c>
      <c r="AS383" s="2">
        <f>-AR383*'PV IN'!$E$8</f>
        <v>288.75</v>
      </c>
      <c r="AT383" s="2">
        <f>IF('PV IN'!$F$4="Battery Only",0,AM383+AS383)</f>
        <v>8264.5550439427716</v>
      </c>
      <c r="AV383" s="10">
        <f t="shared" si="103"/>
        <v>2621240.0739248944</v>
      </c>
      <c r="AW383" s="2">
        <f>AT383/(1+('PV IN'!$G$9))^(C383)</f>
        <v>1770.0713832440424</v>
      </c>
      <c r="AX383" s="2" t="e">
        <f>IF(C383&lt;='PV IN'!$O$22*12,AW383+AX382,NA())</f>
        <v>#N/A</v>
      </c>
      <c r="AZ383" s="10">
        <f t="shared" si="104"/>
        <v>-1375</v>
      </c>
      <c r="BA383" s="10">
        <f t="shared" si="90"/>
        <v>0</v>
      </c>
      <c r="BB383" s="10">
        <f t="shared" si="105"/>
        <v>-1375</v>
      </c>
      <c r="BC383" s="10">
        <f t="shared" si="106"/>
        <v>0</v>
      </c>
      <c r="BD383" s="10">
        <f t="shared" si="107"/>
        <v>-1375</v>
      </c>
      <c r="BE383" s="2">
        <f t="shared" si="108"/>
        <v>0</v>
      </c>
      <c r="BF383" s="10">
        <f t="shared" si="109"/>
        <v>-1375</v>
      </c>
      <c r="BG383" s="2">
        <f>-BF383*'PV IN'!$E$8</f>
        <v>288.75</v>
      </c>
      <c r="BH383" s="2">
        <f>IF('PV IN'!$F$4="Battery Only",0,BB383+BG383)</f>
        <v>-1086.25</v>
      </c>
      <c r="BI383" s="2">
        <f>BH383/(1+('PV IN'!$G$9))^(C383)</f>
        <v>-232.64894840987827</v>
      </c>
    </row>
    <row r="384" spans="2:61" x14ac:dyDescent="0.25">
      <c r="C384">
        <v>380</v>
      </c>
      <c r="D384" s="16">
        <f>D383*(1+('PV IN'!$G$6/12))</f>
        <v>7.5999999999999998E-2</v>
      </c>
      <c r="E384" s="16">
        <f>LkUP!$U$50</f>
        <v>7.8896523189157505E-2</v>
      </c>
      <c r="F384" s="16">
        <f>IF('PV IN'!$D$7="Table",E384,D384)</f>
        <v>7.8896523189157505E-2</v>
      </c>
      <c r="G384" s="33">
        <f>('PV IN'!$E$25*'PV IN'!$E$18/12)*(1-(1-'PV IN'!$E$27)/(25*12))^C383</f>
        <v>118440.84880026337</v>
      </c>
      <c r="H384" s="33">
        <f>IF('PV IN'!$D$19="YES",G384*'PV IN'!$E$21,0)</f>
        <v>0</v>
      </c>
      <c r="I384" s="33">
        <f>IF('PV IN'!$D$19="YES",'PV IN'!$E$22*BattCalcs!W384,0)</f>
        <v>0</v>
      </c>
      <c r="J384" s="33">
        <f>IF('PV IN'!$D$19="YES",'PV IN'!$E$23*BattCalcs!Y384,0)</f>
        <v>0</v>
      </c>
      <c r="K384" s="33">
        <f>BattCalcs!AF384</f>
        <v>25811.765833333331</v>
      </c>
      <c r="L384" s="33">
        <f t="shared" si="97"/>
        <v>25811.765833333331</v>
      </c>
      <c r="M384" s="33">
        <f>IF('PV IN'!$F$4="PV Only",G384,G384-SUM(H384:J384,L384))</f>
        <v>118440.84880026337</v>
      </c>
      <c r="N384" s="2">
        <f>IF(C384&lt;='PV IN'!$I$12*12,'PV IN'!$E$12*G384/1000,0)</f>
        <v>0</v>
      </c>
      <c r="O384" s="2">
        <f>IF(AND(C384&gt;'PV IN'!$I$12*12,C384&lt;='PV IN'!$I$13*12+'PV IN'!$I$12*12),'PV IN'!$E$13*PVCalcs!G384/1000,0)</f>
        <v>0</v>
      </c>
      <c r="P384" s="2">
        <f>IF(AND(C384&gt;'PV IN'!$I$12*12+'PV IN'!$I$13*12,C384&lt;='PV IN'!$I$12*12+'PV IN'!$I$13*12+'PV IN'!$I$14*12),'PV IN'!$E$14*PVCalcs!G384/1000,0)</f>
        <v>0</v>
      </c>
      <c r="R384" s="10">
        <f>IF(AND('PV IN'!$D$35="YES",$C384&lt;='PV IN'!$E$35*12),-'PV IN'!$E$18*'PV IN'!$E$34/12,0)</f>
        <v>0</v>
      </c>
      <c r="S384" s="10">
        <f>IF(AND('PV IN'!$D$37="YES",$C384&lt;='PV IN'!$E$37*12),-'PV IN'!$E$18*'PV IN'!$E$36/12,0)</f>
        <v>0</v>
      </c>
      <c r="U384" s="2">
        <f t="shared" si="96"/>
        <v>9344.5711739134767</v>
      </c>
      <c r="V384" s="10">
        <f>PVLoan!M411</f>
        <v>0</v>
      </c>
      <c r="W384" s="2">
        <f>IF(C384='PV IN'!$I$40,IF('PV IN'!$G$40="Non-Taxable",'PV IN'!$F$40,0),0)+IF(C384='PV IN'!$I$41,IF('PV IN'!$G$41="Non-Taxable",'PV IN'!$F$41,0),0)</f>
        <v>0</v>
      </c>
      <c r="X384" s="10"/>
      <c r="Y384" s="10">
        <f>IF('PV IN'!$E$15="Non-Taxable",SUM(N384:P384),0)</f>
        <v>0</v>
      </c>
      <c r="Z384" s="10">
        <f>IF('PV IN'!$E$15="Taxable",SUM(N384:P384),0)</f>
        <v>0</v>
      </c>
      <c r="AA384" s="2">
        <f>IF(C384='PV IN'!$I$40,IF('PV IN'!$G$40="Taxable",'PV IN'!$F$40,0),0)+IF(C384='PV IN'!$I$41,IF('PV IN'!$G$41="Taxable",'PV IN'!$F$41,0),0)</f>
        <v>0</v>
      </c>
      <c r="AD384" s="10">
        <f>IF('PV IN'!$D$48="YES",-U384*'PV IN'!$E$8,0)</f>
        <v>0</v>
      </c>
      <c r="AE384" s="10">
        <f>IF('PV IN'!$N$10="Yes",-PVLoan!H412,-PVLoan!L412)</f>
        <v>0</v>
      </c>
      <c r="AF384" s="10">
        <f>IF('PV IN'!$N$10="Yes",-PVLoan!F412,0)</f>
        <v>0</v>
      </c>
      <c r="AG384" s="10">
        <f>IF(AND('PV IN'!$D$35="YES",$C384&lt;='PV IN'!$E$35*12),0,-'PV IN'!$E$18*'PV IN'!$E$34/12)</f>
        <v>-750</v>
      </c>
      <c r="AH384" s="10">
        <f>IF(AND('PV IN'!$D$37="YES",$C384&lt;='PV IN'!$E$37*12),0,-'PV IN'!$E$18*'PV IN'!$E$36/12)</f>
        <v>-625</v>
      </c>
      <c r="AI384" s="2">
        <f>IF(AND('PV IN'!$D$33="YES",PVCalcs!C384=ROUNDUP('PV IN'!$H$33*12,)),-'PV IN'!$E$33*'PV IN'!$E$18,0)</f>
        <v>0</v>
      </c>
      <c r="AK384" s="2">
        <f t="shared" si="87"/>
        <v>9344.5711739134767</v>
      </c>
      <c r="AL384" s="2">
        <f t="shared" si="98"/>
        <v>-1375</v>
      </c>
      <c r="AM384" s="2">
        <f t="shared" si="99"/>
        <v>7969.5711739134767</v>
      </c>
      <c r="AN384" s="43"/>
      <c r="AO384" s="2">
        <f t="shared" si="100"/>
        <v>0</v>
      </c>
      <c r="AP384" s="2">
        <f t="shared" si="101"/>
        <v>-1375</v>
      </c>
      <c r="AR384" s="2">
        <f t="shared" si="102"/>
        <v>-1375</v>
      </c>
      <c r="AS384" s="2">
        <f>-AR384*'PV IN'!$E$8</f>
        <v>288.75</v>
      </c>
      <c r="AT384" s="2">
        <f>IF('PV IN'!$F$4="Battery Only",0,AM384+AS384)</f>
        <v>8258.3211739134767</v>
      </c>
      <c r="AV384" s="10">
        <f t="shared" si="103"/>
        <v>2629498.3950988078</v>
      </c>
      <c r="AW384" s="2">
        <f>AT384/(1+('PV IN'!$G$9))^(C384)</f>
        <v>1761.5594252057326</v>
      </c>
      <c r="AX384" s="2" t="e">
        <f>IF(C384&lt;='PV IN'!$O$22*12,AW384+AX383,NA())</f>
        <v>#N/A</v>
      </c>
      <c r="AZ384" s="10">
        <f t="shared" si="104"/>
        <v>-1375</v>
      </c>
      <c r="BA384" s="10">
        <f t="shared" si="90"/>
        <v>0</v>
      </c>
      <c r="BB384" s="10">
        <f t="shared" si="105"/>
        <v>-1375</v>
      </c>
      <c r="BC384" s="10">
        <f t="shared" si="106"/>
        <v>0</v>
      </c>
      <c r="BD384" s="10">
        <f t="shared" si="107"/>
        <v>-1375</v>
      </c>
      <c r="BE384" s="2">
        <f t="shared" si="108"/>
        <v>0</v>
      </c>
      <c r="BF384" s="10">
        <f t="shared" si="109"/>
        <v>-1375</v>
      </c>
      <c r="BG384" s="2">
        <f>-BF384*'PV IN'!$E$8</f>
        <v>288.75</v>
      </c>
      <c r="BH384" s="2">
        <f>IF('PV IN'!$F$4="Battery Only",0,BB384+BG384)</f>
        <v>-1086.25</v>
      </c>
      <c r="BI384" s="2">
        <f>BH384/(1+('PV IN'!$G$9))^(C384)</f>
        <v>-231.70495374702836</v>
      </c>
    </row>
    <row r="385" spans="2:61" x14ac:dyDescent="0.25">
      <c r="C385">
        <v>381</v>
      </c>
      <c r="D385" s="16">
        <f>D384*(1+('PV IN'!$G$6/12))</f>
        <v>7.5999999999999998E-2</v>
      </c>
      <c r="E385" s="16">
        <f>LkUP!$U$50</f>
        <v>7.8896523189157505E-2</v>
      </c>
      <c r="F385" s="16">
        <f>IF('PV IN'!$D$7="Table",E385,D385)</f>
        <v>7.8896523189157505E-2</v>
      </c>
      <c r="G385" s="33">
        <f>('PV IN'!$E$25*'PV IN'!$E$18/12)*(1-(1-'PV IN'!$E$27)/(25*12))^C384</f>
        <v>118361.88823439652</v>
      </c>
      <c r="H385" s="33">
        <f>IF('PV IN'!$D$19="YES",G385*'PV IN'!$E$21,0)</f>
        <v>0</v>
      </c>
      <c r="I385" s="33">
        <f>IF('PV IN'!$D$19="YES",'PV IN'!$E$22*BattCalcs!W385,0)</f>
        <v>0</v>
      </c>
      <c r="J385" s="33">
        <f>IF('PV IN'!$D$19="YES",'PV IN'!$E$23*BattCalcs!Y385,0)</f>
        <v>0</v>
      </c>
      <c r="K385" s="33">
        <f>BattCalcs!AF385</f>
        <v>25811.765833333331</v>
      </c>
      <c r="L385" s="33">
        <f t="shared" si="97"/>
        <v>25811.765833333331</v>
      </c>
      <c r="M385" s="33">
        <f>IF('PV IN'!$F$4="PV Only",G385,G385-SUM(H385:J385,L385))</f>
        <v>118361.88823439652</v>
      </c>
      <c r="N385" s="2">
        <f>IF(C385&lt;='PV IN'!$I$12*12,'PV IN'!$E$12*G385/1000,0)</f>
        <v>0</v>
      </c>
      <c r="O385" s="2">
        <f>IF(AND(C385&gt;'PV IN'!$I$12*12,C385&lt;='PV IN'!$I$13*12+'PV IN'!$I$12*12),'PV IN'!$E$13*PVCalcs!G385/1000,0)</f>
        <v>0</v>
      </c>
      <c r="P385" s="2">
        <f>IF(AND(C385&gt;'PV IN'!$I$12*12+'PV IN'!$I$13*12,C385&lt;='PV IN'!$I$12*12+'PV IN'!$I$13*12+'PV IN'!$I$14*12),'PV IN'!$E$14*PVCalcs!G385/1000,0)</f>
        <v>0</v>
      </c>
      <c r="R385" s="10">
        <f>IF(AND('PV IN'!$D$35="YES",$C385&lt;='PV IN'!$E$35*12),-'PV IN'!$E$18*'PV IN'!$E$34/12,0)</f>
        <v>0</v>
      </c>
      <c r="S385" s="10">
        <f>IF(AND('PV IN'!$D$37="YES",$C385&lt;='PV IN'!$E$37*12),-'PV IN'!$E$18*'PV IN'!$E$36/12,0)</f>
        <v>0</v>
      </c>
      <c r="U385" s="2">
        <f t="shared" si="96"/>
        <v>9338.3414597975334</v>
      </c>
      <c r="V385" s="10">
        <f>PVLoan!M412</f>
        <v>0</v>
      </c>
      <c r="W385" s="2">
        <f>IF(C385='PV IN'!$I$40,IF('PV IN'!$G$40="Non-Taxable",'PV IN'!$F$40,0),0)+IF(C385='PV IN'!$I$41,IF('PV IN'!$G$41="Non-Taxable",'PV IN'!$F$41,0),0)</f>
        <v>0</v>
      </c>
      <c r="X385" s="10"/>
      <c r="Y385" s="10">
        <f>IF('PV IN'!$E$15="Non-Taxable",SUM(N385:P385),0)</f>
        <v>0</v>
      </c>
      <c r="Z385" s="10">
        <f>IF('PV IN'!$E$15="Taxable",SUM(N385:P385),0)</f>
        <v>0</v>
      </c>
      <c r="AA385" s="2">
        <f>IF(C385='PV IN'!$I$40,IF('PV IN'!$G$40="Taxable",'PV IN'!$F$40,0),0)+IF(C385='PV IN'!$I$41,IF('PV IN'!$G$41="Taxable",'PV IN'!$F$41,0),0)</f>
        <v>0</v>
      </c>
      <c r="AD385" s="10">
        <f>IF('PV IN'!$D$48="YES",-U385*'PV IN'!$E$8,0)</f>
        <v>0</v>
      </c>
      <c r="AE385" s="10">
        <f>IF('PV IN'!$N$10="Yes",-PVLoan!H413,-PVLoan!L413)</f>
        <v>0</v>
      </c>
      <c r="AF385" s="10">
        <f>IF('PV IN'!$N$10="Yes",-PVLoan!F413,0)</f>
        <v>0</v>
      </c>
      <c r="AG385" s="10">
        <f>IF(AND('PV IN'!$D$35="YES",$C385&lt;='PV IN'!$E$35*12),0,-'PV IN'!$E$18*'PV IN'!$E$34/12)</f>
        <v>-750</v>
      </c>
      <c r="AH385" s="10">
        <f>IF(AND('PV IN'!$D$37="YES",$C385&lt;='PV IN'!$E$37*12),0,-'PV IN'!$E$18*'PV IN'!$E$36/12)</f>
        <v>-625</v>
      </c>
      <c r="AI385" s="2">
        <f>IF(AND('PV IN'!$D$33="YES",PVCalcs!C385=ROUNDUP('PV IN'!$H$33*12,)),-'PV IN'!$E$33*'PV IN'!$E$18,0)</f>
        <v>0</v>
      </c>
      <c r="AK385" s="2">
        <f t="shared" si="87"/>
        <v>9338.3414597975334</v>
      </c>
      <c r="AL385" s="2">
        <f t="shared" si="98"/>
        <v>-1375</v>
      </c>
      <c r="AM385" s="2">
        <f t="shared" si="99"/>
        <v>7963.3414597975334</v>
      </c>
      <c r="AN385" s="43"/>
      <c r="AO385" s="2">
        <f t="shared" si="100"/>
        <v>0</v>
      </c>
      <c r="AP385" s="2">
        <f t="shared" si="101"/>
        <v>-1375</v>
      </c>
      <c r="AR385" s="2">
        <f t="shared" si="102"/>
        <v>-1375</v>
      </c>
      <c r="AS385" s="2">
        <f>-AR385*'PV IN'!$E$8</f>
        <v>288.75</v>
      </c>
      <c r="AT385" s="2">
        <f>IF('PV IN'!$F$4="Battery Only",0,AM385+AS385)</f>
        <v>8252.0914597975334</v>
      </c>
      <c r="AV385" s="10">
        <f t="shared" si="103"/>
        <v>2637750.4865586055</v>
      </c>
      <c r="AW385" s="2">
        <f>AT385/(1+('PV IN'!$G$9))^(C385)</f>
        <v>1753.088283615318</v>
      </c>
      <c r="AX385" s="2" t="e">
        <f>IF(C385&lt;='PV IN'!$O$22*12,AW385+AX384,NA())</f>
        <v>#N/A</v>
      </c>
      <c r="AZ385" s="10">
        <f t="shared" si="104"/>
        <v>-1375</v>
      </c>
      <c r="BA385" s="10">
        <f t="shared" si="90"/>
        <v>0</v>
      </c>
      <c r="BB385" s="10">
        <f t="shared" si="105"/>
        <v>-1375</v>
      </c>
      <c r="BC385" s="10">
        <f t="shared" si="106"/>
        <v>0</v>
      </c>
      <c r="BD385" s="10">
        <f t="shared" si="107"/>
        <v>-1375</v>
      </c>
      <c r="BE385" s="2">
        <f t="shared" si="108"/>
        <v>0</v>
      </c>
      <c r="BF385" s="10">
        <f t="shared" si="109"/>
        <v>-1375</v>
      </c>
      <c r="BG385" s="2">
        <f>-BF385*'PV IN'!$E$8</f>
        <v>288.75</v>
      </c>
      <c r="BH385" s="2">
        <f>IF('PV IN'!$F$4="Battery Only",0,BB385+BG385)</f>
        <v>-1086.25</v>
      </c>
      <c r="BI385" s="2">
        <f>BH385/(1+('PV IN'!$G$9))^(C385)</f>
        <v>-230.76478942998304</v>
      </c>
    </row>
    <row r="386" spans="2:61" x14ac:dyDescent="0.25">
      <c r="C386">
        <v>382</v>
      </c>
      <c r="D386" s="16">
        <f>D385*(1+('PV IN'!$G$6/12))</f>
        <v>7.5999999999999998E-2</v>
      </c>
      <c r="E386" s="16">
        <f>LkUP!$U$50</f>
        <v>7.8896523189157505E-2</v>
      </c>
      <c r="F386" s="16">
        <f>IF('PV IN'!$D$7="Table",E386,D386)</f>
        <v>7.8896523189157505E-2</v>
      </c>
      <c r="G386" s="33">
        <f>('PV IN'!$E$25*'PV IN'!$E$18/12)*(1-(1-'PV IN'!$E$27)/(25*12))^C385</f>
        <v>118282.98030890693</v>
      </c>
      <c r="H386" s="33">
        <f>IF('PV IN'!$D$19="YES",G386*'PV IN'!$E$21,0)</f>
        <v>0</v>
      </c>
      <c r="I386" s="33">
        <f>IF('PV IN'!$D$19="YES",'PV IN'!$E$22*BattCalcs!W386,0)</f>
        <v>0</v>
      </c>
      <c r="J386" s="33">
        <f>IF('PV IN'!$D$19="YES",'PV IN'!$E$23*BattCalcs!Y386,0)</f>
        <v>0</v>
      </c>
      <c r="K386" s="33">
        <f>BattCalcs!AF386</f>
        <v>25811.765833333331</v>
      </c>
      <c r="L386" s="33">
        <f t="shared" si="97"/>
        <v>25811.765833333331</v>
      </c>
      <c r="M386" s="33">
        <f>IF('PV IN'!$F$4="PV Only",G386,G386-SUM(H386:J386,L386))</f>
        <v>118282.98030890693</v>
      </c>
      <c r="N386" s="2">
        <f>IF(C386&lt;='PV IN'!$I$12*12,'PV IN'!$E$12*G386/1000,0)</f>
        <v>0</v>
      </c>
      <c r="O386" s="2">
        <f>IF(AND(C386&gt;'PV IN'!$I$12*12,C386&lt;='PV IN'!$I$13*12+'PV IN'!$I$12*12),'PV IN'!$E$13*PVCalcs!G386/1000,0)</f>
        <v>0</v>
      </c>
      <c r="P386" s="2">
        <f>IF(AND(C386&gt;'PV IN'!$I$12*12+'PV IN'!$I$13*12,C386&lt;='PV IN'!$I$12*12+'PV IN'!$I$13*12+'PV IN'!$I$14*12),'PV IN'!$E$14*PVCalcs!G386/1000,0)</f>
        <v>0</v>
      </c>
      <c r="R386" s="10">
        <f>IF(AND('PV IN'!$D$35="YES",$C386&lt;='PV IN'!$E$35*12),-'PV IN'!$E$18*'PV IN'!$E$34/12,0)</f>
        <v>0</v>
      </c>
      <c r="S386" s="10">
        <f>IF(AND('PV IN'!$D$37="YES",$C386&lt;='PV IN'!$E$37*12),-'PV IN'!$E$18*'PV IN'!$E$36/12,0)</f>
        <v>0</v>
      </c>
      <c r="U386" s="2">
        <f t="shared" si="96"/>
        <v>9332.1158988243369</v>
      </c>
      <c r="V386" s="10">
        <f>PVLoan!M413</f>
        <v>0</v>
      </c>
      <c r="W386" s="2">
        <f>IF(C386='PV IN'!$I$40,IF('PV IN'!$G$40="Non-Taxable",'PV IN'!$F$40,0),0)+IF(C386='PV IN'!$I$41,IF('PV IN'!$G$41="Non-Taxable",'PV IN'!$F$41,0),0)</f>
        <v>0</v>
      </c>
      <c r="X386" s="10"/>
      <c r="Y386" s="10">
        <f>IF('PV IN'!$E$15="Non-Taxable",SUM(N386:P386),0)</f>
        <v>0</v>
      </c>
      <c r="Z386" s="10">
        <f>IF('PV IN'!$E$15="Taxable",SUM(N386:P386),0)</f>
        <v>0</v>
      </c>
      <c r="AA386" s="2">
        <f>IF(C386='PV IN'!$I$40,IF('PV IN'!$G$40="Taxable",'PV IN'!$F$40,0),0)+IF(C386='PV IN'!$I$41,IF('PV IN'!$G$41="Taxable",'PV IN'!$F$41,0),0)</f>
        <v>0</v>
      </c>
      <c r="AD386" s="10">
        <f>IF('PV IN'!$D$48="YES",-U386*'PV IN'!$E$8,0)</f>
        <v>0</v>
      </c>
      <c r="AE386" s="10">
        <f>IF('PV IN'!$N$10="Yes",-PVLoan!H414,-PVLoan!L414)</f>
        <v>0</v>
      </c>
      <c r="AF386" s="10">
        <f>IF('PV IN'!$N$10="Yes",-PVLoan!F414,0)</f>
        <v>0</v>
      </c>
      <c r="AG386" s="10">
        <f>IF(AND('PV IN'!$D$35="YES",$C386&lt;='PV IN'!$E$35*12),0,-'PV IN'!$E$18*'PV IN'!$E$34/12)</f>
        <v>-750</v>
      </c>
      <c r="AH386" s="10">
        <f>IF(AND('PV IN'!$D$37="YES",$C386&lt;='PV IN'!$E$37*12),0,-'PV IN'!$E$18*'PV IN'!$E$36/12)</f>
        <v>-625</v>
      </c>
      <c r="AI386" s="2">
        <f>IF(AND('PV IN'!$D$33="YES",PVCalcs!C386=ROUNDUP('PV IN'!$H$33*12,)),-'PV IN'!$E$33*'PV IN'!$E$18,0)</f>
        <v>0</v>
      </c>
      <c r="AK386" s="2">
        <f t="shared" si="87"/>
        <v>9332.1158988243369</v>
      </c>
      <c r="AL386" s="2">
        <f t="shared" si="98"/>
        <v>-1375</v>
      </c>
      <c r="AM386" s="2">
        <f t="shared" si="99"/>
        <v>7957.1158988243369</v>
      </c>
      <c r="AN386" s="43"/>
      <c r="AO386" s="2">
        <f t="shared" si="100"/>
        <v>0</v>
      </c>
      <c r="AP386" s="2">
        <f t="shared" si="101"/>
        <v>-1375</v>
      </c>
      <c r="AR386" s="2">
        <f t="shared" si="102"/>
        <v>-1375</v>
      </c>
      <c r="AS386" s="2">
        <f>-AR386*'PV IN'!$E$8</f>
        <v>288.75</v>
      </c>
      <c r="AT386" s="2">
        <f>IF('PV IN'!$F$4="Battery Only",0,AM386+AS386)</f>
        <v>8245.8658988243369</v>
      </c>
      <c r="AV386" s="10">
        <f t="shared" si="103"/>
        <v>2645996.3524574297</v>
      </c>
      <c r="AW386" s="2">
        <f>AT386/(1+('PV IN'!$G$9))^(C386)</f>
        <v>1744.6577632125241</v>
      </c>
      <c r="AX386" s="2" t="e">
        <f>IF(C386&lt;='PV IN'!$O$22*12,AW386+AX385,NA())</f>
        <v>#N/A</v>
      </c>
      <c r="AZ386" s="10">
        <f t="shared" si="104"/>
        <v>-1375</v>
      </c>
      <c r="BA386" s="10">
        <f t="shared" si="90"/>
        <v>0</v>
      </c>
      <c r="BB386" s="10">
        <f t="shared" si="105"/>
        <v>-1375</v>
      </c>
      <c r="BC386" s="10">
        <f t="shared" si="106"/>
        <v>0</v>
      </c>
      <c r="BD386" s="10">
        <f t="shared" si="107"/>
        <v>-1375</v>
      </c>
      <c r="BE386" s="2">
        <f t="shared" si="108"/>
        <v>0</v>
      </c>
      <c r="BF386" s="10">
        <f t="shared" si="109"/>
        <v>-1375</v>
      </c>
      <c r="BG386" s="2">
        <f>-BF386*'PV IN'!$E$8</f>
        <v>288.75</v>
      </c>
      <c r="BH386" s="2">
        <f>IF('PV IN'!$F$4="Battery Only",0,BB386+BG386)</f>
        <v>-1086.25</v>
      </c>
      <c r="BI386" s="2">
        <f>BH386/(1+('PV IN'!$G$9))^(C386)</f>
        <v>-229.82843991675938</v>
      </c>
    </row>
    <row r="387" spans="2:61" x14ac:dyDescent="0.25">
      <c r="C387">
        <v>383</v>
      </c>
      <c r="D387" s="16">
        <f>D386*(1+('PV IN'!$G$6/12))</f>
        <v>7.5999999999999998E-2</v>
      </c>
      <c r="E387" s="16">
        <f>LkUP!$U$50</f>
        <v>7.8896523189157505E-2</v>
      </c>
      <c r="F387" s="16">
        <f>IF('PV IN'!$D$7="Table",E387,D387)</f>
        <v>7.8896523189157505E-2</v>
      </c>
      <c r="G387" s="33">
        <f>('PV IN'!$E$25*'PV IN'!$E$18/12)*(1-(1-'PV IN'!$E$27)/(25*12))^C386</f>
        <v>118204.12498870096</v>
      </c>
      <c r="H387" s="33">
        <f>IF('PV IN'!$D$19="YES",G387*'PV IN'!$E$21,0)</f>
        <v>0</v>
      </c>
      <c r="I387" s="33">
        <f>IF('PV IN'!$D$19="YES",'PV IN'!$E$22*BattCalcs!W387,0)</f>
        <v>0</v>
      </c>
      <c r="J387" s="33">
        <f>IF('PV IN'!$D$19="YES",'PV IN'!$E$23*BattCalcs!Y387,0)</f>
        <v>0</v>
      </c>
      <c r="K387" s="33">
        <f>BattCalcs!AF387</f>
        <v>25811.765833333331</v>
      </c>
      <c r="L387" s="33">
        <f t="shared" si="97"/>
        <v>25811.765833333331</v>
      </c>
      <c r="M387" s="33">
        <f>IF('PV IN'!$F$4="PV Only",G387,G387-SUM(H387:J387,L387))</f>
        <v>118204.12498870096</v>
      </c>
      <c r="N387" s="2">
        <f>IF(C387&lt;='PV IN'!$I$12*12,'PV IN'!$E$12*G387/1000,0)</f>
        <v>0</v>
      </c>
      <c r="O387" s="2">
        <f>IF(AND(C387&gt;'PV IN'!$I$12*12,C387&lt;='PV IN'!$I$13*12+'PV IN'!$I$12*12),'PV IN'!$E$13*PVCalcs!G387/1000,0)</f>
        <v>0</v>
      </c>
      <c r="P387" s="2">
        <f>IF(AND(C387&gt;'PV IN'!$I$12*12+'PV IN'!$I$13*12,C387&lt;='PV IN'!$I$12*12+'PV IN'!$I$13*12+'PV IN'!$I$14*12),'PV IN'!$E$14*PVCalcs!G387/1000,0)</f>
        <v>0</v>
      </c>
      <c r="R387" s="10">
        <f>IF(AND('PV IN'!$D$35="YES",$C387&lt;='PV IN'!$E$35*12),-'PV IN'!$E$18*'PV IN'!$E$34/12,0)</f>
        <v>0</v>
      </c>
      <c r="S387" s="10">
        <f>IF(AND('PV IN'!$D$37="YES",$C387&lt;='PV IN'!$E$37*12),-'PV IN'!$E$18*'PV IN'!$E$36/12,0)</f>
        <v>0</v>
      </c>
      <c r="U387" s="2">
        <f t="shared" si="96"/>
        <v>9325.894488225118</v>
      </c>
      <c r="V387" s="10">
        <f>PVLoan!M414</f>
        <v>0</v>
      </c>
      <c r="W387" s="2">
        <f>IF(C387='PV IN'!$I$40,IF('PV IN'!$G$40="Non-Taxable",'PV IN'!$F$40,0),0)+IF(C387='PV IN'!$I$41,IF('PV IN'!$G$41="Non-Taxable",'PV IN'!$F$41,0),0)</f>
        <v>0</v>
      </c>
      <c r="X387" s="10"/>
      <c r="Y387" s="10">
        <f>IF('PV IN'!$E$15="Non-Taxable",SUM(N387:P387),0)</f>
        <v>0</v>
      </c>
      <c r="Z387" s="10">
        <f>IF('PV IN'!$E$15="Taxable",SUM(N387:P387),0)</f>
        <v>0</v>
      </c>
      <c r="AA387" s="2">
        <f>IF(C387='PV IN'!$I$40,IF('PV IN'!$G$40="Taxable",'PV IN'!$F$40,0),0)+IF(C387='PV IN'!$I$41,IF('PV IN'!$G$41="Taxable",'PV IN'!$F$41,0),0)</f>
        <v>0</v>
      </c>
      <c r="AD387" s="10">
        <f>IF('PV IN'!$D$48="YES",-U387*'PV IN'!$E$8,0)</f>
        <v>0</v>
      </c>
      <c r="AE387" s="10">
        <f>IF('PV IN'!$N$10="Yes",-PVLoan!H415,-PVLoan!L415)</f>
        <v>0</v>
      </c>
      <c r="AF387" s="10">
        <f>IF('PV IN'!$N$10="Yes",-PVLoan!F415,0)</f>
        <v>0</v>
      </c>
      <c r="AG387" s="10">
        <f>IF(AND('PV IN'!$D$35="YES",$C387&lt;='PV IN'!$E$35*12),0,-'PV IN'!$E$18*'PV IN'!$E$34/12)</f>
        <v>-750</v>
      </c>
      <c r="AH387" s="10">
        <f>IF(AND('PV IN'!$D$37="YES",$C387&lt;='PV IN'!$E$37*12),0,-'PV IN'!$E$18*'PV IN'!$E$36/12)</f>
        <v>-625</v>
      </c>
      <c r="AI387" s="2">
        <f>IF(AND('PV IN'!$D$33="YES",PVCalcs!C387=ROUNDUP('PV IN'!$H$33*12,)),-'PV IN'!$E$33*'PV IN'!$E$18,0)</f>
        <v>0</v>
      </c>
      <c r="AK387" s="2">
        <f t="shared" si="87"/>
        <v>9325.894488225118</v>
      </c>
      <c r="AL387" s="2">
        <f t="shared" si="98"/>
        <v>-1375</v>
      </c>
      <c r="AM387" s="2">
        <f t="shared" si="99"/>
        <v>7950.894488225118</v>
      </c>
      <c r="AN387" s="43"/>
      <c r="AO387" s="2">
        <f t="shared" si="100"/>
        <v>0</v>
      </c>
      <c r="AP387" s="2">
        <f t="shared" si="101"/>
        <v>-1375</v>
      </c>
      <c r="AR387" s="2">
        <f t="shared" si="102"/>
        <v>-1375</v>
      </c>
      <c r="AS387" s="2">
        <f>-AR387*'PV IN'!$E$8</f>
        <v>288.75</v>
      </c>
      <c r="AT387" s="2">
        <f>IF('PV IN'!$F$4="Battery Only",0,AM387+AS387)</f>
        <v>8239.644488225118</v>
      </c>
      <c r="AV387" s="10">
        <f t="shared" si="103"/>
        <v>2654235.996945655</v>
      </c>
      <c r="AW387" s="2">
        <f>AT387/(1+('PV IN'!$G$9))^(C387)</f>
        <v>1736.2676696693243</v>
      </c>
      <c r="AX387" s="2" t="e">
        <f>IF(C387&lt;='PV IN'!$O$22*12,AW387+AX386,NA())</f>
        <v>#N/A</v>
      </c>
      <c r="AZ387" s="10">
        <f t="shared" si="104"/>
        <v>-1375</v>
      </c>
      <c r="BA387" s="10">
        <f t="shared" si="90"/>
        <v>0</v>
      </c>
      <c r="BB387" s="10">
        <f t="shared" si="105"/>
        <v>-1375</v>
      </c>
      <c r="BC387" s="10">
        <f t="shared" si="106"/>
        <v>0</v>
      </c>
      <c r="BD387" s="10">
        <f t="shared" si="107"/>
        <v>-1375</v>
      </c>
      <c r="BE387" s="2">
        <f t="shared" si="108"/>
        <v>0</v>
      </c>
      <c r="BF387" s="10">
        <f t="shared" si="109"/>
        <v>-1375</v>
      </c>
      <c r="BG387" s="2">
        <f>-BF387*'PV IN'!$E$8</f>
        <v>288.75</v>
      </c>
      <c r="BH387" s="2">
        <f>IF('PV IN'!$F$4="Battery Only",0,BB387+BG387)</f>
        <v>-1086.25</v>
      </c>
      <c r="BI387" s="2">
        <f>BH387/(1+('PV IN'!$G$9))^(C387)</f>
        <v>-228.8958897284374</v>
      </c>
    </row>
    <row r="388" spans="2:61" x14ac:dyDescent="0.25">
      <c r="B388">
        <v>32</v>
      </c>
      <c r="C388">
        <v>384</v>
      </c>
      <c r="D388" s="16">
        <f>D387*(1+('PV IN'!$G$6/12))</f>
        <v>7.5999999999999998E-2</v>
      </c>
      <c r="E388" s="16">
        <f>LkUP!$U$50</f>
        <v>7.8896523189157505E-2</v>
      </c>
      <c r="F388" s="16">
        <f>IF('PV IN'!$D$7="Table",E388,D388)</f>
        <v>7.8896523189157505E-2</v>
      </c>
      <c r="G388" s="33">
        <f>('PV IN'!$E$25*'PV IN'!$E$18/12)*(1-(1-'PV IN'!$E$27)/(25*12))^C387</f>
        <v>118125.32223870851</v>
      </c>
      <c r="H388" s="33">
        <f>IF('PV IN'!$D$19="YES",G388*'PV IN'!$E$21,0)</f>
        <v>0</v>
      </c>
      <c r="I388" s="33">
        <f>IF('PV IN'!$D$19="YES",'PV IN'!$E$22*BattCalcs!W388,0)</f>
        <v>0</v>
      </c>
      <c r="J388" s="33">
        <f>IF('PV IN'!$D$19="YES",'PV IN'!$E$23*BattCalcs!Y388,0)</f>
        <v>0</v>
      </c>
      <c r="K388" s="33">
        <f>BattCalcs!AF388</f>
        <v>25811.765833333331</v>
      </c>
      <c r="L388" s="33">
        <f t="shared" si="97"/>
        <v>25811.765833333331</v>
      </c>
      <c r="M388" s="33">
        <f>IF('PV IN'!$F$4="PV Only",G388,G388-SUM(H388:J388,L388))</f>
        <v>118125.32223870851</v>
      </c>
      <c r="N388" s="2">
        <f>IF(C388&lt;='PV IN'!$I$12*12,'PV IN'!$E$12*G388/1000,0)</f>
        <v>0</v>
      </c>
      <c r="O388" s="2">
        <f>IF(AND(C388&gt;'PV IN'!$I$12*12,C388&lt;='PV IN'!$I$13*12+'PV IN'!$I$12*12),'PV IN'!$E$13*PVCalcs!G388/1000,0)</f>
        <v>0</v>
      </c>
      <c r="P388" s="2">
        <f>IF(AND(C388&gt;'PV IN'!$I$12*12+'PV IN'!$I$13*12,C388&lt;='PV IN'!$I$12*12+'PV IN'!$I$13*12+'PV IN'!$I$14*12),'PV IN'!$E$14*PVCalcs!G388/1000,0)</f>
        <v>0</v>
      </c>
      <c r="R388" s="10">
        <f>IF(AND('PV IN'!$D$35="YES",$C388&lt;='PV IN'!$E$35*12),-'PV IN'!$E$18*'PV IN'!$E$34/12,0)</f>
        <v>0</v>
      </c>
      <c r="S388" s="10">
        <f>IF(AND('PV IN'!$D$37="YES",$C388&lt;='PV IN'!$E$37*12),-'PV IN'!$E$18*'PV IN'!$E$36/12,0)</f>
        <v>0</v>
      </c>
      <c r="U388" s="2">
        <f t="shared" si="96"/>
        <v>9319.6772252329683</v>
      </c>
      <c r="V388" s="10">
        <f>PVLoan!M415</f>
        <v>0</v>
      </c>
      <c r="W388" s="2">
        <f>IF(C388='PV IN'!$I$40,IF('PV IN'!$G$40="Non-Taxable",'PV IN'!$F$40,0),0)+IF(C388='PV IN'!$I$41,IF('PV IN'!$G$41="Non-Taxable",'PV IN'!$F$41,0),0)</f>
        <v>0</v>
      </c>
      <c r="X388" s="10"/>
      <c r="Y388" s="10">
        <f>IF('PV IN'!$E$15="Non-Taxable",SUM(N388:P388),0)</f>
        <v>0</v>
      </c>
      <c r="Z388" s="10">
        <f>IF('PV IN'!$E$15="Taxable",SUM(N388:P388),0)</f>
        <v>0</v>
      </c>
      <c r="AA388" s="2">
        <f>IF(C388='PV IN'!$I$40,IF('PV IN'!$G$40="Taxable",'PV IN'!$F$40,0),0)+IF(C388='PV IN'!$I$41,IF('PV IN'!$G$41="Taxable",'PV IN'!$F$41,0),0)</f>
        <v>0</v>
      </c>
      <c r="AD388" s="10">
        <f>IF('PV IN'!$D$48="YES",-U388*'PV IN'!$E$8,0)</f>
        <v>0</v>
      </c>
      <c r="AE388" s="10">
        <f>IF('PV IN'!$N$10="Yes",-PVLoan!H416,-PVLoan!L416)</f>
        <v>0</v>
      </c>
      <c r="AF388" s="10">
        <f>IF('PV IN'!$N$10="Yes",-PVLoan!F416,0)</f>
        <v>0</v>
      </c>
      <c r="AG388" s="10">
        <f>IF(AND('PV IN'!$D$35="YES",$C388&lt;='PV IN'!$E$35*12),0,-'PV IN'!$E$18*'PV IN'!$E$34/12)</f>
        <v>-750</v>
      </c>
      <c r="AH388" s="10">
        <f>IF(AND('PV IN'!$D$37="YES",$C388&lt;='PV IN'!$E$37*12),0,-'PV IN'!$E$18*'PV IN'!$E$36/12)</f>
        <v>-625</v>
      </c>
      <c r="AI388" s="2">
        <f>IF(AND('PV IN'!$D$33="YES",PVCalcs!C388=ROUNDUP('PV IN'!$H$33*12,)),-'PV IN'!$E$33*'PV IN'!$E$18,0)</f>
        <v>0</v>
      </c>
      <c r="AK388" s="2">
        <f t="shared" ref="AK388:AK451" si="110">SUM(U388:AA388)</f>
        <v>9319.6772252329683</v>
      </c>
      <c r="AL388" s="2">
        <f t="shared" si="98"/>
        <v>-1375</v>
      </c>
      <c r="AM388" s="2">
        <f t="shared" si="99"/>
        <v>7944.6772252329683</v>
      </c>
      <c r="AN388" s="43"/>
      <c r="AO388" s="2">
        <f t="shared" si="100"/>
        <v>0</v>
      </c>
      <c r="AP388" s="2">
        <f t="shared" si="101"/>
        <v>-1375</v>
      </c>
      <c r="AR388" s="2">
        <f t="shared" si="102"/>
        <v>-1375</v>
      </c>
      <c r="AS388" s="2">
        <f>-AR388*'PV IN'!$E$8</f>
        <v>288.75</v>
      </c>
      <c r="AT388" s="2">
        <f>IF('PV IN'!$F$4="Battery Only",0,AM388+AS388)</f>
        <v>8233.4272252329683</v>
      </c>
      <c r="AV388" s="10">
        <f t="shared" si="103"/>
        <v>2662469.424170888</v>
      </c>
      <c r="AW388" s="2">
        <f>AT388/(1+('PV IN'!$G$9))^(C388)</f>
        <v>1727.9178095855038</v>
      </c>
      <c r="AX388" s="2" t="e">
        <f>IF(C388&lt;='PV IN'!$O$22*12,AW388+AX387,NA())</f>
        <v>#N/A</v>
      </c>
      <c r="AZ388" s="10">
        <f t="shared" si="104"/>
        <v>-1375</v>
      </c>
      <c r="BA388" s="10">
        <f t="shared" ref="BA388:BA451" si="111">AK388-U388</f>
        <v>0</v>
      </c>
      <c r="BB388" s="10">
        <f t="shared" si="105"/>
        <v>-1375</v>
      </c>
      <c r="BC388" s="10">
        <f t="shared" si="106"/>
        <v>0</v>
      </c>
      <c r="BD388" s="10">
        <f t="shared" si="107"/>
        <v>-1375</v>
      </c>
      <c r="BE388" s="2">
        <f t="shared" si="108"/>
        <v>0</v>
      </c>
      <c r="BF388" s="10">
        <f t="shared" si="109"/>
        <v>-1375</v>
      </c>
      <c r="BG388" s="2">
        <f>-BF388*'PV IN'!$E$8</f>
        <v>288.75</v>
      </c>
      <c r="BH388" s="2">
        <f>IF('PV IN'!$F$4="Battery Only",0,BB388+BG388)</f>
        <v>-1086.25</v>
      </c>
      <c r="BI388" s="2">
        <f>BH388/(1+('PV IN'!$G$9))^(C388)</f>
        <v>-227.96712344890429</v>
      </c>
    </row>
    <row r="389" spans="2:61" x14ac:dyDescent="0.25">
      <c r="C389">
        <v>385</v>
      </c>
      <c r="D389" s="16">
        <f>D388*(1+('PV IN'!$G$6/12))</f>
        <v>7.5999999999999998E-2</v>
      </c>
      <c r="E389" s="16">
        <f>LkUP!$U$50</f>
        <v>7.8896523189157505E-2</v>
      </c>
      <c r="F389" s="16">
        <f>IF('PV IN'!$D$7="Table",E389,D389)</f>
        <v>7.8896523189157505E-2</v>
      </c>
      <c r="G389" s="33">
        <f>('PV IN'!$E$25*'PV IN'!$E$18/12)*(1-(1-'PV IN'!$E$27)/(25*12))^C388</f>
        <v>118046.57202388269</v>
      </c>
      <c r="H389" s="33">
        <f>IF('PV IN'!$D$19="YES",G389*'PV IN'!$E$21,0)</f>
        <v>0</v>
      </c>
      <c r="I389" s="33">
        <f>IF('PV IN'!$D$19="YES",'PV IN'!$E$22*BattCalcs!W389,0)</f>
        <v>0</v>
      </c>
      <c r="J389" s="33">
        <f>IF('PV IN'!$D$19="YES",'PV IN'!$E$23*BattCalcs!Y389,0)</f>
        <v>0</v>
      </c>
      <c r="K389" s="33">
        <f>BattCalcs!AF389</f>
        <v>25811.765833333331</v>
      </c>
      <c r="L389" s="33">
        <f t="shared" si="97"/>
        <v>25811.765833333331</v>
      </c>
      <c r="M389" s="33">
        <f>IF('PV IN'!$F$4="PV Only",G389,G389-SUM(H389:J389,L389))</f>
        <v>118046.57202388269</v>
      </c>
      <c r="N389" s="2">
        <f>IF(C389&lt;='PV IN'!$I$12*12,'PV IN'!$E$12*G389/1000,0)</f>
        <v>0</v>
      </c>
      <c r="O389" s="2">
        <f>IF(AND(C389&gt;'PV IN'!$I$12*12,C389&lt;='PV IN'!$I$13*12+'PV IN'!$I$12*12),'PV IN'!$E$13*PVCalcs!G389/1000,0)</f>
        <v>0</v>
      </c>
      <c r="P389" s="2">
        <f>IF(AND(C389&gt;'PV IN'!$I$12*12+'PV IN'!$I$13*12,C389&lt;='PV IN'!$I$12*12+'PV IN'!$I$13*12+'PV IN'!$I$14*12),'PV IN'!$E$14*PVCalcs!G389/1000,0)</f>
        <v>0</v>
      </c>
      <c r="R389" s="10">
        <f>IF(AND('PV IN'!$D$35="YES",$C389&lt;='PV IN'!$E$35*12),-'PV IN'!$E$18*'PV IN'!$E$34/12,0)</f>
        <v>0</v>
      </c>
      <c r="S389" s="10">
        <f>IF(AND('PV IN'!$D$37="YES",$C389&lt;='PV IN'!$E$37*12),-'PV IN'!$E$18*'PV IN'!$E$36/12,0)</f>
        <v>0</v>
      </c>
      <c r="U389" s="2">
        <f t="shared" si="96"/>
        <v>9313.4641070828129</v>
      </c>
      <c r="V389" s="10">
        <f>PVLoan!M416</f>
        <v>0</v>
      </c>
      <c r="W389" s="2">
        <f>IF(C389='PV IN'!$I$40,IF('PV IN'!$G$40="Non-Taxable",'PV IN'!$F$40,0),0)+IF(C389='PV IN'!$I$41,IF('PV IN'!$G$41="Non-Taxable",'PV IN'!$F$41,0),0)</f>
        <v>0</v>
      </c>
      <c r="X389" s="10"/>
      <c r="Y389" s="10">
        <f>IF('PV IN'!$E$15="Non-Taxable",SUM(N389:P389),0)</f>
        <v>0</v>
      </c>
      <c r="Z389" s="10">
        <f>IF('PV IN'!$E$15="Taxable",SUM(N389:P389),0)</f>
        <v>0</v>
      </c>
      <c r="AA389" s="2">
        <f>IF(C389='PV IN'!$I$40,IF('PV IN'!$G$40="Taxable",'PV IN'!$F$40,0),0)+IF(C389='PV IN'!$I$41,IF('PV IN'!$G$41="Taxable",'PV IN'!$F$41,0),0)</f>
        <v>0</v>
      </c>
      <c r="AD389" s="10">
        <f>IF('PV IN'!$D$48="YES",-U389*'PV IN'!$E$8,0)</f>
        <v>0</v>
      </c>
      <c r="AE389" s="10">
        <f>IF('PV IN'!$N$10="Yes",-PVLoan!H417,-PVLoan!L417)</f>
        <v>0</v>
      </c>
      <c r="AF389" s="10">
        <f>IF('PV IN'!$N$10="Yes",-PVLoan!F417,0)</f>
        <v>0</v>
      </c>
      <c r="AG389" s="10">
        <f>IF(AND('PV IN'!$D$35="YES",$C389&lt;='PV IN'!$E$35*12),0,-'PV IN'!$E$18*'PV IN'!$E$34/12)</f>
        <v>-750</v>
      </c>
      <c r="AH389" s="10">
        <f>IF(AND('PV IN'!$D$37="YES",$C389&lt;='PV IN'!$E$37*12),0,-'PV IN'!$E$18*'PV IN'!$E$36/12)</f>
        <v>-625</v>
      </c>
      <c r="AI389" s="2">
        <f>IF(AND('PV IN'!$D$33="YES",PVCalcs!C389=ROUNDUP('PV IN'!$H$33*12,)),-'PV IN'!$E$33*'PV IN'!$E$18,0)</f>
        <v>0</v>
      </c>
      <c r="AK389" s="2">
        <f t="shared" si="110"/>
        <v>9313.4641070828129</v>
      </c>
      <c r="AL389" s="2">
        <f t="shared" si="98"/>
        <v>-1375</v>
      </c>
      <c r="AM389" s="2">
        <f t="shared" si="99"/>
        <v>7938.4641070828129</v>
      </c>
      <c r="AN389" s="43"/>
      <c r="AO389" s="2">
        <f t="shared" si="100"/>
        <v>0</v>
      </c>
      <c r="AP389" s="2">
        <f t="shared" si="101"/>
        <v>-1375</v>
      </c>
      <c r="AR389" s="2">
        <f t="shared" si="102"/>
        <v>-1375</v>
      </c>
      <c r="AS389" s="2">
        <f>-AR389*'PV IN'!$E$8</f>
        <v>288.75</v>
      </c>
      <c r="AT389" s="2">
        <f>IF('PV IN'!$F$4="Battery Only",0,AM389+AS389)</f>
        <v>8227.2141070828129</v>
      </c>
      <c r="AV389" s="10">
        <f t="shared" si="103"/>
        <v>2670696.6382779707</v>
      </c>
      <c r="AW389" s="2">
        <f>AT389/(1+('PV IN'!$G$9))^(C389)</f>
        <v>1719.6079904842306</v>
      </c>
      <c r="AX389" s="2" t="e">
        <f>IF(C389&lt;='PV IN'!$O$22*12,AW389+AX388,NA())</f>
        <v>#N/A</v>
      </c>
      <c r="AZ389" s="10">
        <f t="shared" si="104"/>
        <v>-1375</v>
      </c>
      <c r="BA389" s="10">
        <f t="shared" si="111"/>
        <v>0</v>
      </c>
      <c r="BB389" s="10">
        <f t="shared" si="105"/>
        <v>-1375</v>
      </c>
      <c r="BC389" s="10">
        <f t="shared" si="106"/>
        <v>0</v>
      </c>
      <c r="BD389" s="10">
        <f t="shared" si="107"/>
        <v>-1375</v>
      </c>
      <c r="BE389" s="2">
        <f t="shared" si="108"/>
        <v>0</v>
      </c>
      <c r="BF389" s="10">
        <f t="shared" si="109"/>
        <v>-1375</v>
      </c>
      <c r="BG389" s="2">
        <f>-BF389*'PV IN'!$E$8</f>
        <v>288.75</v>
      </c>
      <c r="BH389" s="2">
        <f>IF('PV IN'!$F$4="Battery Only",0,BB389+BG389)</f>
        <v>-1086.25</v>
      </c>
      <c r="BI389" s="2">
        <f>BH389/(1+('PV IN'!$G$9))^(C389)</f>
        <v>-227.04212572459963</v>
      </c>
    </row>
    <row r="390" spans="2:61" x14ac:dyDescent="0.25">
      <c r="C390">
        <v>386</v>
      </c>
      <c r="D390" s="16">
        <f>D389*(1+('PV IN'!$G$6/12))</f>
        <v>7.5999999999999998E-2</v>
      </c>
      <c r="E390" s="16">
        <f>LkUP!$U$50</f>
        <v>7.8896523189157505E-2</v>
      </c>
      <c r="F390" s="16">
        <f>IF('PV IN'!$D$7="Table",E390,D390)</f>
        <v>7.8896523189157505E-2</v>
      </c>
      <c r="G390" s="33">
        <f>('PV IN'!$E$25*'PV IN'!$E$18/12)*(1-(1-'PV IN'!$E$27)/(25*12))^C389</f>
        <v>117967.8743092001</v>
      </c>
      <c r="H390" s="33">
        <f>IF('PV IN'!$D$19="YES",G390*'PV IN'!$E$21,0)</f>
        <v>0</v>
      </c>
      <c r="I390" s="33">
        <f>IF('PV IN'!$D$19="YES",'PV IN'!$E$22*BattCalcs!W390,0)</f>
        <v>0</v>
      </c>
      <c r="J390" s="33">
        <f>IF('PV IN'!$D$19="YES",'PV IN'!$E$23*BattCalcs!Y390,0)</f>
        <v>0</v>
      </c>
      <c r="K390" s="33">
        <f>BattCalcs!AF390</f>
        <v>25811.765833333331</v>
      </c>
      <c r="L390" s="33">
        <f t="shared" si="97"/>
        <v>25811.765833333331</v>
      </c>
      <c r="M390" s="33">
        <f>IF('PV IN'!$F$4="PV Only",G390,G390-SUM(H390:J390,L390))</f>
        <v>117967.8743092001</v>
      </c>
      <c r="N390" s="2">
        <f>IF(C390&lt;='PV IN'!$I$12*12,'PV IN'!$E$12*G390/1000,0)</f>
        <v>0</v>
      </c>
      <c r="O390" s="2">
        <f>IF(AND(C390&gt;'PV IN'!$I$12*12,C390&lt;='PV IN'!$I$13*12+'PV IN'!$I$12*12),'PV IN'!$E$13*PVCalcs!G390/1000,0)</f>
        <v>0</v>
      </c>
      <c r="P390" s="2">
        <f>IF(AND(C390&gt;'PV IN'!$I$12*12+'PV IN'!$I$13*12,C390&lt;='PV IN'!$I$12*12+'PV IN'!$I$13*12+'PV IN'!$I$14*12),'PV IN'!$E$14*PVCalcs!G390/1000,0)</f>
        <v>0</v>
      </c>
      <c r="R390" s="10">
        <f>IF(AND('PV IN'!$D$35="YES",$C390&lt;='PV IN'!$E$35*12),-'PV IN'!$E$18*'PV IN'!$E$34/12,0)</f>
        <v>0</v>
      </c>
      <c r="S390" s="10">
        <f>IF(AND('PV IN'!$D$37="YES",$C390&lt;='PV IN'!$E$37*12),-'PV IN'!$E$18*'PV IN'!$E$36/12,0)</f>
        <v>0</v>
      </c>
      <c r="U390" s="2">
        <f t="shared" ref="U390:U453" si="112">F390*M390</f>
        <v>9307.2551310114231</v>
      </c>
      <c r="V390" s="10">
        <f>PVLoan!M417</f>
        <v>0</v>
      </c>
      <c r="W390" s="2">
        <f>IF(C390='PV IN'!$I$40,IF('PV IN'!$G$40="Non-Taxable",'PV IN'!$F$40,0),0)+IF(C390='PV IN'!$I$41,IF('PV IN'!$G$41="Non-Taxable",'PV IN'!$F$41,0),0)</f>
        <v>0</v>
      </c>
      <c r="X390" s="10"/>
      <c r="Y390" s="10">
        <f>IF('PV IN'!$E$15="Non-Taxable",SUM(N390:P390),0)</f>
        <v>0</v>
      </c>
      <c r="Z390" s="10">
        <f>IF('PV IN'!$E$15="Taxable",SUM(N390:P390),0)</f>
        <v>0</v>
      </c>
      <c r="AA390" s="2">
        <f>IF(C390='PV IN'!$I$40,IF('PV IN'!$G$40="Taxable",'PV IN'!$F$40,0),0)+IF(C390='PV IN'!$I$41,IF('PV IN'!$G$41="Taxable",'PV IN'!$F$41,0),0)</f>
        <v>0</v>
      </c>
      <c r="AD390" s="10">
        <f>IF('PV IN'!$D$48="YES",-U390*'PV IN'!$E$8,0)</f>
        <v>0</v>
      </c>
      <c r="AE390" s="10">
        <f>IF('PV IN'!$N$10="Yes",-PVLoan!H418,-PVLoan!L418)</f>
        <v>0</v>
      </c>
      <c r="AF390" s="10">
        <f>IF('PV IN'!$N$10="Yes",-PVLoan!F418,0)</f>
        <v>0</v>
      </c>
      <c r="AG390" s="10">
        <f>IF(AND('PV IN'!$D$35="YES",$C390&lt;='PV IN'!$E$35*12),0,-'PV IN'!$E$18*'PV IN'!$E$34/12)</f>
        <v>-750</v>
      </c>
      <c r="AH390" s="10">
        <f>IF(AND('PV IN'!$D$37="YES",$C390&lt;='PV IN'!$E$37*12),0,-'PV IN'!$E$18*'PV IN'!$E$36/12)</f>
        <v>-625</v>
      </c>
      <c r="AI390" s="2">
        <f>IF(AND('PV IN'!$D$33="YES",PVCalcs!C390=ROUNDUP('PV IN'!$H$33*12,)),-'PV IN'!$E$33*'PV IN'!$E$18,0)</f>
        <v>0</v>
      </c>
      <c r="AK390" s="2">
        <f t="shared" si="110"/>
        <v>9307.2551310114231</v>
      </c>
      <c r="AL390" s="2">
        <f t="shared" si="98"/>
        <v>-1375</v>
      </c>
      <c r="AM390" s="2">
        <f t="shared" si="99"/>
        <v>7932.2551310114231</v>
      </c>
      <c r="AN390" s="43"/>
      <c r="AO390" s="2">
        <f t="shared" si="100"/>
        <v>0</v>
      </c>
      <c r="AP390" s="2">
        <f t="shared" si="101"/>
        <v>-1375</v>
      </c>
      <c r="AR390" s="2">
        <f t="shared" si="102"/>
        <v>-1375</v>
      </c>
      <c r="AS390" s="2">
        <f>-AR390*'PV IN'!$E$8</f>
        <v>288.75</v>
      </c>
      <c r="AT390" s="2">
        <f>IF('PV IN'!$F$4="Battery Only",0,AM390+AS390)</f>
        <v>8221.0051310114231</v>
      </c>
      <c r="AV390" s="10">
        <f t="shared" si="103"/>
        <v>2678917.6434089821</v>
      </c>
      <c r="AW390" s="2">
        <f>AT390/(1+('PV IN'!$G$9))^(C390)</f>
        <v>1711.3380208076567</v>
      </c>
      <c r="AX390" s="2" t="e">
        <f>IF(C390&lt;='PV IN'!$O$22*12,AW390+AX389,NA())</f>
        <v>#N/A</v>
      </c>
      <c r="AZ390" s="10">
        <f t="shared" si="104"/>
        <v>-1375</v>
      </c>
      <c r="BA390" s="10">
        <f t="shared" si="111"/>
        <v>0</v>
      </c>
      <c r="BB390" s="10">
        <f t="shared" si="105"/>
        <v>-1375</v>
      </c>
      <c r="BC390" s="10">
        <f t="shared" si="106"/>
        <v>0</v>
      </c>
      <c r="BD390" s="10">
        <f t="shared" si="107"/>
        <v>-1375</v>
      </c>
      <c r="BE390" s="2">
        <f t="shared" si="108"/>
        <v>0</v>
      </c>
      <c r="BF390" s="10">
        <f t="shared" si="109"/>
        <v>-1375</v>
      </c>
      <c r="BG390" s="2">
        <f>-BF390*'PV IN'!$E$8</f>
        <v>288.75</v>
      </c>
      <c r="BH390" s="2">
        <f>IF('PV IN'!$F$4="Battery Only",0,BB390+BG390)</f>
        <v>-1086.25</v>
      </c>
      <c r="BI390" s="2">
        <f>BH390/(1+('PV IN'!$G$9))^(C390)</f>
        <v>-226.12088126426133</v>
      </c>
    </row>
    <row r="391" spans="2:61" x14ac:dyDescent="0.25">
      <c r="C391">
        <v>387</v>
      </c>
      <c r="D391" s="16">
        <f>D390*(1+('PV IN'!$G$6/12))</f>
        <v>7.5999999999999998E-2</v>
      </c>
      <c r="E391" s="16">
        <f>LkUP!$U$50</f>
        <v>7.8896523189157505E-2</v>
      </c>
      <c r="F391" s="16">
        <f>IF('PV IN'!$D$7="Table",E391,D391)</f>
        <v>7.8896523189157505E-2</v>
      </c>
      <c r="G391" s="33">
        <f>('PV IN'!$E$25*'PV IN'!$E$18/12)*(1-(1-'PV IN'!$E$27)/(25*12))^C390</f>
        <v>117889.22905966063</v>
      </c>
      <c r="H391" s="33">
        <f>IF('PV IN'!$D$19="YES",G391*'PV IN'!$E$21,0)</f>
        <v>0</v>
      </c>
      <c r="I391" s="33">
        <f>IF('PV IN'!$D$19="YES",'PV IN'!$E$22*BattCalcs!W391,0)</f>
        <v>0</v>
      </c>
      <c r="J391" s="33">
        <f>IF('PV IN'!$D$19="YES",'PV IN'!$E$23*BattCalcs!Y391,0)</f>
        <v>0</v>
      </c>
      <c r="K391" s="33">
        <f>BattCalcs!AF391</f>
        <v>25811.765833333331</v>
      </c>
      <c r="L391" s="33">
        <f t="shared" si="97"/>
        <v>25811.765833333331</v>
      </c>
      <c r="M391" s="33">
        <f>IF('PV IN'!$F$4="PV Only",G391,G391-SUM(H391:J391,L391))</f>
        <v>117889.22905966063</v>
      </c>
      <c r="N391" s="2">
        <f>IF(C391&lt;='PV IN'!$I$12*12,'PV IN'!$E$12*G391/1000,0)</f>
        <v>0</v>
      </c>
      <c r="O391" s="2">
        <f>IF(AND(C391&gt;'PV IN'!$I$12*12,C391&lt;='PV IN'!$I$13*12+'PV IN'!$I$12*12),'PV IN'!$E$13*PVCalcs!G391/1000,0)</f>
        <v>0</v>
      </c>
      <c r="P391" s="2">
        <f>IF(AND(C391&gt;'PV IN'!$I$12*12+'PV IN'!$I$13*12,C391&lt;='PV IN'!$I$12*12+'PV IN'!$I$13*12+'PV IN'!$I$14*12),'PV IN'!$E$14*PVCalcs!G391/1000,0)</f>
        <v>0</v>
      </c>
      <c r="R391" s="10">
        <f>IF(AND('PV IN'!$D$35="YES",$C391&lt;='PV IN'!$E$35*12),-'PV IN'!$E$18*'PV IN'!$E$34/12,0)</f>
        <v>0</v>
      </c>
      <c r="S391" s="10">
        <f>IF(AND('PV IN'!$D$37="YES",$C391&lt;='PV IN'!$E$37*12),-'PV IN'!$E$18*'PV IN'!$E$36/12,0)</f>
        <v>0</v>
      </c>
      <c r="U391" s="2">
        <f t="shared" si="112"/>
        <v>9301.0502942574167</v>
      </c>
      <c r="V391" s="10">
        <f>PVLoan!M418</f>
        <v>0</v>
      </c>
      <c r="W391" s="2">
        <f>IF(C391='PV IN'!$I$40,IF('PV IN'!$G$40="Non-Taxable",'PV IN'!$F$40,0),0)+IF(C391='PV IN'!$I$41,IF('PV IN'!$G$41="Non-Taxable",'PV IN'!$F$41,0),0)</f>
        <v>0</v>
      </c>
      <c r="X391" s="10"/>
      <c r="Y391" s="10">
        <f>IF('PV IN'!$E$15="Non-Taxable",SUM(N391:P391),0)</f>
        <v>0</v>
      </c>
      <c r="Z391" s="10">
        <f>IF('PV IN'!$E$15="Taxable",SUM(N391:P391),0)</f>
        <v>0</v>
      </c>
      <c r="AA391" s="2">
        <f>IF(C391='PV IN'!$I$40,IF('PV IN'!$G$40="Taxable",'PV IN'!$F$40,0),0)+IF(C391='PV IN'!$I$41,IF('PV IN'!$G$41="Taxable",'PV IN'!$F$41,0),0)</f>
        <v>0</v>
      </c>
      <c r="AD391" s="10">
        <f>IF('PV IN'!$D$48="YES",-U391*'PV IN'!$E$8,0)</f>
        <v>0</v>
      </c>
      <c r="AE391" s="10">
        <f>IF('PV IN'!$N$10="Yes",-PVLoan!H419,-PVLoan!L419)</f>
        <v>0</v>
      </c>
      <c r="AF391" s="10">
        <f>IF('PV IN'!$N$10="Yes",-PVLoan!F419,0)</f>
        <v>0</v>
      </c>
      <c r="AG391" s="10">
        <f>IF(AND('PV IN'!$D$35="YES",$C391&lt;='PV IN'!$E$35*12),0,-'PV IN'!$E$18*'PV IN'!$E$34/12)</f>
        <v>-750</v>
      </c>
      <c r="AH391" s="10">
        <f>IF(AND('PV IN'!$D$37="YES",$C391&lt;='PV IN'!$E$37*12),0,-'PV IN'!$E$18*'PV IN'!$E$36/12)</f>
        <v>-625</v>
      </c>
      <c r="AI391" s="2">
        <f>IF(AND('PV IN'!$D$33="YES",PVCalcs!C391=ROUNDUP('PV IN'!$H$33*12,)),-'PV IN'!$E$33*'PV IN'!$E$18,0)</f>
        <v>0</v>
      </c>
      <c r="AK391" s="2">
        <f t="shared" si="110"/>
        <v>9301.0502942574167</v>
      </c>
      <c r="AL391" s="2">
        <f t="shared" si="98"/>
        <v>-1375</v>
      </c>
      <c r="AM391" s="2">
        <f t="shared" si="99"/>
        <v>7926.0502942574167</v>
      </c>
      <c r="AN391" s="43"/>
      <c r="AO391" s="2">
        <f t="shared" si="100"/>
        <v>0</v>
      </c>
      <c r="AP391" s="2">
        <f t="shared" si="101"/>
        <v>-1375</v>
      </c>
      <c r="AR391" s="2">
        <f t="shared" si="102"/>
        <v>-1375</v>
      </c>
      <c r="AS391" s="2">
        <f>-AR391*'PV IN'!$E$8</f>
        <v>288.75</v>
      </c>
      <c r="AT391" s="2">
        <f>IF('PV IN'!$F$4="Battery Only",0,AM391+AS391)</f>
        <v>8214.8002942574167</v>
      </c>
      <c r="AV391" s="10">
        <f t="shared" si="103"/>
        <v>2687132.4437032393</v>
      </c>
      <c r="AW391" s="2">
        <f>AT391/(1+('PV IN'!$G$9))^(C391)</f>
        <v>1703.1077099125396</v>
      </c>
      <c r="AX391" s="2" t="e">
        <f>IF(C391&lt;='PV IN'!$O$22*12,AW391+AX390,NA())</f>
        <v>#N/A</v>
      </c>
      <c r="AZ391" s="10">
        <f t="shared" si="104"/>
        <v>-1375</v>
      </c>
      <c r="BA391" s="10">
        <f t="shared" si="111"/>
        <v>0</v>
      </c>
      <c r="BB391" s="10">
        <f t="shared" si="105"/>
        <v>-1375</v>
      </c>
      <c r="BC391" s="10">
        <f t="shared" si="106"/>
        <v>0</v>
      </c>
      <c r="BD391" s="10">
        <f t="shared" si="107"/>
        <v>-1375</v>
      </c>
      <c r="BE391" s="2">
        <f t="shared" si="108"/>
        <v>0</v>
      </c>
      <c r="BF391" s="10">
        <f t="shared" si="109"/>
        <v>-1375</v>
      </c>
      <c r="BG391" s="2">
        <f>-BF391*'PV IN'!$E$8</f>
        <v>288.75</v>
      </c>
      <c r="BH391" s="2">
        <f>IF('PV IN'!$F$4="Battery Only",0,BB391+BG391)</f>
        <v>-1086.25</v>
      </c>
      <c r="BI391" s="2">
        <f>BH391/(1+('PV IN'!$G$9))^(C391)</f>
        <v>-225.20337483867323</v>
      </c>
    </row>
    <row r="392" spans="2:61" x14ac:dyDescent="0.25">
      <c r="C392">
        <v>388</v>
      </c>
      <c r="D392" s="16">
        <f>D391*(1+('PV IN'!$G$6/12))</f>
        <v>7.5999999999999998E-2</v>
      </c>
      <c r="E392" s="16">
        <f>LkUP!$U$50</f>
        <v>7.8896523189157505E-2</v>
      </c>
      <c r="F392" s="16">
        <f>IF('PV IN'!$D$7="Table",E392,D392)</f>
        <v>7.8896523189157505E-2</v>
      </c>
      <c r="G392" s="33">
        <f>('PV IN'!$E$25*'PV IN'!$E$18/12)*(1-(1-'PV IN'!$E$27)/(25*12))^C391</f>
        <v>117810.63624028751</v>
      </c>
      <c r="H392" s="33">
        <f>IF('PV IN'!$D$19="YES",G392*'PV IN'!$E$21,0)</f>
        <v>0</v>
      </c>
      <c r="I392" s="33">
        <f>IF('PV IN'!$D$19="YES",'PV IN'!$E$22*BattCalcs!W392,0)</f>
        <v>0</v>
      </c>
      <c r="J392" s="33">
        <f>IF('PV IN'!$D$19="YES",'PV IN'!$E$23*BattCalcs!Y392,0)</f>
        <v>0</v>
      </c>
      <c r="K392" s="33">
        <f>BattCalcs!AF392</f>
        <v>25811.765833333331</v>
      </c>
      <c r="L392" s="33">
        <f t="shared" si="97"/>
        <v>25811.765833333331</v>
      </c>
      <c r="M392" s="33">
        <f>IF('PV IN'!$F$4="PV Only",G392,G392-SUM(H392:J392,L392))</f>
        <v>117810.63624028751</v>
      </c>
      <c r="N392" s="2">
        <f>IF(C392&lt;='PV IN'!$I$12*12,'PV IN'!$E$12*G392/1000,0)</f>
        <v>0</v>
      </c>
      <c r="O392" s="2">
        <f>IF(AND(C392&gt;'PV IN'!$I$12*12,C392&lt;='PV IN'!$I$13*12+'PV IN'!$I$12*12),'PV IN'!$E$13*PVCalcs!G392/1000,0)</f>
        <v>0</v>
      </c>
      <c r="P392" s="2">
        <f>IF(AND(C392&gt;'PV IN'!$I$12*12+'PV IN'!$I$13*12,C392&lt;='PV IN'!$I$12*12+'PV IN'!$I$13*12+'PV IN'!$I$14*12),'PV IN'!$E$14*PVCalcs!G392/1000,0)</f>
        <v>0</v>
      </c>
      <c r="R392" s="10">
        <f>IF(AND('PV IN'!$D$35="YES",$C392&lt;='PV IN'!$E$35*12),-'PV IN'!$E$18*'PV IN'!$E$34/12,0)</f>
        <v>0</v>
      </c>
      <c r="S392" s="10">
        <f>IF(AND('PV IN'!$D$37="YES",$C392&lt;='PV IN'!$E$37*12),-'PV IN'!$E$18*'PV IN'!$E$36/12,0)</f>
        <v>0</v>
      </c>
      <c r="U392" s="2">
        <f t="shared" si="112"/>
        <v>9294.8495940612429</v>
      </c>
      <c r="V392" s="10">
        <f>PVLoan!M419</f>
        <v>0</v>
      </c>
      <c r="W392" s="2">
        <f>IF(C392='PV IN'!$I$40,IF('PV IN'!$G$40="Non-Taxable",'PV IN'!$F$40,0),0)+IF(C392='PV IN'!$I$41,IF('PV IN'!$G$41="Non-Taxable",'PV IN'!$F$41,0),0)</f>
        <v>0</v>
      </c>
      <c r="X392" s="10"/>
      <c r="Y392" s="10">
        <f>IF('PV IN'!$E$15="Non-Taxable",SUM(N392:P392),0)</f>
        <v>0</v>
      </c>
      <c r="Z392" s="10">
        <f>IF('PV IN'!$E$15="Taxable",SUM(N392:P392),0)</f>
        <v>0</v>
      </c>
      <c r="AA392" s="2">
        <f>IF(C392='PV IN'!$I$40,IF('PV IN'!$G$40="Taxable",'PV IN'!$F$40,0),0)+IF(C392='PV IN'!$I$41,IF('PV IN'!$G$41="Taxable",'PV IN'!$F$41,0),0)</f>
        <v>0</v>
      </c>
      <c r="AD392" s="10">
        <f>IF('PV IN'!$D$48="YES",-U392*'PV IN'!$E$8,0)</f>
        <v>0</v>
      </c>
      <c r="AE392" s="10">
        <f>IF('PV IN'!$N$10="Yes",-PVLoan!H420,-PVLoan!L420)</f>
        <v>0</v>
      </c>
      <c r="AF392" s="10">
        <f>IF('PV IN'!$N$10="Yes",-PVLoan!F420,0)</f>
        <v>0</v>
      </c>
      <c r="AG392" s="10">
        <f>IF(AND('PV IN'!$D$35="YES",$C392&lt;='PV IN'!$E$35*12),0,-'PV IN'!$E$18*'PV IN'!$E$34/12)</f>
        <v>-750</v>
      </c>
      <c r="AH392" s="10">
        <f>IF(AND('PV IN'!$D$37="YES",$C392&lt;='PV IN'!$E$37*12),0,-'PV IN'!$E$18*'PV IN'!$E$36/12)</f>
        <v>-625</v>
      </c>
      <c r="AI392" s="2">
        <f>IF(AND('PV IN'!$D$33="YES",PVCalcs!C392=ROUNDUP('PV IN'!$H$33*12,)),-'PV IN'!$E$33*'PV IN'!$E$18,0)</f>
        <v>0</v>
      </c>
      <c r="AK392" s="2">
        <f t="shared" si="110"/>
        <v>9294.8495940612429</v>
      </c>
      <c r="AL392" s="2">
        <f t="shared" si="98"/>
        <v>-1375</v>
      </c>
      <c r="AM392" s="2">
        <f t="shared" si="99"/>
        <v>7919.8495940612429</v>
      </c>
      <c r="AN392" s="43"/>
      <c r="AO392" s="2">
        <f t="shared" si="100"/>
        <v>0</v>
      </c>
      <c r="AP392" s="2">
        <f t="shared" si="101"/>
        <v>-1375</v>
      </c>
      <c r="AR392" s="2">
        <f t="shared" si="102"/>
        <v>-1375</v>
      </c>
      <c r="AS392" s="2">
        <f>-AR392*'PV IN'!$E$8</f>
        <v>288.75</v>
      </c>
      <c r="AT392" s="2">
        <f>IF('PV IN'!$F$4="Battery Only",0,AM392+AS392)</f>
        <v>8208.5995940612429</v>
      </c>
      <c r="AV392" s="10">
        <f t="shared" si="103"/>
        <v>2695341.0432973006</v>
      </c>
      <c r="AW392" s="2">
        <f>AT392/(1+('PV IN'!$G$9))^(C392)</f>
        <v>1694.9168680658777</v>
      </c>
      <c r="AX392" s="2" t="e">
        <f>IF(C392&lt;='PV IN'!$O$22*12,AW392+AX391,NA())</f>
        <v>#N/A</v>
      </c>
      <c r="AZ392" s="10">
        <f t="shared" si="104"/>
        <v>-1375</v>
      </c>
      <c r="BA392" s="10">
        <f t="shared" si="111"/>
        <v>0</v>
      </c>
      <c r="BB392" s="10">
        <f t="shared" si="105"/>
        <v>-1375</v>
      </c>
      <c r="BC392" s="10">
        <f t="shared" si="106"/>
        <v>0</v>
      </c>
      <c r="BD392" s="10">
        <f t="shared" si="107"/>
        <v>-1375</v>
      </c>
      <c r="BE392" s="2">
        <f t="shared" si="108"/>
        <v>0</v>
      </c>
      <c r="BF392" s="10">
        <f t="shared" si="109"/>
        <v>-1375</v>
      </c>
      <c r="BG392" s="2">
        <f>-BF392*'PV IN'!$E$8</f>
        <v>288.75</v>
      </c>
      <c r="BH392" s="2">
        <f>IF('PV IN'!$F$4="Battery Only",0,BB392+BG392)</f>
        <v>-1086.25</v>
      </c>
      <c r="BI392" s="2">
        <f>BH392/(1+('PV IN'!$G$9))^(C392)</f>
        <v>-224.28959128041294</v>
      </c>
    </row>
    <row r="393" spans="2:61" x14ac:dyDescent="0.25">
      <c r="C393">
        <v>389</v>
      </c>
      <c r="D393" s="16">
        <f>D392*(1+('PV IN'!$G$6/12))</f>
        <v>7.5999999999999998E-2</v>
      </c>
      <c r="E393" s="16">
        <f>LkUP!$U$50</f>
        <v>7.8896523189157505E-2</v>
      </c>
      <c r="F393" s="16">
        <f>IF('PV IN'!$D$7="Table",E393,D393)</f>
        <v>7.8896523189157505E-2</v>
      </c>
      <c r="G393" s="33">
        <f>('PV IN'!$E$25*'PV IN'!$E$18/12)*(1-(1-'PV IN'!$E$27)/(25*12))^C392</f>
        <v>117732.09581612733</v>
      </c>
      <c r="H393" s="33">
        <f>IF('PV IN'!$D$19="YES",G393*'PV IN'!$E$21,0)</f>
        <v>0</v>
      </c>
      <c r="I393" s="33">
        <f>IF('PV IN'!$D$19="YES",'PV IN'!$E$22*BattCalcs!W393,0)</f>
        <v>0</v>
      </c>
      <c r="J393" s="33">
        <f>IF('PV IN'!$D$19="YES",'PV IN'!$E$23*BattCalcs!Y393,0)</f>
        <v>0</v>
      </c>
      <c r="K393" s="33">
        <f>BattCalcs!AF393</f>
        <v>25811.765833333331</v>
      </c>
      <c r="L393" s="33">
        <f t="shared" si="97"/>
        <v>25811.765833333331</v>
      </c>
      <c r="M393" s="33">
        <f>IF('PV IN'!$F$4="PV Only",G393,G393-SUM(H393:J393,L393))</f>
        <v>117732.09581612733</v>
      </c>
      <c r="N393" s="2">
        <f>IF(C393&lt;='PV IN'!$I$12*12,'PV IN'!$E$12*G393/1000,0)</f>
        <v>0</v>
      </c>
      <c r="O393" s="2">
        <f>IF(AND(C393&gt;'PV IN'!$I$12*12,C393&lt;='PV IN'!$I$13*12+'PV IN'!$I$12*12),'PV IN'!$E$13*PVCalcs!G393/1000,0)</f>
        <v>0</v>
      </c>
      <c r="P393" s="2">
        <f>IF(AND(C393&gt;'PV IN'!$I$12*12+'PV IN'!$I$13*12,C393&lt;='PV IN'!$I$12*12+'PV IN'!$I$13*12+'PV IN'!$I$14*12),'PV IN'!$E$14*PVCalcs!G393/1000,0)</f>
        <v>0</v>
      </c>
      <c r="R393" s="10">
        <f>IF(AND('PV IN'!$D$35="YES",$C393&lt;='PV IN'!$E$35*12),-'PV IN'!$E$18*'PV IN'!$E$34/12,0)</f>
        <v>0</v>
      </c>
      <c r="S393" s="10">
        <f>IF(AND('PV IN'!$D$37="YES",$C393&lt;='PV IN'!$E$37*12),-'PV IN'!$E$18*'PV IN'!$E$36/12,0)</f>
        <v>0</v>
      </c>
      <c r="U393" s="2">
        <f t="shared" si="112"/>
        <v>9288.6530276652029</v>
      </c>
      <c r="V393" s="10">
        <f>PVLoan!M420</f>
        <v>0</v>
      </c>
      <c r="W393" s="2">
        <f>IF(C393='PV IN'!$I$40,IF('PV IN'!$G$40="Non-Taxable",'PV IN'!$F$40,0),0)+IF(C393='PV IN'!$I$41,IF('PV IN'!$G$41="Non-Taxable",'PV IN'!$F$41,0),0)</f>
        <v>0</v>
      </c>
      <c r="X393" s="10"/>
      <c r="Y393" s="10">
        <f>IF('PV IN'!$E$15="Non-Taxable",SUM(N393:P393),0)</f>
        <v>0</v>
      </c>
      <c r="Z393" s="10">
        <f>IF('PV IN'!$E$15="Taxable",SUM(N393:P393),0)</f>
        <v>0</v>
      </c>
      <c r="AA393" s="2">
        <f>IF(C393='PV IN'!$I$40,IF('PV IN'!$G$40="Taxable",'PV IN'!$F$40,0),0)+IF(C393='PV IN'!$I$41,IF('PV IN'!$G$41="Taxable",'PV IN'!$F$41,0),0)</f>
        <v>0</v>
      </c>
      <c r="AD393" s="10">
        <f>IF('PV IN'!$D$48="YES",-U393*'PV IN'!$E$8,0)</f>
        <v>0</v>
      </c>
      <c r="AE393" s="10">
        <f>IF('PV IN'!$N$10="Yes",-PVLoan!H421,-PVLoan!L421)</f>
        <v>0</v>
      </c>
      <c r="AF393" s="10">
        <f>IF('PV IN'!$N$10="Yes",-PVLoan!F421,0)</f>
        <v>0</v>
      </c>
      <c r="AG393" s="10">
        <f>IF(AND('PV IN'!$D$35="YES",$C393&lt;='PV IN'!$E$35*12),0,-'PV IN'!$E$18*'PV IN'!$E$34/12)</f>
        <v>-750</v>
      </c>
      <c r="AH393" s="10">
        <f>IF(AND('PV IN'!$D$37="YES",$C393&lt;='PV IN'!$E$37*12),0,-'PV IN'!$E$18*'PV IN'!$E$36/12)</f>
        <v>-625</v>
      </c>
      <c r="AI393" s="2">
        <f>IF(AND('PV IN'!$D$33="YES",PVCalcs!C393=ROUNDUP('PV IN'!$H$33*12,)),-'PV IN'!$E$33*'PV IN'!$E$18,0)</f>
        <v>0</v>
      </c>
      <c r="AK393" s="2">
        <f t="shared" si="110"/>
        <v>9288.6530276652029</v>
      </c>
      <c r="AL393" s="2">
        <f t="shared" si="98"/>
        <v>-1375</v>
      </c>
      <c r="AM393" s="2">
        <f t="shared" si="99"/>
        <v>7913.6530276652029</v>
      </c>
      <c r="AN393" s="43"/>
      <c r="AO393" s="2">
        <f t="shared" si="100"/>
        <v>0</v>
      </c>
      <c r="AP393" s="2">
        <f t="shared" si="101"/>
        <v>-1375</v>
      </c>
      <c r="AR393" s="2">
        <f t="shared" si="102"/>
        <v>-1375</v>
      </c>
      <c r="AS393" s="2">
        <f>-AR393*'PV IN'!$E$8</f>
        <v>288.75</v>
      </c>
      <c r="AT393" s="2">
        <f>IF('PV IN'!$F$4="Battery Only",0,AM393+AS393)</f>
        <v>8202.4030276652029</v>
      </c>
      <c r="AV393" s="10">
        <f t="shared" si="103"/>
        <v>2703543.4463249659</v>
      </c>
      <c r="AW393" s="2">
        <f>AT393/(1+('PV IN'!$G$9))^(C393)</f>
        <v>1686.7653064405777</v>
      </c>
      <c r="AX393" s="2" t="e">
        <f>IF(C393&lt;='PV IN'!$O$22*12,AW393+AX392,NA())</f>
        <v>#N/A</v>
      </c>
      <c r="AZ393" s="10">
        <f t="shared" si="104"/>
        <v>-1375</v>
      </c>
      <c r="BA393" s="10">
        <f t="shared" si="111"/>
        <v>0</v>
      </c>
      <c r="BB393" s="10">
        <f t="shared" si="105"/>
        <v>-1375</v>
      </c>
      <c r="BC393" s="10">
        <f t="shared" si="106"/>
        <v>0</v>
      </c>
      <c r="BD393" s="10">
        <f t="shared" si="107"/>
        <v>-1375</v>
      </c>
      <c r="BE393" s="2">
        <f t="shared" si="108"/>
        <v>0</v>
      </c>
      <c r="BF393" s="10">
        <f t="shared" si="109"/>
        <v>-1375</v>
      </c>
      <c r="BG393" s="2">
        <f>-BF393*'PV IN'!$E$8</f>
        <v>288.75</v>
      </c>
      <c r="BH393" s="2">
        <f>IF('PV IN'!$F$4="Battery Only",0,BB393+BG393)</f>
        <v>-1086.25</v>
      </c>
      <c r="BI393" s="2">
        <f>BH393/(1+('PV IN'!$G$9))^(C393)</f>
        <v>-223.37951548360132</v>
      </c>
    </row>
    <row r="394" spans="2:61" x14ac:dyDescent="0.25">
      <c r="C394">
        <v>390</v>
      </c>
      <c r="D394" s="16">
        <f>D393*(1+('PV IN'!$G$6/12))</f>
        <v>7.5999999999999998E-2</v>
      </c>
      <c r="E394" s="16">
        <f>LkUP!$U$50</f>
        <v>7.8896523189157505E-2</v>
      </c>
      <c r="F394" s="16">
        <f>IF('PV IN'!$D$7="Table",E394,D394)</f>
        <v>7.8896523189157505E-2</v>
      </c>
      <c r="G394" s="33">
        <f>('PV IN'!$E$25*'PV IN'!$E$18/12)*(1-(1-'PV IN'!$E$27)/(25*12))^C393</f>
        <v>117653.6077522499</v>
      </c>
      <c r="H394" s="33">
        <f>IF('PV IN'!$D$19="YES",G394*'PV IN'!$E$21,0)</f>
        <v>0</v>
      </c>
      <c r="I394" s="33">
        <f>IF('PV IN'!$D$19="YES",'PV IN'!$E$22*BattCalcs!W394,0)</f>
        <v>0</v>
      </c>
      <c r="J394" s="33">
        <f>IF('PV IN'!$D$19="YES",'PV IN'!$E$23*BattCalcs!Y394,0)</f>
        <v>0</v>
      </c>
      <c r="K394" s="33">
        <f>BattCalcs!AF394</f>
        <v>25811.765833333331</v>
      </c>
      <c r="L394" s="33">
        <f t="shared" si="97"/>
        <v>25811.765833333331</v>
      </c>
      <c r="M394" s="33">
        <f>IF('PV IN'!$F$4="PV Only",G394,G394-SUM(H394:J394,L394))</f>
        <v>117653.6077522499</v>
      </c>
      <c r="N394" s="2">
        <f>IF(C394&lt;='PV IN'!$I$12*12,'PV IN'!$E$12*G394/1000,0)</f>
        <v>0</v>
      </c>
      <c r="O394" s="2">
        <f>IF(AND(C394&gt;'PV IN'!$I$12*12,C394&lt;='PV IN'!$I$13*12+'PV IN'!$I$12*12),'PV IN'!$E$13*PVCalcs!G394/1000,0)</f>
        <v>0</v>
      </c>
      <c r="P394" s="2">
        <f>IF(AND(C394&gt;'PV IN'!$I$12*12+'PV IN'!$I$13*12,C394&lt;='PV IN'!$I$12*12+'PV IN'!$I$13*12+'PV IN'!$I$14*12),'PV IN'!$E$14*PVCalcs!G394/1000,0)</f>
        <v>0</v>
      </c>
      <c r="R394" s="10">
        <f>IF(AND('PV IN'!$D$35="YES",$C394&lt;='PV IN'!$E$35*12),-'PV IN'!$E$18*'PV IN'!$E$34/12,0)</f>
        <v>0</v>
      </c>
      <c r="S394" s="10">
        <f>IF(AND('PV IN'!$D$37="YES",$C394&lt;='PV IN'!$E$37*12),-'PV IN'!$E$18*'PV IN'!$E$36/12,0)</f>
        <v>0</v>
      </c>
      <c r="U394" s="2">
        <f t="shared" si="112"/>
        <v>9282.4605923134259</v>
      </c>
      <c r="V394" s="10">
        <f>PVLoan!M421</f>
        <v>0</v>
      </c>
      <c r="W394" s="2">
        <f>IF(C394='PV IN'!$I$40,IF('PV IN'!$G$40="Non-Taxable",'PV IN'!$F$40,0),0)+IF(C394='PV IN'!$I$41,IF('PV IN'!$G$41="Non-Taxable",'PV IN'!$F$41,0),0)</f>
        <v>0</v>
      </c>
      <c r="X394" s="10"/>
      <c r="Y394" s="10">
        <f>IF('PV IN'!$E$15="Non-Taxable",SUM(N394:P394),0)</f>
        <v>0</v>
      </c>
      <c r="Z394" s="10">
        <f>IF('PV IN'!$E$15="Taxable",SUM(N394:P394),0)</f>
        <v>0</v>
      </c>
      <c r="AA394" s="2">
        <f>IF(C394='PV IN'!$I$40,IF('PV IN'!$G$40="Taxable",'PV IN'!$F$40,0),0)+IF(C394='PV IN'!$I$41,IF('PV IN'!$G$41="Taxable",'PV IN'!$F$41,0),0)</f>
        <v>0</v>
      </c>
      <c r="AD394" s="10">
        <f>IF('PV IN'!$D$48="YES",-U394*'PV IN'!$E$8,0)</f>
        <v>0</v>
      </c>
      <c r="AE394" s="10">
        <f>IF('PV IN'!$N$10="Yes",-PVLoan!H422,-PVLoan!L422)</f>
        <v>0</v>
      </c>
      <c r="AF394" s="10">
        <f>IF('PV IN'!$N$10="Yes",-PVLoan!F422,0)</f>
        <v>0</v>
      </c>
      <c r="AG394" s="10">
        <f>IF(AND('PV IN'!$D$35="YES",$C394&lt;='PV IN'!$E$35*12),0,-'PV IN'!$E$18*'PV IN'!$E$34/12)</f>
        <v>-750</v>
      </c>
      <c r="AH394" s="10">
        <f>IF(AND('PV IN'!$D$37="YES",$C394&lt;='PV IN'!$E$37*12),0,-'PV IN'!$E$18*'PV IN'!$E$36/12)</f>
        <v>-625</v>
      </c>
      <c r="AI394" s="2">
        <f>IF(AND('PV IN'!$D$33="YES",PVCalcs!C394=ROUNDUP('PV IN'!$H$33*12,)),-'PV IN'!$E$33*'PV IN'!$E$18,0)</f>
        <v>0</v>
      </c>
      <c r="AK394" s="2">
        <f t="shared" si="110"/>
        <v>9282.4605923134259</v>
      </c>
      <c r="AL394" s="2">
        <f t="shared" si="98"/>
        <v>-1375</v>
      </c>
      <c r="AM394" s="2">
        <f t="shared" si="99"/>
        <v>7907.4605923134259</v>
      </c>
      <c r="AN394" s="43"/>
      <c r="AO394" s="2">
        <f t="shared" si="100"/>
        <v>0</v>
      </c>
      <c r="AP394" s="2">
        <f t="shared" si="101"/>
        <v>-1375</v>
      </c>
      <c r="AR394" s="2">
        <f t="shared" si="102"/>
        <v>-1375</v>
      </c>
      <c r="AS394" s="2">
        <f>-AR394*'PV IN'!$E$8</f>
        <v>288.75</v>
      </c>
      <c r="AT394" s="2">
        <f>IF('PV IN'!$F$4="Battery Only",0,AM394+AS394)</f>
        <v>8196.2105923134259</v>
      </c>
      <c r="AV394" s="10">
        <f t="shared" si="103"/>
        <v>2711739.6569172791</v>
      </c>
      <c r="AW394" s="2">
        <f>AT394/(1+('PV IN'!$G$9))^(C394)</f>
        <v>1678.6528371111317</v>
      </c>
      <c r="AX394" s="2" t="e">
        <f>IF(C394&lt;='PV IN'!$O$22*12,AW394+AX393,NA())</f>
        <v>#N/A</v>
      </c>
      <c r="AZ394" s="10">
        <f t="shared" si="104"/>
        <v>-1375</v>
      </c>
      <c r="BA394" s="10">
        <f t="shared" si="111"/>
        <v>0</v>
      </c>
      <c r="BB394" s="10">
        <f t="shared" si="105"/>
        <v>-1375</v>
      </c>
      <c r="BC394" s="10">
        <f t="shared" si="106"/>
        <v>0</v>
      </c>
      <c r="BD394" s="10">
        <f t="shared" si="107"/>
        <v>-1375</v>
      </c>
      <c r="BE394" s="2">
        <f t="shared" si="108"/>
        <v>0</v>
      </c>
      <c r="BF394" s="10">
        <f t="shared" si="109"/>
        <v>-1375</v>
      </c>
      <c r="BG394" s="2">
        <f>-BF394*'PV IN'!$E$8</f>
        <v>288.75</v>
      </c>
      <c r="BH394" s="2">
        <f>IF('PV IN'!$F$4="Battery Only",0,BB394+BG394)</f>
        <v>-1086.25</v>
      </c>
      <c r="BI394" s="2">
        <f>BH394/(1+('PV IN'!$G$9))^(C394)</f>
        <v>-222.47313240365284</v>
      </c>
    </row>
    <row r="395" spans="2:61" x14ac:dyDescent="0.25">
      <c r="C395">
        <v>391</v>
      </c>
      <c r="D395" s="16">
        <f>D394*(1+('PV IN'!$G$6/12))</f>
        <v>7.5999999999999998E-2</v>
      </c>
      <c r="E395" s="16">
        <f>LkUP!$U$50</f>
        <v>7.8896523189157505E-2</v>
      </c>
      <c r="F395" s="16">
        <f>IF('PV IN'!$D$7="Table",E395,D395)</f>
        <v>7.8896523189157505E-2</v>
      </c>
      <c r="G395" s="33">
        <f>('PV IN'!$E$25*'PV IN'!$E$18/12)*(1-(1-'PV IN'!$E$27)/(25*12))^C394</f>
        <v>117575.17201374839</v>
      </c>
      <c r="H395" s="33">
        <f>IF('PV IN'!$D$19="YES",G395*'PV IN'!$E$21,0)</f>
        <v>0</v>
      </c>
      <c r="I395" s="33">
        <f>IF('PV IN'!$D$19="YES",'PV IN'!$E$22*BattCalcs!W395,0)</f>
        <v>0</v>
      </c>
      <c r="J395" s="33">
        <f>IF('PV IN'!$D$19="YES",'PV IN'!$E$23*BattCalcs!Y395,0)</f>
        <v>0</v>
      </c>
      <c r="K395" s="33">
        <f>BattCalcs!AF395</f>
        <v>25811.765833333331</v>
      </c>
      <c r="L395" s="33">
        <f t="shared" si="97"/>
        <v>25811.765833333331</v>
      </c>
      <c r="M395" s="33">
        <f>IF('PV IN'!$F$4="PV Only",G395,G395-SUM(H395:J395,L395))</f>
        <v>117575.17201374839</v>
      </c>
      <c r="N395" s="2">
        <f>IF(C395&lt;='PV IN'!$I$12*12,'PV IN'!$E$12*G395/1000,0)</f>
        <v>0</v>
      </c>
      <c r="O395" s="2">
        <f>IF(AND(C395&gt;'PV IN'!$I$12*12,C395&lt;='PV IN'!$I$13*12+'PV IN'!$I$12*12),'PV IN'!$E$13*PVCalcs!G395/1000,0)</f>
        <v>0</v>
      </c>
      <c r="P395" s="2">
        <f>IF(AND(C395&gt;'PV IN'!$I$12*12+'PV IN'!$I$13*12,C395&lt;='PV IN'!$I$12*12+'PV IN'!$I$13*12+'PV IN'!$I$14*12),'PV IN'!$E$14*PVCalcs!G395/1000,0)</f>
        <v>0</v>
      </c>
      <c r="R395" s="10">
        <f>IF(AND('PV IN'!$D$35="YES",$C395&lt;='PV IN'!$E$35*12),-'PV IN'!$E$18*'PV IN'!$E$34/12,0)</f>
        <v>0</v>
      </c>
      <c r="S395" s="10">
        <f>IF(AND('PV IN'!$D$37="YES",$C395&lt;='PV IN'!$E$37*12),-'PV IN'!$E$18*'PV IN'!$E$36/12,0)</f>
        <v>0</v>
      </c>
      <c r="U395" s="2">
        <f t="shared" si="112"/>
        <v>9276.2722852518818</v>
      </c>
      <c r="V395" s="10">
        <f>PVLoan!M422</f>
        <v>0</v>
      </c>
      <c r="W395" s="2">
        <f>IF(C395='PV IN'!$I$40,IF('PV IN'!$G$40="Non-Taxable",'PV IN'!$F$40,0),0)+IF(C395='PV IN'!$I$41,IF('PV IN'!$G$41="Non-Taxable",'PV IN'!$F$41,0),0)</f>
        <v>0</v>
      </c>
      <c r="X395" s="10"/>
      <c r="Y395" s="10">
        <f>IF('PV IN'!$E$15="Non-Taxable",SUM(N395:P395),0)</f>
        <v>0</v>
      </c>
      <c r="Z395" s="10">
        <f>IF('PV IN'!$E$15="Taxable",SUM(N395:P395),0)</f>
        <v>0</v>
      </c>
      <c r="AA395" s="2">
        <f>IF(C395='PV IN'!$I$40,IF('PV IN'!$G$40="Taxable",'PV IN'!$F$40,0),0)+IF(C395='PV IN'!$I$41,IF('PV IN'!$G$41="Taxable",'PV IN'!$F$41,0),0)</f>
        <v>0</v>
      </c>
      <c r="AD395" s="10">
        <f>IF('PV IN'!$D$48="YES",-U395*'PV IN'!$E$8,0)</f>
        <v>0</v>
      </c>
      <c r="AE395" s="10">
        <f>IF('PV IN'!$N$10="Yes",-PVLoan!H423,-PVLoan!L423)</f>
        <v>0</v>
      </c>
      <c r="AF395" s="10">
        <f>IF('PV IN'!$N$10="Yes",-PVLoan!F423,0)</f>
        <v>0</v>
      </c>
      <c r="AG395" s="10">
        <f>IF(AND('PV IN'!$D$35="YES",$C395&lt;='PV IN'!$E$35*12),0,-'PV IN'!$E$18*'PV IN'!$E$34/12)</f>
        <v>-750</v>
      </c>
      <c r="AH395" s="10">
        <f>IF(AND('PV IN'!$D$37="YES",$C395&lt;='PV IN'!$E$37*12),0,-'PV IN'!$E$18*'PV IN'!$E$36/12)</f>
        <v>-625</v>
      </c>
      <c r="AI395" s="2">
        <f>IF(AND('PV IN'!$D$33="YES",PVCalcs!C395=ROUNDUP('PV IN'!$H$33*12,)),-'PV IN'!$E$33*'PV IN'!$E$18,0)</f>
        <v>0</v>
      </c>
      <c r="AK395" s="2">
        <f t="shared" si="110"/>
        <v>9276.2722852518818</v>
      </c>
      <c r="AL395" s="2">
        <f t="shared" si="98"/>
        <v>-1375</v>
      </c>
      <c r="AM395" s="2">
        <f t="shared" si="99"/>
        <v>7901.2722852518818</v>
      </c>
      <c r="AN395" s="43"/>
      <c r="AO395" s="2">
        <f t="shared" si="100"/>
        <v>0</v>
      </c>
      <c r="AP395" s="2">
        <f t="shared" si="101"/>
        <v>-1375</v>
      </c>
      <c r="AR395" s="2">
        <f t="shared" si="102"/>
        <v>-1375</v>
      </c>
      <c r="AS395" s="2">
        <f>-AR395*'PV IN'!$E$8</f>
        <v>288.75</v>
      </c>
      <c r="AT395" s="2">
        <f>IF('PV IN'!$F$4="Battery Only",0,AM395+AS395)</f>
        <v>8190.0222852518818</v>
      </c>
      <c r="AV395" s="10">
        <f t="shared" si="103"/>
        <v>2719929.679202531</v>
      </c>
      <c r="AW395" s="2">
        <f>AT395/(1+('PV IN'!$G$9))^(C395)</f>
        <v>1670.579273049321</v>
      </c>
      <c r="AX395" s="2" t="e">
        <f>IF(C395&lt;='PV IN'!$O$22*12,AW395+AX394,NA())</f>
        <v>#N/A</v>
      </c>
      <c r="AZ395" s="10">
        <f t="shared" si="104"/>
        <v>-1375</v>
      </c>
      <c r="BA395" s="10">
        <f t="shared" si="111"/>
        <v>0</v>
      </c>
      <c r="BB395" s="10">
        <f t="shared" si="105"/>
        <v>-1375</v>
      </c>
      <c r="BC395" s="10">
        <f t="shared" si="106"/>
        <v>0</v>
      </c>
      <c r="BD395" s="10">
        <f t="shared" si="107"/>
        <v>-1375</v>
      </c>
      <c r="BE395" s="2">
        <f t="shared" si="108"/>
        <v>0</v>
      </c>
      <c r="BF395" s="10">
        <f t="shared" si="109"/>
        <v>-1375</v>
      </c>
      <c r="BG395" s="2">
        <f>-BF395*'PV IN'!$E$8</f>
        <v>288.75</v>
      </c>
      <c r="BH395" s="2">
        <f>IF('PV IN'!$F$4="Battery Only",0,BB395+BG395)</f>
        <v>-1086.25</v>
      </c>
      <c r="BI395" s="2">
        <f>BH395/(1+('PV IN'!$G$9))^(C395)</f>
        <v>-221.57042705702668</v>
      </c>
    </row>
    <row r="396" spans="2:61" x14ac:dyDescent="0.25">
      <c r="C396">
        <v>392</v>
      </c>
      <c r="D396" s="16">
        <f>D395*(1+('PV IN'!$G$6/12))</f>
        <v>7.5999999999999998E-2</v>
      </c>
      <c r="E396" s="16">
        <f>LkUP!$U$50</f>
        <v>7.8896523189157505E-2</v>
      </c>
      <c r="F396" s="16">
        <f>IF('PV IN'!$D$7="Table",E396,D396)</f>
        <v>7.8896523189157505E-2</v>
      </c>
      <c r="G396" s="33">
        <f>('PV IN'!$E$25*'PV IN'!$E$18/12)*(1-(1-'PV IN'!$E$27)/(25*12))^C395</f>
        <v>117496.78856573925</v>
      </c>
      <c r="H396" s="33">
        <f>IF('PV IN'!$D$19="YES",G396*'PV IN'!$E$21,0)</f>
        <v>0</v>
      </c>
      <c r="I396" s="33">
        <f>IF('PV IN'!$D$19="YES",'PV IN'!$E$22*BattCalcs!W396,0)</f>
        <v>0</v>
      </c>
      <c r="J396" s="33">
        <f>IF('PV IN'!$D$19="YES",'PV IN'!$E$23*BattCalcs!Y396,0)</f>
        <v>0</v>
      </c>
      <c r="K396" s="33">
        <f>BattCalcs!AF396</f>
        <v>25811.765833333331</v>
      </c>
      <c r="L396" s="33">
        <f t="shared" si="97"/>
        <v>25811.765833333331</v>
      </c>
      <c r="M396" s="33">
        <f>IF('PV IN'!$F$4="PV Only",G396,G396-SUM(H396:J396,L396))</f>
        <v>117496.78856573925</v>
      </c>
      <c r="N396" s="2">
        <f>IF(C396&lt;='PV IN'!$I$12*12,'PV IN'!$E$12*G396/1000,0)</f>
        <v>0</v>
      </c>
      <c r="O396" s="2">
        <f>IF(AND(C396&gt;'PV IN'!$I$12*12,C396&lt;='PV IN'!$I$13*12+'PV IN'!$I$12*12),'PV IN'!$E$13*PVCalcs!G396/1000,0)</f>
        <v>0</v>
      </c>
      <c r="P396" s="2">
        <f>IF(AND(C396&gt;'PV IN'!$I$12*12+'PV IN'!$I$13*12,C396&lt;='PV IN'!$I$12*12+'PV IN'!$I$13*12+'PV IN'!$I$14*12),'PV IN'!$E$14*PVCalcs!G396/1000,0)</f>
        <v>0</v>
      </c>
      <c r="R396" s="10">
        <f>IF(AND('PV IN'!$D$35="YES",$C396&lt;='PV IN'!$E$35*12),-'PV IN'!$E$18*'PV IN'!$E$34/12,0)</f>
        <v>0</v>
      </c>
      <c r="S396" s="10">
        <f>IF(AND('PV IN'!$D$37="YES",$C396&lt;='PV IN'!$E$37*12),-'PV IN'!$E$18*'PV IN'!$E$36/12,0)</f>
        <v>0</v>
      </c>
      <c r="U396" s="2">
        <f t="shared" si="112"/>
        <v>9270.0881037283834</v>
      </c>
      <c r="V396" s="10">
        <f>PVLoan!M423</f>
        <v>0</v>
      </c>
      <c r="W396" s="2">
        <f>IF(C396='PV IN'!$I$40,IF('PV IN'!$G$40="Non-Taxable",'PV IN'!$F$40,0),0)+IF(C396='PV IN'!$I$41,IF('PV IN'!$G$41="Non-Taxable",'PV IN'!$F$41,0),0)</f>
        <v>0</v>
      </c>
      <c r="X396" s="10"/>
      <c r="Y396" s="10">
        <f>IF('PV IN'!$E$15="Non-Taxable",SUM(N396:P396),0)</f>
        <v>0</v>
      </c>
      <c r="Z396" s="10">
        <f>IF('PV IN'!$E$15="Taxable",SUM(N396:P396),0)</f>
        <v>0</v>
      </c>
      <c r="AA396" s="2">
        <f>IF(C396='PV IN'!$I$40,IF('PV IN'!$G$40="Taxable",'PV IN'!$F$40,0),0)+IF(C396='PV IN'!$I$41,IF('PV IN'!$G$41="Taxable",'PV IN'!$F$41,0),0)</f>
        <v>0</v>
      </c>
      <c r="AD396" s="10">
        <f>IF('PV IN'!$D$48="YES",-U396*'PV IN'!$E$8,0)</f>
        <v>0</v>
      </c>
      <c r="AE396" s="10">
        <f>IF('PV IN'!$N$10="Yes",-PVLoan!H424,-PVLoan!L424)</f>
        <v>0</v>
      </c>
      <c r="AF396" s="10">
        <f>IF('PV IN'!$N$10="Yes",-PVLoan!F424,0)</f>
        <v>0</v>
      </c>
      <c r="AG396" s="10">
        <f>IF(AND('PV IN'!$D$35="YES",$C396&lt;='PV IN'!$E$35*12),0,-'PV IN'!$E$18*'PV IN'!$E$34/12)</f>
        <v>-750</v>
      </c>
      <c r="AH396" s="10">
        <f>IF(AND('PV IN'!$D$37="YES",$C396&lt;='PV IN'!$E$37*12),0,-'PV IN'!$E$18*'PV IN'!$E$36/12)</f>
        <v>-625</v>
      </c>
      <c r="AI396" s="2">
        <f>IF(AND('PV IN'!$D$33="YES",PVCalcs!C396=ROUNDUP('PV IN'!$H$33*12,)),-'PV IN'!$E$33*'PV IN'!$E$18,0)</f>
        <v>0</v>
      </c>
      <c r="AK396" s="2">
        <f t="shared" si="110"/>
        <v>9270.0881037283834</v>
      </c>
      <c r="AL396" s="2">
        <f t="shared" si="98"/>
        <v>-1375</v>
      </c>
      <c r="AM396" s="2">
        <f t="shared" si="99"/>
        <v>7895.0881037283834</v>
      </c>
      <c r="AN396" s="43"/>
      <c r="AO396" s="2">
        <f t="shared" si="100"/>
        <v>0</v>
      </c>
      <c r="AP396" s="2">
        <f t="shared" si="101"/>
        <v>-1375</v>
      </c>
      <c r="AR396" s="2">
        <f t="shared" si="102"/>
        <v>-1375</v>
      </c>
      <c r="AS396" s="2">
        <f>-AR396*'PV IN'!$E$8</f>
        <v>288.75</v>
      </c>
      <c r="AT396" s="2">
        <f>IF('PV IN'!$F$4="Battery Only",0,AM396+AS396)</f>
        <v>8183.8381037283834</v>
      </c>
      <c r="AV396" s="10">
        <f t="shared" si="103"/>
        <v>2728113.5173062594</v>
      </c>
      <c r="AW396" s="2">
        <f>AT396/(1+('PV IN'!$G$9))^(C396)</f>
        <v>1662.544428119942</v>
      </c>
      <c r="AX396" s="2" t="e">
        <f>IF(C396&lt;='PV IN'!$O$22*12,AW396+AX395,NA())</f>
        <v>#N/A</v>
      </c>
      <c r="AZ396" s="10">
        <f t="shared" si="104"/>
        <v>-1375</v>
      </c>
      <c r="BA396" s="10">
        <f t="shared" si="111"/>
        <v>0</v>
      </c>
      <c r="BB396" s="10">
        <f t="shared" si="105"/>
        <v>-1375</v>
      </c>
      <c r="BC396" s="10">
        <f t="shared" si="106"/>
        <v>0</v>
      </c>
      <c r="BD396" s="10">
        <f t="shared" si="107"/>
        <v>-1375</v>
      </c>
      <c r="BE396" s="2">
        <f t="shared" si="108"/>
        <v>0</v>
      </c>
      <c r="BF396" s="10">
        <f t="shared" si="109"/>
        <v>-1375</v>
      </c>
      <c r="BG396" s="2">
        <f>-BF396*'PV IN'!$E$8</f>
        <v>288.75</v>
      </c>
      <c r="BH396" s="2">
        <f>IF('PV IN'!$F$4="Battery Only",0,BB396+BG396)</f>
        <v>-1086.25</v>
      </c>
      <c r="BI396" s="2">
        <f>BH396/(1+('PV IN'!$G$9))^(C396)</f>
        <v>-220.67138452097916</v>
      </c>
    </row>
    <row r="397" spans="2:61" x14ac:dyDescent="0.25">
      <c r="C397">
        <v>393</v>
      </c>
      <c r="D397" s="16">
        <f>D396*(1+('PV IN'!$G$6/12))</f>
        <v>7.5999999999999998E-2</v>
      </c>
      <c r="E397" s="16">
        <f>LkUP!$U$50</f>
        <v>7.8896523189157505E-2</v>
      </c>
      <c r="F397" s="16">
        <f>IF('PV IN'!$D$7="Table",E397,D397)</f>
        <v>7.8896523189157505E-2</v>
      </c>
      <c r="G397" s="33">
        <f>('PV IN'!$E$25*'PV IN'!$E$18/12)*(1-(1-'PV IN'!$E$27)/(25*12))^C396</f>
        <v>117418.45737336208</v>
      </c>
      <c r="H397" s="33">
        <f>IF('PV IN'!$D$19="YES",G397*'PV IN'!$E$21,0)</f>
        <v>0</v>
      </c>
      <c r="I397" s="33">
        <f>IF('PV IN'!$D$19="YES",'PV IN'!$E$22*BattCalcs!W397,0)</f>
        <v>0</v>
      </c>
      <c r="J397" s="33">
        <f>IF('PV IN'!$D$19="YES",'PV IN'!$E$23*BattCalcs!Y397,0)</f>
        <v>0</v>
      </c>
      <c r="K397" s="33">
        <f>BattCalcs!AF397</f>
        <v>25811.765833333331</v>
      </c>
      <c r="L397" s="33">
        <f t="shared" si="97"/>
        <v>25811.765833333331</v>
      </c>
      <c r="M397" s="33">
        <f>IF('PV IN'!$F$4="PV Only",G397,G397-SUM(H397:J397,L397))</f>
        <v>117418.45737336208</v>
      </c>
      <c r="N397" s="2">
        <f>IF(C397&lt;='PV IN'!$I$12*12,'PV IN'!$E$12*G397/1000,0)</f>
        <v>0</v>
      </c>
      <c r="O397" s="2">
        <f>IF(AND(C397&gt;'PV IN'!$I$12*12,C397&lt;='PV IN'!$I$13*12+'PV IN'!$I$12*12),'PV IN'!$E$13*PVCalcs!G397/1000,0)</f>
        <v>0</v>
      </c>
      <c r="P397" s="2">
        <f>IF(AND(C397&gt;'PV IN'!$I$12*12+'PV IN'!$I$13*12,C397&lt;='PV IN'!$I$12*12+'PV IN'!$I$13*12+'PV IN'!$I$14*12),'PV IN'!$E$14*PVCalcs!G397/1000,0)</f>
        <v>0</v>
      </c>
      <c r="R397" s="10">
        <f>IF(AND('PV IN'!$D$35="YES",$C397&lt;='PV IN'!$E$35*12),-'PV IN'!$E$18*'PV IN'!$E$34/12,0)</f>
        <v>0</v>
      </c>
      <c r="S397" s="10">
        <f>IF(AND('PV IN'!$D$37="YES",$C397&lt;='PV IN'!$E$37*12),-'PV IN'!$E$18*'PV IN'!$E$36/12,0)</f>
        <v>0</v>
      </c>
      <c r="U397" s="2">
        <f t="shared" si="112"/>
        <v>9263.9080449925641</v>
      </c>
      <c r="V397" s="10">
        <f>PVLoan!M424</f>
        <v>0</v>
      </c>
      <c r="W397" s="2">
        <f>IF(C397='PV IN'!$I$40,IF('PV IN'!$G$40="Non-Taxable",'PV IN'!$F$40,0),0)+IF(C397='PV IN'!$I$41,IF('PV IN'!$G$41="Non-Taxable",'PV IN'!$F$41,0),0)</f>
        <v>0</v>
      </c>
      <c r="X397" s="10"/>
      <c r="Y397" s="10">
        <f>IF('PV IN'!$E$15="Non-Taxable",SUM(N397:P397),0)</f>
        <v>0</v>
      </c>
      <c r="Z397" s="10">
        <f>IF('PV IN'!$E$15="Taxable",SUM(N397:P397),0)</f>
        <v>0</v>
      </c>
      <c r="AA397" s="2">
        <f>IF(C397='PV IN'!$I$40,IF('PV IN'!$G$40="Taxable",'PV IN'!$F$40,0),0)+IF(C397='PV IN'!$I$41,IF('PV IN'!$G$41="Taxable",'PV IN'!$F$41,0),0)</f>
        <v>0</v>
      </c>
      <c r="AD397" s="10">
        <f>IF('PV IN'!$D$48="YES",-U397*'PV IN'!$E$8,0)</f>
        <v>0</v>
      </c>
      <c r="AE397" s="10">
        <f>IF('PV IN'!$N$10="Yes",-PVLoan!H425,-PVLoan!L425)</f>
        <v>0</v>
      </c>
      <c r="AF397" s="10">
        <f>IF('PV IN'!$N$10="Yes",-PVLoan!F425,0)</f>
        <v>0</v>
      </c>
      <c r="AG397" s="10">
        <f>IF(AND('PV IN'!$D$35="YES",$C397&lt;='PV IN'!$E$35*12),0,-'PV IN'!$E$18*'PV IN'!$E$34/12)</f>
        <v>-750</v>
      </c>
      <c r="AH397" s="10">
        <f>IF(AND('PV IN'!$D$37="YES",$C397&lt;='PV IN'!$E$37*12),0,-'PV IN'!$E$18*'PV IN'!$E$36/12)</f>
        <v>-625</v>
      </c>
      <c r="AI397" s="2">
        <f>IF(AND('PV IN'!$D$33="YES",PVCalcs!C397=ROUNDUP('PV IN'!$H$33*12,)),-'PV IN'!$E$33*'PV IN'!$E$18,0)</f>
        <v>0</v>
      </c>
      <c r="AK397" s="2">
        <f t="shared" si="110"/>
        <v>9263.9080449925641</v>
      </c>
      <c r="AL397" s="2">
        <f t="shared" si="98"/>
        <v>-1375</v>
      </c>
      <c r="AM397" s="2">
        <f t="shared" si="99"/>
        <v>7888.9080449925641</v>
      </c>
      <c r="AN397" s="43"/>
      <c r="AO397" s="2">
        <f t="shared" si="100"/>
        <v>0</v>
      </c>
      <c r="AP397" s="2">
        <f t="shared" si="101"/>
        <v>-1375</v>
      </c>
      <c r="AR397" s="2">
        <f t="shared" si="102"/>
        <v>-1375</v>
      </c>
      <c r="AS397" s="2">
        <f>-AR397*'PV IN'!$E$8</f>
        <v>288.75</v>
      </c>
      <c r="AT397" s="2">
        <f>IF('PV IN'!$F$4="Battery Only",0,AM397+AS397)</f>
        <v>8177.6580449925641</v>
      </c>
      <c r="AV397" s="10">
        <f t="shared" si="103"/>
        <v>2736291.1753512518</v>
      </c>
      <c r="AW397" s="2">
        <f>AT397/(1+('PV IN'!$G$9))^(C397)</f>
        <v>1654.548117076542</v>
      </c>
      <c r="AX397" s="2" t="e">
        <f>IF(C397&lt;='PV IN'!$O$22*12,AW397+AX396,NA())</f>
        <v>#N/A</v>
      </c>
      <c r="AZ397" s="10">
        <f t="shared" si="104"/>
        <v>-1375</v>
      </c>
      <c r="BA397" s="10">
        <f t="shared" si="111"/>
        <v>0</v>
      </c>
      <c r="BB397" s="10">
        <f t="shared" si="105"/>
        <v>-1375</v>
      </c>
      <c r="BC397" s="10">
        <f t="shared" si="106"/>
        <v>0</v>
      </c>
      <c r="BD397" s="10">
        <f t="shared" si="107"/>
        <v>-1375</v>
      </c>
      <c r="BE397" s="2">
        <f t="shared" si="108"/>
        <v>0</v>
      </c>
      <c r="BF397" s="10">
        <f t="shared" si="109"/>
        <v>-1375</v>
      </c>
      <c r="BG397" s="2">
        <f>-BF397*'PV IN'!$E$8</f>
        <v>288.75</v>
      </c>
      <c r="BH397" s="2">
        <f>IF('PV IN'!$F$4="Battery Only",0,BB397+BG397)</f>
        <v>-1086.25</v>
      </c>
      <c r="BI397" s="2">
        <f>BH397/(1+('PV IN'!$G$9))^(C397)</f>
        <v>-219.77598993331688</v>
      </c>
    </row>
    <row r="398" spans="2:61" x14ac:dyDescent="0.25">
      <c r="C398">
        <v>394</v>
      </c>
      <c r="D398" s="16">
        <f>D397*(1+('PV IN'!$G$6/12))</f>
        <v>7.5999999999999998E-2</v>
      </c>
      <c r="E398" s="16">
        <f>LkUP!$U$50</f>
        <v>7.8896523189157505E-2</v>
      </c>
      <c r="F398" s="16">
        <f>IF('PV IN'!$D$7="Table",E398,D398)</f>
        <v>7.8896523189157505E-2</v>
      </c>
      <c r="G398" s="33">
        <f>('PV IN'!$E$25*'PV IN'!$E$18/12)*(1-(1-'PV IN'!$E$27)/(25*12))^C397</f>
        <v>117340.17840177982</v>
      </c>
      <c r="H398" s="33">
        <f>IF('PV IN'!$D$19="YES",G398*'PV IN'!$E$21,0)</f>
        <v>0</v>
      </c>
      <c r="I398" s="33">
        <f>IF('PV IN'!$D$19="YES",'PV IN'!$E$22*BattCalcs!W398,0)</f>
        <v>0</v>
      </c>
      <c r="J398" s="33">
        <f>IF('PV IN'!$D$19="YES",'PV IN'!$E$23*BattCalcs!Y398,0)</f>
        <v>0</v>
      </c>
      <c r="K398" s="33">
        <f>BattCalcs!AF398</f>
        <v>25811.765833333331</v>
      </c>
      <c r="L398" s="33">
        <f t="shared" si="97"/>
        <v>25811.765833333331</v>
      </c>
      <c r="M398" s="33">
        <f>IF('PV IN'!$F$4="PV Only",G398,G398-SUM(H398:J398,L398))</f>
        <v>117340.17840177982</v>
      </c>
      <c r="N398" s="2">
        <f>IF(C398&lt;='PV IN'!$I$12*12,'PV IN'!$E$12*G398/1000,0)</f>
        <v>0</v>
      </c>
      <c r="O398" s="2">
        <f>IF(AND(C398&gt;'PV IN'!$I$12*12,C398&lt;='PV IN'!$I$13*12+'PV IN'!$I$12*12),'PV IN'!$E$13*PVCalcs!G398/1000,0)</f>
        <v>0</v>
      </c>
      <c r="P398" s="2">
        <f>IF(AND(C398&gt;'PV IN'!$I$12*12+'PV IN'!$I$13*12,C398&lt;='PV IN'!$I$12*12+'PV IN'!$I$13*12+'PV IN'!$I$14*12),'PV IN'!$E$14*PVCalcs!G398/1000,0)</f>
        <v>0</v>
      </c>
      <c r="R398" s="10">
        <f>IF(AND('PV IN'!$D$35="YES",$C398&lt;='PV IN'!$E$35*12),-'PV IN'!$E$18*'PV IN'!$E$34/12,0)</f>
        <v>0</v>
      </c>
      <c r="S398" s="10">
        <f>IF(AND('PV IN'!$D$37="YES",$C398&lt;='PV IN'!$E$37*12),-'PV IN'!$E$18*'PV IN'!$E$36/12,0)</f>
        <v>0</v>
      </c>
      <c r="U398" s="2">
        <f t="shared" si="112"/>
        <v>9257.7321062958999</v>
      </c>
      <c r="V398" s="10">
        <f>PVLoan!M425</f>
        <v>0</v>
      </c>
      <c r="W398" s="2">
        <f>IF(C398='PV IN'!$I$40,IF('PV IN'!$G$40="Non-Taxable",'PV IN'!$F$40,0),0)+IF(C398='PV IN'!$I$41,IF('PV IN'!$G$41="Non-Taxable",'PV IN'!$F$41,0),0)</f>
        <v>0</v>
      </c>
      <c r="X398" s="10"/>
      <c r="Y398" s="10">
        <f>IF('PV IN'!$E$15="Non-Taxable",SUM(N398:P398),0)</f>
        <v>0</v>
      </c>
      <c r="Z398" s="10">
        <f>IF('PV IN'!$E$15="Taxable",SUM(N398:P398),0)</f>
        <v>0</v>
      </c>
      <c r="AA398" s="2">
        <f>IF(C398='PV IN'!$I$40,IF('PV IN'!$G$40="Taxable",'PV IN'!$F$40,0),0)+IF(C398='PV IN'!$I$41,IF('PV IN'!$G$41="Taxable",'PV IN'!$F$41,0),0)</f>
        <v>0</v>
      </c>
      <c r="AD398" s="10">
        <f>IF('PV IN'!$D$48="YES",-U398*'PV IN'!$E$8,0)</f>
        <v>0</v>
      </c>
      <c r="AE398" s="10">
        <f>IF('PV IN'!$N$10="Yes",-PVLoan!H426,-PVLoan!L426)</f>
        <v>0</v>
      </c>
      <c r="AF398" s="10">
        <f>IF('PV IN'!$N$10="Yes",-PVLoan!F426,0)</f>
        <v>0</v>
      </c>
      <c r="AG398" s="10">
        <f>IF(AND('PV IN'!$D$35="YES",$C398&lt;='PV IN'!$E$35*12),0,-'PV IN'!$E$18*'PV IN'!$E$34/12)</f>
        <v>-750</v>
      </c>
      <c r="AH398" s="10">
        <f>IF(AND('PV IN'!$D$37="YES",$C398&lt;='PV IN'!$E$37*12),0,-'PV IN'!$E$18*'PV IN'!$E$36/12)</f>
        <v>-625</v>
      </c>
      <c r="AI398" s="2">
        <f>IF(AND('PV IN'!$D$33="YES",PVCalcs!C398=ROUNDUP('PV IN'!$H$33*12,)),-'PV IN'!$E$33*'PV IN'!$E$18,0)</f>
        <v>0</v>
      </c>
      <c r="AK398" s="2">
        <f t="shared" si="110"/>
        <v>9257.7321062958999</v>
      </c>
      <c r="AL398" s="2">
        <f t="shared" si="98"/>
        <v>-1375</v>
      </c>
      <c r="AM398" s="2">
        <f t="shared" si="99"/>
        <v>7882.7321062958999</v>
      </c>
      <c r="AN398" s="43"/>
      <c r="AO398" s="2">
        <f t="shared" si="100"/>
        <v>0</v>
      </c>
      <c r="AP398" s="2">
        <f t="shared" si="101"/>
        <v>-1375</v>
      </c>
      <c r="AR398" s="2">
        <f t="shared" si="102"/>
        <v>-1375</v>
      </c>
      <c r="AS398" s="2">
        <f>-AR398*'PV IN'!$E$8</f>
        <v>288.75</v>
      </c>
      <c r="AT398" s="2">
        <f>IF('PV IN'!$F$4="Battery Only",0,AM398+AS398)</f>
        <v>8171.4821062958999</v>
      </c>
      <c r="AV398" s="10">
        <f t="shared" si="103"/>
        <v>2744462.6574575477</v>
      </c>
      <c r="AW398" s="2">
        <f>AT398/(1+('PV IN'!$G$9))^(C398)</f>
        <v>1646.5901555571916</v>
      </c>
      <c r="AX398" s="2" t="e">
        <f>IF(C398&lt;='PV IN'!$O$22*12,AW398+AX397,NA())</f>
        <v>#N/A</v>
      </c>
      <c r="AZ398" s="10">
        <f t="shared" si="104"/>
        <v>-1375</v>
      </c>
      <c r="BA398" s="10">
        <f t="shared" si="111"/>
        <v>0</v>
      </c>
      <c r="BB398" s="10">
        <f t="shared" si="105"/>
        <v>-1375</v>
      </c>
      <c r="BC398" s="10">
        <f t="shared" si="106"/>
        <v>0</v>
      </c>
      <c r="BD398" s="10">
        <f t="shared" si="107"/>
        <v>-1375</v>
      </c>
      <c r="BE398" s="2">
        <f t="shared" si="108"/>
        <v>0</v>
      </c>
      <c r="BF398" s="10">
        <f t="shared" si="109"/>
        <v>-1375</v>
      </c>
      <c r="BG398" s="2">
        <f>-BF398*'PV IN'!$E$8</f>
        <v>288.75</v>
      </c>
      <c r="BH398" s="2">
        <f>IF('PV IN'!$F$4="Battery Only",0,BB398+BG398)</f>
        <v>-1086.25</v>
      </c>
      <c r="BI398" s="2">
        <f>BH398/(1+('PV IN'!$G$9))^(C398)</f>
        <v>-218.88422849215152</v>
      </c>
    </row>
    <row r="399" spans="2:61" x14ac:dyDescent="0.25">
      <c r="C399">
        <v>395</v>
      </c>
      <c r="D399" s="16">
        <f>D398*(1+('PV IN'!$G$6/12))</f>
        <v>7.5999999999999998E-2</v>
      </c>
      <c r="E399" s="16">
        <f>LkUP!$U$50</f>
        <v>7.8896523189157505E-2</v>
      </c>
      <c r="F399" s="16">
        <f>IF('PV IN'!$D$7="Table",E399,D399)</f>
        <v>7.8896523189157505E-2</v>
      </c>
      <c r="G399" s="33">
        <f>('PV IN'!$E$25*'PV IN'!$E$18/12)*(1-(1-'PV IN'!$E$27)/(25*12))^C398</f>
        <v>117261.95161617863</v>
      </c>
      <c r="H399" s="33">
        <f>IF('PV IN'!$D$19="YES",G399*'PV IN'!$E$21,0)</f>
        <v>0</v>
      </c>
      <c r="I399" s="33">
        <f>IF('PV IN'!$D$19="YES",'PV IN'!$E$22*BattCalcs!W399,0)</f>
        <v>0</v>
      </c>
      <c r="J399" s="33">
        <f>IF('PV IN'!$D$19="YES",'PV IN'!$E$23*BattCalcs!Y399,0)</f>
        <v>0</v>
      </c>
      <c r="K399" s="33">
        <f>BattCalcs!AF399</f>
        <v>25811.765833333331</v>
      </c>
      <c r="L399" s="33">
        <f t="shared" si="97"/>
        <v>25811.765833333331</v>
      </c>
      <c r="M399" s="33">
        <f>IF('PV IN'!$F$4="PV Only",G399,G399-SUM(H399:J399,L399))</f>
        <v>117261.95161617863</v>
      </c>
      <c r="N399" s="2">
        <f>IF(C399&lt;='PV IN'!$I$12*12,'PV IN'!$E$12*G399/1000,0)</f>
        <v>0</v>
      </c>
      <c r="O399" s="2">
        <f>IF(AND(C399&gt;'PV IN'!$I$12*12,C399&lt;='PV IN'!$I$13*12+'PV IN'!$I$12*12),'PV IN'!$E$13*PVCalcs!G399/1000,0)</f>
        <v>0</v>
      </c>
      <c r="P399" s="2">
        <f>IF(AND(C399&gt;'PV IN'!$I$12*12+'PV IN'!$I$13*12,C399&lt;='PV IN'!$I$12*12+'PV IN'!$I$13*12+'PV IN'!$I$14*12),'PV IN'!$E$14*PVCalcs!G399/1000,0)</f>
        <v>0</v>
      </c>
      <c r="R399" s="10">
        <f>IF(AND('PV IN'!$D$35="YES",$C399&lt;='PV IN'!$E$35*12),-'PV IN'!$E$18*'PV IN'!$E$34/12,0)</f>
        <v>0</v>
      </c>
      <c r="S399" s="10">
        <f>IF(AND('PV IN'!$D$37="YES",$C399&lt;='PV IN'!$E$37*12),-'PV IN'!$E$18*'PV IN'!$E$36/12,0)</f>
        <v>0</v>
      </c>
      <c r="U399" s="2">
        <f t="shared" si="112"/>
        <v>9251.5602848917024</v>
      </c>
      <c r="V399" s="10">
        <f>PVLoan!M426</f>
        <v>0</v>
      </c>
      <c r="W399" s="2">
        <f>IF(C399='PV IN'!$I$40,IF('PV IN'!$G$40="Non-Taxable",'PV IN'!$F$40,0),0)+IF(C399='PV IN'!$I$41,IF('PV IN'!$G$41="Non-Taxable",'PV IN'!$F$41,0),0)</f>
        <v>0</v>
      </c>
      <c r="X399" s="10"/>
      <c r="Y399" s="10">
        <f>IF('PV IN'!$E$15="Non-Taxable",SUM(N399:P399),0)</f>
        <v>0</v>
      </c>
      <c r="Z399" s="10">
        <f>IF('PV IN'!$E$15="Taxable",SUM(N399:P399),0)</f>
        <v>0</v>
      </c>
      <c r="AA399" s="2">
        <f>IF(C399='PV IN'!$I$40,IF('PV IN'!$G$40="Taxable",'PV IN'!$F$40,0),0)+IF(C399='PV IN'!$I$41,IF('PV IN'!$G$41="Taxable",'PV IN'!$F$41,0),0)</f>
        <v>0</v>
      </c>
      <c r="AD399" s="10">
        <f>IF('PV IN'!$D$48="YES",-U399*'PV IN'!$E$8,0)</f>
        <v>0</v>
      </c>
      <c r="AE399" s="10">
        <f>IF('PV IN'!$N$10="Yes",-PVLoan!H427,-PVLoan!L427)</f>
        <v>0</v>
      </c>
      <c r="AF399" s="10">
        <f>IF('PV IN'!$N$10="Yes",-PVLoan!F427,0)</f>
        <v>0</v>
      </c>
      <c r="AG399" s="10">
        <f>IF(AND('PV IN'!$D$35="YES",$C399&lt;='PV IN'!$E$35*12),0,-'PV IN'!$E$18*'PV IN'!$E$34/12)</f>
        <v>-750</v>
      </c>
      <c r="AH399" s="10">
        <f>IF(AND('PV IN'!$D$37="YES",$C399&lt;='PV IN'!$E$37*12),0,-'PV IN'!$E$18*'PV IN'!$E$36/12)</f>
        <v>-625</v>
      </c>
      <c r="AI399" s="2">
        <f>IF(AND('PV IN'!$D$33="YES",PVCalcs!C399=ROUNDUP('PV IN'!$H$33*12,)),-'PV IN'!$E$33*'PV IN'!$E$18,0)</f>
        <v>0</v>
      </c>
      <c r="AK399" s="2">
        <f t="shared" si="110"/>
        <v>9251.5602848917024</v>
      </c>
      <c r="AL399" s="2">
        <f t="shared" si="98"/>
        <v>-1375</v>
      </c>
      <c r="AM399" s="2">
        <f t="shared" si="99"/>
        <v>7876.5602848917024</v>
      </c>
      <c r="AN399" s="43"/>
      <c r="AO399" s="2">
        <f t="shared" si="100"/>
        <v>0</v>
      </c>
      <c r="AP399" s="2">
        <f t="shared" si="101"/>
        <v>-1375</v>
      </c>
      <c r="AR399" s="2">
        <f t="shared" si="102"/>
        <v>-1375</v>
      </c>
      <c r="AS399" s="2">
        <f>-AR399*'PV IN'!$E$8</f>
        <v>288.75</v>
      </c>
      <c r="AT399" s="2">
        <f>IF('PV IN'!$F$4="Battery Only",0,AM399+AS399)</f>
        <v>8165.3102848917024</v>
      </c>
      <c r="AV399" s="10">
        <f t="shared" si="103"/>
        <v>2752627.9677424394</v>
      </c>
      <c r="AW399" s="2">
        <f>AT399/(1+('PV IN'!$G$9))^(C399)</f>
        <v>1638.6703600802628</v>
      </c>
      <c r="AX399" s="2" t="e">
        <f>IF(C399&lt;='PV IN'!$O$22*12,AW399+AX398,NA())</f>
        <v>#N/A</v>
      </c>
      <c r="AZ399" s="10">
        <f t="shared" si="104"/>
        <v>-1375</v>
      </c>
      <c r="BA399" s="10">
        <f t="shared" si="111"/>
        <v>0</v>
      </c>
      <c r="BB399" s="10">
        <f t="shared" si="105"/>
        <v>-1375</v>
      </c>
      <c r="BC399" s="10">
        <f t="shared" si="106"/>
        <v>0</v>
      </c>
      <c r="BD399" s="10">
        <f t="shared" si="107"/>
        <v>-1375</v>
      </c>
      <c r="BE399" s="2">
        <f t="shared" si="108"/>
        <v>0</v>
      </c>
      <c r="BF399" s="10">
        <f t="shared" si="109"/>
        <v>-1375</v>
      </c>
      <c r="BG399" s="2">
        <f>-BF399*'PV IN'!$E$8</f>
        <v>288.75</v>
      </c>
      <c r="BH399" s="2">
        <f>IF('PV IN'!$F$4="Battery Only",0,BB399+BG399)</f>
        <v>-1086.25</v>
      </c>
      <c r="BI399" s="2">
        <f>BH399/(1+('PV IN'!$G$9))^(C399)</f>
        <v>-217.99608545565439</v>
      </c>
    </row>
    <row r="400" spans="2:61" x14ac:dyDescent="0.25">
      <c r="B400">
        <v>33</v>
      </c>
      <c r="C400">
        <v>396</v>
      </c>
      <c r="D400" s="16">
        <f>D399*(1+('PV IN'!$G$6/12))</f>
        <v>7.5999999999999998E-2</v>
      </c>
      <c r="E400" s="16">
        <f>LkUP!$U$50</f>
        <v>7.8896523189157505E-2</v>
      </c>
      <c r="F400" s="16">
        <f>IF('PV IN'!$D$7="Table",E400,D400)</f>
        <v>7.8896523189157505E-2</v>
      </c>
      <c r="G400" s="33">
        <f>('PV IN'!$E$25*'PV IN'!$E$18/12)*(1-(1-'PV IN'!$E$27)/(25*12))^C399</f>
        <v>117183.77698176783</v>
      </c>
      <c r="H400" s="33">
        <f>IF('PV IN'!$D$19="YES",G400*'PV IN'!$E$21,0)</f>
        <v>0</v>
      </c>
      <c r="I400" s="33">
        <f>IF('PV IN'!$D$19="YES",'PV IN'!$E$22*BattCalcs!W400,0)</f>
        <v>0</v>
      </c>
      <c r="J400" s="33">
        <f>IF('PV IN'!$D$19="YES",'PV IN'!$E$23*BattCalcs!Y400,0)</f>
        <v>0</v>
      </c>
      <c r="K400" s="33">
        <f>BattCalcs!AF400</f>
        <v>25811.765833333331</v>
      </c>
      <c r="L400" s="33">
        <f t="shared" si="97"/>
        <v>25811.765833333331</v>
      </c>
      <c r="M400" s="33">
        <f>IF('PV IN'!$F$4="PV Only",G400,G400-SUM(H400:J400,L400))</f>
        <v>117183.77698176783</v>
      </c>
      <c r="N400" s="2">
        <f>IF(C400&lt;='PV IN'!$I$12*12,'PV IN'!$E$12*G400/1000,0)</f>
        <v>0</v>
      </c>
      <c r="O400" s="2">
        <f>IF(AND(C400&gt;'PV IN'!$I$12*12,C400&lt;='PV IN'!$I$13*12+'PV IN'!$I$12*12),'PV IN'!$E$13*PVCalcs!G400/1000,0)</f>
        <v>0</v>
      </c>
      <c r="P400" s="2">
        <f>IF(AND(C400&gt;'PV IN'!$I$12*12+'PV IN'!$I$13*12,C400&lt;='PV IN'!$I$12*12+'PV IN'!$I$13*12+'PV IN'!$I$14*12),'PV IN'!$E$14*PVCalcs!G400/1000,0)</f>
        <v>0</v>
      </c>
      <c r="R400" s="10">
        <f>IF(AND('PV IN'!$D$35="YES",$C400&lt;='PV IN'!$E$35*12),-'PV IN'!$E$18*'PV IN'!$E$34/12,0)</f>
        <v>0</v>
      </c>
      <c r="S400" s="10">
        <f>IF(AND('PV IN'!$D$37="YES",$C400&lt;='PV IN'!$E$37*12),-'PV IN'!$E$18*'PV IN'!$E$36/12,0)</f>
        <v>0</v>
      </c>
      <c r="U400" s="2">
        <f t="shared" si="112"/>
        <v>9245.3925780351074</v>
      </c>
      <c r="V400" s="10">
        <f>PVLoan!M427</f>
        <v>0</v>
      </c>
      <c r="W400" s="2">
        <f>IF(C400='PV IN'!$I$40,IF('PV IN'!$G$40="Non-Taxable",'PV IN'!$F$40,0),0)+IF(C400='PV IN'!$I$41,IF('PV IN'!$G$41="Non-Taxable",'PV IN'!$F$41,0),0)</f>
        <v>0</v>
      </c>
      <c r="X400" s="10"/>
      <c r="Y400" s="10">
        <f>IF('PV IN'!$E$15="Non-Taxable",SUM(N400:P400),0)</f>
        <v>0</v>
      </c>
      <c r="Z400" s="10">
        <f>IF('PV IN'!$E$15="Taxable",SUM(N400:P400),0)</f>
        <v>0</v>
      </c>
      <c r="AA400" s="2">
        <f>IF(C400='PV IN'!$I$40,IF('PV IN'!$G$40="Taxable",'PV IN'!$F$40,0),0)+IF(C400='PV IN'!$I$41,IF('PV IN'!$G$41="Taxable",'PV IN'!$F$41,0),0)</f>
        <v>0</v>
      </c>
      <c r="AD400" s="10">
        <f>IF('PV IN'!$D$48="YES",-U400*'PV IN'!$E$8,0)</f>
        <v>0</v>
      </c>
      <c r="AE400" s="10">
        <f>IF('PV IN'!$N$10="Yes",-PVLoan!H428,-PVLoan!L428)</f>
        <v>0</v>
      </c>
      <c r="AF400" s="10">
        <f>IF('PV IN'!$N$10="Yes",-PVLoan!F428,0)</f>
        <v>0</v>
      </c>
      <c r="AG400" s="10">
        <f>IF(AND('PV IN'!$D$35="YES",$C400&lt;='PV IN'!$E$35*12),0,-'PV IN'!$E$18*'PV IN'!$E$34/12)</f>
        <v>-750</v>
      </c>
      <c r="AH400" s="10">
        <f>IF(AND('PV IN'!$D$37="YES",$C400&lt;='PV IN'!$E$37*12),0,-'PV IN'!$E$18*'PV IN'!$E$36/12)</f>
        <v>-625</v>
      </c>
      <c r="AI400" s="2">
        <f>IF(AND('PV IN'!$D$33="YES",PVCalcs!C400=ROUNDUP('PV IN'!$H$33*12,)),-'PV IN'!$E$33*'PV IN'!$E$18,0)</f>
        <v>0</v>
      </c>
      <c r="AK400" s="2">
        <f t="shared" si="110"/>
        <v>9245.3925780351074</v>
      </c>
      <c r="AL400" s="2">
        <f t="shared" si="98"/>
        <v>-1375</v>
      </c>
      <c r="AM400" s="2">
        <f t="shared" si="99"/>
        <v>7870.3925780351074</v>
      </c>
      <c r="AN400" s="43"/>
      <c r="AO400" s="2">
        <f t="shared" si="100"/>
        <v>0</v>
      </c>
      <c r="AP400" s="2">
        <f t="shared" si="101"/>
        <v>-1375</v>
      </c>
      <c r="AR400" s="2">
        <f t="shared" si="102"/>
        <v>-1375</v>
      </c>
      <c r="AS400" s="2">
        <f>-AR400*'PV IN'!$E$8</f>
        <v>288.75</v>
      </c>
      <c r="AT400" s="2">
        <f>IF('PV IN'!$F$4="Battery Only",0,AM400+AS400)</f>
        <v>8159.1425780351074</v>
      </c>
      <c r="AV400" s="10">
        <f t="shared" si="103"/>
        <v>2760787.1103204745</v>
      </c>
      <c r="AW400" s="2">
        <f>AT400/(1+('PV IN'!$G$9))^(C400)</f>
        <v>1630.7885480402331</v>
      </c>
      <c r="AX400" s="2" t="e">
        <f>IF(C400&lt;='PV IN'!$O$22*12,AW400+AX399,NA())</f>
        <v>#N/A</v>
      </c>
      <c r="AZ400" s="10">
        <f t="shared" si="104"/>
        <v>-1375</v>
      </c>
      <c r="BA400" s="10">
        <f t="shared" si="111"/>
        <v>0</v>
      </c>
      <c r="BB400" s="10">
        <f t="shared" si="105"/>
        <v>-1375</v>
      </c>
      <c r="BC400" s="10">
        <f t="shared" si="106"/>
        <v>0</v>
      </c>
      <c r="BD400" s="10">
        <f t="shared" si="107"/>
        <v>-1375</v>
      </c>
      <c r="BE400" s="2">
        <f t="shared" si="108"/>
        <v>0</v>
      </c>
      <c r="BF400" s="10">
        <f t="shared" si="109"/>
        <v>-1375</v>
      </c>
      <c r="BG400" s="2">
        <f>-BF400*'PV IN'!$E$8</f>
        <v>288.75</v>
      </c>
      <c r="BH400" s="2">
        <f>IF('PV IN'!$F$4="Battery Only",0,BB400+BG400)</f>
        <v>-1086.25</v>
      </c>
      <c r="BI400" s="2">
        <f>BH400/(1+('PV IN'!$G$9))^(C400)</f>
        <v>-217.11154614181333</v>
      </c>
    </row>
    <row r="401" spans="2:61" x14ac:dyDescent="0.25">
      <c r="C401">
        <v>397</v>
      </c>
      <c r="D401" s="16">
        <f>D400*(1+('PV IN'!$G$6/12))</f>
        <v>7.5999999999999998E-2</v>
      </c>
      <c r="E401" s="16">
        <f>LkUP!$U$50</f>
        <v>7.8896523189157505E-2</v>
      </c>
      <c r="F401" s="16">
        <f>IF('PV IN'!$D$7="Table",E401,D401)</f>
        <v>7.8896523189157505E-2</v>
      </c>
      <c r="G401" s="33">
        <f>('PV IN'!$E$25*'PV IN'!$E$18/12)*(1-(1-'PV IN'!$E$27)/(25*12))^C400</f>
        <v>117105.65446378</v>
      </c>
      <c r="H401" s="33">
        <f>IF('PV IN'!$D$19="YES",G401*'PV IN'!$E$21,0)</f>
        <v>0</v>
      </c>
      <c r="I401" s="33">
        <f>IF('PV IN'!$D$19="YES",'PV IN'!$E$22*BattCalcs!W401,0)</f>
        <v>0</v>
      </c>
      <c r="J401" s="33">
        <f>IF('PV IN'!$D$19="YES",'PV IN'!$E$23*BattCalcs!Y401,0)</f>
        <v>0</v>
      </c>
      <c r="K401" s="33">
        <f>BattCalcs!AF401</f>
        <v>25811.765833333331</v>
      </c>
      <c r="L401" s="33">
        <f t="shared" si="97"/>
        <v>25811.765833333331</v>
      </c>
      <c r="M401" s="33">
        <f>IF('PV IN'!$F$4="PV Only",G401,G401-SUM(H401:J401,L401))</f>
        <v>117105.65446378</v>
      </c>
      <c r="N401" s="2">
        <f>IF(C401&lt;='PV IN'!$I$12*12,'PV IN'!$E$12*G401/1000,0)</f>
        <v>0</v>
      </c>
      <c r="O401" s="2">
        <f>IF(AND(C401&gt;'PV IN'!$I$12*12,C401&lt;='PV IN'!$I$13*12+'PV IN'!$I$12*12),'PV IN'!$E$13*PVCalcs!G401/1000,0)</f>
        <v>0</v>
      </c>
      <c r="P401" s="2">
        <f>IF(AND(C401&gt;'PV IN'!$I$12*12+'PV IN'!$I$13*12,C401&lt;='PV IN'!$I$12*12+'PV IN'!$I$13*12+'PV IN'!$I$14*12),'PV IN'!$E$14*PVCalcs!G401/1000,0)</f>
        <v>0</v>
      </c>
      <c r="R401" s="10">
        <f>IF(AND('PV IN'!$D$35="YES",$C401&lt;='PV IN'!$E$35*12),-'PV IN'!$E$18*'PV IN'!$E$34/12,0)</f>
        <v>0</v>
      </c>
      <c r="S401" s="10">
        <f>IF(AND('PV IN'!$D$37="YES",$C401&lt;='PV IN'!$E$37*12),-'PV IN'!$E$18*'PV IN'!$E$36/12,0)</f>
        <v>0</v>
      </c>
      <c r="U401" s="2">
        <f t="shared" si="112"/>
        <v>9239.2289829830843</v>
      </c>
      <c r="V401" s="10">
        <f>PVLoan!M428</f>
        <v>0</v>
      </c>
      <c r="W401" s="2">
        <f>IF(C401='PV IN'!$I$40,IF('PV IN'!$G$40="Non-Taxable",'PV IN'!$F$40,0),0)+IF(C401='PV IN'!$I$41,IF('PV IN'!$G$41="Non-Taxable",'PV IN'!$F$41,0),0)</f>
        <v>0</v>
      </c>
      <c r="X401" s="10"/>
      <c r="Y401" s="10">
        <f>IF('PV IN'!$E$15="Non-Taxable",SUM(N401:P401),0)</f>
        <v>0</v>
      </c>
      <c r="Z401" s="10">
        <f>IF('PV IN'!$E$15="Taxable",SUM(N401:P401),0)</f>
        <v>0</v>
      </c>
      <c r="AA401" s="2">
        <f>IF(C401='PV IN'!$I$40,IF('PV IN'!$G$40="Taxable",'PV IN'!$F$40,0),0)+IF(C401='PV IN'!$I$41,IF('PV IN'!$G$41="Taxable",'PV IN'!$F$41,0),0)</f>
        <v>0</v>
      </c>
      <c r="AD401" s="10">
        <f>IF('PV IN'!$D$48="YES",-U401*'PV IN'!$E$8,0)</f>
        <v>0</v>
      </c>
      <c r="AE401" s="10">
        <f>IF('PV IN'!$N$10="Yes",-PVLoan!H429,-PVLoan!L429)</f>
        <v>0</v>
      </c>
      <c r="AF401" s="10">
        <f>IF('PV IN'!$N$10="Yes",-PVLoan!F429,0)</f>
        <v>0</v>
      </c>
      <c r="AG401" s="10">
        <f>IF(AND('PV IN'!$D$35="YES",$C401&lt;='PV IN'!$E$35*12),0,-'PV IN'!$E$18*'PV IN'!$E$34/12)</f>
        <v>-750</v>
      </c>
      <c r="AH401" s="10">
        <f>IF(AND('PV IN'!$D$37="YES",$C401&lt;='PV IN'!$E$37*12),0,-'PV IN'!$E$18*'PV IN'!$E$36/12)</f>
        <v>-625</v>
      </c>
      <c r="AI401" s="2">
        <f>IF(AND('PV IN'!$D$33="YES",PVCalcs!C401=ROUNDUP('PV IN'!$H$33*12,)),-'PV IN'!$E$33*'PV IN'!$E$18,0)</f>
        <v>0</v>
      </c>
      <c r="AK401" s="2">
        <f t="shared" si="110"/>
        <v>9239.2289829830843</v>
      </c>
      <c r="AL401" s="2">
        <f t="shared" si="98"/>
        <v>-1375</v>
      </c>
      <c r="AM401" s="2">
        <f t="shared" si="99"/>
        <v>7864.2289829830843</v>
      </c>
      <c r="AN401" s="43"/>
      <c r="AO401" s="2">
        <f t="shared" si="100"/>
        <v>0</v>
      </c>
      <c r="AP401" s="2">
        <f t="shared" si="101"/>
        <v>-1375</v>
      </c>
      <c r="AR401" s="2">
        <f t="shared" si="102"/>
        <v>-1375</v>
      </c>
      <c r="AS401" s="2">
        <f>-AR401*'PV IN'!$E$8</f>
        <v>288.75</v>
      </c>
      <c r="AT401" s="2">
        <f>IF('PV IN'!$F$4="Battery Only",0,AM401+AS401)</f>
        <v>8152.9789829830843</v>
      </c>
      <c r="AV401" s="10">
        <f t="shared" si="103"/>
        <v>2768940.0893034576</v>
      </c>
      <c r="AW401" s="2">
        <f>AT401/(1+('PV IN'!$G$9))^(C401)</f>
        <v>1622.9445377035117</v>
      </c>
      <c r="AX401" s="2" t="e">
        <f>IF(C401&lt;='PV IN'!$O$22*12,AW401+AX400,NA())</f>
        <v>#N/A</v>
      </c>
      <c r="AZ401" s="10">
        <f t="shared" si="104"/>
        <v>-1375</v>
      </c>
      <c r="BA401" s="10">
        <f t="shared" si="111"/>
        <v>0</v>
      </c>
      <c r="BB401" s="10">
        <f t="shared" si="105"/>
        <v>-1375</v>
      </c>
      <c r="BC401" s="10">
        <f t="shared" si="106"/>
        <v>0</v>
      </c>
      <c r="BD401" s="10">
        <f t="shared" si="107"/>
        <v>-1375</v>
      </c>
      <c r="BE401" s="2">
        <f t="shared" si="108"/>
        <v>0</v>
      </c>
      <c r="BF401" s="10">
        <f t="shared" si="109"/>
        <v>-1375</v>
      </c>
      <c r="BG401" s="2">
        <f>-BF401*'PV IN'!$E$8</f>
        <v>288.75</v>
      </c>
      <c r="BH401" s="2">
        <f>IF('PV IN'!$F$4="Battery Only",0,BB401+BG401)</f>
        <v>-1086.25</v>
      </c>
      <c r="BI401" s="2">
        <f>BH401/(1+('PV IN'!$G$9))^(C401)</f>
        <v>-216.23059592818984</v>
      </c>
    </row>
    <row r="402" spans="2:61" x14ac:dyDescent="0.25">
      <c r="C402">
        <v>398</v>
      </c>
      <c r="D402" s="16">
        <f>D401*(1+('PV IN'!$G$6/12))</f>
        <v>7.5999999999999998E-2</v>
      </c>
      <c r="E402" s="16">
        <f>LkUP!$U$50</f>
        <v>7.8896523189157505E-2</v>
      </c>
      <c r="F402" s="16">
        <f>IF('PV IN'!$D$7="Table",E402,D402)</f>
        <v>7.8896523189157505E-2</v>
      </c>
      <c r="G402" s="33">
        <f>('PV IN'!$E$25*'PV IN'!$E$18/12)*(1-(1-'PV IN'!$E$27)/(25*12))^C401</f>
        <v>117027.58402747079</v>
      </c>
      <c r="H402" s="33">
        <f>IF('PV IN'!$D$19="YES",G402*'PV IN'!$E$21,0)</f>
        <v>0</v>
      </c>
      <c r="I402" s="33">
        <f>IF('PV IN'!$D$19="YES",'PV IN'!$E$22*BattCalcs!W402,0)</f>
        <v>0</v>
      </c>
      <c r="J402" s="33">
        <f>IF('PV IN'!$D$19="YES",'PV IN'!$E$23*BattCalcs!Y402,0)</f>
        <v>0</v>
      </c>
      <c r="K402" s="33">
        <f>BattCalcs!AF402</f>
        <v>25811.765833333331</v>
      </c>
      <c r="L402" s="33">
        <f t="shared" si="97"/>
        <v>25811.765833333331</v>
      </c>
      <c r="M402" s="33">
        <f>IF('PV IN'!$F$4="PV Only",G402,G402-SUM(H402:J402,L402))</f>
        <v>117027.58402747079</v>
      </c>
      <c r="N402" s="2">
        <f>IF(C402&lt;='PV IN'!$I$12*12,'PV IN'!$E$12*G402/1000,0)</f>
        <v>0</v>
      </c>
      <c r="O402" s="2">
        <f>IF(AND(C402&gt;'PV IN'!$I$12*12,C402&lt;='PV IN'!$I$13*12+'PV IN'!$I$12*12),'PV IN'!$E$13*PVCalcs!G402/1000,0)</f>
        <v>0</v>
      </c>
      <c r="P402" s="2">
        <f>IF(AND(C402&gt;'PV IN'!$I$12*12+'PV IN'!$I$13*12,C402&lt;='PV IN'!$I$12*12+'PV IN'!$I$13*12+'PV IN'!$I$14*12),'PV IN'!$E$14*PVCalcs!G402/1000,0)</f>
        <v>0</v>
      </c>
      <c r="R402" s="10">
        <f>IF(AND('PV IN'!$D$35="YES",$C402&lt;='PV IN'!$E$35*12),-'PV IN'!$E$18*'PV IN'!$E$34/12,0)</f>
        <v>0</v>
      </c>
      <c r="S402" s="10">
        <f>IF(AND('PV IN'!$D$37="YES",$C402&lt;='PV IN'!$E$37*12),-'PV IN'!$E$18*'PV IN'!$E$36/12,0)</f>
        <v>0</v>
      </c>
      <c r="U402" s="2">
        <f t="shared" si="112"/>
        <v>9233.069496994427</v>
      </c>
      <c r="V402" s="10">
        <f>PVLoan!M429</f>
        <v>0</v>
      </c>
      <c r="W402" s="2">
        <f>IF(C402='PV IN'!$I$40,IF('PV IN'!$G$40="Non-Taxable",'PV IN'!$F$40,0),0)+IF(C402='PV IN'!$I$41,IF('PV IN'!$G$41="Non-Taxable",'PV IN'!$F$41,0),0)</f>
        <v>0</v>
      </c>
      <c r="X402" s="10"/>
      <c r="Y402" s="10">
        <f>IF('PV IN'!$E$15="Non-Taxable",SUM(N402:P402),0)</f>
        <v>0</v>
      </c>
      <c r="Z402" s="10">
        <f>IF('PV IN'!$E$15="Taxable",SUM(N402:P402),0)</f>
        <v>0</v>
      </c>
      <c r="AA402" s="2">
        <f>IF(C402='PV IN'!$I$40,IF('PV IN'!$G$40="Taxable",'PV IN'!$F$40,0),0)+IF(C402='PV IN'!$I$41,IF('PV IN'!$G$41="Taxable",'PV IN'!$F$41,0),0)</f>
        <v>0</v>
      </c>
      <c r="AD402" s="10">
        <f>IF('PV IN'!$D$48="YES",-U402*'PV IN'!$E$8,0)</f>
        <v>0</v>
      </c>
      <c r="AE402" s="10">
        <f>IF('PV IN'!$N$10="Yes",-PVLoan!H430,-PVLoan!L430)</f>
        <v>0</v>
      </c>
      <c r="AF402" s="10">
        <f>IF('PV IN'!$N$10="Yes",-PVLoan!F430,0)</f>
        <v>0</v>
      </c>
      <c r="AG402" s="10">
        <f>IF(AND('PV IN'!$D$35="YES",$C402&lt;='PV IN'!$E$35*12),0,-'PV IN'!$E$18*'PV IN'!$E$34/12)</f>
        <v>-750</v>
      </c>
      <c r="AH402" s="10">
        <f>IF(AND('PV IN'!$D$37="YES",$C402&lt;='PV IN'!$E$37*12),0,-'PV IN'!$E$18*'PV IN'!$E$36/12)</f>
        <v>-625</v>
      </c>
      <c r="AI402" s="2">
        <f>IF(AND('PV IN'!$D$33="YES",PVCalcs!C402=ROUNDUP('PV IN'!$H$33*12,)),-'PV IN'!$E$33*'PV IN'!$E$18,0)</f>
        <v>0</v>
      </c>
      <c r="AK402" s="2">
        <f t="shared" si="110"/>
        <v>9233.069496994427</v>
      </c>
      <c r="AL402" s="2">
        <f t="shared" si="98"/>
        <v>-1375</v>
      </c>
      <c r="AM402" s="2">
        <f t="shared" si="99"/>
        <v>7858.069496994427</v>
      </c>
      <c r="AN402" s="43"/>
      <c r="AO402" s="2">
        <f t="shared" si="100"/>
        <v>0</v>
      </c>
      <c r="AP402" s="2">
        <f t="shared" si="101"/>
        <v>-1375</v>
      </c>
      <c r="AR402" s="2">
        <f t="shared" si="102"/>
        <v>-1375</v>
      </c>
      <c r="AS402" s="2">
        <f>-AR402*'PV IN'!$E$8</f>
        <v>288.75</v>
      </c>
      <c r="AT402" s="2">
        <f>IF('PV IN'!$F$4="Battery Only",0,AM402+AS402)</f>
        <v>8146.819496994427</v>
      </c>
      <c r="AV402" s="10">
        <f t="shared" si="103"/>
        <v>2777086.908800452</v>
      </c>
      <c r="AW402" s="2">
        <f>AT402/(1+('PV IN'!$G$9))^(C402)</f>
        <v>1615.13814820428</v>
      </c>
      <c r="AX402" s="2" t="e">
        <f>IF(C402&lt;='PV IN'!$O$22*12,AW402+AX401,NA())</f>
        <v>#N/A</v>
      </c>
      <c r="AZ402" s="10">
        <f t="shared" si="104"/>
        <v>-1375</v>
      </c>
      <c r="BA402" s="10">
        <f t="shared" si="111"/>
        <v>0</v>
      </c>
      <c r="BB402" s="10">
        <f t="shared" si="105"/>
        <v>-1375</v>
      </c>
      <c r="BC402" s="10">
        <f t="shared" si="106"/>
        <v>0</v>
      </c>
      <c r="BD402" s="10">
        <f t="shared" si="107"/>
        <v>-1375</v>
      </c>
      <c r="BE402" s="2">
        <f t="shared" si="108"/>
        <v>0</v>
      </c>
      <c r="BF402" s="10">
        <f t="shared" si="109"/>
        <v>-1375</v>
      </c>
      <c r="BG402" s="2">
        <f>-BF402*'PV IN'!$E$8</f>
        <v>288.75</v>
      </c>
      <c r="BH402" s="2">
        <f>IF('PV IN'!$F$4="Battery Only",0,BB402+BG402)</f>
        <v>-1086.25</v>
      </c>
      <c r="BI402" s="2">
        <f>BH402/(1+('PV IN'!$G$9))^(C402)</f>
        <v>-215.35322025167721</v>
      </c>
    </row>
    <row r="403" spans="2:61" x14ac:dyDescent="0.25">
      <c r="C403">
        <v>399</v>
      </c>
      <c r="D403" s="16">
        <f>D402*(1+('PV IN'!$G$6/12))</f>
        <v>7.5999999999999998E-2</v>
      </c>
      <c r="E403" s="16">
        <f>LkUP!$U$50</f>
        <v>7.8896523189157505E-2</v>
      </c>
      <c r="F403" s="16">
        <f>IF('PV IN'!$D$7="Table",E403,D403)</f>
        <v>7.8896523189157505E-2</v>
      </c>
      <c r="G403" s="33">
        <f>('PV IN'!$E$25*'PV IN'!$E$18/12)*(1-(1-'PV IN'!$E$27)/(25*12))^C402</f>
        <v>116949.56563811915</v>
      </c>
      <c r="H403" s="33">
        <f>IF('PV IN'!$D$19="YES",G403*'PV IN'!$E$21,0)</f>
        <v>0</v>
      </c>
      <c r="I403" s="33">
        <f>IF('PV IN'!$D$19="YES",'PV IN'!$E$22*BattCalcs!W403,0)</f>
        <v>0</v>
      </c>
      <c r="J403" s="33">
        <f>IF('PV IN'!$D$19="YES",'PV IN'!$E$23*BattCalcs!Y403,0)</f>
        <v>0</v>
      </c>
      <c r="K403" s="33">
        <f>BattCalcs!AF403</f>
        <v>25811.765833333331</v>
      </c>
      <c r="L403" s="33">
        <f t="shared" si="97"/>
        <v>25811.765833333331</v>
      </c>
      <c r="M403" s="33">
        <f>IF('PV IN'!$F$4="PV Only",G403,G403-SUM(H403:J403,L403))</f>
        <v>116949.56563811915</v>
      </c>
      <c r="N403" s="2">
        <f>IF(C403&lt;='PV IN'!$I$12*12,'PV IN'!$E$12*G403/1000,0)</f>
        <v>0</v>
      </c>
      <c r="O403" s="2">
        <f>IF(AND(C403&gt;'PV IN'!$I$12*12,C403&lt;='PV IN'!$I$13*12+'PV IN'!$I$12*12),'PV IN'!$E$13*PVCalcs!G403/1000,0)</f>
        <v>0</v>
      </c>
      <c r="P403" s="2">
        <f>IF(AND(C403&gt;'PV IN'!$I$12*12+'PV IN'!$I$13*12,C403&lt;='PV IN'!$I$12*12+'PV IN'!$I$13*12+'PV IN'!$I$14*12),'PV IN'!$E$14*PVCalcs!G403/1000,0)</f>
        <v>0</v>
      </c>
      <c r="R403" s="10">
        <f>IF(AND('PV IN'!$D$35="YES",$C403&lt;='PV IN'!$E$35*12),-'PV IN'!$E$18*'PV IN'!$E$34/12,0)</f>
        <v>0</v>
      </c>
      <c r="S403" s="10">
        <f>IF(AND('PV IN'!$D$37="YES",$C403&lt;='PV IN'!$E$37*12),-'PV IN'!$E$18*'PV IN'!$E$36/12,0)</f>
        <v>0</v>
      </c>
      <c r="U403" s="2">
        <f t="shared" si="112"/>
        <v>9226.9141173297648</v>
      </c>
      <c r="V403" s="10">
        <f>PVLoan!M430</f>
        <v>0</v>
      </c>
      <c r="W403" s="2">
        <f>IF(C403='PV IN'!$I$40,IF('PV IN'!$G$40="Non-Taxable",'PV IN'!$F$40,0),0)+IF(C403='PV IN'!$I$41,IF('PV IN'!$G$41="Non-Taxable",'PV IN'!$F$41,0),0)</f>
        <v>0</v>
      </c>
      <c r="X403" s="10"/>
      <c r="Y403" s="10">
        <f>IF('PV IN'!$E$15="Non-Taxable",SUM(N403:P403),0)</f>
        <v>0</v>
      </c>
      <c r="Z403" s="10">
        <f>IF('PV IN'!$E$15="Taxable",SUM(N403:P403),0)</f>
        <v>0</v>
      </c>
      <c r="AA403" s="2">
        <f>IF(C403='PV IN'!$I$40,IF('PV IN'!$G$40="Taxable",'PV IN'!$F$40,0),0)+IF(C403='PV IN'!$I$41,IF('PV IN'!$G$41="Taxable",'PV IN'!$F$41,0),0)</f>
        <v>0</v>
      </c>
      <c r="AD403" s="10">
        <f>IF('PV IN'!$D$48="YES",-U403*'PV IN'!$E$8,0)</f>
        <v>0</v>
      </c>
      <c r="AE403" s="10">
        <f>IF('PV IN'!$N$10="Yes",-PVLoan!H431,-PVLoan!L431)</f>
        <v>0</v>
      </c>
      <c r="AF403" s="10">
        <f>IF('PV IN'!$N$10="Yes",-PVLoan!F431,0)</f>
        <v>0</v>
      </c>
      <c r="AG403" s="10">
        <f>IF(AND('PV IN'!$D$35="YES",$C403&lt;='PV IN'!$E$35*12),0,-'PV IN'!$E$18*'PV IN'!$E$34/12)</f>
        <v>-750</v>
      </c>
      <c r="AH403" s="10">
        <f>IF(AND('PV IN'!$D$37="YES",$C403&lt;='PV IN'!$E$37*12),0,-'PV IN'!$E$18*'PV IN'!$E$36/12)</f>
        <v>-625</v>
      </c>
      <c r="AI403" s="2">
        <f>IF(AND('PV IN'!$D$33="YES",PVCalcs!C403=ROUNDUP('PV IN'!$H$33*12,)),-'PV IN'!$E$33*'PV IN'!$E$18,0)</f>
        <v>0</v>
      </c>
      <c r="AK403" s="2">
        <f t="shared" si="110"/>
        <v>9226.9141173297648</v>
      </c>
      <c r="AL403" s="2">
        <f t="shared" si="98"/>
        <v>-1375</v>
      </c>
      <c r="AM403" s="2">
        <f t="shared" si="99"/>
        <v>7851.9141173297648</v>
      </c>
      <c r="AN403" s="43"/>
      <c r="AO403" s="2">
        <f t="shared" si="100"/>
        <v>0</v>
      </c>
      <c r="AP403" s="2">
        <f t="shared" si="101"/>
        <v>-1375</v>
      </c>
      <c r="AR403" s="2">
        <f t="shared" si="102"/>
        <v>-1375</v>
      </c>
      <c r="AS403" s="2">
        <f>-AR403*'PV IN'!$E$8</f>
        <v>288.75</v>
      </c>
      <c r="AT403" s="2">
        <f>IF('PV IN'!$F$4="Battery Only",0,AM403+AS403)</f>
        <v>8140.6641173297648</v>
      </c>
      <c r="AV403" s="10">
        <f t="shared" si="103"/>
        <v>2785227.5729177818</v>
      </c>
      <c r="AW403" s="2">
        <f>AT403/(1+('PV IN'!$G$9))^(C403)</f>
        <v>1607.3691995403583</v>
      </c>
      <c r="AX403" s="2" t="e">
        <f>IF(C403&lt;='PV IN'!$O$22*12,AW403+AX402,NA())</f>
        <v>#N/A</v>
      </c>
      <c r="AZ403" s="10">
        <f t="shared" si="104"/>
        <v>-1375</v>
      </c>
      <c r="BA403" s="10">
        <f t="shared" si="111"/>
        <v>0</v>
      </c>
      <c r="BB403" s="10">
        <f t="shared" si="105"/>
        <v>-1375</v>
      </c>
      <c r="BC403" s="10">
        <f t="shared" si="106"/>
        <v>0</v>
      </c>
      <c r="BD403" s="10">
        <f t="shared" si="107"/>
        <v>-1375</v>
      </c>
      <c r="BE403" s="2">
        <f t="shared" si="108"/>
        <v>0</v>
      </c>
      <c r="BF403" s="10">
        <f t="shared" si="109"/>
        <v>-1375</v>
      </c>
      <c r="BG403" s="2">
        <f>-BF403*'PV IN'!$E$8</f>
        <v>288.75</v>
      </c>
      <c r="BH403" s="2">
        <f>IF('PV IN'!$F$4="Battery Only",0,BB403+BG403)</f>
        <v>-1086.25</v>
      </c>
      <c r="BI403" s="2">
        <f>BH403/(1+('PV IN'!$G$9))^(C403)</f>
        <v>-214.47940460825998</v>
      </c>
    </row>
    <row r="404" spans="2:61" x14ac:dyDescent="0.25">
      <c r="C404">
        <v>400</v>
      </c>
      <c r="D404" s="16">
        <f>D403*(1+('PV IN'!$G$6/12))</f>
        <v>7.5999999999999998E-2</v>
      </c>
      <c r="E404" s="16">
        <f>LkUP!$U$50</f>
        <v>7.8896523189157505E-2</v>
      </c>
      <c r="F404" s="16">
        <f>IF('PV IN'!$D$7="Table",E404,D404)</f>
        <v>7.8896523189157505E-2</v>
      </c>
      <c r="G404" s="33">
        <f>('PV IN'!$E$25*'PV IN'!$E$18/12)*(1-(1-'PV IN'!$E$27)/(25*12))^C403</f>
        <v>116871.59926102708</v>
      </c>
      <c r="H404" s="33">
        <f>IF('PV IN'!$D$19="YES",G404*'PV IN'!$E$21,0)</f>
        <v>0</v>
      </c>
      <c r="I404" s="33">
        <f>IF('PV IN'!$D$19="YES",'PV IN'!$E$22*BattCalcs!W404,0)</f>
        <v>0</v>
      </c>
      <c r="J404" s="33">
        <f>IF('PV IN'!$D$19="YES",'PV IN'!$E$23*BattCalcs!Y404,0)</f>
        <v>0</v>
      </c>
      <c r="K404" s="33">
        <f>BattCalcs!AF404</f>
        <v>25811.765833333331</v>
      </c>
      <c r="L404" s="33">
        <f t="shared" si="97"/>
        <v>25811.765833333331</v>
      </c>
      <c r="M404" s="33">
        <f>IF('PV IN'!$F$4="PV Only",G404,G404-SUM(H404:J404,L404))</f>
        <v>116871.59926102708</v>
      </c>
      <c r="N404" s="2">
        <f>IF(C404&lt;='PV IN'!$I$12*12,'PV IN'!$E$12*G404/1000,0)</f>
        <v>0</v>
      </c>
      <c r="O404" s="2">
        <f>IF(AND(C404&gt;'PV IN'!$I$12*12,C404&lt;='PV IN'!$I$13*12+'PV IN'!$I$12*12),'PV IN'!$E$13*PVCalcs!G404/1000,0)</f>
        <v>0</v>
      </c>
      <c r="P404" s="2">
        <f>IF(AND(C404&gt;'PV IN'!$I$12*12+'PV IN'!$I$13*12,C404&lt;='PV IN'!$I$12*12+'PV IN'!$I$13*12+'PV IN'!$I$14*12),'PV IN'!$E$14*PVCalcs!G404/1000,0)</f>
        <v>0</v>
      </c>
      <c r="R404" s="10">
        <f>IF(AND('PV IN'!$D$35="YES",$C404&lt;='PV IN'!$E$35*12),-'PV IN'!$E$18*'PV IN'!$E$34/12,0)</f>
        <v>0</v>
      </c>
      <c r="S404" s="10">
        <f>IF(AND('PV IN'!$D$37="YES",$C404&lt;='PV IN'!$E$37*12),-'PV IN'!$E$18*'PV IN'!$E$36/12,0)</f>
        <v>0</v>
      </c>
      <c r="U404" s="2">
        <f t="shared" si="112"/>
        <v>9220.762841251546</v>
      </c>
      <c r="V404" s="10">
        <f>PVLoan!M431</f>
        <v>0</v>
      </c>
      <c r="W404" s="2">
        <f>IF(C404='PV IN'!$I$40,IF('PV IN'!$G$40="Non-Taxable",'PV IN'!$F$40,0),0)+IF(C404='PV IN'!$I$41,IF('PV IN'!$G$41="Non-Taxable",'PV IN'!$F$41,0),0)</f>
        <v>0</v>
      </c>
      <c r="X404" s="10"/>
      <c r="Y404" s="10">
        <f>IF('PV IN'!$E$15="Non-Taxable",SUM(N404:P404),0)</f>
        <v>0</v>
      </c>
      <c r="Z404" s="10">
        <f>IF('PV IN'!$E$15="Taxable",SUM(N404:P404),0)</f>
        <v>0</v>
      </c>
      <c r="AA404" s="2">
        <f>IF(C404='PV IN'!$I$40,IF('PV IN'!$G$40="Taxable",'PV IN'!$F$40,0),0)+IF(C404='PV IN'!$I$41,IF('PV IN'!$G$41="Taxable",'PV IN'!$F$41,0),0)</f>
        <v>0</v>
      </c>
      <c r="AD404" s="10">
        <f>IF('PV IN'!$D$48="YES",-U404*'PV IN'!$E$8,0)</f>
        <v>0</v>
      </c>
      <c r="AE404" s="10">
        <f>IF('PV IN'!$N$10="Yes",-PVLoan!H432,-PVLoan!L432)</f>
        <v>0</v>
      </c>
      <c r="AF404" s="10">
        <f>IF('PV IN'!$N$10="Yes",-PVLoan!F432,0)</f>
        <v>0</v>
      </c>
      <c r="AG404" s="10">
        <f>IF(AND('PV IN'!$D$35="YES",$C404&lt;='PV IN'!$E$35*12),0,-'PV IN'!$E$18*'PV IN'!$E$34/12)</f>
        <v>-750</v>
      </c>
      <c r="AH404" s="10">
        <f>IF(AND('PV IN'!$D$37="YES",$C404&lt;='PV IN'!$E$37*12),0,-'PV IN'!$E$18*'PV IN'!$E$36/12)</f>
        <v>-625</v>
      </c>
      <c r="AI404" s="2">
        <f>IF(AND('PV IN'!$D$33="YES",PVCalcs!C404=ROUNDUP('PV IN'!$H$33*12,)),-'PV IN'!$E$33*'PV IN'!$E$18,0)</f>
        <v>0</v>
      </c>
      <c r="AK404" s="2">
        <f t="shared" si="110"/>
        <v>9220.762841251546</v>
      </c>
      <c r="AL404" s="2">
        <f t="shared" si="98"/>
        <v>-1375</v>
      </c>
      <c r="AM404" s="2">
        <f t="shared" si="99"/>
        <v>7845.762841251546</v>
      </c>
      <c r="AN404" s="43"/>
      <c r="AO404" s="2">
        <f t="shared" si="100"/>
        <v>0</v>
      </c>
      <c r="AP404" s="2">
        <f t="shared" si="101"/>
        <v>-1375</v>
      </c>
      <c r="AR404" s="2">
        <f t="shared" si="102"/>
        <v>-1375</v>
      </c>
      <c r="AS404" s="2">
        <f>-AR404*'PV IN'!$E$8</f>
        <v>288.75</v>
      </c>
      <c r="AT404" s="2">
        <f>IF('PV IN'!$F$4="Battery Only",0,AM404+AS404)</f>
        <v>8134.512841251546</v>
      </c>
      <c r="AV404" s="10">
        <f t="shared" si="103"/>
        <v>2793362.0857590334</v>
      </c>
      <c r="AW404" s="2">
        <f>AT404/(1+('PV IN'!$G$9))^(C404)</f>
        <v>1599.6375125690856</v>
      </c>
      <c r="AX404" s="2" t="e">
        <f>IF(C404&lt;='PV IN'!$O$22*12,AW404+AX403,NA())</f>
        <v>#N/A</v>
      </c>
      <c r="AZ404" s="10">
        <f t="shared" si="104"/>
        <v>-1375</v>
      </c>
      <c r="BA404" s="10">
        <f t="shared" si="111"/>
        <v>0</v>
      </c>
      <c r="BB404" s="10">
        <f t="shared" si="105"/>
        <v>-1375</v>
      </c>
      <c r="BC404" s="10">
        <f t="shared" si="106"/>
        <v>0</v>
      </c>
      <c r="BD404" s="10">
        <f t="shared" si="107"/>
        <v>-1375</v>
      </c>
      <c r="BE404" s="2">
        <f t="shared" si="108"/>
        <v>0</v>
      </c>
      <c r="BF404" s="10">
        <f t="shared" si="109"/>
        <v>-1375</v>
      </c>
      <c r="BG404" s="2">
        <f>-BF404*'PV IN'!$E$8</f>
        <v>288.75</v>
      </c>
      <c r="BH404" s="2">
        <f>IF('PV IN'!$F$4="Battery Only",0,BB404+BG404)</f>
        <v>-1086.25</v>
      </c>
      <c r="BI404" s="2">
        <f>BH404/(1+('PV IN'!$G$9))^(C404)</f>
        <v>-213.60913455277398</v>
      </c>
    </row>
    <row r="405" spans="2:61" x14ac:dyDescent="0.25">
      <c r="C405">
        <v>401</v>
      </c>
      <c r="D405" s="16">
        <f>D404*(1+('PV IN'!$G$6/12))</f>
        <v>7.5999999999999998E-2</v>
      </c>
      <c r="E405" s="16">
        <f>LkUP!$U$50</f>
        <v>7.8896523189157505E-2</v>
      </c>
      <c r="F405" s="16">
        <f>IF('PV IN'!$D$7="Table",E405,D405)</f>
        <v>7.8896523189157505E-2</v>
      </c>
      <c r="G405" s="33">
        <f>('PV IN'!$E$25*'PV IN'!$E$18/12)*(1-(1-'PV IN'!$E$27)/(25*12))^C404</f>
        <v>116793.68486151971</v>
      </c>
      <c r="H405" s="33">
        <f>IF('PV IN'!$D$19="YES",G405*'PV IN'!$E$21,0)</f>
        <v>0</v>
      </c>
      <c r="I405" s="33">
        <f>IF('PV IN'!$D$19="YES",'PV IN'!$E$22*BattCalcs!W405,0)</f>
        <v>0</v>
      </c>
      <c r="J405" s="33">
        <f>IF('PV IN'!$D$19="YES",'PV IN'!$E$23*BattCalcs!Y405,0)</f>
        <v>0</v>
      </c>
      <c r="K405" s="33">
        <f>BattCalcs!AF405</f>
        <v>25811.765833333331</v>
      </c>
      <c r="L405" s="33">
        <f t="shared" si="97"/>
        <v>25811.765833333331</v>
      </c>
      <c r="M405" s="33">
        <f>IF('PV IN'!$F$4="PV Only",G405,G405-SUM(H405:J405,L405))</f>
        <v>116793.68486151971</v>
      </c>
      <c r="N405" s="2">
        <f>IF(C405&lt;='PV IN'!$I$12*12,'PV IN'!$E$12*G405/1000,0)</f>
        <v>0</v>
      </c>
      <c r="O405" s="2">
        <f>IF(AND(C405&gt;'PV IN'!$I$12*12,C405&lt;='PV IN'!$I$13*12+'PV IN'!$I$12*12),'PV IN'!$E$13*PVCalcs!G405/1000,0)</f>
        <v>0</v>
      </c>
      <c r="P405" s="2">
        <f>IF(AND(C405&gt;'PV IN'!$I$12*12+'PV IN'!$I$13*12,C405&lt;='PV IN'!$I$12*12+'PV IN'!$I$13*12+'PV IN'!$I$14*12),'PV IN'!$E$14*PVCalcs!G405/1000,0)</f>
        <v>0</v>
      </c>
      <c r="R405" s="10">
        <f>IF(AND('PV IN'!$D$35="YES",$C405&lt;='PV IN'!$E$35*12),-'PV IN'!$E$18*'PV IN'!$E$34/12,0)</f>
        <v>0</v>
      </c>
      <c r="S405" s="10">
        <f>IF(AND('PV IN'!$D$37="YES",$C405&lt;='PV IN'!$E$37*12),-'PV IN'!$E$18*'PV IN'!$E$36/12,0)</f>
        <v>0</v>
      </c>
      <c r="U405" s="2">
        <f t="shared" si="112"/>
        <v>9214.6156660240431</v>
      </c>
      <c r="V405" s="10">
        <f>PVLoan!M432</f>
        <v>0</v>
      </c>
      <c r="W405" s="2">
        <f>IF(C405='PV IN'!$I$40,IF('PV IN'!$G$40="Non-Taxable",'PV IN'!$F$40,0),0)+IF(C405='PV IN'!$I$41,IF('PV IN'!$G$41="Non-Taxable",'PV IN'!$F$41,0),0)</f>
        <v>0</v>
      </c>
      <c r="X405" s="10"/>
      <c r="Y405" s="10">
        <f>IF('PV IN'!$E$15="Non-Taxable",SUM(N405:P405),0)</f>
        <v>0</v>
      </c>
      <c r="Z405" s="10">
        <f>IF('PV IN'!$E$15="Taxable",SUM(N405:P405),0)</f>
        <v>0</v>
      </c>
      <c r="AA405" s="2">
        <f>IF(C405='PV IN'!$I$40,IF('PV IN'!$G$40="Taxable",'PV IN'!$F$40,0),0)+IF(C405='PV IN'!$I$41,IF('PV IN'!$G$41="Taxable",'PV IN'!$F$41,0),0)</f>
        <v>0</v>
      </c>
      <c r="AD405" s="10">
        <f>IF('PV IN'!$D$48="YES",-U405*'PV IN'!$E$8,0)</f>
        <v>0</v>
      </c>
      <c r="AE405" s="10">
        <f>IF('PV IN'!$N$10="Yes",-PVLoan!H433,-PVLoan!L433)</f>
        <v>0</v>
      </c>
      <c r="AF405" s="10">
        <f>IF('PV IN'!$N$10="Yes",-PVLoan!F433,0)</f>
        <v>0</v>
      </c>
      <c r="AG405" s="10">
        <f>IF(AND('PV IN'!$D$35="YES",$C405&lt;='PV IN'!$E$35*12),0,-'PV IN'!$E$18*'PV IN'!$E$34/12)</f>
        <v>-750</v>
      </c>
      <c r="AH405" s="10">
        <f>IF(AND('PV IN'!$D$37="YES",$C405&lt;='PV IN'!$E$37*12),0,-'PV IN'!$E$18*'PV IN'!$E$36/12)</f>
        <v>-625</v>
      </c>
      <c r="AI405" s="2">
        <f>IF(AND('PV IN'!$D$33="YES",PVCalcs!C405=ROUNDUP('PV IN'!$H$33*12,)),-'PV IN'!$E$33*'PV IN'!$E$18,0)</f>
        <v>0</v>
      </c>
      <c r="AK405" s="2">
        <f t="shared" si="110"/>
        <v>9214.6156660240431</v>
      </c>
      <c r="AL405" s="2">
        <f t="shared" si="98"/>
        <v>-1375</v>
      </c>
      <c r="AM405" s="2">
        <f t="shared" si="99"/>
        <v>7839.6156660240431</v>
      </c>
      <c r="AN405" s="43"/>
      <c r="AO405" s="2">
        <f t="shared" si="100"/>
        <v>0</v>
      </c>
      <c r="AP405" s="2">
        <f t="shared" si="101"/>
        <v>-1375</v>
      </c>
      <c r="AR405" s="2">
        <f t="shared" si="102"/>
        <v>-1375</v>
      </c>
      <c r="AS405" s="2">
        <f>-AR405*'PV IN'!$E$8</f>
        <v>288.75</v>
      </c>
      <c r="AT405" s="2">
        <f>IF('PV IN'!$F$4="Battery Only",0,AM405+AS405)</f>
        <v>8128.3656660240431</v>
      </c>
      <c r="AV405" s="10">
        <f t="shared" si="103"/>
        <v>2801490.4514250574</v>
      </c>
      <c r="AW405" s="2">
        <f>AT405/(1+('PV IN'!$G$9))^(C405)</f>
        <v>1591.9429090032236</v>
      </c>
      <c r="AX405" s="2" t="e">
        <f>IF(C405&lt;='PV IN'!$O$22*12,AW405+AX404,NA())</f>
        <v>#N/A</v>
      </c>
      <c r="AZ405" s="10">
        <f t="shared" si="104"/>
        <v>-1375</v>
      </c>
      <c r="BA405" s="10">
        <f t="shared" si="111"/>
        <v>0</v>
      </c>
      <c r="BB405" s="10">
        <f t="shared" si="105"/>
        <v>-1375</v>
      </c>
      <c r="BC405" s="10">
        <f t="shared" si="106"/>
        <v>0</v>
      </c>
      <c r="BD405" s="10">
        <f t="shared" si="107"/>
        <v>-1375</v>
      </c>
      <c r="BE405" s="2">
        <f t="shared" si="108"/>
        <v>0</v>
      </c>
      <c r="BF405" s="10">
        <f t="shared" si="109"/>
        <v>-1375</v>
      </c>
      <c r="BG405" s="2">
        <f>-BF405*'PV IN'!$E$8</f>
        <v>288.75</v>
      </c>
      <c r="BH405" s="2">
        <f>IF('PV IN'!$F$4="Battery Only",0,BB405+BG405)</f>
        <v>-1086.25</v>
      </c>
      <c r="BI405" s="2">
        <f>BH405/(1+('PV IN'!$G$9))^(C405)</f>
        <v>-212.74239569866771</v>
      </c>
    </row>
    <row r="406" spans="2:61" x14ac:dyDescent="0.25">
      <c r="C406">
        <v>402</v>
      </c>
      <c r="D406" s="16">
        <f>D405*(1+('PV IN'!$G$6/12))</f>
        <v>7.5999999999999998E-2</v>
      </c>
      <c r="E406" s="16">
        <f>LkUP!$U$50</f>
        <v>7.8896523189157505E-2</v>
      </c>
      <c r="F406" s="16">
        <f>IF('PV IN'!$D$7="Table",E406,D406)</f>
        <v>7.8896523189157505E-2</v>
      </c>
      <c r="G406" s="33">
        <f>('PV IN'!$E$25*'PV IN'!$E$18/12)*(1-(1-'PV IN'!$E$27)/(25*12))^C405</f>
        <v>116715.82240494536</v>
      </c>
      <c r="H406" s="33">
        <f>IF('PV IN'!$D$19="YES",G406*'PV IN'!$E$21,0)</f>
        <v>0</v>
      </c>
      <c r="I406" s="33">
        <f>IF('PV IN'!$D$19="YES",'PV IN'!$E$22*BattCalcs!W406,0)</f>
        <v>0</v>
      </c>
      <c r="J406" s="33">
        <f>IF('PV IN'!$D$19="YES",'PV IN'!$E$23*BattCalcs!Y406,0)</f>
        <v>0</v>
      </c>
      <c r="K406" s="33">
        <f>BattCalcs!AF406</f>
        <v>25811.765833333331</v>
      </c>
      <c r="L406" s="33">
        <f t="shared" si="97"/>
        <v>25811.765833333331</v>
      </c>
      <c r="M406" s="33">
        <f>IF('PV IN'!$F$4="PV Only",G406,G406-SUM(H406:J406,L406))</f>
        <v>116715.82240494536</v>
      </c>
      <c r="N406" s="2">
        <f>IF(C406&lt;='PV IN'!$I$12*12,'PV IN'!$E$12*G406/1000,0)</f>
        <v>0</v>
      </c>
      <c r="O406" s="2">
        <f>IF(AND(C406&gt;'PV IN'!$I$12*12,C406&lt;='PV IN'!$I$13*12+'PV IN'!$I$12*12),'PV IN'!$E$13*PVCalcs!G406/1000,0)</f>
        <v>0</v>
      </c>
      <c r="P406" s="2">
        <f>IF(AND(C406&gt;'PV IN'!$I$12*12+'PV IN'!$I$13*12,C406&lt;='PV IN'!$I$12*12+'PV IN'!$I$13*12+'PV IN'!$I$14*12),'PV IN'!$E$14*PVCalcs!G406/1000,0)</f>
        <v>0</v>
      </c>
      <c r="R406" s="10">
        <f>IF(AND('PV IN'!$D$35="YES",$C406&lt;='PV IN'!$E$35*12),-'PV IN'!$E$18*'PV IN'!$E$34/12,0)</f>
        <v>0</v>
      </c>
      <c r="S406" s="10">
        <f>IF(AND('PV IN'!$D$37="YES",$C406&lt;='PV IN'!$E$37*12),-'PV IN'!$E$18*'PV IN'!$E$36/12,0)</f>
        <v>0</v>
      </c>
      <c r="U406" s="2">
        <f t="shared" si="112"/>
        <v>9208.4725889133606</v>
      </c>
      <c r="V406" s="10">
        <f>PVLoan!M433</f>
        <v>0</v>
      </c>
      <c r="W406" s="2">
        <f>IF(C406='PV IN'!$I$40,IF('PV IN'!$G$40="Non-Taxable",'PV IN'!$F$40,0),0)+IF(C406='PV IN'!$I$41,IF('PV IN'!$G$41="Non-Taxable",'PV IN'!$F$41,0),0)</f>
        <v>0</v>
      </c>
      <c r="X406" s="10"/>
      <c r="Y406" s="10">
        <f>IF('PV IN'!$E$15="Non-Taxable",SUM(N406:P406),0)</f>
        <v>0</v>
      </c>
      <c r="Z406" s="10">
        <f>IF('PV IN'!$E$15="Taxable",SUM(N406:P406),0)</f>
        <v>0</v>
      </c>
      <c r="AA406" s="2">
        <f>IF(C406='PV IN'!$I$40,IF('PV IN'!$G$40="Taxable",'PV IN'!$F$40,0),0)+IF(C406='PV IN'!$I$41,IF('PV IN'!$G$41="Taxable",'PV IN'!$F$41,0),0)</f>
        <v>0</v>
      </c>
      <c r="AD406" s="10">
        <f>IF('PV IN'!$D$48="YES",-U406*'PV IN'!$E$8,0)</f>
        <v>0</v>
      </c>
      <c r="AE406" s="10">
        <f>IF('PV IN'!$N$10="Yes",-PVLoan!H434,-PVLoan!L434)</f>
        <v>0</v>
      </c>
      <c r="AF406" s="10">
        <f>IF('PV IN'!$N$10="Yes",-PVLoan!F434,0)</f>
        <v>0</v>
      </c>
      <c r="AG406" s="10">
        <f>IF(AND('PV IN'!$D$35="YES",$C406&lt;='PV IN'!$E$35*12),0,-'PV IN'!$E$18*'PV IN'!$E$34/12)</f>
        <v>-750</v>
      </c>
      <c r="AH406" s="10">
        <f>IF(AND('PV IN'!$D$37="YES",$C406&lt;='PV IN'!$E$37*12),0,-'PV IN'!$E$18*'PV IN'!$E$36/12)</f>
        <v>-625</v>
      </c>
      <c r="AI406" s="2">
        <f>IF(AND('PV IN'!$D$33="YES",PVCalcs!C406=ROUNDUP('PV IN'!$H$33*12,)),-'PV IN'!$E$33*'PV IN'!$E$18,0)</f>
        <v>0</v>
      </c>
      <c r="AK406" s="2">
        <f t="shared" si="110"/>
        <v>9208.4725889133606</v>
      </c>
      <c r="AL406" s="2">
        <f t="shared" si="98"/>
        <v>-1375</v>
      </c>
      <c r="AM406" s="2">
        <f t="shared" si="99"/>
        <v>7833.4725889133606</v>
      </c>
      <c r="AN406" s="43"/>
      <c r="AO406" s="2">
        <f t="shared" si="100"/>
        <v>0</v>
      </c>
      <c r="AP406" s="2">
        <f t="shared" si="101"/>
        <v>-1375</v>
      </c>
      <c r="AR406" s="2">
        <f t="shared" si="102"/>
        <v>-1375</v>
      </c>
      <c r="AS406" s="2">
        <f>-AR406*'PV IN'!$E$8</f>
        <v>288.75</v>
      </c>
      <c r="AT406" s="2">
        <f>IF('PV IN'!$F$4="Battery Only",0,AM406+AS406)</f>
        <v>8122.2225889133606</v>
      </c>
      <c r="AV406" s="10">
        <f t="shared" si="103"/>
        <v>2809612.6740139709</v>
      </c>
      <c r="AW406" s="2">
        <f>AT406/(1+('PV IN'!$G$9))^(C406)</f>
        <v>1584.2852114068803</v>
      </c>
      <c r="AX406" s="2" t="e">
        <f>IF(C406&lt;='PV IN'!$O$22*12,AW406+AX405,NA())</f>
        <v>#N/A</v>
      </c>
      <c r="AZ406" s="10">
        <f t="shared" si="104"/>
        <v>-1375</v>
      </c>
      <c r="BA406" s="10">
        <f t="shared" si="111"/>
        <v>0</v>
      </c>
      <c r="BB406" s="10">
        <f t="shared" si="105"/>
        <v>-1375</v>
      </c>
      <c r="BC406" s="10">
        <f t="shared" si="106"/>
        <v>0</v>
      </c>
      <c r="BD406" s="10">
        <f t="shared" si="107"/>
        <v>-1375</v>
      </c>
      <c r="BE406" s="2">
        <f t="shared" si="108"/>
        <v>0</v>
      </c>
      <c r="BF406" s="10">
        <f t="shared" si="109"/>
        <v>-1375</v>
      </c>
      <c r="BG406" s="2">
        <f>-BF406*'PV IN'!$E$8</f>
        <v>288.75</v>
      </c>
      <c r="BH406" s="2">
        <f>IF('PV IN'!$F$4="Battery Only",0,BB406+BG406)</f>
        <v>-1086.25</v>
      </c>
      <c r="BI406" s="2">
        <f>BH406/(1+('PV IN'!$G$9))^(C406)</f>
        <v>-211.87917371776436</v>
      </c>
    </row>
    <row r="407" spans="2:61" x14ac:dyDescent="0.25">
      <c r="C407">
        <v>403</v>
      </c>
      <c r="D407" s="16">
        <f>D406*(1+('PV IN'!$G$6/12))</f>
        <v>7.5999999999999998E-2</v>
      </c>
      <c r="E407" s="16">
        <f>LkUP!$U$50</f>
        <v>7.8896523189157505E-2</v>
      </c>
      <c r="F407" s="16">
        <f>IF('PV IN'!$D$7="Table",E407,D407)</f>
        <v>7.8896523189157505E-2</v>
      </c>
      <c r="G407" s="33">
        <f>('PV IN'!$E$25*'PV IN'!$E$18/12)*(1-(1-'PV IN'!$E$27)/(25*12))^C406</f>
        <v>116638.0118566754</v>
      </c>
      <c r="H407" s="33">
        <f>IF('PV IN'!$D$19="YES",G407*'PV IN'!$E$21,0)</f>
        <v>0</v>
      </c>
      <c r="I407" s="33">
        <f>IF('PV IN'!$D$19="YES",'PV IN'!$E$22*BattCalcs!W407,0)</f>
        <v>0</v>
      </c>
      <c r="J407" s="33">
        <f>IF('PV IN'!$D$19="YES",'PV IN'!$E$23*BattCalcs!Y407,0)</f>
        <v>0</v>
      </c>
      <c r="K407" s="33">
        <f>BattCalcs!AF407</f>
        <v>25811.765833333331</v>
      </c>
      <c r="L407" s="33">
        <f t="shared" si="97"/>
        <v>25811.765833333331</v>
      </c>
      <c r="M407" s="33">
        <f>IF('PV IN'!$F$4="PV Only",G407,G407-SUM(H407:J407,L407))</f>
        <v>116638.0118566754</v>
      </c>
      <c r="N407" s="2">
        <f>IF(C407&lt;='PV IN'!$I$12*12,'PV IN'!$E$12*G407/1000,0)</f>
        <v>0</v>
      </c>
      <c r="O407" s="2">
        <f>IF(AND(C407&gt;'PV IN'!$I$12*12,C407&lt;='PV IN'!$I$13*12+'PV IN'!$I$12*12),'PV IN'!$E$13*PVCalcs!G407/1000,0)</f>
        <v>0</v>
      </c>
      <c r="P407" s="2">
        <f>IF(AND(C407&gt;'PV IN'!$I$12*12+'PV IN'!$I$13*12,C407&lt;='PV IN'!$I$12*12+'PV IN'!$I$13*12+'PV IN'!$I$14*12),'PV IN'!$E$14*PVCalcs!G407/1000,0)</f>
        <v>0</v>
      </c>
      <c r="R407" s="10">
        <f>IF(AND('PV IN'!$D$35="YES",$C407&lt;='PV IN'!$E$35*12),-'PV IN'!$E$18*'PV IN'!$E$34/12,0)</f>
        <v>0</v>
      </c>
      <c r="S407" s="10">
        <f>IF(AND('PV IN'!$D$37="YES",$C407&lt;='PV IN'!$E$37*12),-'PV IN'!$E$18*'PV IN'!$E$36/12,0)</f>
        <v>0</v>
      </c>
      <c r="U407" s="2">
        <f t="shared" si="112"/>
        <v>9202.3336071874182</v>
      </c>
      <c r="V407" s="10">
        <f>PVLoan!M434</f>
        <v>0</v>
      </c>
      <c r="W407" s="2">
        <f>IF(C407='PV IN'!$I$40,IF('PV IN'!$G$40="Non-Taxable",'PV IN'!$F$40,0),0)+IF(C407='PV IN'!$I$41,IF('PV IN'!$G$41="Non-Taxable",'PV IN'!$F$41,0),0)</f>
        <v>0</v>
      </c>
      <c r="X407" s="10"/>
      <c r="Y407" s="10">
        <f>IF('PV IN'!$E$15="Non-Taxable",SUM(N407:P407),0)</f>
        <v>0</v>
      </c>
      <c r="Z407" s="10">
        <f>IF('PV IN'!$E$15="Taxable",SUM(N407:P407),0)</f>
        <v>0</v>
      </c>
      <c r="AA407" s="2">
        <f>IF(C407='PV IN'!$I$40,IF('PV IN'!$G$40="Taxable",'PV IN'!$F$40,0),0)+IF(C407='PV IN'!$I$41,IF('PV IN'!$G$41="Taxable",'PV IN'!$F$41,0),0)</f>
        <v>0</v>
      </c>
      <c r="AD407" s="10">
        <f>IF('PV IN'!$D$48="YES",-U407*'PV IN'!$E$8,0)</f>
        <v>0</v>
      </c>
      <c r="AE407" s="10">
        <f>IF('PV IN'!$N$10="Yes",-PVLoan!H435,-PVLoan!L435)</f>
        <v>0</v>
      </c>
      <c r="AF407" s="10">
        <f>IF('PV IN'!$N$10="Yes",-PVLoan!F435,0)</f>
        <v>0</v>
      </c>
      <c r="AG407" s="10">
        <f>IF(AND('PV IN'!$D$35="YES",$C407&lt;='PV IN'!$E$35*12),0,-'PV IN'!$E$18*'PV IN'!$E$34/12)</f>
        <v>-750</v>
      </c>
      <c r="AH407" s="10">
        <f>IF(AND('PV IN'!$D$37="YES",$C407&lt;='PV IN'!$E$37*12),0,-'PV IN'!$E$18*'PV IN'!$E$36/12)</f>
        <v>-625</v>
      </c>
      <c r="AI407" s="2">
        <f>IF(AND('PV IN'!$D$33="YES",PVCalcs!C407=ROUNDUP('PV IN'!$H$33*12,)),-'PV IN'!$E$33*'PV IN'!$E$18,0)</f>
        <v>0</v>
      </c>
      <c r="AK407" s="2">
        <f t="shared" si="110"/>
        <v>9202.3336071874182</v>
      </c>
      <c r="AL407" s="2">
        <f t="shared" si="98"/>
        <v>-1375</v>
      </c>
      <c r="AM407" s="2">
        <f t="shared" si="99"/>
        <v>7827.3336071874182</v>
      </c>
      <c r="AN407" s="43"/>
      <c r="AO407" s="2">
        <f t="shared" si="100"/>
        <v>0</v>
      </c>
      <c r="AP407" s="2">
        <f t="shared" si="101"/>
        <v>-1375</v>
      </c>
      <c r="AR407" s="2">
        <f t="shared" si="102"/>
        <v>-1375</v>
      </c>
      <c r="AS407" s="2">
        <f>-AR407*'PV IN'!$E$8</f>
        <v>288.75</v>
      </c>
      <c r="AT407" s="2">
        <f>IF('PV IN'!$F$4="Battery Only",0,AM407+AS407)</f>
        <v>8116.0836071874182</v>
      </c>
      <c r="AV407" s="10">
        <f t="shared" si="103"/>
        <v>2817728.7576211584</v>
      </c>
      <c r="AW407" s="2">
        <f>AT407/(1+('PV IN'!$G$9))^(C407)</f>
        <v>1576.6642431914495</v>
      </c>
      <c r="AX407" s="2" t="e">
        <f>IF(C407&lt;='PV IN'!$O$22*12,AW407+AX406,NA())</f>
        <v>#N/A</v>
      </c>
      <c r="AZ407" s="10">
        <f t="shared" si="104"/>
        <v>-1375</v>
      </c>
      <c r="BA407" s="10">
        <f t="shared" si="111"/>
        <v>0</v>
      </c>
      <c r="BB407" s="10">
        <f t="shared" si="105"/>
        <v>-1375</v>
      </c>
      <c r="BC407" s="10">
        <f t="shared" si="106"/>
        <v>0</v>
      </c>
      <c r="BD407" s="10">
        <f t="shared" si="107"/>
        <v>-1375</v>
      </c>
      <c r="BE407" s="2">
        <f t="shared" si="108"/>
        <v>0</v>
      </c>
      <c r="BF407" s="10">
        <f t="shared" si="109"/>
        <v>-1375</v>
      </c>
      <c r="BG407" s="2">
        <f>-BF407*'PV IN'!$E$8</f>
        <v>288.75</v>
      </c>
      <c r="BH407" s="2">
        <f>IF('PV IN'!$F$4="Battery Only",0,BB407+BG407)</f>
        <v>-1086.25</v>
      </c>
      <c r="BI407" s="2">
        <f>BH407/(1+('PV IN'!$G$9))^(C407)</f>
        <v>-211.01945434002516</v>
      </c>
    </row>
    <row r="408" spans="2:61" x14ac:dyDescent="0.25">
      <c r="C408">
        <v>404</v>
      </c>
      <c r="D408" s="16">
        <f>D407*(1+('PV IN'!$G$6/12))</f>
        <v>7.5999999999999998E-2</v>
      </c>
      <c r="E408" s="16">
        <f>LkUP!$U$50</f>
        <v>7.8896523189157505E-2</v>
      </c>
      <c r="F408" s="16">
        <f>IF('PV IN'!$D$7="Table",E408,D408)</f>
        <v>7.8896523189157505E-2</v>
      </c>
      <c r="G408" s="33">
        <f>('PV IN'!$E$25*'PV IN'!$E$18/12)*(1-(1-'PV IN'!$E$27)/(25*12))^C407</f>
        <v>116560.25318210426</v>
      </c>
      <c r="H408" s="33">
        <f>IF('PV IN'!$D$19="YES",G408*'PV IN'!$E$21,0)</f>
        <v>0</v>
      </c>
      <c r="I408" s="33">
        <f>IF('PV IN'!$D$19="YES",'PV IN'!$E$22*BattCalcs!W408,0)</f>
        <v>0</v>
      </c>
      <c r="J408" s="33">
        <f>IF('PV IN'!$D$19="YES",'PV IN'!$E$23*BattCalcs!Y408,0)</f>
        <v>0</v>
      </c>
      <c r="K408" s="33">
        <f>BattCalcs!AF408</f>
        <v>25811.765833333331</v>
      </c>
      <c r="L408" s="33">
        <f t="shared" si="97"/>
        <v>25811.765833333331</v>
      </c>
      <c r="M408" s="33">
        <f>IF('PV IN'!$F$4="PV Only",G408,G408-SUM(H408:J408,L408))</f>
        <v>116560.25318210426</v>
      </c>
      <c r="N408" s="2">
        <f>IF(C408&lt;='PV IN'!$I$12*12,'PV IN'!$E$12*G408/1000,0)</f>
        <v>0</v>
      </c>
      <c r="O408" s="2">
        <f>IF(AND(C408&gt;'PV IN'!$I$12*12,C408&lt;='PV IN'!$I$13*12+'PV IN'!$I$12*12),'PV IN'!$E$13*PVCalcs!G408/1000,0)</f>
        <v>0</v>
      </c>
      <c r="P408" s="2">
        <f>IF(AND(C408&gt;'PV IN'!$I$12*12+'PV IN'!$I$13*12,C408&lt;='PV IN'!$I$12*12+'PV IN'!$I$13*12+'PV IN'!$I$14*12),'PV IN'!$E$14*PVCalcs!G408/1000,0)</f>
        <v>0</v>
      </c>
      <c r="R408" s="10">
        <f>IF(AND('PV IN'!$D$35="YES",$C408&lt;='PV IN'!$E$35*12),-'PV IN'!$E$18*'PV IN'!$E$34/12,0)</f>
        <v>0</v>
      </c>
      <c r="S408" s="10">
        <f>IF(AND('PV IN'!$D$37="YES",$C408&lt;='PV IN'!$E$37*12),-'PV IN'!$E$18*'PV IN'!$E$36/12,0)</f>
        <v>0</v>
      </c>
      <c r="U408" s="2">
        <f t="shared" si="112"/>
        <v>9196.1987181159584</v>
      </c>
      <c r="V408" s="10">
        <f>PVLoan!M435</f>
        <v>0</v>
      </c>
      <c r="W408" s="2">
        <f>IF(C408='PV IN'!$I$40,IF('PV IN'!$G$40="Non-Taxable",'PV IN'!$F$40,0),0)+IF(C408='PV IN'!$I$41,IF('PV IN'!$G$41="Non-Taxable",'PV IN'!$F$41,0),0)</f>
        <v>0</v>
      </c>
      <c r="X408" s="10"/>
      <c r="Y408" s="10">
        <f>IF('PV IN'!$E$15="Non-Taxable",SUM(N408:P408),0)</f>
        <v>0</v>
      </c>
      <c r="Z408" s="10">
        <f>IF('PV IN'!$E$15="Taxable",SUM(N408:P408),0)</f>
        <v>0</v>
      </c>
      <c r="AA408" s="2">
        <f>IF(C408='PV IN'!$I$40,IF('PV IN'!$G$40="Taxable",'PV IN'!$F$40,0),0)+IF(C408='PV IN'!$I$41,IF('PV IN'!$G$41="Taxable",'PV IN'!$F$41,0),0)</f>
        <v>0</v>
      </c>
      <c r="AD408" s="10">
        <f>IF('PV IN'!$D$48="YES",-U408*'PV IN'!$E$8,0)</f>
        <v>0</v>
      </c>
      <c r="AE408" s="10">
        <f>IF('PV IN'!$N$10="Yes",-PVLoan!H436,-PVLoan!L436)</f>
        <v>0</v>
      </c>
      <c r="AF408" s="10">
        <f>IF('PV IN'!$N$10="Yes",-PVLoan!F436,0)</f>
        <v>0</v>
      </c>
      <c r="AG408" s="10">
        <f>IF(AND('PV IN'!$D$35="YES",$C408&lt;='PV IN'!$E$35*12),0,-'PV IN'!$E$18*'PV IN'!$E$34/12)</f>
        <v>-750</v>
      </c>
      <c r="AH408" s="10">
        <f>IF(AND('PV IN'!$D$37="YES",$C408&lt;='PV IN'!$E$37*12),0,-'PV IN'!$E$18*'PV IN'!$E$36/12)</f>
        <v>-625</v>
      </c>
      <c r="AI408" s="2">
        <f>IF(AND('PV IN'!$D$33="YES",PVCalcs!C408=ROUNDUP('PV IN'!$H$33*12,)),-'PV IN'!$E$33*'PV IN'!$E$18,0)</f>
        <v>0</v>
      </c>
      <c r="AK408" s="2">
        <f t="shared" si="110"/>
        <v>9196.1987181159584</v>
      </c>
      <c r="AL408" s="2">
        <f t="shared" si="98"/>
        <v>-1375</v>
      </c>
      <c r="AM408" s="2">
        <f t="shared" si="99"/>
        <v>7821.1987181159584</v>
      </c>
      <c r="AN408" s="43"/>
      <c r="AO408" s="2">
        <f t="shared" si="100"/>
        <v>0</v>
      </c>
      <c r="AP408" s="2">
        <f t="shared" si="101"/>
        <v>-1375</v>
      </c>
      <c r="AR408" s="2">
        <f t="shared" si="102"/>
        <v>-1375</v>
      </c>
      <c r="AS408" s="2">
        <f>-AR408*'PV IN'!$E$8</f>
        <v>288.75</v>
      </c>
      <c r="AT408" s="2">
        <f>IF('PV IN'!$F$4="Battery Only",0,AM408+AS408)</f>
        <v>8109.9487181159584</v>
      </c>
      <c r="AV408" s="10">
        <f t="shared" si="103"/>
        <v>2825838.7063392745</v>
      </c>
      <c r="AW408" s="2">
        <f>AT408/(1+('PV IN'!$G$9))^(C408)</f>
        <v>1569.0798286115726</v>
      </c>
      <c r="AX408" s="2" t="e">
        <f>IF(C408&lt;='PV IN'!$O$22*12,AW408+AX407,NA())</f>
        <v>#N/A</v>
      </c>
      <c r="AZ408" s="10">
        <f t="shared" si="104"/>
        <v>-1375</v>
      </c>
      <c r="BA408" s="10">
        <f t="shared" si="111"/>
        <v>0</v>
      </c>
      <c r="BB408" s="10">
        <f t="shared" si="105"/>
        <v>-1375</v>
      </c>
      <c r="BC408" s="10">
        <f t="shared" si="106"/>
        <v>0</v>
      </c>
      <c r="BD408" s="10">
        <f t="shared" si="107"/>
        <v>-1375</v>
      </c>
      <c r="BE408" s="2">
        <f t="shared" si="108"/>
        <v>0</v>
      </c>
      <c r="BF408" s="10">
        <f t="shared" si="109"/>
        <v>-1375</v>
      </c>
      <c r="BG408" s="2">
        <f>-BF408*'PV IN'!$E$8</f>
        <v>288.75</v>
      </c>
      <c r="BH408" s="2">
        <f>IF('PV IN'!$F$4="Battery Only",0,BB408+BG408)</f>
        <v>-1086.25</v>
      </c>
      <c r="BI408" s="2">
        <f>BH408/(1+('PV IN'!$G$9))^(C408)</f>
        <v>-210.16322335331324</v>
      </c>
    </row>
    <row r="409" spans="2:61" x14ac:dyDescent="0.25">
      <c r="C409">
        <v>405</v>
      </c>
      <c r="D409" s="16">
        <f>D408*(1+('PV IN'!$G$6/12))</f>
        <v>7.5999999999999998E-2</v>
      </c>
      <c r="E409" s="16">
        <f>LkUP!$U$50</f>
        <v>7.8896523189157505E-2</v>
      </c>
      <c r="F409" s="16">
        <f>IF('PV IN'!$D$7="Table",E409,D409)</f>
        <v>7.8896523189157505E-2</v>
      </c>
      <c r="G409" s="33">
        <f>('PV IN'!$E$25*'PV IN'!$E$18/12)*(1-(1-'PV IN'!$E$27)/(25*12))^C408</f>
        <v>116482.54634664954</v>
      </c>
      <c r="H409" s="33">
        <f>IF('PV IN'!$D$19="YES",G409*'PV IN'!$E$21,0)</f>
        <v>0</v>
      </c>
      <c r="I409" s="33">
        <f>IF('PV IN'!$D$19="YES",'PV IN'!$E$22*BattCalcs!W409,0)</f>
        <v>0</v>
      </c>
      <c r="J409" s="33">
        <f>IF('PV IN'!$D$19="YES",'PV IN'!$E$23*BattCalcs!Y409,0)</f>
        <v>0</v>
      </c>
      <c r="K409" s="33">
        <f>BattCalcs!AF409</f>
        <v>25811.765833333331</v>
      </c>
      <c r="L409" s="33">
        <f t="shared" si="97"/>
        <v>25811.765833333331</v>
      </c>
      <c r="M409" s="33">
        <f>IF('PV IN'!$F$4="PV Only",G409,G409-SUM(H409:J409,L409))</f>
        <v>116482.54634664954</v>
      </c>
      <c r="N409" s="2">
        <f>IF(C409&lt;='PV IN'!$I$12*12,'PV IN'!$E$12*G409/1000,0)</f>
        <v>0</v>
      </c>
      <c r="O409" s="2">
        <f>IF(AND(C409&gt;'PV IN'!$I$12*12,C409&lt;='PV IN'!$I$13*12+'PV IN'!$I$12*12),'PV IN'!$E$13*PVCalcs!G409/1000,0)</f>
        <v>0</v>
      </c>
      <c r="P409" s="2">
        <f>IF(AND(C409&gt;'PV IN'!$I$12*12+'PV IN'!$I$13*12,C409&lt;='PV IN'!$I$12*12+'PV IN'!$I$13*12+'PV IN'!$I$14*12),'PV IN'!$E$14*PVCalcs!G409/1000,0)</f>
        <v>0</v>
      </c>
      <c r="R409" s="10">
        <f>IF(AND('PV IN'!$D$35="YES",$C409&lt;='PV IN'!$E$35*12),-'PV IN'!$E$18*'PV IN'!$E$34/12,0)</f>
        <v>0</v>
      </c>
      <c r="S409" s="10">
        <f>IF(AND('PV IN'!$D$37="YES",$C409&lt;='PV IN'!$E$37*12),-'PV IN'!$E$18*'PV IN'!$E$36/12,0)</f>
        <v>0</v>
      </c>
      <c r="U409" s="2">
        <f t="shared" si="112"/>
        <v>9190.0679189705497</v>
      </c>
      <c r="V409" s="10">
        <f>PVLoan!M436</f>
        <v>0</v>
      </c>
      <c r="W409" s="2">
        <f>IF(C409='PV IN'!$I$40,IF('PV IN'!$G$40="Non-Taxable",'PV IN'!$F$40,0),0)+IF(C409='PV IN'!$I$41,IF('PV IN'!$G$41="Non-Taxable",'PV IN'!$F$41,0),0)</f>
        <v>0</v>
      </c>
      <c r="X409" s="10"/>
      <c r="Y409" s="10">
        <f>IF('PV IN'!$E$15="Non-Taxable",SUM(N409:P409),0)</f>
        <v>0</v>
      </c>
      <c r="Z409" s="10">
        <f>IF('PV IN'!$E$15="Taxable",SUM(N409:P409),0)</f>
        <v>0</v>
      </c>
      <c r="AA409" s="2">
        <f>IF(C409='PV IN'!$I$40,IF('PV IN'!$G$40="Taxable",'PV IN'!$F$40,0),0)+IF(C409='PV IN'!$I$41,IF('PV IN'!$G$41="Taxable",'PV IN'!$F$41,0),0)</f>
        <v>0</v>
      </c>
      <c r="AD409" s="10">
        <f>IF('PV IN'!$D$48="YES",-U409*'PV IN'!$E$8,0)</f>
        <v>0</v>
      </c>
      <c r="AE409" s="10">
        <f>IF('PV IN'!$N$10="Yes",-PVLoan!H437,-PVLoan!L437)</f>
        <v>0</v>
      </c>
      <c r="AF409" s="10">
        <f>IF('PV IN'!$N$10="Yes",-PVLoan!F437,0)</f>
        <v>0</v>
      </c>
      <c r="AG409" s="10">
        <f>IF(AND('PV IN'!$D$35="YES",$C409&lt;='PV IN'!$E$35*12),0,-'PV IN'!$E$18*'PV IN'!$E$34/12)</f>
        <v>-750</v>
      </c>
      <c r="AH409" s="10">
        <f>IF(AND('PV IN'!$D$37="YES",$C409&lt;='PV IN'!$E$37*12),0,-'PV IN'!$E$18*'PV IN'!$E$36/12)</f>
        <v>-625</v>
      </c>
      <c r="AI409" s="2">
        <f>IF(AND('PV IN'!$D$33="YES",PVCalcs!C409=ROUNDUP('PV IN'!$H$33*12,)),-'PV IN'!$E$33*'PV IN'!$E$18,0)</f>
        <v>0</v>
      </c>
      <c r="AK409" s="2">
        <f t="shared" si="110"/>
        <v>9190.0679189705497</v>
      </c>
      <c r="AL409" s="2">
        <f t="shared" si="98"/>
        <v>-1375</v>
      </c>
      <c r="AM409" s="2">
        <f t="shared" si="99"/>
        <v>7815.0679189705497</v>
      </c>
      <c r="AN409" s="43"/>
      <c r="AO409" s="2">
        <f t="shared" si="100"/>
        <v>0</v>
      </c>
      <c r="AP409" s="2">
        <f t="shared" si="101"/>
        <v>-1375</v>
      </c>
      <c r="AR409" s="2">
        <f t="shared" si="102"/>
        <v>-1375</v>
      </c>
      <c r="AS409" s="2">
        <f>-AR409*'PV IN'!$E$8</f>
        <v>288.75</v>
      </c>
      <c r="AT409" s="2">
        <f>IF('PV IN'!$F$4="Battery Only",0,AM409+AS409)</f>
        <v>8103.8179189705497</v>
      </c>
      <c r="AV409" s="10">
        <f t="shared" si="103"/>
        <v>2833942.5242582452</v>
      </c>
      <c r="AW409" s="2">
        <f>AT409/(1+('PV IN'!$G$9))^(C409)</f>
        <v>1561.5317927611184</v>
      </c>
      <c r="AX409" s="2" t="e">
        <f>IF(C409&lt;='PV IN'!$O$22*12,AW409+AX408,NA())</f>
        <v>#N/A</v>
      </c>
      <c r="AZ409" s="10">
        <f t="shared" si="104"/>
        <v>-1375</v>
      </c>
      <c r="BA409" s="10">
        <f t="shared" si="111"/>
        <v>0</v>
      </c>
      <c r="BB409" s="10">
        <f t="shared" si="105"/>
        <v>-1375</v>
      </c>
      <c r="BC409" s="10">
        <f t="shared" si="106"/>
        <v>0</v>
      </c>
      <c r="BD409" s="10">
        <f t="shared" si="107"/>
        <v>-1375</v>
      </c>
      <c r="BE409" s="2">
        <f t="shared" si="108"/>
        <v>0</v>
      </c>
      <c r="BF409" s="10">
        <f t="shared" si="109"/>
        <v>-1375</v>
      </c>
      <c r="BG409" s="2">
        <f>-BF409*'PV IN'!$E$8</f>
        <v>288.75</v>
      </c>
      <c r="BH409" s="2">
        <f>IF('PV IN'!$F$4="Battery Only",0,BB409+BG409)</f>
        <v>-1086.25</v>
      </c>
      <c r="BI409" s="2">
        <f>BH409/(1+('PV IN'!$G$9))^(C409)</f>
        <v>-209.31046660315877</v>
      </c>
    </row>
    <row r="410" spans="2:61" x14ac:dyDescent="0.25">
      <c r="C410">
        <v>406</v>
      </c>
      <c r="D410" s="16">
        <f>D409*(1+('PV IN'!$G$6/12))</f>
        <v>7.5999999999999998E-2</v>
      </c>
      <c r="E410" s="16">
        <f>LkUP!$U$50</f>
        <v>7.8896523189157505E-2</v>
      </c>
      <c r="F410" s="16">
        <f>IF('PV IN'!$D$7="Table",E410,D410)</f>
        <v>7.8896523189157505E-2</v>
      </c>
      <c r="G410" s="33">
        <f>('PV IN'!$E$25*'PV IN'!$E$18/12)*(1-(1-'PV IN'!$E$27)/(25*12))^C409</f>
        <v>116404.89131575177</v>
      </c>
      <c r="H410" s="33">
        <f>IF('PV IN'!$D$19="YES",G410*'PV IN'!$E$21,0)</f>
        <v>0</v>
      </c>
      <c r="I410" s="33">
        <f>IF('PV IN'!$D$19="YES",'PV IN'!$E$22*BattCalcs!W410,0)</f>
        <v>0</v>
      </c>
      <c r="J410" s="33">
        <f>IF('PV IN'!$D$19="YES",'PV IN'!$E$23*BattCalcs!Y410,0)</f>
        <v>0</v>
      </c>
      <c r="K410" s="33">
        <f>BattCalcs!AF410</f>
        <v>25811.765833333331</v>
      </c>
      <c r="L410" s="33">
        <f t="shared" si="97"/>
        <v>25811.765833333331</v>
      </c>
      <c r="M410" s="33">
        <f>IF('PV IN'!$F$4="PV Only",G410,G410-SUM(H410:J410,L410))</f>
        <v>116404.89131575177</v>
      </c>
      <c r="N410" s="2">
        <f>IF(C410&lt;='PV IN'!$I$12*12,'PV IN'!$E$12*G410/1000,0)</f>
        <v>0</v>
      </c>
      <c r="O410" s="2">
        <f>IF(AND(C410&gt;'PV IN'!$I$12*12,C410&lt;='PV IN'!$I$13*12+'PV IN'!$I$12*12),'PV IN'!$E$13*PVCalcs!G410/1000,0)</f>
        <v>0</v>
      </c>
      <c r="P410" s="2">
        <f>IF(AND(C410&gt;'PV IN'!$I$12*12+'PV IN'!$I$13*12,C410&lt;='PV IN'!$I$12*12+'PV IN'!$I$13*12+'PV IN'!$I$14*12),'PV IN'!$E$14*PVCalcs!G410/1000,0)</f>
        <v>0</v>
      </c>
      <c r="R410" s="10">
        <f>IF(AND('PV IN'!$D$35="YES",$C410&lt;='PV IN'!$E$35*12),-'PV IN'!$E$18*'PV IN'!$E$34/12,0)</f>
        <v>0</v>
      </c>
      <c r="S410" s="10">
        <f>IF(AND('PV IN'!$D$37="YES",$C410&lt;='PV IN'!$E$37*12),-'PV IN'!$E$18*'PV IN'!$E$36/12,0)</f>
        <v>0</v>
      </c>
      <c r="U410" s="2">
        <f t="shared" si="112"/>
        <v>9183.9412070245689</v>
      </c>
      <c r="V410" s="10">
        <f>PVLoan!M437</f>
        <v>0</v>
      </c>
      <c r="W410" s="2">
        <f>IF(C410='PV IN'!$I$40,IF('PV IN'!$G$40="Non-Taxable",'PV IN'!$F$40,0),0)+IF(C410='PV IN'!$I$41,IF('PV IN'!$G$41="Non-Taxable",'PV IN'!$F$41,0),0)</f>
        <v>0</v>
      </c>
      <c r="X410" s="10"/>
      <c r="Y410" s="10">
        <f>IF('PV IN'!$E$15="Non-Taxable",SUM(N410:P410),0)</f>
        <v>0</v>
      </c>
      <c r="Z410" s="10">
        <f>IF('PV IN'!$E$15="Taxable",SUM(N410:P410),0)</f>
        <v>0</v>
      </c>
      <c r="AA410" s="2">
        <f>IF(C410='PV IN'!$I$40,IF('PV IN'!$G$40="Taxable",'PV IN'!$F$40,0),0)+IF(C410='PV IN'!$I$41,IF('PV IN'!$G$41="Taxable",'PV IN'!$F$41,0),0)</f>
        <v>0</v>
      </c>
      <c r="AD410" s="10">
        <f>IF('PV IN'!$D$48="YES",-U410*'PV IN'!$E$8,0)</f>
        <v>0</v>
      </c>
      <c r="AE410" s="10">
        <f>IF('PV IN'!$N$10="Yes",-PVLoan!H438,-PVLoan!L438)</f>
        <v>0</v>
      </c>
      <c r="AF410" s="10">
        <f>IF('PV IN'!$N$10="Yes",-PVLoan!F438,0)</f>
        <v>0</v>
      </c>
      <c r="AG410" s="10">
        <f>IF(AND('PV IN'!$D$35="YES",$C410&lt;='PV IN'!$E$35*12),0,-'PV IN'!$E$18*'PV IN'!$E$34/12)</f>
        <v>-750</v>
      </c>
      <c r="AH410" s="10">
        <f>IF(AND('PV IN'!$D$37="YES",$C410&lt;='PV IN'!$E$37*12),0,-'PV IN'!$E$18*'PV IN'!$E$36/12)</f>
        <v>-625</v>
      </c>
      <c r="AI410" s="2">
        <f>IF(AND('PV IN'!$D$33="YES",PVCalcs!C410=ROUNDUP('PV IN'!$H$33*12,)),-'PV IN'!$E$33*'PV IN'!$E$18,0)</f>
        <v>0</v>
      </c>
      <c r="AK410" s="2">
        <f t="shared" si="110"/>
        <v>9183.9412070245689</v>
      </c>
      <c r="AL410" s="2">
        <f t="shared" si="98"/>
        <v>-1375</v>
      </c>
      <c r="AM410" s="2">
        <f t="shared" si="99"/>
        <v>7808.9412070245689</v>
      </c>
      <c r="AN410" s="43"/>
      <c r="AO410" s="2">
        <f t="shared" si="100"/>
        <v>0</v>
      </c>
      <c r="AP410" s="2">
        <f t="shared" si="101"/>
        <v>-1375</v>
      </c>
      <c r="AR410" s="2">
        <f t="shared" si="102"/>
        <v>-1375</v>
      </c>
      <c r="AS410" s="2">
        <f>-AR410*'PV IN'!$E$8</f>
        <v>288.75</v>
      </c>
      <c r="AT410" s="2">
        <f>IF('PV IN'!$F$4="Battery Only",0,AM410+AS410)</f>
        <v>8097.6912070245689</v>
      </c>
      <c r="AV410" s="10">
        <f t="shared" si="103"/>
        <v>2842040.21546527</v>
      </c>
      <c r="AW410" s="2">
        <f>AT410/(1+('PV IN'!$G$9))^(C410)</f>
        <v>1554.019961569182</v>
      </c>
      <c r="AX410" s="2" t="e">
        <f>IF(C410&lt;='PV IN'!$O$22*12,AW410+AX409,NA())</f>
        <v>#N/A</v>
      </c>
      <c r="AZ410" s="10">
        <f t="shared" si="104"/>
        <v>-1375</v>
      </c>
      <c r="BA410" s="10">
        <f t="shared" si="111"/>
        <v>0</v>
      </c>
      <c r="BB410" s="10">
        <f t="shared" si="105"/>
        <v>-1375</v>
      </c>
      <c r="BC410" s="10">
        <f t="shared" si="106"/>
        <v>0</v>
      </c>
      <c r="BD410" s="10">
        <f t="shared" si="107"/>
        <v>-1375</v>
      </c>
      <c r="BE410" s="2">
        <f t="shared" si="108"/>
        <v>0</v>
      </c>
      <c r="BF410" s="10">
        <f t="shared" si="109"/>
        <v>-1375</v>
      </c>
      <c r="BG410" s="2">
        <f>-BF410*'PV IN'!$E$8</f>
        <v>288.75</v>
      </c>
      <c r="BH410" s="2">
        <f>IF('PV IN'!$F$4="Battery Only",0,BB410+BG410)</f>
        <v>-1086.25</v>
      </c>
      <c r="BI410" s="2">
        <f>BH410/(1+('PV IN'!$G$9))^(C410)</f>
        <v>-208.46116999252504</v>
      </c>
    </row>
    <row r="411" spans="2:61" x14ac:dyDescent="0.25">
      <c r="C411">
        <v>407</v>
      </c>
      <c r="D411" s="16">
        <f>D410*(1+('PV IN'!$G$6/12))</f>
        <v>7.5999999999999998E-2</v>
      </c>
      <c r="E411" s="16">
        <f>LkUP!$U$50</f>
        <v>7.8896523189157505E-2</v>
      </c>
      <c r="F411" s="16">
        <f>IF('PV IN'!$D$7="Table",E411,D411)</f>
        <v>7.8896523189157505E-2</v>
      </c>
      <c r="G411" s="33">
        <f>('PV IN'!$E$25*'PV IN'!$E$18/12)*(1-(1-'PV IN'!$E$27)/(25*12))^C410</f>
        <v>116327.28805487459</v>
      </c>
      <c r="H411" s="33">
        <f>IF('PV IN'!$D$19="YES",G411*'PV IN'!$E$21,0)</f>
        <v>0</v>
      </c>
      <c r="I411" s="33">
        <f>IF('PV IN'!$D$19="YES",'PV IN'!$E$22*BattCalcs!W411,0)</f>
        <v>0</v>
      </c>
      <c r="J411" s="33">
        <f>IF('PV IN'!$D$19="YES",'PV IN'!$E$23*BattCalcs!Y411,0)</f>
        <v>0</v>
      </c>
      <c r="K411" s="33">
        <f>BattCalcs!AF411</f>
        <v>25811.765833333331</v>
      </c>
      <c r="L411" s="33">
        <f t="shared" si="97"/>
        <v>25811.765833333331</v>
      </c>
      <c r="M411" s="33">
        <f>IF('PV IN'!$F$4="PV Only",G411,G411-SUM(H411:J411,L411))</f>
        <v>116327.28805487459</v>
      </c>
      <c r="N411" s="2">
        <f>IF(C411&lt;='PV IN'!$I$12*12,'PV IN'!$E$12*G411/1000,0)</f>
        <v>0</v>
      </c>
      <c r="O411" s="2">
        <f>IF(AND(C411&gt;'PV IN'!$I$12*12,C411&lt;='PV IN'!$I$13*12+'PV IN'!$I$12*12),'PV IN'!$E$13*PVCalcs!G411/1000,0)</f>
        <v>0</v>
      </c>
      <c r="P411" s="2">
        <f>IF(AND(C411&gt;'PV IN'!$I$12*12+'PV IN'!$I$13*12,C411&lt;='PV IN'!$I$12*12+'PV IN'!$I$13*12+'PV IN'!$I$14*12),'PV IN'!$E$14*PVCalcs!G411/1000,0)</f>
        <v>0</v>
      </c>
      <c r="R411" s="10">
        <f>IF(AND('PV IN'!$D$35="YES",$C411&lt;='PV IN'!$E$35*12),-'PV IN'!$E$18*'PV IN'!$E$34/12,0)</f>
        <v>0</v>
      </c>
      <c r="S411" s="10">
        <f>IF(AND('PV IN'!$D$37="YES",$C411&lt;='PV IN'!$E$37*12),-'PV IN'!$E$18*'PV IN'!$E$36/12,0)</f>
        <v>0</v>
      </c>
      <c r="U411" s="2">
        <f t="shared" si="112"/>
        <v>9177.8185795532172</v>
      </c>
      <c r="V411" s="10">
        <f>PVLoan!M438</f>
        <v>0</v>
      </c>
      <c r="W411" s="2">
        <f>IF(C411='PV IN'!$I$40,IF('PV IN'!$G$40="Non-Taxable",'PV IN'!$F$40,0),0)+IF(C411='PV IN'!$I$41,IF('PV IN'!$G$41="Non-Taxable",'PV IN'!$F$41,0),0)</f>
        <v>0</v>
      </c>
      <c r="X411" s="10"/>
      <c r="Y411" s="10">
        <f>IF('PV IN'!$E$15="Non-Taxable",SUM(N411:P411),0)</f>
        <v>0</v>
      </c>
      <c r="Z411" s="10">
        <f>IF('PV IN'!$E$15="Taxable",SUM(N411:P411),0)</f>
        <v>0</v>
      </c>
      <c r="AA411" s="2">
        <f>IF(C411='PV IN'!$I$40,IF('PV IN'!$G$40="Taxable",'PV IN'!$F$40,0),0)+IF(C411='PV IN'!$I$41,IF('PV IN'!$G$41="Taxable",'PV IN'!$F$41,0),0)</f>
        <v>0</v>
      </c>
      <c r="AD411" s="10">
        <f>IF('PV IN'!$D$48="YES",-U411*'PV IN'!$E$8,0)</f>
        <v>0</v>
      </c>
      <c r="AE411" s="10">
        <f>IF('PV IN'!$N$10="Yes",-PVLoan!H439,-PVLoan!L439)</f>
        <v>0</v>
      </c>
      <c r="AF411" s="10">
        <f>IF('PV IN'!$N$10="Yes",-PVLoan!F439,0)</f>
        <v>0</v>
      </c>
      <c r="AG411" s="10">
        <f>IF(AND('PV IN'!$D$35="YES",$C411&lt;='PV IN'!$E$35*12),0,-'PV IN'!$E$18*'PV IN'!$E$34/12)</f>
        <v>-750</v>
      </c>
      <c r="AH411" s="10">
        <f>IF(AND('PV IN'!$D$37="YES",$C411&lt;='PV IN'!$E$37*12),0,-'PV IN'!$E$18*'PV IN'!$E$36/12)</f>
        <v>-625</v>
      </c>
      <c r="AI411" s="2">
        <f>IF(AND('PV IN'!$D$33="YES",PVCalcs!C411=ROUNDUP('PV IN'!$H$33*12,)),-'PV IN'!$E$33*'PV IN'!$E$18,0)</f>
        <v>0</v>
      </c>
      <c r="AK411" s="2">
        <f t="shared" si="110"/>
        <v>9177.8185795532172</v>
      </c>
      <c r="AL411" s="2">
        <f t="shared" si="98"/>
        <v>-1375</v>
      </c>
      <c r="AM411" s="2">
        <f t="shared" si="99"/>
        <v>7802.8185795532172</v>
      </c>
      <c r="AN411" s="43"/>
      <c r="AO411" s="2">
        <f t="shared" si="100"/>
        <v>0</v>
      </c>
      <c r="AP411" s="2">
        <f t="shared" si="101"/>
        <v>-1375</v>
      </c>
      <c r="AR411" s="2">
        <f t="shared" si="102"/>
        <v>-1375</v>
      </c>
      <c r="AS411" s="2">
        <f>-AR411*'PV IN'!$E$8</f>
        <v>288.75</v>
      </c>
      <c r="AT411" s="2">
        <f>IF('PV IN'!$F$4="Battery Only",0,AM411+AS411)</f>
        <v>8091.5685795532172</v>
      </c>
      <c r="AV411" s="10">
        <f t="shared" si="103"/>
        <v>2850131.7840448231</v>
      </c>
      <c r="AW411" s="2">
        <f>AT411/(1+('PV IN'!$G$9))^(C411)</f>
        <v>1546.5441617961046</v>
      </c>
      <c r="AX411" s="2" t="e">
        <f>IF(C411&lt;='PV IN'!$O$22*12,AW411+AX410,NA())</f>
        <v>#N/A</v>
      </c>
      <c r="AZ411" s="10">
        <f t="shared" si="104"/>
        <v>-1375</v>
      </c>
      <c r="BA411" s="10">
        <f t="shared" si="111"/>
        <v>0</v>
      </c>
      <c r="BB411" s="10">
        <f t="shared" si="105"/>
        <v>-1375</v>
      </c>
      <c r="BC411" s="10">
        <f t="shared" si="106"/>
        <v>0</v>
      </c>
      <c r="BD411" s="10">
        <f t="shared" si="107"/>
        <v>-1375</v>
      </c>
      <c r="BE411" s="2">
        <f t="shared" si="108"/>
        <v>0</v>
      </c>
      <c r="BF411" s="10">
        <f t="shared" si="109"/>
        <v>-1375</v>
      </c>
      <c r="BG411" s="2">
        <f>-BF411*'PV IN'!$E$8</f>
        <v>288.75</v>
      </c>
      <c r="BH411" s="2">
        <f>IF('PV IN'!$F$4="Battery Only",0,BB411+BG411)</f>
        <v>-1086.25</v>
      </c>
      <c r="BI411" s="2">
        <f>BH411/(1+('PV IN'!$G$9))^(C411)</f>
        <v>-207.61531948157543</v>
      </c>
    </row>
    <row r="412" spans="2:61" x14ac:dyDescent="0.25">
      <c r="B412">
        <v>34</v>
      </c>
      <c r="C412">
        <v>408</v>
      </c>
      <c r="D412" s="16">
        <f>D411*(1+('PV IN'!$G$6/12))</f>
        <v>7.5999999999999998E-2</v>
      </c>
      <c r="E412" s="16">
        <f>LkUP!$U$50</f>
        <v>7.8896523189157505E-2</v>
      </c>
      <c r="F412" s="16">
        <f>IF('PV IN'!$D$7="Table",E412,D412)</f>
        <v>7.8896523189157505E-2</v>
      </c>
      <c r="G412" s="33">
        <f>('PV IN'!$E$25*'PV IN'!$E$18/12)*(1-(1-'PV IN'!$E$27)/(25*12))^C411</f>
        <v>116249.73652950466</v>
      </c>
      <c r="H412" s="33">
        <f>IF('PV IN'!$D$19="YES",G412*'PV IN'!$E$21,0)</f>
        <v>0</v>
      </c>
      <c r="I412" s="33">
        <f>IF('PV IN'!$D$19="YES",'PV IN'!$E$22*BattCalcs!W412,0)</f>
        <v>0</v>
      </c>
      <c r="J412" s="33">
        <f>IF('PV IN'!$D$19="YES",'PV IN'!$E$23*BattCalcs!Y412,0)</f>
        <v>0</v>
      </c>
      <c r="K412" s="33">
        <f>BattCalcs!AF412</f>
        <v>25811.765833333331</v>
      </c>
      <c r="L412" s="33">
        <f t="shared" si="97"/>
        <v>25811.765833333331</v>
      </c>
      <c r="M412" s="33">
        <f>IF('PV IN'!$F$4="PV Only",G412,G412-SUM(H412:J412,L412))</f>
        <v>116249.73652950466</v>
      </c>
      <c r="N412" s="2">
        <f>IF(C412&lt;='PV IN'!$I$12*12,'PV IN'!$E$12*G412/1000,0)</f>
        <v>0</v>
      </c>
      <c r="O412" s="2">
        <f>IF(AND(C412&gt;'PV IN'!$I$12*12,C412&lt;='PV IN'!$I$13*12+'PV IN'!$I$12*12),'PV IN'!$E$13*PVCalcs!G412/1000,0)</f>
        <v>0</v>
      </c>
      <c r="P412" s="2">
        <f>IF(AND(C412&gt;'PV IN'!$I$12*12+'PV IN'!$I$13*12,C412&lt;='PV IN'!$I$12*12+'PV IN'!$I$13*12+'PV IN'!$I$14*12),'PV IN'!$E$14*PVCalcs!G412/1000,0)</f>
        <v>0</v>
      </c>
      <c r="R412" s="10">
        <f>IF(AND('PV IN'!$D$35="YES",$C412&lt;='PV IN'!$E$35*12),-'PV IN'!$E$18*'PV IN'!$E$34/12,0)</f>
        <v>0</v>
      </c>
      <c r="S412" s="10">
        <f>IF(AND('PV IN'!$D$37="YES",$C412&lt;='PV IN'!$E$37*12),-'PV IN'!$E$18*'PV IN'!$E$36/12,0)</f>
        <v>0</v>
      </c>
      <c r="U412" s="2">
        <f t="shared" si="112"/>
        <v>9171.7000338335147</v>
      </c>
      <c r="V412" s="10">
        <f>PVLoan!M439</f>
        <v>0</v>
      </c>
      <c r="W412" s="2">
        <f>IF(C412='PV IN'!$I$40,IF('PV IN'!$G$40="Non-Taxable",'PV IN'!$F$40,0),0)+IF(C412='PV IN'!$I$41,IF('PV IN'!$G$41="Non-Taxable",'PV IN'!$F$41,0),0)</f>
        <v>0</v>
      </c>
      <c r="X412" s="10"/>
      <c r="Y412" s="10">
        <f>IF('PV IN'!$E$15="Non-Taxable",SUM(N412:P412),0)</f>
        <v>0</v>
      </c>
      <c r="Z412" s="10">
        <f>IF('PV IN'!$E$15="Taxable",SUM(N412:P412),0)</f>
        <v>0</v>
      </c>
      <c r="AA412" s="2">
        <f>IF(C412='PV IN'!$I$40,IF('PV IN'!$G$40="Taxable",'PV IN'!$F$40,0),0)+IF(C412='PV IN'!$I$41,IF('PV IN'!$G$41="Taxable",'PV IN'!$F$41,0),0)</f>
        <v>0</v>
      </c>
      <c r="AD412" s="10">
        <f>IF('PV IN'!$D$48="YES",-U412*'PV IN'!$E$8,0)</f>
        <v>0</v>
      </c>
      <c r="AE412" s="10">
        <f>IF('PV IN'!$N$10="Yes",-PVLoan!H440,-PVLoan!L440)</f>
        <v>0</v>
      </c>
      <c r="AF412" s="10">
        <f>IF('PV IN'!$N$10="Yes",-PVLoan!F440,0)</f>
        <v>0</v>
      </c>
      <c r="AG412" s="10">
        <f>IF(AND('PV IN'!$D$35="YES",$C412&lt;='PV IN'!$E$35*12),0,-'PV IN'!$E$18*'PV IN'!$E$34/12)</f>
        <v>-750</v>
      </c>
      <c r="AH412" s="10">
        <f>IF(AND('PV IN'!$D$37="YES",$C412&lt;='PV IN'!$E$37*12),0,-'PV IN'!$E$18*'PV IN'!$E$36/12)</f>
        <v>-625</v>
      </c>
      <c r="AI412" s="2">
        <f>IF(AND('PV IN'!$D$33="YES",PVCalcs!C412=ROUNDUP('PV IN'!$H$33*12,)),-'PV IN'!$E$33*'PV IN'!$E$18,0)</f>
        <v>0</v>
      </c>
      <c r="AK412" s="2">
        <f t="shared" si="110"/>
        <v>9171.7000338335147</v>
      </c>
      <c r="AL412" s="2">
        <f t="shared" si="98"/>
        <v>-1375</v>
      </c>
      <c r="AM412" s="2">
        <f t="shared" si="99"/>
        <v>7796.7000338335147</v>
      </c>
      <c r="AN412" s="43"/>
      <c r="AO412" s="2">
        <f t="shared" si="100"/>
        <v>0</v>
      </c>
      <c r="AP412" s="2">
        <f t="shared" si="101"/>
        <v>-1375</v>
      </c>
      <c r="AR412" s="2">
        <f t="shared" si="102"/>
        <v>-1375</v>
      </c>
      <c r="AS412" s="2">
        <f>-AR412*'PV IN'!$E$8</f>
        <v>288.75</v>
      </c>
      <c r="AT412" s="2">
        <f>IF('PV IN'!$F$4="Battery Only",0,AM412+AS412)</f>
        <v>8085.4500338335147</v>
      </c>
      <c r="AV412" s="10">
        <f t="shared" si="103"/>
        <v>2858217.2340786569</v>
      </c>
      <c r="AW412" s="2">
        <f>AT412/(1+('PV IN'!$G$9))^(C412)</f>
        <v>1539.1042210295091</v>
      </c>
      <c r="AX412" s="2" t="e">
        <f>IF(C412&lt;='PV IN'!$O$22*12,AW412+AX411,NA())</f>
        <v>#N/A</v>
      </c>
      <c r="AZ412" s="10">
        <f t="shared" si="104"/>
        <v>-1375</v>
      </c>
      <c r="BA412" s="10">
        <f t="shared" si="111"/>
        <v>0</v>
      </c>
      <c r="BB412" s="10">
        <f t="shared" si="105"/>
        <v>-1375</v>
      </c>
      <c r="BC412" s="10">
        <f t="shared" si="106"/>
        <v>0</v>
      </c>
      <c r="BD412" s="10">
        <f t="shared" si="107"/>
        <v>-1375</v>
      </c>
      <c r="BE412" s="2">
        <f t="shared" si="108"/>
        <v>0</v>
      </c>
      <c r="BF412" s="10">
        <f t="shared" si="109"/>
        <v>-1375</v>
      </c>
      <c r="BG412" s="2">
        <f>-BF412*'PV IN'!$E$8</f>
        <v>288.75</v>
      </c>
      <c r="BH412" s="2">
        <f>IF('PV IN'!$F$4="Battery Only",0,BB412+BG412)</f>
        <v>-1086.25</v>
      </c>
      <c r="BI412" s="2">
        <f>BH412/(1+('PV IN'!$G$9))^(C412)</f>
        <v>-206.77290108744106</v>
      </c>
    </row>
    <row r="413" spans="2:61" x14ac:dyDescent="0.25">
      <c r="C413">
        <v>409</v>
      </c>
      <c r="D413" s="16">
        <f>D412*(1+('PV IN'!$G$6/12))</f>
        <v>7.5999999999999998E-2</v>
      </c>
      <c r="E413" s="16">
        <f>LkUP!$U$50</f>
        <v>7.8896523189157505E-2</v>
      </c>
      <c r="F413" s="16">
        <f>IF('PV IN'!$D$7="Table",E413,D413)</f>
        <v>7.8896523189157505E-2</v>
      </c>
      <c r="G413" s="33">
        <f>('PV IN'!$E$25*'PV IN'!$E$18/12)*(1-(1-'PV IN'!$E$27)/(25*12))^C412</f>
        <v>116172.23670515166</v>
      </c>
      <c r="H413" s="33">
        <f>IF('PV IN'!$D$19="YES",G413*'PV IN'!$E$21,0)</f>
        <v>0</v>
      </c>
      <c r="I413" s="33">
        <f>IF('PV IN'!$D$19="YES",'PV IN'!$E$22*BattCalcs!W413,0)</f>
        <v>0</v>
      </c>
      <c r="J413" s="33">
        <f>IF('PV IN'!$D$19="YES",'PV IN'!$E$23*BattCalcs!Y413,0)</f>
        <v>0</v>
      </c>
      <c r="K413" s="33">
        <f>BattCalcs!AF413</f>
        <v>25811.765833333331</v>
      </c>
      <c r="L413" s="33">
        <f t="shared" si="97"/>
        <v>25811.765833333331</v>
      </c>
      <c r="M413" s="33">
        <f>IF('PV IN'!$F$4="PV Only",G413,G413-SUM(H413:J413,L413))</f>
        <v>116172.23670515166</v>
      </c>
      <c r="N413" s="2">
        <f>IF(C413&lt;='PV IN'!$I$12*12,'PV IN'!$E$12*G413/1000,0)</f>
        <v>0</v>
      </c>
      <c r="O413" s="2">
        <f>IF(AND(C413&gt;'PV IN'!$I$12*12,C413&lt;='PV IN'!$I$13*12+'PV IN'!$I$12*12),'PV IN'!$E$13*PVCalcs!G413/1000,0)</f>
        <v>0</v>
      </c>
      <c r="P413" s="2">
        <f>IF(AND(C413&gt;'PV IN'!$I$12*12+'PV IN'!$I$13*12,C413&lt;='PV IN'!$I$12*12+'PV IN'!$I$13*12+'PV IN'!$I$14*12),'PV IN'!$E$14*PVCalcs!G413/1000,0)</f>
        <v>0</v>
      </c>
      <c r="R413" s="10">
        <f>IF(AND('PV IN'!$D$35="YES",$C413&lt;='PV IN'!$E$35*12),-'PV IN'!$E$18*'PV IN'!$E$34/12,0)</f>
        <v>0</v>
      </c>
      <c r="S413" s="10">
        <f>IF(AND('PV IN'!$D$37="YES",$C413&lt;='PV IN'!$E$37*12),-'PV IN'!$E$18*'PV IN'!$E$36/12,0)</f>
        <v>0</v>
      </c>
      <c r="U413" s="2">
        <f t="shared" si="112"/>
        <v>9165.5855671442932</v>
      </c>
      <c r="V413" s="10">
        <f>PVLoan!M440</f>
        <v>0</v>
      </c>
      <c r="W413" s="2">
        <f>IF(C413='PV IN'!$I$40,IF('PV IN'!$G$40="Non-Taxable",'PV IN'!$F$40,0),0)+IF(C413='PV IN'!$I$41,IF('PV IN'!$G$41="Non-Taxable",'PV IN'!$F$41,0),0)</f>
        <v>0</v>
      </c>
      <c r="X413" s="10"/>
      <c r="Y413" s="10">
        <f>IF('PV IN'!$E$15="Non-Taxable",SUM(N413:P413),0)</f>
        <v>0</v>
      </c>
      <c r="Z413" s="10">
        <f>IF('PV IN'!$E$15="Taxable",SUM(N413:P413),0)</f>
        <v>0</v>
      </c>
      <c r="AA413" s="2">
        <f>IF(C413='PV IN'!$I$40,IF('PV IN'!$G$40="Taxable",'PV IN'!$F$40,0),0)+IF(C413='PV IN'!$I$41,IF('PV IN'!$G$41="Taxable",'PV IN'!$F$41,0),0)</f>
        <v>0</v>
      </c>
      <c r="AD413" s="10">
        <f>IF('PV IN'!$D$48="YES",-U413*'PV IN'!$E$8,0)</f>
        <v>0</v>
      </c>
      <c r="AE413" s="10">
        <f>IF('PV IN'!$N$10="Yes",-PVLoan!H441,-PVLoan!L441)</f>
        <v>0</v>
      </c>
      <c r="AF413" s="10">
        <f>IF('PV IN'!$N$10="Yes",-PVLoan!F441,0)</f>
        <v>0</v>
      </c>
      <c r="AG413" s="10">
        <f>IF(AND('PV IN'!$D$35="YES",$C413&lt;='PV IN'!$E$35*12),0,-'PV IN'!$E$18*'PV IN'!$E$34/12)</f>
        <v>-750</v>
      </c>
      <c r="AH413" s="10">
        <f>IF(AND('PV IN'!$D$37="YES",$C413&lt;='PV IN'!$E$37*12),0,-'PV IN'!$E$18*'PV IN'!$E$36/12)</f>
        <v>-625</v>
      </c>
      <c r="AI413" s="2">
        <f>IF(AND('PV IN'!$D$33="YES",PVCalcs!C413=ROUNDUP('PV IN'!$H$33*12,)),-'PV IN'!$E$33*'PV IN'!$E$18,0)</f>
        <v>0</v>
      </c>
      <c r="AK413" s="2">
        <f t="shared" si="110"/>
        <v>9165.5855671442932</v>
      </c>
      <c r="AL413" s="2">
        <f t="shared" si="98"/>
        <v>-1375</v>
      </c>
      <c r="AM413" s="2">
        <f t="shared" si="99"/>
        <v>7790.5855671442932</v>
      </c>
      <c r="AN413" s="43"/>
      <c r="AO413" s="2">
        <f t="shared" si="100"/>
        <v>0</v>
      </c>
      <c r="AP413" s="2">
        <f t="shared" si="101"/>
        <v>-1375</v>
      </c>
      <c r="AR413" s="2">
        <f t="shared" si="102"/>
        <v>-1375</v>
      </c>
      <c r="AS413" s="2">
        <f>-AR413*'PV IN'!$E$8</f>
        <v>288.75</v>
      </c>
      <c r="AT413" s="2">
        <f>IF('PV IN'!$F$4="Battery Only",0,AM413+AS413)</f>
        <v>8079.3355671442932</v>
      </c>
      <c r="AV413" s="10">
        <f t="shared" si="103"/>
        <v>2866296.5696458011</v>
      </c>
      <c r="AW413" s="2">
        <f>AT413/(1+('PV IN'!$G$9))^(C413)</f>
        <v>1531.699967680358</v>
      </c>
      <c r="AX413" s="2" t="e">
        <f>IF(C413&lt;='PV IN'!$O$22*12,AW413+AX412,NA())</f>
        <v>#N/A</v>
      </c>
      <c r="AZ413" s="10">
        <f t="shared" si="104"/>
        <v>-1375</v>
      </c>
      <c r="BA413" s="10">
        <f t="shared" si="111"/>
        <v>0</v>
      </c>
      <c r="BB413" s="10">
        <f t="shared" si="105"/>
        <v>-1375</v>
      </c>
      <c r="BC413" s="10">
        <f t="shared" si="106"/>
        <v>0</v>
      </c>
      <c r="BD413" s="10">
        <f t="shared" si="107"/>
        <v>-1375</v>
      </c>
      <c r="BE413" s="2">
        <f t="shared" si="108"/>
        <v>0</v>
      </c>
      <c r="BF413" s="10">
        <f t="shared" si="109"/>
        <v>-1375</v>
      </c>
      <c r="BG413" s="2">
        <f>-BF413*'PV IN'!$E$8</f>
        <v>288.75</v>
      </c>
      <c r="BH413" s="2">
        <f>IF('PV IN'!$F$4="Battery Only",0,BB413+BG413)</f>
        <v>-1086.25</v>
      </c>
      <c r="BI413" s="2">
        <f>BH413/(1+('PV IN'!$G$9))^(C413)</f>
        <v>-205.93390088399011</v>
      </c>
    </row>
    <row r="414" spans="2:61" x14ac:dyDescent="0.25">
      <c r="C414">
        <v>410</v>
      </c>
      <c r="D414" s="16">
        <f>D413*(1+('PV IN'!$G$6/12))</f>
        <v>7.5999999999999998E-2</v>
      </c>
      <c r="E414" s="16">
        <f>LkUP!$U$50</f>
        <v>7.8896523189157505E-2</v>
      </c>
      <c r="F414" s="16">
        <f>IF('PV IN'!$D$7="Table",E414,D414)</f>
        <v>7.8896523189157505E-2</v>
      </c>
      <c r="G414" s="33">
        <f>('PV IN'!$E$25*'PV IN'!$E$18/12)*(1-(1-'PV IN'!$E$27)/(25*12))^C413</f>
        <v>116094.78854734823</v>
      </c>
      <c r="H414" s="33">
        <f>IF('PV IN'!$D$19="YES",G414*'PV IN'!$E$21,0)</f>
        <v>0</v>
      </c>
      <c r="I414" s="33">
        <f>IF('PV IN'!$D$19="YES",'PV IN'!$E$22*BattCalcs!W414,0)</f>
        <v>0</v>
      </c>
      <c r="J414" s="33">
        <f>IF('PV IN'!$D$19="YES",'PV IN'!$E$23*BattCalcs!Y414,0)</f>
        <v>0</v>
      </c>
      <c r="K414" s="33">
        <f>BattCalcs!AF414</f>
        <v>25811.765833333331</v>
      </c>
      <c r="L414" s="33">
        <f t="shared" si="97"/>
        <v>25811.765833333331</v>
      </c>
      <c r="M414" s="33">
        <f>IF('PV IN'!$F$4="PV Only",G414,G414-SUM(H414:J414,L414))</f>
        <v>116094.78854734823</v>
      </c>
      <c r="N414" s="2">
        <f>IF(C414&lt;='PV IN'!$I$12*12,'PV IN'!$E$12*G414/1000,0)</f>
        <v>0</v>
      </c>
      <c r="O414" s="2">
        <f>IF(AND(C414&gt;'PV IN'!$I$12*12,C414&lt;='PV IN'!$I$13*12+'PV IN'!$I$12*12),'PV IN'!$E$13*PVCalcs!G414/1000,0)</f>
        <v>0</v>
      </c>
      <c r="P414" s="2">
        <f>IF(AND(C414&gt;'PV IN'!$I$12*12+'PV IN'!$I$13*12,C414&lt;='PV IN'!$I$12*12+'PV IN'!$I$13*12+'PV IN'!$I$14*12),'PV IN'!$E$14*PVCalcs!G414/1000,0)</f>
        <v>0</v>
      </c>
      <c r="R414" s="10">
        <f>IF(AND('PV IN'!$D$35="YES",$C414&lt;='PV IN'!$E$35*12),-'PV IN'!$E$18*'PV IN'!$E$34/12,0)</f>
        <v>0</v>
      </c>
      <c r="S414" s="10">
        <f>IF(AND('PV IN'!$D$37="YES",$C414&lt;='PV IN'!$E$37*12),-'PV IN'!$E$18*'PV IN'!$E$36/12,0)</f>
        <v>0</v>
      </c>
      <c r="U414" s="2">
        <f t="shared" si="112"/>
        <v>9159.4751767661965</v>
      </c>
      <c r="V414" s="10">
        <f>PVLoan!M441</f>
        <v>0</v>
      </c>
      <c r="W414" s="2">
        <f>IF(C414='PV IN'!$I$40,IF('PV IN'!$G$40="Non-Taxable",'PV IN'!$F$40,0),0)+IF(C414='PV IN'!$I$41,IF('PV IN'!$G$41="Non-Taxable",'PV IN'!$F$41,0),0)</f>
        <v>0</v>
      </c>
      <c r="X414" s="10"/>
      <c r="Y414" s="10">
        <f>IF('PV IN'!$E$15="Non-Taxable",SUM(N414:P414),0)</f>
        <v>0</v>
      </c>
      <c r="Z414" s="10">
        <f>IF('PV IN'!$E$15="Taxable",SUM(N414:P414),0)</f>
        <v>0</v>
      </c>
      <c r="AA414" s="2">
        <f>IF(C414='PV IN'!$I$40,IF('PV IN'!$G$40="Taxable",'PV IN'!$F$40,0),0)+IF(C414='PV IN'!$I$41,IF('PV IN'!$G$41="Taxable",'PV IN'!$F$41,0),0)</f>
        <v>0</v>
      </c>
      <c r="AD414" s="10">
        <f>IF('PV IN'!$D$48="YES",-U414*'PV IN'!$E$8,0)</f>
        <v>0</v>
      </c>
      <c r="AE414" s="10">
        <f>IF('PV IN'!$N$10="Yes",-PVLoan!H442,-PVLoan!L442)</f>
        <v>0</v>
      </c>
      <c r="AF414" s="10">
        <f>IF('PV IN'!$N$10="Yes",-PVLoan!F442,0)</f>
        <v>0</v>
      </c>
      <c r="AG414" s="10">
        <f>IF(AND('PV IN'!$D$35="YES",$C414&lt;='PV IN'!$E$35*12),0,-'PV IN'!$E$18*'PV IN'!$E$34/12)</f>
        <v>-750</v>
      </c>
      <c r="AH414" s="10">
        <f>IF(AND('PV IN'!$D$37="YES",$C414&lt;='PV IN'!$E$37*12),0,-'PV IN'!$E$18*'PV IN'!$E$36/12)</f>
        <v>-625</v>
      </c>
      <c r="AI414" s="2">
        <f>IF(AND('PV IN'!$D$33="YES",PVCalcs!C414=ROUNDUP('PV IN'!$H$33*12,)),-'PV IN'!$E$33*'PV IN'!$E$18,0)</f>
        <v>0</v>
      </c>
      <c r="AK414" s="2">
        <f t="shared" si="110"/>
        <v>9159.4751767661965</v>
      </c>
      <c r="AL414" s="2">
        <f t="shared" si="98"/>
        <v>-1375</v>
      </c>
      <c r="AM414" s="2">
        <f t="shared" si="99"/>
        <v>7784.4751767661965</v>
      </c>
      <c r="AN414" s="43"/>
      <c r="AO414" s="2">
        <f t="shared" si="100"/>
        <v>0</v>
      </c>
      <c r="AP414" s="2">
        <f t="shared" si="101"/>
        <v>-1375</v>
      </c>
      <c r="AR414" s="2">
        <f t="shared" si="102"/>
        <v>-1375</v>
      </c>
      <c r="AS414" s="2">
        <f>-AR414*'PV IN'!$E$8</f>
        <v>288.75</v>
      </c>
      <c r="AT414" s="2">
        <f>IF('PV IN'!$F$4="Battery Only",0,AM414+AS414)</f>
        <v>8073.2251767661965</v>
      </c>
      <c r="AV414" s="10">
        <f t="shared" si="103"/>
        <v>2874369.7948225671</v>
      </c>
      <c r="AW414" s="2">
        <f>AT414/(1+('PV IN'!$G$9))^(C414)</f>
        <v>1524.3312309790253</v>
      </c>
      <c r="AX414" s="2" t="e">
        <f>IF(C414&lt;='PV IN'!$O$22*12,AW414+AX413,NA())</f>
        <v>#N/A</v>
      </c>
      <c r="AZ414" s="10">
        <f t="shared" si="104"/>
        <v>-1375</v>
      </c>
      <c r="BA414" s="10">
        <f t="shared" si="111"/>
        <v>0</v>
      </c>
      <c r="BB414" s="10">
        <f t="shared" si="105"/>
        <v>-1375</v>
      </c>
      <c r="BC414" s="10">
        <f t="shared" si="106"/>
        <v>0</v>
      </c>
      <c r="BD414" s="10">
        <f t="shared" si="107"/>
        <v>-1375</v>
      </c>
      <c r="BE414" s="2">
        <f t="shared" si="108"/>
        <v>0</v>
      </c>
      <c r="BF414" s="10">
        <f t="shared" si="109"/>
        <v>-1375</v>
      </c>
      <c r="BG414" s="2">
        <f>-BF414*'PV IN'!$E$8</f>
        <v>288.75</v>
      </c>
      <c r="BH414" s="2">
        <f>IF('PV IN'!$F$4="Battery Only",0,BB414+BG414)</f>
        <v>-1086.25</v>
      </c>
      <c r="BI414" s="2">
        <f>BH414/(1+('PV IN'!$G$9))^(C414)</f>
        <v>-205.09830500159714</v>
      </c>
    </row>
    <row r="415" spans="2:61" x14ac:dyDescent="0.25">
      <c r="C415">
        <v>411</v>
      </c>
      <c r="D415" s="16">
        <f>D414*(1+('PV IN'!$G$6/12))</f>
        <v>7.5999999999999998E-2</v>
      </c>
      <c r="E415" s="16">
        <f>LkUP!$U$50</f>
        <v>7.8896523189157505E-2</v>
      </c>
      <c r="F415" s="16">
        <f>IF('PV IN'!$D$7="Table",E415,D415)</f>
        <v>7.8896523189157505E-2</v>
      </c>
      <c r="G415" s="33">
        <f>('PV IN'!$E$25*'PV IN'!$E$18/12)*(1-(1-'PV IN'!$E$27)/(25*12))^C414</f>
        <v>116017.39202164998</v>
      </c>
      <c r="H415" s="33">
        <f>IF('PV IN'!$D$19="YES",G415*'PV IN'!$E$21,0)</f>
        <v>0</v>
      </c>
      <c r="I415" s="33">
        <f>IF('PV IN'!$D$19="YES",'PV IN'!$E$22*BattCalcs!W415,0)</f>
        <v>0</v>
      </c>
      <c r="J415" s="33">
        <f>IF('PV IN'!$D$19="YES",'PV IN'!$E$23*BattCalcs!Y415,0)</f>
        <v>0</v>
      </c>
      <c r="K415" s="33">
        <f>BattCalcs!AF415</f>
        <v>25811.765833333331</v>
      </c>
      <c r="L415" s="33">
        <f t="shared" si="97"/>
        <v>25811.765833333331</v>
      </c>
      <c r="M415" s="33">
        <f>IF('PV IN'!$F$4="PV Only",G415,G415-SUM(H415:J415,L415))</f>
        <v>116017.39202164998</v>
      </c>
      <c r="N415" s="2">
        <f>IF(C415&lt;='PV IN'!$I$12*12,'PV IN'!$E$12*G415/1000,0)</f>
        <v>0</v>
      </c>
      <c r="O415" s="2">
        <f>IF(AND(C415&gt;'PV IN'!$I$12*12,C415&lt;='PV IN'!$I$13*12+'PV IN'!$I$12*12),'PV IN'!$E$13*PVCalcs!G415/1000,0)</f>
        <v>0</v>
      </c>
      <c r="P415" s="2">
        <f>IF(AND(C415&gt;'PV IN'!$I$12*12+'PV IN'!$I$13*12,C415&lt;='PV IN'!$I$12*12+'PV IN'!$I$13*12+'PV IN'!$I$14*12),'PV IN'!$E$14*PVCalcs!G415/1000,0)</f>
        <v>0</v>
      </c>
      <c r="R415" s="10">
        <f>IF(AND('PV IN'!$D$35="YES",$C415&lt;='PV IN'!$E$35*12),-'PV IN'!$E$18*'PV IN'!$E$34/12,0)</f>
        <v>0</v>
      </c>
      <c r="S415" s="10">
        <f>IF(AND('PV IN'!$D$37="YES",$C415&lt;='PV IN'!$E$37*12),-'PV IN'!$E$18*'PV IN'!$E$36/12,0)</f>
        <v>0</v>
      </c>
      <c r="U415" s="2">
        <f t="shared" si="112"/>
        <v>9153.3688599816851</v>
      </c>
      <c r="V415" s="10">
        <f>PVLoan!M442</f>
        <v>0</v>
      </c>
      <c r="W415" s="2">
        <f>IF(C415='PV IN'!$I$40,IF('PV IN'!$G$40="Non-Taxable",'PV IN'!$F$40,0),0)+IF(C415='PV IN'!$I$41,IF('PV IN'!$G$41="Non-Taxable",'PV IN'!$F$41,0),0)</f>
        <v>0</v>
      </c>
      <c r="X415" s="10"/>
      <c r="Y415" s="10">
        <f>IF('PV IN'!$E$15="Non-Taxable",SUM(N415:P415),0)</f>
        <v>0</v>
      </c>
      <c r="Z415" s="10">
        <f>IF('PV IN'!$E$15="Taxable",SUM(N415:P415),0)</f>
        <v>0</v>
      </c>
      <c r="AA415" s="2">
        <f>IF(C415='PV IN'!$I$40,IF('PV IN'!$G$40="Taxable",'PV IN'!$F$40,0),0)+IF(C415='PV IN'!$I$41,IF('PV IN'!$G$41="Taxable",'PV IN'!$F$41,0),0)</f>
        <v>0</v>
      </c>
      <c r="AD415" s="10">
        <f>IF('PV IN'!$D$48="YES",-U415*'PV IN'!$E$8,0)</f>
        <v>0</v>
      </c>
      <c r="AE415" s="10">
        <f>IF('PV IN'!$N$10="Yes",-PVLoan!H443,-PVLoan!L443)</f>
        <v>0</v>
      </c>
      <c r="AF415" s="10">
        <f>IF('PV IN'!$N$10="Yes",-PVLoan!F443,0)</f>
        <v>0</v>
      </c>
      <c r="AG415" s="10">
        <f>IF(AND('PV IN'!$D$35="YES",$C415&lt;='PV IN'!$E$35*12),0,-'PV IN'!$E$18*'PV IN'!$E$34/12)</f>
        <v>-750</v>
      </c>
      <c r="AH415" s="10">
        <f>IF(AND('PV IN'!$D$37="YES",$C415&lt;='PV IN'!$E$37*12),0,-'PV IN'!$E$18*'PV IN'!$E$36/12)</f>
        <v>-625</v>
      </c>
      <c r="AI415" s="2">
        <f>IF(AND('PV IN'!$D$33="YES",PVCalcs!C415=ROUNDUP('PV IN'!$H$33*12,)),-'PV IN'!$E$33*'PV IN'!$E$18,0)</f>
        <v>0</v>
      </c>
      <c r="AK415" s="2">
        <f t="shared" si="110"/>
        <v>9153.3688599816851</v>
      </c>
      <c r="AL415" s="2">
        <f t="shared" si="98"/>
        <v>-1375</v>
      </c>
      <c r="AM415" s="2">
        <f t="shared" si="99"/>
        <v>7778.3688599816851</v>
      </c>
      <c r="AN415" s="43"/>
      <c r="AO415" s="2">
        <f t="shared" si="100"/>
        <v>0</v>
      </c>
      <c r="AP415" s="2">
        <f t="shared" si="101"/>
        <v>-1375</v>
      </c>
      <c r="AR415" s="2">
        <f t="shared" si="102"/>
        <v>-1375</v>
      </c>
      <c r="AS415" s="2">
        <f>-AR415*'PV IN'!$E$8</f>
        <v>288.75</v>
      </c>
      <c r="AT415" s="2">
        <f>IF('PV IN'!$F$4="Battery Only",0,AM415+AS415)</f>
        <v>8067.1188599816851</v>
      </c>
      <c r="AV415" s="10">
        <f t="shared" si="103"/>
        <v>2882436.9136825488</v>
      </c>
      <c r="AW415" s="2">
        <f>AT415/(1+('PV IN'!$G$9))^(C415)</f>
        <v>1516.9978409713935</v>
      </c>
      <c r="AX415" s="2" t="e">
        <f>IF(C415&lt;='PV IN'!$O$22*12,AW415+AX414,NA())</f>
        <v>#N/A</v>
      </c>
      <c r="AZ415" s="10">
        <f t="shared" si="104"/>
        <v>-1375</v>
      </c>
      <c r="BA415" s="10">
        <f t="shared" si="111"/>
        <v>0</v>
      </c>
      <c r="BB415" s="10">
        <f t="shared" si="105"/>
        <v>-1375</v>
      </c>
      <c r="BC415" s="10">
        <f t="shared" si="106"/>
        <v>0</v>
      </c>
      <c r="BD415" s="10">
        <f t="shared" si="107"/>
        <v>-1375</v>
      </c>
      <c r="BE415" s="2">
        <f t="shared" si="108"/>
        <v>0</v>
      </c>
      <c r="BF415" s="10">
        <f t="shared" si="109"/>
        <v>-1375</v>
      </c>
      <c r="BG415" s="2">
        <f>-BF415*'PV IN'!$E$8</f>
        <v>288.75</v>
      </c>
      <c r="BH415" s="2">
        <f>IF('PV IN'!$F$4="Battery Only",0,BB415+BG415)</f>
        <v>-1086.25</v>
      </c>
      <c r="BI415" s="2">
        <f>BH415/(1+('PV IN'!$G$9))^(C415)</f>
        <v>-204.26609962691407</v>
      </c>
    </row>
    <row r="416" spans="2:61" x14ac:dyDescent="0.25">
      <c r="C416">
        <v>412</v>
      </c>
      <c r="D416" s="16">
        <f>D415*(1+('PV IN'!$G$6/12))</f>
        <v>7.5999999999999998E-2</v>
      </c>
      <c r="E416" s="16">
        <f>LkUP!$U$50</f>
        <v>7.8896523189157505E-2</v>
      </c>
      <c r="F416" s="16">
        <f>IF('PV IN'!$D$7="Table",E416,D416)</f>
        <v>7.8896523189157505E-2</v>
      </c>
      <c r="G416" s="33">
        <f>('PV IN'!$E$25*'PV IN'!$E$18/12)*(1-(1-'PV IN'!$E$27)/(25*12))^C415</f>
        <v>115940.04709363556</v>
      </c>
      <c r="H416" s="33">
        <f>IF('PV IN'!$D$19="YES",G416*'PV IN'!$E$21,0)</f>
        <v>0</v>
      </c>
      <c r="I416" s="33">
        <f>IF('PV IN'!$D$19="YES",'PV IN'!$E$22*BattCalcs!W416,0)</f>
        <v>0</v>
      </c>
      <c r="J416" s="33">
        <f>IF('PV IN'!$D$19="YES",'PV IN'!$E$23*BattCalcs!Y416,0)</f>
        <v>0</v>
      </c>
      <c r="K416" s="33">
        <f>BattCalcs!AF416</f>
        <v>25811.765833333331</v>
      </c>
      <c r="L416" s="33">
        <f t="shared" si="97"/>
        <v>25811.765833333331</v>
      </c>
      <c r="M416" s="33">
        <f>IF('PV IN'!$F$4="PV Only",G416,G416-SUM(H416:J416,L416))</f>
        <v>115940.04709363556</v>
      </c>
      <c r="N416" s="2">
        <f>IF(C416&lt;='PV IN'!$I$12*12,'PV IN'!$E$12*G416/1000,0)</f>
        <v>0</v>
      </c>
      <c r="O416" s="2">
        <f>IF(AND(C416&gt;'PV IN'!$I$12*12,C416&lt;='PV IN'!$I$13*12+'PV IN'!$I$12*12),'PV IN'!$E$13*PVCalcs!G416/1000,0)</f>
        <v>0</v>
      </c>
      <c r="P416" s="2">
        <f>IF(AND(C416&gt;'PV IN'!$I$12*12+'PV IN'!$I$13*12,C416&lt;='PV IN'!$I$12*12+'PV IN'!$I$13*12+'PV IN'!$I$14*12),'PV IN'!$E$14*PVCalcs!G416/1000,0)</f>
        <v>0</v>
      </c>
      <c r="R416" s="10">
        <f>IF(AND('PV IN'!$D$35="YES",$C416&lt;='PV IN'!$E$35*12),-'PV IN'!$E$18*'PV IN'!$E$34/12,0)</f>
        <v>0</v>
      </c>
      <c r="S416" s="10">
        <f>IF(AND('PV IN'!$D$37="YES",$C416&lt;='PV IN'!$E$37*12),-'PV IN'!$E$18*'PV IN'!$E$36/12,0)</f>
        <v>0</v>
      </c>
      <c r="U416" s="2">
        <f t="shared" si="112"/>
        <v>9147.2666140750316</v>
      </c>
      <c r="V416" s="10">
        <f>PVLoan!M443</f>
        <v>0</v>
      </c>
      <c r="W416" s="2">
        <f>IF(C416='PV IN'!$I$40,IF('PV IN'!$G$40="Non-Taxable",'PV IN'!$F$40,0),0)+IF(C416='PV IN'!$I$41,IF('PV IN'!$G$41="Non-Taxable",'PV IN'!$F$41,0),0)</f>
        <v>0</v>
      </c>
      <c r="X416" s="10"/>
      <c r="Y416" s="10">
        <f>IF('PV IN'!$E$15="Non-Taxable",SUM(N416:P416),0)</f>
        <v>0</v>
      </c>
      <c r="Z416" s="10">
        <f>IF('PV IN'!$E$15="Taxable",SUM(N416:P416),0)</f>
        <v>0</v>
      </c>
      <c r="AA416" s="2">
        <f>IF(C416='PV IN'!$I$40,IF('PV IN'!$G$40="Taxable",'PV IN'!$F$40,0),0)+IF(C416='PV IN'!$I$41,IF('PV IN'!$G$41="Taxable",'PV IN'!$F$41,0),0)</f>
        <v>0</v>
      </c>
      <c r="AD416" s="10">
        <f>IF('PV IN'!$D$48="YES",-U416*'PV IN'!$E$8,0)</f>
        <v>0</v>
      </c>
      <c r="AE416" s="10">
        <f>IF('PV IN'!$N$10="Yes",-PVLoan!H444,-PVLoan!L444)</f>
        <v>0</v>
      </c>
      <c r="AF416" s="10">
        <f>IF('PV IN'!$N$10="Yes",-PVLoan!F444,0)</f>
        <v>0</v>
      </c>
      <c r="AG416" s="10">
        <f>IF(AND('PV IN'!$D$35="YES",$C416&lt;='PV IN'!$E$35*12),0,-'PV IN'!$E$18*'PV IN'!$E$34/12)</f>
        <v>-750</v>
      </c>
      <c r="AH416" s="10">
        <f>IF(AND('PV IN'!$D$37="YES",$C416&lt;='PV IN'!$E$37*12),0,-'PV IN'!$E$18*'PV IN'!$E$36/12)</f>
        <v>-625</v>
      </c>
      <c r="AI416" s="2">
        <f>IF(AND('PV IN'!$D$33="YES",PVCalcs!C416=ROUNDUP('PV IN'!$H$33*12,)),-'PV IN'!$E$33*'PV IN'!$E$18,0)</f>
        <v>0</v>
      </c>
      <c r="AK416" s="2">
        <f t="shared" si="110"/>
        <v>9147.2666140750316</v>
      </c>
      <c r="AL416" s="2">
        <f t="shared" si="98"/>
        <v>-1375</v>
      </c>
      <c r="AM416" s="2">
        <f t="shared" si="99"/>
        <v>7772.2666140750316</v>
      </c>
      <c r="AN416" s="43"/>
      <c r="AO416" s="2">
        <f t="shared" si="100"/>
        <v>0</v>
      </c>
      <c r="AP416" s="2">
        <f t="shared" si="101"/>
        <v>-1375</v>
      </c>
      <c r="AR416" s="2">
        <f t="shared" si="102"/>
        <v>-1375</v>
      </c>
      <c r="AS416" s="2">
        <f>-AR416*'PV IN'!$E$8</f>
        <v>288.75</v>
      </c>
      <c r="AT416" s="2">
        <f>IF('PV IN'!$F$4="Battery Only",0,AM416+AS416)</f>
        <v>8061.0166140750316</v>
      </c>
      <c r="AV416" s="10">
        <f t="shared" si="103"/>
        <v>2890497.9302966236</v>
      </c>
      <c r="AW416" s="2">
        <f>AT416/(1+('PV IN'!$G$9))^(C416)</f>
        <v>1509.6996285149633</v>
      </c>
      <c r="AX416" s="2" t="e">
        <f>IF(C416&lt;='PV IN'!$O$22*12,AW416+AX415,NA())</f>
        <v>#N/A</v>
      </c>
      <c r="AZ416" s="10">
        <f t="shared" si="104"/>
        <v>-1375</v>
      </c>
      <c r="BA416" s="10">
        <f t="shared" si="111"/>
        <v>0</v>
      </c>
      <c r="BB416" s="10">
        <f t="shared" si="105"/>
        <v>-1375</v>
      </c>
      <c r="BC416" s="10">
        <f t="shared" si="106"/>
        <v>0</v>
      </c>
      <c r="BD416" s="10">
        <f t="shared" si="107"/>
        <v>-1375</v>
      </c>
      <c r="BE416" s="2">
        <f t="shared" si="108"/>
        <v>0</v>
      </c>
      <c r="BF416" s="10">
        <f t="shared" si="109"/>
        <v>-1375</v>
      </c>
      <c r="BG416" s="2">
        <f>-BF416*'PV IN'!$E$8</f>
        <v>288.75</v>
      </c>
      <c r="BH416" s="2">
        <f>IF('PV IN'!$F$4="Battery Only",0,BB416+BG416)</f>
        <v>-1086.25</v>
      </c>
      <c r="BI416" s="2">
        <f>BH416/(1+('PV IN'!$G$9))^(C416)</f>
        <v>-203.43727100264164</v>
      </c>
    </row>
    <row r="417" spans="2:61" x14ac:dyDescent="0.25">
      <c r="C417">
        <v>413</v>
      </c>
      <c r="D417" s="16">
        <f>D416*(1+('PV IN'!$G$6/12))</f>
        <v>7.5999999999999998E-2</v>
      </c>
      <c r="E417" s="16">
        <f>LkUP!$U$50</f>
        <v>7.8896523189157505E-2</v>
      </c>
      <c r="F417" s="16">
        <f>IF('PV IN'!$D$7="Table",E417,D417)</f>
        <v>7.8896523189157505E-2</v>
      </c>
      <c r="G417" s="33">
        <f>('PV IN'!$E$25*'PV IN'!$E$18/12)*(1-(1-'PV IN'!$E$27)/(25*12))^C416</f>
        <v>115862.75372890646</v>
      </c>
      <c r="H417" s="33">
        <f>IF('PV IN'!$D$19="YES",G417*'PV IN'!$E$21,0)</f>
        <v>0</v>
      </c>
      <c r="I417" s="33">
        <f>IF('PV IN'!$D$19="YES",'PV IN'!$E$22*BattCalcs!W417,0)</f>
        <v>0</v>
      </c>
      <c r="J417" s="33">
        <f>IF('PV IN'!$D$19="YES",'PV IN'!$E$23*BattCalcs!Y417,0)</f>
        <v>0</v>
      </c>
      <c r="K417" s="33">
        <f>BattCalcs!AF417</f>
        <v>25811.765833333331</v>
      </c>
      <c r="L417" s="33">
        <f t="shared" si="97"/>
        <v>25811.765833333331</v>
      </c>
      <c r="M417" s="33">
        <f>IF('PV IN'!$F$4="PV Only",G417,G417-SUM(H417:J417,L417))</f>
        <v>115862.75372890646</v>
      </c>
      <c r="N417" s="2">
        <f>IF(C417&lt;='PV IN'!$I$12*12,'PV IN'!$E$12*G417/1000,0)</f>
        <v>0</v>
      </c>
      <c r="O417" s="2">
        <f>IF(AND(C417&gt;'PV IN'!$I$12*12,C417&lt;='PV IN'!$I$13*12+'PV IN'!$I$12*12),'PV IN'!$E$13*PVCalcs!G417/1000,0)</f>
        <v>0</v>
      </c>
      <c r="P417" s="2">
        <f>IF(AND(C417&gt;'PV IN'!$I$12*12+'PV IN'!$I$13*12,C417&lt;='PV IN'!$I$12*12+'PV IN'!$I$13*12+'PV IN'!$I$14*12),'PV IN'!$E$14*PVCalcs!G417/1000,0)</f>
        <v>0</v>
      </c>
      <c r="R417" s="10">
        <f>IF(AND('PV IN'!$D$35="YES",$C417&lt;='PV IN'!$E$35*12),-'PV IN'!$E$18*'PV IN'!$E$34/12,0)</f>
        <v>0</v>
      </c>
      <c r="S417" s="10">
        <f>IF(AND('PV IN'!$D$37="YES",$C417&lt;='PV IN'!$E$37*12),-'PV IN'!$E$18*'PV IN'!$E$36/12,0)</f>
        <v>0</v>
      </c>
      <c r="U417" s="2">
        <f t="shared" si="112"/>
        <v>9141.1684363323147</v>
      </c>
      <c r="V417" s="10">
        <f>PVLoan!M444</f>
        <v>0</v>
      </c>
      <c r="W417" s="2">
        <f>IF(C417='PV IN'!$I$40,IF('PV IN'!$G$40="Non-Taxable",'PV IN'!$F$40,0),0)+IF(C417='PV IN'!$I$41,IF('PV IN'!$G$41="Non-Taxable",'PV IN'!$F$41,0),0)</f>
        <v>0</v>
      </c>
      <c r="X417" s="10"/>
      <c r="Y417" s="10">
        <f>IF('PV IN'!$E$15="Non-Taxable",SUM(N417:P417),0)</f>
        <v>0</v>
      </c>
      <c r="Z417" s="10">
        <f>IF('PV IN'!$E$15="Taxable",SUM(N417:P417),0)</f>
        <v>0</v>
      </c>
      <c r="AA417" s="2">
        <f>IF(C417='PV IN'!$I$40,IF('PV IN'!$G$40="Taxable",'PV IN'!$F$40,0),0)+IF(C417='PV IN'!$I$41,IF('PV IN'!$G$41="Taxable",'PV IN'!$F$41,0),0)</f>
        <v>0</v>
      </c>
      <c r="AD417" s="10">
        <f>IF('PV IN'!$D$48="YES",-U417*'PV IN'!$E$8,0)</f>
        <v>0</v>
      </c>
      <c r="AE417" s="10">
        <f>IF('PV IN'!$N$10="Yes",-PVLoan!H445,-PVLoan!L445)</f>
        <v>0</v>
      </c>
      <c r="AF417" s="10">
        <f>IF('PV IN'!$N$10="Yes",-PVLoan!F445,0)</f>
        <v>0</v>
      </c>
      <c r="AG417" s="10">
        <f>IF(AND('PV IN'!$D$35="YES",$C417&lt;='PV IN'!$E$35*12),0,-'PV IN'!$E$18*'PV IN'!$E$34/12)</f>
        <v>-750</v>
      </c>
      <c r="AH417" s="10">
        <f>IF(AND('PV IN'!$D$37="YES",$C417&lt;='PV IN'!$E$37*12),0,-'PV IN'!$E$18*'PV IN'!$E$36/12)</f>
        <v>-625</v>
      </c>
      <c r="AI417" s="2">
        <f>IF(AND('PV IN'!$D$33="YES",PVCalcs!C417=ROUNDUP('PV IN'!$H$33*12,)),-'PV IN'!$E$33*'PV IN'!$E$18,0)</f>
        <v>0</v>
      </c>
      <c r="AK417" s="2">
        <f t="shared" si="110"/>
        <v>9141.1684363323147</v>
      </c>
      <c r="AL417" s="2">
        <f t="shared" si="98"/>
        <v>-1375</v>
      </c>
      <c r="AM417" s="2">
        <f t="shared" si="99"/>
        <v>7766.1684363323147</v>
      </c>
      <c r="AN417" s="43"/>
      <c r="AO417" s="2">
        <f t="shared" si="100"/>
        <v>0</v>
      </c>
      <c r="AP417" s="2">
        <f t="shared" si="101"/>
        <v>-1375</v>
      </c>
      <c r="AR417" s="2">
        <f t="shared" si="102"/>
        <v>-1375</v>
      </c>
      <c r="AS417" s="2">
        <f>-AR417*'PV IN'!$E$8</f>
        <v>288.75</v>
      </c>
      <c r="AT417" s="2">
        <f>IF('PV IN'!$F$4="Battery Only",0,AM417+AS417)</f>
        <v>8054.9184363323147</v>
      </c>
      <c r="AV417" s="10">
        <f t="shared" si="103"/>
        <v>2898552.8487329558</v>
      </c>
      <c r="AW417" s="2">
        <f>AT417/(1+('PV IN'!$G$9))^(C417)</f>
        <v>1502.4364252749856</v>
      </c>
      <c r="AX417" s="2" t="e">
        <f>IF(C417&lt;='PV IN'!$O$22*12,AW417+AX416,NA())</f>
        <v>#N/A</v>
      </c>
      <c r="AZ417" s="10">
        <f t="shared" si="104"/>
        <v>-1375</v>
      </c>
      <c r="BA417" s="10">
        <f t="shared" si="111"/>
        <v>0</v>
      </c>
      <c r="BB417" s="10">
        <f t="shared" si="105"/>
        <v>-1375</v>
      </c>
      <c r="BC417" s="10">
        <f t="shared" si="106"/>
        <v>0</v>
      </c>
      <c r="BD417" s="10">
        <f t="shared" si="107"/>
        <v>-1375</v>
      </c>
      <c r="BE417" s="2">
        <f t="shared" si="108"/>
        <v>0</v>
      </c>
      <c r="BF417" s="10">
        <f t="shared" si="109"/>
        <v>-1375</v>
      </c>
      <c r="BG417" s="2">
        <f>-BF417*'PV IN'!$E$8</f>
        <v>288.75</v>
      </c>
      <c r="BH417" s="2">
        <f>IF('PV IN'!$F$4="Battery Only",0,BB417+BG417)</f>
        <v>-1086.25</v>
      </c>
      <c r="BI417" s="2">
        <f>BH417/(1+('PV IN'!$G$9))^(C417)</f>
        <v>-202.6118054273023</v>
      </c>
    </row>
    <row r="418" spans="2:61" x14ac:dyDescent="0.25">
      <c r="C418">
        <v>414</v>
      </c>
      <c r="D418" s="16">
        <f>D417*(1+('PV IN'!$G$6/12))</f>
        <v>7.5999999999999998E-2</v>
      </c>
      <c r="E418" s="16">
        <f>LkUP!$U$50</f>
        <v>7.8896523189157505E-2</v>
      </c>
      <c r="F418" s="16">
        <f>IF('PV IN'!$D$7="Table",E418,D418)</f>
        <v>7.8896523189157505E-2</v>
      </c>
      <c r="G418" s="33">
        <f>('PV IN'!$E$25*'PV IN'!$E$18/12)*(1-(1-'PV IN'!$E$27)/(25*12))^C417</f>
        <v>115785.5118930872</v>
      </c>
      <c r="H418" s="33">
        <f>IF('PV IN'!$D$19="YES",G418*'PV IN'!$E$21,0)</f>
        <v>0</v>
      </c>
      <c r="I418" s="33">
        <f>IF('PV IN'!$D$19="YES",'PV IN'!$E$22*BattCalcs!W418,0)</f>
        <v>0</v>
      </c>
      <c r="J418" s="33">
        <f>IF('PV IN'!$D$19="YES",'PV IN'!$E$23*BattCalcs!Y418,0)</f>
        <v>0</v>
      </c>
      <c r="K418" s="33">
        <f>BattCalcs!AF418</f>
        <v>25811.765833333331</v>
      </c>
      <c r="L418" s="33">
        <f t="shared" si="97"/>
        <v>25811.765833333331</v>
      </c>
      <c r="M418" s="33">
        <f>IF('PV IN'!$F$4="PV Only",G418,G418-SUM(H418:J418,L418))</f>
        <v>115785.5118930872</v>
      </c>
      <c r="N418" s="2">
        <f>IF(C418&lt;='PV IN'!$I$12*12,'PV IN'!$E$12*G418/1000,0)</f>
        <v>0</v>
      </c>
      <c r="O418" s="2">
        <f>IF(AND(C418&gt;'PV IN'!$I$12*12,C418&lt;='PV IN'!$I$13*12+'PV IN'!$I$12*12),'PV IN'!$E$13*PVCalcs!G418/1000,0)</f>
        <v>0</v>
      </c>
      <c r="P418" s="2">
        <f>IF(AND(C418&gt;'PV IN'!$I$12*12+'PV IN'!$I$13*12,C418&lt;='PV IN'!$I$12*12+'PV IN'!$I$13*12+'PV IN'!$I$14*12),'PV IN'!$E$14*PVCalcs!G418/1000,0)</f>
        <v>0</v>
      </c>
      <c r="R418" s="10">
        <f>IF(AND('PV IN'!$D$35="YES",$C418&lt;='PV IN'!$E$35*12),-'PV IN'!$E$18*'PV IN'!$E$34/12,0)</f>
        <v>0</v>
      </c>
      <c r="S418" s="10">
        <f>IF(AND('PV IN'!$D$37="YES",$C418&lt;='PV IN'!$E$37*12),-'PV IN'!$E$18*'PV IN'!$E$36/12,0)</f>
        <v>0</v>
      </c>
      <c r="U418" s="2">
        <f t="shared" si="112"/>
        <v>9135.0743240414267</v>
      </c>
      <c r="V418" s="10">
        <f>PVLoan!M445</f>
        <v>0</v>
      </c>
      <c r="W418" s="2">
        <f>IF(C418='PV IN'!$I$40,IF('PV IN'!$G$40="Non-Taxable",'PV IN'!$F$40,0),0)+IF(C418='PV IN'!$I$41,IF('PV IN'!$G$41="Non-Taxable",'PV IN'!$F$41,0),0)</f>
        <v>0</v>
      </c>
      <c r="X418" s="10"/>
      <c r="Y418" s="10">
        <f>IF('PV IN'!$E$15="Non-Taxable",SUM(N418:P418),0)</f>
        <v>0</v>
      </c>
      <c r="Z418" s="10">
        <f>IF('PV IN'!$E$15="Taxable",SUM(N418:P418),0)</f>
        <v>0</v>
      </c>
      <c r="AA418" s="2">
        <f>IF(C418='PV IN'!$I$40,IF('PV IN'!$G$40="Taxable",'PV IN'!$F$40,0),0)+IF(C418='PV IN'!$I$41,IF('PV IN'!$G$41="Taxable",'PV IN'!$F$41,0),0)</f>
        <v>0</v>
      </c>
      <c r="AD418" s="10">
        <f>IF('PV IN'!$D$48="YES",-U418*'PV IN'!$E$8,0)</f>
        <v>0</v>
      </c>
      <c r="AE418" s="10">
        <f>IF('PV IN'!$N$10="Yes",-PVLoan!H446,-PVLoan!L446)</f>
        <v>0</v>
      </c>
      <c r="AF418" s="10">
        <f>IF('PV IN'!$N$10="Yes",-PVLoan!F446,0)</f>
        <v>0</v>
      </c>
      <c r="AG418" s="10">
        <f>IF(AND('PV IN'!$D$35="YES",$C418&lt;='PV IN'!$E$35*12),0,-'PV IN'!$E$18*'PV IN'!$E$34/12)</f>
        <v>-750</v>
      </c>
      <c r="AH418" s="10">
        <f>IF(AND('PV IN'!$D$37="YES",$C418&lt;='PV IN'!$E$37*12),0,-'PV IN'!$E$18*'PV IN'!$E$36/12)</f>
        <v>-625</v>
      </c>
      <c r="AI418" s="2">
        <f>IF(AND('PV IN'!$D$33="YES",PVCalcs!C418=ROUNDUP('PV IN'!$H$33*12,)),-'PV IN'!$E$33*'PV IN'!$E$18,0)</f>
        <v>0</v>
      </c>
      <c r="AK418" s="2">
        <f t="shared" si="110"/>
        <v>9135.0743240414267</v>
      </c>
      <c r="AL418" s="2">
        <f t="shared" si="98"/>
        <v>-1375</v>
      </c>
      <c r="AM418" s="2">
        <f t="shared" si="99"/>
        <v>7760.0743240414267</v>
      </c>
      <c r="AN418" s="43"/>
      <c r="AO418" s="2">
        <f t="shared" si="100"/>
        <v>0</v>
      </c>
      <c r="AP418" s="2">
        <f t="shared" si="101"/>
        <v>-1375</v>
      </c>
      <c r="AR418" s="2">
        <f t="shared" si="102"/>
        <v>-1375</v>
      </c>
      <c r="AS418" s="2">
        <f>-AR418*'PV IN'!$E$8</f>
        <v>288.75</v>
      </c>
      <c r="AT418" s="2">
        <f>IF('PV IN'!$F$4="Battery Only",0,AM418+AS418)</f>
        <v>8048.8243240414267</v>
      </c>
      <c r="AV418" s="10">
        <f t="shared" si="103"/>
        <v>2906601.6730569974</v>
      </c>
      <c r="AW418" s="2">
        <f>AT418/(1+('PV IN'!$G$9))^(C418)</f>
        <v>1495.2080637206107</v>
      </c>
      <c r="AX418" s="2" t="e">
        <f>IF(C418&lt;='PV IN'!$O$22*12,AW418+AX417,NA())</f>
        <v>#N/A</v>
      </c>
      <c r="AZ418" s="10">
        <f t="shared" si="104"/>
        <v>-1375</v>
      </c>
      <c r="BA418" s="10">
        <f t="shared" si="111"/>
        <v>0</v>
      </c>
      <c r="BB418" s="10">
        <f t="shared" si="105"/>
        <v>-1375</v>
      </c>
      <c r="BC418" s="10">
        <f t="shared" si="106"/>
        <v>0</v>
      </c>
      <c r="BD418" s="10">
        <f t="shared" si="107"/>
        <v>-1375</v>
      </c>
      <c r="BE418" s="2">
        <f t="shared" si="108"/>
        <v>0</v>
      </c>
      <c r="BF418" s="10">
        <f t="shared" si="109"/>
        <v>-1375</v>
      </c>
      <c r="BG418" s="2">
        <f>-BF418*'PV IN'!$E$8</f>
        <v>288.75</v>
      </c>
      <c r="BH418" s="2">
        <f>IF('PV IN'!$F$4="Battery Only",0,BB418+BG418)</f>
        <v>-1086.25</v>
      </c>
      <c r="BI418" s="2">
        <f>BH418/(1+('PV IN'!$G$9))^(C418)</f>
        <v>-201.78968925501346</v>
      </c>
    </row>
    <row r="419" spans="2:61" x14ac:dyDescent="0.25">
      <c r="C419">
        <v>415</v>
      </c>
      <c r="D419" s="16">
        <f>D418*(1+('PV IN'!$G$6/12))</f>
        <v>7.5999999999999998E-2</v>
      </c>
      <c r="E419" s="16">
        <f>LkUP!$U$50</f>
        <v>7.8896523189157505E-2</v>
      </c>
      <c r="F419" s="16">
        <f>IF('PV IN'!$D$7="Table",E419,D419)</f>
        <v>7.8896523189157505E-2</v>
      </c>
      <c r="G419" s="33">
        <f>('PV IN'!$E$25*'PV IN'!$E$18/12)*(1-(1-'PV IN'!$E$27)/(25*12))^C418</f>
        <v>115708.32155182509</v>
      </c>
      <c r="H419" s="33">
        <f>IF('PV IN'!$D$19="YES",G419*'PV IN'!$E$21,0)</f>
        <v>0</v>
      </c>
      <c r="I419" s="33">
        <f>IF('PV IN'!$D$19="YES",'PV IN'!$E$22*BattCalcs!W419,0)</f>
        <v>0</v>
      </c>
      <c r="J419" s="33">
        <f>IF('PV IN'!$D$19="YES",'PV IN'!$E$23*BattCalcs!Y419,0)</f>
        <v>0</v>
      </c>
      <c r="K419" s="33">
        <f>BattCalcs!AF419</f>
        <v>25811.765833333331</v>
      </c>
      <c r="L419" s="33">
        <f t="shared" si="97"/>
        <v>25811.765833333331</v>
      </c>
      <c r="M419" s="33">
        <f>IF('PV IN'!$F$4="PV Only",G419,G419-SUM(H419:J419,L419))</f>
        <v>115708.32155182509</v>
      </c>
      <c r="N419" s="2">
        <f>IF(C419&lt;='PV IN'!$I$12*12,'PV IN'!$E$12*G419/1000,0)</f>
        <v>0</v>
      </c>
      <c r="O419" s="2">
        <f>IF(AND(C419&gt;'PV IN'!$I$12*12,C419&lt;='PV IN'!$I$13*12+'PV IN'!$I$12*12),'PV IN'!$E$13*PVCalcs!G419/1000,0)</f>
        <v>0</v>
      </c>
      <c r="P419" s="2">
        <f>IF(AND(C419&gt;'PV IN'!$I$12*12+'PV IN'!$I$13*12,C419&lt;='PV IN'!$I$12*12+'PV IN'!$I$13*12+'PV IN'!$I$14*12),'PV IN'!$E$14*PVCalcs!G419/1000,0)</f>
        <v>0</v>
      </c>
      <c r="R419" s="10">
        <f>IF(AND('PV IN'!$D$35="YES",$C419&lt;='PV IN'!$E$35*12),-'PV IN'!$E$18*'PV IN'!$E$34/12,0)</f>
        <v>0</v>
      </c>
      <c r="S419" s="10">
        <f>IF(AND('PV IN'!$D$37="YES",$C419&lt;='PV IN'!$E$37*12),-'PV IN'!$E$18*'PV IN'!$E$36/12,0)</f>
        <v>0</v>
      </c>
      <c r="U419" s="2">
        <f t="shared" si="112"/>
        <v>9128.9842744920625</v>
      </c>
      <c r="V419" s="10">
        <f>PVLoan!M446</f>
        <v>0</v>
      </c>
      <c r="W419" s="2">
        <f>IF(C419='PV IN'!$I$40,IF('PV IN'!$G$40="Non-Taxable",'PV IN'!$F$40,0),0)+IF(C419='PV IN'!$I$41,IF('PV IN'!$G$41="Non-Taxable",'PV IN'!$F$41,0),0)</f>
        <v>0</v>
      </c>
      <c r="X419" s="10"/>
      <c r="Y419" s="10">
        <f>IF('PV IN'!$E$15="Non-Taxable",SUM(N419:P419),0)</f>
        <v>0</v>
      </c>
      <c r="Z419" s="10">
        <f>IF('PV IN'!$E$15="Taxable",SUM(N419:P419),0)</f>
        <v>0</v>
      </c>
      <c r="AA419" s="2">
        <f>IF(C419='PV IN'!$I$40,IF('PV IN'!$G$40="Taxable",'PV IN'!$F$40,0),0)+IF(C419='PV IN'!$I$41,IF('PV IN'!$G$41="Taxable",'PV IN'!$F$41,0),0)</f>
        <v>0</v>
      </c>
      <c r="AD419" s="10">
        <f>IF('PV IN'!$D$48="YES",-U419*'PV IN'!$E$8,0)</f>
        <v>0</v>
      </c>
      <c r="AE419" s="10">
        <f>IF('PV IN'!$N$10="Yes",-PVLoan!H447,-PVLoan!L447)</f>
        <v>0</v>
      </c>
      <c r="AF419" s="10">
        <f>IF('PV IN'!$N$10="Yes",-PVLoan!F447,0)</f>
        <v>0</v>
      </c>
      <c r="AG419" s="10">
        <f>IF(AND('PV IN'!$D$35="YES",$C419&lt;='PV IN'!$E$35*12),0,-'PV IN'!$E$18*'PV IN'!$E$34/12)</f>
        <v>-750</v>
      </c>
      <c r="AH419" s="10">
        <f>IF(AND('PV IN'!$D$37="YES",$C419&lt;='PV IN'!$E$37*12),0,-'PV IN'!$E$18*'PV IN'!$E$36/12)</f>
        <v>-625</v>
      </c>
      <c r="AI419" s="2">
        <f>IF(AND('PV IN'!$D$33="YES",PVCalcs!C419=ROUNDUP('PV IN'!$H$33*12,)),-'PV IN'!$E$33*'PV IN'!$E$18,0)</f>
        <v>0</v>
      </c>
      <c r="AK419" s="2">
        <f t="shared" si="110"/>
        <v>9128.9842744920625</v>
      </c>
      <c r="AL419" s="2">
        <f t="shared" si="98"/>
        <v>-1375</v>
      </c>
      <c r="AM419" s="2">
        <f t="shared" si="99"/>
        <v>7753.9842744920625</v>
      </c>
      <c r="AN419" s="43"/>
      <c r="AO419" s="2">
        <f t="shared" si="100"/>
        <v>0</v>
      </c>
      <c r="AP419" s="2">
        <f t="shared" si="101"/>
        <v>-1375</v>
      </c>
      <c r="AR419" s="2">
        <f t="shared" si="102"/>
        <v>-1375</v>
      </c>
      <c r="AS419" s="2">
        <f>-AR419*'PV IN'!$E$8</f>
        <v>288.75</v>
      </c>
      <c r="AT419" s="2">
        <f>IF('PV IN'!$F$4="Battery Only",0,AM419+AS419)</f>
        <v>8042.7342744920625</v>
      </c>
      <c r="AV419" s="10">
        <f t="shared" si="103"/>
        <v>2914644.4073314895</v>
      </c>
      <c r="AW419" s="2">
        <f>AT419/(1+('PV IN'!$G$9))^(C419)</f>
        <v>1488.0143771210535</v>
      </c>
      <c r="AX419" s="2" t="e">
        <f>IF(C419&lt;='PV IN'!$O$22*12,AW419+AX418,NA())</f>
        <v>#N/A</v>
      </c>
      <c r="AZ419" s="10">
        <f t="shared" si="104"/>
        <v>-1375</v>
      </c>
      <c r="BA419" s="10">
        <f t="shared" si="111"/>
        <v>0</v>
      </c>
      <c r="BB419" s="10">
        <f t="shared" si="105"/>
        <v>-1375</v>
      </c>
      <c r="BC419" s="10">
        <f t="shared" si="106"/>
        <v>0</v>
      </c>
      <c r="BD419" s="10">
        <f t="shared" si="107"/>
        <v>-1375</v>
      </c>
      <c r="BE419" s="2">
        <f t="shared" si="108"/>
        <v>0</v>
      </c>
      <c r="BF419" s="10">
        <f t="shared" si="109"/>
        <v>-1375</v>
      </c>
      <c r="BG419" s="2">
        <f>-BF419*'PV IN'!$E$8</f>
        <v>288.75</v>
      </c>
      <c r="BH419" s="2">
        <f>IF('PV IN'!$F$4="Battery Only",0,BB419+BG419)</f>
        <v>-1086.25</v>
      </c>
      <c r="BI419" s="2">
        <f>BH419/(1+('PV IN'!$G$9))^(C419)</f>
        <v>-200.97090889526186</v>
      </c>
    </row>
    <row r="420" spans="2:61" x14ac:dyDescent="0.25">
      <c r="C420">
        <v>416</v>
      </c>
      <c r="D420" s="16">
        <f>D419*(1+('PV IN'!$G$6/12))</f>
        <v>7.5999999999999998E-2</v>
      </c>
      <c r="E420" s="16">
        <f>LkUP!$U$50</f>
        <v>7.8896523189157505E-2</v>
      </c>
      <c r="F420" s="16">
        <f>IF('PV IN'!$D$7="Table",E420,D420)</f>
        <v>7.8896523189157505E-2</v>
      </c>
      <c r="G420" s="33">
        <f>('PV IN'!$E$25*'PV IN'!$E$18/12)*(1-(1-'PV IN'!$E$27)/(25*12))^C419</f>
        <v>115631.18267079057</v>
      </c>
      <c r="H420" s="33">
        <f>IF('PV IN'!$D$19="YES",G420*'PV IN'!$E$21,0)</f>
        <v>0</v>
      </c>
      <c r="I420" s="33">
        <f>IF('PV IN'!$D$19="YES",'PV IN'!$E$22*BattCalcs!W420,0)</f>
        <v>0</v>
      </c>
      <c r="J420" s="33">
        <f>IF('PV IN'!$D$19="YES",'PV IN'!$E$23*BattCalcs!Y420,0)</f>
        <v>0</v>
      </c>
      <c r="K420" s="33">
        <f>BattCalcs!AF420</f>
        <v>25811.765833333331</v>
      </c>
      <c r="L420" s="33">
        <f t="shared" si="97"/>
        <v>25811.765833333331</v>
      </c>
      <c r="M420" s="33">
        <f>IF('PV IN'!$F$4="PV Only",G420,G420-SUM(H420:J420,L420))</f>
        <v>115631.18267079057</v>
      </c>
      <c r="N420" s="2">
        <f>IF(C420&lt;='PV IN'!$I$12*12,'PV IN'!$E$12*G420/1000,0)</f>
        <v>0</v>
      </c>
      <c r="O420" s="2">
        <f>IF(AND(C420&gt;'PV IN'!$I$12*12,C420&lt;='PV IN'!$I$13*12+'PV IN'!$I$12*12),'PV IN'!$E$13*PVCalcs!G420/1000,0)</f>
        <v>0</v>
      </c>
      <c r="P420" s="2">
        <f>IF(AND(C420&gt;'PV IN'!$I$12*12+'PV IN'!$I$13*12,C420&lt;='PV IN'!$I$12*12+'PV IN'!$I$13*12+'PV IN'!$I$14*12),'PV IN'!$E$14*PVCalcs!G420/1000,0)</f>
        <v>0</v>
      </c>
      <c r="R420" s="10">
        <f>IF(AND('PV IN'!$D$35="YES",$C420&lt;='PV IN'!$E$35*12),-'PV IN'!$E$18*'PV IN'!$E$34/12,0)</f>
        <v>0</v>
      </c>
      <c r="S420" s="10">
        <f>IF(AND('PV IN'!$D$37="YES",$C420&lt;='PV IN'!$E$37*12),-'PV IN'!$E$18*'PV IN'!$E$36/12,0)</f>
        <v>0</v>
      </c>
      <c r="U420" s="2">
        <f t="shared" si="112"/>
        <v>9122.8982849757358</v>
      </c>
      <c r="V420" s="10">
        <f>PVLoan!M447</f>
        <v>0</v>
      </c>
      <c r="W420" s="2">
        <f>IF(C420='PV IN'!$I$40,IF('PV IN'!$G$40="Non-Taxable",'PV IN'!$F$40,0),0)+IF(C420='PV IN'!$I$41,IF('PV IN'!$G$41="Non-Taxable",'PV IN'!$F$41,0),0)</f>
        <v>0</v>
      </c>
      <c r="X420" s="10"/>
      <c r="Y420" s="10">
        <f>IF('PV IN'!$E$15="Non-Taxable",SUM(N420:P420),0)</f>
        <v>0</v>
      </c>
      <c r="Z420" s="10">
        <f>IF('PV IN'!$E$15="Taxable",SUM(N420:P420),0)</f>
        <v>0</v>
      </c>
      <c r="AA420" s="2">
        <f>IF(C420='PV IN'!$I$40,IF('PV IN'!$G$40="Taxable",'PV IN'!$F$40,0),0)+IF(C420='PV IN'!$I$41,IF('PV IN'!$G$41="Taxable",'PV IN'!$F$41,0),0)</f>
        <v>0</v>
      </c>
      <c r="AD420" s="10">
        <f>IF('PV IN'!$D$48="YES",-U420*'PV IN'!$E$8,0)</f>
        <v>0</v>
      </c>
      <c r="AE420" s="10">
        <f>IF('PV IN'!$N$10="Yes",-PVLoan!H448,-PVLoan!L448)</f>
        <v>0</v>
      </c>
      <c r="AF420" s="10">
        <f>IF('PV IN'!$N$10="Yes",-PVLoan!F448,0)</f>
        <v>0</v>
      </c>
      <c r="AG420" s="10">
        <f>IF(AND('PV IN'!$D$35="YES",$C420&lt;='PV IN'!$E$35*12),0,-'PV IN'!$E$18*'PV IN'!$E$34/12)</f>
        <v>-750</v>
      </c>
      <c r="AH420" s="10">
        <f>IF(AND('PV IN'!$D$37="YES",$C420&lt;='PV IN'!$E$37*12),0,-'PV IN'!$E$18*'PV IN'!$E$36/12)</f>
        <v>-625</v>
      </c>
      <c r="AI420" s="2">
        <f>IF(AND('PV IN'!$D$33="YES",PVCalcs!C420=ROUNDUP('PV IN'!$H$33*12,)),-'PV IN'!$E$33*'PV IN'!$E$18,0)</f>
        <v>0</v>
      </c>
      <c r="AK420" s="2">
        <f t="shared" si="110"/>
        <v>9122.8982849757358</v>
      </c>
      <c r="AL420" s="2">
        <f t="shared" si="98"/>
        <v>-1375</v>
      </c>
      <c r="AM420" s="2">
        <f t="shared" si="99"/>
        <v>7747.8982849757358</v>
      </c>
      <c r="AN420" s="43"/>
      <c r="AO420" s="2">
        <f t="shared" si="100"/>
        <v>0</v>
      </c>
      <c r="AP420" s="2">
        <f t="shared" si="101"/>
        <v>-1375</v>
      </c>
      <c r="AR420" s="2">
        <f t="shared" si="102"/>
        <v>-1375</v>
      </c>
      <c r="AS420" s="2">
        <f>-AR420*'PV IN'!$E$8</f>
        <v>288.75</v>
      </c>
      <c r="AT420" s="2">
        <f>IF('PV IN'!$F$4="Battery Only",0,AM420+AS420)</f>
        <v>8036.6482849757358</v>
      </c>
      <c r="AV420" s="10">
        <f t="shared" si="103"/>
        <v>2922681.0556164654</v>
      </c>
      <c r="AW420" s="2">
        <f>AT420/(1+('PV IN'!$G$9))^(C420)</f>
        <v>1480.8551995417833</v>
      </c>
      <c r="AX420" s="2" t="e">
        <f>IF(C420&lt;='PV IN'!$O$22*12,AW420+AX419,NA())</f>
        <v>#N/A</v>
      </c>
      <c r="AZ420" s="10">
        <f t="shared" si="104"/>
        <v>-1375</v>
      </c>
      <c r="BA420" s="10">
        <f t="shared" si="111"/>
        <v>0</v>
      </c>
      <c r="BB420" s="10">
        <f t="shared" si="105"/>
        <v>-1375</v>
      </c>
      <c r="BC420" s="10">
        <f t="shared" si="106"/>
        <v>0</v>
      </c>
      <c r="BD420" s="10">
        <f t="shared" si="107"/>
        <v>-1375</v>
      </c>
      <c r="BE420" s="2">
        <f t="shared" si="108"/>
        <v>0</v>
      </c>
      <c r="BF420" s="10">
        <f t="shared" si="109"/>
        <v>-1375</v>
      </c>
      <c r="BG420" s="2">
        <f>-BF420*'PV IN'!$E$8</f>
        <v>288.75</v>
      </c>
      <c r="BH420" s="2">
        <f>IF('PV IN'!$F$4="Battery Only",0,BB420+BG420)</f>
        <v>-1086.25</v>
      </c>
      <c r="BI420" s="2">
        <f>BH420/(1+('PV IN'!$G$9))^(C420)</f>
        <v>-200.15545081267902</v>
      </c>
    </row>
    <row r="421" spans="2:61" x14ac:dyDescent="0.25">
      <c r="C421">
        <v>417</v>
      </c>
      <c r="D421" s="16">
        <f>D420*(1+('PV IN'!$G$6/12))</f>
        <v>7.5999999999999998E-2</v>
      </c>
      <c r="E421" s="16">
        <f>LkUP!$U$50</f>
        <v>7.8896523189157505E-2</v>
      </c>
      <c r="F421" s="16">
        <f>IF('PV IN'!$D$7="Table",E421,D421)</f>
        <v>7.8896523189157505E-2</v>
      </c>
      <c r="G421" s="33">
        <f>('PV IN'!$E$25*'PV IN'!$E$18/12)*(1-(1-'PV IN'!$E$27)/(25*12))^C420</f>
        <v>115554.0952156767</v>
      </c>
      <c r="H421" s="33">
        <f>IF('PV IN'!$D$19="YES",G421*'PV IN'!$E$21,0)</f>
        <v>0</v>
      </c>
      <c r="I421" s="33">
        <f>IF('PV IN'!$D$19="YES",'PV IN'!$E$22*BattCalcs!W421,0)</f>
        <v>0</v>
      </c>
      <c r="J421" s="33">
        <f>IF('PV IN'!$D$19="YES",'PV IN'!$E$23*BattCalcs!Y421,0)</f>
        <v>0</v>
      </c>
      <c r="K421" s="33">
        <f>BattCalcs!AF421</f>
        <v>25811.765833333331</v>
      </c>
      <c r="L421" s="33">
        <f t="shared" si="97"/>
        <v>25811.765833333331</v>
      </c>
      <c r="M421" s="33">
        <f>IF('PV IN'!$F$4="PV Only",G421,G421-SUM(H421:J421,L421))</f>
        <v>115554.0952156767</v>
      </c>
      <c r="N421" s="2">
        <f>IF(C421&lt;='PV IN'!$I$12*12,'PV IN'!$E$12*G421/1000,0)</f>
        <v>0</v>
      </c>
      <c r="O421" s="2">
        <f>IF(AND(C421&gt;'PV IN'!$I$12*12,C421&lt;='PV IN'!$I$13*12+'PV IN'!$I$12*12),'PV IN'!$E$13*PVCalcs!G421/1000,0)</f>
        <v>0</v>
      </c>
      <c r="P421" s="2">
        <f>IF(AND(C421&gt;'PV IN'!$I$12*12+'PV IN'!$I$13*12,C421&lt;='PV IN'!$I$12*12+'PV IN'!$I$13*12+'PV IN'!$I$14*12),'PV IN'!$E$14*PVCalcs!G421/1000,0)</f>
        <v>0</v>
      </c>
      <c r="R421" s="10">
        <f>IF(AND('PV IN'!$D$35="YES",$C421&lt;='PV IN'!$E$35*12),-'PV IN'!$E$18*'PV IN'!$E$34/12,0)</f>
        <v>0</v>
      </c>
      <c r="S421" s="10">
        <f>IF(AND('PV IN'!$D$37="YES",$C421&lt;='PV IN'!$E$37*12),-'PV IN'!$E$18*'PV IN'!$E$36/12,0)</f>
        <v>0</v>
      </c>
      <c r="U421" s="2">
        <f t="shared" si="112"/>
        <v>9116.8163527857505</v>
      </c>
      <c r="V421" s="10">
        <f>PVLoan!M448</f>
        <v>0</v>
      </c>
      <c r="W421" s="2">
        <f>IF(C421='PV IN'!$I$40,IF('PV IN'!$G$40="Non-Taxable",'PV IN'!$F$40,0),0)+IF(C421='PV IN'!$I$41,IF('PV IN'!$G$41="Non-Taxable",'PV IN'!$F$41,0),0)</f>
        <v>0</v>
      </c>
      <c r="X421" s="10"/>
      <c r="Y421" s="10">
        <f>IF('PV IN'!$E$15="Non-Taxable",SUM(N421:P421),0)</f>
        <v>0</v>
      </c>
      <c r="Z421" s="10">
        <f>IF('PV IN'!$E$15="Taxable",SUM(N421:P421),0)</f>
        <v>0</v>
      </c>
      <c r="AA421" s="2">
        <f>IF(C421='PV IN'!$I$40,IF('PV IN'!$G$40="Taxable",'PV IN'!$F$40,0),0)+IF(C421='PV IN'!$I$41,IF('PV IN'!$G$41="Taxable",'PV IN'!$F$41,0),0)</f>
        <v>0</v>
      </c>
      <c r="AD421" s="10">
        <f>IF('PV IN'!$D$48="YES",-U421*'PV IN'!$E$8,0)</f>
        <v>0</v>
      </c>
      <c r="AE421" s="10">
        <f>IF('PV IN'!$N$10="Yes",-PVLoan!H449,-PVLoan!L449)</f>
        <v>0</v>
      </c>
      <c r="AF421" s="10">
        <f>IF('PV IN'!$N$10="Yes",-PVLoan!F449,0)</f>
        <v>0</v>
      </c>
      <c r="AG421" s="10">
        <f>IF(AND('PV IN'!$D$35="YES",$C421&lt;='PV IN'!$E$35*12),0,-'PV IN'!$E$18*'PV IN'!$E$34/12)</f>
        <v>-750</v>
      </c>
      <c r="AH421" s="10">
        <f>IF(AND('PV IN'!$D$37="YES",$C421&lt;='PV IN'!$E$37*12),0,-'PV IN'!$E$18*'PV IN'!$E$36/12)</f>
        <v>-625</v>
      </c>
      <c r="AI421" s="2">
        <f>IF(AND('PV IN'!$D$33="YES",PVCalcs!C421=ROUNDUP('PV IN'!$H$33*12,)),-'PV IN'!$E$33*'PV IN'!$E$18,0)</f>
        <v>0</v>
      </c>
      <c r="AK421" s="2">
        <f t="shared" si="110"/>
        <v>9116.8163527857505</v>
      </c>
      <c r="AL421" s="2">
        <f t="shared" si="98"/>
        <v>-1375</v>
      </c>
      <c r="AM421" s="2">
        <f t="shared" si="99"/>
        <v>7741.8163527857505</v>
      </c>
      <c r="AN421" s="43"/>
      <c r="AO421" s="2">
        <f t="shared" si="100"/>
        <v>0</v>
      </c>
      <c r="AP421" s="2">
        <f t="shared" si="101"/>
        <v>-1375</v>
      </c>
      <c r="AR421" s="2">
        <f t="shared" si="102"/>
        <v>-1375</v>
      </c>
      <c r="AS421" s="2">
        <f>-AR421*'PV IN'!$E$8</f>
        <v>288.75</v>
      </c>
      <c r="AT421" s="2">
        <f>IF('PV IN'!$F$4="Battery Only",0,AM421+AS421)</f>
        <v>8030.5663527857505</v>
      </c>
      <c r="AV421" s="10">
        <f t="shared" si="103"/>
        <v>2930711.621969251</v>
      </c>
      <c r="AW421" s="2">
        <f>AT421/(1+('PV IN'!$G$9))^(C421)</f>
        <v>1473.7303658407236</v>
      </c>
      <c r="AX421" s="2" t="e">
        <f>IF(C421&lt;='PV IN'!$O$22*12,AW421+AX420,NA())</f>
        <v>#N/A</v>
      </c>
      <c r="AZ421" s="10">
        <f t="shared" si="104"/>
        <v>-1375</v>
      </c>
      <c r="BA421" s="10">
        <f t="shared" si="111"/>
        <v>0</v>
      </c>
      <c r="BB421" s="10">
        <f t="shared" si="105"/>
        <v>-1375</v>
      </c>
      <c r="BC421" s="10">
        <f t="shared" si="106"/>
        <v>0</v>
      </c>
      <c r="BD421" s="10">
        <f t="shared" si="107"/>
        <v>-1375</v>
      </c>
      <c r="BE421" s="2">
        <f t="shared" si="108"/>
        <v>0</v>
      </c>
      <c r="BF421" s="10">
        <f t="shared" si="109"/>
        <v>-1375</v>
      </c>
      <c r="BG421" s="2">
        <f>-BF421*'PV IN'!$E$8</f>
        <v>288.75</v>
      </c>
      <c r="BH421" s="2">
        <f>IF('PV IN'!$F$4="Battery Only",0,BB421+BG421)</f>
        <v>-1086.25</v>
      </c>
      <c r="BI421" s="2">
        <f>BH421/(1+('PV IN'!$G$9))^(C421)</f>
        <v>-199.34330152681764</v>
      </c>
    </row>
    <row r="422" spans="2:61" x14ac:dyDescent="0.25">
      <c r="C422">
        <v>418</v>
      </c>
      <c r="D422" s="16">
        <f>D421*(1+('PV IN'!$G$6/12))</f>
        <v>7.5999999999999998E-2</v>
      </c>
      <c r="E422" s="16">
        <f>LkUP!$U$50</f>
        <v>7.8896523189157505E-2</v>
      </c>
      <c r="F422" s="16">
        <f>IF('PV IN'!$D$7="Table",E422,D422)</f>
        <v>7.8896523189157505E-2</v>
      </c>
      <c r="G422" s="33">
        <f>('PV IN'!$E$25*'PV IN'!$E$18/12)*(1-(1-'PV IN'!$E$27)/(25*12))^C421</f>
        <v>115477.05915219958</v>
      </c>
      <c r="H422" s="33">
        <f>IF('PV IN'!$D$19="YES",G422*'PV IN'!$E$21,0)</f>
        <v>0</v>
      </c>
      <c r="I422" s="33">
        <f>IF('PV IN'!$D$19="YES",'PV IN'!$E$22*BattCalcs!W422,0)</f>
        <v>0</v>
      </c>
      <c r="J422" s="33">
        <f>IF('PV IN'!$D$19="YES",'PV IN'!$E$23*BattCalcs!Y422,0)</f>
        <v>0</v>
      </c>
      <c r="K422" s="33">
        <f>BattCalcs!AF422</f>
        <v>25811.765833333331</v>
      </c>
      <c r="L422" s="33">
        <f t="shared" si="97"/>
        <v>25811.765833333331</v>
      </c>
      <c r="M422" s="33">
        <f>IF('PV IN'!$F$4="PV Only",G422,G422-SUM(H422:J422,L422))</f>
        <v>115477.05915219958</v>
      </c>
      <c r="N422" s="2">
        <f>IF(C422&lt;='PV IN'!$I$12*12,'PV IN'!$E$12*G422/1000,0)</f>
        <v>0</v>
      </c>
      <c r="O422" s="2">
        <f>IF(AND(C422&gt;'PV IN'!$I$12*12,C422&lt;='PV IN'!$I$13*12+'PV IN'!$I$12*12),'PV IN'!$E$13*PVCalcs!G422/1000,0)</f>
        <v>0</v>
      </c>
      <c r="P422" s="2">
        <f>IF(AND(C422&gt;'PV IN'!$I$12*12+'PV IN'!$I$13*12,C422&lt;='PV IN'!$I$12*12+'PV IN'!$I$13*12+'PV IN'!$I$14*12),'PV IN'!$E$14*PVCalcs!G422/1000,0)</f>
        <v>0</v>
      </c>
      <c r="R422" s="10">
        <f>IF(AND('PV IN'!$D$35="YES",$C422&lt;='PV IN'!$E$35*12),-'PV IN'!$E$18*'PV IN'!$E$34/12,0)</f>
        <v>0</v>
      </c>
      <c r="S422" s="10">
        <f>IF(AND('PV IN'!$D$37="YES",$C422&lt;='PV IN'!$E$37*12),-'PV IN'!$E$18*'PV IN'!$E$36/12,0)</f>
        <v>0</v>
      </c>
      <c r="U422" s="2">
        <f t="shared" si="112"/>
        <v>9110.7384752172275</v>
      </c>
      <c r="V422" s="10">
        <f>PVLoan!M449</f>
        <v>0</v>
      </c>
      <c r="W422" s="2">
        <f>IF(C422='PV IN'!$I$40,IF('PV IN'!$G$40="Non-Taxable",'PV IN'!$F$40,0),0)+IF(C422='PV IN'!$I$41,IF('PV IN'!$G$41="Non-Taxable",'PV IN'!$F$41,0),0)</f>
        <v>0</v>
      </c>
      <c r="X422" s="10"/>
      <c r="Y422" s="10">
        <f>IF('PV IN'!$E$15="Non-Taxable",SUM(N422:P422),0)</f>
        <v>0</v>
      </c>
      <c r="Z422" s="10">
        <f>IF('PV IN'!$E$15="Taxable",SUM(N422:P422),0)</f>
        <v>0</v>
      </c>
      <c r="AA422" s="2">
        <f>IF(C422='PV IN'!$I$40,IF('PV IN'!$G$40="Taxable",'PV IN'!$F$40,0),0)+IF(C422='PV IN'!$I$41,IF('PV IN'!$G$41="Taxable",'PV IN'!$F$41,0),0)</f>
        <v>0</v>
      </c>
      <c r="AD422" s="10">
        <f>IF('PV IN'!$D$48="YES",-U422*'PV IN'!$E$8,0)</f>
        <v>0</v>
      </c>
      <c r="AE422" s="10">
        <f>IF('PV IN'!$N$10="Yes",-PVLoan!H450,-PVLoan!L450)</f>
        <v>0</v>
      </c>
      <c r="AF422" s="10">
        <f>IF('PV IN'!$N$10="Yes",-PVLoan!F450,0)</f>
        <v>0</v>
      </c>
      <c r="AG422" s="10">
        <f>IF(AND('PV IN'!$D$35="YES",$C422&lt;='PV IN'!$E$35*12),0,-'PV IN'!$E$18*'PV IN'!$E$34/12)</f>
        <v>-750</v>
      </c>
      <c r="AH422" s="10">
        <f>IF(AND('PV IN'!$D$37="YES",$C422&lt;='PV IN'!$E$37*12),0,-'PV IN'!$E$18*'PV IN'!$E$36/12)</f>
        <v>-625</v>
      </c>
      <c r="AI422" s="2">
        <f>IF(AND('PV IN'!$D$33="YES",PVCalcs!C422=ROUNDUP('PV IN'!$H$33*12,)),-'PV IN'!$E$33*'PV IN'!$E$18,0)</f>
        <v>0</v>
      </c>
      <c r="AK422" s="2">
        <f t="shared" si="110"/>
        <v>9110.7384752172275</v>
      </c>
      <c r="AL422" s="2">
        <f t="shared" si="98"/>
        <v>-1375</v>
      </c>
      <c r="AM422" s="2">
        <f t="shared" si="99"/>
        <v>7735.7384752172275</v>
      </c>
      <c r="AN422" s="43"/>
      <c r="AO422" s="2">
        <f t="shared" si="100"/>
        <v>0</v>
      </c>
      <c r="AP422" s="2">
        <f t="shared" si="101"/>
        <v>-1375</v>
      </c>
      <c r="AR422" s="2">
        <f t="shared" si="102"/>
        <v>-1375</v>
      </c>
      <c r="AS422" s="2">
        <f>-AR422*'PV IN'!$E$8</f>
        <v>288.75</v>
      </c>
      <c r="AT422" s="2">
        <f>IF('PV IN'!$F$4="Battery Only",0,AM422+AS422)</f>
        <v>8024.4884752172275</v>
      </c>
      <c r="AV422" s="10">
        <f t="shared" si="103"/>
        <v>2938736.110444468</v>
      </c>
      <c r="AW422" s="2">
        <f>AT422/(1+('PV IN'!$G$9))^(C422)</f>
        <v>1466.6397116644764</v>
      </c>
      <c r="AX422" s="2" t="e">
        <f>IF(C422&lt;='PV IN'!$O$22*12,AW422+AX421,NA())</f>
        <v>#N/A</v>
      </c>
      <c r="AZ422" s="10">
        <f t="shared" si="104"/>
        <v>-1375</v>
      </c>
      <c r="BA422" s="10">
        <f t="shared" si="111"/>
        <v>0</v>
      </c>
      <c r="BB422" s="10">
        <f t="shared" si="105"/>
        <v>-1375</v>
      </c>
      <c r="BC422" s="10">
        <f t="shared" si="106"/>
        <v>0</v>
      </c>
      <c r="BD422" s="10">
        <f t="shared" si="107"/>
        <v>-1375</v>
      </c>
      <c r="BE422" s="2">
        <f t="shared" si="108"/>
        <v>0</v>
      </c>
      <c r="BF422" s="10">
        <f t="shared" si="109"/>
        <v>-1375</v>
      </c>
      <c r="BG422" s="2">
        <f>-BF422*'PV IN'!$E$8</f>
        <v>288.75</v>
      </c>
      <c r="BH422" s="2">
        <f>IF('PV IN'!$F$4="Battery Only",0,BB422+BG422)</f>
        <v>-1086.25</v>
      </c>
      <c r="BI422" s="2">
        <f>BH422/(1+('PV IN'!$G$9))^(C422)</f>
        <v>-198.53444761192836</v>
      </c>
    </row>
    <row r="423" spans="2:61" x14ac:dyDescent="0.25">
      <c r="C423">
        <v>419</v>
      </c>
      <c r="D423" s="16">
        <f>D422*(1+('PV IN'!$G$6/12))</f>
        <v>7.5999999999999998E-2</v>
      </c>
      <c r="E423" s="16">
        <f>LkUP!$U$50</f>
        <v>7.8896523189157505E-2</v>
      </c>
      <c r="F423" s="16">
        <f>IF('PV IN'!$D$7="Table",E423,D423)</f>
        <v>7.8896523189157505E-2</v>
      </c>
      <c r="G423" s="33">
        <f>('PV IN'!$E$25*'PV IN'!$E$18/12)*(1-(1-'PV IN'!$E$27)/(25*12))^C422</f>
        <v>115400.07444609811</v>
      </c>
      <c r="H423" s="33">
        <f>IF('PV IN'!$D$19="YES",G423*'PV IN'!$E$21,0)</f>
        <v>0</v>
      </c>
      <c r="I423" s="33">
        <f>IF('PV IN'!$D$19="YES",'PV IN'!$E$22*BattCalcs!W423,0)</f>
        <v>0</v>
      </c>
      <c r="J423" s="33">
        <f>IF('PV IN'!$D$19="YES",'PV IN'!$E$23*BattCalcs!Y423,0)</f>
        <v>0</v>
      </c>
      <c r="K423" s="33">
        <f>BattCalcs!AF423</f>
        <v>25811.765833333331</v>
      </c>
      <c r="L423" s="33">
        <f t="shared" si="97"/>
        <v>25811.765833333331</v>
      </c>
      <c r="M423" s="33">
        <f>IF('PV IN'!$F$4="PV Only",G423,G423-SUM(H423:J423,L423))</f>
        <v>115400.07444609811</v>
      </c>
      <c r="N423" s="2">
        <f>IF(C423&lt;='PV IN'!$I$12*12,'PV IN'!$E$12*G423/1000,0)</f>
        <v>0</v>
      </c>
      <c r="O423" s="2">
        <f>IF(AND(C423&gt;'PV IN'!$I$12*12,C423&lt;='PV IN'!$I$13*12+'PV IN'!$I$12*12),'PV IN'!$E$13*PVCalcs!G423/1000,0)</f>
        <v>0</v>
      </c>
      <c r="P423" s="2">
        <f>IF(AND(C423&gt;'PV IN'!$I$12*12+'PV IN'!$I$13*12,C423&lt;='PV IN'!$I$12*12+'PV IN'!$I$13*12+'PV IN'!$I$14*12),'PV IN'!$E$14*PVCalcs!G423/1000,0)</f>
        <v>0</v>
      </c>
      <c r="R423" s="10">
        <f>IF(AND('PV IN'!$D$35="YES",$C423&lt;='PV IN'!$E$35*12),-'PV IN'!$E$18*'PV IN'!$E$34/12,0)</f>
        <v>0</v>
      </c>
      <c r="S423" s="10">
        <f>IF(AND('PV IN'!$D$37="YES",$C423&lt;='PV IN'!$E$37*12),-'PV IN'!$E$18*'PV IN'!$E$36/12,0)</f>
        <v>0</v>
      </c>
      <c r="U423" s="2">
        <f t="shared" si="112"/>
        <v>9104.6646495670811</v>
      </c>
      <c r="V423" s="10">
        <f>PVLoan!M450</f>
        <v>0</v>
      </c>
      <c r="W423" s="2">
        <f>IF(C423='PV IN'!$I$40,IF('PV IN'!$G$40="Non-Taxable",'PV IN'!$F$40,0),0)+IF(C423='PV IN'!$I$41,IF('PV IN'!$G$41="Non-Taxable",'PV IN'!$F$41,0),0)</f>
        <v>0</v>
      </c>
      <c r="X423" s="10"/>
      <c r="Y423" s="10">
        <f>IF('PV IN'!$E$15="Non-Taxable",SUM(N423:P423),0)</f>
        <v>0</v>
      </c>
      <c r="Z423" s="10">
        <f>IF('PV IN'!$E$15="Taxable",SUM(N423:P423),0)</f>
        <v>0</v>
      </c>
      <c r="AA423" s="2">
        <f>IF(C423='PV IN'!$I$40,IF('PV IN'!$G$40="Taxable",'PV IN'!$F$40,0),0)+IF(C423='PV IN'!$I$41,IF('PV IN'!$G$41="Taxable",'PV IN'!$F$41,0),0)</f>
        <v>0</v>
      </c>
      <c r="AD423" s="10">
        <f>IF('PV IN'!$D$48="YES",-U423*'PV IN'!$E$8,0)</f>
        <v>0</v>
      </c>
      <c r="AE423" s="10">
        <f>IF('PV IN'!$N$10="Yes",-PVLoan!H451,-PVLoan!L451)</f>
        <v>0</v>
      </c>
      <c r="AF423" s="10">
        <f>IF('PV IN'!$N$10="Yes",-PVLoan!F451,0)</f>
        <v>0</v>
      </c>
      <c r="AG423" s="10">
        <f>IF(AND('PV IN'!$D$35="YES",$C423&lt;='PV IN'!$E$35*12),0,-'PV IN'!$E$18*'PV IN'!$E$34/12)</f>
        <v>-750</v>
      </c>
      <c r="AH423" s="10">
        <f>IF(AND('PV IN'!$D$37="YES",$C423&lt;='PV IN'!$E$37*12),0,-'PV IN'!$E$18*'PV IN'!$E$36/12)</f>
        <v>-625</v>
      </c>
      <c r="AI423" s="2">
        <f>IF(AND('PV IN'!$D$33="YES",PVCalcs!C423=ROUNDUP('PV IN'!$H$33*12,)),-'PV IN'!$E$33*'PV IN'!$E$18,0)</f>
        <v>0</v>
      </c>
      <c r="AK423" s="2">
        <f t="shared" si="110"/>
        <v>9104.6646495670811</v>
      </c>
      <c r="AL423" s="2">
        <f t="shared" si="98"/>
        <v>-1375</v>
      </c>
      <c r="AM423" s="2">
        <f t="shared" si="99"/>
        <v>7729.6646495670811</v>
      </c>
      <c r="AN423" s="43"/>
      <c r="AO423" s="2">
        <f t="shared" si="100"/>
        <v>0</v>
      </c>
      <c r="AP423" s="2">
        <f t="shared" si="101"/>
        <v>-1375</v>
      </c>
      <c r="AR423" s="2">
        <f t="shared" si="102"/>
        <v>-1375</v>
      </c>
      <c r="AS423" s="2">
        <f>-AR423*'PV IN'!$E$8</f>
        <v>288.75</v>
      </c>
      <c r="AT423" s="2">
        <f>IF('PV IN'!$F$4="Battery Only",0,AM423+AS423)</f>
        <v>8018.4146495670811</v>
      </c>
      <c r="AV423" s="10">
        <f t="shared" si="103"/>
        <v>2946754.5250940351</v>
      </c>
      <c r="AW423" s="2">
        <f>AT423/(1+('PV IN'!$G$9))^(C423)</f>
        <v>1459.5830734445608</v>
      </c>
      <c r="AX423" s="2" t="e">
        <f>IF(C423&lt;='PV IN'!$O$22*12,AW423+AX422,NA())</f>
        <v>#N/A</v>
      </c>
      <c r="AZ423" s="10">
        <f t="shared" si="104"/>
        <v>-1375</v>
      </c>
      <c r="BA423" s="10">
        <f t="shared" si="111"/>
        <v>0</v>
      </c>
      <c r="BB423" s="10">
        <f t="shared" si="105"/>
        <v>-1375</v>
      </c>
      <c r="BC423" s="10">
        <f t="shared" si="106"/>
        <v>0</v>
      </c>
      <c r="BD423" s="10">
        <f t="shared" si="107"/>
        <v>-1375</v>
      </c>
      <c r="BE423" s="2">
        <f t="shared" si="108"/>
        <v>0</v>
      </c>
      <c r="BF423" s="10">
        <f t="shared" si="109"/>
        <v>-1375</v>
      </c>
      <c r="BG423" s="2">
        <f>-BF423*'PV IN'!$E$8</f>
        <v>288.75</v>
      </c>
      <c r="BH423" s="2">
        <f>IF('PV IN'!$F$4="Battery Only",0,BB423+BG423)</f>
        <v>-1086.25</v>
      </c>
      <c r="BI423" s="2">
        <f>BH423/(1+('PV IN'!$G$9))^(C423)</f>
        <v>-197.72887569673821</v>
      </c>
    </row>
    <row r="424" spans="2:61" x14ac:dyDescent="0.25">
      <c r="B424">
        <v>35</v>
      </c>
      <c r="C424">
        <v>420</v>
      </c>
      <c r="D424" s="16">
        <f>D423*(1+('PV IN'!$G$6/12))</f>
        <v>7.5999999999999998E-2</v>
      </c>
      <c r="E424" s="16">
        <f>LkUP!$U$50</f>
        <v>7.8896523189157505E-2</v>
      </c>
      <c r="F424" s="16">
        <f>IF('PV IN'!$D$7="Table",E424,D424)</f>
        <v>7.8896523189157505E-2</v>
      </c>
      <c r="G424" s="33">
        <f>('PV IN'!$E$25*'PV IN'!$E$18/12)*(1-(1-'PV IN'!$E$27)/(25*12))^C423</f>
        <v>115323.14106313404</v>
      </c>
      <c r="H424" s="33">
        <f>IF('PV IN'!$D$19="YES",G424*'PV IN'!$E$21,0)</f>
        <v>0</v>
      </c>
      <c r="I424" s="33">
        <f>IF('PV IN'!$D$19="YES",'PV IN'!$E$22*BattCalcs!W424,0)</f>
        <v>0</v>
      </c>
      <c r="J424" s="33">
        <f>IF('PV IN'!$D$19="YES",'PV IN'!$E$23*BattCalcs!Y424,0)</f>
        <v>0</v>
      </c>
      <c r="K424" s="33">
        <f>BattCalcs!AF424</f>
        <v>25811.765833333331</v>
      </c>
      <c r="L424" s="33">
        <f t="shared" si="97"/>
        <v>25811.765833333331</v>
      </c>
      <c r="M424" s="33">
        <f>IF('PV IN'!$F$4="PV Only",G424,G424-SUM(H424:J424,L424))</f>
        <v>115323.14106313404</v>
      </c>
      <c r="N424" s="2">
        <f>IF(C424&lt;='PV IN'!$I$12*12,'PV IN'!$E$12*G424/1000,0)</f>
        <v>0</v>
      </c>
      <c r="O424" s="2">
        <f>IF(AND(C424&gt;'PV IN'!$I$12*12,C424&lt;='PV IN'!$I$13*12+'PV IN'!$I$12*12),'PV IN'!$E$13*PVCalcs!G424/1000,0)</f>
        <v>0</v>
      </c>
      <c r="P424" s="2">
        <f>IF(AND(C424&gt;'PV IN'!$I$12*12+'PV IN'!$I$13*12,C424&lt;='PV IN'!$I$12*12+'PV IN'!$I$13*12+'PV IN'!$I$14*12),'PV IN'!$E$14*PVCalcs!G424/1000,0)</f>
        <v>0</v>
      </c>
      <c r="R424" s="10">
        <f>IF(AND('PV IN'!$D$35="YES",$C424&lt;='PV IN'!$E$35*12),-'PV IN'!$E$18*'PV IN'!$E$34/12,0)</f>
        <v>0</v>
      </c>
      <c r="S424" s="10">
        <f>IF(AND('PV IN'!$D$37="YES",$C424&lt;='PV IN'!$E$37*12),-'PV IN'!$E$18*'PV IN'!$E$36/12,0)</f>
        <v>0</v>
      </c>
      <c r="U424" s="2">
        <f t="shared" si="112"/>
        <v>9098.5948731340377</v>
      </c>
      <c r="V424" s="10">
        <f>PVLoan!M451</f>
        <v>0</v>
      </c>
      <c r="W424" s="2">
        <f>IF(C424='PV IN'!$I$40,IF('PV IN'!$G$40="Non-Taxable",'PV IN'!$F$40,0),0)+IF(C424='PV IN'!$I$41,IF('PV IN'!$G$41="Non-Taxable",'PV IN'!$F$41,0),0)</f>
        <v>0</v>
      </c>
      <c r="X424" s="10"/>
      <c r="Y424" s="10">
        <f>IF('PV IN'!$E$15="Non-Taxable",SUM(N424:P424),0)</f>
        <v>0</v>
      </c>
      <c r="Z424" s="10">
        <f>IF('PV IN'!$E$15="Taxable",SUM(N424:P424),0)</f>
        <v>0</v>
      </c>
      <c r="AA424" s="2">
        <f>IF(C424='PV IN'!$I$40,IF('PV IN'!$G$40="Taxable",'PV IN'!$F$40,0),0)+IF(C424='PV IN'!$I$41,IF('PV IN'!$G$41="Taxable",'PV IN'!$F$41,0),0)</f>
        <v>0</v>
      </c>
      <c r="AD424" s="10">
        <f>IF('PV IN'!$D$48="YES",-U424*'PV IN'!$E$8,0)</f>
        <v>0</v>
      </c>
      <c r="AE424" s="10">
        <f>IF('PV IN'!$N$10="Yes",-PVLoan!H452,-PVLoan!L452)</f>
        <v>0</v>
      </c>
      <c r="AF424" s="10">
        <f>IF('PV IN'!$N$10="Yes",-PVLoan!F452,0)</f>
        <v>0</v>
      </c>
      <c r="AG424" s="10">
        <f>IF(AND('PV IN'!$D$35="YES",$C424&lt;='PV IN'!$E$35*12),0,-'PV IN'!$E$18*'PV IN'!$E$34/12)</f>
        <v>-750</v>
      </c>
      <c r="AH424" s="10">
        <f>IF(AND('PV IN'!$D$37="YES",$C424&lt;='PV IN'!$E$37*12),0,-'PV IN'!$E$18*'PV IN'!$E$36/12)</f>
        <v>-625</v>
      </c>
      <c r="AI424" s="2">
        <f>IF(AND('PV IN'!$D$33="YES",PVCalcs!C424=ROUNDUP('PV IN'!$H$33*12,)),-'PV IN'!$E$33*'PV IN'!$E$18,0)</f>
        <v>0</v>
      </c>
      <c r="AK424" s="2">
        <f t="shared" si="110"/>
        <v>9098.5948731340377</v>
      </c>
      <c r="AL424" s="2">
        <f t="shared" si="98"/>
        <v>-1375</v>
      </c>
      <c r="AM424" s="2">
        <f t="shared" si="99"/>
        <v>7723.5948731340377</v>
      </c>
      <c r="AN424" s="43"/>
      <c r="AO424" s="2">
        <f t="shared" si="100"/>
        <v>0</v>
      </c>
      <c r="AP424" s="2">
        <f t="shared" si="101"/>
        <v>-1375</v>
      </c>
      <c r="AR424" s="2">
        <f t="shared" si="102"/>
        <v>-1375</v>
      </c>
      <c r="AS424" s="2">
        <f>-AR424*'PV IN'!$E$8</f>
        <v>288.75</v>
      </c>
      <c r="AT424" s="2">
        <f>IF('PV IN'!$F$4="Battery Only",0,AM424+AS424)</f>
        <v>8012.3448731340377</v>
      </c>
      <c r="AV424" s="10">
        <f t="shared" si="103"/>
        <v>2954766.8699671691</v>
      </c>
      <c r="AW424" s="2">
        <f>AT424/(1+('PV IN'!$G$9))^(C424)</f>
        <v>1452.5602883936724</v>
      </c>
      <c r="AX424" s="2" t="e">
        <f>IF(C424&lt;='PV IN'!$O$22*12,AW424+AX423,NA())</f>
        <v>#N/A</v>
      </c>
      <c r="AZ424" s="10">
        <f t="shared" si="104"/>
        <v>-1375</v>
      </c>
      <c r="BA424" s="10">
        <f t="shared" si="111"/>
        <v>0</v>
      </c>
      <c r="BB424" s="10">
        <f t="shared" si="105"/>
        <v>-1375</v>
      </c>
      <c r="BC424" s="10">
        <f t="shared" si="106"/>
        <v>0</v>
      </c>
      <c r="BD424" s="10">
        <f t="shared" si="107"/>
        <v>-1375</v>
      </c>
      <c r="BE424" s="2">
        <f t="shared" si="108"/>
        <v>0</v>
      </c>
      <c r="BF424" s="10">
        <f t="shared" si="109"/>
        <v>-1375</v>
      </c>
      <c r="BG424" s="2">
        <f>-BF424*'PV IN'!$E$8</f>
        <v>288.75</v>
      </c>
      <c r="BH424" s="2">
        <f>IF('PV IN'!$F$4="Battery Only",0,BB424+BG424)</f>
        <v>-1086.25</v>
      </c>
      <c r="BI424" s="2">
        <f>BH424/(1+('PV IN'!$G$9))^(C424)</f>
        <v>-196.92657246422937</v>
      </c>
    </row>
    <row r="425" spans="2:61" x14ac:dyDescent="0.25">
      <c r="C425">
        <v>421</v>
      </c>
      <c r="D425" s="16">
        <f>D424*(1+('PV IN'!$G$6/12))</f>
        <v>7.5999999999999998E-2</v>
      </c>
      <c r="E425" s="16">
        <f>LkUP!$U$50</f>
        <v>7.8896523189157505E-2</v>
      </c>
      <c r="F425" s="16">
        <f>IF('PV IN'!$D$7="Table",E425,D425)</f>
        <v>7.8896523189157505E-2</v>
      </c>
      <c r="G425" s="33">
        <f>('PV IN'!$E$25*'PV IN'!$E$18/12)*(1-(1-'PV IN'!$E$27)/(25*12))^C424</f>
        <v>115246.25896909196</v>
      </c>
      <c r="H425" s="33">
        <f>IF('PV IN'!$D$19="YES",G425*'PV IN'!$E$21,0)</f>
        <v>0</v>
      </c>
      <c r="I425" s="33">
        <f>IF('PV IN'!$D$19="YES",'PV IN'!$E$22*BattCalcs!W425,0)</f>
        <v>0</v>
      </c>
      <c r="J425" s="33">
        <f>IF('PV IN'!$D$19="YES",'PV IN'!$E$23*BattCalcs!Y425,0)</f>
        <v>0</v>
      </c>
      <c r="K425" s="33">
        <f>BattCalcs!AF425</f>
        <v>25811.765833333331</v>
      </c>
      <c r="L425" s="33">
        <f t="shared" si="97"/>
        <v>25811.765833333331</v>
      </c>
      <c r="M425" s="33">
        <f>IF('PV IN'!$F$4="PV Only",G425,G425-SUM(H425:J425,L425))</f>
        <v>115246.25896909196</v>
      </c>
      <c r="N425" s="2">
        <f>IF(C425&lt;='PV IN'!$I$12*12,'PV IN'!$E$12*G425/1000,0)</f>
        <v>0</v>
      </c>
      <c r="O425" s="2">
        <f>IF(AND(C425&gt;'PV IN'!$I$12*12,C425&lt;='PV IN'!$I$13*12+'PV IN'!$I$12*12),'PV IN'!$E$13*PVCalcs!G425/1000,0)</f>
        <v>0</v>
      </c>
      <c r="P425" s="2">
        <f>IF(AND(C425&gt;'PV IN'!$I$12*12+'PV IN'!$I$13*12,C425&lt;='PV IN'!$I$12*12+'PV IN'!$I$13*12+'PV IN'!$I$14*12),'PV IN'!$E$14*PVCalcs!G425/1000,0)</f>
        <v>0</v>
      </c>
      <c r="R425" s="10">
        <f>IF(AND('PV IN'!$D$35="YES",$C425&lt;='PV IN'!$E$35*12),-'PV IN'!$E$18*'PV IN'!$E$34/12,0)</f>
        <v>0</v>
      </c>
      <c r="S425" s="10">
        <f>IF(AND('PV IN'!$D$37="YES",$C425&lt;='PV IN'!$E$37*12),-'PV IN'!$E$18*'PV IN'!$E$36/12,0)</f>
        <v>0</v>
      </c>
      <c r="U425" s="2">
        <f t="shared" si="112"/>
        <v>9092.529143218615</v>
      </c>
      <c r="V425" s="10">
        <f>PVLoan!M452</f>
        <v>0</v>
      </c>
      <c r="W425" s="2">
        <f>IF(C425='PV IN'!$I$40,IF('PV IN'!$G$40="Non-Taxable",'PV IN'!$F$40,0),0)+IF(C425='PV IN'!$I$41,IF('PV IN'!$G$41="Non-Taxable",'PV IN'!$F$41,0),0)</f>
        <v>0</v>
      </c>
      <c r="X425" s="10"/>
      <c r="Y425" s="10">
        <f>IF('PV IN'!$E$15="Non-Taxable",SUM(N425:P425),0)</f>
        <v>0</v>
      </c>
      <c r="Z425" s="10">
        <f>IF('PV IN'!$E$15="Taxable",SUM(N425:P425),0)</f>
        <v>0</v>
      </c>
      <c r="AA425" s="2">
        <f>IF(C425='PV IN'!$I$40,IF('PV IN'!$G$40="Taxable",'PV IN'!$F$40,0),0)+IF(C425='PV IN'!$I$41,IF('PV IN'!$G$41="Taxable",'PV IN'!$F$41,0),0)</f>
        <v>0</v>
      </c>
      <c r="AD425" s="10">
        <f>IF('PV IN'!$D$48="YES",-U425*'PV IN'!$E$8,0)</f>
        <v>0</v>
      </c>
      <c r="AE425" s="10">
        <f>IF('PV IN'!$N$10="Yes",-PVLoan!H453,-PVLoan!L453)</f>
        <v>0</v>
      </c>
      <c r="AF425" s="10">
        <f>IF('PV IN'!$N$10="Yes",-PVLoan!F453,0)</f>
        <v>0</v>
      </c>
      <c r="AG425" s="10">
        <f>IF(AND('PV IN'!$D$35="YES",$C425&lt;='PV IN'!$E$35*12),0,-'PV IN'!$E$18*'PV IN'!$E$34/12)</f>
        <v>-750</v>
      </c>
      <c r="AH425" s="10">
        <f>IF(AND('PV IN'!$D$37="YES",$C425&lt;='PV IN'!$E$37*12),0,-'PV IN'!$E$18*'PV IN'!$E$36/12)</f>
        <v>-625</v>
      </c>
      <c r="AI425" s="2">
        <f>IF(AND('PV IN'!$D$33="YES",PVCalcs!C425=ROUNDUP('PV IN'!$H$33*12,)),-'PV IN'!$E$33*'PV IN'!$E$18,0)</f>
        <v>0</v>
      </c>
      <c r="AK425" s="2">
        <f t="shared" si="110"/>
        <v>9092.529143218615</v>
      </c>
      <c r="AL425" s="2">
        <f t="shared" si="98"/>
        <v>-1375</v>
      </c>
      <c r="AM425" s="2">
        <f t="shared" si="99"/>
        <v>7717.529143218615</v>
      </c>
      <c r="AN425" s="43"/>
      <c r="AO425" s="2">
        <f t="shared" si="100"/>
        <v>0</v>
      </c>
      <c r="AP425" s="2">
        <f t="shared" si="101"/>
        <v>-1375</v>
      </c>
      <c r="AR425" s="2">
        <f t="shared" si="102"/>
        <v>-1375</v>
      </c>
      <c r="AS425" s="2">
        <f>-AR425*'PV IN'!$E$8</f>
        <v>288.75</v>
      </c>
      <c r="AT425" s="2">
        <f>IF('PV IN'!$F$4="Battery Only",0,AM425+AS425)</f>
        <v>8006.279143218615</v>
      </c>
      <c r="AV425" s="10">
        <f t="shared" si="103"/>
        <v>2962773.1491103875</v>
      </c>
      <c r="AW425" s="2">
        <f>AT425/(1+('PV IN'!$G$9))^(C425)</f>
        <v>1445.5711945019566</v>
      </c>
      <c r="AX425" s="2" t="e">
        <f>IF(C425&lt;='PV IN'!$O$22*12,AW425+AX424,NA())</f>
        <v>#N/A</v>
      </c>
      <c r="AZ425" s="10">
        <f t="shared" si="104"/>
        <v>-1375</v>
      </c>
      <c r="BA425" s="10">
        <f t="shared" si="111"/>
        <v>0</v>
      </c>
      <c r="BB425" s="10">
        <f t="shared" si="105"/>
        <v>-1375</v>
      </c>
      <c r="BC425" s="10">
        <f t="shared" si="106"/>
        <v>0</v>
      </c>
      <c r="BD425" s="10">
        <f t="shared" si="107"/>
        <v>-1375</v>
      </c>
      <c r="BE425" s="2">
        <f t="shared" si="108"/>
        <v>0</v>
      </c>
      <c r="BF425" s="10">
        <f t="shared" si="109"/>
        <v>-1375</v>
      </c>
      <c r="BG425" s="2">
        <f>-BF425*'PV IN'!$E$8</f>
        <v>288.75</v>
      </c>
      <c r="BH425" s="2">
        <f>IF('PV IN'!$F$4="Battery Only",0,BB425+BG425)</f>
        <v>-1086.25</v>
      </c>
      <c r="BI425" s="2">
        <f>BH425/(1+('PV IN'!$G$9))^(C425)</f>
        <v>-196.12752465141895</v>
      </c>
    </row>
    <row r="426" spans="2:61" x14ac:dyDescent="0.25">
      <c r="C426">
        <v>422</v>
      </c>
      <c r="D426" s="16">
        <f>D425*(1+('PV IN'!$G$6/12))</f>
        <v>7.5999999999999998E-2</v>
      </c>
      <c r="E426" s="16">
        <f>LkUP!$U$50</f>
        <v>7.8896523189157505E-2</v>
      </c>
      <c r="F426" s="16">
        <f>IF('PV IN'!$D$7="Table",E426,D426)</f>
        <v>7.8896523189157505E-2</v>
      </c>
      <c r="G426" s="33">
        <f>('PV IN'!$E$25*'PV IN'!$E$18/12)*(1-(1-'PV IN'!$E$27)/(25*12))^C425</f>
        <v>115169.42812977922</v>
      </c>
      <c r="H426" s="33">
        <f>IF('PV IN'!$D$19="YES",G426*'PV IN'!$E$21,0)</f>
        <v>0</v>
      </c>
      <c r="I426" s="33">
        <f>IF('PV IN'!$D$19="YES",'PV IN'!$E$22*BattCalcs!W426,0)</f>
        <v>0</v>
      </c>
      <c r="J426" s="33">
        <f>IF('PV IN'!$D$19="YES",'PV IN'!$E$23*BattCalcs!Y426,0)</f>
        <v>0</v>
      </c>
      <c r="K426" s="33">
        <f>BattCalcs!AF426</f>
        <v>25811.765833333331</v>
      </c>
      <c r="L426" s="33">
        <f t="shared" si="97"/>
        <v>25811.765833333331</v>
      </c>
      <c r="M426" s="33">
        <f>IF('PV IN'!$F$4="PV Only",G426,G426-SUM(H426:J426,L426))</f>
        <v>115169.42812977922</v>
      </c>
      <c r="N426" s="2">
        <f>IF(C426&lt;='PV IN'!$I$12*12,'PV IN'!$E$12*G426/1000,0)</f>
        <v>0</v>
      </c>
      <c r="O426" s="2">
        <f>IF(AND(C426&gt;'PV IN'!$I$12*12,C426&lt;='PV IN'!$I$13*12+'PV IN'!$I$12*12),'PV IN'!$E$13*PVCalcs!G426/1000,0)</f>
        <v>0</v>
      </c>
      <c r="P426" s="2">
        <f>IF(AND(C426&gt;'PV IN'!$I$12*12+'PV IN'!$I$13*12,C426&lt;='PV IN'!$I$12*12+'PV IN'!$I$13*12+'PV IN'!$I$14*12),'PV IN'!$E$14*PVCalcs!G426/1000,0)</f>
        <v>0</v>
      </c>
      <c r="R426" s="10">
        <f>IF(AND('PV IN'!$D$35="YES",$C426&lt;='PV IN'!$E$35*12),-'PV IN'!$E$18*'PV IN'!$E$34/12,0)</f>
        <v>0</v>
      </c>
      <c r="S426" s="10">
        <f>IF(AND('PV IN'!$D$37="YES",$C426&lt;='PV IN'!$E$37*12),-'PV IN'!$E$18*'PV IN'!$E$36/12,0)</f>
        <v>0</v>
      </c>
      <c r="U426" s="2">
        <f t="shared" si="112"/>
        <v>9086.4674571231353</v>
      </c>
      <c r="V426" s="10">
        <f>PVLoan!M453</f>
        <v>0</v>
      </c>
      <c r="W426" s="2">
        <f>IF(C426='PV IN'!$I$40,IF('PV IN'!$G$40="Non-Taxable",'PV IN'!$F$40,0),0)+IF(C426='PV IN'!$I$41,IF('PV IN'!$G$41="Non-Taxable",'PV IN'!$F$41,0),0)</f>
        <v>0</v>
      </c>
      <c r="X426" s="10"/>
      <c r="Y426" s="10">
        <f>IF('PV IN'!$E$15="Non-Taxable",SUM(N426:P426),0)</f>
        <v>0</v>
      </c>
      <c r="Z426" s="10">
        <f>IF('PV IN'!$E$15="Taxable",SUM(N426:P426),0)</f>
        <v>0</v>
      </c>
      <c r="AA426" s="2">
        <f>IF(C426='PV IN'!$I$40,IF('PV IN'!$G$40="Taxable",'PV IN'!$F$40,0),0)+IF(C426='PV IN'!$I$41,IF('PV IN'!$G$41="Taxable",'PV IN'!$F$41,0),0)</f>
        <v>0</v>
      </c>
      <c r="AD426" s="10">
        <f>IF('PV IN'!$D$48="YES",-U426*'PV IN'!$E$8,0)</f>
        <v>0</v>
      </c>
      <c r="AE426" s="10">
        <f>IF('PV IN'!$N$10="Yes",-PVLoan!H454,-PVLoan!L454)</f>
        <v>0</v>
      </c>
      <c r="AF426" s="10">
        <f>IF('PV IN'!$N$10="Yes",-PVLoan!F454,0)</f>
        <v>0</v>
      </c>
      <c r="AG426" s="10">
        <f>IF(AND('PV IN'!$D$35="YES",$C426&lt;='PV IN'!$E$35*12),0,-'PV IN'!$E$18*'PV IN'!$E$34/12)</f>
        <v>-750</v>
      </c>
      <c r="AH426" s="10">
        <f>IF(AND('PV IN'!$D$37="YES",$C426&lt;='PV IN'!$E$37*12),0,-'PV IN'!$E$18*'PV IN'!$E$36/12)</f>
        <v>-625</v>
      </c>
      <c r="AI426" s="2">
        <f>IF(AND('PV IN'!$D$33="YES",PVCalcs!C426=ROUNDUP('PV IN'!$H$33*12,)),-'PV IN'!$E$33*'PV IN'!$E$18,0)</f>
        <v>0</v>
      </c>
      <c r="AK426" s="2">
        <f t="shared" si="110"/>
        <v>9086.4674571231353</v>
      </c>
      <c r="AL426" s="2">
        <f t="shared" si="98"/>
        <v>-1375</v>
      </c>
      <c r="AM426" s="2">
        <f t="shared" si="99"/>
        <v>7711.4674571231353</v>
      </c>
      <c r="AN426" s="43"/>
      <c r="AO426" s="2">
        <f t="shared" si="100"/>
        <v>0</v>
      </c>
      <c r="AP426" s="2">
        <f t="shared" si="101"/>
        <v>-1375</v>
      </c>
      <c r="AR426" s="2">
        <f t="shared" si="102"/>
        <v>-1375</v>
      </c>
      <c r="AS426" s="2">
        <f>-AR426*'PV IN'!$E$8</f>
        <v>288.75</v>
      </c>
      <c r="AT426" s="2">
        <f>IF('PV IN'!$F$4="Battery Only",0,AM426+AS426)</f>
        <v>8000.2174571231353</v>
      </c>
      <c r="AV426" s="10">
        <f t="shared" si="103"/>
        <v>2970773.3665675106</v>
      </c>
      <c r="AW426" s="2">
        <f>AT426/(1+('PV IN'!$G$9))^(C426)</f>
        <v>1438.6156305333034</v>
      </c>
      <c r="AX426" s="2" t="e">
        <f>IF(C426&lt;='PV IN'!$O$22*12,AW426+AX425,NA())</f>
        <v>#N/A</v>
      </c>
      <c r="AZ426" s="10">
        <f t="shared" si="104"/>
        <v>-1375</v>
      </c>
      <c r="BA426" s="10">
        <f t="shared" si="111"/>
        <v>0</v>
      </c>
      <c r="BB426" s="10">
        <f t="shared" si="105"/>
        <v>-1375</v>
      </c>
      <c r="BC426" s="10">
        <f t="shared" si="106"/>
        <v>0</v>
      </c>
      <c r="BD426" s="10">
        <f t="shared" si="107"/>
        <v>-1375</v>
      </c>
      <c r="BE426" s="2">
        <f t="shared" si="108"/>
        <v>0</v>
      </c>
      <c r="BF426" s="10">
        <f t="shared" si="109"/>
        <v>-1375</v>
      </c>
      <c r="BG426" s="2">
        <f>-BF426*'PV IN'!$E$8</f>
        <v>288.75</v>
      </c>
      <c r="BH426" s="2">
        <f>IF('PV IN'!$F$4="Battery Only",0,BB426+BG426)</f>
        <v>-1086.25</v>
      </c>
      <c r="BI426" s="2">
        <f>BH426/(1+('PV IN'!$G$9))^(C426)</f>
        <v>-195.33171904913991</v>
      </c>
    </row>
    <row r="427" spans="2:61" x14ac:dyDescent="0.25">
      <c r="C427">
        <v>423</v>
      </c>
      <c r="D427" s="16">
        <f>D426*(1+('PV IN'!$G$6/12))</f>
        <v>7.5999999999999998E-2</v>
      </c>
      <c r="E427" s="16">
        <f>LkUP!$U$50</f>
        <v>7.8896523189157505E-2</v>
      </c>
      <c r="F427" s="16">
        <f>IF('PV IN'!$D$7="Table",E427,D427)</f>
        <v>7.8896523189157505E-2</v>
      </c>
      <c r="G427" s="33">
        <f>('PV IN'!$E$25*'PV IN'!$E$18/12)*(1-(1-'PV IN'!$E$27)/(25*12))^C426</f>
        <v>115092.64851102603</v>
      </c>
      <c r="H427" s="33">
        <f>IF('PV IN'!$D$19="YES",G427*'PV IN'!$E$21,0)</f>
        <v>0</v>
      </c>
      <c r="I427" s="33">
        <f>IF('PV IN'!$D$19="YES",'PV IN'!$E$22*BattCalcs!W427,0)</f>
        <v>0</v>
      </c>
      <c r="J427" s="33">
        <f>IF('PV IN'!$D$19="YES",'PV IN'!$E$23*BattCalcs!Y427,0)</f>
        <v>0</v>
      </c>
      <c r="K427" s="33">
        <f>BattCalcs!AF427</f>
        <v>25811.765833333331</v>
      </c>
      <c r="L427" s="33">
        <f t="shared" si="97"/>
        <v>25811.765833333331</v>
      </c>
      <c r="M427" s="33">
        <f>IF('PV IN'!$F$4="PV Only",G427,G427-SUM(H427:J427,L427))</f>
        <v>115092.64851102603</v>
      </c>
      <c r="N427" s="2">
        <f>IF(C427&lt;='PV IN'!$I$12*12,'PV IN'!$E$12*G427/1000,0)</f>
        <v>0</v>
      </c>
      <c r="O427" s="2">
        <f>IF(AND(C427&gt;'PV IN'!$I$12*12,C427&lt;='PV IN'!$I$13*12+'PV IN'!$I$12*12),'PV IN'!$E$13*PVCalcs!G427/1000,0)</f>
        <v>0</v>
      </c>
      <c r="P427" s="2">
        <f>IF(AND(C427&gt;'PV IN'!$I$12*12+'PV IN'!$I$13*12,C427&lt;='PV IN'!$I$12*12+'PV IN'!$I$13*12+'PV IN'!$I$14*12),'PV IN'!$E$14*PVCalcs!G427/1000,0)</f>
        <v>0</v>
      </c>
      <c r="R427" s="10">
        <f>IF(AND('PV IN'!$D$35="YES",$C427&lt;='PV IN'!$E$35*12),-'PV IN'!$E$18*'PV IN'!$E$34/12,0)</f>
        <v>0</v>
      </c>
      <c r="S427" s="10">
        <f>IF(AND('PV IN'!$D$37="YES",$C427&lt;='PV IN'!$E$37*12),-'PV IN'!$E$18*'PV IN'!$E$36/12,0)</f>
        <v>0</v>
      </c>
      <c r="U427" s="2">
        <f t="shared" si="112"/>
        <v>9080.4098121517181</v>
      </c>
      <c r="V427" s="10">
        <f>PVLoan!M454</f>
        <v>0</v>
      </c>
      <c r="W427" s="2">
        <f>IF(C427='PV IN'!$I$40,IF('PV IN'!$G$40="Non-Taxable",'PV IN'!$F$40,0),0)+IF(C427='PV IN'!$I$41,IF('PV IN'!$G$41="Non-Taxable",'PV IN'!$F$41,0),0)</f>
        <v>0</v>
      </c>
      <c r="X427" s="10"/>
      <c r="Y427" s="10">
        <f>IF('PV IN'!$E$15="Non-Taxable",SUM(N427:P427),0)</f>
        <v>0</v>
      </c>
      <c r="Z427" s="10">
        <f>IF('PV IN'!$E$15="Taxable",SUM(N427:P427),0)</f>
        <v>0</v>
      </c>
      <c r="AA427" s="2">
        <f>IF(C427='PV IN'!$I$40,IF('PV IN'!$G$40="Taxable",'PV IN'!$F$40,0),0)+IF(C427='PV IN'!$I$41,IF('PV IN'!$G$41="Taxable",'PV IN'!$F$41,0),0)</f>
        <v>0</v>
      </c>
      <c r="AD427" s="10">
        <f>IF('PV IN'!$D$48="YES",-U427*'PV IN'!$E$8,0)</f>
        <v>0</v>
      </c>
      <c r="AE427" s="10">
        <f>IF('PV IN'!$N$10="Yes",-PVLoan!H455,-PVLoan!L455)</f>
        <v>0</v>
      </c>
      <c r="AF427" s="10">
        <f>IF('PV IN'!$N$10="Yes",-PVLoan!F455,0)</f>
        <v>0</v>
      </c>
      <c r="AG427" s="10">
        <f>IF(AND('PV IN'!$D$35="YES",$C427&lt;='PV IN'!$E$35*12),0,-'PV IN'!$E$18*'PV IN'!$E$34/12)</f>
        <v>-750</v>
      </c>
      <c r="AH427" s="10">
        <f>IF(AND('PV IN'!$D$37="YES",$C427&lt;='PV IN'!$E$37*12),0,-'PV IN'!$E$18*'PV IN'!$E$36/12)</f>
        <v>-625</v>
      </c>
      <c r="AI427" s="2">
        <f>IF(AND('PV IN'!$D$33="YES",PVCalcs!C427=ROUNDUP('PV IN'!$H$33*12,)),-'PV IN'!$E$33*'PV IN'!$E$18,0)</f>
        <v>0</v>
      </c>
      <c r="AK427" s="2">
        <f t="shared" si="110"/>
        <v>9080.4098121517181</v>
      </c>
      <c r="AL427" s="2">
        <f t="shared" si="98"/>
        <v>-1375</v>
      </c>
      <c r="AM427" s="2">
        <f t="shared" si="99"/>
        <v>7705.4098121517181</v>
      </c>
      <c r="AN427" s="43"/>
      <c r="AO427" s="2">
        <f t="shared" si="100"/>
        <v>0</v>
      </c>
      <c r="AP427" s="2">
        <f t="shared" si="101"/>
        <v>-1375</v>
      </c>
      <c r="AR427" s="2">
        <f t="shared" si="102"/>
        <v>-1375</v>
      </c>
      <c r="AS427" s="2">
        <f>-AR427*'PV IN'!$E$8</f>
        <v>288.75</v>
      </c>
      <c r="AT427" s="2">
        <f>IF('PV IN'!$F$4="Battery Only",0,AM427+AS427)</f>
        <v>7994.1598121517181</v>
      </c>
      <c r="AV427" s="10">
        <f t="shared" si="103"/>
        <v>2978767.5263796626</v>
      </c>
      <c r="AW427" s="2">
        <f>AT427/(1+('PV IN'!$G$9))^(C427)</f>
        <v>1431.693436021659</v>
      </c>
      <c r="AX427" s="2" t="e">
        <f>IF(C427&lt;='PV IN'!$O$22*12,AW427+AX426,NA())</f>
        <v>#N/A</v>
      </c>
      <c r="AZ427" s="10">
        <f t="shared" si="104"/>
        <v>-1375</v>
      </c>
      <c r="BA427" s="10">
        <f t="shared" si="111"/>
        <v>0</v>
      </c>
      <c r="BB427" s="10">
        <f t="shared" si="105"/>
        <v>-1375</v>
      </c>
      <c r="BC427" s="10">
        <f t="shared" si="106"/>
        <v>0</v>
      </c>
      <c r="BD427" s="10">
        <f t="shared" si="107"/>
        <v>-1375</v>
      </c>
      <c r="BE427" s="2">
        <f t="shared" si="108"/>
        <v>0</v>
      </c>
      <c r="BF427" s="10">
        <f t="shared" si="109"/>
        <v>-1375</v>
      </c>
      <c r="BG427" s="2">
        <f>-BF427*'PV IN'!$E$8</f>
        <v>288.75</v>
      </c>
      <c r="BH427" s="2">
        <f>IF('PV IN'!$F$4="Battery Only",0,BB427+BG427)</f>
        <v>-1086.25</v>
      </c>
      <c r="BI427" s="2">
        <f>BH427/(1+('PV IN'!$G$9))^(C427)</f>
        <v>-194.53914250182265</v>
      </c>
    </row>
    <row r="428" spans="2:61" x14ac:dyDescent="0.25">
      <c r="C428">
        <v>424</v>
      </c>
      <c r="D428" s="16">
        <f>D427*(1+('PV IN'!$G$6/12))</f>
        <v>7.5999999999999998E-2</v>
      </c>
      <c r="E428" s="16">
        <f>LkUP!$U$50</f>
        <v>7.8896523189157505E-2</v>
      </c>
      <c r="F428" s="16">
        <f>IF('PV IN'!$D$7="Table",E428,D428)</f>
        <v>7.8896523189157505E-2</v>
      </c>
      <c r="G428" s="33">
        <f>('PV IN'!$E$25*'PV IN'!$E$18/12)*(1-(1-'PV IN'!$E$27)/(25*12))^C427</f>
        <v>115015.92007868533</v>
      </c>
      <c r="H428" s="33">
        <f>IF('PV IN'!$D$19="YES",G428*'PV IN'!$E$21,0)</f>
        <v>0</v>
      </c>
      <c r="I428" s="33">
        <f>IF('PV IN'!$D$19="YES",'PV IN'!$E$22*BattCalcs!W428,0)</f>
        <v>0</v>
      </c>
      <c r="J428" s="33">
        <f>IF('PV IN'!$D$19="YES",'PV IN'!$E$23*BattCalcs!Y428,0)</f>
        <v>0</v>
      </c>
      <c r="K428" s="33">
        <f>BattCalcs!AF428</f>
        <v>25811.765833333331</v>
      </c>
      <c r="L428" s="33">
        <f t="shared" si="97"/>
        <v>25811.765833333331</v>
      </c>
      <c r="M428" s="33">
        <f>IF('PV IN'!$F$4="PV Only",G428,G428-SUM(H428:J428,L428))</f>
        <v>115015.92007868533</v>
      </c>
      <c r="N428" s="2">
        <f>IF(C428&lt;='PV IN'!$I$12*12,'PV IN'!$E$12*G428/1000,0)</f>
        <v>0</v>
      </c>
      <c r="O428" s="2">
        <f>IF(AND(C428&gt;'PV IN'!$I$12*12,C428&lt;='PV IN'!$I$13*12+'PV IN'!$I$12*12),'PV IN'!$E$13*PVCalcs!G428/1000,0)</f>
        <v>0</v>
      </c>
      <c r="P428" s="2">
        <f>IF(AND(C428&gt;'PV IN'!$I$12*12+'PV IN'!$I$13*12,C428&lt;='PV IN'!$I$12*12+'PV IN'!$I$13*12+'PV IN'!$I$14*12),'PV IN'!$E$14*PVCalcs!G428/1000,0)</f>
        <v>0</v>
      </c>
      <c r="R428" s="10">
        <f>IF(AND('PV IN'!$D$35="YES",$C428&lt;='PV IN'!$E$35*12),-'PV IN'!$E$18*'PV IN'!$E$34/12,0)</f>
        <v>0</v>
      </c>
      <c r="S428" s="10">
        <f>IF(AND('PV IN'!$D$37="YES",$C428&lt;='PV IN'!$E$37*12),-'PV IN'!$E$18*'PV IN'!$E$36/12,0)</f>
        <v>0</v>
      </c>
      <c r="U428" s="2">
        <f t="shared" si="112"/>
        <v>9074.3562056102837</v>
      </c>
      <c r="V428" s="10">
        <f>PVLoan!M455</f>
        <v>0</v>
      </c>
      <c r="W428" s="2">
        <f>IF(C428='PV IN'!$I$40,IF('PV IN'!$G$40="Non-Taxable",'PV IN'!$F$40,0),0)+IF(C428='PV IN'!$I$41,IF('PV IN'!$G$41="Non-Taxable",'PV IN'!$F$41,0),0)</f>
        <v>0</v>
      </c>
      <c r="X428" s="10"/>
      <c r="Y428" s="10">
        <f>IF('PV IN'!$E$15="Non-Taxable",SUM(N428:P428),0)</f>
        <v>0</v>
      </c>
      <c r="Z428" s="10">
        <f>IF('PV IN'!$E$15="Taxable",SUM(N428:P428),0)</f>
        <v>0</v>
      </c>
      <c r="AA428" s="2">
        <f>IF(C428='PV IN'!$I$40,IF('PV IN'!$G$40="Taxable",'PV IN'!$F$40,0),0)+IF(C428='PV IN'!$I$41,IF('PV IN'!$G$41="Taxable",'PV IN'!$F$41,0),0)</f>
        <v>0</v>
      </c>
      <c r="AD428" s="10">
        <f>IF('PV IN'!$D$48="YES",-U428*'PV IN'!$E$8,0)</f>
        <v>0</v>
      </c>
      <c r="AE428" s="10">
        <f>IF('PV IN'!$N$10="Yes",-PVLoan!H456,-PVLoan!L456)</f>
        <v>0</v>
      </c>
      <c r="AF428" s="10">
        <f>IF('PV IN'!$N$10="Yes",-PVLoan!F456,0)</f>
        <v>0</v>
      </c>
      <c r="AG428" s="10">
        <f>IF(AND('PV IN'!$D$35="YES",$C428&lt;='PV IN'!$E$35*12),0,-'PV IN'!$E$18*'PV IN'!$E$34/12)</f>
        <v>-750</v>
      </c>
      <c r="AH428" s="10">
        <f>IF(AND('PV IN'!$D$37="YES",$C428&lt;='PV IN'!$E$37*12),0,-'PV IN'!$E$18*'PV IN'!$E$36/12)</f>
        <v>-625</v>
      </c>
      <c r="AI428" s="2">
        <f>IF(AND('PV IN'!$D$33="YES",PVCalcs!C428=ROUNDUP('PV IN'!$H$33*12,)),-'PV IN'!$E$33*'PV IN'!$E$18,0)</f>
        <v>0</v>
      </c>
      <c r="AK428" s="2">
        <f t="shared" si="110"/>
        <v>9074.3562056102837</v>
      </c>
      <c r="AL428" s="2">
        <f t="shared" si="98"/>
        <v>-1375</v>
      </c>
      <c r="AM428" s="2">
        <f t="shared" si="99"/>
        <v>7699.3562056102837</v>
      </c>
      <c r="AN428" s="43"/>
      <c r="AO428" s="2">
        <f t="shared" si="100"/>
        <v>0</v>
      </c>
      <c r="AP428" s="2">
        <f t="shared" si="101"/>
        <v>-1375</v>
      </c>
      <c r="AR428" s="2">
        <f t="shared" si="102"/>
        <v>-1375</v>
      </c>
      <c r="AS428" s="2">
        <f>-AR428*'PV IN'!$E$8</f>
        <v>288.75</v>
      </c>
      <c r="AT428" s="2">
        <f>IF('PV IN'!$F$4="Battery Only",0,AM428+AS428)</f>
        <v>7988.1062056102837</v>
      </c>
      <c r="AV428" s="10">
        <f t="shared" si="103"/>
        <v>2986755.6325852727</v>
      </c>
      <c r="AW428" s="2">
        <f>AT428/(1+('PV IN'!$G$9))^(C428)</f>
        <v>1424.8044512673537</v>
      </c>
      <c r="AX428" s="2" t="e">
        <f>IF(C428&lt;='PV IN'!$O$22*12,AW428+AX427,NA())</f>
        <v>#N/A</v>
      </c>
      <c r="AZ428" s="10">
        <f t="shared" si="104"/>
        <v>-1375</v>
      </c>
      <c r="BA428" s="10">
        <f t="shared" si="111"/>
        <v>0</v>
      </c>
      <c r="BB428" s="10">
        <f t="shared" si="105"/>
        <v>-1375</v>
      </c>
      <c r="BC428" s="10">
        <f t="shared" si="106"/>
        <v>0</v>
      </c>
      <c r="BD428" s="10">
        <f t="shared" si="107"/>
        <v>-1375</v>
      </c>
      <c r="BE428" s="2">
        <f t="shared" si="108"/>
        <v>0</v>
      </c>
      <c r="BF428" s="10">
        <f t="shared" si="109"/>
        <v>-1375</v>
      </c>
      <c r="BG428" s="2">
        <f>-BF428*'PV IN'!$E$8</f>
        <v>288.75</v>
      </c>
      <c r="BH428" s="2">
        <f>IF('PV IN'!$F$4="Battery Only",0,BB428+BG428)</f>
        <v>-1086.25</v>
      </c>
      <c r="BI428" s="2">
        <f>BH428/(1+('PV IN'!$G$9))^(C428)</f>
        <v>-193.74978190727754</v>
      </c>
    </row>
    <row r="429" spans="2:61" x14ac:dyDescent="0.25">
      <c r="C429">
        <v>425</v>
      </c>
      <c r="D429" s="16">
        <f>D428*(1+('PV IN'!$G$6/12))</f>
        <v>7.5999999999999998E-2</v>
      </c>
      <c r="E429" s="16">
        <f>LkUP!$U$50</f>
        <v>7.8896523189157505E-2</v>
      </c>
      <c r="F429" s="16">
        <f>IF('PV IN'!$D$7="Table",E429,D429)</f>
        <v>7.8896523189157505E-2</v>
      </c>
      <c r="G429" s="33">
        <f>('PV IN'!$E$25*'PV IN'!$E$18/12)*(1-(1-'PV IN'!$E$27)/(25*12))^C428</f>
        <v>114939.24279863287</v>
      </c>
      <c r="H429" s="33">
        <f>IF('PV IN'!$D$19="YES",G429*'PV IN'!$E$21,0)</f>
        <v>0</v>
      </c>
      <c r="I429" s="33">
        <f>IF('PV IN'!$D$19="YES",'PV IN'!$E$22*BattCalcs!W429,0)</f>
        <v>0</v>
      </c>
      <c r="J429" s="33">
        <f>IF('PV IN'!$D$19="YES",'PV IN'!$E$23*BattCalcs!Y429,0)</f>
        <v>0</v>
      </c>
      <c r="K429" s="33">
        <f>BattCalcs!AF429</f>
        <v>25811.765833333331</v>
      </c>
      <c r="L429" s="33">
        <f t="shared" ref="L429:L484" si="113">IF(SUM(H429:K429)&lt;=G429,K429,G429-SUM(H429:J429))</f>
        <v>25811.765833333331</v>
      </c>
      <c r="M429" s="33">
        <f>IF('PV IN'!$F$4="PV Only",G429,G429-SUM(H429:J429,L429))</f>
        <v>114939.24279863287</v>
      </c>
      <c r="N429" s="2">
        <f>IF(C429&lt;='PV IN'!$I$12*12,'PV IN'!$E$12*G429/1000,0)</f>
        <v>0</v>
      </c>
      <c r="O429" s="2">
        <f>IF(AND(C429&gt;'PV IN'!$I$12*12,C429&lt;='PV IN'!$I$13*12+'PV IN'!$I$12*12),'PV IN'!$E$13*PVCalcs!G429/1000,0)</f>
        <v>0</v>
      </c>
      <c r="P429" s="2">
        <f>IF(AND(C429&gt;'PV IN'!$I$12*12+'PV IN'!$I$13*12,C429&lt;='PV IN'!$I$12*12+'PV IN'!$I$13*12+'PV IN'!$I$14*12),'PV IN'!$E$14*PVCalcs!G429/1000,0)</f>
        <v>0</v>
      </c>
      <c r="R429" s="10">
        <f>IF(AND('PV IN'!$D$35="YES",$C429&lt;='PV IN'!$E$35*12),-'PV IN'!$E$18*'PV IN'!$E$34/12,0)</f>
        <v>0</v>
      </c>
      <c r="S429" s="10">
        <f>IF(AND('PV IN'!$D$37="YES",$C429&lt;='PV IN'!$E$37*12),-'PV IN'!$E$18*'PV IN'!$E$36/12,0)</f>
        <v>0</v>
      </c>
      <c r="U429" s="2">
        <f t="shared" si="112"/>
        <v>9068.3066348065422</v>
      </c>
      <c r="V429" s="10">
        <f>PVLoan!M456</f>
        <v>0</v>
      </c>
      <c r="W429" s="2">
        <f>IF(C429='PV IN'!$I$40,IF('PV IN'!$G$40="Non-Taxable",'PV IN'!$F$40,0),0)+IF(C429='PV IN'!$I$41,IF('PV IN'!$G$41="Non-Taxable",'PV IN'!$F$41,0),0)</f>
        <v>0</v>
      </c>
      <c r="X429" s="10"/>
      <c r="Y429" s="10">
        <f>IF('PV IN'!$E$15="Non-Taxable",SUM(N429:P429),0)</f>
        <v>0</v>
      </c>
      <c r="Z429" s="10">
        <f>IF('PV IN'!$E$15="Taxable",SUM(N429:P429),0)</f>
        <v>0</v>
      </c>
      <c r="AA429" s="2">
        <f>IF(C429='PV IN'!$I$40,IF('PV IN'!$G$40="Taxable",'PV IN'!$F$40,0),0)+IF(C429='PV IN'!$I$41,IF('PV IN'!$G$41="Taxable",'PV IN'!$F$41,0),0)</f>
        <v>0</v>
      </c>
      <c r="AD429" s="10">
        <f>IF('PV IN'!$D$48="YES",-U429*'PV IN'!$E$8,0)</f>
        <v>0</v>
      </c>
      <c r="AE429" s="10">
        <f>IF('PV IN'!$N$10="Yes",-PVLoan!H457,-PVLoan!L457)</f>
        <v>0</v>
      </c>
      <c r="AF429" s="10">
        <f>IF('PV IN'!$N$10="Yes",-PVLoan!F457,0)</f>
        <v>0</v>
      </c>
      <c r="AG429" s="10">
        <f>IF(AND('PV IN'!$D$35="YES",$C429&lt;='PV IN'!$E$35*12),0,-'PV IN'!$E$18*'PV IN'!$E$34/12)</f>
        <v>-750</v>
      </c>
      <c r="AH429" s="10">
        <f>IF(AND('PV IN'!$D$37="YES",$C429&lt;='PV IN'!$E$37*12),0,-'PV IN'!$E$18*'PV IN'!$E$36/12)</f>
        <v>-625</v>
      </c>
      <c r="AI429" s="2">
        <f>IF(AND('PV IN'!$D$33="YES",PVCalcs!C429=ROUNDUP('PV IN'!$H$33*12,)),-'PV IN'!$E$33*'PV IN'!$E$18,0)</f>
        <v>0</v>
      </c>
      <c r="AK429" s="2">
        <f t="shared" si="110"/>
        <v>9068.3066348065422</v>
      </c>
      <c r="AL429" s="2">
        <f t="shared" ref="AL429:AL484" si="114">SUM(AC429:AI429)</f>
        <v>-1375</v>
      </c>
      <c r="AM429" s="2">
        <f t="shared" ref="AM429:AM484" si="115">AK429+AL429</f>
        <v>7693.3066348065422</v>
      </c>
      <c r="AN429" s="43"/>
      <c r="AO429" s="2">
        <f t="shared" ref="AO429:AO484" si="116">SUM(Z429:AA429)</f>
        <v>0</v>
      </c>
      <c r="AP429" s="2">
        <f t="shared" ref="AP429:AP484" si="117">SUM(AF429:AI429)</f>
        <v>-1375</v>
      </c>
      <c r="AR429" s="2">
        <f t="shared" ref="AR429:AR484" si="118">SUM(AO429:AQ429)</f>
        <v>-1375</v>
      </c>
      <c r="AS429" s="2">
        <f>-AR429*'PV IN'!$E$8</f>
        <v>288.75</v>
      </c>
      <c r="AT429" s="2">
        <f>IF('PV IN'!$F$4="Battery Only",0,AM429+AS429)</f>
        <v>7982.0566348065422</v>
      </c>
      <c r="AV429" s="10">
        <f t="shared" ref="AV429:AV484" si="119">AV428+AT429</f>
        <v>2994737.6892200792</v>
      </c>
      <c r="AW429" s="2">
        <f>AT429/(1+('PV IN'!$G$9))^(C429)</f>
        <v>1417.9485173334463</v>
      </c>
      <c r="AX429" s="2" t="e">
        <f>IF(C429&lt;='PV IN'!$O$22*12,AW429+AX428,NA())</f>
        <v>#N/A</v>
      </c>
      <c r="AZ429" s="10">
        <f t="shared" ref="AZ429:AZ484" si="120">AL429-AD429</f>
        <v>-1375</v>
      </c>
      <c r="BA429" s="10">
        <f t="shared" si="111"/>
        <v>0</v>
      </c>
      <c r="BB429" s="10">
        <f t="shared" ref="BB429:BB484" si="121">AZ429+BA429</f>
        <v>-1375</v>
      </c>
      <c r="BC429" s="10">
        <f t="shared" ref="BC429:BC484" si="122">AO429</f>
        <v>0</v>
      </c>
      <c r="BD429" s="10">
        <f t="shared" ref="BD429:BD484" si="123">AP429</f>
        <v>-1375</v>
      </c>
      <c r="BE429" s="2">
        <f t="shared" ref="BE429:BE484" si="124">AQ429</f>
        <v>0</v>
      </c>
      <c r="BF429" s="10">
        <f t="shared" ref="BF429:BF484" si="125">SUM(BC429:BE429)</f>
        <v>-1375</v>
      </c>
      <c r="BG429" s="2">
        <f>-BF429*'PV IN'!$E$8</f>
        <v>288.75</v>
      </c>
      <c r="BH429" s="2">
        <f>IF('PV IN'!$F$4="Battery Only",0,BB429+BG429)</f>
        <v>-1086.25</v>
      </c>
      <c r="BI429" s="2">
        <f>BH429/(1+('PV IN'!$G$9))^(C429)</f>
        <v>-192.96362421647817</v>
      </c>
    </row>
    <row r="430" spans="2:61" x14ac:dyDescent="0.25">
      <c r="C430">
        <v>426</v>
      </c>
      <c r="D430" s="16">
        <f>D429*(1+('PV IN'!$G$6/12))</f>
        <v>7.5999999999999998E-2</v>
      </c>
      <c r="E430" s="16">
        <f>LkUP!$U$50</f>
        <v>7.8896523189157505E-2</v>
      </c>
      <c r="F430" s="16">
        <f>IF('PV IN'!$D$7="Table",E430,D430)</f>
        <v>7.8896523189157505E-2</v>
      </c>
      <c r="G430" s="33">
        <f>('PV IN'!$E$25*'PV IN'!$E$18/12)*(1-(1-'PV IN'!$E$27)/(25*12))^C429</f>
        <v>114862.61663676711</v>
      </c>
      <c r="H430" s="33">
        <f>IF('PV IN'!$D$19="YES",G430*'PV IN'!$E$21,0)</f>
        <v>0</v>
      </c>
      <c r="I430" s="33">
        <f>IF('PV IN'!$D$19="YES",'PV IN'!$E$22*BattCalcs!W430,0)</f>
        <v>0</v>
      </c>
      <c r="J430" s="33">
        <f>IF('PV IN'!$D$19="YES",'PV IN'!$E$23*BattCalcs!Y430,0)</f>
        <v>0</v>
      </c>
      <c r="K430" s="33">
        <f>BattCalcs!AF430</f>
        <v>25811.765833333331</v>
      </c>
      <c r="L430" s="33">
        <f t="shared" si="113"/>
        <v>25811.765833333331</v>
      </c>
      <c r="M430" s="33">
        <f>IF('PV IN'!$F$4="PV Only",G430,G430-SUM(H430:J430,L430))</f>
        <v>114862.61663676711</v>
      </c>
      <c r="N430" s="2">
        <f>IF(C430&lt;='PV IN'!$I$12*12,'PV IN'!$E$12*G430/1000,0)</f>
        <v>0</v>
      </c>
      <c r="O430" s="2">
        <f>IF(AND(C430&gt;'PV IN'!$I$12*12,C430&lt;='PV IN'!$I$13*12+'PV IN'!$I$12*12),'PV IN'!$E$13*PVCalcs!G430/1000,0)</f>
        <v>0</v>
      </c>
      <c r="P430" s="2">
        <f>IF(AND(C430&gt;'PV IN'!$I$12*12+'PV IN'!$I$13*12,C430&lt;='PV IN'!$I$12*12+'PV IN'!$I$13*12+'PV IN'!$I$14*12),'PV IN'!$E$14*PVCalcs!G430/1000,0)</f>
        <v>0</v>
      </c>
      <c r="R430" s="10">
        <f>IF(AND('PV IN'!$D$35="YES",$C430&lt;='PV IN'!$E$35*12),-'PV IN'!$E$18*'PV IN'!$E$34/12,0)</f>
        <v>0</v>
      </c>
      <c r="S430" s="10">
        <f>IF(AND('PV IN'!$D$37="YES",$C430&lt;='PV IN'!$E$37*12),-'PV IN'!$E$18*'PV IN'!$E$36/12,0)</f>
        <v>0</v>
      </c>
      <c r="U430" s="2">
        <f t="shared" si="112"/>
        <v>9062.2610970500045</v>
      </c>
      <c r="V430" s="10">
        <f>PVLoan!M457</f>
        <v>0</v>
      </c>
      <c r="W430" s="2">
        <f>IF(C430='PV IN'!$I$40,IF('PV IN'!$G$40="Non-Taxable",'PV IN'!$F$40,0),0)+IF(C430='PV IN'!$I$41,IF('PV IN'!$G$41="Non-Taxable",'PV IN'!$F$41,0),0)</f>
        <v>0</v>
      </c>
      <c r="X430" s="10"/>
      <c r="Y430" s="10">
        <f>IF('PV IN'!$E$15="Non-Taxable",SUM(N430:P430),0)</f>
        <v>0</v>
      </c>
      <c r="Z430" s="10">
        <f>IF('PV IN'!$E$15="Taxable",SUM(N430:P430),0)</f>
        <v>0</v>
      </c>
      <c r="AA430" s="2">
        <f>IF(C430='PV IN'!$I$40,IF('PV IN'!$G$40="Taxable",'PV IN'!$F$40,0),0)+IF(C430='PV IN'!$I$41,IF('PV IN'!$G$41="Taxable",'PV IN'!$F$41,0),0)</f>
        <v>0</v>
      </c>
      <c r="AD430" s="10">
        <f>IF('PV IN'!$D$48="YES",-U430*'PV IN'!$E$8,0)</f>
        <v>0</v>
      </c>
      <c r="AE430" s="10">
        <f>IF('PV IN'!$N$10="Yes",-PVLoan!H458,-PVLoan!L458)</f>
        <v>0</v>
      </c>
      <c r="AF430" s="10">
        <f>IF('PV IN'!$N$10="Yes",-PVLoan!F458,0)</f>
        <v>0</v>
      </c>
      <c r="AG430" s="10">
        <f>IF(AND('PV IN'!$D$35="YES",$C430&lt;='PV IN'!$E$35*12),0,-'PV IN'!$E$18*'PV IN'!$E$34/12)</f>
        <v>-750</v>
      </c>
      <c r="AH430" s="10">
        <f>IF(AND('PV IN'!$D$37="YES",$C430&lt;='PV IN'!$E$37*12),0,-'PV IN'!$E$18*'PV IN'!$E$36/12)</f>
        <v>-625</v>
      </c>
      <c r="AI430" s="2">
        <f>IF(AND('PV IN'!$D$33="YES",PVCalcs!C430=ROUNDUP('PV IN'!$H$33*12,)),-'PV IN'!$E$33*'PV IN'!$E$18,0)</f>
        <v>0</v>
      </c>
      <c r="AK430" s="2">
        <f t="shared" si="110"/>
        <v>9062.2610970500045</v>
      </c>
      <c r="AL430" s="2">
        <f t="shared" si="114"/>
        <v>-1375</v>
      </c>
      <c r="AM430" s="2">
        <f t="shared" si="115"/>
        <v>7687.2610970500045</v>
      </c>
      <c r="AN430" s="43"/>
      <c r="AO430" s="2">
        <f t="shared" si="116"/>
        <v>0</v>
      </c>
      <c r="AP430" s="2">
        <f t="shared" si="117"/>
        <v>-1375</v>
      </c>
      <c r="AR430" s="2">
        <f t="shared" si="118"/>
        <v>-1375</v>
      </c>
      <c r="AS430" s="2">
        <f>-AR430*'PV IN'!$E$8</f>
        <v>288.75</v>
      </c>
      <c r="AT430" s="2">
        <f>IF('PV IN'!$F$4="Battery Only",0,AM430+AS430)</f>
        <v>7976.0110970500045</v>
      </c>
      <c r="AV430" s="10">
        <f t="shared" si="119"/>
        <v>3002713.700317129</v>
      </c>
      <c r="AW430" s="2">
        <f>AT430/(1+('PV IN'!$G$9))^(C430)</f>
        <v>1411.1254760420911</v>
      </c>
      <c r="AX430" s="2" t="e">
        <f>IF(C430&lt;='PV IN'!$O$22*12,AW430+AX429,NA())</f>
        <v>#N/A</v>
      </c>
      <c r="AZ430" s="10">
        <f t="shared" si="120"/>
        <v>-1375</v>
      </c>
      <c r="BA430" s="10">
        <f t="shared" si="111"/>
        <v>0</v>
      </c>
      <c r="BB430" s="10">
        <f t="shared" si="121"/>
        <v>-1375</v>
      </c>
      <c r="BC430" s="10">
        <f t="shared" si="122"/>
        <v>0</v>
      </c>
      <c r="BD430" s="10">
        <f t="shared" si="123"/>
        <v>-1375</v>
      </c>
      <c r="BE430" s="2">
        <f t="shared" si="124"/>
        <v>0</v>
      </c>
      <c r="BF430" s="10">
        <f t="shared" si="125"/>
        <v>-1375</v>
      </c>
      <c r="BG430" s="2">
        <f>-BF430*'PV IN'!$E$8</f>
        <v>288.75</v>
      </c>
      <c r="BH430" s="2">
        <f>IF('PV IN'!$F$4="Battery Only",0,BB430+BG430)</f>
        <v>-1086.25</v>
      </c>
      <c r="BI430" s="2">
        <f>BH430/(1+('PV IN'!$G$9))^(C430)</f>
        <v>-192.18065643334594</v>
      </c>
    </row>
    <row r="431" spans="2:61" x14ac:dyDescent="0.25">
      <c r="C431">
        <v>427</v>
      </c>
      <c r="D431" s="16">
        <f>D430*(1+('PV IN'!$G$6/12))</f>
        <v>7.5999999999999998E-2</v>
      </c>
      <c r="E431" s="16">
        <f>LkUP!$U$50</f>
        <v>7.8896523189157505E-2</v>
      </c>
      <c r="F431" s="16">
        <f>IF('PV IN'!$D$7="Table",E431,D431)</f>
        <v>7.8896523189157505E-2</v>
      </c>
      <c r="G431" s="33">
        <f>('PV IN'!$E$25*'PV IN'!$E$18/12)*(1-(1-'PV IN'!$E$27)/(25*12))^C430</f>
        <v>114786.04155900926</v>
      </c>
      <c r="H431" s="33">
        <f>IF('PV IN'!$D$19="YES",G431*'PV IN'!$E$21,0)</f>
        <v>0</v>
      </c>
      <c r="I431" s="33">
        <f>IF('PV IN'!$D$19="YES",'PV IN'!$E$22*BattCalcs!W431,0)</f>
        <v>0</v>
      </c>
      <c r="J431" s="33">
        <f>IF('PV IN'!$D$19="YES",'PV IN'!$E$23*BattCalcs!Y431,0)</f>
        <v>0</v>
      </c>
      <c r="K431" s="33">
        <f>BattCalcs!AF431</f>
        <v>25811.765833333331</v>
      </c>
      <c r="L431" s="33">
        <f t="shared" si="113"/>
        <v>25811.765833333331</v>
      </c>
      <c r="M431" s="33">
        <f>IF('PV IN'!$F$4="PV Only",G431,G431-SUM(H431:J431,L431))</f>
        <v>114786.04155900926</v>
      </c>
      <c r="N431" s="2">
        <f>IF(C431&lt;='PV IN'!$I$12*12,'PV IN'!$E$12*G431/1000,0)</f>
        <v>0</v>
      </c>
      <c r="O431" s="2">
        <f>IF(AND(C431&gt;'PV IN'!$I$12*12,C431&lt;='PV IN'!$I$13*12+'PV IN'!$I$12*12),'PV IN'!$E$13*PVCalcs!G431/1000,0)</f>
        <v>0</v>
      </c>
      <c r="P431" s="2">
        <f>IF(AND(C431&gt;'PV IN'!$I$12*12+'PV IN'!$I$13*12,C431&lt;='PV IN'!$I$12*12+'PV IN'!$I$13*12+'PV IN'!$I$14*12),'PV IN'!$E$14*PVCalcs!G431/1000,0)</f>
        <v>0</v>
      </c>
      <c r="R431" s="10">
        <f>IF(AND('PV IN'!$D$35="YES",$C431&lt;='PV IN'!$E$35*12),-'PV IN'!$E$18*'PV IN'!$E$34/12,0)</f>
        <v>0</v>
      </c>
      <c r="S431" s="10">
        <f>IF(AND('PV IN'!$D$37="YES",$C431&lt;='PV IN'!$E$37*12),-'PV IN'!$E$18*'PV IN'!$E$36/12,0)</f>
        <v>0</v>
      </c>
      <c r="U431" s="2">
        <f t="shared" si="112"/>
        <v>9056.2195896519715</v>
      </c>
      <c r="V431" s="10">
        <f>PVLoan!M458</f>
        <v>0</v>
      </c>
      <c r="W431" s="2">
        <f>IF(C431='PV IN'!$I$40,IF('PV IN'!$G$40="Non-Taxable",'PV IN'!$F$40,0),0)+IF(C431='PV IN'!$I$41,IF('PV IN'!$G$41="Non-Taxable",'PV IN'!$F$41,0),0)</f>
        <v>0</v>
      </c>
      <c r="X431" s="10"/>
      <c r="Y431" s="10">
        <f>IF('PV IN'!$E$15="Non-Taxable",SUM(N431:P431),0)</f>
        <v>0</v>
      </c>
      <c r="Z431" s="10">
        <f>IF('PV IN'!$E$15="Taxable",SUM(N431:P431),0)</f>
        <v>0</v>
      </c>
      <c r="AA431" s="2">
        <f>IF(C431='PV IN'!$I$40,IF('PV IN'!$G$40="Taxable",'PV IN'!$F$40,0),0)+IF(C431='PV IN'!$I$41,IF('PV IN'!$G$41="Taxable",'PV IN'!$F$41,0),0)</f>
        <v>0</v>
      </c>
      <c r="AD431" s="10">
        <f>IF('PV IN'!$D$48="YES",-U431*'PV IN'!$E$8,0)</f>
        <v>0</v>
      </c>
      <c r="AE431" s="10">
        <f>IF('PV IN'!$N$10="Yes",-PVLoan!H459,-PVLoan!L459)</f>
        <v>0</v>
      </c>
      <c r="AF431" s="10">
        <f>IF('PV IN'!$N$10="Yes",-PVLoan!F459,0)</f>
        <v>0</v>
      </c>
      <c r="AG431" s="10">
        <f>IF(AND('PV IN'!$D$35="YES",$C431&lt;='PV IN'!$E$35*12),0,-'PV IN'!$E$18*'PV IN'!$E$34/12)</f>
        <v>-750</v>
      </c>
      <c r="AH431" s="10">
        <f>IF(AND('PV IN'!$D$37="YES",$C431&lt;='PV IN'!$E$37*12),0,-'PV IN'!$E$18*'PV IN'!$E$36/12)</f>
        <v>-625</v>
      </c>
      <c r="AI431" s="2">
        <f>IF(AND('PV IN'!$D$33="YES",PVCalcs!C431=ROUNDUP('PV IN'!$H$33*12,)),-'PV IN'!$E$33*'PV IN'!$E$18,0)</f>
        <v>0</v>
      </c>
      <c r="AK431" s="2">
        <f t="shared" si="110"/>
        <v>9056.2195896519715</v>
      </c>
      <c r="AL431" s="2">
        <f t="shared" si="114"/>
        <v>-1375</v>
      </c>
      <c r="AM431" s="2">
        <f t="shared" si="115"/>
        <v>7681.2195896519715</v>
      </c>
      <c r="AN431" s="43"/>
      <c r="AO431" s="2">
        <f t="shared" si="116"/>
        <v>0</v>
      </c>
      <c r="AP431" s="2">
        <f t="shared" si="117"/>
        <v>-1375</v>
      </c>
      <c r="AR431" s="2">
        <f t="shared" si="118"/>
        <v>-1375</v>
      </c>
      <c r="AS431" s="2">
        <f>-AR431*'PV IN'!$E$8</f>
        <v>288.75</v>
      </c>
      <c r="AT431" s="2">
        <f>IF('PV IN'!$F$4="Battery Only",0,AM431+AS431)</f>
        <v>7969.9695896519715</v>
      </c>
      <c r="AV431" s="10">
        <f t="shared" si="119"/>
        <v>3010683.6699067811</v>
      </c>
      <c r="AW431" s="2">
        <f>AT431/(1+('PV IN'!$G$9))^(C431)</f>
        <v>1404.3351699709151</v>
      </c>
      <c r="AX431" s="2" t="e">
        <f>IF(C431&lt;='PV IN'!$O$22*12,AW431+AX430,NA())</f>
        <v>#N/A</v>
      </c>
      <c r="AZ431" s="10">
        <f t="shared" si="120"/>
        <v>-1375</v>
      </c>
      <c r="BA431" s="10">
        <f t="shared" si="111"/>
        <v>0</v>
      </c>
      <c r="BB431" s="10">
        <f t="shared" si="121"/>
        <v>-1375</v>
      </c>
      <c r="BC431" s="10">
        <f t="shared" si="122"/>
        <v>0</v>
      </c>
      <c r="BD431" s="10">
        <f t="shared" si="123"/>
        <v>-1375</v>
      </c>
      <c r="BE431" s="2">
        <f t="shared" si="124"/>
        <v>0</v>
      </c>
      <c r="BF431" s="10">
        <f t="shared" si="125"/>
        <v>-1375</v>
      </c>
      <c r="BG431" s="2">
        <f>-BF431*'PV IN'!$E$8</f>
        <v>288.75</v>
      </c>
      <c r="BH431" s="2">
        <f>IF('PV IN'!$F$4="Battery Only",0,BB431+BG431)</f>
        <v>-1086.25</v>
      </c>
      <c r="BI431" s="2">
        <f>BH431/(1+('PV IN'!$G$9))^(C431)</f>
        <v>-191.40086561453487</v>
      </c>
    </row>
    <row r="432" spans="2:61" x14ac:dyDescent="0.25">
      <c r="C432">
        <v>428</v>
      </c>
      <c r="D432" s="16">
        <f>D431*(1+('PV IN'!$G$6/12))</f>
        <v>7.5999999999999998E-2</v>
      </c>
      <c r="E432" s="16">
        <f>LkUP!$U$50</f>
        <v>7.8896523189157505E-2</v>
      </c>
      <c r="F432" s="16">
        <f>IF('PV IN'!$D$7="Table",E432,D432)</f>
        <v>7.8896523189157505E-2</v>
      </c>
      <c r="G432" s="33">
        <f>('PV IN'!$E$25*'PV IN'!$E$18/12)*(1-(1-'PV IN'!$E$27)/(25*12))^C431</f>
        <v>114709.51753130325</v>
      </c>
      <c r="H432" s="33">
        <f>IF('PV IN'!$D$19="YES",G432*'PV IN'!$E$21,0)</f>
        <v>0</v>
      </c>
      <c r="I432" s="33">
        <f>IF('PV IN'!$D$19="YES",'PV IN'!$E$22*BattCalcs!W432,0)</f>
        <v>0</v>
      </c>
      <c r="J432" s="33">
        <f>IF('PV IN'!$D$19="YES",'PV IN'!$E$23*BattCalcs!Y432,0)</f>
        <v>0</v>
      </c>
      <c r="K432" s="33">
        <f>BattCalcs!AF432</f>
        <v>25811.765833333331</v>
      </c>
      <c r="L432" s="33">
        <f t="shared" si="113"/>
        <v>25811.765833333331</v>
      </c>
      <c r="M432" s="33">
        <f>IF('PV IN'!$F$4="PV Only",G432,G432-SUM(H432:J432,L432))</f>
        <v>114709.51753130325</v>
      </c>
      <c r="N432" s="2">
        <f>IF(C432&lt;='PV IN'!$I$12*12,'PV IN'!$E$12*G432/1000,0)</f>
        <v>0</v>
      </c>
      <c r="O432" s="2">
        <f>IF(AND(C432&gt;'PV IN'!$I$12*12,C432&lt;='PV IN'!$I$13*12+'PV IN'!$I$12*12),'PV IN'!$E$13*PVCalcs!G432/1000,0)</f>
        <v>0</v>
      </c>
      <c r="P432" s="2">
        <f>IF(AND(C432&gt;'PV IN'!$I$12*12+'PV IN'!$I$13*12,C432&lt;='PV IN'!$I$12*12+'PV IN'!$I$13*12+'PV IN'!$I$14*12),'PV IN'!$E$14*PVCalcs!G432/1000,0)</f>
        <v>0</v>
      </c>
      <c r="R432" s="10">
        <f>IF(AND('PV IN'!$D$35="YES",$C432&lt;='PV IN'!$E$35*12),-'PV IN'!$E$18*'PV IN'!$E$34/12,0)</f>
        <v>0</v>
      </c>
      <c r="S432" s="10">
        <f>IF(AND('PV IN'!$D$37="YES",$C432&lt;='PV IN'!$E$37*12),-'PV IN'!$E$18*'PV IN'!$E$36/12,0)</f>
        <v>0</v>
      </c>
      <c r="U432" s="2">
        <f t="shared" si="112"/>
        <v>9050.1821099255358</v>
      </c>
      <c r="V432" s="10">
        <f>PVLoan!M459</f>
        <v>0</v>
      </c>
      <c r="W432" s="2">
        <f>IF(C432='PV IN'!$I$40,IF('PV IN'!$G$40="Non-Taxable",'PV IN'!$F$40,0),0)+IF(C432='PV IN'!$I$41,IF('PV IN'!$G$41="Non-Taxable",'PV IN'!$F$41,0),0)</f>
        <v>0</v>
      </c>
      <c r="X432" s="10"/>
      <c r="Y432" s="10">
        <f>IF('PV IN'!$E$15="Non-Taxable",SUM(N432:P432),0)</f>
        <v>0</v>
      </c>
      <c r="Z432" s="10">
        <f>IF('PV IN'!$E$15="Taxable",SUM(N432:P432),0)</f>
        <v>0</v>
      </c>
      <c r="AA432" s="2">
        <f>IF(C432='PV IN'!$I$40,IF('PV IN'!$G$40="Taxable",'PV IN'!$F$40,0),0)+IF(C432='PV IN'!$I$41,IF('PV IN'!$G$41="Taxable",'PV IN'!$F$41,0),0)</f>
        <v>0</v>
      </c>
      <c r="AD432" s="10">
        <f>IF('PV IN'!$D$48="YES",-U432*'PV IN'!$E$8,0)</f>
        <v>0</v>
      </c>
      <c r="AE432" s="10">
        <f>IF('PV IN'!$N$10="Yes",-PVLoan!H460,-PVLoan!L460)</f>
        <v>0</v>
      </c>
      <c r="AF432" s="10">
        <f>IF('PV IN'!$N$10="Yes",-PVLoan!F460,0)</f>
        <v>0</v>
      </c>
      <c r="AG432" s="10">
        <f>IF(AND('PV IN'!$D$35="YES",$C432&lt;='PV IN'!$E$35*12),0,-'PV IN'!$E$18*'PV IN'!$E$34/12)</f>
        <v>-750</v>
      </c>
      <c r="AH432" s="10">
        <f>IF(AND('PV IN'!$D$37="YES",$C432&lt;='PV IN'!$E$37*12),0,-'PV IN'!$E$18*'PV IN'!$E$36/12)</f>
        <v>-625</v>
      </c>
      <c r="AI432" s="2">
        <f>IF(AND('PV IN'!$D$33="YES",PVCalcs!C432=ROUNDUP('PV IN'!$H$33*12,)),-'PV IN'!$E$33*'PV IN'!$E$18,0)</f>
        <v>0</v>
      </c>
      <c r="AK432" s="2">
        <f t="shared" si="110"/>
        <v>9050.1821099255358</v>
      </c>
      <c r="AL432" s="2">
        <f t="shared" si="114"/>
        <v>-1375</v>
      </c>
      <c r="AM432" s="2">
        <f t="shared" si="115"/>
        <v>7675.1821099255358</v>
      </c>
      <c r="AN432" s="43"/>
      <c r="AO432" s="2">
        <f t="shared" si="116"/>
        <v>0</v>
      </c>
      <c r="AP432" s="2">
        <f t="shared" si="117"/>
        <v>-1375</v>
      </c>
      <c r="AR432" s="2">
        <f t="shared" si="118"/>
        <v>-1375</v>
      </c>
      <c r="AS432" s="2">
        <f>-AR432*'PV IN'!$E$8</f>
        <v>288.75</v>
      </c>
      <c r="AT432" s="2">
        <f>IF('PV IN'!$F$4="Battery Only",0,AM432+AS432)</f>
        <v>7963.9321099255358</v>
      </c>
      <c r="AV432" s="10">
        <f t="shared" si="119"/>
        <v>3018647.6020167065</v>
      </c>
      <c r="AW432" s="2">
        <f>AT432/(1+('PV IN'!$G$9))^(C432)</f>
        <v>1397.577442449418</v>
      </c>
      <c r="AX432" s="2" t="e">
        <f>IF(C432&lt;='PV IN'!$O$22*12,AW432+AX431,NA())</f>
        <v>#N/A</v>
      </c>
      <c r="AZ432" s="10">
        <f t="shared" si="120"/>
        <v>-1375</v>
      </c>
      <c r="BA432" s="10">
        <f t="shared" si="111"/>
        <v>0</v>
      </c>
      <c r="BB432" s="10">
        <f t="shared" si="121"/>
        <v>-1375</v>
      </c>
      <c r="BC432" s="10">
        <f t="shared" si="122"/>
        <v>0</v>
      </c>
      <c r="BD432" s="10">
        <f t="shared" si="123"/>
        <v>-1375</v>
      </c>
      <c r="BE432" s="2">
        <f t="shared" si="124"/>
        <v>0</v>
      </c>
      <c r="BF432" s="10">
        <f t="shared" si="125"/>
        <v>-1375</v>
      </c>
      <c r="BG432" s="2">
        <f>-BF432*'PV IN'!$E$8</f>
        <v>288.75</v>
      </c>
      <c r="BH432" s="2">
        <f>IF('PV IN'!$F$4="Battery Only",0,BB432+BG432)</f>
        <v>-1086.25</v>
      </c>
      <c r="BI432" s="2">
        <f>BH432/(1+('PV IN'!$G$9))^(C432)</f>
        <v>-190.62423886921795</v>
      </c>
    </row>
    <row r="433" spans="2:61" x14ac:dyDescent="0.25">
      <c r="C433">
        <v>429</v>
      </c>
      <c r="D433" s="16">
        <f>D432*(1+('PV IN'!$G$6/12))</f>
        <v>7.5999999999999998E-2</v>
      </c>
      <c r="E433" s="16">
        <f>LkUP!$U$50</f>
        <v>7.8896523189157505E-2</v>
      </c>
      <c r="F433" s="16">
        <f>IF('PV IN'!$D$7="Table",E433,D433)</f>
        <v>7.8896523189157505E-2</v>
      </c>
      <c r="G433" s="33">
        <f>('PV IN'!$E$25*'PV IN'!$E$18/12)*(1-(1-'PV IN'!$E$27)/(25*12))^C432</f>
        <v>114633.04451961574</v>
      </c>
      <c r="H433" s="33">
        <f>IF('PV IN'!$D$19="YES",G433*'PV IN'!$E$21,0)</f>
        <v>0</v>
      </c>
      <c r="I433" s="33">
        <f>IF('PV IN'!$D$19="YES",'PV IN'!$E$22*BattCalcs!W433,0)</f>
        <v>0</v>
      </c>
      <c r="J433" s="33">
        <f>IF('PV IN'!$D$19="YES",'PV IN'!$E$23*BattCalcs!Y433,0)</f>
        <v>0</v>
      </c>
      <c r="K433" s="33">
        <f>BattCalcs!AF433</f>
        <v>25811.765833333331</v>
      </c>
      <c r="L433" s="33">
        <f t="shared" si="113"/>
        <v>25811.765833333331</v>
      </c>
      <c r="M433" s="33">
        <f>IF('PV IN'!$F$4="PV Only",G433,G433-SUM(H433:J433,L433))</f>
        <v>114633.04451961574</v>
      </c>
      <c r="N433" s="2">
        <f>IF(C433&lt;='PV IN'!$I$12*12,'PV IN'!$E$12*G433/1000,0)</f>
        <v>0</v>
      </c>
      <c r="O433" s="2">
        <f>IF(AND(C433&gt;'PV IN'!$I$12*12,C433&lt;='PV IN'!$I$13*12+'PV IN'!$I$12*12),'PV IN'!$E$13*PVCalcs!G433/1000,0)</f>
        <v>0</v>
      </c>
      <c r="P433" s="2">
        <f>IF(AND(C433&gt;'PV IN'!$I$12*12+'PV IN'!$I$13*12,C433&lt;='PV IN'!$I$12*12+'PV IN'!$I$13*12+'PV IN'!$I$14*12),'PV IN'!$E$14*PVCalcs!G433/1000,0)</f>
        <v>0</v>
      </c>
      <c r="R433" s="10">
        <f>IF(AND('PV IN'!$D$35="YES",$C433&lt;='PV IN'!$E$35*12),-'PV IN'!$E$18*'PV IN'!$E$34/12,0)</f>
        <v>0</v>
      </c>
      <c r="S433" s="10">
        <f>IF(AND('PV IN'!$D$37="YES",$C433&lt;='PV IN'!$E$37*12),-'PV IN'!$E$18*'PV IN'!$E$36/12,0)</f>
        <v>0</v>
      </c>
      <c r="U433" s="2">
        <f t="shared" si="112"/>
        <v>9044.1486551855869</v>
      </c>
      <c r="V433" s="10">
        <f>PVLoan!M460</f>
        <v>0</v>
      </c>
      <c r="W433" s="2">
        <f>IF(C433='PV IN'!$I$40,IF('PV IN'!$G$40="Non-Taxable",'PV IN'!$F$40,0),0)+IF(C433='PV IN'!$I$41,IF('PV IN'!$G$41="Non-Taxable",'PV IN'!$F$41,0),0)</f>
        <v>0</v>
      </c>
      <c r="X433" s="10"/>
      <c r="Y433" s="10">
        <f>IF('PV IN'!$E$15="Non-Taxable",SUM(N433:P433),0)</f>
        <v>0</v>
      </c>
      <c r="Z433" s="10">
        <f>IF('PV IN'!$E$15="Taxable",SUM(N433:P433),0)</f>
        <v>0</v>
      </c>
      <c r="AA433" s="2">
        <f>IF(C433='PV IN'!$I$40,IF('PV IN'!$G$40="Taxable",'PV IN'!$F$40,0),0)+IF(C433='PV IN'!$I$41,IF('PV IN'!$G$41="Taxable",'PV IN'!$F$41,0),0)</f>
        <v>0</v>
      </c>
      <c r="AD433" s="10">
        <f>IF('PV IN'!$D$48="YES",-U433*'PV IN'!$E$8,0)</f>
        <v>0</v>
      </c>
      <c r="AE433" s="10">
        <f>IF('PV IN'!$N$10="Yes",-PVLoan!H461,-PVLoan!L461)</f>
        <v>0</v>
      </c>
      <c r="AF433" s="10">
        <f>IF('PV IN'!$N$10="Yes",-PVLoan!F461,0)</f>
        <v>0</v>
      </c>
      <c r="AG433" s="10">
        <f>IF(AND('PV IN'!$D$35="YES",$C433&lt;='PV IN'!$E$35*12),0,-'PV IN'!$E$18*'PV IN'!$E$34/12)</f>
        <v>-750</v>
      </c>
      <c r="AH433" s="10">
        <f>IF(AND('PV IN'!$D$37="YES",$C433&lt;='PV IN'!$E$37*12),0,-'PV IN'!$E$18*'PV IN'!$E$36/12)</f>
        <v>-625</v>
      </c>
      <c r="AI433" s="2">
        <f>IF(AND('PV IN'!$D$33="YES",PVCalcs!C433=ROUNDUP('PV IN'!$H$33*12,)),-'PV IN'!$E$33*'PV IN'!$E$18,0)</f>
        <v>0</v>
      </c>
      <c r="AK433" s="2">
        <f t="shared" si="110"/>
        <v>9044.1486551855869</v>
      </c>
      <c r="AL433" s="2">
        <f t="shared" si="114"/>
        <v>-1375</v>
      </c>
      <c r="AM433" s="2">
        <f t="shared" si="115"/>
        <v>7669.1486551855869</v>
      </c>
      <c r="AN433" s="43"/>
      <c r="AO433" s="2">
        <f t="shared" si="116"/>
        <v>0</v>
      </c>
      <c r="AP433" s="2">
        <f t="shared" si="117"/>
        <v>-1375</v>
      </c>
      <c r="AR433" s="2">
        <f t="shared" si="118"/>
        <v>-1375</v>
      </c>
      <c r="AS433" s="2">
        <f>-AR433*'PV IN'!$E$8</f>
        <v>288.75</v>
      </c>
      <c r="AT433" s="2">
        <f>IF('PV IN'!$F$4="Battery Only",0,AM433+AS433)</f>
        <v>7957.8986551855869</v>
      </c>
      <c r="AV433" s="10">
        <f t="shared" si="119"/>
        <v>3026605.500671892</v>
      </c>
      <c r="AW433" s="2">
        <f>AT433/(1+('PV IN'!$G$9))^(C433)</f>
        <v>1390.8521375553862</v>
      </c>
      <c r="AX433" s="2" t="e">
        <f>IF(C433&lt;='PV IN'!$O$22*12,AW433+AX432,NA())</f>
        <v>#N/A</v>
      </c>
      <c r="AZ433" s="10">
        <f t="shared" si="120"/>
        <v>-1375</v>
      </c>
      <c r="BA433" s="10">
        <f t="shared" si="111"/>
        <v>0</v>
      </c>
      <c r="BB433" s="10">
        <f t="shared" si="121"/>
        <v>-1375</v>
      </c>
      <c r="BC433" s="10">
        <f t="shared" si="122"/>
        <v>0</v>
      </c>
      <c r="BD433" s="10">
        <f t="shared" si="123"/>
        <v>-1375</v>
      </c>
      <c r="BE433" s="2">
        <f t="shared" si="124"/>
        <v>0</v>
      </c>
      <c r="BF433" s="10">
        <f t="shared" si="125"/>
        <v>-1375</v>
      </c>
      <c r="BG433" s="2">
        <f>-BF433*'PV IN'!$E$8</f>
        <v>288.75</v>
      </c>
      <c r="BH433" s="2">
        <f>IF('PV IN'!$F$4="Battery Only",0,BB433+BG433)</f>
        <v>-1086.25</v>
      </c>
      <c r="BI433" s="2">
        <f>BH433/(1+('PV IN'!$G$9))^(C433)</f>
        <v>-189.85076335887371</v>
      </c>
    </row>
    <row r="434" spans="2:61" x14ac:dyDescent="0.25">
      <c r="C434">
        <v>430</v>
      </c>
      <c r="D434" s="16">
        <f>D433*(1+('PV IN'!$G$6/12))</f>
        <v>7.5999999999999998E-2</v>
      </c>
      <c r="E434" s="16">
        <f>LkUP!$U$50</f>
        <v>7.8896523189157505E-2</v>
      </c>
      <c r="F434" s="16">
        <f>IF('PV IN'!$D$7="Table",E434,D434)</f>
        <v>7.8896523189157505E-2</v>
      </c>
      <c r="G434" s="33">
        <f>('PV IN'!$E$25*'PV IN'!$E$18/12)*(1-(1-'PV IN'!$E$27)/(25*12))^C433</f>
        <v>114556.62248993598</v>
      </c>
      <c r="H434" s="33">
        <f>IF('PV IN'!$D$19="YES",G434*'PV IN'!$E$21,0)</f>
        <v>0</v>
      </c>
      <c r="I434" s="33">
        <f>IF('PV IN'!$D$19="YES",'PV IN'!$E$22*BattCalcs!W434,0)</f>
        <v>0</v>
      </c>
      <c r="J434" s="33">
        <f>IF('PV IN'!$D$19="YES",'PV IN'!$E$23*BattCalcs!Y434,0)</f>
        <v>0</v>
      </c>
      <c r="K434" s="33">
        <f>BattCalcs!AF434</f>
        <v>25811.765833333331</v>
      </c>
      <c r="L434" s="33">
        <f t="shared" si="113"/>
        <v>25811.765833333331</v>
      </c>
      <c r="M434" s="33">
        <f>IF('PV IN'!$F$4="PV Only",G434,G434-SUM(H434:J434,L434))</f>
        <v>114556.62248993598</v>
      </c>
      <c r="N434" s="2">
        <f>IF(C434&lt;='PV IN'!$I$12*12,'PV IN'!$E$12*G434/1000,0)</f>
        <v>0</v>
      </c>
      <c r="O434" s="2">
        <f>IF(AND(C434&gt;'PV IN'!$I$12*12,C434&lt;='PV IN'!$I$13*12+'PV IN'!$I$12*12),'PV IN'!$E$13*PVCalcs!G434/1000,0)</f>
        <v>0</v>
      </c>
      <c r="P434" s="2">
        <f>IF(AND(C434&gt;'PV IN'!$I$12*12+'PV IN'!$I$13*12,C434&lt;='PV IN'!$I$12*12+'PV IN'!$I$13*12+'PV IN'!$I$14*12),'PV IN'!$E$14*PVCalcs!G434/1000,0)</f>
        <v>0</v>
      </c>
      <c r="R434" s="10">
        <f>IF(AND('PV IN'!$D$35="YES",$C434&lt;='PV IN'!$E$35*12),-'PV IN'!$E$18*'PV IN'!$E$34/12,0)</f>
        <v>0</v>
      </c>
      <c r="S434" s="10">
        <f>IF(AND('PV IN'!$D$37="YES",$C434&lt;='PV IN'!$E$37*12),-'PV IN'!$E$18*'PV IN'!$E$36/12,0)</f>
        <v>0</v>
      </c>
      <c r="U434" s="2">
        <f t="shared" si="112"/>
        <v>9038.1192227487954</v>
      </c>
      <c r="V434" s="10">
        <f>PVLoan!M461</f>
        <v>0</v>
      </c>
      <c r="W434" s="2">
        <f>IF(C434='PV IN'!$I$40,IF('PV IN'!$G$40="Non-Taxable",'PV IN'!$F$40,0),0)+IF(C434='PV IN'!$I$41,IF('PV IN'!$G$41="Non-Taxable",'PV IN'!$F$41,0),0)</f>
        <v>0</v>
      </c>
      <c r="X434" s="10"/>
      <c r="Y434" s="10">
        <f>IF('PV IN'!$E$15="Non-Taxable",SUM(N434:P434),0)</f>
        <v>0</v>
      </c>
      <c r="Z434" s="10">
        <f>IF('PV IN'!$E$15="Taxable",SUM(N434:P434),0)</f>
        <v>0</v>
      </c>
      <c r="AA434" s="2">
        <f>IF(C434='PV IN'!$I$40,IF('PV IN'!$G$40="Taxable",'PV IN'!$F$40,0),0)+IF(C434='PV IN'!$I$41,IF('PV IN'!$G$41="Taxable",'PV IN'!$F$41,0),0)</f>
        <v>0</v>
      </c>
      <c r="AD434" s="10">
        <f>IF('PV IN'!$D$48="YES",-U434*'PV IN'!$E$8,0)</f>
        <v>0</v>
      </c>
      <c r="AE434" s="10">
        <f>IF('PV IN'!$N$10="Yes",-PVLoan!H462,-PVLoan!L462)</f>
        <v>0</v>
      </c>
      <c r="AF434" s="10">
        <f>IF('PV IN'!$N$10="Yes",-PVLoan!F462,0)</f>
        <v>0</v>
      </c>
      <c r="AG434" s="10">
        <f>IF(AND('PV IN'!$D$35="YES",$C434&lt;='PV IN'!$E$35*12),0,-'PV IN'!$E$18*'PV IN'!$E$34/12)</f>
        <v>-750</v>
      </c>
      <c r="AH434" s="10">
        <f>IF(AND('PV IN'!$D$37="YES",$C434&lt;='PV IN'!$E$37*12),0,-'PV IN'!$E$18*'PV IN'!$E$36/12)</f>
        <v>-625</v>
      </c>
      <c r="AI434" s="2">
        <f>IF(AND('PV IN'!$D$33="YES",PVCalcs!C434=ROUNDUP('PV IN'!$H$33*12,)),-'PV IN'!$E$33*'PV IN'!$E$18,0)</f>
        <v>0</v>
      </c>
      <c r="AK434" s="2">
        <f t="shared" si="110"/>
        <v>9038.1192227487954</v>
      </c>
      <c r="AL434" s="2">
        <f t="shared" si="114"/>
        <v>-1375</v>
      </c>
      <c r="AM434" s="2">
        <f t="shared" si="115"/>
        <v>7663.1192227487954</v>
      </c>
      <c r="AN434" s="43"/>
      <c r="AO434" s="2">
        <f t="shared" si="116"/>
        <v>0</v>
      </c>
      <c r="AP434" s="2">
        <f t="shared" si="117"/>
        <v>-1375</v>
      </c>
      <c r="AR434" s="2">
        <f t="shared" si="118"/>
        <v>-1375</v>
      </c>
      <c r="AS434" s="2">
        <f>-AR434*'PV IN'!$E$8</f>
        <v>288.75</v>
      </c>
      <c r="AT434" s="2">
        <f>IF('PV IN'!$F$4="Battery Only",0,AM434+AS434)</f>
        <v>7951.8692227487954</v>
      </c>
      <c r="AV434" s="10">
        <f t="shared" si="119"/>
        <v>3034557.369894641</v>
      </c>
      <c r="AW434" s="2">
        <f>AT434/(1+('PV IN'!$G$9))^(C434)</f>
        <v>1384.1591001113266</v>
      </c>
      <c r="AX434" s="2" t="e">
        <f>IF(C434&lt;='PV IN'!$O$22*12,AW434+AX433,NA())</f>
        <v>#N/A</v>
      </c>
      <c r="AZ434" s="10">
        <f t="shared" si="120"/>
        <v>-1375</v>
      </c>
      <c r="BA434" s="10">
        <f t="shared" si="111"/>
        <v>0</v>
      </c>
      <c r="BB434" s="10">
        <f t="shared" si="121"/>
        <v>-1375</v>
      </c>
      <c r="BC434" s="10">
        <f t="shared" si="122"/>
        <v>0</v>
      </c>
      <c r="BD434" s="10">
        <f t="shared" si="123"/>
        <v>-1375</v>
      </c>
      <c r="BE434" s="2">
        <f t="shared" si="124"/>
        <v>0</v>
      </c>
      <c r="BF434" s="10">
        <f t="shared" si="125"/>
        <v>-1375</v>
      </c>
      <c r="BG434" s="2">
        <f>-BF434*'PV IN'!$E$8</f>
        <v>288.75</v>
      </c>
      <c r="BH434" s="2">
        <f>IF('PV IN'!$F$4="Battery Only",0,BB434+BG434)</f>
        <v>-1086.25</v>
      </c>
      <c r="BI434" s="2">
        <f>BH434/(1+('PV IN'!$G$9))^(C434)</f>
        <v>-189.08042629707447</v>
      </c>
    </row>
    <row r="435" spans="2:61" x14ac:dyDescent="0.25">
      <c r="C435">
        <v>431</v>
      </c>
      <c r="D435" s="16">
        <f>D434*(1+('PV IN'!$G$6/12))</f>
        <v>7.5999999999999998E-2</v>
      </c>
      <c r="E435" s="16">
        <f>LkUP!$U$50</f>
        <v>7.8896523189157505E-2</v>
      </c>
      <c r="F435" s="16">
        <f>IF('PV IN'!$D$7="Table",E435,D435)</f>
        <v>7.8896523189157505E-2</v>
      </c>
      <c r="G435" s="33">
        <f>('PV IN'!$E$25*'PV IN'!$E$18/12)*(1-(1-'PV IN'!$E$27)/(25*12))^C434</f>
        <v>114480.251408276</v>
      </c>
      <c r="H435" s="33">
        <f>IF('PV IN'!$D$19="YES",G435*'PV IN'!$E$21,0)</f>
        <v>0</v>
      </c>
      <c r="I435" s="33">
        <f>IF('PV IN'!$D$19="YES",'PV IN'!$E$22*BattCalcs!W435,0)</f>
        <v>0</v>
      </c>
      <c r="J435" s="33">
        <f>IF('PV IN'!$D$19="YES",'PV IN'!$E$23*BattCalcs!Y435,0)</f>
        <v>0</v>
      </c>
      <c r="K435" s="33">
        <f>BattCalcs!AF435</f>
        <v>25811.765833333331</v>
      </c>
      <c r="L435" s="33">
        <f t="shared" si="113"/>
        <v>25811.765833333331</v>
      </c>
      <c r="M435" s="33">
        <f>IF('PV IN'!$F$4="PV Only",G435,G435-SUM(H435:J435,L435))</f>
        <v>114480.251408276</v>
      </c>
      <c r="N435" s="2">
        <f>IF(C435&lt;='PV IN'!$I$12*12,'PV IN'!$E$12*G435/1000,0)</f>
        <v>0</v>
      </c>
      <c r="O435" s="2">
        <f>IF(AND(C435&gt;'PV IN'!$I$12*12,C435&lt;='PV IN'!$I$13*12+'PV IN'!$I$12*12),'PV IN'!$E$13*PVCalcs!G435/1000,0)</f>
        <v>0</v>
      </c>
      <c r="P435" s="2">
        <f>IF(AND(C435&gt;'PV IN'!$I$12*12+'PV IN'!$I$13*12,C435&lt;='PV IN'!$I$12*12+'PV IN'!$I$13*12+'PV IN'!$I$14*12),'PV IN'!$E$14*PVCalcs!G435/1000,0)</f>
        <v>0</v>
      </c>
      <c r="R435" s="10">
        <f>IF(AND('PV IN'!$D$35="YES",$C435&lt;='PV IN'!$E$35*12),-'PV IN'!$E$18*'PV IN'!$E$34/12,0)</f>
        <v>0</v>
      </c>
      <c r="S435" s="10">
        <f>IF(AND('PV IN'!$D$37="YES",$C435&lt;='PV IN'!$E$37*12),-'PV IN'!$E$18*'PV IN'!$E$36/12,0)</f>
        <v>0</v>
      </c>
      <c r="U435" s="2">
        <f t="shared" si="112"/>
        <v>9032.093809933629</v>
      </c>
      <c r="V435" s="10">
        <f>PVLoan!M462</f>
        <v>0</v>
      </c>
      <c r="W435" s="2">
        <f>IF(C435='PV IN'!$I$40,IF('PV IN'!$G$40="Non-Taxable",'PV IN'!$F$40,0),0)+IF(C435='PV IN'!$I$41,IF('PV IN'!$G$41="Non-Taxable",'PV IN'!$F$41,0),0)</f>
        <v>0</v>
      </c>
      <c r="X435" s="10"/>
      <c r="Y435" s="10">
        <f>IF('PV IN'!$E$15="Non-Taxable",SUM(N435:P435),0)</f>
        <v>0</v>
      </c>
      <c r="Z435" s="10">
        <f>IF('PV IN'!$E$15="Taxable",SUM(N435:P435),0)</f>
        <v>0</v>
      </c>
      <c r="AA435" s="2">
        <f>IF(C435='PV IN'!$I$40,IF('PV IN'!$G$40="Taxable",'PV IN'!$F$40,0),0)+IF(C435='PV IN'!$I$41,IF('PV IN'!$G$41="Taxable",'PV IN'!$F$41,0),0)</f>
        <v>0</v>
      </c>
      <c r="AD435" s="10">
        <f>IF('PV IN'!$D$48="YES",-U435*'PV IN'!$E$8,0)</f>
        <v>0</v>
      </c>
      <c r="AE435" s="10">
        <f>IF('PV IN'!$N$10="Yes",-PVLoan!H463,-PVLoan!L463)</f>
        <v>0</v>
      </c>
      <c r="AF435" s="10">
        <f>IF('PV IN'!$N$10="Yes",-PVLoan!F463,0)</f>
        <v>0</v>
      </c>
      <c r="AG435" s="10">
        <f>IF(AND('PV IN'!$D$35="YES",$C435&lt;='PV IN'!$E$35*12),0,-'PV IN'!$E$18*'PV IN'!$E$34/12)</f>
        <v>-750</v>
      </c>
      <c r="AH435" s="10">
        <f>IF(AND('PV IN'!$D$37="YES",$C435&lt;='PV IN'!$E$37*12),0,-'PV IN'!$E$18*'PV IN'!$E$36/12)</f>
        <v>-625</v>
      </c>
      <c r="AI435" s="2">
        <f>IF(AND('PV IN'!$D$33="YES",PVCalcs!C435=ROUNDUP('PV IN'!$H$33*12,)),-'PV IN'!$E$33*'PV IN'!$E$18,0)</f>
        <v>0</v>
      </c>
      <c r="AK435" s="2">
        <f t="shared" si="110"/>
        <v>9032.093809933629</v>
      </c>
      <c r="AL435" s="2">
        <f t="shared" si="114"/>
        <v>-1375</v>
      </c>
      <c r="AM435" s="2">
        <f t="shared" si="115"/>
        <v>7657.093809933629</v>
      </c>
      <c r="AN435" s="43"/>
      <c r="AO435" s="2">
        <f t="shared" si="116"/>
        <v>0</v>
      </c>
      <c r="AP435" s="2">
        <f t="shared" si="117"/>
        <v>-1375</v>
      </c>
      <c r="AR435" s="2">
        <f t="shared" si="118"/>
        <v>-1375</v>
      </c>
      <c r="AS435" s="2">
        <f>-AR435*'PV IN'!$E$8</f>
        <v>288.75</v>
      </c>
      <c r="AT435" s="2">
        <f>IF('PV IN'!$F$4="Battery Only",0,AM435+AS435)</f>
        <v>7945.843809933629</v>
      </c>
      <c r="AV435" s="10">
        <f t="shared" si="119"/>
        <v>3042503.2137045744</v>
      </c>
      <c r="AW435" s="2">
        <f>AT435/(1+('PV IN'!$G$9))^(C435)</f>
        <v>1377.4981756809134</v>
      </c>
      <c r="AX435" s="2" t="e">
        <f>IF(C435&lt;='PV IN'!$O$22*12,AW435+AX434,NA())</f>
        <v>#N/A</v>
      </c>
      <c r="AZ435" s="10">
        <f t="shared" si="120"/>
        <v>-1375</v>
      </c>
      <c r="BA435" s="10">
        <f t="shared" si="111"/>
        <v>0</v>
      </c>
      <c r="BB435" s="10">
        <f t="shared" si="121"/>
        <v>-1375</v>
      </c>
      <c r="BC435" s="10">
        <f t="shared" si="122"/>
        <v>0</v>
      </c>
      <c r="BD435" s="10">
        <f t="shared" si="123"/>
        <v>-1375</v>
      </c>
      <c r="BE435" s="2">
        <f t="shared" si="124"/>
        <v>0</v>
      </c>
      <c r="BF435" s="10">
        <f t="shared" si="125"/>
        <v>-1375</v>
      </c>
      <c r="BG435" s="2">
        <f>-BF435*'PV IN'!$E$8</f>
        <v>288.75</v>
      </c>
      <c r="BH435" s="2">
        <f>IF('PV IN'!$F$4="Battery Only",0,BB435+BG435)</f>
        <v>-1086.25</v>
      </c>
      <c r="BI435" s="2">
        <f>BH435/(1+('PV IN'!$G$9))^(C435)</f>
        <v>-188.31321494927428</v>
      </c>
    </row>
    <row r="436" spans="2:61" x14ac:dyDescent="0.25">
      <c r="B436">
        <v>36</v>
      </c>
      <c r="C436">
        <v>432</v>
      </c>
      <c r="D436" s="16">
        <f>D435*(1+('PV IN'!$G$6/12))</f>
        <v>7.5999999999999998E-2</v>
      </c>
      <c r="E436" s="16">
        <f>LkUP!$U$50</f>
        <v>7.8896523189157505E-2</v>
      </c>
      <c r="F436" s="16">
        <f>IF('PV IN'!$D$7="Table",E436,D436)</f>
        <v>7.8896523189157505E-2</v>
      </c>
      <c r="G436" s="33">
        <f>('PV IN'!$E$25*'PV IN'!$E$18/12)*(1-(1-'PV IN'!$E$27)/(25*12))^C435</f>
        <v>114403.93124067048</v>
      </c>
      <c r="H436" s="33">
        <f>IF('PV IN'!$D$19="YES",G436*'PV IN'!$E$21,0)</f>
        <v>0</v>
      </c>
      <c r="I436" s="33">
        <f>IF('PV IN'!$D$19="YES",'PV IN'!$E$22*BattCalcs!W436,0)</f>
        <v>0</v>
      </c>
      <c r="J436" s="33">
        <f>IF('PV IN'!$D$19="YES",'PV IN'!$E$23*BattCalcs!Y436,0)</f>
        <v>0</v>
      </c>
      <c r="K436" s="33">
        <f>BattCalcs!AF436</f>
        <v>25811.765833333331</v>
      </c>
      <c r="L436" s="33">
        <f t="shared" si="113"/>
        <v>25811.765833333331</v>
      </c>
      <c r="M436" s="33">
        <f>IF('PV IN'!$F$4="PV Only",G436,G436-SUM(H436:J436,L436))</f>
        <v>114403.93124067048</v>
      </c>
      <c r="N436" s="2">
        <f>IF(C436&lt;='PV IN'!$I$12*12,'PV IN'!$E$12*G436/1000,0)</f>
        <v>0</v>
      </c>
      <c r="O436" s="2">
        <f>IF(AND(C436&gt;'PV IN'!$I$12*12,C436&lt;='PV IN'!$I$13*12+'PV IN'!$I$12*12),'PV IN'!$E$13*PVCalcs!G436/1000,0)</f>
        <v>0</v>
      </c>
      <c r="P436" s="2">
        <f>IF(AND(C436&gt;'PV IN'!$I$12*12+'PV IN'!$I$13*12,C436&lt;='PV IN'!$I$12*12+'PV IN'!$I$13*12+'PV IN'!$I$14*12),'PV IN'!$E$14*PVCalcs!G436/1000,0)</f>
        <v>0</v>
      </c>
      <c r="R436" s="10">
        <f>IF(AND('PV IN'!$D$35="YES",$C436&lt;='PV IN'!$E$35*12),-'PV IN'!$E$18*'PV IN'!$E$34/12,0)</f>
        <v>0</v>
      </c>
      <c r="S436" s="10">
        <f>IF(AND('PV IN'!$D$37="YES",$C436&lt;='PV IN'!$E$37*12),-'PV IN'!$E$18*'PV IN'!$E$36/12,0)</f>
        <v>0</v>
      </c>
      <c r="U436" s="2">
        <f t="shared" si="112"/>
        <v>9026.0724140603397</v>
      </c>
      <c r="V436" s="10">
        <f>PVLoan!M463</f>
        <v>0</v>
      </c>
      <c r="W436" s="2">
        <f>IF(C436='PV IN'!$I$40,IF('PV IN'!$G$40="Non-Taxable",'PV IN'!$F$40,0),0)+IF(C436='PV IN'!$I$41,IF('PV IN'!$G$41="Non-Taxable",'PV IN'!$F$41,0),0)</f>
        <v>0</v>
      </c>
      <c r="X436" s="10"/>
      <c r="Y436" s="10">
        <f>IF('PV IN'!$E$15="Non-Taxable",SUM(N436:P436),0)</f>
        <v>0</v>
      </c>
      <c r="Z436" s="10">
        <f>IF('PV IN'!$E$15="Taxable",SUM(N436:P436),0)</f>
        <v>0</v>
      </c>
      <c r="AA436" s="2">
        <f>IF(C436='PV IN'!$I$40,IF('PV IN'!$G$40="Taxable",'PV IN'!$F$40,0),0)+IF(C436='PV IN'!$I$41,IF('PV IN'!$G$41="Taxable",'PV IN'!$F$41,0),0)</f>
        <v>0</v>
      </c>
      <c r="AD436" s="10">
        <f>IF('PV IN'!$D$48="YES",-U436*'PV IN'!$E$8,0)</f>
        <v>0</v>
      </c>
      <c r="AE436" s="10">
        <f>IF('PV IN'!$N$10="Yes",-PVLoan!H464,-PVLoan!L464)</f>
        <v>0</v>
      </c>
      <c r="AF436" s="10">
        <f>IF('PV IN'!$N$10="Yes",-PVLoan!F464,0)</f>
        <v>0</v>
      </c>
      <c r="AG436" s="10">
        <f>IF(AND('PV IN'!$D$35="YES",$C436&lt;='PV IN'!$E$35*12),0,-'PV IN'!$E$18*'PV IN'!$E$34/12)</f>
        <v>-750</v>
      </c>
      <c r="AH436" s="10">
        <f>IF(AND('PV IN'!$D$37="YES",$C436&lt;='PV IN'!$E$37*12),0,-'PV IN'!$E$18*'PV IN'!$E$36/12)</f>
        <v>-625</v>
      </c>
      <c r="AI436" s="2">
        <f>IF(AND('PV IN'!$D$33="YES",PVCalcs!C436=ROUNDUP('PV IN'!$H$33*12,)),-'PV IN'!$E$33*'PV IN'!$E$18,0)</f>
        <v>0</v>
      </c>
      <c r="AK436" s="2">
        <f t="shared" si="110"/>
        <v>9026.0724140603397</v>
      </c>
      <c r="AL436" s="2">
        <f t="shared" si="114"/>
        <v>-1375</v>
      </c>
      <c r="AM436" s="2">
        <f t="shared" si="115"/>
        <v>7651.0724140603397</v>
      </c>
      <c r="AN436" s="43"/>
      <c r="AO436" s="2">
        <f t="shared" si="116"/>
        <v>0</v>
      </c>
      <c r="AP436" s="2">
        <f t="shared" si="117"/>
        <v>-1375</v>
      </c>
      <c r="AR436" s="2">
        <f t="shared" si="118"/>
        <v>-1375</v>
      </c>
      <c r="AS436" s="2">
        <f>-AR436*'PV IN'!$E$8</f>
        <v>288.75</v>
      </c>
      <c r="AT436" s="2">
        <f>IF('PV IN'!$F$4="Battery Only",0,AM436+AS436)</f>
        <v>7939.8224140603397</v>
      </c>
      <c r="AV436" s="10">
        <f t="shared" si="119"/>
        <v>3050443.0361186345</v>
      </c>
      <c r="AW436" s="2">
        <f>AT436/(1+('PV IN'!$G$9))^(C436)</f>
        <v>1370.869210565457</v>
      </c>
      <c r="AX436" s="2" t="e">
        <f>IF(C436&lt;='PV IN'!$O$22*12,AW436+AX435,NA())</f>
        <v>#N/A</v>
      </c>
      <c r="AZ436" s="10">
        <f t="shared" si="120"/>
        <v>-1375</v>
      </c>
      <c r="BA436" s="10">
        <f t="shared" si="111"/>
        <v>0</v>
      </c>
      <c r="BB436" s="10">
        <f t="shared" si="121"/>
        <v>-1375</v>
      </c>
      <c r="BC436" s="10">
        <f t="shared" si="122"/>
        <v>0</v>
      </c>
      <c r="BD436" s="10">
        <f t="shared" si="123"/>
        <v>-1375</v>
      </c>
      <c r="BE436" s="2">
        <f t="shared" si="124"/>
        <v>0</v>
      </c>
      <c r="BF436" s="10">
        <f t="shared" si="125"/>
        <v>-1375</v>
      </c>
      <c r="BG436" s="2">
        <f>-BF436*'PV IN'!$E$8</f>
        <v>288.75</v>
      </c>
      <c r="BH436" s="2">
        <f>IF('PV IN'!$F$4="Battery Only",0,BB436+BG436)</f>
        <v>-1086.25</v>
      </c>
      <c r="BI436" s="2">
        <f>BH436/(1+('PV IN'!$G$9))^(C436)</f>
        <v>-187.54911663259915</v>
      </c>
    </row>
    <row r="437" spans="2:61" x14ac:dyDescent="0.25">
      <c r="C437">
        <v>433</v>
      </c>
      <c r="D437" s="16">
        <f>D436*(1+('PV IN'!$G$6/12))</f>
        <v>7.5999999999999998E-2</v>
      </c>
      <c r="E437" s="16">
        <f>LkUP!$U$50</f>
        <v>7.8896523189157505E-2</v>
      </c>
      <c r="F437" s="16">
        <f>IF('PV IN'!$D$7="Table",E437,D437)</f>
        <v>7.8896523189157505E-2</v>
      </c>
      <c r="G437" s="33">
        <f>('PV IN'!$E$25*'PV IN'!$E$18/12)*(1-(1-'PV IN'!$E$27)/(25*12))^C436</f>
        <v>114327.66195317671</v>
      </c>
      <c r="H437" s="33">
        <f>IF('PV IN'!$D$19="YES",G437*'PV IN'!$E$21,0)</f>
        <v>0</v>
      </c>
      <c r="I437" s="33">
        <f>IF('PV IN'!$D$19="YES",'PV IN'!$E$22*BattCalcs!W437,0)</f>
        <v>0</v>
      </c>
      <c r="J437" s="33">
        <f>IF('PV IN'!$D$19="YES",'PV IN'!$E$23*BattCalcs!Y437,0)</f>
        <v>0</v>
      </c>
      <c r="K437" s="33">
        <f>BattCalcs!AF437</f>
        <v>25811.765833333331</v>
      </c>
      <c r="L437" s="33">
        <f t="shared" si="113"/>
        <v>25811.765833333331</v>
      </c>
      <c r="M437" s="33">
        <f>IF('PV IN'!$F$4="PV Only",G437,G437-SUM(H437:J437,L437))</f>
        <v>114327.66195317671</v>
      </c>
      <c r="N437" s="2">
        <f>IF(C437&lt;='PV IN'!$I$12*12,'PV IN'!$E$12*G437/1000,0)</f>
        <v>0</v>
      </c>
      <c r="O437" s="2">
        <f>IF(AND(C437&gt;'PV IN'!$I$12*12,C437&lt;='PV IN'!$I$13*12+'PV IN'!$I$12*12),'PV IN'!$E$13*PVCalcs!G437/1000,0)</f>
        <v>0</v>
      </c>
      <c r="P437" s="2">
        <f>IF(AND(C437&gt;'PV IN'!$I$12*12+'PV IN'!$I$13*12,C437&lt;='PV IN'!$I$12*12+'PV IN'!$I$13*12+'PV IN'!$I$14*12),'PV IN'!$E$14*PVCalcs!G437/1000,0)</f>
        <v>0</v>
      </c>
      <c r="R437" s="10">
        <f>IF(AND('PV IN'!$D$35="YES",$C437&lt;='PV IN'!$E$35*12),-'PV IN'!$E$18*'PV IN'!$E$34/12,0)</f>
        <v>0</v>
      </c>
      <c r="S437" s="10">
        <f>IF(AND('PV IN'!$D$37="YES",$C437&lt;='PV IN'!$E$37*12),-'PV IN'!$E$18*'PV IN'!$E$36/12,0)</f>
        <v>0</v>
      </c>
      <c r="U437" s="2">
        <f t="shared" si="112"/>
        <v>9020.0550324509659</v>
      </c>
      <c r="V437" s="10">
        <f>PVLoan!M464</f>
        <v>0</v>
      </c>
      <c r="W437" s="2">
        <f>IF(C437='PV IN'!$I$40,IF('PV IN'!$G$40="Non-Taxable",'PV IN'!$F$40,0),0)+IF(C437='PV IN'!$I$41,IF('PV IN'!$G$41="Non-Taxable",'PV IN'!$F$41,0),0)</f>
        <v>0</v>
      </c>
      <c r="X437" s="10"/>
      <c r="Y437" s="10">
        <f>IF('PV IN'!$E$15="Non-Taxable",SUM(N437:P437),0)</f>
        <v>0</v>
      </c>
      <c r="Z437" s="10">
        <f>IF('PV IN'!$E$15="Taxable",SUM(N437:P437),0)</f>
        <v>0</v>
      </c>
      <c r="AA437" s="2">
        <f>IF(C437='PV IN'!$I$40,IF('PV IN'!$G$40="Taxable",'PV IN'!$F$40,0),0)+IF(C437='PV IN'!$I$41,IF('PV IN'!$G$41="Taxable",'PV IN'!$F$41,0),0)</f>
        <v>0</v>
      </c>
      <c r="AD437" s="10">
        <f>IF('PV IN'!$D$48="YES",-U437*'PV IN'!$E$8,0)</f>
        <v>0</v>
      </c>
      <c r="AE437" s="10">
        <f>IF('PV IN'!$N$10="Yes",-PVLoan!H465,-PVLoan!L465)</f>
        <v>0</v>
      </c>
      <c r="AF437" s="10">
        <f>IF('PV IN'!$N$10="Yes",-PVLoan!F465,0)</f>
        <v>0</v>
      </c>
      <c r="AG437" s="10">
        <f>IF(AND('PV IN'!$D$35="YES",$C437&lt;='PV IN'!$E$35*12),0,-'PV IN'!$E$18*'PV IN'!$E$34/12)</f>
        <v>-750</v>
      </c>
      <c r="AH437" s="10">
        <f>IF(AND('PV IN'!$D$37="YES",$C437&lt;='PV IN'!$E$37*12),0,-'PV IN'!$E$18*'PV IN'!$E$36/12)</f>
        <v>-625</v>
      </c>
      <c r="AI437" s="2">
        <f>IF(AND('PV IN'!$D$33="YES",PVCalcs!C437=ROUNDUP('PV IN'!$H$33*12,)),-'PV IN'!$E$33*'PV IN'!$E$18,0)</f>
        <v>0</v>
      </c>
      <c r="AK437" s="2">
        <f t="shared" si="110"/>
        <v>9020.0550324509659</v>
      </c>
      <c r="AL437" s="2">
        <f t="shared" si="114"/>
        <v>-1375</v>
      </c>
      <c r="AM437" s="2">
        <f t="shared" si="115"/>
        <v>7645.0550324509659</v>
      </c>
      <c r="AN437" s="43"/>
      <c r="AO437" s="2">
        <f t="shared" si="116"/>
        <v>0</v>
      </c>
      <c r="AP437" s="2">
        <f t="shared" si="117"/>
        <v>-1375</v>
      </c>
      <c r="AR437" s="2">
        <f t="shared" si="118"/>
        <v>-1375</v>
      </c>
      <c r="AS437" s="2">
        <f>-AR437*'PV IN'!$E$8</f>
        <v>288.75</v>
      </c>
      <c r="AT437" s="2">
        <f>IF('PV IN'!$F$4="Battery Only",0,AM437+AS437)</f>
        <v>7933.8050324509659</v>
      </c>
      <c r="AV437" s="10">
        <f t="shared" si="119"/>
        <v>3058376.8411510857</v>
      </c>
      <c r="AW437" s="2">
        <f>AT437/(1+('PV IN'!$G$9))^(C437)</f>
        <v>1364.2720518003853</v>
      </c>
      <c r="AX437" s="2" t="e">
        <f>IF(C437&lt;='PV IN'!$O$22*12,AW437+AX436,NA())</f>
        <v>#N/A</v>
      </c>
      <c r="AZ437" s="10">
        <f t="shared" si="120"/>
        <v>-1375</v>
      </c>
      <c r="BA437" s="10">
        <f t="shared" si="111"/>
        <v>0</v>
      </c>
      <c r="BB437" s="10">
        <f t="shared" si="121"/>
        <v>-1375</v>
      </c>
      <c r="BC437" s="10">
        <f t="shared" si="122"/>
        <v>0</v>
      </c>
      <c r="BD437" s="10">
        <f t="shared" si="123"/>
        <v>-1375</v>
      </c>
      <c r="BE437" s="2">
        <f t="shared" si="124"/>
        <v>0</v>
      </c>
      <c r="BF437" s="10">
        <f t="shared" si="125"/>
        <v>-1375</v>
      </c>
      <c r="BG437" s="2">
        <f>-BF437*'PV IN'!$E$8</f>
        <v>288.75</v>
      </c>
      <c r="BH437" s="2">
        <f>IF('PV IN'!$F$4="Battery Only",0,BB437+BG437)</f>
        <v>-1086.25</v>
      </c>
      <c r="BI437" s="2">
        <f>BH437/(1+('PV IN'!$G$9))^(C437)</f>
        <v>-186.7881187156369</v>
      </c>
    </row>
    <row r="438" spans="2:61" x14ac:dyDescent="0.25">
      <c r="C438">
        <v>434</v>
      </c>
      <c r="D438" s="16">
        <f>D437*(1+('PV IN'!$G$6/12))</f>
        <v>7.5999999999999998E-2</v>
      </c>
      <c r="E438" s="16">
        <f>LkUP!$U$50</f>
        <v>7.8896523189157505E-2</v>
      </c>
      <c r="F438" s="16">
        <f>IF('PV IN'!$D$7="Table",E438,D438)</f>
        <v>7.8896523189157505E-2</v>
      </c>
      <c r="G438" s="33">
        <f>('PV IN'!$E$25*'PV IN'!$E$18/12)*(1-(1-'PV IN'!$E$27)/(25*12))^C437</f>
        <v>114251.44351187458</v>
      </c>
      <c r="H438" s="33">
        <f>IF('PV IN'!$D$19="YES",G438*'PV IN'!$E$21,0)</f>
        <v>0</v>
      </c>
      <c r="I438" s="33">
        <f>IF('PV IN'!$D$19="YES",'PV IN'!$E$22*BattCalcs!W438,0)</f>
        <v>0</v>
      </c>
      <c r="J438" s="33">
        <f>IF('PV IN'!$D$19="YES",'PV IN'!$E$23*BattCalcs!Y438,0)</f>
        <v>0</v>
      </c>
      <c r="K438" s="33">
        <f>BattCalcs!AF438</f>
        <v>25811.765833333331</v>
      </c>
      <c r="L438" s="33">
        <f t="shared" si="113"/>
        <v>25811.765833333331</v>
      </c>
      <c r="M438" s="33">
        <f>IF('PV IN'!$F$4="PV Only",G438,G438-SUM(H438:J438,L438))</f>
        <v>114251.44351187458</v>
      </c>
      <c r="N438" s="2">
        <f>IF(C438&lt;='PV IN'!$I$12*12,'PV IN'!$E$12*G438/1000,0)</f>
        <v>0</v>
      </c>
      <c r="O438" s="2">
        <f>IF(AND(C438&gt;'PV IN'!$I$12*12,C438&lt;='PV IN'!$I$13*12+'PV IN'!$I$12*12),'PV IN'!$E$13*PVCalcs!G438/1000,0)</f>
        <v>0</v>
      </c>
      <c r="P438" s="2">
        <f>IF(AND(C438&gt;'PV IN'!$I$12*12+'PV IN'!$I$13*12,C438&lt;='PV IN'!$I$12*12+'PV IN'!$I$13*12+'PV IN'!$I$14*12),'PV IN'!$E$14*PVCalcs!G438/1000,0)</f>
        <v>0</v>
      </c>
      <c r="R438" s="10">
        <f>IF(AND('PV IN'!$D$35="YES",$C438&lt;='PV IN'!$E$35*12),-'PV IN'!$E$18*'PV IN'!$E$34/12,0)</f>
        <v>0</v>
      </c>
      <c r="S438" s="10">
        <f>IF(AND('PV IN'!$D$37="YES",$C438&lt;='PV IN'!$E$37*12),-'PV IN'!$E$18*'PV IN'!$E$36/12,0)</f>
        <v>0</v>
      </c>
      <c r="U438" s="2">
        <f t="shared" si="112"/>
        <v>9014.0416624293321</v>
      </c>
      <c r="V438" s="10">
        <f>PVLoan!M465</f>
        <v>0</v>
      </c>
      <c r="W438" s="2">
        <f>IF(C438='PV IN'!$I$40,IF('PV IN'!$G$40="Non-Taxable",'PV IN'!$F$40,0),0)+IF(C438='PV IN'!$I$41,IF('PV IN'!$G$41="Non-Taxable",'PV IN'!$F$41,0),0)</f>
        <v>0</v>
      </c>
      <c r="X438" s="10"/>
      <c r="Y438" s="10">
        <f>IF('PV IN'!$E$15="Non-Taxable",SUM(N438:P438),0)</f>
        <v>0</v>
      </c>
      <c r="Z438" s="10">
        <f>IF('PV IN'!$E$15="Taxable",SUM(N438:P438),0)</f>
        <v>0</v>
      </c>
      <c r="AA438" s="2">
        <f>IF(C438='PV IN'!$I$40,IF('PV IN'!$G$40="Taxable",'PV IN'!$F$40,0),0)+IF(C438='PV IN'!$I$41,IF('PV IN'!$G$41="Taxable",'PV IN'!$F$41,0),0)</f>
        <v>0</v>
      </c>
      <c r="AD438" s="10">
        <f>IF('PV IN'!$D$48="YES",-U438*'PV IN'!$E$8,0)</f>
        <v>0</v>
      </c>
      <c r="AE438" s="10">
        <f>IF('PV IN'!$N$10="Yes",-PVLoan!H466,-PVLoan!L466)</f>
        <v>0</v>
      </c>
      <c r="AF438" s="10">
        <f>IF('PV IN'!$N$10="Yes",-PVLoan!F466,0)</f>
        <v>0</v>
      </c>
      <c r="AG438" s="10">
        <f>IF(AND('PV IN'!$D$35="YES",$C438&lt;='PV IN'!$E$35*12),0,-'PV IN'!$E$18*'PV IN'!$E$34/12)</f>
        <v>-750</v>
      </c>
      <c r="AH438" s="10">
        <f>IF(AND('PV IN'!$D$37="YES",$C438&lt;='PV IN'!$E$37*12),0,-'PV IN'!$E$18*'PV IN'!$E$36/12)</f>
        <v>-625</v>
      </c>
      <c r="AI438" s="2">
        <f>IF(AND('PV IN'!$D$33="YES",PVCalcs!C438=ROUNDUP('PV IN'!$H$33*12,)),-'PV IN'!$E$33*'PV IN'!$E$18,0)</f>
        <v>0</v>
      </c>
      <c r="AK438" s="2">
        <f t="shared" si="110"/>
        <v>9014.0416624293321</v>
      </c>
      <c r="AL438" s="2">
        <f t="shared" si="114"/>
        <v>-1375</v>
      </c>
      <c r="AM438" s="2">
        <f t="shared" si="115"/>
        <v>7639.0416624293321</v>
      </c>
      <c r="AN438" s="43"/>
      <c r="AO438" s="2">
        <f t="shared" si="116"/>
        <v>0</v>
      </c>
      <c r="AP438" s="2">
        <f t="shared" si="117"/>
        <v>-1375</v>
      </c>
      <c r="AR438" s="2">
        <f t="shared" si="118"/>
        <v>-1375</v>
      </c>
      <c r="AS438" s="2">
        <f>-AR438*'PV IN'!$E$8</f>
        <v>288.75</v>
      </c>
      <c r="AT438" s="2">
        <f>IF('PV IN'!$F$4="Battery Only",0,AM438+AS438)</f>
        <v>7927.7916624293321</v>
      </c>
      <c r="AV438" s="10">
        <f t="shared" si="119"/>
        <v>3066304.6328135151</v>
      </c>
      <c r="AW438" s="2">
        <f>AT438/(1+('PV IN'!$G$9))^(C438)</f>
        <v>1357.7065471517417</v>
      </c>
      <c r="AX438" s="2" t="e">
        <f>IF(C438&lt;='PV IN'!$O$22*12,AW438+AX437,NA())</f>
        <v>#N/A</v>
      </c>
      <c r="AZ438" s="10">
        <f t="shared" si="120"/>
        <v>-1375</v>
      </c>
      <c r="BA438" s="10">
        <f t="shared" si="111"/>
        <v>0</v>
      </c>
      <c r="BB438" s="10">
        <f t="shared" si="121"/>
        <v>-1375</v>
      </c>
      <c r="BC438" s="10">
        <f t="shared" si="122"/>
        <v>0</v>
      </c>
      <c r="BD438" s="10">
        <f t="shared" si="123"/>
        <v>-1375</v>
      </c>
      <c r="BE438" s="2">
        <f t="shared" si="124"/>
        <v>0</v>
      </c>
      <c r="BF438" s="10">
        <f t="shared" si="125"/>
        <v>-1375</v>
      </c>
      <c r="BG438" s="2">
        <f>-BF438*'PV IN'!$E$8</f>
        <v>288.75</v>
      </c>
      <c r="BH438" s="2">
        <f>IF('PV IN'!$F$4="Battery Only",0,BB438+BG438)</f>
        <v>-1086.25</v>
      </c>
      <c r="BI438" s="2">
        <f>BH438/(1+('PV IN'!$G$9))^(C438)</f>
        <v>-186.03020861822827</v>
      </c>
    </row>
    <row r="439" spans="2:61" x14ac:dyDescent="0.25">
      <c r="C439">
        <v>435</v>
      </c>
      <c r="D439" s="16">
        <f>D438*(1+('PV IN'!$G$6/12))</f>
        <v>7.5999999999999998E-2</v>
      </c>
      <c r="E439" s="16">
        <f>LkUP!$U$50</f>
        <v>7.8896523189157505E-2</v>
      </c>
      <c r="F439" s="16">
        <f>IF('PV IN'!$D$7="Table",E439,D439)</f>
        <v>7.8896523189157505E-2</v>
      </c>
      <c r="G439" s="33">
        <f>('PV IN'!$E$25*'PV IN'!$E$18/12)*(1-(1-'PV IN'!$E$27)/(25*12))^C438</f>
        <v>114175.27588286666</v>
      </c>
      <c r="H439" s="33">
        <f>IF('PV IN'!$D$19="YES",G439*'PV IN'!$E$21,0)</f>
        <v>0</v>
      </c>
      <c r="I439" s="33">
        <f>IF('PV IN'!$D$19="YES",'PV IN'!$E$22*BattCalcs!W439,0)</f>
        <v>0</v>
      </c>
      <c r="J439" s="33">
        <f>IF('PV IN'!$D$19="YES",'PV IN'!$E$23*BattCalcs!Y439,0)</f>
        <v>0</v>
      </c>
      <c r="K439" s="33">
        <f>BattCalcs!AF439</f>
        <v>25811.765833333331</v>
      </c>
      <c r="L439" s="33">
        <f t="shared" si="113"/>
        <v>25811.765833333331</v>
      </c>
      <c r="M439" s="33">
        <f>IF('PV IN'!$F$4="PV Only",G439,G439-SUM(H439:J439,L439))</f>
        <v>114175.27588286666</v>
      </c>
      <c r="N439" s="2">
        <f>IF(C439&lt;='PV IN'!$I$12*12,'PV IN'!$E$12*G439/1000,0)</f>
        <v>0</v>
      </c>
      <c r="O439" s="2">
        <f>IF(AND(C439&gt;'PV IN'!$I$12*12,C439&lt;='PV IN'!$I$13*12+'PV IN'!$I$12*12),'PV IN'!$E$13*PVCalcs!G439/1000,0)</f>
        <v>0</v>
      </c>
      <c r="P439" s="2">
        <f>IF(AND(C439&gt;'PV IN'!$I$12*12+'PV IN'!$I$13*12,C439&lt;='PV IN'!$I$12*12+'PV IN'!$I$13*12+'PV IN'!$I$14*12),'PV IN'!$E$14*PVCalcs!G439/1000,0)</f>
        <v>0</v>
      </c>
      <c r="R439" s="10">
        <f>IF(AND('PV IN'!$D$35="YES",$C439&lt;='PV IN'!$E$35*12),-'PV IN'!$E$18*'PV IN'!$E$34/12,0)</f>
        <v>0</v>
      </c>
      <c r="S439" s="10">
        <f>IF(AND('PV IN'!$D$37="YES",$C439&lt;='PV IN'!$E$37*12),-'PV IN'!$E$18*'PV IN'!$E$36/12,0)</f>
        <v>0</v>
      </c>
      <c r="U439" s="2">
        <f t="shared" si="112"/>
        <v>9008.0323013210455</v>
      </c>
      <c r="V439" s="10">
        <f>PVLoan!M466</f>
        <v>0</v>
      </c>
      <c r="W439" s="2">
        <f>IF(C439='PV IN'!$I$40,IF('PV IN'!$G$40="Non-Taxable",'PV IN'!$F$40,0),0)+IF(C439='PV IN'!$I$41,IF('PV IN'!$G$41="Non-Taxable",'PV IN'!$F$41,0),0)</f>
        <v>0</v>
      </c>
      <c r="X439" s="10"/>
      <c r="Y439" s="10">
        <f>IF('PV IN'!$E$15="Non-Taxable",SUM(N439:P439),0)</f>
        <v>0</v>
      </c>
      <c r="Z439" s="10">
        <f>IF('PV IN'!$E$15="Taxable",SUM(N439:P439),0)</f>
        <v>0</v>
      </c>
      <c r="AA439" s="2">
        <f>IF(C439='PV IN'!$I$40,IF('PV IN'!$G$40="Taxable",'PV IN'!$F$40,0),0)+IF(C439='PV IN'!$I$41,IF('PV IN'!$G$41="Taxable",'PV IN'!$F$41,0),0)</f>
        <v>0</v>
      </c>
      <c r="AD439" s="10">
        <f>IF('PV IN'!$D$48="YES",-U439*'PV IN'!$E$8,0)</f>
        <v>0</v>
      </c>
      <c r="AE439" s="10">
        <f>IF('PV IN'!$N$10="Yes",-PVLoan!H467,-PVLoan!L467)</f>
        <v>0</v>
      </c>
      <c r="AF439" s="10">
        <f>IF('PV IN'!$N$10="Yes",-PVLoan!F467,0)</f>
        <v>0</v>
      </c>
      <c r="AG439" s="10">
        <f>IF(AND('PV IN'!$D$35="YES",$C439&lt;='PV IN'!$E$35*12),0,-'PV IN'!$E$18*'PV IN'!$E$34/12)</f>
        <v>-750</v>
      </c>
      <c r="AH439" s="10">
        <f>IF(AND('PV IN'!$D$37="YES",$C439&lt;='PV IN'!$E$37*12),0,-'PV IN'!$E$18*'PV IN'!$E$36/12)</f>
        <v>-625</v>
      </c>
      <c r="AI439" s="2">
        <f>IF(AND('PV IN'!$D$33="YES",PVCalcs!C439=ROUNDUP('PV IN'!$H$33*12,)),-'PV IN'!$E$33*'PV IN'!$E$18,0)</f>
        <v>0</v>
      </c>
      <c r="AK439" s="2">
        <f t="shared" si="110"/>
        <v>9008.0323013210455</v>
      </c>
      <c r="AL439" s="2">
        <f t="shared" si="114"/>
        <v>-1375</v>
      </c>
      <c r="AM439" s="2">
        <f t="shared" si="115"/>
        <v>7633.0323013210455</v>
      </c>
      <c r="AN439" s="43"/>
      <c r="AO439" s="2">
        <f t="shared" si="116"/>
        <v>0</v>
      </c>
      <c r="AP439" s="2">
        <f t="shared" si="117"/>
        <v>-1375</v>
      </c>
      <c r="AR439" s="2">
        <f t="shared" si="118"/>
        <v>-1375</v>
      </c>
      <c r="AS439" s="2">
        <f>-AR439*'PV IN'!$E$8</f>
        <v>288.75</v>
      </c>
      <c r="AT439" s="2">
        <f>IF('PV IN'!$F$4="Battery Only",0,AM439+AS439)</f>
        <v>7921.7823013210455</v>
      </c>
      <c r="AV439" s="10">
        <f t="shared" si="119"/>
        <v>3074226.4151148363</v>
      </c>
      <c r="AW439" s="2">
        <f>AT439/(1+('PV IN'!$G$9))^(C439)</f>
        <v>1351.1725451127049</v>
      </c>
      <c r="AX439" s="2" t="e">
        <f>IF(C439&lt;='PV IN'!$O$22*12,AW439+AX438,NA())</f>
        <v>#N/A</v>
      </c>
      <c r="AZ439" s="10">
        <f t="shared" si="120"/>
        <v>-1375</v>
      </c>
      <c r="BA439" s="10">
        <f t="shared" si="111"/>
        <v>0</v>
      </c>
      <c r="BB439" s="10">
        <f t="shared" si="121"/>
        <v>-1375</v>
      </c>
      <c r="BC439" s="10">
        <f t="shared" si="122"/>
        <v>0</v>
      </c>
      <c r="BD439" s="10">
        <f t="shared" si="123"/>
        <v>-1375</v>
      </c>
      <c r="BE439" s="2">
        <f t="shared" si="124"/>
        <v>0</v>
      </c>
      <c r="BF439" s="10">
        <f t="shared" si="125"/>
        <v>-1375</v>
      </c>
      <c r="BG439" s="2">
        <f>-BF439*'PV IN'!$E$8</f>
        <v>288.75</v>
      </c>
      <c r="BH439" s="2">
        <f>IF('PV IN'!$F$4="Battery Only",0,BB439+BG439)</f>
        <v>-1086.25</v>
      </c>
      <c r="BI439" s="2">
        <f>BH439/(1+('PV IN'!$G$9))^(C439)</f>
        <v>-185.27537381125944</v>
      </c>
    </row>
    <row r="440" spans="2:61" x14ac:dyDescent="0.25">
      <c r="C440">
        <v>436</v>
      </c>
      <c r="D440" s="16">
        <f>D439*(1+('PV IN'!$G$6/12))</f>
        <v>7.5999999999999998E-2</v>
      </c>
      <c r="E440" s="16">
        <f>LkUP!$U$50</f>
        <v>7.8896523189157505E-2</v>
      </c>
      <c r="F440" s="16">
        <f>IF('PV IN'!$D$7="Table",E440,D440)</f>
        <v>7.8896523189157505E-2</v>
      </c>
      <c r="G440" s="33">
        <f>('PV IN'!$E$25*'PV IN'!$E$18/12)*(1-(1-'PV IN'!$E$27)/(25*12))^C439</f>
        <v>114099.15903227808</v>
      </c>
      <c r="H440" s="33">
        <f>IF('PV IN'!$D$19="YES",G440*'PV IN'!$E$21,0)</f>
        <v>0</v>
      </c>
      <c r="I440" s="33">
        <f>IF('PV IN'!$D$19="YES",'PV IN'!$E$22*BattCalcs!W440,0)</f>
        <v>0</v>
      </c>
      <c r="J440" s="33">
        <f>IF('PV IN'!$D$19="YES",'PV IN'!$E$23*BattCalcs!Y440,0)</f>
        <v>0</v>
      </c>
      <c r="K440" s="33">
        <f>BattCalcs!AF440</f>
        <v>25811.765833333331</v>
      </c>
      <c r="L440" s="33">
        <f t="shared" si="113"/>
        <v>25811.765833333331</v>
      </c>
      <c r="M440" s="33">
        <f>IF('PV IN'!$F$4="PV Only",G440,G440-SUM(H440:J440,L440))</f>
        <v>114099.15903227808</v>
      </c>
      <c r="N440" s="2">
        <f>IF(C440&lt;='PV IN'!$I$12*12,'PV IN'!$E$12*G440/1000,0)</f>
        <v>0</v>
      </c>
      <c r="O440" s="2">
        <f>IF(AND(C440&gt;'PV IN'!$I$12*12,C440&lt;='PV IN'!$I$13*12+'PV IN'!$I$12*12),'PV IN'!$E$13*PVCalcs!G440/1000,0)</f>
        <v>0</v>
      </c>
      <c r="P440" s="2">
        <f>IF(AND(C440&gt;'PV IN'!$I$12*12+'PV IN'!$I$13*12,C440&lt;='PV IN'!$I$12*12+'PV IN'!$I$13*12+'PV IN'!$I$14*12),'PV IN'!$E$14*PVCalcs!G440/1000,0)</f>
        <v>0</v>
      </c>
      <c r="R440" s="10">
        <f>IF(AND('PV IN'!$D$35="YES",$C440&lt;='PV IN'!$E$35*12),-'PV IN'!$E$18*'PV IN'!$E$34/12,0)</f>
        <v>0</v>
      </c>
      <c r="S440" s="10">
        <f>IF(AND('PV IN'!$D$37="YES",$C440&lt;='PV IN'!$E$37*12),-'PV IN'!$E$18*'PV IN'!$E$36/12,0)</f>
        <v>0</v>
      </c>
      <c r="U440" s="2">
        <f t="shared" si="112"/>
        <v>9002.0269464534977</v>
      </c>
      <c r="V440" s="10">
        <f>PVLoan!M467</f>
        <v>0</v>
      </c>
      <c r="W440" s="2">
        <f>IF(C440='PV IN'!$I$40,IF('PV IN'!$G$40="Non-Taxable",'PV IN'!$F$40,0),0)+IF(C440='PV IN'!$I$41,IF('PV IN'!$G$41="Non-Taxable",'PV IN'!$F$41,0),0)</f>
        <v>0</v>
      </c>
      <c r="X440" s="10"/>
      <c r="Y440" s="10">
        <f>IF('PV IN'!$E$15="Non-Taxable",SUM(N440:P440),0)</f>
        <v>0</v>
      </c>
      <c r="Z440" s="10">
        <f>IF('PV IN'!$E$15="Taxable",SUM(N440:P440),0)</f>
        <v>0</v>
      </c>
      <c r="AA440" s="2">
        <f>IF(C440='PV IN'!$I$40,IF('PV IN'!$G$40="Taxable",'PV IN'!$F$40,0),0)+IF(C440='PV IN'!$I$41,IF('PV IN'!$G$41="Taxable",'PV IN'!$F$41,0),0)</f>
        <v>0</v>
      </c>
      <c r="AD440" s="10">
        <f>IF('PV IN'!$D$48="YES",-U440*'PV IN'!$E$8,0)</f>
        <v>0</v>
      </c>
      <c r="AE440" s="10">
        <f>IF('PV IN'!$N$10="Yes",-PVLoan!H468,-PVLoan!L468)</f>
        <v>0</v>
      </c>
      <c r="AF440" s="10">
        <f>IF('PV IN'!$N$10="Yes",-PVLoan!F468,0)</f>
        <v>0</v>
      </c>
      <c r="AG440" s="10">
        <f>IF(AND('PV IN'!$D$35="YES",$C440&lt;='PV IN'!$E$35*12),0,-'PV IN'!$E$18*'PV IN'!$E$34/12)</f>
        <v>-750</v>
      </c>
      <c r="AH440" s="10">
        <f>IF(AND('PV IN'!$D$37="YES",$C440&lt;='PV IN'!$E$37*12),0,-'PV IN'!$E$18*'PV IN'!$E$36/12)</f>
        <v>-625</v>
      </c>
      <c r="AI440" s="2">
        <f>IF(AND('PV IN'!$D$33="YES",PVCalcs!C440=ROUNDUP('PV IN'!$H$33*12,)),-'PV IN'!$E$33*'PV IN'!$E$18,0)</f>
        <v>0</v>
      </c>
      <c r="AK440" s="2">
        <f t="shared" si="110"/>
        <v>9002.0269464534977</v>
      </c>
      <c r="AL440" s="2">
        <f t="shared" si="114"/>
        <v>-1375</v>
      </c>
      <c r="AM440" s="2">
        <f t="shared" si="115"/>
        <v>7627.0269464534977</v>
      </c>
      <c r="AN440" s="43"/>
      <c r="AO440" s="2">
        <f t="shared" si="116"/>
        <v>0</v>
      </c>
      <c r="AP440" s="2">
        <f t="shared" si="117"/>
        <v>-1375</v>
      </c>
      <c r="AR440" s="2">
        <f t="shared" si="118"/>
        <v>-1375</v>
      </c>
      <c r="AS440" s="2">
        <f>-AR440*'PV IN'!$E$8</f>
        <v>288.75</v>
      </c>
      <c r="AT440" s="2">
        <f>IF('PV IN'!$F$4="Battery Only",0,AM440+AS440)</f>
        <v>7915.7769464534977</v>
      </c>
      <c r="AV440" s="10">
        <f t="shared" si="119"/>
        <v>3082142.1920612897</v>
      </c>
      <c r="AW440" s="2">
        <f>AT440/(1+('PV IN'!$G$9))^(C440)</f>
        <v>1344.6698949001207</v>
      </c>
      <c r="AX440" s="2" t="e">
        <f>IF(C440&lt;='PV IN'!$O$22*12,AW440+AX439,NA())</f>
        <v>#N/A</v>
      </c>
      <c r="AZ440" s="10">
        <f t="shared" si="120"/>
        <v>-1375</v>
      </c>
      <c r="BA440" s="10">
        <f t="shared" si="111"/>
        <v>0</v>
      </c>
      <c r="BB440" s="10">
        <f t="shared" si="121"/>
        <v>-1375</v>
      </c>
      <c r="BC440" s="10">
        <f t="shared" si="122"/>
        <v>0</v>
      </c>
      <c r="BD440" s="10">
        <f t="shared" si="123"/>
        <v>-1375</v>
      </c>
      <c r="BE440" s="2">
        <f t="shared" si="124"/>
        <v>0</v>
      </c>
      <c r="BF440" s="10">
        <f t="shared" si="125"/>
        <v>-1375</v>
      </c>
      <c r="BG440" s="2">
        <f>-BF440*'PV IN'!$E$8</f>
        <v>288.75</v>
      </c>
      <c r="BH440" s="2">
        <f>IF('PV IN'!$F$4="Battery Only",0,BB440+BG440)</f>
        <v>-1086.25</v>
      </c>
      <c r="BI440" s="2">
        <f>BH440/(1+('PV IN'!$G$9))^(C440)</f>
        <v>-184.5236018164546</v>
      </c>
    </row>
    <row r="441" spans="2:61" x14ac:dyDescent="0.25">
      <c r="C441">
        <v>437</v>
      </c>
      <c r="D441" s="16">
        <f>D440*(1+('PV IN'!$G$6/12))</f>
        <v>7.5999999999999998E-2</v>
      </c>
      <c r="E441" s="16">
        <f>LkUP!$U$50</f>
        <v>7.8896523189157505E-2</v>
      </c>
      <c r="F441" s="16">
        <f>IF('PV IN'!$D$7="Table",E441,D441)</f>
        <v>7.8896523189157505E-2</v>
      </c>
      <c r="G441" s="33">
        <f>('PV IN'!$E$25*'PV IN'!$E$18/12)*(1-(1-'PV IN'!$E$27)/(25*12))^C440</f>
        <v>114023.09292625655</v>
      </c>
      <c r="H441" s="33">
        <f>IF('PV IN'!$D$19="YES",G441*'PV IN'!$E$21,0)</f>
        <v>0</v>
      </c>
      <c r="I441" s="33">
        <f>IF('PV IN'!$D$19="YES",'PV IN'!$E$22*BattCalcs!W441,0)</f>
        <v>0</v>
      </c>
      <c r="J441" s="33">
        <f>IF('PV IN'!$D$19="YES",'PV IN'!$E$23*BattCalcs!Y441,0)</f>
        <v>0</v>
      </c>
      <c r="K441" s="33">
        <f>BattCalcs!AF441</f>
        <v>25811.765833333331</v>
      </c>
      <c r="L441" s="33">
        <f t="shared" si="113"/>
        <v>25811.765833333331</v>
      </c>
      <c r="M441" s="33">
        <f>IF('PV IN'!$F$4="PV Only",G441,G441-SUM(H441:J441,L441))</f>
        <v>114023.09292625655</v>
      </c>
      <c r="N441" s="2">
        <f>IF(C441&lt;='PV IN'!$I$12*12,'PV IN'!$E$12*G441/1000,0)</f>
        <v>0</v>
      </c>
      <c r="O441" s="2">
        <f>IF(AND(C441&gt;'PV IN'!$I$12*12,C441&lt;='PV IN'!$I$13*12+'PV IN'!$I$12*12),'PV IN'!$E$13*PVCalcs!G441/1000,0)</f>
        <v>0</v>
      </c>
      <c r="P441" s="2">
        <f>IF(AND(C441&gt;'PV IN'!$I$12*12+'PV IN'!$I$13*12,C441&lt;='PV IN'!$I$12*12+'PV IN'!$I$13*12+'PV IN'!$I$14*12),'PV IN'!$E$14*PVCalcs!G441/1000,0)</f>
        <v>0</v>
      </c>
      <c r="R441" s="10">
        <f>IF(AND('PV IN'!$D$35="YES",$C441&lt;='PV IN'!$E$35*12),-'PV IN'!$E$18*'PV IN'!$E$34/12,0)</f>
        <v>0</v>
      </c>
      <c r="S441" s="10">
        <f>IF(AND('PV IN'!$D$37="YES",$C441&lt;='PV IN'!$E$37*12),-'PV IN'!$E$18*'PV IN'!$E$36/12,0)</f>
        <v>0</v>
      </c>
      <c r="U441" s="2">
        <f t="shared" si="112"/>
        <v>8996.0255951558611</v>
      </c>
      <c r="V441" s="10">
        <f>PVLoan!M468</f>
        <v>0</v>
      </c>
      <c r="W441" s="2">
        <f>IF(C441='PV IN'!$I$40,IF('PV IN'!$G$40="Non-Taxable",'PV IN'!$F$40,0),0)+IF(C441='PV IN'!$I$41,IF('PV IN'!$G$41="Non-Taxable",'PV IN'!$F$41,0),0)</f>
        <v>0</v>
      </c>
      <c r="X441" s="10"/>
      <c r="Y441" s="10">
        <f>IF('PV IN'!$E$15="Non-Taxable",SUM(N441:P441),0)</f>
        <v>0</v>
      </c>
      <c r="Z441" s="10">
        <f>IF('PV IN'!$E$15="Taxable",SUM(N441:P441),0)</f>
        <v>0</v>
      </c>
      <c r="AA441" s="2">
        <f>IF(C441='PV IN'!$I$40,IF('PV IN'!$G$40="Taxable",'PV IN'!$F$40,0),0)+IF(C441='PV IN'!$I$41,IF('PV IN'!$G$41="Taxable",'PV IN'!$F$41,0),0)</f>
        <v>0</v>
      </c>
      <c r="AD441" s="10">
        <f>IF('PV IN'!$D$48="YES",-U441*'PV IN'!$E$8,0)</f>
        <v>0</v>
      </c>
      <c r="AE441" s="10">
        <f>IF('PV IN'!$N$10="Yes",-PVLoan!H469,-PVLoan!L469)</f>
        <v>0</v>
      </c>
      <c r="AF441" s="10">
        <f>IF('PV IN'!$N$10="Yes",-PVLoan!F469,0)</f>
        <v>0</v>
      </c>
      <c r="AG441" s="10">
        <f>IF(AND('PV IN'!$D$35="YES",$C441&lt;='PV IN'!$E$35*12),0,-'PV IN'!$E$18*'PV IN'!$E$34/12)</f>
        <v>-750</v>
      </c>
      <c r="AH441" s="10">
        <f>IF(AND('PV IN'!$D$37="YES",$C441&lt;='PV IN'!$E$37*12),0,-'PV IN'!$E$18*'PV IN'!$E$36/12)</f>
        <v>-625</v>
      </c>
      <c r="AI441" s="2">
        <f>IF(AND('PV IN'!$D$33="YES",PVCalcs!C441=ROUNDUP('PV IN'!$H$33*12,)),-'PV IN'!$E$33*'PV IN'!$E$18,0)</f>
        <v>0</v>
      </c>
      <c r="AK441" s="2">
        <f t="shared" si="110"/>
        <v>8996.0255951558611</v>
      </c>
      <c r="AL441" s="2">
        <f t="shared" si="114"/>
        <v>-1375</v>
      </c>
      <c r="AM441" s="2">
        <f t="shared" si="115"/>
        <v>7621.0255951558611</v>
      </c>
      <c r="AN441" s="43"/>
      <c r="AO441" s="2">
        <f t="shared" si="116"/>
        <v>0</v>
      </c>
      <c r="AP441" s="2">
        <f t="shared" si="117"/>
        <v>-1375</v>
      </c>
      <c r="AR441" s="2">
        <f t="shared" si="118"/>
        <v>-1375</v>
      </c>
      <c r="AS441" s="2">
        <f>-AR441*'PV IN'!$E$8</f>
        <v>288.75</v>
      </c>
      <c r="AT441" s="2">
        <f>IF('PV IN'!$F$4="Battery Only",0,AM441+AS441)</f>
        <v>7909.7755951558611</v>
      </c>
      <c r="AV441" s="10">
        <f t="shared" si="119"/>
        <v>3090051.9676564457</v>
      </c>
      <c r="AW441" s="2">
        <f>AT441/(1+('PV IN'!$G$9))^(C441)</f>
        <v>1338.1984464510485</v>
      </c>
      <c r="AX441" s="2" t="e">
        <f>IF(C441&lt;='PV IN'!$O$22*12,AW441+AX440,NA())</f>
        <v>#N/A</v>
      </c>
      <c r="AZ441" s="10">
        <f t="shared" si="120"/>
        <v>-1375</v>
      </c>
      <c r="BA441" s="10">
        <f t="shared" si="111"/>
        <v>0</v>
      </c>
      <c r="BB441" s="10">
        <f t="shared" si="121"/>
        <v>-1375</v>
      </c>
      <c r="BC441" s="10">
        <f t="shared" si="122"/>
        <v>0</v>
      </c>
      <c r="BD441" s="10">
        <f t="shared" si="123"/>
        <v>-1375</v>
      </c>
      <c r="BE441" s="2">
        <f t="shared" si="124"/>
        <v>0</v>
      </c>
      <c r="BF441" s="10">
        <f t="shared" si="125"/>
        <v>-1375</v>
      </c>
      <c r="BG441" s="2">
        <f>-BF441*'PV IN'!$E$8</f>
        <v>288.75</v>
      </c>
      <c r="BH441" s="2">
        <f>IF('PV IN'!$F$4="Battery Only",0,BB441+BG441)</f>
        <v>-1086.25</v>
      </c>
      <c r="BI441" s="2">
        <f>BH441/(1+('PV IN'!$G$9))^(C441)</f>
        <v>-183.77488020616951</v>
      </c>
    </row>
    <row r="442" spans="2:61" x14ac:dyDescent="0.25">
      <c r="C442">
        <v>438</v>
      </c>
      <c r="D442" s="16">
        <f>D441*(1+('PV IN'!$G$6/12))</f>
        <v>7.5999999999999998E-2</v>
      </c>
      <c r="E442" s="16">
        <f>LkUP!$U$50</f>
        <v>7.8896523189157505E-2</v>
      </c>
      <c r="F442" s="16">
        <f>IF('PV IN'!$D$7="Table",E442,D442)</f>
        <v>7.8896523189157505E-2</v>
      </c>
      <c r="G442" s="33">
        <f>('PV IN'!$E$25*'PV IN'!$E$18/12)*(1-(1-'PV IN'!$E$27)/(25*12))^C441</f>
        <v>113947.07753097237</v>
      </c>
      <c r="H442" s="33">
        <f>IF('PV IN'!$D$19="YES",G442*'PV IN'!$E$21,0)</f>
        <v>0</v>
      </c>
      <c r="I442" s="33">
        <f>IF('PV IN'!$D$19="YES",'PV IN'!$E$22*BattCalcs!W442,0)</f>
        <v>0</v>
      </c>
      <c r="J442" s="33">
        <f>IF('PV IN'!$D$19="YES",'PV IN'!$E$23*BattCalcs!Y442,0)</f>
        <v>0</v>
      </c>
      <c r="K442" s="33">
        <f>BattCalcs!AF442</f>
        <v>25811.765833333331</v>
      </c>
      <c r="L442" s="33">
        <f t="shared" si="113"/>
        <v>25811.765833333331</v>
      </c>
      <c r="M442" s="33">
        <f>IF('PV IN'!$F$4="PV Only",G442,G442-SUM(H442:J442,L442))</f>
        <v>113947.07753097237</v>
      </c>
      <c r="N442" s="2">
        <f>IF(C442&lt;='PV IN'!$I$12*12,'PV IN'!$E$12*G442/1000,0)</f>
        <v>0</v>
      </c>
      <c r="O442" s="2">
        <f>IF(AND(C442&gt;'PV IN'!$I$12*12,C442&lt;='PV IN'!$I$13*12+'PV IN'!$I$12*12),'PV IN'!$E$13*PVCalcs!G442/1000,0)</f>
        <v>0</v>
      </c>
      <c r="P442" s="2">
        <f>IF(AND(C442&gt;'PV IN'!$I$12*12+'PV IN'!$I$13*12,C442&lt;='PV IN'!$I$12*12+'PV IN'!$I$13*12+'PV IN'!$I$14*12),'PV IN'!$E$14*PVCalcs!G442/1000,0)</f>
        <v>0</v>
      </c>
      <c r="R442" s="10">
        <f>IF(AND('PV IN'!$D$35="YES",$C442&lt;='PV IN'!$E$35*12),-'PV IN'!$E$18*'PV IN'!$E$34/12,0)</f>
        <v>0</v>
      </c>
      <c r="S442" s="10">
        <f>IF(AND('PV IN'!$D$37="YES",$C442&lt;='PV IN'!$E$37*12),-'PV IN'!$E$18*'PV IN'!$E$36/12,0)</f>
        <v>0</v>
      </c>
      <c r="U442" s="2">
        <f t="shared" si="112"/>
        <v>8990.0282447590889</v>
      </c>
      <c r="V442" s="10">
        <f>PVLoan!M469</f>
        <v>0</v>
      </c>
      <c r="W442" s="2">
        <f>IF(C442='PV IN'!$I$40,IF('PV IN'!$G$40="Non-Taxable",'PV IN'!$F$40,0),0)+IF(C442='PV IN'!$I$41,IF('PV IN'!$G$41="Non-Taxable",'PV IN'!$F$41,0),0)</f>
        <v>0</v>
      </c>
      <c r="X442" s="10"/>
      <c r="Y442" s="10">
        <f>IF('PV IN'!$E$15="Non-Taxable",SUM(N442:P442),0)</f>
        <v>0</v>
      </c>
      <c r="Z442" s="10">
        <f>IF('PV IN'!$E$15="Taxable",SUM(N442:P442),0)</f>
        <v>0</v>
      </c>
      <c r="AA442" s="2">
        <f>IF(C442='PV IN'!$I$40,IF('PV IN'!$G$40="Taxable",'PV IN'!$F$40,0),0)+IF(C442='PV IN'!$I$41,IF('PV IN'!$G$41="Taxable",'PV IN'!$F$41,0),0)</f>
        <v>0</v>
      </c>
      <c r="AD442" s="10">
        <f>IF('PV IN'!$D$48="YES",-U442*'PV IN'!$E$8,0)</f>
        <v>0</v>
      </c>
      <c r="AE442" s="10">
        <f>IF('PV IN'!$N$10="Yes",-PVLoan!H470,-PVLoan!L470)</f>
        <v>0</v>
      </c>
      <c r="AF442" s="10">
        <f>IF('PV IN'!$N$10="Yes",-PVLoan!F470,0)</f>
        <v>0</v>
      </c>
      <c r="AG442" s="10">
        <f>IF(AND('PV IN'!$D$35="YES",$C442&lt;='PV IN'!$E$35*12),0,-'PV IN'!$E$18*'PV IN'!$E$34/12)</f>
        <v>-750</v>
      </c>
      <c r="AH442" s="10">
        <f>IF(AND('PV IN'!$D$37="YES",$C442&lt;='PV IN'!$E$37*12),0,-'PV IN'!$E$18*'PV IN'!$E$36/12)</f>
        <v>-625</v>
      </c>
      <c r="AI442" s="2">
        <f>IF(AND('PV IN'!$D$33="YES",PVCalcs!C442=ROUNDUP('PV IN'!$H$33*12,)),-'PV IN'!$E$33*'PV IN'!$E$18,0)</f>
        <v>0</v>
      </c>
      <c r="AK442" s="2">
        <f t="shared" si="110"/>
        <v>8990.0282447590889</v>
      </c>
      <c r="AL442" s="2">
        <f t="shared" si="114"/>
        <v>-1375</v>
      </c>
      <c r="AM442" s="2">
        <f t="shared" si="115"/>
        <v>7615.0282447590889</v>
      </c>
      <c r="AN442" s="43"/>
      <c r="AO442" s="2">
        <f t="shared" si="116"/>
        <v>0</v>
      </c>
      <c r="AP442" s="2">
        <f t="shared" si="117"/>
        <v>-1375</v>
      </c>
      <c r="AR442" s="2">
        <f t="shared" si="118"/>
        <v>-1375</v>
      </c>
      <c r="AS442" s="2">
        <f>-AR442*'PV IN'!$E$8</f>
        <v>288.75</v>
      </c>
      <c r="AT442" s="2">
        <f>IF('PV IN'!$F$4="Battery Only",0,AM442+AS442)</f>
        <v>7903.7782447590889</v>
      </c>
      <c r="AV442" s="10">
        <f t="shared" si="119"/>
        <v>3097955.7459012046</v>
      </c>
      <c r="AW442" s="2">
        <f>AT442/(1+('PV IN'!$G$9))^(C442)</f>
        <v>1331.7580504193313</v>
      </c>
      <c r="AX442" s="2" t="e">
        <f>IF(C442&lt;='PV IN'!$O$22*12,AW442+AX441,NA())</f>
        <v>#N/A</v>
      </c>
      <c r="AZ442" s="10">
        <f t="shared" si="120"/>
        <v>-1375</v>
      </c>
      <c r="BA442" s="10">
        <f t="shared" si="111"/>
        <v>0</v>
      </c>
      <c r="BB442" s="10">
        <f t="shared" si="121"/>
        <v>-1375</v>
      </c>
      <c r="BC442" s="10">
        <f t="shared" si="122"/>
        <v>0</v>
      </c>
      <c r="BD442" s="10">
        <f t="shared" si="123"/>
        <v>-1375</v>
      </c>
      <c r="BE442" s="2">
        <f t="shared" si="124"/>
        <v>0</v>
      </c>
      <c r="BF442" s="10">
        <f t="shared" si="125"/>
        <v>-1375</v>
      </c>
      <c r="BG442" s="2">
        <f>-BF442*'PV IN'!$E$8</f>
        <v>288.75</v>
      </c>
      <c r="BH442" s="2">
        <f>IF('PV IN'!$F$4="Battery Only",0,BB442+BG442)</f>
        <v>-1086.25</v>
      </c>
      <c r="BI442" s="2">
        <f>BH442/(1+('PV IN'!$G$9))^(C442)</f>
        <v>-183.02919660318639</v>
      </c>
    </row>
    <row r="443" spans="2:61" x14ac:dyDescent="0.25">
      <c r="C443">
        <v>439</v>
      </c>
      <c r="D443" s="16">
        <f>D442*(1+('PV IN'!$G$6/12))</f>
        <v>7.5999999999999998E-2</v>
      </c>
      <c r="E443" s="16">
        <f>LkUP!$U$50</f>
        <v>7.8896523189157505E-2</v>
      </c>
      <c r="F443" s="16">
        <f>IF('PV IN'!$D$7="Table",E443,D443)</f>
        <v>7.8896523189157505E-2</v>
      </c>
      <c r="G443" s="33">
        <f>('PV IN'!$E$25*'PV IN'!$E$18/12)*(1-(1-'PV IN'!$E$27)/(25*12))^C442</f>
        <v>113871.11281261839</v>
      </c>
      <c r="H443" s="33">
        <f>IF('PV IN'!$D$19="YES",G443*'PV IN'!$E$21,0)</f>
        <v>0</v>
      </c>
      <c r="I443" s="33">
        <f>IF('PV IN'!$D$19="YES",'PV IN'!$E$22*BattCalcs!W443,0)</f>
        <v>0</v>
      </c>
      <c r="J443" s="33">
        <f>IF('PV IN'!$D$19="YES",'PV IN'!$E$23*BattCalcs!Y443,0)</f>
        <v>0</v>
      </c>
      <c r="K443" s="33">
        <f>BattCalcs!AF443</f>
        <v>25811.765833333331</v>
      </c>
      <c r="L443" s="33">
        <f t="shared" si="113"/>
        <v>25811.765833333331</v>
      </c>
      <c r="M443" s="33">
        <f>IF('PV IN'!$F$4="PV Only",G443,G443-SUM(H443:J443,L443))</f>
        <v>113871.11281261839</v>
      </c>
      <c r="N443" s="2">
        <f>IF(C443&lt;='PV IN'!$I$12*12,'PV IN'!$E$12*G443/1000,0)</f>
        <v>0</v>
      </c>
      <c r="O443" s="2">
        <f>IF(AND(C443&gt;'PV IN'!$I$12*12,C443&lt;='PV IN'!$I$13*12+'PV IN'!$I$12*12),'PV IN'!$E$13*PVCalcs!G443/1000,0)</f>
        <v>0</v>
      </c>
      <c r="P443" s="2">
        <f>IF(AND(C443&gt;'PV IN'!$I$12*12+'PV IN'!$I$13*12,C443&lt;='PV IN'!$I$12*12+'PV IN'!$I$13*12+'PV IN'!$I$14*12),'PV IN'!$E$14*PVCalcs!G443/1000,0)</f>
        <v>0</v>
      </c>
      <c r="R443" s="10">
        <f>IF(AND('PV IN'!$D$35="YES",$C443&lt;='PV IN'!$E$35*12),-'PV IN'!$E$18*'PV IN'!$E$34/12,0)</f>
        <v>0</v>
      </c>
      <c r="S443" s="10">
        <f>IF(AND('PV IN'!$D$37="YES",$C443&lt;='PV IN'!$E$37*12),-'PV IN'!$E$18*'PV IN'!$E$36/12,0)</f>
        <v>0</v>
      </c>
      <c r="U443" s="2">
        <f t="shared" si="112"/>
        <v>8984.034892595917</v>
      </c>
      <c r="V443" s="10">
        <f>PVLoan!M470</f>
        <v>0</v>
      </c>
      <c r="W443" s="2">
        <f>IF(C443='PV IN'!$I$40,IF('PV IN'!$G$40="Non-Taxable",'PV IN'!$F$40,0),0)+IF(C443='PV IN'!$I$41,IF('PV IN'!$G$41="Non-Taxable",'PV IN'!$F$41,0),0)</f>
        <v>0</v>
      </c>
      <c r="X443" s="10"/>
      <c r="Y443" s="10">
        <f>IF('PV IN'!$E$15="Non-Taxable",SUM(N443:P443),0)</f>
        <v>0</v>
      </c>
      <c r="Z443" s="10">
        <f>IF('PV IN'!$E$15="Taxable",SUM(N443:P443),0)</f>
        <v>0</v>
      </c>
      <c r="AA443" s="2">
        <f>IF(C443='PV IN'!$I$40,IF('PV IN'!$G$40="Taxable",'PV IN'!$F$40,0),0)+IF(C443='PV IN'!$I$41,IF('PV IN'!$G$41="Taxable",'PV IN'!$F$41,0),0)</f>
        <v>0</v>
      </c>
      <c r="AD443" s="10">
        <f>IF('PV IN'!$D$48="YES",-U443*'PV IN'!$E$8,0)</f>
        <v>0</v>
      </c>
      <c r="AE443" s="10">
        <f>IF('PV IN'!$N$10="Yes",-PVLoan!H471,-PVLoan!L471)</f>
        <v>0</v>
      </c>
      <c r="AF443" s="10">
        <f>IF('PV IN'!$N$10="Yes",-PVLoan!F471,0)</f>
        <v>0</v>
      </c>
      <c r="AG443" s="10">
        <f>IF(AND('PV IN'!$D$35="YES",$C443&lt;='PV IN'!$E$35*12),0,-'PV IN'!$E$18*'PV IN'!$E$34/12)</f>
        <v>-750</v>
      </c>
      <c r="AH443" s="10">
        <f>IF(AND('PV IN'!$D$37="YES",$C443&lt;='PV IN'!$E$37*12),0,-'PV IN'!$E$18*'PV IN'!$E$36/12)</f>
        <v>-625</v>
      </c>
      <c r="AI443" s="2">
        <f>IF(AND('PV IN'!$D$33="YES",PVCalcs!C443=ROUNDUP('PV IN'!$H$33*12,)),-'PV IN'!$E$33*'PV IN'!$E$18,0)</f>
        <v>0</v>
      </c>
      <c r="AK443" s="2">
        <f t="shared" si="110"/>
        <v>8984.034892595917</v>
      </c>
      <c r="AL443" s="2">
        <f t="shared" si="114"/>
        <v>-1375</v>
      </c>
      <c r="AM443" s="2">
        <f t="shared" si="115"/>
        <v>7609.034892595917</v>
      </c>
      <c r="AN443" s="43"/>
      <c r="AO443" s="2">
        <f t="shared" si="116"/>
        <v>0</v>
      </c>
      <c r="AP443" s="2">
        <f t="shared" si="117"/>
        <v>-1375</v>
      </c>
      <c r="AR443" s="2">
        <f t="shared" si="118"/>
        <v>-1375</v>
      </c>
      <c r="AS443" s="2">
        <f>-AR443*'PV IN'!$E$8</f>
        <v>288.75</v>
      </c>
      <c r="AT443" s="2">
        <f>IF('PV IN'!$F$4="Battery Only",0,AM443+AS443)</f>
        <v>7897.784892595917</v>
      </c>
      <c r="AV443" s="10">
        <f t="shared" si="119"/>
        <v>3105853.5307938005</v>
      </c>
      <c r="AW443" s="2">
        <f>AT443/(1+('PV IN'!$G$9))^(C443)</f>
        <v>1325.3485581721766</v>
      </c>
      <c r="AX443" s="2" t="e">
        <f>IF(C443&lt;='PV IN'!$O$22*12,AW443+AX442,NA())</f>
        <v>#N/A</v>
      </c>
      <c r="AZ443" s="10">
        <f t="shared" si="120"/>
        <v>-1375</v>
      </c>
      <c r="BA443" s="10">
        <f t="shared" si="111"/>
        <v>0</v>
      </c>
      <c r="BB443" s="10">
        <f t="shared" si="121"/>
        <v>-1375</v>
      </c>
      <c r="BC443" s="10">
        <f t="shared" si="122"/>
        <v>0</v>
      </c>
      <c r="BD443" s="10">
        <f t="shared" si="123"/>
        <v>-1375</v>
      </c>
      <c r="BE443" s="2">
        <f t="shared" si="124"/>
        <v>0</v>
      </c>
      <c r="BF443" s="10">
        <f t="shared" si="125"/>
        <v>-1375</v>
      </c>
      <c r="BG443" s="2">
        <f>-BF443*'PV IN'!$E$8</f>
        <v>288.75</v>
      </c>
      <c r="BH443" s="2">
        <f>IF('PV IN'!$F$4="Battery Only",0,BB443+BG443)</f>
        <v>-1086.25</v>
      </c>
      <c r="BI443" s="2">
        <f>BH443/(1+('PV IN'!$G$9))^(C443)</f>
        <v>-182.28653868050921</v>
      </c>
    </row>
    <row r="444" spans="2:61" x14ac:dyDescent="0.25">
      <c r="C444">
        <v>440</v>
      </c>
      <c r="D444" s="16">
        <f>D443*(1+('PV IN'!$G$6/12))</f>
        <v>7.5999999999999998E-2</v>
      </c>
      <c r="E444" s="16">
        <f>LkUP!$U$50</f>
        <v>7.8896523189157505E-2</v>
      </c>
      <c r="F444" s="16">
        <f>IF('PV IN'!$D$7="Table",E444,D444)</f>
        <v>7.8896523189157505E-2</v>
      </c>
      <c r="G444" s="33">
        <f>('PV IN'!$E$25*'PV IN'!$E$18/12)*(1-(1-'PV IN'!$E$27)/(25*12))^C443</f>
        <v>113795.19873741</v>
      </c>
      <c r="H444" s="33">
        <f>IF('PV IN'!$D$19="YES",G444*'PV IN'!$E$21,0)</f>
        <v>0</v>
      </c>
      <c r="I444" s="33">
        <f>IF('PV IN'!$D$19="YES",'PV IN'!$E$22*BattCalcs!W444,0)</f>
        <v>0</v>
      </c>
      <c r="J444" s="33">
        <f>IF('PV IN'!$D$19="YES",'PV IN'!$E$23*BattCalcs!Y444,0)</f>
        <v>0</v>
      </c>
      <c r="K444" s="33">
        <f>BattCalcs!AF444</f>
        <v>25811.765833333331</v>
      </c>
      <c r="L444" s="33">
        <f t="shared" si="113"/>
        <v>25811.765833333331</v>
      </c>
      <c r="M444" s="33">
        <f>IF('PV IN'!$F$4="PV Only",G444,G444-SUM(H444:J444,L444))</f>
        <v>113795.19873741</v>
      </c>
      <c r="N444" s="2">
        <f>IF(C444&lt;='PV IN'!$I$12*12,'PV IN'!$E$12*G444/1000,0)</f>
        <v>0</v>
      </c>
      <c r="O444" s="2">
        <f>IF(AND(C444&gt;'PV IN'!$I$12*12,C444&lt;='PV IN'!$I$13*12+'PV IN'!$I$12*12),'PV IN'!$E$13*PVCalcs!G444/1000,0)</f>
        <v>0</v>
      </c>
      <c r="P444" s="2">
        <f>IF(AND(C444&gt;'PV IN'!$I$12*12+'PV IN'!$I$13*12,C444&lt;='PV IN'!$I$12*12+'PV IN'!$I$13*12+'PV IN'!$I$14*12),'PV IN'!$E$14*PVCalcs!G444/1000,0)</f>
        <v>0</v>
      </c>
      <c r="R444" s="10">
        <f>IF(AND('PV IN'!$D$35="YES",$C444&lt;='PV IN'!$E$35*12),-'PV IN'!$E$18*'PV IN'!$E$34/12,0)</f>
        <v>0</v>
      </c>
      <c r="S444" s="10">
        <f>IF(AND('PV IN'!$D$37="YES",$C444&lt;='PV IN'!$E$37*12),-'PV IN'!$E$18*'PV IN'!$E$36/12,0)</f>
        <v>0</v>
      </c>
      <c r="U444" s="2">
        <f t="shared" si="112"/>
        <v>8978.0455360008546</v>
      </c>
      <c r="V444" s="10">
        <f>PVLoan!M471</f>
        <v>0</v>
      </c>
      <c r="W444" s="2">
        <f>IF(C444='PV IN'!$I$40,IF('PV IN'!$G$40="Non-Taxable",'PV IN'!$F$40,0),0)+IF(C444='PV IN'!$I$41,IF('PV IN'!$G$41="Non-Taxable",'PV IN'!$F$41,0),0)</f>
        <v>0</v>
      </c>
      <c r="X444" s="10"/>
      <c r="Y444" s="10">
        <f>IF('PV IN'!$E$15="Non-Taxable",SUM(N444:P444),0)</f>
        <v>0</v>
      </c>
      <c r="Z444" s="10">
        <f>IF('PV IN'!$E$15="Taxable",SUM(N444:P444),0)</f>
        <v>0</v>
      </c>
      <c r="AA444" s="2">
        <f>IF(C444='PV IN'!$I$40,IF('PV IN'!$G$40="Taxable",'PV IN'!$F$40,0),0)+IF(C444='PV IN'!$I$41,IF('PV IN'!$G$41="Taxable",'PV IN'!$F$41,0),0)</f>
        <v>0</v>
      </c>
      <c r="AD444" s="10">
        <f>IF('PV IN'!$D$48="YES",-U444*'PV IN'!$E$8,0)</f>
        <v>0</v>
      </c>
      <c r="AE444" s="10">
        <f>IF('PV IN'!$N$10="Yes",-PVLoan!H472,-PVLoan!L472)</f>
        <v>0</v>
      </c>
      <c r="AF444" s="10">
        <f>IF('PV IN'!$N$10="Yes",-PVLoan!F472,0)</f>
        <v>0</v>
      </c>
      <c r="AG444" s="10">
        <f>IF(AND('PV IN'!$D$35="YES",$C444&lt;='PV IN'!$E$35*12),0,-'PV IN'!$E$18*'PV IN'!$E$34/12)</f>
        <v>-750</v>
      </c>
      <c r="AH444" s="10">
        <f>IF(AND('PV IN'!$D$37="YES",$C444&lt;='PV IN'!$E$37*12),0,-'PV IN'!$E$18*'PV IN'!$E$36/12)</f>
        <v>-625</v>
      </c>
      <c r="AI444" s="2">
        <f>IF(AND('PV IN'!$D$33="YES",PVCalcs!C444=ROUNDUP('PV IN'!$H$33*12,)),-'PV IN'!$E$33*'PV IN'!$E$18,0)</f>
        <v>0</v>
      </c>
      <c r="AK444" s="2">
        <f t="shared" si="110"/>
        <v>8978.0455360008546</v>
      </c>
      <c r="AL444" s="2">
        <f t="shared" si="114"/>
        <v>-1375</v>
      </c>
      <c r="AM444" s="2">
        <f t="shared" si="115"/>
        <v>7603.0455360008546</v>
      </c>
      <c r="AN444" s="43"/>
      <c r="AO444" s="2">
        <f t="shared" si="116"/>
        <v>0</v>
      </c>
      <c r="AP444" s="2">
        <f t="shared" si="117"/>
        <v>-1375</v>
      </c>
      <c r="AR444" s="2">
        <f t="shared" si="118"/>
        <v>-1375</v>
      </c>
      <c r="AS444" s="2">
        <f>-AR444*'PV IN'!$E$8</f>
        <v>288.75</v>
      </c>
      <c r="AT444" s="2">
        <f>IF('PV IN'!$F$4="Battery Only",0,AM444+AS444)</f>
        <v>7891.7955360008546</v>
      </c>
      <c r="AV444" s="10">
        <f t="shared" si="119"/>
        <v>3113745.3263298012</v>
      </c>
      <c r="AW444" s="2">
        <f>AT444/(1+('PV IN'!$G$9))^(C444)</f>
        <v>1318.9698217867522</v>
      </c>
      <c r="AX444" s="2" t="e">
        <f>IF(C444&lt;='PV IN'!$O$22*12,AW444+AX443,NA())</f>
        <v>#N/A</v>
      </c>
      <c r="AZ444" s="10">
        <f t="shared" si="120"/>
        <v>-1375</v>
      </c>
      <c r="BA444" s="10">
        <f t="shared" si="111"/>
        <v>0</v>
      </c>
      <c r="BB444" s="10">
        <f t="shared" si="121"/>
        <v>-1375</v>
      </c>
      <c r="BC444" s="10">
        <f t="shared" si="122"/>
        <v>0</v>
      </c>
      <c r="BD444" s="10">
        <f t="shared" si="123"/>
        <v>-1375</v>
      </c>
      <c r="BE444" s="2">
        <f t="shared" si="124"/>
        <v>0</v>
      </c>
      <c r="BF444" s="10">
        <f t="shared" si="125"/>
        <v>-1375</v>
      </c>
      <c r="BG444" s="2">
        <f>-BF444*'PV IN'!$E$8</f>
        <v>288.75</v>
      </c>
      <c r="BH444" s="2">
        <f>IF('PV IN'!$F$4="Battery Only",0,BB444+BG444)</f>
        <v>-1086.25</v>
      </c>
      <c r="BI444" s="2">
        <f>BH444/(1+('PV IN'!$G$9))^(C444)</f>
        <v>-181.54689416115968</v>
      </c>
    </row>
    <row r="445" spans="2:61" x14ac:dyDescent="0.25">
      <c r="C445">
        <v>441</v>
      </c>
      <c r="D445" s="16">
        <f>D444*(1+('PV IN'!$G$6/12))</f>
        <v>7.5999999999999998E-2</v>
      </c>
      <c r="E445" s="16">
        <f>LkUP!$U$50</f>
        <v>7.8896523189157505E-2</v>
      </c>
      <c r="F445" s="16">
        <f>IF('PV IN'!$D$7="Table",E445,D445)</f>
        <v>7.8896523189157505E-2</v>
      </c>
      <c r="G445" s="33">
        <f>('PV IN'!$E$25*'PV IN'!$E$18/12)*(1-(1-'PV IN'!$E$27)/(25*12))^C444</f>
        <v>113719.33527158503</v>
      </c>
      <c r="H445" s="33">
        <f>IF('PV IN'!$D$19="YES",G445*'PV IN'!$E$21,0)</f>
        <v>0</v>
      </c>
      <c r="I445" s="33">
        <f>IF('PV IN'!$D$19="YES",'PV IN'!$E$22*BattCalcs!W445,0)</f>
        <v>0</v>
      </c>
      <c r="J445" s="33">
        <f>IF('PV IN'!$D$19="YES",'PV IN'!$E$23*BattCalcs!Y445,0)</f>
        <v>0</v>
      </c>
      <c r="K445" s="33">
        <f>BattCalcs!AF445</f>
        <v>25811.765833333331</v>
      </c>
      <c r="L445" s="33">
        <f t="shared" si="113"/>
        <v>25811.765833333331</v>
      </c>
      <c r="M445" s="33">
        <f>IF('PV IN'!$F$4="PV Only",G445,G445-SUM(H445:J445,L445))</f>
        <v>113719.33527158503</v>
      </c>
      <c r="N445" s="2">
        <f>IF(C445&lt;='PV IN'!$I$12*12,'PV IN'!$E$12*G445/1000,0)</f>
        <v>0</v>
      </c>
      <c r="O445" s="2">
        <f>IF(AND(C445&gt;'PV IN'!$I$12*12,C445&lt;='PV IN'!$I$13*12+'PV IN'!$I$12*12),'PV IN'!$E$13*PVCalcs!G445/1000,0)</f>
        <v>0</v>
      </c>
      <c r="P445" s="2">
        <f>IF(AND(C445&gt;'PV IN'!$I$12*12+'PV IN'!$I$13*12,C445&lt;='PV IN'!$I$12*12+'PV IN'!$I$13*12+'PV IN'!$I$14*12),'PV IN'!$E$14*PVCalcs!G445/1000,0)</f>
        <v>0</v>
      </c>
      <c r="R445" s="10">
        <f>IF(AND('PV IN'!$D$35="YES",$C445&lt;='PV IN'!$E$35*12),-'PV IN'!$E$18*'PV IN'!$E$34/12,0)</f>
        <v>0</v>
      </c>
      <c r="S445" s="10">
        <f>IF(AND('PV IN'!$D$37="YES",$C445&lt;='PV IN'!$E$37*12),-'PV IN'!$E$18*'PV IN'!$E$36/12,0)</f>
        <v>0</v>
      </c>
      <c r="U445" s="2">
        <f t="shared" si="112"/>
        <v>8972.0601723101863</v>
      </c>
      <c r="V445" s="10">
        <f>PVLoan!M472</f>
        <v>0</v>
      </c>
      <c r="W445" s="2">
        <f>IF(C445='PV IN'!$I$40,IF('PV IN'!$G$40="Non-Taxable",'PV IN'!$F$40,0),0)+IF(C445='PV IN'!$I$41,IF('PV IN'!$G$41="Non-Taxable",'PV IN'!$F$41,0),0)</f>
        <v>0</v>
      </c>
      <c r="X445" s="10"/>
      <c r="Y445" s="10">
        <f>IF('PV IN'!$E$15="Non-Taxable",SUM(N445:P445),0)</f>
        <v>0</v>
      </c>
      <c r="Z445" s="10">
        <f>IF('PV IN'!$E$15="Taxable",SUM(N445:P445),0)</f>
        <v>0</v>
      </c>
      <c r="AA445" s="2">
        <f>IF(C445='PV IN'!$I$40,IF('PV IN'!$G$40="Taxable",'PV IN'!$F$40,0),0)+IF(C445='PV IN'!$I$41,IF('PV IN'!$G$41="Taxable",'PV IN'!$F$41,0),0)</f>
        <v>0</v>
      </c>
      <c r="AD445" s="10">
        <f>IF('PV IN'!$D$48="YES",-U445*'PV IN'!$E$8,0)</f>
        <v>0</v>
      </c>
      <c r="AE445" s="10">
        <f>IF('PV IN'!$N$10="Yes",-PVLoan!H473,-PVLoan!L473)</f>
        <v>0</v>
      </c>
      <c r="AF445" s="10">
        <f>IF('PV IN'!$N$10="Yes",-PVLoan!F473,0)</f>
        <v>0</v>
      </c>
      <c r="AG445" s="10">
        <f>IF(AND('PV IN'!$D$35="YES",$C445&lt;='PV IN'!$E$35*12),0,-'PV IN'!$E$18*'PV IN'!$E$34/12)</f>
        <v>-750</v>
      </c>
      <c r="AH445" s="10">
        <f>IF(AND('PV IN'!$D$37="YES",$C445&lt;='PV IN'!$E$37*12),0,-'PV IN'!$E$18*'PV IN'!$E$36/12)</f>
        <v>-625</v>
      </c>
      <c r="AI445" s="2">
        <f>IF(AND('PV IN'!$D$33="YES",PVCalcs!C445=ROUNDUP('PV IN'!$H$33*12,)),-'PV IN'!$E$33*'PV IN'!$E$18,0)</f>
        <v>0</v>
      </c>
      <c r="AK445" s="2">
        <f t="shared" si="110"/>
        <v>8972.0601723101863</v>
      </c>
      <c r="AL445" s="2">
        <f t="shared" si="114"/>
        <v>-1375</v>
      </c>
      <c r="AM445" s="2">
        <f t="shared" si="115"/>
        <v>7597.0601723101863</v>
      </c>
      <c r="AN445" s="43"/>
      <c r="AO445" s="2">
        <f t="shared" si="116"/>
        <v>0</v>
      </c>
      <c r="AP445" s="2">
        <f t="shared" si="117"/>
        <v>-1375</v>
      </c>
      <c r="AR445" s="2">
        <f t="shared" si="118"/>
        <v>-1375</v>
      </c>
      <c r="AS445" s="2">
        <f>-AR445*'PV IN'!$E$8</f>
        <v>288.75</v>
      </c>
      <c r="AT445" s="2">
        <f>IF('PV IN'!$F$4="Battery Only",0,AM445+AS445)</f>
        <v>7885.8101723101863</v>
      </c>
      <c r="AV445" s="10">
        <f t="shared" si="119"/>
        <v>3121631.1365021113</v>
      </c>
      <c r="AW445" s="2">
        <f>AT445/(1+('PV IN'!$G$9))^(C445)</f>
        <v>1312.6216940468046</v>
      </c>
      <c r="AX445" s="2" t="e">
        <f>IF(C445&lt;='PV IN'!$O$22*12,AW445+AX444,NA())</f>
        <v>#N/A</v>
      </c>
      <c r="AZ445" s="10">
        <f t="shared" si="120"/>
        <v>-1375</v>
      </c>
      <c r="BA445" s="10">
        <f t="shared" si="111"/>
        <v>0</v>
      </c>
      <c r="BB445" s="10">
        <f t="shared" si="121"/>
        <v>-1375</v>
      </c>
      <c r="BC445" s="10">
        <f t="shared" si="122"/>
        <v>0</v>
      </c>
      <c r="BD445" s="10">
        <f t="shared" si="123"/>
        <v>-1375</v>
      </c>
      <c r="BE445" s="2">
        <f t="shared" si="124"/>
        <v>0</v>
      </c>
      <c r="BF445" s="10">
        <f t="shared" si="125"/>
        <v>-1375</v>
      </c>
      <c r="BG445" s="2">
        <f>-BF445*'PV IN'!$E$8</f>
        <v>288.75</v>
      </c>
      <c r="BH445" s="2">
        <f>IF('PV IN'!$F$4="Battery Only",0,BB445+BG445)</f>
        <v>-1086.25</v>
      </c>
      <c r="BI445" s="2">
        <f>BH445/(1+('PV IN'!$G$9))^(C445)</f>
        <v>-180.81025081797475</v>
      </c>
    </row>
    <row r="446" spans="2:61" x14ac:dyDescent="0.25">
      <c r="C446">
        <v>442</v>
      </c>
      <c r="D446" s="16">
        <f>D445*(1+('PV IN'!$G$6/12))</f>
        <v>7.5999999999999998E-2</v>
      </c>
      <c r="E446" s="16">
        <f>LkUP!$U$50</f>
        <v>7.8896523189157505E-2</v>
      </c>
      <c r="F446" s="16">
        <f>IF('PV IN'!$D$7="Table",E446,D446)</f>
        <v>7.8896523189157505E-2</v>
      </c>
      <c r="G446" s="33">
        <f>('PV IN'!$E$25*'PV IN'!$E$18/12)*(1-(1-'PV IN'!$E$27)/(25*12))^C445</f>
        <v>113643.52238140398</v>
      </c>
      <c r="H446" s="33">
        <f>IF('PV IN'!$D$19="YES",G446*'PV IN'!$E$21,0)</f>
        <v>0</v>
      </c>
      <c r="I446" s="33">
        <f>IF('PV IN'!$D$19="YES",'PV IN'!$E$22*BattCalcs!W446,0)</f>
        <v>0</v>
      </c>
      <c r="J446" s="33">
        <f>IF('PV IN'!$D$19="YES",'PV IN'!$E$23*BattCalcs!Y446,0)</f>
        <v>0</v>
      </c>
      <c r="K446" s="33">
        <f>BattCalcs!AF446</f>
        <v>25811.765833333331</v>
      </c>
      <c r="L446" s="33">
        <f t="shared" si="113"/>
        <v>25811.765833333331</v>
      </c>
      <c r="M446" s="33">
        <f>IF('PV IN'!$F$4="PV Only",G446,G446-SUM(H446:J446,L446))</f>
        <v>113643.52238140398</v>
      </c>
      <c r="N446" s="2">
        <f>IF(C446&lt;='PV IN'!$I$12*12,'PV IN'!$E$12*G446/1000,0)</f>
        <v>0</v>
      </c>
      <c r="O446" s="2">
        <f>IF(AND(C446&gt;'PV IN'!$I$12*12,C446&lt;='PV IN'!$I$13*12+'PV IN'!$I$12*12),'PV IN'!$E$13*PVCalcs!G446/1000,0)</f>
        <v>0</v>
      </c>
      <c r="P446" s="2">
        <f>IF(AND(C446&gt;'PV IN'!$I$12*12+'PV IN'!$I$13*12,C446&lt;='PV IN'!$I$12*12+'PV IN'!$I$13*12+'PV IN'!$I$14*12),'PV IN'!$E$14*PVCalcs!G446/1000,0)</f>
        <v>0</v>
      </c>
      <c r="R446" s="10">
        <f>IF(AND('PV IN'!$D$35="YES",$C446&lt;='PV IN'!$E$35*12),-'PV IN'!$E$18*'PV IN'!$E$34/12,0)</f>
        <v>0</v>
      </c>
      <c r="S446" s="10">
        <f>IF(AND('PV IN'!$D$37="YES",$C446&lt;='PV IN'!$E$37*12),-'PV IN'!$E$18*'PV IN'!$E$36/12,0)</f>
        <v>0</v>
      </c>
      <c r="U446" s="2">
        <f t="shared" si="112"/>
        <v>8966.0787988619795</v>
      </c>
      <c r="V446" s="10">
        <f>PVLoan!M473</f>
        <v>0</v>
      </c>
      <c r="W446" s="2">
        <f>IF(C446='PV IN'!$I$40,IF('PV IN'!$G$40="Non-Taxable",'PV IN'!$F$40,0),0)+IF(C446='PV IN'!$I$41,IF('PV IN'!$G$41="Non-Taxable",'PV IN'!$F$41,0),0)</f>
        <v>0</v>
      </c>
      <c r="X446" s="10"/>
      <c r="Y446" s="10">
        <f>IF('PV IN'!$E$15="Non-Taxable",SUM(N446:P446),0)</f>
        <v>0</v>
      </c>
      <c r="Z446" s="10">
        <f>IF('PV IN'!$E$15="Taxable",SUM(N446:P446),0)</f>
        <v>0</v>
      </c>
      <c r="AA446" s="2">
        <f>IF(C446='PV IN'!$I$40,IF('PV IN'!$G$40="Taxable",'PV IN'!$F$40,0),0)+IF(C446='PV IN'!$I$41,IF('PV IN'!$G$41="Taxable",'PV IN'!$F$41,0),0)</f>
        <v>0</v>
      </c>
      <c r="AD446" s="10">
        <f>IF('PV IN'!$D$48="YES",-U446*'PV IN'!$E$8,0)</f>
        <v>0</v>
      </c>
      <c r="AE446" s="10">
        <f>IF('PV IN'!$N$10="Yes",-PVLoan!H474,-PVLoan!L474)</f>
        <v>0</v>
      </c>
      <c r="AF446" s="10">
        <f>IF('PV IN'!$N$10="Yes",-PVLoan!F474,0)</f>
        <v>0</v>
      </c>
      <c r="AG446" s="10">
        <f>IF(AND('PV IN'!$D$35="YES",$C446&lt;='PV IN'!$E$35*12),0,-'PV IN'!$E$18*'PV IN'!$E$34/12)</f>
        <v>-750</v>
      </c>
      <c r="AH446" s="10">
        <f>IF(AND('PV IN'!$D$37="YES",$C446&lt;='PV IN'!$E$37*12),0,-'PV IN'!$E$18*'PV IN'!$E$36/12)</f>
        <v>-625</v>
      </c>
      <c r="AI446" s="2">
        <f>IF(AND('PV IN'!$D$33="YES",PVCalcs!C446=ROUNDUP('PV IN'!$H$33*12,)),-'PV IN'!$E$33*'PV IN'!$E$18,0)</f>
        <v>0</v>
      </c>
      <c r="AK446" s="2">
        <f t="shared" si="110"/>
        <v>8966.0787988619795</v>
      </c>
      <c r="AL446" s="2">
        <f t="shared" si="114"/>
        <v>-1375</v>
      </c>
      <c r="AM446" s="2">
        <f t="shared" si="115"/>
        <v>7591.0787988619795</v>
      </c>
      <c r="AN446" s="43"/>
      <c r="AO446" s="2">
        <f t="shared" si="116"/>
        <v>0</v>
      </c>
      <c r="AP446" s="2">
        <f t="shared" si="117"/>
        <v>-1375</v>
      </c>
      <c r="AR446" s="2">
        <f t="shared" si="118"/>
        <v>-1375</v>
      </c>
      <c r="AS446" s="2">
        <f>-AR446*'PV IN'!$E$8</f>
        <v>288.75</v>
      </c>
      <c r="AT446" s="2">
        <f>IF('PV IN'!$F$4="Battery Only",0,AM446+AS446)</f>
        <v>7879.8287988619795</v>
      </c>
      <c r="AV446" s="10">
        <f t="shared" si="119"/>
        <v>3129510.9653009735</v>
      </c>
      <c r="AW446" s="2">
        <f>AT446/(1+('PV IN'!$G$9))^(C446)</f>
        <v>1306.304028439288</v>
      </c>
      <c r="AX446" s="2" t="e">
        <f>IF(C446&lt;='PV IN'!$O$22*12,AW446+AX445,NA())</f>
        <v>#N/A</v>
      </c>
      <c r="AZ446" s="10">
        <f t="shared" si="120"/>
        <v>-1375</v>
      </c>
      <c r="BA446" s="10">
        <f t="shared" si="111"/>
        <v>0</v>
      </c>
      <c r="BB446" s="10">
        <f t="shared" si="121"/>
        <v>-1375</v>
      </c>
      <c r="BC446" s="10">
        <f t="shared" si="122"/>
        <v>0</v>
      </c>
      <c r="BD446" s="10">
        <f t="shared" si="123"/>
        <v>-1375</v>
      </c>
      <c r="BE446" s="2">
        <f t="shared" si="124"/>
        <v>0</v>
      </c>
      <c r="BF446" s="10">
        <f t="shared" si="125"/>
        <v>-1375</v>
      </c>
      <c r="BG446" s="2">
        <f>-BF446*'PV IN'!$E$8</f>
        <v>288.75</v>
      </c>
      <c r="BH446" s="2">
        <f>IF('PV IN'!$F$4="Battery Only",0,BB446+BG446)</f>
        <v>-1086.25</v>
      </c>
      <c r="BI446" s="2">
        <f>BH446/(1+('PV IN'!$G$9))^(C446)</f>
        <v>-180.07659647340404</v>
      </c>
    </row>
    <row r="447" spans="2:61" x14ac:dyDescent="0.25">
      <c r="C447">
        <v>443</v>
      </c>
      <c r="D447" s="16">
        <f>D446*(1+('PV IN'!$G$6/12))</f>
        <v>7.5999999999999998E-2</v>
      </c>
      <c r="E447" s="16">
        <f>LkUP!$U$50</f>
        <v>7.8896523189157505E-2</v>
      </c>
      <c r="F447" s="16">
        <f>IF('PV IN'!$D$7="Table",E447,D447)</f>
        <v>7.8896523189157505E-2</v>
      </c>
      <c r="G447" s="33">
        <f>('PV IN'!$E$25*'PV IN'!$E$18/12)*(1-(1-'PV IN'!$E$27)/(25*12))^C446</f>
        <v>113567.76003314969</v>
      </c>
      <c r="H447" s="33">
        <f>IF('PV IN'!$D$19="YES",G447*'PV IN'!$E$21,0)</f>
        <v>0</v>
      </c>
      <c r="I447" s="33">
        <f>IF('PV IN'!$D$19="YES",'PV IN'!$E$22*BattCalcs!W447,0)</f>
        <v>0</v>
      </c>
      <c r="J447" s="33">
        <f>IF('PV IN'!$D$19="YES",'PV IN'!$E$23*BattCalcs!Y447,0)</f>
        <v>0</v>
      </c>
      <c r="K447" s="33">
        <f>BattCalcs!AF447</f>
        <v>25811.765833333331</v>
      </c>
      <c r="L447" s="33">
        <f t="shared" si="113"/>
        <v>25811.765833333331</v>
      </c>
      <c r="M447" s="33">
        <f>IF('PV IN'!$F$4="PV Only",G447,G447-SUM(H447:J447,L447))</f>
        <v>113567.76003314969</v>
      </c>
      <c r="N447" s="2">
        <f>IF(C447&lt;='PV IN'!$I$12*12,'PV IN'!$E$12*G447/1000,0)</f>
        <v>0</v>
      </c>
      <c r="O447" s="2">
        <f>IF(AND(C447&gt;'PV IN'!$I$12*12,C447&lt;='PV IN'!$I$13*12+'PV IN'!$I$12*12),'PV IN'!$E$13*PVCalcs!G447/1000,0)</f>
        <v>0</v>
      </c>
      <c r="P447" s="2">
        <f>IF(AND(C447&gt;'PV IN'!$I$12*12+'PV IN'!$I$13*12,C447&lt;='PV IN'!$I$12*12+'PV IN'!$I$13*12+'PV IN'!$I$14*12),'PV IN'!$E$14*PVCalcs!G447/1000,0)</f>
        <v>0</v>
      </c>
      <c r="R447" s="10">
        <f>IF(AND('PV IN'!$D$35="YES",$C447&lt;='PV IN'!$E$35*12),-'PV IN'!$E$18*'PV IN'!$E$34/12,0)</f>
        <v>0</v>
      </c>
      <c r="S447" s="10">
        <f>IF(AND('PV IN'!$D$37="YES",$C447&lt;='PV IN'!$E$37*12),-'PV IN'!$E$18*'PV IN'!$E$36/12,0)</f>
        <v>0</v>
      </c>
      <c r="U447" s="2">
        <f t="shared" si="112"/>
        <v>8960.1014129960695</v>
      </c>
      <c r="V447" s="10">
        <f>PVLoan!M474</f>
        <v>0</v>
      </c>
      <c r="W447" s="2">
        <f>IF(C447='PV IN'!$I$40,IF('PV IN'!$G$40="Non-Taxable",'PV IN'!$F$40,0),0)+IF(C447='PV IN'!$I$41,IF('PV IN'!$G$41="Non-Taxable",'PV IN'!$F$41,0),0)</f>
        <v>0</v>
      </c>
      <c r="X447" s="10"/>
      <c r="Y447" s="10">
        <f>IF('PV IN'!$E$15="Non-Taxable",SUM(N447:P447),0)</f>
        <v>0</v>
      </c>
      <c r="Z447" s="10">
        <f>IF('PV IN'!$E$15="Taxable",SUM(N447:P447),0)</f>
        <v>0</v>
      </c>
      <c r="AA447" s="2">
        <f>IF(C447='PV IN'!$I$40,IF('PV IN'!$G$40="Taxable",'PV IN'!$F$40,0),0)+IF(C447='PV IN'!$I$41,IF('PV IN'!$G$41="Taxable",'PV IN'!$F$41,0),0)</f>
        <v>0</v>
      </c>
      <c r="AD447" s="10">
        <f>IF('PV IN'!$D$48="YES",-U447*'PV IN'!$E$8,0)</f>
        <v>0</v>
      </c>
      <c r="AE447" s="10">
        <f>IF('PV IN'!$N$10="Yes",-PVLoan!H475,-PVLoan!L475)</f>
        <v>0</v>
      </c>
      <c r="AF447" s="10">
        <f>IF('PV IN'!$N$10="Yes",-PVLoan!F475,0)</f>
        <v>0</v>
      </c>
      <c r="AG447" s="10">
        <f>IF(AND('PV IN'!$D$35="YES",$C447&lt;='PV IN'!$E$35*12),0,-'PV IN'!$E$18*'PV IN'!$E$34/12)</f>
        <v>-750</v>
      </c>
      <c r="AH447" s="10">
        <f>IF(AND('PV IN'!$D$37="YES",$C447&lt;='PV IN'!$E$37*12),0,-'PV IN'!$E$18*'PV IN'!$E$36/12)</f>
        <v>-625</v>
      </c>
      <c r="AI447" s="2">
        <f>IF(AND('PV IN'!$D$33="YES",PVCalcs!C447=ROUNDUP('PV IN'!$H$33*12,)),-'PV IN'!$E$33*'PV IN'!$E$18,0)</f>
        <v>0</v>
      </c>
      <c r="AK447" s="2">
        <f t="shared" si="110"/>
        <v>8960.1014129960695</v>
      </c>
      <c r="AL447" s="2">
        <f t="shared" si="114"/>
        <v>-1375</v>
      </c>
      <c r="AM447" s="2">
        <f t="shared" si="115"/>
        <v>7585.1014129960695</v>
      </c>
      <c r="AN447" s="43"/>
      <c r="AO447" s="2">
        <f t="shared" si="116"/>
        <v>0</v>
      </c>
      <c r="AP447" s="2">
        <f t="shared" si="117"/>
        <v>-1375</v>
      </c>
      <c r="AR447" s="2">
        <f t="shared" si="118"/>
        <v>-1375</v>
      </c>
      <c r="AS447" s="2">
        <f>-AR447*'PV IN'!$E$8</f>
        <v>288.75</v>
      </c>
      <c r="AT447" s="2">
        <f>IF('PV IN'!$F$4="Battery Only",0,AM447+AS447)</f>
        <v>7873.8514129960695</v>
      </c>
      <c r="AV447" s="10">
        <f t="shared" si="119"/>
        <v>3137384.8167139697</v>
      </c>
      <c r="AW447" s="2">
        <f>AT447/(1+('PV IN'!$G$9))^(C447)</f>
        <v>1300.0166791510103</v>
      </c>
      <c r="AX447" s="2" t="e">
        <f>IF(C447&lt;='PV IN'!$O$22*12,AW447+AX446,NA())</f>
        <v>#N/A</v>
      </c>
      <c r="AZ447" s="10">
        <f t="shared" si="120"/>
        <v>-1375</v>
      </c>
      <c r="BA447" s="10">
        <f t="shared" si="111"/>
        <v>0</v>
      </c>
      <c r="BB447" s="10">
        <f t="shared" si="121"/>
        <v>-1375</v>
      </c>
      <c r="BC447" s="10">
        <f t="shared" si="122"/>
        <v>0</v>
      </c>
      <c r="BD447" s="10">
        <f t="shared" si="123"/>
        <v>-1375</v>
      </c>
      <c r="BE447" s="2">
        <f t="shared" si="124"/>
        <v>0</v>
      </c>
      <c r="BF447" s="10">
        <f t="shared" si="125"/>
        <v>-1375</v>
      </c>
      <c r="BG447" s="2">
        <f>-BF447*'PV IN'!$E$8</f>
        <v>288.75</v>
      </c>
      <c r="BH447" s="2">
        <f>IF('PV IN'!$F$4="Battery Only",0,BB447+BG447)</f>
        <v>-1086.25</v>
      </c>
      <c r="BI447" s="2">
        <f>BH447/(1+('PV IN'!$G$9))^(C447)</f>
        <v>-179.34591899930865</v>
      </c>
    </row>
    <row r="448" spans="2:61" x14ac:dyDescent="0.25">
      <c r="B448">
        <v>37</v>
      </c>
      <c r="C448">
        <v>444</v>
      </c>
      <c r="D448" s="16">
        <f>D447*(1+('PV IN'!$G$6/12))</f>
        <v>7.5999999999999998E-2</v>
      </c>
      <c r="E448" s="16">
        <f>LkUP!$U$50</f>
        <v>7.8896523189157505E-2</v>
      </c>
      <c r="F448" s="16">
        <f>IF('PV IN'!$D$7="Table",E448,D448)</f>
        <v>7.8896523189157505E-2</v>
      </c>
      <c r="G448" s="33">
        <f>('PV IN'!$E$25*'PV IN'!$E$18/12)*(1-(1-'PV IN'!$E$27)/(25*12))^C447</f>
        <v>113492.0481931276</v>
      </c>
      <c r="H448" s="33">
        <f>IF('PV IN'!$D$19="YES",G448*'PV IN'!$E$21,0)</f>
        <v>0</v>
      </c>
      <c r="I448" s="33">
        <f>IF('PV IN'!$D$19="YES",'PV IN'!$E$22*BattCalcs!W448,0)</f>
        <v>0</v>
      </c>
      <c r="J448" s="33">
        <f>IF('PV IN'!$D$19="YES",'PV IN'!$E$23*BattCalcs!Y448,0)</f>
        <v>0</v>
      </c>
      <c r="K448" s="33">
        <f>BattCalcs!AF448</f>
        <v>25811.765833333331</v>
      </c>
      <c r="L448" s="33">
        <f t="shared" si="113"/>
        <v>25811.765833333331</v>
      </c>
      <c r="M448" s="33">
        <f>IF('PV IN'!$F$4="PV Only",G448,G448-SUM(H448:J448,L448))</f>
        <v>113492.0481931276</v>
      </c>
      <c r="N448" s="2">
        <f>IF(C448&lt;='PV IN'!$I$12*12,'PV IN'!$E$12*G448/1000,0)</f>
        <v>0</v>
      </c>
      <c r="O448" s="2">
        <f>IF(AND(C448&gt;'PV IN'!$I$12*12,C448&lt;='PV IN'!$I$13*12+'PV IN'!$I$12*12),'PV IN'!$E$13*PVCalcs!G448/1000,0)</f>
        <v>0</v>
      </c>
      <c r="P448" s="2">
        <f>IF(AND(C448&gt;'PV IN'!$I$12*12+'PV IN'!$I$13*12,C448&lt;='PV IN'!$I$12*12+'PV IN'!$I$13*12+'PV IN'!$I$14*12),'PV IN'!$E$14*PVCalcs!G448/1000,0)</f>
        <v>0</v>
      </c>
      <c r="R448" s="10">
        <f>IF(AND('PV IN'!$D$35="YES",$C448&lt;='PV IN'!$E$35*12),-'PV IN'!$E$18*'PV IN'!$E$34/12,0)</f>
        <v>0</v>
      </c>
      <c r="S448" s="10">
        <f>IF(AND('PV IN'!$D$37="YES",$C448&lt;='PV IN'!$E$37*12),-'PV IN'!$E$18*'PV IN'!$E$36/12,0)</f>
        <v>0</v>
      </c>
      <c r="U448" s="2">
        <f t="shared" si="112"/>
        <v>8954.1280120540723</v>
      </c>
      <c r="V448" s="10">
        <f>PVLoan!M475</f>
        <v>0</v>
      </c>
      <c r="W448" s="2">
        <f>IF(C448='PV IN'!$I$40,IF('PV IN'!$G$40="Non-Taxable",'PV IN'!$F$40,0),0)+IF(C448='PV IN'!$I$41,IF('PV IN'!$G$41="Non-Taxable",'PV IN'!$F$41,0),0)</f>
        <v>0</v>
      </c>
      <c r="X448" s="10"/>
      <c r="Y448" s="10">
        <f>IF('PV IN'!$E$15="Non-Taxable",SUM(N448:P448),0)</f>
        <v>0</v>
      </c>
      <c r="Z448" s="10">
        <f>IF('PV IN'!$E$15="Taxable",SUM(N448:P448),0)</f>
        <v>0</v>
      </c>
      <c r="AA448" s="2">
        <f>IF(C448='PV IN'!$I$40,IF('PV IN'!$G$40="Taxable",'PV IN'!$F$40,0),0)+IF(C448='PV IN'!$I$41,IF('PV IN'!$G$41="Taxable",'PV IN'!$F$41,0),0)</f>
        <v>0</v>
      </c>
      <c r="AD448" s="10">
        <f>IF('PV IN'!$D$48="YES",-U448*'PV IN'!$E$8,0)</f>
        <v>0</v>
      </c>
      <c r="AE448" s="10">
        <f>IF('PV IN'!$N$10="Yes",-PVLoan!H476,-PVLoan!L476)</f>
        <v>0</v>
      </c>
      <c r="AF448" s="10">
        <f>IF('PV IN'!$N$10="Yes",-PVLoan!F476,0)</f>
        <v>0</v>
      </c>
      <c r="AG448" s="10">
        <f>IF(AND('PV IN'!$D$35="YES",$C448&lt;='PV IN'!$E$35*12),0,-'PV IN'!$E$18*'PV IN'!$E$34/12)</f>
        <v>-750</v>
      </c>
      <c r="AH448" s="10">
        <f>IF(AND('PV IN'!$D$37="YES",$C448&lt;='PV IN'!$E$37*12),0,-'PV IN'!$E$18*'PV IN'!$E$36/12)</f>
        <v>-625</v>
      </c>
      <c r="AI448" s="2">
        <f>IF(AND('PV IN'!$D$33="YES",PVCalcs!C448=ROUNDUP('PV IN'!$H$33*12,)),-'PV IN'!$E$33*'PV IN'!$E$18,0)</f>
        <v>0</v>
      </c>
      <c r="AK448" s="2">
        <f t="shared" si="110"/>
        <v>8954.1280120540723</v>
      </c>
      <c r="AL448" s="2">
        <f t="shared" si="114"/>
        <v>-1375</v>
      </c>
      <c r="AM448" s="2">
        <f t="shared" si="115"/>
        <v>7579.1280120540723</v>
      </c>
      <c r="AN448" s="43"/>
      <c r="AO448" s="2">
        <f t="shared" si="116"/>
        <v>0</v>
      </c>
      <c r="AP448" s="2">
        <f t="shared" si="117"/>
        <v>-1375</v>
      </c>
      <c r="AR448" s="2">
        <f t="shared" si="118"/>
        <v>-1375</v>
      </c>
      <c r="AS448" s="2">
        <f>-AR448*'PV IN'!$E$8</f>
        <v>288.75</v>
      </c>
      <c r="AT448" s="2">
        <f>IF('PV IN'!$F$4="Battery Only",0,AM448+AS448)</f>
        <v>7867.8780120540723</v>
      </c>
      <c r="AV448" s="10">
        <f t="shared" si="119"/>
        <v>3145252.6947260238</v>
      </c>
      <c r="AW448" s="2">
        <f>AT448/(1+('PV IN'!$G$9))^(C448)</f>
        <v>1293.7595010652992</v>
      </c>
      <c r="AX448" s="2" t="e">
        <f>IF(C448&lt;='PV IN'!$O$22*12,AW448+AX447,NA())</f>
        <v>#N/A</v>
      </c>
      <c r="AZ448" s="10">
        <f t="shared" si="120"/>
        <v>-1375</v>
      </c>
      <c r="BA448" s="10">
        <f t="shared" si="111"/>
        <v>0</v>
      </c>
      <c r="BB448" s="10">
        <f t="shared" si="121"/>
        <v>-1375</v>
      </c>
      <c r="BC448" s="10">
        <f t="shared" si="122"/>
        <v>0</v>
      </c>
      <c r="BD448" s="10">
        <f t="shared" si="123"/>
        <v>-1375</v>
      </c>
      <c r="BE448" s="2">
        <f t="shared" si="124"/>
        <v>0</v>
      </c>
      <c r="BF448" s="10">
        <f t="shared" si="125"/>
        <v>-1375</v>
      </c>
      <c r="BG448" s="2">
        <f>-BF448*'PV IN'!$E$8</f>
        <v>288.75</v>
      </c>
      <c r="BH448" s="2">
        <f>IF('PV IN'!$F$4="Battery Only",0,BB448+BG448)</f>
        <v>-1086.25</v>
      </c>
      <c r="BI448" s="2">
        <f>BH448/(1+('PV IN'!$G$9))^(C448)</f>
        <v>-178.61820631676096</v>
      </c>
    </row>
    <row r="449" spans="2:61" x14ac:dyDescent="0.25">
      <c r="C449">
        <v>445</v>
      </c>
      <c r="D449" s="16">
        <f>D448*(1+('PV IN'!$G$6/12))</f>
        <v>7.5999999999999998E-2</v>
      </c>
      <c r="E449" s="16">
        <f>LkUP!$U$50</f>
        <v>7.8896523189157505E-2</v>
      </c>
      <c r="F449" s="16">
        <f>IF('PV IN'!$D$7="Table",E449,D449)</f>
        <v>7.8896523189157505E-2</v>
      </c>
      <c r="G449" s="33">
        <f>('PV IN'!$E$25*'PV IN'!$E$18/12)*(1-(1-'PV IN'!$E$27)/(25*12))^C448</f>
        <v>113416.38682766551</v>
      </c>
      <c r="H449" s="33">
        <f>IF('PV IN'!$D$19="YES",G449*'PV IN'!$E$21,0)</f>
        <v>0</v>
      </c>
      <c r="I449" s="33">
        <f>IF('PV IN'!$D$19="YES",'PV IN'!$E$22*BattCalcs!W449,0)</f>
        <v>0</v>
      </c>
      <c r="J449" s="33">
        <f>IF('PV IN'!$D$19="YES",'PV IN'!$E$23*BattCalcs!Y449,0)</f>
        <v>0</v>
      </c>
      <c r="K449" s="33">
        <f>BattCalcs!AF449</f>
        <v>25811.765833333331</v>
      </c>
      <c r="L449" s="33">
        <f t="shared" si="113"/>
        <v>25811.765833333331</v>
      </c>
      <c r="M449" s="33">
        <f>IF('PV IN'!$F$4="PV Only",G449,G449-SUM(H449:J449,L449))</f>
        <v>113416.38682766551</v>
      </c>
      <c r="N449" s="2">
        <f>IF(C449&lt;='PV IN'!$I$12*12,'PV IN'!$E$12*G449/1000,0)</f>
        <v>0</v>
      </c>
      <c r="O449" s="2">
        <f>IF(AND(C449&gt;'PV IN'!$I$12*12,C449&lt;='PV IN'!$I$13*12+'PV IN'!$I$12*12),'PV IN'!$E$13*PVCalcs!G449/1000,0)</f>
        <v>0</v>
      </c>
      <c r="P449" s="2">
        <f>IF(AND(C449&gt;'PV IN'!$I$12*12+'PV IN'!$I$13*12,C449&lt;='PV IN'!$I$12*12+'PV IN'!$I$13*12+'PV IN'!$I$14*12),'PV IN'!$E$14*PVCalcs!G449/1000,0)</f>
        <v>0</v>
      </c>
      <c r="R449" s="10">
        <f>IF(AND('PV IN'!$D$35="YES",$C449&lt;='PV IN'!$E$35*12),-'PV IN'!$E$18*'PV IN'!$E$34/12,0)</f>
        <v>0</v>
      </c>
      <c r="S449" s="10">
        <f>IF(AND('PV IN'!$D$37="YES",$C449&lt;='PV IN'!$E$37*12),-'PV IN'!$E$18*'PV IN'!$E$36/12,0)</f>
        <v>0</v>
      </c>
      <c r="U449" s="2">
        <f t="shared" si="112"/>
        <v>8948.1585933793704</v>
      </c>
      <c r="V449" s="10">
        <f>PVLoan!M476</f>
        <v>0</v>
      </c>
      <c r="W449" s="2">
        <f>IF(C449='PV IN'!$I$40,IF('PV IN'!$G$40="Non-Taxable",'PV IN'!$F$40,0),0)+IF(C449='PV IN'!$I$41,IF('PV IN'!$G$41="Non-Taxable",'PV IN'!$F$41,0),0)</f>
        <v>0</v>
      </c>
      <c r="X449" s="10"/>
      <c r="Y449" s="10">
        <f>IF('PV IN'!$E$15="Non-Taxable",SUM(N449:P449),0)</f>
        <v>0</v>
      </c>
      <c r="Z449" s="10">
        <f>IF('PV IN'!$E$15="Taxable",SUM(N449:P449),0)</f>
        <v>0</v>
      </c>
      <c r="AA449" s="2">
        <f>IF(C449='PV IN'!$I$40,IF('PV IN'!$G$40="Taxable",'PV IN'!$F$40,0),0)+IF(C449='PV IN'!$I$41,IF('PV IN'!$G$41="Taxable",'PV IN'!$F$41,0),0)</f>
        <v>0</v>
      </c>
      <c r="AD449" s="10">
        <f>IF('PV IN'!$D$48="YES",-U449*'PV IN'!$E$8,0)</f>
        <v>0</v>
      </c>
      <c r="AE449" s="10">
        <f>IF('PV IN'!$N$10="Yes",-PVLoan!H477,-PVLoan!L477)</f>
        <v>0</v>
      </c>
      <c r="AF449" s="10">
        <f>IF('PV IN'!$N$10="Yes",-PVLoan!F477,0)</f>
        <v>0</v>
      </c>
      <c r="AG449" s="10">
        <f>IF(AND('PV IN'!$D$35="YES",$C449&lt;='PV IN'!$E$35*12),0,-'PV IN'!$E$18*'PV IN'!$E$34/12)</f>
        <v>-750</v>
      </c>
      <c r="AH449" s="10">
        <f>IF(AND('PV IN'!$D$37="YES",$C449&lt;='PV IN'!$E$37*12),0,-'PV IN'!$E$18*'PV IN'!$E$36/12)</f>
        <v>-625</v>
      </c>
      <c r="AI449" s="2">
        <f>IF(AND('PV IN'!$D$33="YES",PVCalcs!C449=ROUNDUP('PV IN'!$H$33*12,)),-'PV IN'!$E$33*'PV IN'!$E$18,0)</f>
        <v>0</v>
      </c>
      <c r="AK449" s="2">
        <f t="shared" si="110"/>
        <v>8948.1585933793704</v>
      </c>
      <c r="AL449" s="2">
        <f t="shared" si="114"/>
        <v>-1375</v>
      </c>
      <c r="AM449" s="2">
        <f t="shared" si="115"/>
        <v>7573.1585933793704</v>
      </c>
      <c r="AN449" s="43"/>
      <c r="AO449" s="2">
        <f t="shared" si="116"/>
        <v>0</v>
      </c>
      <c r="AP449" s="2">
        <f t="shared" si="117"/>
        <v>-1375</v>
      </c>
      <c r="AR449" s="2">
        <f t="shared" si="118"/>
        <v>-1375</v>
      </c>
      <c r="AS449" s="2">
        <f>-AR449*'PV IN'!$E$8</f>
        <v>288.75</v>
      </c>
      <c r="AT449" s="2">
        <f>IF('PV IN'!$F$4="Battery Only",0,AM449+AS449)</f>
        <v>7861.9085933793704</v>
      </c>
      <c r="AV449" s="10">
        <f t="shared" si="119"/>
        <v>3153114.6033194032</v>
      </c>
      <c r="AW449" s="2">
        <f>AT449/(1+('PV IN'!$G$9))^(C449)</f>
        <v>1287.5323497586758</v>
      </c>
      <c r="AX449" s="2" t="e">
        <f>IF(C449&lt;='PV IN'!$O$22*12,AW449+AX448,NA())</f>
        <v>#N/A</v>
      </c>
      <c r="AZ449" s="10">
        <f t="shared" si="120"/>
        <v>-1375</v>
      </c>
      <c r="BA449" s="10">
        <f t="shared" si="111"/>
        <v>0</v>
      </c>
      <c r="BB449" s="10">
        <f t="shared" si="121"/>
        <v>-1375</v>
      </c>
      <c r="BC449" s="10">
        <f t="shared" si="122"/>
        <v>0</v>
      </c>
      <c r="BD449" s="10">
        <f t="shared" si="123"/>
        <v>-1375</v>
      </c>
      <c r="BE449" s="2">
        <f t="shared" si="124"/>
        <v>0</v>
      </c>
      <c r="BF449" s="10">
        <f t="shared" si="125"/>
        <v>-1375</v>
      </c>
      <c r="BG449" s="2">
        <f>-BF449*'PV IN'!$E$8</f>
        <v>288.75</v>
      </c>
      <c r="BH449" s="2">
        <f>IF('PV IN'!$F$4="Battery Only",0,BB449+BG449)</f>
        <v>-1086.25</v>
      </c>
      <c r="BI449" s="2">
        <f>BH449/(1+('PV IN'!$G$9))^(C449)</f>
        <v>-177.89344639584442</v>
      </c>
    </row>
    <row r="450" spans="2:61" x14ac:dyDescent="0.25">
      <c r="C450">
        <v>446</v>
      </c>
      <c r="D450" s="16">
        <f>D449*(1+('PV IN'!$G$6/12))</f>
        <v>7.5999999999999998E-2</v>
      </c>
      <c r="E450" s="16">
        <f>LkUP!$U$50</f>
        <v>7.8896523189157505E-2</v>
      </c>
      <c r="F450" s="16">
        <f>IF('PV IN'!$D$7="Table",E450,D450)</f>
        <v>7.8896523189157505E-2</v>
      </c>
      <c r="G450" s="33">
        <f>('PV IN'!$E$25*'PV IN'!$E$18/12)*(1-(1-'PV IN'!$E$27)/(25*12))^C449</f>
        <v>113340.77590311374</v>
      </c>
      <c r="H450" s="33">
        <f>IF('PV IN'!$D$19="YES",G450*'PV IN'!$E$21,0)</f>
        <v>0</v>
      </c>
      <c r="I450" s="33">
        <f>IF('PV IN'!$D$19="YES",'PV IN'!$E$22*BattCalcs!W450,0)</f>
        <v>0</v>
      </c>
      <c r="J450" s="33">
        <f>IF('PV IN'!$D$19="YES",'PV IN'!$E$23*BattCalcs!Y450,0)</f>
        <v>0</v>
      </c>
      <c r="K450" s="33">
        <f>BattCalcs!AF450</f>
        <v>25811.765833333331</v>
      </c>
      <c r="L450" s="33">
        <f t="shared" si="113"/>
        <v>25811.765833333331</v>
      </c>
      <c r="M450" s="33">
        <f>IF('PV IN'!$F$4="PV Only",G450,G450-SUM(H450:J450,L450))</f>
        <v>113340.77590311374</v>
      </c>
      <c r="N450" s="2">
        <f>IF(C450&lt;='PV IN'!$I$12*12,'PV IN'!$E$12*G450/1000,0)</f>
        <v>0</v>
      </c>
      <c r="O450" s="2">
        <f>IF(AND(C450&gt;'PV IN'!$I$12*12,C450&lt;='PV IN'!$I$13*12+'PV IN'!$I$12*12),'PV IN'!$E$13*PVCalcs!G450/1000,0)</f>
        <v>0</v>
      </c>
      <c r="P450" s="2">
        <f>IF(AND(C450&gt;'PV IN'!$I$12*12+'PV IN'!$I$13*12,C450&lt;='PV IN'!$I$12*12+'PV IN'!$I$13*12+'PV IN'!$I$14*12),'PV IN'!$E$14*PVCalcs!G450/1000,0)</f>
        <v>0</v>
      </c>
      <c r="R450" s="10">
        <f>IF(AND('PV IN'!$D$35="YES",$C450&lt;='PV IN'!$E$35*12),-'PV IN'!$E$18*'PV IN'!$E$34/12,0)</f>
        <v>0</v>
      </c>
      <c r="S450" s="10">
        <f>IF(AND('PV IN'!$D$37="YES",$C450&lt;='PV IN'!$E$37*12),-'PV IN'!$E$18*'PV IN'!$E$36/12,0)</f>
        <v>0</v>
      </c>
      <c r="U450" s="2">
        <f t="shared" si="112"/>
        <v>8942.1931543171177</v>
      </c>
      <c r="V450" s="10">
        <f>PVLoan!M477</f>
        <v>0</v>
      </c>
      <c r="W450" s="2">
        <f>IF(C450='PV IN'!$I$40,IF('PV IN'!$G$40="Non-Taxable",'PV IN'!$F$40,0),0)+IF(C450='PV IN'!$I$41,IF('PV IN'!$G$41="Non-Taxable",'PV IN'!$F$41,0),0)</f>
        <v>0</v>
      </c>
      <c r="X450" s="10"/>
      <c r="Y450" s="10">
        <f>IF('PV IN'!$E$15="Non-Taxable",SUM(N450:P450),0)</f>
        <v>0</v>
      </c>
      <c r="Z450" s="10">
        <f>IF('PV IN'!$E$15="Taxable",SUM(N450:P450),0)</f>
        <v>0</v>
      </c>
      <c r="AA450" s="2">
        <f>IF(C450='PV IN'!$I$40,IF('PV IN'!$G$40="Taxable",'PV IN'!$F$40,0),0)+IF(C450='PV IN'!$I$41,IF('PV IN'!$G$41="Taxable",'PV IN'!$F$41,0),0)</f>
        <v>0</v>
      </c>
      <c r="AD450" s="10">
        <f>IF('PV IN'!$D$48="YES",-U450*'PV IN'!$E$8,0)</f>
        <v>0</v>
      </c>
      <c r="AE450" s="10">
        <f>IF('PV IN'!$N$10="Yes",-PVLoan!H478,-PVLoan!L478)</f>
        <v>0</v>
      </c>
      <c r="AF450" s="10">
        <f>IF('PV IN'!$N$10="Yes",-PVLoan!F478,0)</f>
        <v>0</v>
      </c>
      <c r="AG450" s="10">
        <f>IF(AND('PV IN'!$D$35="YES",$C450&lt;='PV IN'!$E$35*12),0,-'PV IN'!$E$18*'PV IN'!$E$34/12)</f>
        <v>-750</v>
      </c>
      <c r="AH450" s="10">
        <f>IF(AND('PV IN'!$D$37="YES",$C450&lt;='PV IN'!$E$37*12),0,-'PV IN'!$E$18*'PV IN'!$E$36/12)</f>
        <v>-625</v>
      </c>
      <c r="AI450" s="2">
        <f>IF(AND('PV IN'!$D$33="YES",PVCalcs!C450=ROUNDUP('PV IN'!$H$33*12,)),-'PV IN'!$E$33*'PV IN'!$E$18,0)</f>
        <v>0</v>
      </c>
      <c r="AK450" s="2">
        <f t="shared" si="110"/>
        <v>8942.1931543171177</v>
      </c>
      <c r="AL450" s="2">
        <f t="shared" si="114"/>
        <v>-1375</v>
      </c>
      <c r="AM450" s="2">
        <f t="shared" si="115"/>
        <v>7567.1931543171177</v>
      </c>
      <c r="AN450" s="43"/>
      <c r="AO450" s="2">
        <f t="shared" si="116"/>
        <v>0</v>
      </c>
      <c r="AP450" s="2">
        <f t="shared" si="117"/>
        <v>-1375</v>
      </c>
      <c r="AR450" s="2">
        <f t="shared" si="118"/>
        <v>-1375</v>
      </c>
      <c r="AS450" s="2">
        <f>-AR450*'PV IN'!$E$8</f>
        <v>288.75</v>
      </c>
      <c r="AT450" s="2">
        <f>IF('PV IN'!$F$4="Battery Only",0,AM450+AS450)</f>
        <v>7855.9431543171177</v>
      </c>
      <c r="AV450" s="10">
        <f t="shared" si="119"/>
        <v>3160970.5464737206</v>
      </c>
      <c r="AW450" s="2">
        <f>AT450/(1+('PV IN'!$G$9))^(C450)</f>
        <v>1281.335081497554</v>
      </c>
      <c r="AX450" s="2" t="e">
        <f>IF(C450&lt;='PV IN'!$O$22*12,AW450+AX449,NA())</f>
        <v>#N/A</v>
      </c>
      <c r="AZ450" s="10">
        <f t="shared" si="120"/>
        <v>-1375</v>
      </c>
      <c r="BA450" s="10">
        <f t="shared" si="111"/>
        <v>0</v>
      </c>
      <c r="BB450" s="10">
        <f t="shared" si="121"/>
        <v>-1375</v>
      </c>
      <c r="BC450" s="10">
        <f t="shared" si="122"/>
        <v>0</v>
      </c>
      <c r="BD450" s="10">
        <f t="shared" si="123"/>
        <v>-1375</v>
      </c>
      <c r="BE450" s="2">
        <f t="shared" si="124"/>
        <v>0</v>
      </c>
      <c r="BF450" s="10">
        <f t="shared" si="125"/>
        <v>-1375</v>
      </c>
      <c r="BG450" s="2">
        <f>-BF450*'PV IN'!$E$8</f>
        <v>288.75</v>
      </c>
      <c r="BH450" s="2">
        <f>IF('PV IN'!$F$4="Battery Only",0,BB450+BG450)</f>
        <v>-1086.25</v>
      </c>
      <c r="BI450" s="2">
        <f>BH450/(1+('PV IN'!$G$9))^(C450)</f>
        <v>-177.17162725545529</v>
      </c>
    </row>
    <row r="451" spans="2:61" x14ac:dyDescent="0.25">
      <c r="C451">
        <v>447</v>
      </c>
      <c r="D451" s="16">
        <f>D450*(1+('PV IN'!$G$6/12))</f>
        <v>7.5999999999999998E-2</v>
      </c>
      <c r="E451" s="16">
        <f>LkUP!$U$50</f>
        <v>7.8896523189157505E-2</v>
      </c>
      <c r="F451" s="16">
        <f>IF('PV IN'!$D$7="Table",E451,D451)</f>
        <v>7.8896523189157505E-2</v>
      </c>
      <c r="G451" s="33">
        <f>('PV IN'!$E$25*'PV IN'!$E$18/12)*(1-(1-'PV IN'!$E$27)/(25*12))^C450</f>
        <v>113265.21538584497</v>
      </c>
      <c r="H451" s="33">
        <f>IF('PV IN'!$D$19="YES",G451*'PV IN'!$E$21,0)</f>
        <v>0</v>
      </c>
      <c r="I451" s="33">
        <f>IF('PV IN'!$D$19="YES",'PV IN'!$E$22*BattCalcs!W451,0)</f>
        <v>0</v>
      </c>
      <c r="J451" s="33">
        <f>IF('PV IN'!$D$19="YES",'PV IN'!$E$23*BattCalcs!Y451,0)</f>
        <v>0</v>
      </c>
      <c r="K451" s="33">
        <f>BattCalcs!AF451</f>
        <v>25811.765833333331</v>
      </c>
      <c r="L451" s="33">
        <f t="shared" si="113"/>
        <v>25811.765833333331</v>
      </c>
      <c r="M451" s="33">
        <f>IF('PV IN'!$F$4="PV Only",G451,G451-SUM(H451:J451,L451))</f>
        <v>113265.21538584497</v>
      </c>
      <c r="N451" s="2">
        <f>IF(C451&lt;='PV IN'!$I$12*12,'PV IN'!$E$12*G451/1000,0)</f>
        <v>0</v>
      </c>
      <c r="O451" s="2">
        <f>IF(AND(C451&gt;'PV IN'!$I$12*12,C451&lt;='PV IN'!$I$13*12+'PV IN'!$I$12*12),'PV IN'!$E$13*PVCalcs!G451/1000,0)</f>
        <v>0</v>
      </c>
      <c r="P451" s="2">
        <f>IF(AND(C451&gt;'PV IN'!$I$12*12+'PV IN'!$I$13*12,C451&lt;='PV IN'!$I$12*12+'PV IN'!$I$13*12+'PV IN'!$I$14*12),'PV IN'!$E$14*PVCalcs!G451/1000,0)</f>
        <v>0</v>
      </c>
      <c r="R451" s="10">
        <f>IF(AND('PV IN'!$D$35="YES",$C451&lt;='PV IN'!$E$35*12),-'PV IN'!$E$18*'PV IN'!$E$34/12,0)</f>
        <v>0</v>
      </c>
      <c r="S451" s="10">
        <f>IF(AND('PV IN'!$D$37="YES",$C451&lt;='PV IN'!$E$37*12),-'PV IN'!$E$18*'PV IN'!$E$36/12,0)</f>
        <v>0</v>
      </c>
      <c r="U451" s="2">
        <f t="shared" si="112"/>
        <v>8936.2316922142381</v>
      </c>
      <c r="V451" s="10">
        <f>PVLoan!M478</f>
        <v>0</v>
      </c>
      <c r="W451" s="2">
        <f>IF(C451='PV IN'!$I$40,IF('PV IN'!$G$40="Non-Taxable",'PV IN'!$F$40,0),0)+IF(C451='PV IN'!$I$41,IF('PV IN'!$G$41="Non-Taxable",'PV IN'!$F$41,0),0)</f>
        <v>0</v>
      </c>
      <c r="X451" s="10"/>
      <c r="Y451" s="10">
        <f>IF('PV IN'!$E$15="Non-Taxable",SUM(N451:P451),0)</f>
        <v>0</v>
      </c>
      <c r="Z451" s="10">
        <f>IF('PV IN'!$E$15="Taxable",SUM(N451:P451),0)</f>
        <v>0</v>
      </c>
      <c r="AA451" s="2">
        <f>IF(C451='PV IN'!$I$40,IF('PV IN'!$G$40="Taxable",'PV IN'!$F$40,0),0)+IF(C451='PV IN'!$I$41,IF('PV IN'!$G$41="Taxable",'PV IN'!$F$41,0),0)</f>
        <v>0</v>
      </c>
      <c r="AD451" s="10">
        <f>IF('PV IN'!$D$48="YES",-U451*'PV IN'!$E$8,0)</f>
        <v>0</v>
      </c>
      <c r="AE451" s="10">
        <f>IF('PV IN'!$N$10="Yes",-PVLoan!H479,-PVLoan!L479)</f>
        <v>0</v>
      </c>
      <c r="AF451" s="10">
        <f>IF('PV IN'!$N$10="Yes",-PVLoan!F479,0)</f>
        <v>0</v>
      </c>
      <c r="AG451" s="10">
        <f>IF(AND('PV IN'!$D$35="YES",$C451&lt;='PV IN'!$E$35*12),0,-'PV IN'!$E$18*'PV IN'!$E$34/12)</f>
        <v>-750</v>
      </c>
      <c r="AH451" s="10">
        <f>IF(AND('PV IN'!$D$37="YES",$C451&lt;='PV IN'!$E$37*12),0,-'PV IN'!$E$18*'PV IN'!$E$36/12)</f>
        <v>-625</v>
      </c>
      <c r="AI451" s="2">
        <f>IF(AND('PV IN'!$D$33="YES",PVCalcs!C451=ROUNDUP('PV IN'!$H$33*12,)),-'PV IN'!$E$33*'PV IN'!$E$18,0)</f>
        <v>0</v>
      </c>
      <c r="AK451" s="2">
        <f t="shared" si="110"/>
        <v>8936.2316922142381</v>
      </c>
      <c r="AL451" s="2">
        <f t="shared" si="114"/>
        <v>-1375</v>
      </c>
      <c r="AM451" s="2">
        <f t="shared" si="115"/>
        <v>7561.2316922142381</v>
      </c>
      <c r="AN451" s="43"/>
      <c r="AO451" s="2">
        <f t="shared" si="116"/>
        <v>0</v>
      </c>
      <c r="AP451" s="2">
        <f t="shared" si="117"/>
        <v>-1375</v>
      </c>
      <c r="AR451" s="2">
        <f t="shared" si="118"/>
        <v>-1375</v>
      </c>
      <c r="AS451" s="2">
        <f>-AR451*'PV IN'!$E$8</f>
        <v>288.75</v>
      </c>
      <c r="AT451" s="2">
        <f>IF('PV IN'!$F$4="Battery Only",0,AM451+AS451)</f>
        <v>7849.9816922142381</v>
      </c>
      <c r="AV451" s="10">
        <f t="shared" si="119"/>
        <v>3168820.5281659346</v>
      </c>
      <c r="AW451" s="2">
        <f>AT451/(1+('PV IN'!$G$9))^(C451)</f>
        <v>1275.1675532349473</v>
      </c>
      <c r="AX451" s="2" t="e">
        <f>IF(C451&lt;='PV IN'!$O$22*12,AW451+AX450,NA())</f>
        <v>#N/A</v>
      </c>
      <c r="AZ451" s="10">
        <f t="shared" si="120"/>
        <v>-1375</v>
      </c>
      <c r="BA451" s="10">
        <f t="shared" si="111"/>
        <v>0</v>
      </c>
      <c r="BB451" s="10">
        <f t="shared" si="121"/>
        <v>-1375</v>
      </c>
      <c r="BC451" s="10">
        <f t="shared" si="122"/>
        <v>0</v>
      </c>
      <c r="BD451" s="10">
        <f t="shared" si="123"/>
        <v>-1375</v>
      </c>
      <c r="BE451" s="2">
        <f t="shared" si="124"/>
        <v>0</v>
      </c>
      <c r="BF451" s="10">
        <f t="shared" si="125"/>
        <v>-1375</v>
      </c>
      <c r="BG451" s="2">
        <f>-BF451*'PV IN'!$E$8</f>
        <v>288.75</v>
      </c>
      <c r="BH451" s="2">
        <f>IF('PV IN'!$F$4="Battery Only",0,BB451+BG451)</f>
        <v>-1086.25</v>
      </c>
      <c r="BI451" s="2">
        <f>BH451/(1+('PV IN'!$G$9))^(C451)</f>
        <v>-176.45273696310406</v>
      </c>
    </row>
    <row r="452" spans="2:61" x14ac:dyDescent="0.25">
      <c r="C452">
        <v>448</v>
      </c>
      <c r="D452" s="16">
        <f>D451*(1+('PV IN'!$G$6/12))</f>
        <v>7.5999999999999998E-2</v>
      </c>
      <c r="E452" s="16">
        <f>LkUP!$U$50</f>
        <v>7.8896523189157505E-2</v>
      </c>
      <c r="F452" s="16">
        <f>IF('PV IN'!$D$7="Table",E452,D452)</f>
        <v>7.8896523189157505E-2</v>
      </c>
      <c r="G452" s="33">
        <f>('PV IN'!$E$25*'PV IN'!$E$18/12)*(1-(1-'PV IN'!$E$27)/(25*12))^C451</f>
        <v>113189.70524225444</v>
      </c>
      <c r="H452" s="33">
        <f>IF('PV IN'!$D$19="YES",G452*'PV IN'!$E$21,0)</f>
        <v>0</v>
      </c>
      <c r="I452" s="33">
        <f>IF('PV IN'!$D$19="YES",'PV IN'!$E$22*BattCalcs!W452,0)</f>
        <v>0</v>
      </c>
      <c r="J452" s="33">
        <f>IF('PV IN'!$D$19="YES",'PV IN'!$E$23*BattCalcs!Y452,0)</f>
        <v>0</v>
      </c>
      <c r="K452" s="33">
        <f>BattCalcs!AF452</f>
        <v>25811.765833333331</v>
      </c>
      <c r="L452" s="33">
        <f t="shared" si="113"/>
        <v>25811.765833333331</v>
      </c>
      <c r="M452" s="33">
        <f>IF('PV IN'!$F$4="PV Only",G452,G452-SUM(H452:J452,L452))</f>
        <v>113189.70524225444</v>
      </c>
      <c r="N452" s="2">
        <f>IF(C452&lt;='PV IN'!$I$12*12,'PV IN'!$E$12*G452/1000,0)</f>
        <v>0</v>
      </c>
      <c r="O452" s="2">
        <f>IF(AND(C452&gt;'PV IN'!$I$12*12,C452&lt;='PV IN'!$I$13*12+'PV IN'!$I$12*12),'PV IN'!$E$13*PVCalcs!G452/1000,0)</f>
        <v>0</v>
      </c>
      <c r="P452" s="2">
        <f>IF(AND(C452&gt;'PV IN'!$I$12*12+'PV IN'!$I$13*12,C452&lt;='PV IN'!$I$12*12+'PV IN'!$I$13*12+'PV IN'!$I$14*12),'PV IN'!$E$14*PVCalcs!G452/1000,0)</f>
        <v>0</v>
      </c>
      <c r="R452" s="10">
        <f>IF(AND('PV IN'!$D$35="YES",$C452&lt;='PV IN'!$E$35*12),-'PV IN'!$E$18*'PV IN'!$E$34/12,0)</f>
        <v>0</v>
      </c>
      <c r="S452" s="10">
        <f>IF(AND('PV IN'!$D$37="YES",$C452&lt;='PV IN'!$E$37*12),-'PV IN'!$E$18*'PV IN'!$E$36/12,0)</f>
        <v>0</v>
      </c>
      <c r="U452" s="2">
        <f t="shared" si="112"/>
        <v>8930.2742044194292</v>
      </c>
      <c r="V452" s="10">
        <f>PVLoan!M479</f>
        <v>0</v>
      </c>
      <c r="W452" s="2">
        <f>IF(C452='PV IN'!$I$40,IF('PV IN'!$G$40="Non-Taxable",'PV IN'!$F$40,0),0)+IF(C452='PV IN'!$I$41,IF('PV IN'!$G$41="Non-Taxable",'PV IN'!$F$41,0),0)</f>
        <v>0</v>
      </c>
      <c r="X452" s="10"/>
      <c r="Y452" s="10">
        <f>IF('PV IN'!$E$15="Non-Taxable",SUM(N452:P452),0)</f>
        <v>0</v>
      </c>
      <c r="Z452" s="10">
        <f>IF('PV IN'!$E$15="Taxable",SUM(N452:P452),0)</f>
        <v>0</v>
      </c>
      <c r="AA452" s="2">
        <f>IF(C452='PV IN'!$I$40,IF('PV IN'!$G$40="Taxable",'PV IN'!$F$40,0),0)+IF(C452='PV IN'!$I$41,IF('PV IN'!$G$41="Taxable",'PV IN'!$F$41,0),0)</f>
        <v>0</v>
      </c>
      <c r="AD452" s="10">
        <f>IF('PV IN'!$D$48="YES",-U452*'PV IN'!$E$8,0)</f>
        <v>0</v>
      </c>
      <c r="AE452" s="10">
        <f>IF('PV IN'!$N$10="Yes",-PVLoan!H480,-PVLoan!L480)</f>
        <v>0</v>
      </c>
      <c r="AF452" s="10">
        <f>IF('PV IN'!$N$10="Yes",-PVLoan!F480,0)</f>
        <v>0</v>
      </c>
      <c r="AG452" s="10">
        <f>IF(AND('PV IN'!$D$35="YES",$C452&lt;='PV IN'!$E$35*12),0,-'PV IN'!$E$18*'PV IN'!$E$34/12)</f>
        <v>-750</v>
      </c>
      <c r="AH452" s="10">
        <f>IF(AND('PV IN'!$D$37="YES",$C452&lt;='PV IN'!$E$37*12),0,-'PV IN'!$E$18*'PV IN'!$E$36/12)</f>
        <v>-625</v>
      </c>
      <c r="AI452" s="2">
        <f>IF(AND('PV IN'!$D$33="YES",PVCalcs!C452=ROUNDUP('PV IN'!$H$33*12,)),-'PV IN'!$E$33*'PV IN'!$E$18,0)</f>
        <v>0</v>
      </c>
      <c r="AK452" s="2">
        <f t="shared" ref="AK452:AK484" si="126">SUM(U452:AA452)</f>
        <v>8930.2742044194292</v>
      </c>
      <c r="AL452" s="2">
        <f t="shared" si="114"/>
        <v>-1375</v>
      </c>
      <c r="AM452" s="2">
        <f t="shared" si="115"/>
        <v>7555.2742044194292</v>
      </c>
      <c r="AN452" s="43"/>
      <c r="AO452" s="2">
        <f t="shared" si="116"/>
        <v>0</v>
      </c>
      <c r="AP452" s="2">
        <f t="shared" si="117"/>
        <v>-1375</v>
      </c>
      <c r="AR452" s="2">
        <f t="shared" si="118"/>
        <v>-1375</v>
      </c>
      <c r="AS452" s="2">
        <f>-AR452*'PV IN'!$E$8</f>
        <v>288.75</v>
      </c>
      <c r="AT452" s="2">
        <f>IF('PV IN'!$F$4="Battery Only",0,AM452+AS452)</f>
        <v>7844.0242044194292</v>
      </c>
      <c r="AV452" s="10">
        <f t="shared" si="119"/>
        <v>3176664.5523703541</v>
      </c>
      <c r="AW452" s="2">
        <f>AT452/(1+('PV IN'!$G$9))^(C452)</f>
        <v>1269.0296226071969</v>
      </c>
      <c r="AX452" s="2" t="e">
        <f>IF(C452&lt;='PV IN'!$O$22*12,AW452+AX451,NA())</f>
        <v>#N/A</v>
      </c>
      <c r="AZ452" s="10">
        <f t="shared" si="120"/>
        <v>-1375</v>
      </c>
      <c r="BA452" s="10">
        <f t="shared" ref="BA452:BA484" si="127">AK452-U452</f>
        <v>0</v>
      </c>
      <c r="BB452" s="10">
        <f t="shared" si="121"/>
        <v>-1375</v>
      </c>
      <c r="BC452" s="10">
        <f t="shared" si="122"/>
        <v>0</v>
      </c>
      <c r="BD452" s="10">
        <f t="shared" si="123"/>
        <v>-1375</v>
      </c>
      <c r="BE452" s="2">
        <f t="shared" si="124"/>
        <v>0</v>
      </c>
      <c r="BF452" s="10">
        <f t="shared" si="125"/>
        <v>-1375</v>
      </c>
      <c r="BG452" s="2">
        <f>-BF452*'PV IN'!$E$8</f>
        <v>288.75</v>
      </c>
      <c r="BH452" s="2">
        <f>IF('PV IN'!$F$4="Battery Only",0,BB452+BG452)</f>
        <v>-1086.25</v>
      </c>
      <c r="BI452" s="2">
        <f>BH452/(1+('PV IN'!$G$9))^(C452)</f>
        <v>-175.73676363471844</v>
      </c>
    </row>
    <row r="453" spans="2:61" x14ac:dyDescent="0.25">
      <c r="C453">
        <v>449</v>
      </c>
      <c r="D453" s="16">
        <f>D452*(1+('PV IN'!$G$6/12))</f>
        <v>7.5999999999999998E-2</v>
      </c>
      <c r="E453" s="16">
        <f>LkUP!$U$50</f>
        <v>7.8896523189157505E-2</v>
      </c>
      <c r="F453" s="16">
        <f>IF('PV IN'!$D$7="Table",E453,D453)</f>
        <v>7.8896523189157505E-2</v>
      </c>
      <c r="G453" s="33">
        <f>('PV IN'!$E$25*'PV IN'!$E$18/12)*(1-(1-'PV IN'!$E$27)/(25*12))^C452</f>
        <v>113114.24543875956</v>
      </c>
      <c r="H453" s="33">
        <f>IF('PV IN'!$D$19="YES",G453*'PV IN'!$E$21,0)</f>
        <v>0</v>
      </c>
      <c r="I453" s="33">
        <f>IF('PV IN'!$D$19="YES",'PV IN'!$E$22*BattCalcs!W453,0)</f>
        <v>0</v>
      </c>
      <c r="J453" s="33">
        <f>IF('PV IN'!$D$19="YES",'PV IN'!$E$23*BattCalcs!Y453,0)</f>
        <v>0</v>
      </c>
      <c r="K453" s="33">
        <f>BattCalcs!AF453</f>
        <v>25811.765833333331</v>
      </c>
      <c r="L453" s="33">
        <f t="shared" si="113"/>
        <v>25811.765833333331</v>
      </c>
      <c r="M453" s="33">
        <f>IF('PV IN'!$F$4="PV Only",G453,G453-SUM(H453:J453,L453))</f>
        <v>113114.24543875956</v>
      </c>
      <c r="N453" s="2">
        <f>IF(C453&lt;='PV IN'!$I$12*12,'PV IN'!$E$12*G453/1000,0)</f>
        <v>0</v>
      </c>
      <c r="O453" s="2">
        <f>IF(AND(C453&gt;'PV IN'!$I$12*12,C453&lt;='PV IN'!$I$13*12+'PV IN'!$I$12*12),'PV IN'!$E$13*PVCalcs!G453/1000,0)</f>
        <v>0</v>
      </c>
      <c r="P453" s="2">
        <f>IF(AND(C453&gt;'PV IN'!$I$12*12+'PV IN'!$I$13*12,C453&lt;='PV IN'!$I$12*12+'PV IN'!$I$13*12+'PV IN'!$I$14*12),'PV IN'!$E$14*PVCalcs!G453/1000,0)</f>
        <v>0</v>
      </c>
      <c r="R453" s="10">
        <f>IF(AND('PV IN'!$D$35="YES",$C453&lt;='PV IN'!$E$35*12),-'PV IN'!$E$18*'PV IN'!$E$34/12,0)</f>
        <v>0</v>
      </c>
      <c r="S453" s="10">
        <f>IF(AND('PV IN'!$D$37="YES",$C453&lt;='PV IN'!$E$37*12),-'PV IN'!$E$18*'PV IN'!$E$36/12,0)</f>
        <v>0</v>
      </c>
      <c r="U453" s="2">
        <f t="shared" si="112"/>
        <v>8924.3206882831473</v>
      </c>
      <c r="V453" s="10">
        <f>PVLoan!M480</f>
        <v>0</v>
      </c>
      <c r="W453" s="2">
        <f>IF(C453='PV IN'!$I$40,IF('PV IN'!$G$40="Non-Taxable",'PV IN'!$F$40,0),0)+IF(C453='PV IN'!$I$41,IF('PV IN'!$G$41="Non-Taxable",'PV IN'!$F$41,0),0)</f>
        <v>0</v>
      </c>
      <c r="X453" s="10"/>
      <c r="Y453" s="10">
        <f>IF('PV IN'!$E$15="Non-Taxable",SUM(N453:P453),0)</f>
        <v>0</v>
      </c>
      <c r="Z453" s="10">
        <f>IF('PV IN'!$E$15="Taxable",SUM(N453:P453),0)</f>
        <v>0</v>
      </c>
      <c r="AA453" s="2">
        <f>IF(C453='PV IN'!$I$40,IF('PV IN'!$G$40="Taxable",'PV IN'!$F$40,0),0)+IF(C453='PV IN'!$I$41,IF('PV IN'!$G$41="Taxable",'PV IN'!$F$41,0),0)</f>
        <v>0</v>
      </c>
      <c r="AD453" s="10">
        <f>IF('PV IN'!$D$48="YES",-U453*'PV IN'!$E$8,0)</f>
        <v>0</v>
      </c>
      <c r="AE453" s="10">
        <f>IF('PV IN'!$N$10="Yes",-PVLoan!H481,-PVLoan!L481)</f>
        <v>0</v>
      </c>
      <c r="AF453" s="10">
        <f>IF('PV IN'!$N$10="Yes",-PVLoan!F481,0)</f>
        <v>0</v>
      </c>
      <c r="AG453" s="10">
        <f>IF(AND('PV IN'!$D$35="YES",$C453&lt;='PV IN'!$E$35*12),0,-'PV IN'!$E$18*'PV IN'!$E$34/12)</f>
        <v>-750</v>
      </c>
      <c r="AH453" s="10">
        <f>IF(AND('PV IN'!$D$37="YES",$C453&lt;='PV IN'!$E$37*12),0,-'PV IN'!$E$18*'PV IN'!$E$36/12)</f>
        <v>-625</v>
      </c>
      <c r="AI453" s="2">
        <f>IF(AND('PV IN'!$D$33="YES",PVCalcs!C453=ROUNDUP('PV IN'!$H$33*12,)),-'PV IN'!$E$33*'PV IN'!$E$18,0)</f>
        <v>0</v>
      </c>
      <c r="AK453" s="2">
        <f t="shared" si="126"/>
        <v>8924.3206882831473</v>
      </c>
      <c r="AL453" s="2">
        <f t="shared" si="114"/>
        <v>-1375</v>
      </c>
      <c r="AM453" s="2">
        <f t="shared" si="115"/>
        <v>7549.3206882831473</v>
      </c>
      <c r="AN453" s="43"/>
      <c r="AO453" s="2">
        <f t="shared" si="116"/>
        <v>0</v>
      </c>
      <c r="AP453" s="2">
        <f t="shared" si="117"/>
        <v>-1375</v>
      </c>
      <c r="AR453" s="2">
        <f t="shared" si="118"/>
        <v>-1375</v>
      </c>
      <c r="AS453" s="2">
        <f>-AR453*'PV IN'!$E$8</f>
        <v>288.75</v>
      </c>
      <c r="AT453" s="2">
        <f>IF('PV IN'!$F$4="Battery Only",0,AM453+AS453)</f>
        <v>7838.0706882831473</v>
      </c>
      <c r="AV453" s="10">
        <f t="shared" si="119"/>
        <v>3184502.6230586371</v>
      </c>
      <c r="AW453" s="2">
        <f>AT453/(1+('PV IN'!$G$9))^(C453)</f>
        <v>1262.9211479307119</v>
      </c>
      <c r="AX453" s="2" t="e">
        <f>IF(C453&lt;='PV IN'!$O$22*12,AW453+AX452,NA())</f>
        <v>#N/A</v>
      </c>
      <c r="AZ453" s="10">
        <f t="shared" si="120"/>
        <v>-1375</v>
      </c>
      <c r="BA453" s="10">
        <f t="shared" si="127"/>
        <v>0</v>
      </c>
      <c r="BB453" s="10">
        <f t="shared" si="121"/>
        <v>-1375</v>
      </c>
      <c r="BC453" s="10">
        <f t="shared" si="122"/>
        <v>0</v>
      </c>
      <c r="BD453" s="10">
        <f t="shared" si="123"/>
        <v>-1375</v>
      </c>
      <c r="BE453" s="2">
        <f t="shared" si="124"/>
        <v>0</v>
      </c>
      <c r="BF453" s="10">
        <f t="shared" si="125"/>
        <v>-1375</v>
      </c>
      <c r="BG453" s="2">
        <f>-BF453*'PV IN'!$E$8</f>
        <v>288.75</v>
      </c>
      <c r="BH453" s="2">
        <f>IF('PV IN'!$F$4="Battery Only",0,BB453+BG453)</f>
        <v>-1086.25</v>
      </c>
      <c r="BI453" s="2">
        <f>BH453/(1+('PV IN'!$G$9))^(C453)</f>
        <v>-175.02369543444695</v>
      </c>
    </row>
    <row r="454" spans="2:61" x14ac:dyDescent="0.25">
      <c r="C454">
        <v>450</v>
      </c>
      <c r="D454" s="16">
        <f>D453*(1+('PV IN'!$G$6/12))</f>
        <v>7.5999999999999998E-2</v>
      </c>
      <c r="E454" s="16">
        <f>LkUP!$U$50</f>
        <v>7.8896523189157505E-2</v>
      </c>
      <c r="F454" s="16">
        <f>IF('PV IN'!$D$7="Table",E454,D454)</f>
        <v>7.8896523189157505E-2</v>
      </c>
      <c r="G454" s="33">
        <f>('PV IN'!$E$25*'PV IN'!$E$18/12)*(1-(1-'PV IN'!$E$27)/(25*12))^C453</f>
        <v>113038.8359418004</v>
      </c>
      <c r="H454" s="33">
        <f>IF('PV IN'!$D$19="YES",G454*'PV IN'!$E$21,0)</f>
        <v>0</v>
      </c>
      <c r="I454" s="33">
        <f>IF('PV IN'!$D$19="YES",'PV IN'!$E$22*BattCalcs!W454,0)</f>
        <v>0</v>
      </c>
      <c r="J454" s="33">
        <f>IF('PV IN'!$D$19="YES",'PV IN'!$E$23*BattCalcs!Y454,0)</f>
        <v>0</v>
      </c>
      <c r="K454" s="33">
        <f>BattCalcs!AF454</f>
        <v>25811.765833333331</v>
      </c>
      <c r="L454" s="33">
        <f t="shared" si="113"/>
        <v>25811.765833333331</v>
      </c>
      <c r="M454" s="33">
        <f>IF('PV IN'!$F$4="PV Only",G454,G454-SUM(H454:J454,L454))</f>
        <v>113038.8359418004</v>
      </c>
      <c r="N454" s="2">
        <f>IF(C454&lt;='PV IN'!$I$12*12,'PV IN'!$E$12*G454/1000,0)</f>
        <v>0</v>
      </c>
      <c r="O454" s="2">
        <f>IF(AND(C454&gt;'PV IN'!$I$12*12,C454&lt;='PV IN'!$I$13*12+'PV IN'!$I$12*12),'PV IN'!$E$13*PVCalcs!G454/1000,0)</f>
        <v>0</v>
      </c>
      <c r="P454" s="2">
        <f>IF(AND(C454&gt;'PV IN'!$I$12*12+'PV IN'!$I$13*12,C454&lt;='PV IN'!$I$12*12+'PV IN'!$I$13*12+'PV IN'!$I$14*12),'PV IN'!$E$14*PVCalcs!G454/1000,0)</f>
        <v>0</v>
      </c>
      <c r="R454" s="10">
        <f>IF(AND('PV IN'!$D$35="YES",$C454&lt;='PV IN'!$E$35*12),-'PV IN'!$E$18*'PV IN'!$E$34/12,0)</f>
        <v>0</v>
      </c>
      <c r="S454" s="10">
        <f>IF(AND('PV IN'!$D$37="YES",$C454&lt;='PV IN'!$E$37*12),-'PV IN'!$E$18*'PV IN'!$E$36/12,0)</f>
        <v>0</v>
      </c>
      <c r="U454" s="2">
        <f t="shared" ref="U454:U484" si="128">F454*M454</f>
        <v>8918.371141157626</v>
      </c>
      <c r="V454" s="10">
        <f>PVLoan!M481</f>
        <v>0</v>
      </c>
      <c r="W454" s="2">
        <f>IF(C454='PV IN'!$I$40,IF('PV IN'!$G$40="Non-Taxable",'PV IN'!$F$40,0),0)+IF(C454='PV IN'!$I$41,IF('PV IN'!$G$41="Non-Taxable",'PV IN'!$F$41,0),0)</f>
        <v>0</v>
      </c>
      <c r="X454" s="10"/>
      <c r="Y454" s="10">
        <f>IF('PV IN'!$E$15="Non-Taxable",SUM(N454:P454),0)</f>
        <v>0</v>
      </c>
      <c r="Z454" s="10">
        <f>IF('PV IN'!$E$15="Taxable",SUM(N454:P454),0)</f>
        <v>0</v>
      </c>
      <c r="AA454" s="2">
        <f>IF(C454='PV IN'!$I$40,IF('PV IN'!$G$40="Taxable",'PV IN'!$F$40,0),0)+IF(C454='PV IN'!$I$41,IF('PV IN'!$G$41="Taxable",'PV IN'!$F$41,0),0)</f>
        <v>0</v>
      </c>
      <c r="AD454" s="10">
        <f>IF('PV IN'!$D$48="YES",-U454*'PV IN'!$E$8,0)</f>
        <v>0</v>
      </c>
      <c r="AE454" s="10">
        <f>IF('PV IN'!$N$10="Yes",-PVLoan!H482,-PVLoan!L482)</f>
        <v>0</v>
      </c>
      <c r="AF454" s="10">
        <f>IF('PV IN'!$N$10="Yes",-PVLoan!F482,0)</f>
        <v>0</v>
      </c>
      <c r="AG454" s="10">
        <f>IF(AND('PV IN'!$D$35="YES",$C454&lt;='PV IN'!$E$35*12),0,-'PV IN'!$E$18*'PV IN'!$E$34/12)</f>
        <v>-750</v>
      </c>
      <c r="AH454" s="10">
        <f>IF(AND('PV IN'!$D$37="YES",$C454&lt;='PV IN'!$E$37*12),0,-'PV IN'!$E$18*'PV IN'!$E$36/12)</f>
        <v>-625</v>
      </c>
      <c r="AI454" s="2">
        <f>IF(AND('PV IN'!$D$33="YES",PVCalcs!C454=ROUNDUP('PV IN'!$H$33*12,)),-'PV IN'!$E$33*'PV IN'!$E$18,0)</f>
        <v>0</v>
      </c>
      <c r="AK454" s="2">
        <f t="shared" si="126"/>
        <v>8918.371141157626</v>
      </c>
      <c r="AL454" s="2">
        <f t="shared" si="114"/>
        <v>-1375</v>
      </c>
      <c r="AM454" s="2">
        <f t="shared" si="115"/>
        <v>7543.371141157626</v>
      </c>
      <c r="AN454" s="43"/>
      <c r="AO454" s="2">
        <f t="shared" si="116"/>
        <v>0</v>
      </c>
      <c r="AP454" s="2">
        <f t="shared" si="117"/>
        <v>-1375</v>
      </c>
      <c r="AR454" s="2">
        <f t="shared" si="118"/>
        <v>-1375</v>
      </c>
      <c r="AS454" s="2">
        <f>-AR454*'PV IN'!$E$8</f>
        <v>288.75</v>
      </c>
      <c r="AT454" s="2">
        <f>IF('PV IN'!$F$4="Battery Only",0,AM454+AS454)</f>
        <v>7832.121141157626</v>
      </c>
      <c r="AV454" s="10">
        <f t="shared" si="119"/>
        <v>3192334.7441997947</v>
      </c>
      <c r="AW454" s="2">
        <f>AT454/(1+('PV IN'!$G$9))^(C454)</f>
        <v>1256.8419881987268</v>
      </c>
      <c r="AX454" s="2" t="e">
        <f>IF(C454&lt;='PV IN'!$O$22*12,AW454+AX453,NA())</f>
        <v>#N/A</v>
      </c>
      <c r="AZ454" s="10">
        <f t="shared" si="120"/>
        <v>-1375</v>
      </c>
      <c r="BA454" s="10">
        <f t="shared" si="127"/>
        <v>0</v>
      </c>
      <c r="BB454" s="10">
        <f t="shared" si="121"/>
        <v>-1375</v>
      </c>
      <c r="BC454" s="10">
        <f t="shared" si="122"/>
        <v>0</v>
      </c>
      <c r="BD454" s="10">
        <f t="shared" si="123"/>
        <v>-1375</v>
      </c>
      <c r="BE454" s="2">
        <f t="shared" si="124"/>
        <v>0</v>
      </c>
      <c r="BF454" s="10">
        <f t="shared" si="125"/>
        <v>-1375</v>
      </c>
      <c r="BG454" s="2">
        <f>-BF454*'PV IN'!$E$8</f>
        <v>288.75</v>
      </c>
      <c r="BH454" s="2">
        <f>IF('PV IN'!$F$4="Battery Only",0,BB454+BG454)</f>
        <v>-1086.25</v>
      </c>
      <c r="BI454" s="2">
        <f>BH454/(1+('PV IN'!$G$9))^(C454)</f>
        <v>-174.31352057446304</v>
      </c>
    </row>
    <row r="455" spans="2:61" x14ac:dyDescent="0.25">
      <c r="C455">
        <v>451</v>
      </c>
      <c r="D455" s="16">
        <f>D454*(1+('PV IN'!$G$6/12))</f>
        <v>7.5999999999999998E-2</v>
      </c>
      <c r="E455" s="16">
        <f>LkUP!$U$50</f>
        <v>7.8896523189157505E-2</v>
      </c>
      <c r="F455" s="16">
        <f>IF('PV IN'!$D$7="Table",E455,D455)</f>
        <v>7.8896523189157505E-2</v>
      </c>
      <c r="G455" s="33">
        <f>('PV IN'!$E$25*'PV IN'!$E$18/12)*(1-(1-'PV IN'!$E$27)/(25*12))^C454</f>
        <v>112963.47671783919</v>
      </c>
      <c r="H455" s="33">
        <f>IF('PV IN'!$D$19="YES",G455*'PV IN'!$E$21,0)</f>
        <v>0</v>
      </c>
      <c r="I455" s="33">
        <f>IF('PV IN'!$D$19="YES",'PV IN'!$E$22*BattCalcs!W455,0)</f>
        <v>0</v>
      </c>
      <c r="J455" s="33">
        <f>IF('PV IN'!$D$19="YES",'PV IN'!$E$23*BattCalcs!Y455,0)</f>
        <v>0</v>
      </c>
      <c r="K455" s="33">
        <f>BattCalcs!AF455</f>
        <v>25811.765833333331</v>
      </c>
      <c r="L455" s="33">
        <f t="shared" si="113"/>
        <v>25811.765833333331</v>
      </c>
      <c r="M455" s="33">
        <f>IF('PV IN'!$F$4="PV Only",G455,G455-SUM(H455:J455,L455))</f>
        <v>112963.47671783919</v>
      </c>
      <c r="N455" s="2">
        <f>IF(C455&lt;='PV IN'!$I$12*12,'PV IN'!$E$12*G455/1000,0)</f>
        <v>0</v>
      </c>
      <c r="O455" s="2">
        <f>IF(AND(C455&gt;'PV IN'!$I$12*12,C455&lt;='PV IN'!$I$13*12+'PV IN'!$I$12*12),'PV IN'!$E$13*PVCalcs!G455/1000,0)</f>
        <v>0</v>
      </c>
      <c r="P455" s="2">
        <f>IF(AND(C455&gt;'PV IN'!$I$12*12+'PV IN'!$I$13*12,C455&lt;='PV IN'!$I$12*12+'PV IN'!$I$13*12+'PV IN'!$I$14*12),'PV IN'!$E$14*PVCalcs!G455/1000,0)</f>
        <v>0</v>
      </c>
      <c r="R455" s="10">
        <f>IF(AND('PV IN'!$D$35="YES",$C455&lt;='PV IN'!$E$35*12),-'PV IN'!$E$18*'PV IN'!$E$34/12,0)</f>
        <v>0</v>
      </c>
      <c r="S455" s="10">
        <f>IF(AND('PV IN'!$D$37="YES",$C455&lt;='PV IN'!$E$37*12),-'PV IN'!$E$18*'PV IN'!$E$36/12,0)</f>
        <v>0</v>
      </c>
      <c r="U455" s="2">
        <f t="shared" si="128"/>
        <v>8912.4255603968541</v>
      </c>
      <c r="V455" s="10">
        <f>PVLoan!M482</f>
        <v>0</v>
      </c>
      <c r="W455" s="2">
        <f>IF(C455='PV IN'!$I$40,IF('PV IN'!$G$40="Non-Taxable",'PV IN'!$F$40,0),0)+IF(C455='PV IN'!$I$41,IF('PV IN'!$G$41="Non-Taxable",'PV IN'!$F$41,0),0)</f>
        <v>0</v>
      </c>
      <c r="X455" s="10"/>
      <c r="Y455" s="10">
        <f>IF('PV IN'!$E$15="Non-Taxable",SUM(N455:P455),0)</f>
        <v>0</v>
      </c>
      <c r="Z455" s="10">
        <f>IF('PV IN'!$E$15="Taxable",SUM(N455:P455),0)</f>
        <v>0</v>
      </c>
      <c r="AA455" s="2">
        <f>IF(C455='PV IN'!$I$40,IF('PV IN'!$G$40="Taxable",'PV IN'!$F$40,0),0)+IF(C455='PV IN'!$I$41,IF('PV IN'!$G$41="Taxable",'PV IN'!$F$41,0),0)</f>
        <v>0</v>
      </c>
      <c r="AD455" s="10">
        <f>IF('PV IN'!$D$48="YES",-U455*'PV IN'!$E$8,0)</f>
        <v>0</v>
      </c>
      <c r="AE455" s="10">
        <f>IF('PV IN'!$N$10="Yes",-PVLoan!H483,-PVLoan!L483)</f>
        <v>0</v>
      </c>
      <c r="AF455" s="10">
        <f>IF('PV IN'!$N$10="Yes",-PVLoan!F483,0)</f>
        <v>0</v>
      </c>
      <c r="AG455" s="10">
        <f>IF(AND('PV IN'!$D$35="YES",$C455&lt;='PV IN'!$E$35*12),0,-'PV IN'!$E$18*'PV IN'!$E$34/12)</f>
        <v>-750</v>
      </c>
      <c r="AH455" s="10">
        <f>IF(AND('PV IN'!$D$37="YES",$C455&lt;='PV IN'!$E$37*12),0,-'PV IN'!$E$18*'PV IN'!$E$36/12)</f>
        <v>-625</v>
      </c>
      <c r="AI455" s="2">
        <f>IF(AND('PV IN'!$D$33="YES",PVCalcs!C455=ROUNDUP('PV IN'!$H$33*12,)),-'PV IN'!$E$33*'PV IN'!$E$18,0)</f>
        <v>0</v>
      </c>
      <c r="AK455" s="2">
        <f t="shared" si="126"/>
        <v>8912.4255603968541</v>
      </c>
      <c r="AL455" s="2">
        <f t="shared" si="114"/>
        <v>-1375</v>
      </c>
      <c r="AM455" s="2">
        <f t="shared" si="115"/>
        <v>7537.4255603968541</v>
      </c>
      <c r="AN455" s="43"/>
      <c r="AO455" s="2">
        <f t="shared" si="116"/>
        <v>0</v>
      </c>
      <c r="AP455" s="2">
        <f t="shared" si="117"/>
        <v>-1375</v>
      </c>
      <c r="AR455" s="2">
        <f t="shared" si="118"/>
        <v>-1375</v>
      </c>
      <c r="AS455" s="2">
        <f>-AR455*'PV IN'!$E$8</f>
        <v>288.75</v>
      </c>
      <c r="AT455" s="2">
        <f>IF('PV IN'!$F$4="Battery Only",0,AM455+AS455)</f>
        <v>7826.1755603968541</v>
      </c>
      <c r="AV455" s="10">
        <f t="shared" si="119"/>
        <v>3200160.9197601913</v>
      </c>
      <c r="AW455" s="2">
        <f>AT455/(1+('PV IN'!$G$9))^(C455)</f>
        <v>1250.7920030780733</v>
      </c>
      <c r="AX455" s="2" t="e">
        <f>IF(C455&lt;='PV IN'!$O$22*12,AW455+AX454,NA())</f>
        <v>#N/A</v>
      </c>
      <c r="AZ455" s="10">
        <f t="shared" si="120"/>
        <v>-1375</v>
      </c>
      <c r="BA455" s="10">
        <f t="shared" si="127"/>
        <v>0</v>
      </c>
      <c r="BB455" s="10">
        <f t="shared" si="121"/>
        <v>-1375</v>
      </c>
      <c r="BC455" s="10">
        <f t="shared" si="122"/>
        <v>0</v>
      </c>
      <c r="BD455" s="10">
        <f t="shared" si="123"/>
        <v>-1375</v>
      </c>
      <c r="BE455" s="2">
        <f t="shared" si="124"/>
        <v>0</v>
      </c>
      <c r="BF455" s="10">
        <f t="shared" si="125"/>
        <v>-1375</v>
      </c>
      <c r="BG455" s="2">
        <f>-BF455*'PV IN'!$E$8</f>
        <v>288.75</v>
      </c>
      <c r="BH455" s="2">
        <f>IF('PV IN'!$F$4="Battery Only",0,BB455+BG455)</f>
        <v>-1086.25</v>
      </c>
      <c r="BI455" s="2">
        <f>BH455/(1+('PV IN'!$G$9))^(C455)</f>
        <v>-173.60622731477045</v>
      </c>
    </row>
    <row r="456" spans="2:61" x14ac:dyDescent="0.25">
      <c r="C456">
        <v>452</v>
      </c>
      <c r="D456" s="16">
        <f>D455*(1+('PV IN'!$G$6/12))</f>
        <v>7.5999999999999998E-2</v>
      </c>
      <c r="E456" s="16">
        <f>LkUP!$U$50</f>
        <v>7.8896523189157505E-2</v>
      </c>
      <c r="F456" s="16">
        <f>IF('PV IN'!$D$7="Table",E456,D456)</f>
        <v>7.8896523189157505E-2</v>
      </c>
      <c r="G456" s="33">
        <f>('PV IN'!$E$25*'PV IN'!$E$18/12)*(1-(1-'PV IN'!$E$27)/(25*12))^C455</f>
        <v>112888.16773336063</v>
      </c>
      <c r="H456" s="33">
        <f>IF('PV IN'!$D$19="YES",G456*'PV IN'!$E$21,0)</f>
        <v>0</v>
      </c>
      <c r="I456" s="33">
        <f>IF('PV IN'!$D$19="YES",'PV IN'!$E$22*BattCalcs!W456,0)</f>
        <v>0</v>
      </c>
      <c r="J456" s="33">
        <f>IF('PV IN'!$D$19="YES",'PV IN'!$E$23*BattCalcs!Y456,0)</f>
        <v>0</v>
      </c>
      <c r="K456" s="33">
        <f>BattCalcs!AF456</f>
        <v>25811.765833333331</v>
      </c>
      <c r="L456" s="33">
        <f t="shared" si="113"/>
        <v>25811.765833333331</v>
      </c>
      <c r="M456" s="33">
        <f>IF('PV IN'!$F$4="PV Only",G456,G456-SUM(H456:J456,L456))</f>
        <v>112888.16773336063</v>
      </c>
      <c r="N456" s="2">
        <f>IF(C456&lt;='PV IN'!$I$12*12,'PV IN'!$E$12*G456/1000,0)</f>
        <v>0</v>
      </c>
      <c r="O456" s="2">
        <f>IF(AND(C456&gt;'PV IN'!$I$12*12,C456&lt;='PV IN'!$I$13*12+'PV IN'!$I$12*12),'PV IN'!$E$13*PVCalcs!G456/1000,0)</f>
        <v>0</v>
      </c>
      <c r="P456" s="2">
        <f>IF(AND(C456&gt;'PV IN'!$I$12*12+'PV IN'!$I$13*12,C456&lt;='PV IN'!$I$12*12+'PV IN'!$I$13*12+'PV IN'!$I$14*12),'PV IN'!$E$14*PVCalcs!G456/1000,0)</f>
        <v>0</v>
      </c>
      <c r="R456" s="10">
        <f>IF(AND('PV IN'!$D$35="YES",$C456&lt;='PV IN'!$E$35*12),-'PV IN'!$E$18*'PV IN'!$E$34/12,0)</f>
        <v>0</v>
      </c>
      <c r="S456" s="10">
        <f>IF(AND('PV IN'!$D$37="YES",$C456&lt;='PV IN'!$E$37*12),-'PV IN'!$E$18*'PV IN'!$E$36/12,0)</f>
        <v>0</v>
      </c>
      <c r="U456" s="2">
        <f t="shared" si="128"/>
        <v>8906.4839433565885</v>
      </c>
      <c r="V456" s="10">
        <f>PVLoan!M483</f>
        <v>0</v>
      </c>
      <c r="W456" s="2">
        <f>IF(C456='PV IN'!$I$40,IF('PV IN'!$G$40="Non-Taxable",'PV IN'!$F$40,0),0)+IF(C456='PV IN'!$I$41,IF('PV IN'!$G$41="Non-Taxable",'PV IN'!$F$41,0),0)</f>
        <v>0</v>
      </c>
      <c r="X456" s="10"/>
      <c r="Y456" s="10">
        <f>IF('PV IN'!$E$15="Non-Taxable",SUM(N456:P456),0)</f>
        <v>0</v>
      </c>
      <c r="Z456" s="10">
        <f>IF('PV IN'!$E$15="Taxable",SUM(N456:P456),0)</f>
        <v>0</v>
      </c>
      <c r="AA456" s="2">
        <f>IF(C456='PV IN'!$I$40,IF('PV IN'!$G$40="Taxable",'PV IN'!$F$40,0),0)+IF(C456='PV IN'!$I$41,IF('PV IN'!$G$41="Taxable",'PV IN'!$F$41,0),0)</f>
        <v>0</v>
      </c>
      <c r="AD456" s="10">
        <f>IF('PV IN'!$D$48="YES",-U456*'PV IN'!$E$8,0)</f>
        <v>0</v>
      </c>
      <c r="AE456" s="10">
        <f>IF('PV IN'!$N$10="Yes",-PVLoan!H484,-PVLoan!L484)</f>
        <v>0</v>
      </c>
      <c r="AF456" s="10">
        <f>IF('PV IN'!$N$10="Yes",-PVLoan!F484,0)</f>
        <v>0</v>
      </c>
      <c r="AG456" s="10">
        <f>IF(AND('PV IN'!$D$35="YES",$C456&lt;='PV IN'!$E$35*12),0,-'PV IN'!$E$18*'PV IN'!$E$34/12)</f>
        <v>-750</v>
      </c>
      <c r="AH456" s="10">
        <f>IF(AND('PV IN'!$D$37="YES",$C456&lt;='PV IN'!$E$37*12),0,-'PV IN'!$E$18*'PV IN'!$E$36/12)</f>
        <v>-625</v>
      </c>
      <c r="AI456" s="2">
        <f>IF(AND('PV IN'!$D$33="YES",PVCalcs!C456=ROUNDUP('PV IN'!$H$33*12,)),-'PV IN'!$E$33*'PV IN'!$E$18,0)</f>
        <v>0</v>
      </c>
      <c r="AK456" s="2">
        <f t="shared" si="126"/>
        <v>8906.4839433565885</v>
      </c>
      <c r="AL456" s="2">
        <f t="shared" si="114"/>
        <v>-1375</v>
      </c>
      <c r="AM456" s="2">
        <f t="shared" si="115"/>
        <v>7531.4839433565885</v>
      </c>
      <c r="AN456" s="43"/>
      <c r="AO456" s="2">
        <f t="shared" si="116"/>
        <v>0</v>
      </c>
      <c r="AP456" s="2">
        <f t="shared" si="117"/>
        <v>-1375</v>
      </c>
      <c r="AR456" s="2">
        <f t="shared" si="118"/>
        <v>-1375</v>
      </c>
      <c r="AS456" s="2">
        <f>-AR456*'PV IN'!$E$8</f>
        <v>288.75</v>
      </c>
      <c r="AT456" s="2">
        <f>IF('PV IN'!$F$4="Battery Only",0,AM456+AS456)</f>
        <v>7820.2339433565885</v>
      </c>
      <c r="AV456" s="10">
        <f t="shared" si="119"/>
        <v>3207981.153703548</v>
      </c>
      <c r="AW456" s="2">
        <f>AT456/(1+('PV IN'!$G$9))^(C456)</f>
        <v>1244.7710529059702</v>
      </c>
      <c r="AX456" s="2" t="e">
        <f>IF(C456&lt;='PV IN'!$O$22*12,AW456+AX455,NA())</f>
        <v>#N/A</v>
      </c>
      <c r="AZ456" s="10">
        <f t="shared" si="120"/>
        <v>-1375</v>
      </c>
      <c r="BA456" s="10">
        <f t="shared" si="127"/>
        <v>0</v>
      </c>
      <c r="BB456" s="10">
        <f t="shared" si="121"/>
        <v>-1375</v>
      </c>
      <c r="BC456" s="10">
        <f t="shared" si="122"/>
        <v>0</v>
      </c>
      <c r="BD456" s="10">
        <f t="shared" si="123"/>
        <v>-1375</v>
      </c>
      <c r="BE456" s="2">
        <f t="shared" si="124"/>
        <v>0</v>
      </c>
      <c r="BF456" s="10">
        <f t="shared" si="125"/>
        <v>-1375</v>
      </c>
      <c r="BG456" s="2">
        <f>-BF456*'PV IN'!$E$8</f>
        <v>288.75</v>
      </c>
      <c r="BH456" s="2">
        <f>IF('PV IN'!$F$4="Battery Only",0,BB456+BG456)</f>
        <v>-1086.25</v>
      </c>
      <c r="BI456" s="2">
        <f>BH456/(1+('PV IN'!$G$9))^(C456)</f>
        <v>-172.90180396300906</v>
      </c>
    </row>
    <row r="457" spans="2:61" x14ac:dyDescent="0.25">
      <c r="C457">
        <v>453</v>
      </c>
      <c r="D457" s="16">
        <f>D456*(1+('PV IN'!$G$6/12))</f>
        <v>7.5999999999999998E-2</v>
      </c>
      <c r="E457" s="16">
        <f>LkUP!$U$50</f>
        <v>7.8896523189157505E-2</v>
      </c>
      <c r="F457" s="16">
        <f>IF('PV IN'!$D$7="Table",E457,D457)</f>
        <v>7.8896523189157505E-2</v>
      </c>
      <c r="G457" s="33">
        <f>('PV IN'!$E$25*'PV IN'!$E$18/12)*(1-(1-'PV IN'!$E$27)/(25*12))^C456</f>
        <v>112812.90895487172</v>
      </c>
      <c r="H457" s="33">
        <f>IF('PV IN'!$D$19="YES",G457*'PV IN'!$E$21,0)</f>
        <v>0</v>
      </c>
      <c r="I457" s="33">
        <f>IF('PV IN'!$D$19="YES",'PV IN'!$E$22*BattCalcs!W457,0)</f>
        <v>0</v>
      </c>
      <c r="J457" s="33">
        <f>IF('PV IN'!$D$19="YES",'PV IN'!$E$23*BattCalcs!Y457,0)</f>
        <v>0</v>
      </c>
      <c r="K457" s="33">
        <f>BattCalcs!AF457</f>
        <v>25811.765833333331</v>
      </c>
      <c r="L457" s="33">
        <f t="shared" si="113"/>
        <v>25811.765833333331</v>
      </c>
      <c r="M457" s="33">
        <f>IF('PV IN'!$F$4="PV Only",G457,G457-SUM(H457:J457,L457))</f>
        <v>112812.90895487172</v>
      </c>
      <c r="N457" s="2">
        <f>IF(C457&lt;='PV IN'!$I$12*12,'PV IN'!$E$12*G457/1000,0)</f>
        <v>0</v>
      </c>
      <c r="O457" s="2">
        <f>IF(AND(C457&gt;'PV IN'!$I$12*12,C457&lt;='PV IN'!$I$13*12+'PV IN'!$I$12*12),'PV IN'!$E$13*PVCalcs!G457/1000,0)</f>
        <v>0</v>
      </c>
      <c r="P457" s="2">
        <f>IF(AND(C457&gt;'PV IN'!$I$12*12+'PV IN'!$I$13*12,C457&lt;='PV IN'!$I$12*12+'PV IN'!$I$13*12+'PV IN'!$I$14*12),'PV IN'!$E$14*PVCalcs!G457/1000,0)</f>
        <v>0</v>
      </c>
      <c r="R457" s="10">
        <f>IF(AND('PV IN'!$D$35="YES",$C457&lt;='PV IN'!$E$35*12),-'PV IN'!$E$18*'PV IN'!$E$34/12,0)</f>
        <v>0</v>
      </c>
      <c r="S457" s="10">
        <f>IF(AND('PV IN'!$D$37="YES",$C457&lt;='PV IN'!$E$37*12),-'PV IN'!$E$18*'PV IN'!$E$36/12,0)</f>
        <v>0</v>
      </c>
      <c r="U457" s="2">
        <f t="shared" si="128"/>
        <v>8900.5462873943507</v>
      </c>
      <c r="V457" s="10">
        <f>PVLoan!M484</f>
        <v>0</v>
      </c>
      <c r="W457" s="2">
        <f>IF(C457='PV IN'!$I$40,IF('PV IN'!$G$40="Non-Taxable",'PV IN'!$F$40,0),0)+IF(C457='PV IN'!$I$41,IF('PV IN'!$G$41="Non-Taxable",'PV IN'!$F$41,0),0)</f>
        <v>0</v>
      </c>
      <c r="X457" s="10"/>
      <c r="Y457" s="10">
        <f>IF('PV IN'!$E$15="Non-Taxable",SUM(N457:P457),0)</f>
        <v>0</v>
      </c>
      <c r="Z457" s="10">
        <f>IF('PV IN'!$E$15="Taxable",SUM(N457:P457),0)</f>
        <v>0</v>
      </c>
      <c r="AA457" s="2">
        <f>IF(C457='PV IN'!$I$40,IF('PV IN'!$G$40="Taxable",'PV IN'!$F$40,0),0)+IF(C457='PV IN'!$I$41,IF('PV IN'!$G$41="Taxable",'PV IN'!$F$41,0),0)</f>
        <v>0</v>
      </c>
      <c r="AD457" s="10">
        <f>IF('PV IN'!$D$48="YES",-U457*'PV IN'!$E$8,0)</f>
        <v>0</v>
      </c>
      <c r="AE457" s="10">
        <f>IF('PV IN'!$N$10="Yes",-PVLoan!H485,-PVLoan!L485)</f>
        <v>0</v>
      </c>
      <c r="AF457" s="10">
        <f>IF('PV IN'!$N$10="Yes",-PVLoan!F485,0)</f>
        <v>0</v>
      </c>
      <c r="AG457" s="10">
        <f>IF(AND('PV IN'!$D$35="YES",$C457&lt;='PV IN'!$E$35*12),0,-'PV IN'!$E$18*'PV IN'!$E$34/12)</f>
        <v>-750</v>
      </c>
      <c r="AH457" s="10">
        <f>IF(AND('PV IN'!$D$37="YES",$C457&lt;='PV IN'!$E$37*12),0,-'PV IN'!$E$18*'PV IN'!$E$36/12)</f>
        <v>-625</v>
      </c>
      <c r="AI457" s="2">
        <f>IF(AND('PV IN'!$D$33="YES",PVCalcs!C457=ROUNDUP('PV IN'!$H$33*12,)),-'PV IN'!$E$33*'PV IN'!$E$18,0)</f>
        <v>0</v>
      </c>
      <c r="AK457" s="2">
        <f t="shared" si="126"/>
        <v>8900.5462873943507</v>
      </c>
      <c r="AL457" s="2">
        <f t="shared" si="114"/>
        <v>-1375</v>
      </c>
      <c r="AM457" s="2">
        <f t="shared" si="115"/>
        <v>7525.5462873943507</v>
      </c>
      <c r="AN457" s="43"/>
      <c r="AO457" s="2">
        <f t="shared" si="116"/>
        <v>0</v>
      </c>
      <c r="AP457" s="2">
        <f t="shared" si="117"/>
        <v>-1375</v>
      </c>
      <c r="AR457" s="2">
        <f t="shared" si="118"/>
        <v>-1375</v>
      </c>
      <c r="AS457" s="2">
        <f>-AR457*'PV IN'!$E$8</f>
        <v>288.75</v>
      </c>
      <c r="AT457" s="2">
        <f>IF('PV IN'!$F$4="Battery Only",0,AM457+AS457)</f>
        <v>7814.2962873943507</v>
      </c>
      <c r="AV457" s="10">
        <f t="shared" si="119"/>
        <v>3215795.4499909421</v>
      </c>
      <c r="AW457" s="2">
        <f>AT457/(1+('PV IN'!$G$9))^(C457)</f>
        <v>1238.7789986868236</v>
      </c>
      <c r="AX457" s="2" t="e">
        <f>IF(C457&lt;='PV IN'!$O$22*12,AW457+AX456,NA())</f>
        <v>#N/A</v>
      </c>
      <c r="AZ457" s="10">
        <f t="shared" si="120"/>
        <v>-1375</v>
      </c>
      <c r="BA457" s="10">
        <f t="shared" si="127"/>
        <v>0</v>
      </c>
      <c r="BB457" s="10">
        <f t="shared" si="121"/>
        <v>-1375</v>
      </c>
      <c r="BC457" s="10">
        <f t="shared" si="122"/>
        <v>0</v>
      </c>
      <c r="BD457" s="10">
        <f t="shared" si="123"/>
        <v>-1375</v>
      </c>
      <c r="BE457" s="2">
        <f t="shared" si="124"/>
        <v>0</v>
      </c>
      <c r="BF457" s="10">
        <f t="shared" si="125"/>
        <v>-1375</v>
      </c>
      <c r="BG457" s="2">
        <f>-BF457*'PV IN'!$E$8</f>
        <v>288.75</v>
      </c>
      <c r="BH457" s="2">
        <f>IF('PV IN'!$F$4="Battery Only",0,BB457+BG457)</f>
        <v>-1086.25</v>
      </c>
      <c r="BI457" s="2">
        <f>BH457/(1+('PV IN'!$G$9))^(C457)</f>
        <v>-172.20023887426152</v>
      </c>
    </row>
    <row r="458" spans="2:61" x14ac:dyDescent="0.25">
      <c r="C458">
        <v>454</v>
      </c>
      <c r="D458" s="16">
        <f>D457*(1+('PV IN'!$G$6/12))</f>
        <v>7.5999999999999998E-2</v>
      </c>
      <c r="E458" s="16">
        <f>LkUP!$U$50</f>
        <v>7.8896523189157505E-2</v>
      </c>
      <c r="F458" s="16">
        <f>IF('PV IN'!$D$7="Table",E458,D458)</f>
        <v>7.8896523189157505E-2</v>
      </c>
      <c r="G458" s="33">
        <f>('PV IN'!$E$25*'PV IN'!$E$18/12)*(1-(1-'PV IN'!$E$27)/(25*12))^C457</f>
        <v>112737.70034890181</v>
      </c>
      <c r="H458" s="33">
        <f>IF('PV IN'!$D$19="YES",G458*'PV IN'!$E$21,0)</f>
        <v>0</v>
      </c>
      <c r="I458" s="33">
        <f>IF('PV IN'!$D$19="YES",'PV IN'!$E$22*BattCalcs!W458,0)</f>
        <v>0</v>
      </c>
      <c r="J458" s="33">
        <f>IF('PV IN'!$D$19="YES",'PV IN'!$E$23*BattCalcs!Y458,0)</f>
        <v>0</v>
      </c>
      <c r="K458" s="33">
        <f>BattCalcs!AF458</f>
        <v>25811.765833333331</v>
      </c>
      <c r="L458" s="33">
        <f t="shared" si="113"/>
        <v>25811.765833333331</v>
      </c>
      <c r="M458" s="33">
        <f>IF('PV IN'!$F$4="PV Only",G458,G458-SUM(H458:J458,L458))</f>
        <v>112737.70034890181</v>
      </c>
      <c r="N458" s="2">
        <f>IF(C458&lt;='PV IN'!$I$12*12,'PV IN'!$E$12*G458/1000,0)</f>
        <v>0</v>
      </c>
      <c r="O458" s="2">
        <f>IF(AND(C458&gt;'PV IN'!$I$12*12,C458&lt;='PV IN'!$I$13*12+'PV IN'!$I$12*12),'PV IN'!$E$13*PVCalcs!G458/1000,0)</f>
        <v>0</v>
      </c>
      <c r="P458" s="2">
        <f>IF(AND(C458&gt;'PV IN'!$I$12*12+'PV IN'!$I$13*12,C458&lt;='PV IN'!$I$12*12+'PV IN'!$I$13*12+'PV IN'!$I$14*12),'PV IN'!$E$14*PVCalcs!G458/1000,0)</f>
        <v>0</v>
      </c>
      <c r="R458" s="10">
        <f>IF(AND('PV IN'!$D$35="YES",$C458&lt;='PV IN'!$E$35*12),-'PV IN'!$E$18*'PV IN'!$E$34/12,0)</f>
        <v>0</v>
      </c>
      <c r="S458" s="10">
        <f>IF(AND('PV IN'!$D$37="YES",$C458&lt;='PV IN'!$E$37*12),-'PV IN'!$E$18*'PV IN'!$E$36/12,0)</f>
        <v>0</v>
      </c>
      <c r="U458" s="2">
        <f t="shared" si="128"/>
        <v>8894.6125898694227</v>
      </c>
      <c r="V458" s="10">
        <f>PVLoan!M485</f>
        <v>0</v>
      </c>
      <c r="W458" s="2">
        <f>IF(C458='PV IN'!$I$40,IF('PV IN'!$G$40="Non-Taxable",'PV IN'!$F$40,0),0)+IF(C458='PV IN'!$I$41,IF('PV IN'!$G$41="Non-Taxable",'PV IN'!$F$41,0),0)</f>
        <v>0</v>
      </c>
      <c r="X458" s="10"/>
      <c r="Y458" s="10">
        <f>IF('PV IN'!$E$15="Non-Taxable",SUM(N458:P458),0)</f>
        <v>0</v>
      </c>
      <c r="Z458" s="10">
        <f>IF('PV IN'!$E$15="Taxable",SUM(N458:P458),0)</f>
        <v>0</v>
      </c>
      <c r="AA458" s="2">
        <f>IF(C458='PV IN'!$I$40,IF('PV IN'!$G$40="Taxable",'PV IN'!$F$40,0),0)+IF(C458='PV IN'!$I$41,IF('PV IN'!$G$41="Taxable",'PV IN'!$F$41,0),0)</f>
        <v>0</v>
      </c>
      <c r="AD458" s="10">
        <f>IF('PV IN'!$D$48="YES",-U458*'PV IN'!$E$8,0)</f>
        <v>0</v>
      </c>
      <c r="AE458" s="10">
        <f>IF('PV IN'!$N$10="Yes",-PVLoan!H486,-PVLoan!L486)</f>
        <v>0</v>
      </c>
      <c r="AF458" s="10">
        <f>IF('PV IN'!$N$10="Yes",-PVLoan!F486,0)</f>
        <v>0</v>
      </c>
      <c r="AG458" s="10">
        <f>IF(AND('PV IN'!$D$35="YES",$C458&lt;='PV IN'!$E$35*12),0,-'PV IN'!$E$18*'PV IN'!$E$34/12)</f>
        <v>-750</v>
      </c>
      <c r="AH458" s="10">
        <f>IF(AND('PV IN'!$D$37="YES",$C458&lt;='PV IN'!$E$37*12),0,-'PV IN'!$E$18*'PV IN'!$E$36/12)</f>
        <v>-625</v>
      </c>
      <c r="AI458" s="2">
        <f>IF(AND('PV IN'!$D$33="YES",PVCalcs!C458=ROUNDUP('PV IN'!$H$33*12,)),-'PV IN'!$E$33*'PV IN'!$E$18,0)</f>
        <v>0</v>
      </c>
      <c r="AK458" s="2">
        <f t="shared" si="126"/>
        <v>8894.6125898694227</v>
      </c>
      <c r="AL458" s="2">
        <f t="shared" si="114"/>
        <v>-1375</v>
      </c>
      <c r="AM458" s="2">
        <f t="shared" si="115"/>
        <v>7519.6125898694227</v>
      </c>
      <c r="AN458" s="43"/>
      <c r="AO458" s="2">
        <f t="shared" si="116"/>
        <v>0</v>
      </c>
      <c r="AP458" s="2">
        <f t="shared" si="117"/>
        <v>-1375</v>
      </c>
      <c r="AR458" s="2">
        <f t="shared" si="118"/>
        <v>-1375</v>
      </c>
      <c r="AS458" s="2">
        <f>-AR458*'PV IN'!$E$8</f>
        <v>288.75</v>
      </c>
      <c r="AT458" s="2">
        <f>IF('PV IN'!$F$4="Battery Only",0,AM458+AS458)</f>
        <v>7808.3625898694227</v>
      </c>
      <c r="AV458" s="10">
        <f t="shared" si="119"/>
        <v>3223603.8125808118</v>
      </c>
      <c r="AW458" s="2">
        <f>AT458/(1+('PV IN'!$G$9))^(C458)</f>
        <v>1232.8157020890467</v>
      </c>
      <c r="AX458" s="2" t="e">
        <f>IF(C458&lt;='PV IN'!$O$22*12,AW458+AX457,NA())</f>
        <v>#N/A</v>
      </c>
      <c r="AZ458" s="10">
        <f t="shared" si="120"/>
        <v>-1375</v>
      </c>
      <c r="BA458" s="10">
        <f t="shared" si="127"/>
        <v>0</v>
      </c>
      <c r="BB458" s="10">
        <f t="shared" si="121"/>
        <v>-1375</v>
      </c>
      <c r="BC458" s="10">
        <f t="shared" si="122"/>
        <v>0</v>
      </c>
      <c r="BD458" s="10">
        <f t="shared" si="123"/>
        <v>-1375</v>
      </c>
      <c r="BE458" s="2">
        <f t="shared" si="124"/>
        <v>0</v>
      </c>
      <c r="BF458" s="10">
        <f t="shared" si="125"/>
        <v>-1375</v>
      </c>
      <c r="BG458" s="2">
        <f>-BF458*'PV IN'!$E$8</f>
        <v>288.75</v>
      </c>
      <c r="BH458" s="2">
        <f>IF('PV IN'!$F$4="Battery Only",0,BB458+BG458)</f>
        <v>-1086.25</v>
      </c>
      <c r="BI458" s="2">
        <f>BH458/(1+('PV IN'!$G$9))^(C458)</f>
        <v>-171.50152045086077</v>
      </c>
    </row>
    <row r="459" spans="2:61" x14ac:dyDescent="0.25">
      <c r="C459">
        <v>455</v>
      </c>
      <c r="D459" s="16">
        <f>D458*(1+('PV IN'!$G$6/12))</f>
        <v>7.5999999999999998E-2</v>
      </c>
      <c r="E459" s="16">
        <f>LkUP!$U$50</f>
        <v>7.8896523189157505E-2</v>
      </c>
      <c r="F459" s="16">
        <f>IF('PV IN'!$D$7="Table",E459,D459)</f>
        <v>7.8896523189157505E-2</v>
      </c>
      <c r="G459" s="33">
        <f>('PV IN'!$E$25*'PV IN'!$E$18/12)*(1-(1-'PV IN'!$E$27)/(25*12))^C458</f>
        <v>112662.54188200252</v>
      </c>
      <c r="H459" s="33">
        <f>IF('PV IN'!$D$19="YES",G459*'PV IN'!$E$21,0)</f>
        <v>0</v>
      </c>
      <c r="I459" s="33">
        <f>IF('PV IN'!$D$19="YES",'PV IN'!$E$22*BattCalcs!W459,0)</f>
        <v>0</v>
      </c>
      <c r="J459" s="33">
        <f>IF('PV IN'!$D$19="YES",'PV IN'!$E$23*BattCalcs!Y459,0)</f>
        <v>0</v>
      </c>
      <c r="K459" s="33">
        <f>BattCalcs!AF459</f>
        <v>25811.765833333331</v>
      </c>
      <c r="L459" s="33">
        <f t="shared" si="113"/>
        <v>25811.765833333331</v>
      </c>
      <c r="M459" s="33">
        <f>IF('PV IN'!$F$4="PV Only",G459,G459-SUM(H459:J459,L459))</f>
        <v>112662.54188200252</v>
      </c>
      <c r="N459" s="2">
        <f>IF(C459&lt;='PV IN'!$I$12*12,'PV IN'!$E$12*G459/1000,0)</f>
        <v>0</v>
      </c>
      <c r="O459" s="2">
        <f>IF(AND(C459&gt;'PV IN'!$I$12*12,C459&lt;='PV IN'!$I$13*12+'PV IN'!$I$12*12),'PV IN'!$E$13*PVCalcs!G459/1000,0)</f>
        <v>0</v>
      </c>
      <c r="P459" s="2">
        <f>IF(AND(C459&gt;'PV IN'!$I$12*12+'PV IN'!$I$13*12,C459&lt;='PV IN'!$I$12*12+'PV IN'!$I$13*12+'PV IN'!$I$14*12),'PV IN'!$E$14*PVCalcs!G459/1000,0)</f>
        <v>0</v>
      </c>
      <c r="R459" s="10">
        <f>IF(AND('PV IN'!$D$35="YES",$C459&lt;='PV IN'!$E$35*12),-'PV IN'!$E$18*'PV IN'!$E$34/12,0)</f>
        <v>0</v>
      </c>
      <c r="S459" s="10">
        <f>IF(AND('PV IN'!$D$37="YES",$C459&lt;='PV IN'!$E$37*12),-'PV IN'!$E$18*'PV IN'!$E$36/12,0)</f>
        <v>0</v>
      </c>
      <c r="U459" s="2">
        <f t="shared" si="128"/>
        <v>8888.6828481428402</v>
      </c>
      <c r="V459" s="10">
        <f>PVLoan!M486</f>
        <v>0</v>
      </c>
      <c r="W459" s="2">
        <f>IF(C459='PV IN'!$I$40,IF('PV IN'!$G$40="Non-Taxable",'PV IN'!$F$40,0),0)+IF(C459='PV IN'!$I$41,IF('PV IN'!$G$41="Non-Taxable",'PV IN'!$F$41,0),0)</f>
        <v>0</v>
      </c>
      <c r="X459" s="10"/>
      <c r="Y459" s="10">
        <f>IF('PV IN'!$E$15="Non-Taxable",SUM(N459:P459),0)</f>
        <v>0</v>
      </c>
      <c r="Z459" s="10">
        <f>IF('PV IN'!$E$15="Taxable",SUM(N459:P459),0)</f>
        <v>0</v>
      </c>
      <c r="AA459" s="2">
        <f>IF(C459='PV IN'!$I$40,IF('PV IN'!$G$40="Taxable",'PV IN'!$F$40,0),0)+IF(C459='PV IN'!$I$41,IF('PV IN'!$G$41="Taxable",'PV IN'!$F$41,0),0)</f>
        <v>0</v>
      </c>
      <c r="AD459" s="10">
        <f>IF('PV IN'!$D$48="YES",-U459*'PV IN'!$E$8,0)</f>
        <v>0</v>
      </c>
      <c r="AE459" s="10">
        <f>IF('PV IN'!$N$10="Yes",-PVLoan!H487,-PVLoan!L487)</f>
        <v>0</v>
      </c>
      <c r="AF459" s="10">
        <f>IF('PV IN'!$N$10="Yes",-PVLoan!F487,0)</f>
        <v>0</v>
      </c>
      <c r="AG459" s="10">
        <f>IF(AND('PV IN'!$D$35="YES",$C459&lt;='PV IN'!$E$35*12),0,-'PV IN'!$E$18*'PV IN'!$E$34/12)</f>
        <v>-750</v>
      </c>
      <c r="AH459" s="10">
        <f>IF(AND('PV IN'!$D$37="YES",$C459&lt;='PV IN'!$E$37*12),0,-'PV IN'!$E$18*'PV IN'!$E$36/12)</f>
        <v>-625</v>
      </c>
      <c r="AI459" s="2">
        <f>IF(AND('PV IN'!$D$33="YES",PVCalcs!C459=ROUNDUP('PV IN'!$H$33*12,)),-'PV IN'!$E$33*'PV IN'!$E$18,0)</f>
        <v>0</v>
      </c>
      <c r="AK459" s="2">
        <f t="shared" si="126"/>
        <v>8888.6828481428402</v>
      </c>
      <c r="AL459" s="2">
        <f t="shared" si="114"/>
        <v>-1375</v>
      </c>
      <c r="AM459" s="2">
        <f t="shared" si="115"/>
        <v>7513.6828481428402</v>
      </c>
      <c r="AN459" s="43"/>
      <c r="AO459" s="2">
        <f t="shared" si="116"/>
        <v>0</v>
      </c>
      <c r="AP459" s="2">
        <f t="shared" si="117"/>
        <v>-1375</v>
      </c>
      <c r="AR459" s="2">
        <f t="shared" si="118"/>
        <v>-1375</v>
      </c>
      <c r="AS459" s="2">
        <f>-AR459*'PV IN'!$E$8</f>
        <v>288.75</v>
      </c>
      <c r="AT459" s="2">
        <f>IF('PV IN'!$F$4="Battery Only",0,AM459+AS459)</f>
        <v>7802.4328481428402</v>
      </c>
      <c r="AV459" s="10">
        <f t="shared" si="119"/>
        <v>3231406.2454289547</v>
      </c>
      <c r="AW459" s="2">
        <f>AT459/(1+('PV IN'!$G$9))^(C459)</f>
        <v>1226.8810254418934</v>
      </c>
      <c r="AX459" s="2" t="e">
        <f>IF(C459&lt;='PV IN'!$O$22*12,AW459+AX458,NA())</f>
        <v>#N/A</v>
      </c>
      <c r="AZ459" s="10">
        <f t="shared" si="120"/>
        <v>-1375</v>
      </c>
      <c r="BA459" s="10">
        <f t="shared" si="127"/>
        <v>0</v>
      </c>
      <c r="BB459" s="10">
        <f t="shared" si="121"/>
        <v>-1375</v>
      </c>
      <c r="BC459" s="10">
        <f t="shared" si="122"/>
        <v>0</v>
      </c>
      <c r="BD459" s="10">
        <f t="shared" si="123"/>
        <v>-1375</v>
      </c>
      <c r="BE459" s="2">
        <f t="shared" si="124"/>
        <v>0</v>
      </c>
      <c r="BF459" s="10">
        <f t="shared" si="125"/>
        <v>-1375</v>
      </c>
      <c r="BG459" s="2">
        <f>-BF459*'PV IN'!$E$8</f>
        <v>288.75</v>
      </c>
      <c r="BH459" s="2">
        <f>IF('PV IN'!$F$4="Battery Only",0,BB459+BG459)</f>
        <v>-1086.25</v>
      </c>
      <c r="BI459" s="2">
        <f>BH459/(1+('PV IN'!$G$9))^(C459)</f>
        <v>-170.80563714219855</v>
      </c>
    </row>
    <row r="460" spans="2:61" x14ac:dyDescent="0.25">
      <c r="B460">
        <v>38</v>
      </c>
      <c r="C460">
        <v>456</v>
      </c>
      <c r="D460" s="16">
        <f>D459*(1+('PV IN'!$G$6/12))</f>
        <v>7.5999999999999998E-2</v>
      </c>
      <c r="E460" s="16">
        <f>LkUP!$U$50</f>
        <v>7.8896523189157505E-2</v>
      </c>
      <c r="F460" s="16">
        <f>IF('PV IN'!$D$7="Table",E460,D460)</f>
        <v>7.8896523189157505E-2</v>
      </c>
      <c r="G460" s="33">
        <f>('PV IN'!$E$25*'PV IN'!$E$18/12)*(1-(1-'PV IN'!$E$27)/(25*12))^C459</f>
        <v>112587.43352074786</v>
      </c>
      <c r="H460" s="33">
        <f>IF('PV IN'!$D$19="YES",G460*'PV IN'!$E$21,0)</f>
        <v>0</v>
      </c>
      <c r="I460" s="33">
        <f>IF('PV IN'!$D$19="YES",'PV IN'!$E$22*BattCalcs!W460,0)</f>
        <v>0</v>
      </c>
      <c r="J460" s="33">
        <f>IF('PV IN'!$D$19="YES",'PV IN'!$E$23*BattCalcs!Y460,0)</f>
        <v>0</v>
      </c>
      <c r="K460" s="33">
        <f>BattCalcs!AF460</f>
        <v>25811.765833333331</v>
      </c>
      <c r="L460" s="33">
        <f t="shared" si="113"/>
        <v>25811.765833333331</v>
      </c>
      <c r="M460" s="33">
        <f>IF('PV IN'!$F$4="PV Only",G460,G460-SUM(H460:J460,L460))</f>
        <v>112587.43352074786</v>
      </c>
      <c r="N460" s="2">
        <f>IF(C460&lt;='PV IN'!$I$12*12,'PV IN'!$E$12*G460/1000,0)</f>
        <v>0</v>
      </c>
      <c r="O460" s="2">
        <f>IF(AND(C460&gt;'PV IN'!$I$12*12,C460&lt;='PV IN'!$I$13*12+'PV IN'!$I$12*12),'PV IN'!$E$13*PVCalcs!G460/1000,0)</f>
        <v>0</v>
      </c>
      <c r="P460" s="2">
        <f>IF(AND(C460&gt;'PV IN'!$I$12*12+'PV IN'!$I$13*12,C460&lt;='PV IN'!$I$12*12+'PV IN'!$I$13*12+'PV IN'!$I$14*12),'PV IN'!$E$14*PVCalcs!G460/1000,0)</f>
        <v>0</v>
      </c>
      <c r="R460" s="10">
        <f>IF(AND('PV IN'!$D$35="YES",$C460&lt;='PV IN'!$E$35*12),-'PV IN'!$E$18*'PV IN'!$E$34/12,0)</f>
        <v>0</v>
      </c>
      <c r="S460" s="10">
        <f>IF(AND('PV IN'!$D$37="YES",$C460&lt;='PV IN'!$E$37*12),-'PV IN'!$E$18*'PV IN'!$E$36/12,0)</f>
        <v>0</v>
      </c>
      <c r="U460" s="2">
        <f t="shared" si="128"/>
        <v>8882.7570595774123</v>
      </c>
      <c r="V460" s="10">
        <f>PVLoan!M487</f>
        <v>0</v>
      </c>
      <c r="W460" s="2">
        <f>IF(C460='PV IN'!$I$40,IF('PV IN'!$G$40="Non-Taxable",'PV IN'!$F$40,0),0)+IF(C460='PV IN'!$I$41,IF('PV IN'!$G$41="Non-Taxable",'PV IN'!$F$41,0),0)</f>
        <v>0</v>
      </c>
      <c r="X460" s="10"/>
      <c r="Y460" s="10">
        <f>IF('PV IN'!$E$15="Non-Taxable",SUM(N460:P460),0)</f>
        <v>0</v>
      </c>
      <c r="Z460" s="10">
        <f>IF('PV IN'!$E$15="Taxable",SUM(N460:P460),0)</f>
        <v>0</v>
      </c>
      <c r="AA460" s="2">
        <f>IF(C460='PV IN'!$I$40,IF('PV IN'!$G$40="Taxable",'PV IN'!$F$40,0),0)+IF(C460='PV IN'!$I$41,IF('PV IN'!$G$41="Taxable",'PV IN'!$F$41,0),0)</f>
        <v>0</v>
      </c>
      <c r="AD460" s="10">
        <f>IF('PV IN'!$D$48="YES",-U460*'PV IN'!$E$8,0)</f>
        <v>0</v>
      </c>
      <c r="AE460" s="10">
        <f>IF('PV IN'!$N$10="Yes",-PVLoan!H488,-PVLoan!L488)</f>
        <v>0</v>
      </c>
      <c r="AF460" s="10">
        <f>IF('PV IN'!$N$10="Yes",-PVLoan!F488,0)</f>
        <v>0</v>
      </c>
      <c r="AG460" s="10">
        <f>IF(AND('PV IN'!$D$35="YES",$C460&lt;='PV IN'!$E$35*12),0,-'PV IN'!$E$18*'PV IN'!$E$34/12)</f>
        <v>-750</v>
      </c>
      <c r="AH460" s="10">
        <f>IF(AND('PV IN'!$D$37="YES",$C460&lt;='PV IN'!$E$37*12),0,-'PV IN'!$E$18*'PV IN'!$E$36/12)</f>
        <v>-625</v>
      </c>
      <c r="AI460" s="2">
        <f>IF(AND('PV IN'!$D$33="YES",PVCalcs!C460=ROUNDUP('PV IN'!$H$33*12,)),-'PV IN'!$E$33*'PV IN'!$E$18,0)</f>
        <v>0</v>
      </c>
      <c r="AK460" s="2">
        <f t="shared" si="126"/>
        <v>8882.7570595774123</v>
      </c>
      <c r="AL460" s="2">
        <f t="shared" si="114"/>
        <v>-1375</v>
      </c>
      <c r="AM460" s="2">
        <f t="shared" si="115"/>
        <v>7507.7570595774123</v>
      </c>
      <c r="AN460" s="43"/>
      <c r="AO460" s="2">
        <f t="shared" si="116"/>
        <v>0</v>
      </c>
      <c r="AP460" s="2">
        <f t="shared" si="117"/>
        <v>-1375</v>
      </c>
      <c r="AR460" s="2">
        <f t="shared" si="118"/>
        <v>-1375</v>
      </c>
      <c r="AS460" s="2">
        <f>-AR460*'PV IN'!$E$8</f>
        <v>288.75</v>
      </c>
      <c r="AT460" s="2">
        <f>IF('PV IN'!$F$4="Battery Only",0,AM460+AS460)</f>
        <v>7796.5070595774123</v>
      </c>
      <c r="AV460" s="10">
        <f t="shared" si="119"/>
        <v>3239202.7524885321</v>
      </c>
      <c r="AW460" s="2">
        <f>AT460/(1+('PV IN'!$G$9))^(C460)</f>
        <v>1220.9748317323074</v>
      </c>
      <c r="AX460" s="2" t="e">
        <f>IF(C460&lt;='PV IN'!$O$22*12,AW460+AX459,NA())</f>
        <v>#N/A</v>
      </c>
      <c r="AZ460" s="10">
        <f t="shared" si="120"/>
        <v>-1375</v>
      </c>
      <c r="BA460" s="10">
        <f t="shared" si="127"/>
        <v>0</v>
      </c>
      <c r="BB460" s="10">
        <f t="shared" si="121"/>
        <v>-1375</v>
      </c>
      <c r="BC460" s="10">
        <f t="shared" si="122"/>
        <v>0</v>
      </c>
      <c r="BD460" s="10">
        <f t="shared" si="123"/>
        <v>-1375</v>
      </c>
      <c r="BE460" s="2">
        <f t="shared" si="124"/>
        <v>0</v>
      </c>
      <c r="BF460" s="10">
        <f t="shared" si="125"/>
        <v>-1375</v>
      </c>
      <c r="BG460" s="2">
        <f>-BF460*'PV IN'!$E$8</f>
        <v>288.75</v>
      </c>
      <c r="BH460" s="2">
        <f>IF('PV IN'!$F$4="Battery Only",0,BB460+BG460)</f>
        <v>-1086.25</v>
      </c>
      <c r="BI460" s="2">
        <f>BH460/(1+('PV IN'!$G$9))^(C460)</f>
        <v>-170.11257744453403</v>
      </c>
    </row>
    <row r="461" spans="2:61" x14ac:dyDescent="0.25">
      <c r="C461">
        <v>457</v>
      </c>
      <c r="D461" s="16">
        <f>D460*(1+('PV IN'!$G$6/12))</f>
        <v>7.5999999999999998E-2</v>
      </c>
      <c r="E461" s="16">
        <f>LkUP!$U$50</f>
        <v>7.8896523189157505E-2</v>
      </c>
      <c r="F461" s="16">
        <f>IF('PV IN'!$D$7="Table",E461,D461)</f>
        <v>7.8896523189157505E-2</v>
      </c>
      <c r="G461" s="33">
        <f>('PV IN'!$E$25*'PV IN'!$E$18/12)*(1-(1-'PV IN'!$E$27)/(25*12))^C460</f>
        <v>112512.37523173403</v>
      </c>
      <c r="H461" s="33">
        <f>IF('PV IN'!$D$19="YES",G461*'PV IN'!$E$21,0)</f>
        <v>0</v>
      </c>
      <c r="I461" s="33">
        <f>IF('PV IN'!$D$19="YES",'PV IN'!$E$22*BattCalcs!W461,0)</f>
        <v>0</v>
      </c>
      <c r="J461" s="33">
        <f>IF('PV IN'!$D$19="YES",'PV IN'!$E$23*BattCalcs!Y461,0)</f>
        <v>0</v>
      </c>
      <c r="K461" s="33">
        <f>BattCalcs!AF461</f>
        <v>25811.765833333331</v>
      </c>
      <c r="L461" s="33">
        <f t="shared" si="113"/>
        <v>25811.765833333331</v>
      </c>
      <c r="M461" s="33">
        <f>IF('PV IN'!$F$4="PV Only",G461,G461-SUM(H461:J461,L461))</f>
        <v>112512.37523173403</v>
      </c>
      <c r="N461" s="2">
        <f>IF(C461&lt;='PV IN'!$I$12*12,'PV IN'!$E$12*G461/1000,0)</f>
        <v>0</v>
      </c>
      <c r="O461" s="2">
        <f>IF(AND(C461&gt;'PV IN'!$I$12*12,C461&lt;='PV IN'!$I$13*12+'PV IN'!$I$12*12),'PV IN'!$E$13*PVCalcs!G461/1000,0)</f>
        <v>0</v>
      </c>
      <c r="P461" s="2">
        <f>IF(AND(C461&gt;'PV IN'!$I$12*12+'PV IN'!$I$13*12,C461&lt;='PV IN'!$I$12*12+'PV IN'!$I$13*12+'PV IN'!$I$14*12),'PV IN'!$E$14*PVCalcs!G461/1000,0)</f>
        <v>0</v>
      </c>
      <c r="R461" s="10">
        <f>IF(AND('PV IN'!$D$35="YES",$C461&lt;='PV IN'!$E$35*12),-'PV IN'!$E$18*'PV IN'!$E$34/12,0)</f>
        <v>0</v>
      </c>
      <c r="S461" s="10">
        <f>IF(AND('PV IN'!$D$37="YES",$C461&lt;='PV IN'!$E$37*12),-'PV IN'!$E$18*'PV IN'!$E$36/12,0)</f>
        <v>0</v>
      </c>
      <c r="U461" s="2">
        <f t="shared" si="128"/>
        <v>8876.8352215376945</v>
      </c>
      <c r="V461" s="10">
        <f>PVLoan!M488</f>
        <v>0</v>
      </c>
      <c r="W461" s="2">
        <f>IF(C461='PV IN'!$I$40,IF('PV IN'!$G$40="Non-Taxable",'PV IN'!$F$40,0),0)+IF(C461='PV IN'!$I$41,IF('PV IN'!$G$41="Non-Taxable",'PV IN'!$F$41,0),0)</f>
        <v>0</v>
      </c>
      <c r="X461" s="10"/>
      <c r="Y461" s="10">
        <f>IF('PV IN'!$E$15="Non-Taxable",SUM(N461:P461),0)</f>
        <v>0</v>
      </c>
      <c r="Z461" s="10">
        <f>IF('PV IN'!$E$15="Taxable",SUM(N461:P461),0)</f>
        <v>0</v>
      </c>
      <c r="AA461" s="2">
        <f>IF(C461='PV IN'!$I$40,IF('PV IN'!$G$40="Taxable",'PV IN'!$F$40,0),0)+IF(C461='PV IN'!$I$41,IF('PV IN'!$G$41="Taxable",'PV IN'!$F$41,0),0)</f>
        <v>0</v>
      </c>
      <c r="AD461" s="10">
        <f>IF('PV IN'!$D$48="YES",-U461*'PV IN'!$E$8,0)</f>
        <v>0</v>
      </c>
      <c r="AE461" s="10">
        <f>IF('PV IN'!$N$10="Yes",-PVLoan!H489,-PVLoan!L489)</f>
        <v>0</v>
      </c>
      <c r="AF461" s="10">
        <f>IF('PV IN'!$N$10="Yes",-PVLoan!F489,0)</f>
        <v>0</v>
      </c>
      <c r="AG461" s="10">
        <f>IF(AND('PV IN'!$D$35="YES",$C461&lt;='PV IN'!$E$35*12),0,-'PV IN'!$E$18*'PV IN'!$E$34/12)</f>
        <v>-750</v>
      </c>
      <c r="AH461" s="10">
        <f>IF(AND('PV IN'!$D$37="YES",$C461&lt;='PV IN'!$E$37*12),0,-'PV IN'!$E$18*'PV IN'!$E$36/12)</f>
        <v>-625</v>
      </c>
      <c r="AI461" s="2">
        <f>IF(AND('PV IN'!$D$33="YES",PVCalcs!C461=ROUNDUP('PV IN'!$H$33*12,)),-'PV IN'!$E$33*'PV IN'!$E$18,0)</f>
        <v>0</v>
      </c>
      <c r="AK461" s="2">
        <f t="shared" si="126"/>
        <v>8876.8352215376945</v>
      </c>
      <c r="AL461" s="2">
        <f t="shared" si="114"/>
        <v>-1375</v>
      </c>
      <c r="AM461" s="2">
        <f t="shared" si="115"/>
        <v>7501.8352215376945</v>
      </c>
      <c r="AN461" s="43"/>
      <c r="AO461" s="2">
        <f t="shared" si="116"/>
        <v>0</v>
      </c>
      <c r="AP461" s="2">
        <f t="shared" si="117"/>
        <v>-1375</v>
      </c>
      <c r="AR461" s="2">
        <f t="shared" si="118"/>
        <v>-1375</v>
      </c>
      <c r="AS461" s="2">
        <f>-AR461*'PV IN'!$E$8</f>
        <v>288.75</v>
      </c>
      <c r="AT461" s="2">
        <f>IF('PV IN'!$F$4="Battery Only",0,AM461+AS461)</f>
        <v>7790.5852215376945</v>
      </c>
      <c r="AV461" s="10">
        <f t="shared" si="119"/>
        <v>3246993.33771007</v>
      </c>
      <c r="AW461" s="2">
        <f>AT461/(1+('PV IN'!$G$9))^(C461)</f>
        <v>1215.0969846017838</v>
      </c>
      <c r="AX461" s="2" t="e">
        <f>IF(C461&lt;='PV IN'!$O$22*12,AW461+AX460,NA())</f>
        <v>#N/A</v>
      </c>
      <c r="AZ461" s="10">
        <f t="shared" si="120"/>
        <v>-1375</v>
      </c>
      <c r="BA461" s="10">
        <f t="shared" si="127"/>
        <v>0</v>
      </c>
      <c r="BB461" s="10">
        <f t="shared" si="121"/>
        <v>-1375</v>
      </c>
      <c r="BC461" s="10">
        <f t="shared" si="122"/>
        <v>0</v>
      </c>
      <c r="BD461" s="10">
        <f t="shared" si="123"/>
        <v>-1375</v>
      </c>
      <c r="BE461" s="2">
        <f t="shared" si="124"/>
        <v>0</v>
      </c>
      <c r="BF461" s="10">
        <f t="shared" si="125"/>
        <v>-1375</v>
      </c>
      <c r="BG461" s="2">
        <f>-BF461*'PV IN'!$E$8</f>
        <v>288.75</v>
      </c>
      <c r="BH461" s="2">
        <f>IF('PV IN'!$F$4="Battery Only",0,BB461+BG461)</f>
        <v>-1086.25</v>
      </c>
      <c r="BI461" s="2">
        <f>BH461/(1+('PV IN'!$G$9))^(C461)</f>
        <v>-169.42232990080404</v>
      </c>
    </row>
    <row r="462" spans="2:61" x14ac:dyDescent="0.25">
      <c r="C462">
        <v>458</v>
      </c>
      <c r="D462" s="16">
        <f>D461*(1+('PV IN'!$G$6/12))</f>
        <v>7.5999999999999998E-2</v>
      </c>
      <c r="E462" s="16">
        <f>LkUP!$U$50</f>
        <v>7.8896523189157505E-2</v>
      </c>
      <c r="F462" s="16">
        <f>IF('PV IN'!$D$7="Table",E462,D462)</f>
        <v>7.8896523189157505E-2</v>
      </c>
      <c r="G462" s="33">
        <f>('PV IN'!$E$25*'PV IN'!$E$18/12)*(1-(1-'PV IN'!$E$27)/(25*12))^C461</f>
        <v>112437.36698157953</v>
      </c>
      <c r="H462" s="33">
        <f>IF('PV IN'!$D$19="YES",G462*'PV IN'!$E$21,0)</f>
        <v>0</v>
      </c>
      <c r="I462" s="33">
        <f>IF('PV IN'!$D$19="YES",'PV IN'!$E$22*BattCalcs!W462,0)</f>
        <v>0</v>
      </c>
      <c r="J462" s="33">
        <f>IF('PV IN'!$D$19="YES",'PV IN'!$E$23*BattCalcs!Y462,0)</f>
        <v>0</v>
      </c>
      <c r="K462" s="33">
        <f>BattCalcs!AF462</f>
        <v>25811.765833333331</v>
      </c>
      <c r="L462" s="33">
        <f t="shared" si="113"/>
        <v>25811.765833333331</v>
      </c>
      <c r="M462" s="33">
        <f>IF('PV IN'!$F$4="PV Only",G462,G462-SUM(H462:J462,L462))</f>
        <v>112437.36698157953</v>
      </c>
      <c r="N462" s="2">
        <f>IF(C462&lt;='PV IN'!$I$12*12,'PV IN'!$E$12*G462/1000,0)</f>
        <v>0</v>
      </c>
      <c r="O462" s="2">
        <f>IF(AND(C462&gt;'PV IN'!$I$12*12,C462&lt;='PV IN'!$I$13*12+'PV IN'!$I$12*12),'PV IN'!$E$13*PVCalcs!G462/1000,0)</f>
        <v>0</v>
      </c>
      <c r="P462" s="2">
        <f>IF(AND(C462&gt;'PV IN'!$I$12*12+'PV IN'!$I$13*12,C462&lt;='PV IN'!$I$12*12+'PV IN'!$I$13*12+'PV IN'!$I$14*12),'PV IN'!$E$14*PVCalcs!G462/1000,0)</f>
        <v>0</v>
      </c>
      <c r="R462" s="10">
        <f>IF(AND('PV IN'!$D$35="YES",$C462&lt;='PV IN'!$E$35*12),-'PV IN'!$E$18*'PV IN'!$E$34/12,0)</f>
        <v>0</v>
      </c>
      <c r="S462" s="10">
        <f>IF(AND('PV IN'!$D$37="YES",$C462&lt;='PV IN'!$E$37*12),-'PV IN'!$E$18*'PV IN'!$E$36/12,0)</f>
        <v>0</v>
      </c>
      <c r="U462" s="2">
        <f t="shared" si="128"/>
        <v>8870.917331390001</v>
      </c>
      <c r="V462" s="10">
        <f>PVLoan!M489</f>
        <v>0</v>
      </c>
      <c r="W462" s="2">
        <f>IF(C462='PV IN'!$I$40,IF('PV IN'!$G$40="Non-Taxable",'PV IN'!$F$40,0),0)+IF(C462='PV IN'!$I$41,IF('PV IN'!$G$41="Non-Taxable",'PV IN'!$F$41,0),0)</f>
        <v>0</v>
      </c>
      <c r="X462" s="10"/>
      <c r="Y462" s="10">
        <f>IF('PV IN'!$E$15="Non-Taxable",SUM(N462:P462),0)</f>
        <v>0</v>
      </c>
      <c r="Z462" s="10">
        <f>IF('PV IN'!$E$15="Taxable",SUM(N462:P462),0)</f>
        <v>0</v>
      </c>
      <c r="AA462" s="2">
        <f>IF(C462='PV IN'!$I$40,IF('PV IN'!$G$40="Taxable",'PV IN'!$F$40,0),0)+IF(C462='PV IN'!$I$41,IF('PV IN'!$G$41="Taxable",'PV IN'!$F$41,0),0)</f>
        <v>0</v>
      </c>
      <c r="AD462" s="10">
        <f>IF('PV IN'!$D$48="YES",-U462*'PV IN'!$E$8,0)</f>
        <v>0</v>
      </c>
      <c r="AE462" s="10">
        <f>IF('PV IN'!$N$10="Yes",-PVLoan!H490,-PVLoan!L490)</f>
        <v>0</v>
      </c>
      <c r="AF462" s="10">
        <f>IF('PV IN'!$N$10="Yes",-PVLoan!F490,0)</f>
        <v>0</v>
      </c>
      <c r="AG462" s="10">
        <f>IF(AND('PV IN'!$D$35="YES",$C462&lt;='PV IN'!$E$35*12),0,-'PV IN'!$E$18*'PV IN'!$E$34/12)</f>
        <v>-750</v>
      </c>
      <c r="AH462" s="10">
        <f>IF(AND('PV IN'!$D$37="YES",$C462&lt;='PV IN'!$E$37*12),0,-'PV IN'!$E$18*'PV IN'!$E$36/12)</f>
        <v>-625</v>
      </c>
      <c r="AI462" s="2">
        <f>IF(AND('PV IN'!$D$33="YES",PVCalcs!C462=ROUNDUP('PV IN'!$H$33*12,)),-'PV IN'!$E$33*'PV IN'!$E$18,0)</f>
        <v>0</v>
      </c>
      <c r="AK462" s="2">
        <f t="shared" si="126"/>
        <v>8870.917331390001</v>
      </c>
      <c r="AL462" s="2">
        <f t="shared" si="114"/>
        <v>-1375</v>
      </c>
      <c r="AM462" s="2">
        <f t="shared" si="115"/>
        <v>7495.917331390001</v>
      </c>
      <c r="AN462" s="43"/>
      <c r="AO462" s="2">
        <f t="shared" si="116"/>
        <v>0</v>
      </c>
      <c r="AP462" s="2">
        <f t="shared" si="117"/>
        <v>-1375</v>
      </c>
      <c r="AR462" s="2">
        <f t="shared" si="118"/>
        <v>-1375</v>
      </c>
      <c r="AS462" s="2">
        <f>-AR462*'PV IN'!$E$8</f>
        <v>288.75</v>
      </c>
      <c r="AT462" s="2">
        <f>IF('PV IN'!$F$4="Battery Only",0,AM462+AS462)</f>
        <v>7784.667331390001</v>
      </c>
      <c r="AV462" s="10">
        <f t="shared" si="119"/>
        <v>3254778.00504146</v>
      </c>
      <c r="AW462" s="2">
        <f>AT462/(1+('PV IN'!$G$9))^(C462)</f>
        <v>1209.2473483432498</v>
      </c>
      <c r="AX462" s="2" t="e">
        <f>IF(C462&lt;='PV IN'!$O$22*12,AW462+AX461,NA())</f>
        <v>#N/A</v>
      </c>
      <c r="AZ462" s="10">
        <f t="shared" si="120"/>
        <v>-1375</v>
      </c>
      <c r="BA462" s="10">
        <f t="shared" si="127"/>
        <v>0</v>
      </c>
      <c r="BB462" s="10">
        <f t="shared" si="121"/>
        <v>-1375</v>
      </c>
      <c r="BC462" s="10">
        <f t="shared" si="122"/>
        <v>0</v>
      </c>
      <c r="BD462" s="10">
        <f t="shared" si="123"/>
        <v>-1375</v>
      </c>
      <c r="BE462" s="2">
        <f t="shared" si="124"/>
        <v>0</v>
      </c>
      <c r="BF462" s="10">
        <f t="shared" si="125"/>
        <v>-1375</v>
      </c>
      <c r="BG462" s="2">
        <f>-BF462*'PV IN'!$E$8</f>
        <v>288.75</v>
      </c>
      <c r="BH462" s="2">
        <f>IF('PV IN'!$F$4="Battery Only",0,BB462+BG462)</f>
        <v>-1086.25</v>
      </c>
      <c r="BI462" s="2">
        <f>BH462/(1+('PV IN'!$G$9))^(C462)</f>
        <v>-168.73488310043345</v>
      </c>
    </row>
    <row r="463" spans="2:61" x14ac:dyDescent="0.25">
      <c r="C463">
        <v>459</v>
      </c>
      <c r="D463" s="16">
        <f>D462*(1+('PV IN'!$G$6/12))</f>
        <v>7.5999999999999998E-2</v>
      </c>
      <c r="E463" s="16">
        <f>LkUP!$U$50</f>
        <v>7.8896523189157505E-2</v>
      </c>
      <c r="F463" s="16">
        <f>IF('PV IN'!$D$7="Table",E463,D463)</f>
        <v>7.8896523189157505E-2</v>
      </c>
      <c r="G463" s="33">
        <f>('PV IN'!$E$25*'PV IN'!$E$18/12)*(1-(1-'PV IN'!$E$27)/(25*12))^C462</f>
        <v>112362.40873692514</v>
      </c>
      <c r="H463" s="33">
        <f>IF('PV IN'!$D$19="YES",G463*'PV IN'!$E$21,0)</f>
        <v>0</v>
      </c>
      <c r="I463" s="33">
        <f>IF('PV IN'!$D$19="YES",'PV IN'!$E$22*BattCalcs!W463,0)</f>
        <v>0</v>
      </c>
      <c r="J463" s="33">
        <f>IF('PV IN'!$D$19="YES",'PV IN'!$E$23*BattCalcs!Y463,0)</f>
        <v>0</v>
      </c>
      <c r="K463" s="33">
        <f>BattCalcs!AF463</f>
        <v>25811.765833333331</v>
      </c>
      <c r="L463" s="33">
        <f t="shared" si="113"/>
        <v>25811.765833333331</v>
      </c>
      <c r="M463" s="33">
        <f>IF('PV IN'!$F$4="PV Only",G463,G463-SUM(H463:J463,L463))</f>
        <v>112362.40873692514</v>
      </c>
      <c r="N463" s="2">
        <f>IF(C463&lt;='PV IN'!$I$12*12,'PV IN'!$E$12*G463/1000,0)</f>
        <v>0</v>
      </c>
      <c r="O463" s="2">
        <f>IF(AND(C463&gt;'PV IN'!$I$12*12,C463&lt;='PV IN'!$I$13*12+'PV IN'!$I$12*12),'PV IN'!$E$13*PVCalcs!G463/1000,0)</f>
        <v>0</v>
      </c>
      <c r="P463" s="2">
        <f>IF(AND(C463&gt;'PV IN'!$I$12*12+'PV IN'!$I$13*12,C463&lt;='PV IN'!$I$12*12+'PV IN'!$I$13*12+'PV IN'!$I$14*12),'PV IN'!$E$14*PVCalcs!G463/1000,0)</f>
        <v>0</v>
      </c>
      <c r="R463" s="10">
        <f>IF(AND('PV IN'!$D$35="YES",$C463&lt;='PV IN'!$E$35*12),-'PV IN'!$E$18*'PV IN'!$E$34/12,0)</f>
        <v>0</v>
      </c>
      <c r="S463" s="10">
        <f>IF(AND('PV IN'!$D$37="YES",$C463&lt;='PV IN'!$E$37*12),-'PV IN'!$E$18*'PV IN'!$E$36/12,0)</f>
        <v>0</v>
      </c>
      <c r="U463" s="2">
        <f t="shared" si="128"/>
        <v>8865.003386502407</v>
      </c>
      <c r="V463" s="10">
        <f>PVLoan!M490</f>
        <v>0</v>
      </c>
      <c r="W463" s="2">
        <f>IF(C463='PV IN'!$I$40,IF('PV IN'!$G$40="Non-Taxable",'PV IN'!$F$40,0),0)+IF(C463='PV IN'!$I$41,IF('PV IN'!$G$41="Non-Taxable",'PV IN'!$F$41,0),0)</f>
        <v>0</v>
      </c>
      <c r="X463" s="10"/>
      <c r="Y463" s="10">
        <f>IF('PV IN'!$E$15="Non-Taxable",SUM(N463:P463),0)</f>
        <v>0</v>
      </c>
      <c r="Z463" s="10">
        <f>IF('PV IN'!$E$15="Taxable",SUM(N463:P463),0)</f>
        <v>0</v>
      </c>
      <c r="AA463" s="2">
        <f>IF(C463='PV IN'!$I$40,IF('PV IN'!$G$40="Taxable",'PV IN'!$F$40,0),0)+IF(C463='PV IN'!$I$41,IF('PV IN'!$G$41="Taxable",'PV IN'!$F$41,0),0)</f>
        <v>0</v>
      </c>
      <c r="AD463" s="10">
        <f>IF('PV IN'!$D$48="YES",-U463*'PV IN'!$E$8,0)</f>
        <v>0</v>
      </c>
      <c r="AE463" s="10">
        <f>IF('PV IN'!$N$10="Yes",-PVLoan!H491,-PVLoan!L491)</f>
        <v>0</v>
      </c>
      <c r="AF463" s="10">
        <f>IF('PV IN'!$N$10="Yes",-PVLoan!F491,0)</f>
        <v>0</v>
      </c>
      <c r="AG463" s="10">
        <f>IF(AND('PV IN'!$D$35="YES",$C463&lt;='PV IN'!$E$35*12),0,-'PV IN'!$E$18*'PV IN'!$E$34/12)</f>
        <v>-750</v>
      </c>
      <c r="AH463" s="10">
        <f>IF(AND('PV IN'!$D$37="YES",$C463&lt;='PV IN'!$E$37*12),0,-'PV IN'!$E$18*'PV IN'!$E$36/12)</f>
        <v>-625</v>
      </c>
      <c r="AI463" s="2">
        <f>IF(AND('PV IN'!$D$33="YES",PVCalcs!C463=ROUNDUP('PV IN'!$H$33*12,)),-'PV IN'!$E$33*'PV IN'!$E$18,0)</f>
        <v>0</v>
      </c>
      <c r="AK463" s="2">
        <f t="shared" si="126"/>
        <v>8865.003386502407</v>
      </c>
      <c r="AL463" s="2">
        <f t="shared" si="114"/>
        <v>-1375</v>
      </c>
      <c r="AM463" s="2">
        <f t="shared" si="115"/>
        <v>7490.003386502407</v>
      </c>
      <c r="AN463" s="43"/>
      <c r="AO463" s="2">
        <f t="shared" si="116"/>
        <v>0</v>
      </c>
      <c r="AP463" s="2">
        <f t="shared" si="117"/>
        <v>-1375</v>
      </c>
      <c r="AR463" s="2">
        <f t="shared" si="118"/>
        <v>-1375</v>
      </c>
      <c r="AS463" s="2">
        <f>-AR463*'PV IN'!$E$8</f>
        <v>288.75</v>
      </c>
      <c r="AT463" s="2">
        <f>IF('PV IN'!$F$4="Battery Only",0,AM463+AS463)</f>
        <v>7778.753386502407</v>
      </c>
      <c r="AV463" s="10">
        <f t="shared" si="119"/>
        <v>3262556.7584279627</v>
      </c>
      <c r="AW463" s="2">
        <f>AT463/(1+('PV IN'!$G$9))^(C463)</f>
        <v>1203.4257878979563</v>
      </c>
      <c r="AX463" s="2" t="e">
        <f>IF(C463&lt;='PV IN'!$O$22*12,AW463+AX462,NA())</f>
        <v>#N/A</v>
      </c>
      <c r="AZ463" s="10">
        <f t="shared" si="120"/>
        <v>-1375</v>
      </c>
      <c r="BA463" s="10">
        <f t="shared" si="127"/>
        <v>0</v>
      </c>
      <c r="BB463" s="10">
        <f t="shared" si="121"/>
        <v>-1375</v>
      </c>
      <c r="BC463" s="10">
        <f t="shared" si="122"/>
        <v>0</v>
      </c>
      <c r="BD463" s="10">
        <f t="shared" si="123"/>
        <v>-1375</v>
      </c>
      <c r="BE463" s="2">
        <f t="shared" si="124"/>
        <v>0</v>
      </c>
      <c r="BF463" s="10">
        <f t="shared" si="125"/>
        <v>-1375</v>
      </c>
      <c r="BG463" s="2">
        <f>-BF463*'PV IN'!$E$8</f>
        <v>288.75</v>
      </c>
      <c r="BH463" s="2">
        <f>IF('PV IN'!$F$4="Battery Only",0,BB463+BG463)</f>
        <v>-1086.25</v>
      </c>
      <c r="BI463" s="2">
        <f>BH463/(1+('PV IN'!$G$9))^(C463)</f>
        <v>-168.05022567914656</v>
      </c>
    </row>
    <row r="464" spans="2:61" x14ac:dyDescent="0.25">
      <c r="C464">
        <v>460</v>
      </c>
      <c r="D464" s="16">
        <f>D463*(1+('PV IN'!$G$6/12))</f>
        <v>7.5999999999999998E-2</v>
      </c>
      <c r="E464" s="16">
        <f>LkUP!$U$50</f>
        <v>7.8896523189157505E-2</v>
      </c>
      <c r="F464" s="16">
        <f>IF('PV IN'!$D$7="Table",E464,D464)</f>
        <v>7.8896523189157505E-2</v>
      </c>
      <c r="G464" s="33">
        <f>('PV IN'!$E$25*'PV IN'!$E$18/12)*(1-(1-'PV IN'!$E$27)/(25*12))^C463</f>
        <v>112287.50046443386</v>
      </c>
      <c r="H464" s="33">
        <f>IF('PV IN'!$D$19="YES",G464*'PV IN'!$E$21,0)</f>
        <v>0</v>
      </c>
      <c r="I464" s="33">
        <f>IF('PV IN'!$D$19="YES",'PV IN'!$E$22*BattCalcs!W464,0)</f>
        <v>0</v>
      </c>
      <c r="J464" s="33">
        <f>IF('PV IN'!$D$19="YES",'PV IN'!$E$23*BattCalcs!Y464,0)</f>
        <v>0</v>
      </c>
      <c r="K464" s="33">
        <f>BattCalcs!AF464</f>
        <v>25811.765833333331</v>
      </c>
      <c r="L464" s="33">
        <f t="shared" si="113"/>
        <v>25811.765833333331</v>
      </c>
      <c r="M464" s="33">
        <f>IF('PV IN'!$F$4="PV Only",G464,G464-SUM(H464:J464,L464))</f>
        <v>112287.50046443386</v>
      </c>
      <c r="N464" s="2">
        <f>IF(C464&lt;='PV IN'!$I$12*12,'PV IN'!$E$12*G464/1000,0)</f>
        <v>0</v>
      </c>
      <c r="O464" s="2">
        <f>IF(AND(C464&gt;'PV IN'!$I$12*12,C464&lt;='PV IN'!$I$13*12+'PV IN'!$I$12*12),'PV IN'!$E$13*PVCalcs!G464/1000,0)</f>
        <v>0</v>
      </c>
      <c r="P464" s="2">
        <f>IF(AND(C464&gt;'PV IN'!$I$12*12+'PV IN'!$I$13*12,C464&lt;='PV IN'!$I$12*12+'PV IN'!$I$13*12+'PV IN'!$I$14*12),'PV IN'!$E$14*PVCalcs!G464/1000,0)</f>
        <v>0</v>
      </c>
      <c r="R464" s="10">
        <f>IF(AND('PV IN'!$D$35="YES",$C464&lt;='PV IN'!$E$35*12),-'PV IN'!$E$18*'PV IN'!$E$34/12,0)</f>
        <v>0</v>
      </c>
      <c r="S464" s="10">
        <f>IF(AND('PV IN'!$D$37="YES",$C464&lt;='PV IN'!$E$37*12),-'PV IN'!$E$18*'PV IN'!$E$36/12,0)</f>
        <v>0</v>
      </c>
      <c r="U464" s="2">
        <f t="shared" si="128"/>
        <v>8859.0933842447412</v>
      </c>
      <c r="V464" s="10">
        <f>PVLoan!M491</f>
        <v>0</v>
      </c>
      <c r="W464" s="2">
        <f>IF(C464='PV IN'!$I$40,IF('PV IN'!$G$40="Non-Taxable",'PV IN'!$F$40,0),0)+IF(C464='PV IN'!$I$41,IF('PV IN'!$G$41="Non-Taxable",'PV IN'!$F$41,0),0)</f>
        <v>0</v>
      </c>
      <c r="X464" s="10"/>
      <c r="Y464" s="10">
        <f>IF('PV IN'!$E$15="Non-Taxable",SUM(N464:P464),0)</f>
        <v>0</v>
      </c>
      <c r="Z464" s="10">
        <f>IF('PV IN'!$E$15="Taxable",SUM(N464:P464),0)</f>
        <v>0</v>
      </c>
      <c r="AA464" s="2">
        <f>IF(C464='PV IN'!$I$40,IF('PV IN'!$G$40="Taxable",'PV IN'!$F$40,0),0)+IF(C464='PV IN'!$I$41,IF('PV IN'!$G$41="Taxable",'PV IN'!$F$41,0),0)</f>
        <v>0</v>
      </c>
      <c r="AD464" s="10">
        <f>IF('PV IN'!$D$48="YES",-U464*'PV IN'!$E$8,0)</f>
        <v>0</v>
      </c>
      <c r="AE464" s="10">
        <f>IF('PV IN'!$N$10="Yes",-PVLoan!H492,-PVLoan!L492)</f>
        <v>0</v>
      </c>
      <c r="AF464" s="10">
        <f>IF('PV IN'!$N$10="Yes",-PVLoan!F492,0)</f>
        <v>0</v>
      </c>
      <c r="AG464" s="10">
        <f>IF(AND('PV IN'!$D$35="YES",$C464&lt;='PV IN'!$E$35*12),0,-'PV IN'!$E$18*'PV IN'!$E$34/12)</f>
        <v>-750</v>
      </c>
      <c r="AH464" s="10">
        <f>IF(AND('PV IN'!$D$37="YES",$C464&lt;='PV IN'!$E$37*12),0,-'PV IN'!$E$18*'PV IN'!$E$36/12)</f>
        <v>-625</v>
      </c>
      <c r="AI464" s="2">
        <f>IF(AND('PV IN'!$D$33="YES",PVCalcs!C464=ROUNDUP('PV IN'!$H$33*12,)),-'PV IN'!$E$33*'PV IN'!$E$18,0)</f>
        <v>0</v>
      </c>
      <c r="AK464" s="2">
        <f t="shared" si="126"/>
        <v>8859.0933842447412</v>
      </c>
      <c r="AL464" s="2">
        <f t="shared" si="114"/>
        <v>-1375</v>
      </c>
      <c r="AM464" s="2">
        <f t="shared" si="115"/>
        <v>7484.0933842447412</v>
      </c>
      <c r="AN464" s="43"/>
      <c r="AO464" s="2">
        <f t="shared" si="116"/>
        <v>0</v>
      </c>
      <c r="AP464" s="2">
        <f t="shared" si="117"/>
        <v>-1375</v>
      </c>
      <c r="AR464" s="2">
        <f t="shared" si="118"/>
        <v>-1375</v>
      </c>
      <c r="AS464" s="2">
        <f>-AR464*'PV IN'!$E$8</f>
        <v>288.75</v>
      </c>
      <c r="AT464" s="2">
        <f>IF('PV IN'!$F$4="Battery Only",0,AM464+AS464)</f>
        <v>7772.8433842447412</v>
      </c>
      <c r="AV464" s="10">
        <f t="shared" si="119"/>
        <v>3270329.6018122076</v>
      </c>
      <c r="AW464" s="2">
        <f>AT464/(1+('PV IN'!$G$9))^(C464)</f>
        <v>1197.6321688523878</v>
      </c>
      <c r="AX464" s="2" t="e">
        <f>IF(C464&lt;='PV IN'!$O$22*12,AW464+AX463,NA())</f>
        <v>#N/A</v>
      </c>
      <c r="AZ464" s="10">
        <f t="shared" si="120"/>
        <v>-1375</v>
      </c>
      <c r="BA464" s="10">
        <f t="shared" si="127"/>
        <v>0</v>
      </c>
      <c r="BB464" s="10">
        <f t="shared" si="121"/>
        <v>-1375</v>
      </c>
      <c r="BC464" s="10">
        <f t="shared" si="122"/>
        <v>0</v>
      </c>
      <c r="BD464" s="10">
        <f t="shared" si="123"/>
        <v>-1375</v>
      </c>
      <c r="BE464" s="2">
        <f t="shared" si="124"/>
        <v>0</v>
      </c>
      <c r="BF464" s="10">
        <f t="shared" si="125"/>
        <v>-1375</v>
      </c>
      <c r="BG464" s="2">
        <f>-BF464*'PV IN'!$E$8</f>
        <v>288.75</v>
      </c>
      <c r="BH464" s="2">
        <f>IF('PV IN'!$F$4="Battery Only",0,BB464+BG464)</f>
        <v>-1086.25</v>
      </c>
      <c r="BI464" s="2">
        <f>BH464/(1+('PV IN'!$G$9))^(C464)</f>
        <v>-167.36834631877929</v>
      </c>
    </row>
    <row r="465" spans="2:61" x14ac:dyDescent="0.25">
      <c r="C465">
        <v>461</v>
      </c>
      <c r="D465" s="16">
        <f>D464*(1+('PV IN'!$G$6/12))</f>
        <v>7.5999999999999998E-2</v>
      </c>
      <c r="E465" s="16">
        <f>LkUP!$U$50</f>
        <v>7.8896523189157505E-2</v>
      </c>
      <c r="F465" s="16">
        <f>IF('PV IN'!$D$7="Table",E465,D465)</f>
        <v>7.8896523189157505E-2</v>
      </c>
      <c r="G465" s="33">
        <f>('PV IN'!$E$25*'PV IN'!$E$18/12)*(1-(1-'PV IN'!$E$27)/(25*12))^C464</f>
        <v>112212.6421307909</v>
      </c>
      <c r="H465" s="33">
        <f>IF('PV IN'!$D$19="YES",G465*'PV IN'!$E$21,0)</f>
        <v>0</v>
      </c>
      <c r="I465" s="33">
        <f>IF('PV IN'!$D$19="YES",'PV IN'!$E$22*BattCalcs!W465,0)</f>
        <v>0</v>
      </c>
      <c r="J465" s="33">
        <f>IF('PV IN'!$D$19="YES",'PV IN'!$E$23*BattCalcs!Y465,0)</f>
        <v>0</v>
      </c>
      <c r="K465" s="33">
        <f>BattCalcs!AF465</f>
        <v>25811.765833333331</v>
      </c>
      <c r="L465" s="33">
        <f t="shared" si="113"/>
        <v>25811.765833333331</v>
      </c>
      <c r="M465" s="33">
        <f>IF('PV IN'!$F$4="PV Only",G465,G465-SUM(H465:J465,L465))</f>
        <v>112212.6421307909</v>
      </c>
      <c r="N465" s="2">
        <f>IF(C465&lt;='PV IN'!$I$12*12,'PV IN'!$E$12*G465/1000,0)</f>
        <v>0</v>
      </c>
      <c r="O465" s="2">
        <f>IF(AND(C465&gt;'PV IN'!$I$12*12,C465&lt;='PV IN'!$I$13*12+'PV IN'!$I$12*12),'PV IN'!$E$13*PVCalcs!G465/1000,0)</f>
        <v>0</v>
      </c>
      <c r="P465" s="2">
        <f>IF(AND(C465&gt;'PV IN'!$I$12*12+'PV IN'!$I$13*12,C465&lt;='PV IN'!$I$12*12+'PV IN'!$I$13*12+'PV IN'!$I$14*12),'PV IN'!$E$14*PVCalcs!G465/1000,0)</f>
        <v>0</v>
      </c>
      <c r="R465" s="10">
        <f>IF(AND('PV IN'!$D$35="YES",$C465&lt;='PV IN'!$E$35*12),-'PV IN'!$E$18*'PV IN'!$E$34/12,0)</f>
        <v>0</v>
      </c>
      <c r="S465" s="10">
        <f>IF(AND('PV IN'!$D$37="YES",$C465&lt;='PV IN'!$E$37*12),-'PV IN'!$E$18*'PV IN'!$E$36/12,0)</f>
        <v>0</v>
      </c>
      <c r="U465" s="2">
        <f t="shared" si="128"/>
        <v>8853.1873219885765</v>
      </c>
      <c r="V465" s="10">
        <f>PVLoan!M492</f>
        <v>0</v>
      </c>
      <c r="W465" s="2">
        <f>IF(C465='PV IN'!$I$40,IF('PV IN'!$G$40="Non-Taxable",'PV IN'!$F$40,0),0)+IF(C465='PV IN'!$I$41,IF('PV IN'!$G$41="Non-Taxable",'PV IN'!$F$41,0),0)</f>
        <v>0</v>
      </c>
      <c r="X465" s="10"/>
      <c r="Y465" s="10">
        <f>IF('PV IN'!$E$15="Non-Taxable",SUM(N465:P465),0)</f>
        <v>0</v>
      </c>
      <c r="Z465" s="10">
        <f>IF('PV IN'!$E$15="Taxable",SUM(N465:P465),0)</f>
        <v>0</v>
      </c>
      <c r="AA465" s="2">
        <f>IF(C465='PV IN'!$I$40,IF('PV IN'!$G$40="Taxable",'PV IN'!$F$40,0),0)+IF(C465='PV IN'!$I$41,IF('PV IN'!$G$41="Taxable",'PV IN'!$F$41,0),0)</f>
        <v>0</v>
      </c>
      <c r="AD465" s="10">
        <f>IF('PV IN'!$D$48="YES",-U465*'PV IN'!$E$8,0)</f>
        <v>0</v>
      </c>
      <c r="AE465" s="10">
        <f>IF('PV IN'!$N$10="Yes",-PVLoan!H493,-PVLoan!L493)</f>
        <v>0</v>
      </c>
      <c r="AF465" s="10">
        <f>IF('PV IN'!$N$10="Yes",-PVLoan!F493,0)</f>
        <v>0</v>
      </c>
      <c r="AG465" s="10">
        <f>IF(AND('PV IN'!$D$35="YES",$C465&lt;='PV IN'!$E$35*12),0,-'PV IN'!$E$18*'PV IN'!$E$34/12)</f>
        <v>-750</v>
      </c>
      <c r="AH465" s="10">
        <f>IF(AND('PV IN'!$D$37="YES",$C465&lt;='PV IN'!$E$37*12),0,-'PV IN'!$E$18*'PV IN'!$E$36/12)</f>
        <v>-625</v>
      </c>
      <c r="AI465" s="2">
        <f>IF(AND('PV IN'!$D$33="YES",PVCalcs!C465=ROUNDUP('PV IN'!$H$33*12,)),-'PV IN'!$E$33*'PV IN'!$E$18,0)</f>
        <v>0</v>
      </c>
      <c r="AK465" s="2">
        <f t="shared" si="126"/>
        <v>8853.1873219885765</v>
      </c>
      <c r="AL465" s="2">
        <f t="shared" si="114"/>
        <v>-1375</v>
      </c>
      <c r="AM465" s="2">
        <f t="shared" si="115"/>
        <v>7478.1873219885765</v>
      </c>
      <c r="AN465" s="43"/>
      <c r="AO465" s="2">
        <f t="shared" si="116"/>
        <v>0</v>
      </c>
      <c r="AP465" s="2">
        <f t="shared" si="117"/>
        <v>-1375</v>
      </c>
      <c r="AR465" s="2">
        <f t="shared" si="118"/>
        <v>-1375</v>
      </c>
      <c r="AS465" s="2">
        <f>-AR465*'PV IN'!$E$8</f>
        <v>288.75</v>
      </c>
      <c r="AT465" s="2">
        <f>IF('PV IN'!$F$4="Battery Only",0,AM465+AS465)</f>
        <v>7766.9373219885765</v>
      </c>
      <c r="AV465" s="10">
        <f t="shared" si="119"/>
        <v>3278096.539134196</v>
      </c>
      <c r="AW465" s="2">
        <f>AT465/(1+('PV IN'!$G$9))^(C465)</f>
        <v>1191.8663574351833</v>
      </c>
      <c r="AX465" s="2" t="e">
        <f>IF(C465&lt;='PV IN'!$O$22*12,AW465+AX464,NA())</f>
        <v>#N/A</v>
      </c>
      <c r="AZ465" s="10">
        <f t="shared" si="120"/>
        <v>-1375</v>
      </c>
      <c r="BA465" s="10">
        <f t="shared" si="127"/>
        <v>0</v>
      </c>
      <c r="BB465" s="10">
        <f t="shared" si="121"/>
        <v>-1375</v>
      </c>
      <c r="BC465" s="10">
        <f t="shared" si="122"/>
        <v>0</v>
      </c>
      <c r="BD465" s="10">
        <f t="shared" si="123"/>
        <v>-1375</v>
      </c>
      <c r="BE465" s="2">
        <f t="shared" si="124"/>
        <v>0</v>
      </c>
      <c r="BF465" s="10">
        <f t="shared" si="125"/>
        <v>-1375</v>
      </c>
      <c r="BG465" s="2">
        <f>-BF465*'PV IN'!$E$8</f>
        <v>288.75</v>
      </c>
      <c r="BH465" s="2">
        <f>IF('PV IN'!$F$4="Battery Only",0,BB465+BG465)</f>
        <v>-1086.25</v>
      </c>
      <c r="BI465" s="2">
        <f>BH465/(1+('PV IN'!$G$9))^(C465)</f>
        <v>-166.68923374709215</v>
      </c>
    </row>
    <row r="466" spans="2:61" x14ac:dyDescent="0.25">
      <c r="C466">
        <v>462</v>
      </c>
      <c r="D466" s="16">
        <f>D465*(1+('PV IN'!$G$6/12))</f>
        <v>7.5999999999999998E-2</v>
      </c>
      <c r="E466" s="16">
        <f>LkUP!$U$50</f>
        <v>7.8896523189157505E-2</v>
      </c>
      <c r="F466" s="16">
        <f>IF('PV IN'!$D$7="Table",E466,D466)</f>
        <v>7.8896523189157505E-2</v>
      </c>
      <c r="G466" s="33">
        <f>('PV IN'!$E$25*'PV IN'!$E$18/12)*(1-(1-'PV IN'!$E$27)/(25*12))^C465</f>
        <v>112137.83370270369</v>
      </c>
      <c r="H466" s="33">
        <f>IF('PV IN'!$D$19="YES",G466*'PV IN'!$E$21,0)</f>
        <v>0</v>
      </c>
      <c r="I466" s="33">
        <f>IF('PV IN'!$D$19="YES",'PV IN'!$E$22*BattCalcs!W466,0)</f>
        <v>0</v>
      </c>
      <c r="J466" s="33">
        <f>IF('PV IN'!$D$19="YES",'PV IN'!$E$23*BattCalcs!Y466,0)</f>
        <v>0</v>
      </c>
      <c r="K466" s="33">
        <f>BattCalcs!AF466</f>
        <v>25811.765833333331</v>
      </c>
      <c r="L466" s="33">
        <f t="shared" si="113"/>
        <v>25811.765833333331</v>
      </c>
      <c r="M466" s="33">
        <f>IF('PV IN'!$F$4="PV Only",G466,G466-SUM(H466:J466,L466))</f>
        <v>112137.83370270369</v>
      </c>
      <c r="N466" s="2">
        <f>IF(C466&lt;='PV IN'!$I$12*12,'PV IN'!$E$12*G466/1000,0)</f>
        <v>0</v>
      </c>
      <c r="O466" s="2">
        <f>IF(AND(C466&gt;'PV IN'!$I$12*12,C466&lt;='PV IN'!$I$13*12+'PV IN'!$I$12*12),'PV IN'!$E$13*PVCalcs!G466/1000,0)</f>
        <v>0</v>
      </c>
      <c r="P466" s="2">
        <f>IF(AND(C466&gt;'PV IN'!$I$12*12+'PV IN'!$I$13*12,C466&lt;='PV IN'!$I$12*12+'PV IN'!$I$13*12+'PV IN'!$I$14*12),'PV IN'!$E$14*PVCalcs!G466/1000,0)</f>
        <v>0</v>
      </c>
      <c r="R466" s="10">
        <f>IF(AND('PV IN'!$D$35="YES",$C466&lt;='PV IN'!$E$35*12),-'PV IN'!$E$18*'PV IN'!$E$34/12,0)</f>
        <v>0</v>
      </c>
      <c r="S466" s="10">
        <f>IF(AND('PV IN'!$D$37="YES",$C466&lt;='PV IN'!$E$37*12),-'PV IN'!$E$18*'PV IN'!$E$36/12,0)</f>
        <v>0</v>
      </c>
      <c r="U466" s="2">
        <f t="shared" si="128"/>
        <v>8847.2851971072505</v>
      </c>
      <c r="V466" s="10">
        <f>PVLoan!M493</f>
        <v>0</v>
      </c>
      <c r="W466" s="2">
        <f>IF(C466='PV IN'!$I$40,IF('PV IN'!$G$40="Non-Taxable",'PV IN'!$F$40,0),0)+IF(C466='PV IN'!$I$41,IF('PV IN'!$G$41="Non-Taxable",'PV IN'!$F$41,0),0)</f>
        <v>0</v>
      </c>
      <c r="X466" s="10"/>
      <c r="Y466" s="10">
        <f>IF('PV IN'!$E$15="Non-Taxable",SUM(N466:P466),0)</f>
        <v>0</v>
      </c>
      <c r="Z466" s="10">
        <f>IF('PV IN'!$E$15="Taxable",SUM(N466:P466),0)</f>
        <v>0</v>
      </c>
      <c r="AA466" s="2">
        <f>IF(C466='PV IN'!$I$40,IF('PV IN'!$G$40="Taxable",'PV IN'!$F$40,0),0)+IF(C466='PV IN'!$I$41,IF('PV IN'!$G$41="Taxable",'PV IN'!$F$41,0),0)</f>
        <v>0</v>
      </c>
      <c r="AD466" s="10">
        <f>IF('PV IN'!$D$48="YES",-U466*'PV IN'!$E$8,0)</f>
        <v>0</v>
      </c>
      <c r="AE466" s="10">
        <f>IF('PV IN'!$N$10="Yes",-PVLoan!H494,-PVLoan!L494)</f>
        <v>0</v>
      </c>
      <c r="AF466" s="10">
        <f>IF('PV IN'!$N$10="Yes",-PVLoan!F494,0)</f>
        <v>0</v>
      </c>
      <c r="AG466" s="10">
        <f>IF(AND('PV IN'!$D$35="YES",$C466&lt;='PV IN'!$E$35*12),0,-'PV IN'!$E$18*'PV IN'!$E$34/12)</f>
        <v>-750</v>
      </c>
      <c r="AH466" s="10">
        <f>IF(AND('PV IN'!$D$37="YES",$C466&lt;='PV IN'!$E$37*12),0,-'PV IN'!$E$18*'PV IN'!$E$36/12)</f>
        <v>-625</v>
      </c>
      <c r="AI466" s="2">
        <f>IF(AND('PV IN'!$D$33="YES",PVCalcs!C466=ROUNDUP('PV IN'!$H$33*12,)),-'PV IN'!$E$33*'PV IN'!$E$18,0)</f>
        <v>0</v>
      </c>
      <c r="AK466" s="2">
        <f t="shared" si="126"/>
        <v>8847.2851971072505</v>
      </c>
      <c r="AL466" s="2">
        <f t="shared" si="114"/>
        <v>-1375</v>
      </c>
      <c r="AM466" s="2">
        <f t="shared" si="115"/>
        <v>7472.2851971072505</v>
      </c>
      <c r="AN466" s="43"/>
      <c r="AO466" s="2">
        <f t="shared" si="116"/>
        <v>0</v>
      </c>
      <c r="AP466" s="2">
        <f t="shared" si="117"/>
        <v>-1375</v>
      </c>
      <c r="AR466" s="2">
        <f t="shared" si="118"/>
        <v>-1375</v>
      </c>
      <c r="AS466" s="2">
        <f>-AR466*'PV IN'!$E$8</f>
        <v>288.75</v>
      </c>
      <c r="AT466" s="2">
        <f>IF('PV IN'!$F$4="Battery Only",0,AM466+AS466)</f>
        <v>7761.0351971072505</v>
      </c>
      <c r="AV466" s="10">
        <f t="shared" si="119"/>
        <v>3285857.5743313031</v>
      </c>
      <c r="AW466" s="2">
        <f>AT466/(1+('PV IN'!$G$9))^(C466)</f>
        <v>1186.1282205140753</v>
      </c>
      <c r="AX466" s="2" t="e">
        <f>IF(C466&lt;='PV IN'!$O$22*12,AW466+AX465,NA())</f>
        <v>#N/A</v>
      </c>
      <c r="AZ466" s="10">
        <f t="shared" si="120"/>
        <v>-1375</v>
      </c>
      <c r="BA466" s="10">
        <f t="shared" si="127"/>
        <v>0</v>
      </c>
      <c r="BB466" s="10">
        <f t="shared" si="121"/>
        <v>-1375</v>
      </c>
      <c r="BC466" s="10">
        <f t="shared" si="122"/>
        <v>0</v>
      </c>
      <c r="BD466" s="10">
        <f t="shared" si="123"/>
        <v>-1375</v>
      </c>
      <c r="BE466" s="2">
        <f t="shared" si="124"/>
        <v>0</v>
      </c>
      <c r="BF466" s="10">
        <f t="shared" si="125"/>
        <v>-1375</v>
      </c>
      <c r="BG466" s="2">
        <f>-BF466*'PV IN'!$E$8</f>
        <v>288.75</v>
      </c>
      <c r="BH466" s="2">
        <f>IF('PV IN'!$F$4="Battery Only",0,BB466+BG466)</f>
        <v>-1086.25</v>
      </c>
      <c r="BI466" s="2">
        <f>BH466/(1+('PV IN'!$G$9))^(C466)</f>
        <v>-166.01287673758367</v>
      </c>
    </row>
    <row r="467" spans="2:61" x14ac:dyDescent="0.25">
      <c r="C467">
        <v>463</v>
      </c>
      <c r="D467" s="16">
        <f>D466*(1+('PV IN'!$G$6/12))</f>
        <v>7.5999999999999998E-2</v>
      </c>
      <c r="E467" s="16">
        <f>LkUP!$U$50</f>
        <v>7.8896523189157505E-2</v>
      </c>
      <c r="F467" s="16">
        <f>IF('PV IN'!$D$7="Table",E467,D467)</f>
        <v>7.8896523189157505E-2</v>
      </c>
      <c r="G467" s="33">
        <f>('PV IN'!$E$25*'PV IN'!$E$18/12)*(1-(1-'PV IN'!$E$27)/(25*12))^C466</f>
        <v>112063.07514690189</v>
      </c>
      <c r="H467" s="33">
        <f>IF('PV IN'!$D$19="YES",G467*'PV IN'!$E$21,0)</f>
        <v>0</v>
      </c>
      <c r="I467" s="33">
        <f>IF('PV IN'!$D$19="YES",'PV IN'!$E$22*BattCalcs!W467,0)</f>
        <v>0</v>
      </c>
      <c r="J467" s="33">
        <f>IF('PV IN'!$D$19="YES",'PV IN'!$E$23*BattCalcs!Y467,0)</f>
        <v>0</v>
      </c>
      <c r="K467" s="33">
        <f>BattCalcs!AF467</f>
        <v>25811.765833333331</v>
      </c>
      <c r="L467" s="33">
        <f t="shared" si="113"/>
        <v>25811.765833333331</v>
      </c>
      <c r="M467" s="33">
        <f>IF('PV IN'!$F$4="PV Only",G467,G467-SUM(H467:J467,L467))</f>
        <v>112063.07514690189</v>
      </c>
      <c r="N467" s="2">
        <f>IF(C467&lt;='PV IN'!$I$12*12,'PV IN'!$E$12*G467/1000,0)</f>
        <v>0</v>
      </c>
      <c r="O467" s="2">
        <f>IF(AND(C467&gt;'PV IN'!$I$12*12,C467&lt;='PV IN'!$I$13*12+'PV IN'!$I$12*12),'PV IN'!$E$13*PVCalcs!G467/1000,0)</f>
        <v>0</v>
      </c>
      <c r="P467" s="2">
        <f>IF(AND(C467&gt;'PV IN'!$I$12*12+'PV IN'!$I$13*12,C467&lt;='PV IN'!$I$12*12+'PV IN'!$I$13*12+'PV IN'!$I$14*12),'PV IN'!$E$14*PVCalcs!G467/1000,0)</f>
        <v>0</v>
      </c>
      <c r="R467" s="10">
        <f>IF(AND('PV IN'!$D$35="YES",$C467&lt;='PV IN'!$E$35*12),-'PV IN'!$E$18*'PV IN'!$E$34/12,0)</f>
        <v>0</v>
      </c>
      <c r="S467" s="10">
        <f>IF(AND('PV IN'!$D$37="YES",$C467&lt;='PV IN'!$E$37*12),-'PV IN'!$E$18*'PV IN'!$E$36/12,0)</f>
        <v>0</v>
      </c>
      <c r="U467" s="2">
        <f t="shared" si="128"/>
        <v>8841.387006975845</v>
      </c>
      <c r="V467" s="10">
        <f>PVLoan!M494</f>
        <v>0</v>
      </c>
      <c r="W467" s="2">
        <f>IF(C467='PV IN'!$I$40,IF('PV IN'!$G$40="Non-Taxable",'PV IN'!$F$40,0),0)+IF(C467='PV IN'!$I$41,IF('PV IN'!$G$41="Non-Taxable",'PV IN'!$F$41,0),0)</f>
        <v>0</v>
      </c>
      <c r="X467" s="10"/>
      <c r="Y467" s="10">
        <f>IF('PV IN'!$E$15="Non-Taxable",SUM(N467:P467),0)</f>
        <v>0</v>
      </c>
      <c r="Z467" s="10">
        <f>IF('PV IN'!$E$15="Taxable",SUM(N467:P467),0)</f>
        <v>0</v>
      </c>
      <c r="AA467" s="2">
        <f>IF(C467='PV IN'!$I$40,IF('PV IN'!$G$40="Taxable",'PV IN'!$F$40,0),0)+IF(C467='PV IN'!$I$41,IF('PV IN'!$G$41="Taxable",'PV IN'!$F$41,0),0)</f>
        <v>0</v>
      </c>
      <c r="AD467" s="10">
        <f>IF('PV IN'!$D$48="YES",-U467*'PV IN'!$E$8,0)</f>
        <v>0</v>
      </c>
      <c r="AE467" s="10">
        <f>IF('PV IN'!$N$10="Yes",-PVLoan!H495,-PVLoan!L495)</f>
        <v>0</v>
      </c>
      <c r="AF467" s="10">
        <f>IF('PV IN'!$N$10="Yes",-PVLoan!F495,0)</f>
        <v>0</v>
      </c>
      <c r="AG467" s="10">
        <f>IF(AND('PV IN'!$D$35="YES",$C467&lt;='PV IN'!$E$35*12),0,-'PV IN'!$E$18*'PV IN'!$E$34/12)</f>
        <v>-750</v>
      </c>
      <c r="AH467" s="10">
        <f>IF(AND('PV IN'!$D$37="YES",$C467&lt;='PV IN'!$E$37*12),0,-'PV IN'!$E$18*'PV IN'!$E$36/12)</f>
        <v>-625</v>
      </c>
      <c r="AI467" s="2">
        <f>IF(AND('PV IN'!$D$33="YES",PVCalcs!C467=ROUNDUP('PV IN'!$H$33*12,)),-'PV IN'!$E$33*'PV IN'!$E$18,0)</f>
        <v>0</v>
      </c>
      <c r="AK467" s="2">
        <f t="shared" si="126"/>
        <v>8841.387006975845</v>
      </c>
      <c r="AL467" s="2">
        <f t="shared" si="114"/>
        <v>-1375</v>
      </c>
      <c r="AM467" s="2">
        <f t="shared" si="115"/>
        <v>7466.387006975845</v>
      </c>
      <c r="AN467" s="43"/>
      <c r="AO467" s="2">
        <f t="shared" si="116"/>
        <v>0</v>
      </c>
      <c r="AP467" s="2">
        <f t="shared" si="117"/>
        <v>-1375</v>
      </c>
      <c r="AR467" s="2">
        <f t="shared" si="118"/>
        <v>-1375</v>
      </c>
      <c r="AS467" s="2">
        <f>-AR467*'PV IN'!$E$8</f>
        <v>288.75</v>
      </c>
      <c r="AT467" s="2">
        <f>IF('PV IN'!$F$4="Battery Only",0,AM467+AS467)</f>
        <v>7755.137006975845</v>
      </c>
      <c r="AV467" s="10">
        <f t="shared" si="119"/>
        <v>3293612.7113382788</v>
      </c>
      <c r="AW467" s="2">
        <f>AT467/(1+('PV IN'!$G$9))^(C467)</f>
        <v>1180.4176255928419</v>
      </c>
      <c r="AX467" s="2" t="e">
        <f>IF(C467&lt;='PV IN'!$O$22*12,AW467+AX466,NA())</f>
        <v>#N/A</v>
      </c>
      <c r="AZ467" s="10">
        <f t="shared" si="120"/>
        <v>-1375</v>
      </c>
      <c r="BA467" s="10">
        <f t="shared" si="127"/>
        <v>0</v>
      </c>
      <c r="BB467" s="10">
        <f t="shared" si="121"/>
        <v>-1375</v>
      </c>
      <c r="BC467" s="10">
        <f t="shared" si="122"/>
        <v>0</v>
      </c>
      <c r="BD467" s="10">
        <f t="shared" si="123"/>
        <v>-1375</v>
      </c>
      <c r="BE467" s="2">
        <f t="shared" si="124"/>
        <v>0</v>
      </c>
      <c r="BF467" s="10">
        <f t="shared" si="125"/>
        <v>-1375</v>
      </c>
      <c r="BG467" s="2">
        <f>-BF467*'PV IN'!$E$8</f>
        <v>288.75</v>
      </c>
      <c r="BH467" s="2">
        <f>IF('PV IN'!$F$4="Battery Only",0,BB467+BG467)</f>
        <v>-1086.25</v>
      </c>
      <c r="BI467" s="2">
        <f>BH467/(1+('PV IN'!$G$9))^(C467)</f>
        <v>-165.33926410930505</v>
      </c>
    </row>
    <row r="468" spans="2:61" x14ac:dyDescent="0.25">
      <c r="C468">
        <v>464</v>
      </c>
      <c r="D468" s="16">
        <f>D467*(1+('PV IN'!$G$6/12))</f>
        <v>7.5999999999999998E-2</v>
      </c>
      <c r="E468" s="16">
        <f>LkUP!$U$50</f>
        <v>7.8896523189157505E-2</v>
      </c>
      <c r="F468" s="16">
        <f>IF('PV IN'!$D$7="Table",E468,D468)</f>
        <v>7.8896523189157505E-2</v>
      </c>
      <c r="G468" s="33">
        <f>('PV IN'!$E$25*'PV IN'!$E$18/12)*(1-(1-'PV IN'!$E$27)/(25*12))^C467</f>
        <v>111988.36643013729</v>
      </c>
      <c r="H468" s="33">
        <f>IF('PV IN'!$D$19="YES",G468*'PV IN'!$E$21,0)</f>
        <v>0</v>
      </c>
      <c r="I468" s="33">
        <f>IF('PV IN'!$D$19="YES",'PV IN'!$E$22*BattCalcs!W468,0)</f>
        <v>0</v>
      </c>
      <c r="J468" s="33">
        <f>IF('PV IN'!$D$19="YES",'PV IN'!$E$23*BattCalcs!Y468,0)</f>
        <v>0</v>
      </c>
      <c r="K468" s="33">
        <f>BattCalcs!AF468</f>
        <v>25811.765833333331</v>
      </c>
      <c r="L468" s="33">
        <f t="shared" si="113"/>
        <v>25811.765833333331</v>
      </c>
      <c r="M468" s="33">
        <f>IF('PV IN'!$F$4="PV Only",G468,G468-SUM(H468:J468,L468))</f>
        <v>111988.36643013729</v>
      </c>
      <c r="N468" s="2">
        <f>IF(C468&lt;='PV IN'!$I$12*12,'PV IN'!$E$12*G468/1000,0)</f>
        <v>0</v>
      </c>
      <c r="O468" s="2">
        <f>IF(AND(C468&gt;'PV IN'!$I$12*12,C468&lt;='PV IN'!$I$13*12+'PV IN'!$I$12*12),'PV IN'!$E$13*PVCalcs!G468/1000,0)</f>
        <v>0</v>
      </c>
      <c r="P468" s="2">
        <f>IF(AND(C468&gt;'PV IN'!$I$12*12+'PV IN'!$I$13*12,C468&lt;='PV IN'!$I$12*12+'PV IN'!$I$13*12+'PV IN'!$I$14*12),'PV IN'!$E$14*PVCalcs!G468/1000,0)</f>
        <v>0</v>
      </c>
      <c r="R468" s="10">
        <f>IF(AND('PV IN'!$D$35="YES",$C468&lt;='PV IN'!$E$35*12),-'PV IN'!$E$18*'PV IN'!$E$34/12,0)</f>
        <v>0</v>
      </c>
      <c r="S468" s="10">
        <f>IF(AND('PV IN'!$D$37="YES",$C468&lt;='PV IN'!$E$37*12),-'PV IN'!$E$18*'PV IN'!$E$36/12,0)</f>
        <v>0</v>
      </c>
      <c r="U468" s="2">
        <f t="shared" si="128"/>
        <v>8835.4927489711954</v>
      </c>
      <c r="V468" s="10">
        <f>PVLoan!M495</f>
        <v>0</v>
      </c>
      <c r="W468" s="2">
        <f>IF(C468='PV IN'!$I$40,IF('PV IN'!$G$40="Non-Taxable",'PV IN'!$F$40,0),0)+IF(C468='PV IN'!$I$41,IF('PV IN'!$G$41="Non-Taxable",'PV IN'!$F$41,0),0)</f>
        <v>0</v>
      </c>
      <c r="X468" s="10"/>
      <c r="Y468" s="10">
        <f>IF('PV IN'!$E$15="Non-Taxable",SUM(N468:P468),0)</f>
        <v>0</v>
      </c>
      <c r="Z468" s="10">
        <f>IF('PV IN'!$E$15="Taxable",SUM(N468:P468),0)</f>
        <v>0</v>
      </c>
      <c r="AA468" s="2">
        <f>IF(C468='PV IN'!$I$40,IF('PV IN'!$G$40="Taxable",'PV IN'!$F$40,0),0)+IF(C468='PV IN'!$I$41,IF('PV IN'!$G$41="Taxable",'PV IN'!$F$41,0),0)</f>
        <v>0</v>
      </c>
      <c r="AD468" s="10">
        <f>IF('PV IN'!$D$48="YES",-U468*'PV IN'!$E$8,0)</f>
        <v>0</v>
      </c>
      <c r="AE468" s="10">
        <f>IF('PV IN'!$N$10="Yes",-PVLoan!H496,-PVLoan!L496)</f>
        <v>0</v>
      </c>
      <c r="AF468" s="10">
        <f>IF('PV IN'!$N$10="Yes",-PVLoan!F496,0)</f>
        <v>0</v>
      </c>
      <c r="AG468" s="10">
        <f>IF(AND('PV IN'!$D$35="YES",$C468&lt;='PV IN'!$E$35*12),0,-'PV IN'!$E$18*'PV IN'!$E$34/12)</f>
        <v>-750</v>
      </c>
      <c r="AH468" s="10">
        <f>IF(AND('PV IN'!$D$37="YES",$C468&lt;='PV IN'!$E$37*12),0,-'PV IN'!$E$18*'PV IN'!$E$36/12)</f>
        <v>-625</v>
      </c>
      <c r="AI468" s="2">
        <f>IF(AND('PV IN'!$D$33="YES",PVCalcs!C468=ROUNDUP('PV IN'!$H$33*12,)),-'PV IN'!$E$33*'PV IN'!$E$18,0)</f>
        <v>0</v>
      </c>
      <c r="AK468" s="2">
        <f t="shared" si="126"/>
        <v>8835.4927489711954</v>
      </c>
      <c r="AL468" s="2">
        <f t="shared" si="114"/>
        <v>-1375</v>
      </c>
      <c r="AM468" s="2">
        <f t="shared" si="115"/>
        <v>7460.4927489711954</v>
      </c>
      <c r="AN468" s="43"/>
      <c r="AO468" s="2">
        <f t="shared" si="116"/>
        <v>0</v>
      </c>
      <c r="AP468" s="2">
        <f t="shared" si="117"/>
        <v>-1375</v>
      </c>
      <c r="AR468" s="2">
        <f t="shared" si="118"/>
        <v>-1375</v>
      </c>
      <c r="AS468" s="2">
        <f>-AR468*'PV IN'!$E$8</f>
        <v>288.75</v>
      </c>
      <c r="AT468" s="2">
        <f>IF('PV IN'!$F$4="Battery Only",0,AM468+AS468)</f>
        <v>7749.2427489711954</v>
      </c>
      <c r="AV468" s="10">
        <f t="shared" si="119"/>
        <v>3301361.9540872499</v>
      </c>
      <c r="AW468" s="2">
        <f>AT468/(1+('PV IN'!$G$9))^(C468)</f>
        <v>1174.7344408082729</v>
      </c>
      <c r="AX468" s="2" t="e">
        <f>IF(C468&lt;='PV IN'!$O$22*12,AW468+AX467,NA())</f>
        <v>#N/A</v>
      </c>
      <c r="AZ468" s="10">
        <f t="shared" si="120"/>
        <v>-1375</v>
      </c>
      <c r="BA468" s="10">
        <f t="shared" si="127"/>
        <v>0</v>
      </c>
      <c r="BB468" s="10">
        <f t="shared" si="121"/>
        <v>-1375</v>
      </c>
      <c r="BC468" s="10">
        <f t="shared" si="122"/>
        <v>0</v>
      </c>
      <c r="BD468" s="10">
        <f t="shared" si="123"/>
        <v>-1375</v>
      </c>
      <c r="BE468" s="2">
        <f t="shared" si="124"/>
        <v>0</v>
      </c>
      <c r="BF468" s="10">
        <f t="shared" si="125"/>
        <v>-1375</v>
      </c>
      <c r="BG468" s="2">
        <f>-BF468*'PV IN'!$E$8</f>
        <v>288.75</v>
      </c>
      <c r="BH468" s="2">
        <f>IF('PV IN'!$F$4="Battery Only",0,BB468+BG468)</f>
        <v>-1086.25</v>
      </c>
      <c r="BI468" s="2">
        <f>BH468/(1+('PV IN'!$G$9))^(C468)</f>
        <v>-164.66838472667513</v>
      </c>
    </row>
    <row r="469" spans="2:61" x14ac:dyDescent="0.25">
      <c r="C469">
        <v>465</v>
      </c>
      <c r="D469" s="16">
        <f>D468*(1+('PV IN'!$G$6/12))</f>
        <v>7.5999999999999998E-2</v>
      </c>
      <c r="E469" s="16">
        <f>LkUP!$U$50</f>
        <v>7.8896523189157505E-2</v>
      </c>
      <c r="F469" s="16">
        <f>IF('PV IN'!$D$7="Table",E469,D469)</f>
        <v>7.8896523189157505E-2</v>
      </c>
      <c r="G469" s="33">
        <f>('PV IN'!$E$25*'PV IN'!$E$18/12)*(1-(1-'PV IN'!$E$27)/(25*12))^C468</f>
        <v>111913.70751918385</v>
      </c>
      <c r="H469" s="33">
        <f>IF('PV IN'!$D$19="YES",G469*'PV IN'!$E$21,0)</f>
        <v>0</v>
      </c>
      <c r="I469" s="33">
        <f>IF('PV IN'!$D$19="YES",'PV IN'!$E$22*BattCalcs!W469,0)</f>
        <v>0</v>
      </c>
      <c r="J469" s="33">
        <f>IF('PV IN'!$D$19="YES",'PV IN'!$E$23*BattCalcs!Y469,0)</f>
        <v>0</v>
      </c>
      <c r="K469" s="33">
        <f>BattCalcs!AF469</f>
        <v>25811.765833333331</v>
      </c>
      <c r="L469" s="33">
        <f t="shared" si="113"/>
        <v>25811.765833333331</v>
      </c>
      <c r="M469" s="33">
        <f>IF('PV IN'!$F$4="PV Only",G469,G469-SUM(H469:J469,L469))</f>
        <v>111913.70751918385</v>
      </c>
      <c r="N469" s="2">
        <f>IF(C469&lt;='PV IN'!$I$12*12,'PV IN'!$E$12*G469/1000,0)</f>
        <v>0</v>
      </c>
      <c r="O469" s="2">
        <f>IF(AND(C469&gt;'PV IN'!$I$12*12,C469&lt;='PV IN'!$I$13*12+'PV IN'!$I$12*12),'PV IN'!$E$13*PVCalcs!G469/1000,0)</f>
        <v>0</v>
      </c>
      <c r="P469" s="2">
        <f>IF(AND(C469&gt;'PV IN'!$I$12*12+'PV IN'!$I$13*12,C469&lt;='PV IN'!$I$12*12+'PV IN'!$I$13*12+'PV IN'!$I$14*12),'PV IN'!$E$14*PVCalcs!G469/1000,0)</f>
        <v>0</v>
      </c>
      <c r="R469" s="10">
        <f>IF(AND('PV IN'!$D$35="YES",$C469&lt;='PV IN'!$E$35*12),-'PV IN'!$E$18*'PV IN'!$E$34/12,0)</f>
        <v>0</v>
      </c>
      <c r="S469" s="10">
        <f>IF(AND('PV IN'!$D$37="YES",$C469&lt;='PV IN'!$E$37*12),-'PV IN'!$E$18*'PV IN'!$E$36/12,0)</f>
        <v>0</v>
      </c>
      <c r="U469" s="2">
        <f t="shared" si="128"/>
        <v>8829.6024204718797</v>
      </c>
      <c r="V469" s="10">
        <f>PVLoan!M496</f>
        <v>0</v>
      </c>
      <c r="W469" s="2">
        <f>IF(C469='PV IN'!$I$40,IF('PV IN'!$G$40="Non-Taxable",'PV IN'!$F$40,0),0)+IF(C469='PV IN'!$I$41,IF('PV IN'!$G$41="Non-Taxable",'PV IN'!$F$41,0),0)</f>
        <v>0</v>
      </c>
      <c r="X469" s="10"/>
      <c r="Y469" s="10">
        <f>IF('PV IN'!$E$15="Non-Taxable",SUM(N469:P469),0)</f>
        <v>0</v>
      </c>
      <c r="Z469" s="10">
        <f>IF('PV IN'!$E$15="Taxable",SUM(N469:P469),0)</f>
        <v>0</v>
      </c>
      <c r="AA469" s="2">
        <f>IF(C469='PV IN'!$I$40,IF('PV IN'!$G$40="Taxable",'PV IN'!$F$40,0),0)+IF(C469='PV IN'!$I$41,IF('PV IN'!$G$41="Taxable",'PV IN'!$F$41,0),0)</f>
        <v>0</v>
      </c>
      <c r="AD469" s="10">
        <f>IF('PV IN'!$D$48="YES",-U469*'PV IN'!$E$8,0)</f>
        <v>0</v>
      </c>
      <c r="AE469" s="10">
        <f>IF('PV IN'!$N$10="Yes",-PVLoan!H497,-PVLoan!L497)</f>
        <v>0</v>
      </c>
      <c r="AF469" s="10">
        <f>IF('PV IN'!$N$10="Yes",-PVLoan!F497,0)</f>
        <v>0</v>
      </c>
      <c r="AG469" s="10">
        <f>IF(AND('PV IN'!$D$35="YES",$C469&lt;='PV IN'!$E$35*12),0,-'PV IN'!$E$18*'PV IN'!$E$34/12)</f>
        <v>-750</v>
      </c>
      <c r="AH469" s="10">
        <f>IF(AND('PV IN'!$D$37="YES",$C469&lt;='PV IN'!$E$37*12),0,-'PV IN'!$E$18*'PV IN'!$E$36/12)</f>
        <v>-625</v>
      </c>
      <c r="AI469" s="2">
        <f>IF(AND('PV IN'!$D$33="YES",PVCalcs!C469=ROUNDUP('PV IN'!$H$33*12,)),-'PV IN'!$E$33*'PV IN'!$E$18,0)</f>
        <v>0</v>
      </c>
      <c r="AK469" s="2">
        <f t="shared" si="126"/>
        <v>8829.6024204718797</v>
      </c>
      <c r="AL469" s="2">
        <f t="shared" si="114"/>
        <v>-1375</v>
      </c>
      <c r="AM469" s="2">
        <f t="shared" si="115"/>
        <v>7454.6024204718797</v>
      </c>
      <c r="AN469" s="43"/>
      <c r="AO469" s="2">
        <f t="shared" si="116"/>
        <v>0</v>
      </c>
      <c r="AP469" s="2">
        <f t="shared" si="117"/>
        <v>-1375</v>
      </c>
      <c r="AR469" s="2">
        <f t="shared" si="118"/>
        <v>-1375</v>
      </c>
      <c r="AS469" s="2">
        <f>-AR469*'PV IN'!$E$8</f>
        <v>288.75</v>
      </c>
      <c r="AT469" s="2">
        <f>IF('PV IN'!$F$4="Battery Only",0,AM469+AS469)</f>
        <v>7743.3524204718797</v>
      </c>
      <c r="AV469" s="10">
        <f t="shared" si="119"/>
        <v>3309105.306507722</v>
      </c>
      <c r="AW469" s="2">
        <f>AT469/(1+('PV IN'!$G$9))^(C469)</f>
        <v>1169.0785349271496</v>
      </c>
      <c r="AX469" s="2" t="e">
        <f>IF(C469&lt;='PV IN'!$O$22*12,AW469+AX468,NA())</f>
        <v>#N/A</v>
      </c>
      <c r="AZ469" s="10">
        <f t="shared" si="120"/>
        <v>-1375</v>
      </c>
      <c r="BA469" s="10">
        <f t="shared" si="127"/>
        <v>0</v>
      </c>
      <c r="BB469" s="10">
        <f t="shared" si="121"/>
        <v>-1375</v>
      </c>
      <c r="BC469" s="10">
        <f t="shared" si="122"/>
        <v>0</v>
      </c>
      <c r="BD469" s="10">
        <f t="shared" si="123"/>
        <v>-1375</v>
      </c>
      <c r="BE469" s="2">
        <f t="shared" si="124"/>
        <v>0</v>
      </c>
      <c r="BF469" s="10">
        <f t="shared" si="125"/>
        <v>-1375</v>
      </c>
      <c r="BG469" s="2">
        <f>-BF469*'PV IN'!$E$8</f>
        <v>288.75</v>
      </c>
      <c r="BH469" s="2">
        <f>IF('PV IN'!$F$4="Battery Only",0,BB469+BG469)</f>
        <v>-1086.25</v>
      </c>
      <c r="BI469" s="2">
        <f>BH469/(1+('PV IN'!$G$9))^(C469)</f>
        <v>-164.00022749929647</v>
      </c>
    </row>
    <row r="470" spans="2:61" x14ac:dyDescent="0.25">
      <c r="C470">
        <v>466</v>
      </c>
      <c r="D470" s="16">
        <f>D469*(1+('PV IN'!$G$6/12))</f>
        <v>7.5999999999999998E-2</v>
      </c>
      <c r="E470" s="16">
        <f>LkUP!$U$50</f>
        <v>7.8896523189157505E-2</v>
      </c>
      <c r="F470" s="16">
        <f>IF('PV IN'!$D$7="Table",E470,D470)</f>
        <v>7.8896523189157505E-2</v>
      </c>
      <c r="G470" s="33">
        <f>('PV IN'!$E$25*'PV IN'!$E$18/12)*(1-(1-'PV IN'!$E$27)/(25*12))^C469</f>
        <v>111839.09838083772</v>
      </c>
      <c r="H470" s="33">
        <f>IF('PV IN'!$D$19="YES",G470*'PV IN'!$E$21,0)</f>
        <v>0</v>
      </c>
      <c r="I470" s="33">
        <f>IF('PV IN'!$D$19="YES",'PV IN'!$E$22*BattCalcs!W470,0)</f>
        <v>0</v>
      </c>
      <c r="J470" s="33">
        <f>IF('PV IN'!$D$19="YES",'PV IN'!$E$23*BattCalcs!Y470,0)</f>
        <v>0</v>
      </c>
      <c r="K470" s="33">
        <f>BattCalcs!AF470</f>
        <v>25811.765833333331</v>
      </c>
      <c r="L470" s="33">
        <f t="shared" si="113"/>
        <v>25811.765833333331</v>
      </c>
      <c r="M470" s="33">
        <f>IF('PV IN'!$F$4="PV Only",G470,G470-SUM(H470:J470,L470))</f>
        <v>111839.09838083772</v>
      </c>
      <c r="N470" s="2">
        <f>IF(C470&lt;='PV IN'!$I$12*12,'PV IN'!$E$12*G470/1000,0)</f>
        <v>0</v>
      </c>
      <c r="O470" s="2">
        <f>IF(AND(C470&gt;'PV IN'!$I$12*12,C470&lt;='PV IN'!$I$13*12+'PV IN'!$I$12*12),'PV IN'!$E$13*PVCalcs!G470/1000,0)</f>
        <v>0</v>
      </c>
      <c r="P470" s="2">
        <f>IF(AND(C470&gt;'PV IN'!$I$12*12+'PV IN'!$I$13*12,C470&lt;='PV IN'!$I$12*12+'PV IN'!$I$13*12+'PV IN'!$I$14*12),'PV IN'!$E$14*PVCalcs!G470/1000,0)</f>
        <v>0</v>
      </c>
      <c r="R470" s="10">
        <f>IF(AND('PV IN'!$D$35="YES",$C470&lt;='PV IN'!$E$35*12),-'PV IN'!$E$18*'PV IN'!$E$34/12,0)</f>
        <v>0</v>
      </c>
      <c r="S470" s="10">
        <f>IF(AND('PV IN'!$D$37="YES",$C470&lt;='PV IN'!$E$37*12),-'PV IN'!$E$18*'PV IN'!$E$36/12,0)</f>
        <v>0</v>
      </c>
      <c r="U470" s="2">
        <f t="shared" si="128"/>
        <v>8823.7160188582311</v>
      </c>
      <c r="V470" s="10">
        <f>PVLoan!M497</f>
        <v>0</v>
      </c>
      <c r="W470" s="2">
        <f>IF(C470='PV IN'!$I$40,IF('PV IN'!$G$40="Non-Taxable",'PV IN'!$F$40,0),0)+IF(C470='PV IN'!$I$41,IF('PV IN'!$G$41="Non-Taxable",'PV IN'!$F$41,0),0)</f>
        <v>0</v>
      </c>
      <c r="X470" s="10"/>
      <c r="Y470" s="10">
        <f>IF('PV IN'!$E$15="Non-Taxable",SUM(N470:P470),0)</f>
        <v>0</v>
      </c>
      <c r="Z470" s="10">
        <f>IF('PV IN'!$E$15="Taxable",SUM(N470:P470),0)</f>
        <v>0</v>
      </c>
      <c r="AA470" s="2">
        <f>IF(C470='PV IN'!$I$40,IF('PV IN'!$G$40="Taxable",'PV IN'!$F$40,0),0)+IF(C470='PV IN'!$I$41,IF('PV IN'!$G$41="Taxable",'PV IN'!$F$41,0),0)</f>
        <v>0</v>
      </c>
      <c r="AD470" s="10">
        <f>IF('PV IN'!$D$48="YES",-U470*'PV IN'!$E$8,0)</f>
        <v>0</v>
      </c>
      <c r="AE470" s="10">
        <f>IF('PV IN'!$N$10="Yes",-PVLoan!H498,-PVLoan!L498)</f>
        <v>0</v>
      </c>
      <c r="AF470" s="10">
        <f>IF('PV IN'!$N$10="Yes",-PVLoan!F498,0)</f>
        <v>0</v>
      </c>
      <c r="AG470" s="10">
        <f>IF(AND('PV IN'!$D$35="YES",$C470&lt;='PV IN'!$E$35*12),0,-'PV IN'!$E$18*'PV IN'!$E$34/12)</f>
        <v>-750</v>
      </c>
      <c r="AH470" s="10">
        <f>IF(AND('PV IN'!$D$37="YES",$C470&lt;='PV IN'!$E$37*12),0,-'PV IN'!$E$18*'PV IN'!$E$36/12)</f>
        <v>-625</v>
      </c>
      <c r="AI470" s="2">
        <f>IF(AND('PV IN'!$D$33="YES",PVCalcs!C470=ROUNDUP('PV IN'!$H$33*12,)),-'PV IN'!$E$33*'PV IN'!$E$18,0)</f>
        <v>0</v>
      </c>
      <c r="AK470" s="2">
        <f t="shared" si="126"/>
        <v>8823.7160188582311</v>
      </c>
      <c r="AL470" s="2">
        <f t="shared" si="114"/>
        <v>-1375</v>
      </c>
      <c r="AM470" s="2">
        <f t="shared" si="115"/>
        <v>7448.7160188582311</v>
      </c>
      <c r="AN470" s="43"/>
      <c r="AO470" s="2">
        <f t="shared" si="116"/>
        <v>0</v>
      </c>
      <c r="AP470" s="2">
        <f t="shared" si="117"/>
        <v>-1375</v>
      </c>
      <c r="AR470" s="2">
        <f t="shared" si="118"/>
        <v>-1375</v>
      </c>
      <c r="AS470" s="2">
        <f>-AR470*'PV IN'!$E$8</f>
        <v>288.75</v>
      </c>
      <c r="AT470" s="2">
        <f>IF('PV IN'!$F$4="Battery Only",0,AM470+AS470)</f>
        <v>7737.4660188582311</v>
      </c>
      <c r="AV470" s="10">
        <f t="shared" si="119"/>
        <v>3316842.7725265804</v>
      </c>
      <c r="AW470" s="2">
        <f>AT470/(1+('PV IN'!$G$9))^(C470)</f>
        <v>1163.449777343244</v>
      </c>
      <c r="AX470" s="2" t="e">
        <f>IF(C470&lt;='PV IN'!$O$22*12,AW470+AX469,NA())</f>
        <v>#N/A</v>
      </c>
      <c r="AZ470" s="10">
        <f t="shared" si="120"/>
        <v>-1375</v>
      </c>
      <c r="BA470" s="10">
        <f t="shared" si="127"/>
        <v>0</v>
      </c>
      <c r="BB470" s="10">
        <f t="shared" si="121"/>
        <v>-1375</v>
      </c>
      <c r="BC470" s="10">
        <f t="shared" si="122"/>
        <v>0</v>
      </c>
      <c r="BD470" s="10">
        <f t="shared" si="123"/>
        <v>-1375</v>
      </c>
      <c r="BE470" s="2">
        <f t="shared" si="124"/>
        <v>0</v>
      </c>
      <c r="BF470" s="10">
        <f t="shared" si="125"/>
        <v>-1375</v>
      </c>
      <c r="BG470" s="2">
        <f>-BF470*'PV IN'!$E$8</f>
        <v>288.75</v>
      </c>
      <c r="BH470" s="2">
        <f>IF('PV IN'!$F$4="Battery Only",0,BB470+BG470)</f>
        <v>-1086.25</v>
      </c>
      <c r="BI470" s="2">
        <f>BH470/(1+('PV IN'!$G$9))^(C470)</f>
        <v>-163.33478138177199</v>
      </c>
    </row>
    <row r="471" spans="2:61" x14ac:dyDescent="0.25">
      <c r="C471">
        <v>467</v>
      </c>
      <c r="D471" s="16">
        <f>D470*(1+('PV IN'!$G$6/12))</f>
        <v>7.5999999999999998E-2</v>
      </c>
      <c r="E471" s="16">
        <f>LkUP!$U$50</f>
        <v>7.8896523189157505E-2</v>
      </c>
      <c r="F471" s="16">
        <f>IF('PV IN'!$D$7="Table",E471,D471)</f>
        <v>7.8896523189157505E-2</v>
      </c>
      <c r="G471" s="33">
        <f>('PV IN'!$E$25*'PV IN'!$E$18/12)*(1-(1-'PV IN'!$E$27)/(25*12))^C470</f>
        <v>111764.53898191717</v>
      </c>
      <c r="H471" s="33">
        <f>IF('PV IN'!$D$19="YES",G471*'PV IN'!$E$21,0)</f>
        <v>0</v>
      </c>
      <c r="I471" s="33">
        <f>IF('PV IN'!$D$19="YES",'PV IN'!$E$22*BattCalcs!W471,0)</f>
        <v>0</v>
      </c>
      <c r="J471" s="33">
        <f>IF('PV IN'!$D$19="YES",'PV IN'!$E$23*BattCalcs!Y471,0)</f>
        <v>0</v>
      </c>
      <c r="K471" s="33">
        <f>BattCalcs!AF471</f>
        <v>25811.765833333331</v>
      </c>
      <c r="L471" s="33">
        <f t="shared" si="113"/>
        <v>25811.765833333331</v>
      </c>
      <c r="M471" s="33">
        <f>IF('PV IN'!$F$4="PV Only",G471,G471-SUM(H471:J471,L471))</f>
        <v>111764.53898191717</v>
      </c>
      <c r="N471" s="2">
        <f>IF(C471&lt;='PV IN'!$I$12*12,'PV IN'!$E$12*G471/1000,0)</f>
        <v>0</v>
      </c>
      <c r="O471" s="2">
        <f>IF(AND(C471&gt;'PV IN'!$I$12*12,C471&lt;='PV IN'!$I$13*12+'PV IN'!$I$12*12),'PV IN'!$E$13*PVCalcs!G471/1000,0)</f>
        <v>0</v>
      </c>
      <c r="P471" s="2">
        <f>IF(AND(C471&gt;'PV IN'!$I$12*12+'PV IN'!$I$13*12,C471&lt;='PV IN'!$I$12*12+'PV IN'!$I$13*12+'PV IN'!$I$14*12),'PV IN'!$E$14*PVCalcs!G471/1000,0)</f>
        <v>0</v>
      </c>
      <c r="R471" s="10">
        <f>IF(AND('PV IN'!$D$35="YES",$C471&lt;='PV IN'!$E$35*12),-'PV IN'!$E$18*'PV IN'!$E$34/12,0)</f>
        <v>0</v>
      </c>
      <c r="S471" s="10">
        <f>IF(AND('PV IN'!$D$37="YES",$C471&lt;='PV IN'!$E$37*12),-'PV IN'!$E$18*'PV IN'!$E$36/12,0)</f>
        <v>0</v>
      </c>
      <c r="U471" s="2">
        <f t="shared" si="128"/>
        <v>8817.8335415123256</v>
      </c>
      <c r="V471" s="10">
        <f>PVLoan!M498</f>
        <v>0</v>
      </c>
      <c r="W471" s="2">
        <f>IF(C471='PV IN'!$I$40,IF('PV IN'!$G$40="Non-Taxable",'PV IN'!$F$40,0),0)+IF(C471='PV IN'!$I$41,IF('PV IN'!$G$41="Non-Taxable",'PV IN'!$F$41,0),0)</f>
        <v>0</v>
      </c>
      <c r="X471" s="10"/>
      <c r="Y471" s="10">
        <f>IF('PV IN'!$E$15="Non-Taxable",SUM(N471:P471),0)</f>
        <v>0</v>
      </c>
      <c r="Z471" s="10">
        <f>IF('PV IN'!$E$15="Taxable",SUM(N471:P471),0)</f>
        <v>0</v>
      </c>
      <c r="AA471" s="2">
        <f>IF(C471='PV IN'!$I$40,IF('PV IN'!$G$40="Taxable",'PV IN'!$F$40,0),0)+IF(C471='PV IN'!$I$41,IF('PV IN'!$G$41="Taxable",'PV IN'!$F$41,0),0)</f>
        <v>0</v>
      </c>
      <c r="AD471" s="10">
        <f>IF('PV IN'!$D$48="YES",-U471*'PV IN'!$E$8,0)</f>
        <v>0</v>
      </c>
      <c r="AE471" s="10">
        <f>IF('PV IN'!$N$10="Yes",-PVLoan!H499,-PVLoan!L499)</f>
        <v>0</v>
      </c>
      <c r="AF471" s="10">
        <f>IF('PV IN'!$N$10="Yes",-PVLoan!F499,0)</f>
        <v>0</v>
      </c>
      <c r="AG471" s="10">
        <f>IF(AND('PV IN'!$D$35="YES",$C471&lt;='PV IN'!$E$35*12),0,-'PV IN'!$E$18*'PV IN'!$E$34/12)</f>
        <v>-750</v>
      </c>
      <c r="AH471" s="10">
        <f>IF(AND('PV IN'!$D$37="YES",$C471&lt;='PV IN'!$E$37*12),0,-'PV IN'!$E$18*'PV IN'!$E$36/12)</f>
        <v>-625</v>
      </c>
      <c r="AI471" s="2">
        <f>IF(AND('PV IN'!$D$33="YES",PVCalcs!C471=ROUNDUP('PV IN'!$H$33*12,)),-'PV IN'!$E$33*'PV IN'!$E$18,0)</f>
        <v>0</v>
      </c>
      <c r="AK471" s="2">
        <f t="shared" si="126"/>
        <v>8817.8335415123256</v>
      </c>
      <c r="AL471" s="2">
        <f t="shared" si="114"/>
        <v>-1375</v>
      </c>
      <c r="AM471" s="2">
        <f t="shared" si="115"/>
        <v>7442.8335415123256</v>
      </c>
      <c r="AN471" s="43"/>
      <c r="AO471" s="2">
        <f t="shared" si="116"/>
        <v>0</v>
      </c>
      <c r="AP471" s="2">
        <f t="shared" si="117"/>
        <v>-1375</v>
      </c>
      <c r="AR471" s="2">
        <f t="shared" si="118"/>
        <v>-1375</v>
      </c>
      <c r="AS471" s="2">
        <f>-AR471*'PV IN'!$E$8</f>
        <v>288.75</v>
      </c>
      <c r="AT471" s="2">
        <f>IF('PV IN'!$F$4="Battery Only",0,AM471+AS471)</f>
        <v>7731.5835415123256</v>
      </c>
      <c r="AV471" s="10">
        <f t="shared" si="119"/>
        <v>3324574.3560680929</v>
      </c>
      <c r="AW471" s="2">
        <f>AT471/(1+('PV IN'!$G$9))^(C471)</f>
        <v>1157.8480380743249</v>
      </c>
      <c r="AX471" s="2" t="e">
        <f>IF(C471&lt;='PV IN'!$O$22*12,AW471+AX470,NA())</f>
        <v>#N/A</v>
      </c>
      <c r="AZ471" s="10">
        <f t="shared" si="120"/>
        <v>-1375</v>
      </c>
      <c r="BA471" s="10">
        <f t="shared" si="127"/>
        <v>0</v>
      </c>
      <c r="BB471" s="10">
        <f t="shared" si="121"/>
        <v>-1375</v>
      </c>
      <c r="BC471" s="10">
        <f t="shared" si="122"/>
        <v>0</v>
      </c>
      <c r="BD471" s="10">
        <f t="shared" si="123"/>
        <v>-1375</v>
      </c>
      <c r="BE471" s="2">
        <f t="shared" si="124"/>
        <v>0</v>
      </c>
      <c r="BF471" s="10">
        <f t="shared" si="125"/>
        <v>-1375</v>
      </c>
      <c r="BG471" s="2">
        <f>-BF471*'PV IN'!$E$8</f>
        <v>288.75</v>
      </c>
      <c r="BH471" s="2">
        <f>IF('PV IN'!$F$4="Battery Only",0,BB471+BG471)</f>
        <v>-1086.25</v>
      </c>
      <c r="BI471" s="2">
        <f>BH471/(1+('PV IN'!$G$9))^(C471)</f>
        <v>-162.67203537352225</v>
      </c>
    </row>
    <row r="472" spans="2:61" x14ac:dyDescent="0.25">
      <c r="B472">
        <v>39</v>
      </c>
      <c r="C472">
        <v>468</v>
      </c>
      <c r="D472" s="16">
        <f>D471*(1+('PV IN'!$G$6/12))</f>
        <v>7.5999999999999998E-2</v>
      </c>
      <c r="E472" s="16">
        <f>LkUP!$U$50</f>
        <v>7.8896523189157505E-2</v>
      </c>
      <c r="F472" s="16">
        <f>IF('PV IN'!$D$7="Table",E472,D472)</f>
        <v>7.8896523189157505E-2</v>
      </c>
      <c r="G472" s="33">
        <f>('PV IN'!$E$25*'PV IN'!$E$18/12)*(1-(1-'PV IN'!$E$27)/(25*12))^C471</f>
        <v>111690.02928926254</v>
      </c>
      <c r="H472" s="33">
        <f>IF('PV IN'!$D$19="YES",G472*'PV IN'!$E$21,0)</f>
        <v>0</v>
      </c>
      <c r="I472" s="33">
        <f>IF('PV IN'!$D$19="YES",'PV IN'!$E$22*BattCalcs!W472,0)</f>
        <v>0</v>
      </c>
      <c r="J472" s="33">
        <f>IF('PV IN'!$D$19="YES",'PV IN'!$E$23*BattCalcs!Y472,0)</f>
        <v>0</v>
      </c>
      <c r="K472" s="33">
        <f>BattCalcs!AF472</f>
        <v>25811.765833333331</v>
      </c>
      <c r="L472" s="33">
        <f t="shared" si="113"/>
        <v>25811.765833333331</v>
      </c>
      <c r="M472" s="33">
        <f>IF('PV IN'!$F$4="PV Only",G472,G472-SUM(H472:J472,L472))</f>
        <v>111690.02928926254</v>
      </c>
      <c r="N472" s="2">
        <f>IF(C472&lt;='PV IN'!$I$12*12,'PV IN'!$E$12*G472/1000,0)</f>
        <v>0</v>
      </c>
      <c r="O472" s="2">
        <f>IF(AND(C472&gt;'PV IN'!$I$12*12,C472&lt;='PV IN'!$I$13*12+'PV IN'!$I$12*12),'PV IN'!$E$13*PVCalcs!G472/1000,0)</f>
        <v>0</v>
      </c>
      <c r="P472" s="2">
        <f>IF(AND(C472&gt;'PV IN'!$I$12*12+'PV IN'!$I$13*12,C472&lt;='PV IN'!$I$12*12+'PV IN'!$I$13*12+'PV IN'!$I$14*12),'PV IN'!$E$14*PVCalcs!G472/1000,0)</f>
        <v>0</v>
      </c>
      <c r="R472" s="10">
        <f>IF(AND('PV IN'!$D$35="YES",$C472&lt;='PV IN'!$E$35*12),-'PV IN'!$E$18*'PV IN'!$E$34/12,0)</f>
        <v>0</v>
      </c>
      <c r="S472" s="10">
        <f>IF(AND('PV IN'!$D$37="YES",$C472&lt;='PV IN'!$E$37*12),-'PV IN'!$E$18*'PV IN'!$E$36/12,0)</f>
        <v>0</v>
      </c>
      <c r="U472" s="2">
        <f t="shared" si="128"/>
        <v>8811.9549858179835</v>
      </c>
      <c r="V472" s="10">
        <f>PVLoan!M499</f>
        <v>0</v>
      </c>
      <c r="W472" s="2">
        <f>IF(C472='PV IN'!$I$40,IF('PV IN'!$G$40="Non-Taxable",'PV IN'!$F$40,0),0)+IF(C472='PV IN'!$I$41,IF('PV IN'!$G$41="Non-Taxable",'PV IN'!$F$41,0),0)</f>
        <v>0</v>
      </c>
      <c r="X472" s="10"/>
      <c r="Y472" s="10">
        <f>IF('PV IN'!$E$15="Non-Taxable",SUM(N472:P472),0)</f>
        <v>0</v>
      </c>
      <c r="Z472" s="10">
        <f>IF('PV IN'!$E$15="Taxable",SUM(N472:P472),0)</f>
        <v>0</v>
      </c>
      <c r="AA472" s="2">
        <f>IF(C472='PV IN'!$I$40,IF('PV IN'!$G$40="Taxable",'PV IN'!$F$40,0),0)+IF(C472='PV IN'!$I$41,IF('PV IN'!$G$41="Taxable",'PV IN'!$F$41,0),0)</f>
        <v>0</v>
      </c>
      <c r="AD472" s="10">
        <f>IF('PV IN'!$D$48="YES",-U472*'PV IN'!$E$8,0)</f>
        <v>0</v>
      </c>
      <c r="AE472" s="10">
        <f>IF('PV IN'!$N$10="Yes",-PVLoan!H500,-PVLoan!L500)</f>
        <v>0</v>
      </c>
      <c r="AF472" s="10">
        <f>IF('PV IN'!$N$10="Yes",-PVLoan!F500,0)</f>
        <v>0</v>
      </c>
      <c r="AG472" s="10">
        <f>IF(AND('PV IN'!$D$35="YES",$C472&lt;='PV IN'!$E$35*12),0,-'PV IN'!$E$18*'PV IN'!$E$34/12)</f>
        <v>-750</v>
      </c>
      <c r="AH472" s="10">
        <f>IF(AND('PV IN'!$D$37="YES",$C472&lt;='PV IN'!$E$37*12),0,-'PV IN'!$E$18*'PV IN'!$E$36/12)</f>
        <v>-625</v>
      </c>
      <c r="AI472" s="2">
        <f>IF(AND('PV IN'!$D$33="YES",PVCalcs!C472=ROUNDUP('PV IN'!$H$33*12,)),-'PV IN'!$E$33*'PV IN'!$E$18,0)</f>
        <v>0</v>
      </c>
      <c r="AK472" s="2">
        <f t="shared" si="126"/>
        <v>8811.9549858179835</v>
      </c>
      <c r="AL472" s="2">
        <f t="shared" si="114"/>
        <v>-1375</v>
      </c>
      <c r="AM472" s="2">
        <f t="shared" si="115"/>
        <v>7436.9549858179835</v>
      </c>
      <c r="AN472" s="43"/>
      <c r="AO472" s="2">
        <f t="shared" si="116"/>
        <v>0</v>
      </c>
      <c r="AP472" s="2">
        <f t="shared" si="117"/>
        <v>-1375</v>
      </c>
      <c r="AR472" s="2">
        <f t="shared" si="118"/>
        <v>-1375</v>
      </c>
      <c r="AS472" s="2">
        <f>-AR472*'PV IN'!$E$8</f>
        <v>288.75</v>
      </c>
      <c r="AT472" s="2">
        <f>IF('PV IN'!$F$4="Battery Only",0,AM472+AS472)</f>
        <v>7725.7049858179835</v>
      </c>
      <c r="AV472" s="10">
        <f t="shared" si="119"/>
        <v>3332300.0610539108</v>
      </c>
      <c r="AW472" s="2">
        <f>AT472/(1+('PV IN'!$G$9))^(C472)</f>
        <v>1152.2731877591827</v>
      </c>
      <c r="AX472" s="2" t="e">
        <f>IF(C472&lt;='PV IN'!$O$22*12,AW472+AX471,NA())</f>
        <v>#N/A</v>
      </c>
      <c r="AZ472" s="10">
        <f t="shared" si="120"/>
        <v>-1375</v>
      </c>
      <c r="BA472" s="10">
        <f t="shared" si="127"/>
        <v>0</v>
      </c>
      <c r="BB472" s="10">
        <f t="shared" si="121"/>
        <v>-1375</v>
      </c>
      <c r="BC472" s="10">
        <f t="shared" si="122"/>
        <v>0</v>
      </c>
      <c r="BD472" s="10">
        <f t="shared" si="123"/>
        <v>-1375</v>
      </c>
      <c r="BE472" s="2">
        <f t="shared" si="124"/>
        <v>0</v>
      </c>
      <c r="BF472" s="10">
        <f t="shared" si="125"/>
        <v>-1375</v>
      </c>
      <c r="BG472" s="2">
        <f>-BF472*'PV IN'!$E$8</f>
        <v>288.75</v>
      </c>
      <c r="BH472" s="2">
        <f>IF('PV IN'!$F$4="Battery Only",0,BB472+BG472)</f>
        <v>-1086.25</v>
      </c>
      <c r="BI472" s="2">
        <f>BH472/(1+('PV IN'!$G$9))^(C472)</f>
        <v>-162.01197851860366</v>
      </c>
    </row>
    <row r="473" spans="2:61" x14ac:dyDescent="0.25">
      <c r="C473">
        <v>469</v>
      </c>
      <c r="D473" s="16">
        <f>D472*(1+('PV IN'!$G$6/12))</f>
        <v>7.5999999999999998E-2</v>
      </c>
      <c r="E473" s="16">
        <f>LkUP!$U$50</f>
        <v>7.8896523189157505E-2</v>
      </c>
      <c r="F473" s="16">
        <f>IF('PV IN'!$D$7="Table",E473,D473)</f>
        <v>7.8896523189157505E-2</v>
      </c>
      <c r="G473" s="33">
        <f>('PV IN'!$E$25*'PV IN'!$E$18/12)*(1-(1-'PV IN'!$E$27)/(25*12))^C472</f>
        <v>111615.56926973637</v>
      </c>
      <c r="H473" s="33">
        <f>IF('PV IN'!$D$19="YES",G473*'PV IN'!$E$21,0)</f>
        <v>0</v>
      </c>
      <c r="I473" s="33">
        <f>IF('PV IN'!$D$19="YES",'PV IN'!$E$22*BattCalcs!W473,0)</f>
        <v>0</v>
      </c>
      <c r="J473" s="33">
        <f>IF('PV IN'!$D$19="YES",'PV IN'!$E$23*BattCalcs!Y473,0)</f>
        <v>0</v>
      </c>
      <c r="K473" s="33">
        <f>BattCalcs!AF473</f>
        <v>25811.765833333331</v>
      </c>
      <c r="L473" s="33">
        <f t="shared" si="113"/>
        <v>25811.765833333331</v>
      </c>
      <c r="M473" s="33">
        <f>IF('PV IN'!$F$4="PV Only",G473,G473-SUM(H473:J473,L473))</f>
        <v>111615.56926973637</v>
      </c>
      <c r="N473" s="2">
        <f>IF(C473&lt;='PV IN'!$I$12*12,'PV IN'!$E$12*G473/1000,0)</f>
        <v>0</v>
      </c>
      <c r="O473" s="2">
        <f>IF(AND(C473&gt;'PV IN'!$I$12*12,C473&lt;='PV IN'!$I$13*12+'PV IN'!$I$12*12),'PV IN'!$E$13*PVCalcs!G473/1000,0)</f>
        <v>0</v>
      </c>
      <c r="P473" s="2">
        <f>IF(AND(C473&gt;'PV IN'!$I$12*12+'PV IN'!$I$13*12,C473&lt;='PV IN'!$I$12*12+'PV IN'!$I$13*12+'PV IN'!$I$14*12),'PV IN'!$E$14*PVCalcs!G473/1000,0)</f>
        <v>0</v>
      </c>
      <c r="R473" s="10">
        <f>IF(AND('PV IN'!$D$35="YES",$C473&lt;='PV IN'!$E$35*12),-'PV IN'!$E$18*'PV IN'!$E$34/12,0)</f>
        <v>0</v>
      </c>
      <c r="S473" s="10">
        <f>IF(AND('PV IN'!$D$37="YES",$C473&lt;='PV IN'!$E$37*12),-'PV IN'!$E$18*'PV IN'!$E$36/12,0)</f>
        <v>0</v>
      </c>
      <c r="U473" s="2">
        <f t="shared" si="128"/>
        <v>8806.0803491607712</v>
      </c>
      <c r="V473" s="10">
        <f>PVLoan!M500</f>
        <v>0</v>
      </c>
      <c r="W473" s="2">
        <f>IF(C473='PV IN'!$I$40,IF('PV IN'!$G$40="Non-Taxable",'PV IN'!$F$40,0),0)+IF(C473='PV IN'!$I$41,IF('PV IN'!$G$41="Non-Taxable",'PV IN'!$F$41,0),0)</f>
        <v>0</v>
      </c>
      <c r="X473" s="10"/>
      <c r="Y473" s="10">
        <f>IF('PV IN'!$E$15="Non-Taxable",SUM(N473:P473),0)</f>
        <v>0</v>
      </c>
      <c r="Z473" s="10">
        <f>IF('PV IN'!$E$15="Taxable",SUM(N473:P473),0)</f>
        <v>0</v>
      </c>
      <c r="AA473" s="2">
        <f>IF(C473='PV IN'!$I$40,IF('PV IN'!$G$40="Taxable",'PV IN'!$F$40,0),0)+IF(C473='PV IN'!$I$41,IF('PV IN'!$G$41="Taxable",'PV IN'!$F$41,0),0)</f>
        <v>0</v>
      </c>
      <c r="AD473" s="10">
        <f>IF('PV IN'!$D$48="YES",-U473*'PV IN'!$E$8,0)</f>
        <v>0</v>
      </c>
      <c r="AE473" s="10">
        <f>IF('PV IN'!$N$10="Yes",-PVLoan!H501,-PVLoan!L501)</f>
        <v>0</v>
      </c>
      <c r="AF473" s="10">
        <f>IF('PV IN'!$N$10="Yes",-PVLoan!F501,0)</f>
        <v>0</v>
      </c>
      <c r="AG473" s="10">
        <f>IF(AND('PV IN'!$D$35="YES",$C473&lt;='PV IN'!$E$35*12),0,-'PV IN'!$E$18*'PV IN'!$E$34/12)</f>
        <v>-750</v>
      </c>
      <c r="AH473" s="10">
        <f>IF(AND('PV IN'!$D$37="YES",$C473&lt;='PV IN'!$E$37*12),0,-'PV IN'!$E$18*'PV IN'!$E$36/12)</f>
        <v>-625</v>
      </c>
      <c r="AI473" s="2">
        <f>IF(AND('PV IN'!$D$33="YES",PVCalcs!C473=ROUNDUP('PV IN'!$H$33*12,)),-'PV IN'!$E$33*'PV IN'!$E$18,0)</f>
        <v>0</v>
      </c>
      <c r="AK473" s="2">
        <f t="shared" si="126"/>
        <v>8806.0803491607712</v>
      </c>
      <c r="AL473" s="2">
        <f t="shared" si="114"/>
        <v>-1375</v>
      </c>
      <c r="AM473" s="2">
        <f t="shared" si="115"/>
        <v>7431.0803491607712</v>
      </c>
      <c r="AN473" s="43"/>
      <c r="AO473" s="2">
        <f t="shared" si="116"/>
        <v>0</v>
      </c>
      <c r="AP473" s="2">
        <f t="shared" si="117"/>
        <v>-1375</v>
      </c>
      <c r="AR473" s="2">
        <f t="shared" si="118"/>
        <v>-1375</v>
      </c>
      <c r="AS473" s="2">
        <f>-AR473*'PV IN'!$E$8</f>
        <v>288.75</v>
      </c>
      <c r="AT473" s="2">
        <f>IF('PV IN'!$F$4="Battery Only",0,AM473+AS473)</f>
        <v>7719.8303491607712</v>
      </c>
      <c r="AV473" s="10">
        <f t="shared" si="119"/>
        <v>3340019.8914030716</v>
      </c>
      <c r="AW473" s="2">
        <f>AT473/(1+('PV IN'!$G$9))^(C473)</f>
        <v>1146.7250976546695</v>
      </c>
      <c r="AX473" s="2" t="e">
        <f>IF(C473&lt;='PV IN'!$O$22*12,AW473+AX472,NA())</f>
        <v>#N/A</v>
      </c>
      <c r="AZ473" s="10">
        <f t="shared" si="120"/>
        <v>-1375</v>
      </c>
      <c r="BA473" s="10">
        <f t="shared" si="127"/>
        <v>0</v>
      </c>
      <c r="BB473" s="10">
        <f t="shared" si="121"/>
        <v>-1375</v>
      </c>
      <c r="BC473" s="10">
        <f t="shared" si="122"/>
        <v>0</v>
      </c>
      <c r="BD473" s="10">
        <f t="shared" si="123"/>
        <v>-1375</v>
      </c>
      <c r="BE473" s="2">
        <f t="shared" si="124"/>
        <v>0</v>
      </c>
      <c r="BF473" s="10">
        <f t="shared" si="125"/>
        <v>-1375</v>
      </c>
      <c r="BG473" s="2">
        <f>-BF473*'PV IN'!$E$8</f>
        <v>288.75</v>
      </c>
      <c r="BH473" s="2">
        <f>IF('PV IN'!$F$4="Battery Only",0,BB473+BG473)</f>
        <v>-1086.25</v>
      </c>
      <c r="BI473" s="2">
        <f>BH473/(1+('PV IN'!$G$9))^(C473)</f>
        <v>-161.35459990552749</v>
      </c>
    </row>
    <row r="474" spans="2:61" x14ac:dyDescent="0.25">
      <c r="C474">
        <v>470</v>
      </c>
      <c r="D474" s="16">
        <f>D473*(1+('PV IN'!$G$6/12))</f>
        <v>7.5999999999999998E-2</v>
      </c>
      <c r="E474" s="16">
        <f>LkUP!$U$50</f>
        <v>7.8896523189157505E-2</v>
      </c>
      <c r="F474" s="16">
        <f>IF('PV IN'!$D$7="Table",E474,D474)</f>
        <v>7.8896523189157505E-2</v>
      </c>
      <c r="G474" s="33">
        <f>('PV IN'!$E$25*'PV IN'!$E$18/12)*(1-(1-'PV IN'!$E$27)/(25*12))^C473</f>
        <v>111541.1588902232</v>
      </c>
      <c r="H474" s="33">
        <f>IF('PV IN'!$D$19="YES",G474*'PV IN'!$E$21,0)</f>
        <v>0</v>
      </c>
      <c r="I474" s="33">
        <f>IF('PV IN'!$D$19="YES",'PV IN'!$E$22*BattCalcs!W474,0)</f>
        <v>0</v>
      </c>
      <c r="J474" s="33">
        <f>IF('PV IN'!$D$19="YES",'PV IN'!$E$23*BattCalcs!Y474,0)</f>
        <v>0</v>
      </c>
      <c r="K474" s="33">
        <f>BattCalcs!AF474</f>
        <v>25811.765833333331</v>
      </c>
      <c r="L474" s="33">
        <f t="shared" si="113"/>
        <v>25811.765833333331</v>
      </c>
      <c r="M474" s="33">
        <f>IF('PV IN'!$F$4="PV Only",G474,G474-SUM(H474:J474,L474))</f>
        <v>111541.1588902232</v>
      </c>
      <c r="N474" s="2">
        <f>IF(C474&lt;='PV IN'!$I$12*12,'PV IN'!$E$12*G474/1000,0)</f>
        <v>0</v>
      </c>
      <c r="O474" s="2">
        <f>IF(AND(C474&gt;'PV IN'!$I$12*12,C474&lt;='PV IN'!$I$13*12+'PV IN'!$I$12*12),'PV IN'!$E$13*PVCalcs!G474/1000,0)</f>
        <v>0</v>
      </c>
      <c r="P474" s="2">
        <f>IF(AND(C474&gt;'PV IN'!$I$12*12+'PV IN'!$I$13*12,C474&lt;='PV IN'!$I$12*12+'PV IN'!$I$13*12+'PV IN'!$I$14*12),'PV IN'!$E$14*PVCalcs!G474/1000,0)</f>
        <v>0</v>
      </c>
      <c r="R474" s="10">
        <f>IF(AND('PV IN'!$D$35="YES",$C474&lt;='PV IN'!$E$35*12),-'PV IN'!$E$18*'PV IN'!$E$34/12,0)</f>
        <v>0</v>
      </c>
      <c r="S474" s="10">
        <f>IF(AND('PV IN'!$D$37="YES",$C474&lt;='PV IN'!$E$37*12),-'PV IN'!$E$18*'PV IN'!$E$36/12,0)</f>
        <v>0</v>
      </c>
      <c r="U474" s="2">
        <f t="shared" si="128"/>
        <v>8800.2096289279962</v>
      </c>
      <c r="V474" s="10">
        <f>PVLoan!M501</f>
        <v>0</v>
      </c>
      <c r="W474" s="2">
        <f>IF(C474='PV IN'!$I$40,IF('PV IN'!$G$40="Non-Taxable",'PV IN'!$F$40,0),0)+IF(C474='PV IN'!$I$41,IF('PV IN'!$G$41="Non-Taxable",'PV IN'!$F$41,0),0)</f>
        <v>0</v>
      </c>
      <c r="X474" s="10"/>
      <c r="Y474" s="10">
        <f>IF('PV IN'!$E$15="Non-Taxable",SUM(N474:P474),0)</f>
        <v>0</v>
      </c>
      <c r="Z474" s="10">
        <f>IF('PV IN'!$E$15="Taxable",SUM(N474:P474),0)</f>
        <v>0</v>
      </c>
      <c r="AA474" s="2">
        <f>IF(C474='PV IN'!$I$40,IF('PV IN'!$G$40="Taxable",'PV IN'!$F$40,0),0)+IF(C474='PV IN'!$I$41,IF('PV IN'!$G$41="Taxable",'PV IN'!$F$41,0),0)</f>
        <v>0</v>
      </c>
      <c r="AD474" s="10">
        <f>IF('PV IN'!$D$48="YES",-U474*'PV IN'!$E$8,0)</f>
        <v>0</v>
      </c>
      <c r="AE474" s="10">
        <f>IF('PV IN'!$N$10="Yes",-PVLoan!H502,-PVLoan!L502)</f>
        <v>0</v>
      </c>
      <c r="AF474" s="10">
        <f>IF('PV IN'!$N$10="Yes",-PVLoan!F502,0)</f>
        <v>0</v>
      </c>
      <c r="AG474" s="10">
        <f>IF(AND('PV IN'!$D$35="YES",$C474&lt;='PV IN'!$E$35*12),0,-'PV IN'!$E$18*'PV IN'!$E$34/12)</f>
        <v>-750</v>
      </c>
      <c r="AH474" s="10">
        <f>IF(AND('PV IN'!$D$37="YES",$C474&lt;='PV IN'!$E$37*12),0,-'PV IN'!$E$18*'PV IN'!$E$36/12)</f>
        <v>-625</v>
      </c>
      <c r="AI474" s="2">
        <f>IF(AND('PV IN'!$D$33="YES",PVCalcs!C474=ROUNDUP('PV IN'!$H$33*12,)),-'PV IN'!$E$33*'PV IN'!$E$18,0)</f>
        <v>0</v>
      </c>
      <c r="AK474" s="2">
        <f t="shared" si="126"/>
        <v>8800.2096289279962</v>
      </c>
      <c r="AL474" s="2">
        <f t="shared" si="114"/>
        <v>-1375</v>
      </c>
      <c r="AM474" s="2">
        <f t="shared" si="115"/>
        <v>7425.2096289279962</v>
      </c>
      <c r="AN474" s="43"/>
      <c r="AO474" s="2">
        <f t="shared" si="116"/>
        <v>0</v>
      </c>
      <c r="AP474" s="2">
        <f t="shared" si="117"/>
        <v>-1375</v>
      </c>
      <c r="AR474" s="2">
        <f t="shared" si="118"/>
        <v>-1375</v>
      </c>
      <c r="AS474" s="2">
        <f>-AR474*'PV IN'!$E$8</f>
        <v>288.75</v>
      </c>
      <c r="AT474" s="2">
        <f>IF('PV IN'!$F$4="Battery Only",0,AM474+AS474)</f>
        <v>7713.9596289279962</v>
      </c>
      <c r="AV474" s="10">
        <f t="shared" si="119"/>
        <v>3347733.8510319996</v>
      </c>
      <c r="AW474" s="2">
        <f>AT474/(1+('PV IN'!$G$9))^(C474)</f>
        <v>1141.2036396327487</v>
      </c>
      <c r="AX474" s="2" t="e">
        <f>IF(C474&lt;='PV IN'!$O$22*12,AW474+AX473,NA())</f>
        <v>#N/A</v>
      </c>
      <c r="AZ474" s="10">
        <f t="shared" si="120"/>
        <v>-1375</v>
      </c>
      <c r="BA474" s="10">
        <f t="shared" si="127"/>
        <v>0</v>
      </c>
      <c r="BB474" s="10">
        <f t="shared" si="121"/>
        <v>-1375</v>
      </c>
      <c r="BC474" s="10">
        <f t="shared" si="122"/>
        <v>0</v>
      </c>
      <c r="BD474" s="10">
        <f t="shared" si="123"/>
        <v>-1375</v>
      </c>
      <c r="BE474" s="2">
        <f t="shared" si="124"/>
        <v>0</v>
      </c>
      <c r="BF474" s="10">
        <f t="shared" si="125"/>
        <v>-1375</v>
      </c>
      <c r="BG474" s="2">
        <f>-BF474*'PV IN'!$E$8</f>
        <v>288.75</v>
      </c>
      <c r="BH474" s="2">
        <f>IF('PV IN'!$F$4="Battery Only",0,BB474+BG474)</f>
        <v>-1086.25</v>
      </c>
      <c r="BI474" s="2">
        <f>BH474/(1+('PV IN'!$G$9))^(C474)</f>
        <v>-160.69988866707931</v>
      </c>
    </row>
    <row r="475" spans="2:61" x14ac:dyDescent="0.25">
      <c r="C475">
        <v>471</v>
      </c>
      <c r="D475" s="16">
        <f>D474*(1+('PV IN'!$G$6/12))</f>
        <v>7.5999999999999998E-2</v>
      </c>
      <c r="E475" s="16">
        <f>LkUP!$U$50</f>
        <v>7.8896523189157505E-2</v>
      </c>
      <c r="F475" s="16">
        <f>IF('PV IN'!$D$7="Table",E475,D475)</f>
        <v>7.8896523189157505E-2</v>
      </c>
      <c r="G475" s="33">
        <f>('PV IN'!$E$25*'PV IN'!$E$18/12)*(1-(1-'PV IN'!$E$27)/(25*12))^C474</f>
        <v>111466.79811762972</v>
      </c>
      <c r="H475" s="33">
        <f>IF('PV IN'!$D$19="YES",G475*'PV IN'!$E$21,0)</f>
        <v>0</v>
      </c>
      <c r="I475" s="33">
        <f>IF('PV IN'!$D$19="YES",'PV IN'!$E$22*BattCalcs!W475,0)</f>
        <v>0</v>
      </c>
      <c r="J475" s="33">
        <f>IF('PV IN'!$D$19="YES",'PV IN'!$E$23*BattCalcs!Y475,0)</f>
        <v>0</v>
      </c>
      <c r="K475" s="33">
        <f>BattCalcs!AF475</f>
        <v>25811.765833333331</v>
      </c>
      <c r="L475" s="33">
        <f t="shared" si="113"/>
        <v>25811.765833333331</v>
      </c>
      <c r="M475" s="33">
        <f>IF('PV IN'!$F$4="PV Only",G475,G475-SUM(H475:J475,L475))</f>
        <v>111466.79811762972</v>
      </c>
      <c r="N475" s="2">
        <f>IF(C475&lt;='PV IN'!$I$12*12,'PV IN'!$E$12*G475/1000,0)</f>
        <v>0</v>
      </c>
      <c r="O475" s="2">
        <f>IF(AND(C475&gt;'PV IN'!$I$12*12,C475&lt;='PV IN'!$I$13*12+'PV IN'!$I$12*12),'PV IN'!$E$13*PVCalcs!G475/1000,0)</f>
        <v>0</v>
      </c>
      <c r="P475" s="2">
        <f>IF(AND(C475&gt;'PV IN'!$I$12*12+'PV IN'!$I$13*12,C475&lt;='PV IN'!$I$12*12+'PV IN'!$I$13*12+'PV IN'!$I$14*12),'PV IN'!$E$14*PVCalcs!G475/1000,0)</f>
        <v>0</v>
      </c>
      <c r="R475" s="10">
        <f>IF(AND('PV IN'!$D$35="YES",$C475&lt;='PV IN'!$E$35*12),-'PV IN'!$E$18*'PV IN'!$E$34/12,0)</f>
        <v>0</v>
      </c>
      <c r="S475" s="10">
        <f>IF(AND('PV IN'!$D$37="YES",$C475&lt;='PV IN'!$E$37*12),-'PV IN'!$E$18*'PV IN'!$E$36/12,0)</f>
        <v>0</v>
      </c>
      <c r="U475" s="2">
        <f t="shared" si="128"/>
        <v>8794.3428225087118</v>
      </c>
      <c r="V475" s="10">
        <f>PVLoan!M502</f>
        <v>0</v>
      </c>
      <c r="W475" s="2">
        <f>IF(C475='PV IN'!$I$40,IF('PV IN'!$G$40="Non-Taxable",'PV IN'!$F$40,0),0)+IF(C475='PV IN'!$I$41,IF('PV IN'!$G$41="Non-Taxable",'PV IN'!$F$41,0),0)</f>
        <v>0</v>
      </c>
      <c r="X475" s="10"/>
      <c r="Y475" s="10">
        <f>IF('PV IN'!$E$15="Non-Taxable",SUM(N475:P475),0)</f>
        <v>0</v>
      </c>
      <c r="Z475" s="10">
        <f>IF('PV IN'!$E$15="Taxable",SUM(N475:P475),0)</f>
        <v>0</v>
      </c>
      <c r="AA475" s="2">
        <f>IF(C475='PV IN'!$I$40,IF('PV IN'!$G$40="Taxable",'PV IN'!$F$40,0),0)+IF(C475='PV IN'!$I$41,IF('PV IN'!$G$41="Taxable",'PV IN'!$F$41,0),0)</f>
        <v>0</v>
      </c>
      <c r="AD475" s="10">
        <f>IF('PV IN'!$D$48="YES",-U475*'PV IN'!$E$8,0)</f>
        <v>0</v>
      </c>
      <c r="AE475" s="10">
        <f>IF('PV IN'!$N$10="Yes",-PVLoan!H503,-PVLoan!L503)</f>
        <v>0</v>
      </c>
      <c r="AF475" s="10">
        <f>IF('PV IN'!$N$10="Yes",-PVLoan!F503,0)</f>
        <v>0</v>
      </c>
      <c r="AG475" s="10">
        <f>IF(AND('PV IN'!$D$35="YES",$C475&lt;='PV IN'!$E$35*12),0,-'PV IN'!$E$18*'PV IN'!$E$34/12)</f>
        <v>-750</v>
      </c>
      <c r="AH475" s="10">
        <f>IF(AND('PV IN'!$D$37="YES",$C475&lt;='PV IN'!$E$37*12),0,-'PV IN'!$E$18*'PV IN'!$E$36/12)</f>
        <v>-625</v>
      </c>
      <c r="AI475" s="2">
        <f>IF(AND('PV IN'!$D$33="YES",PVCalcs!C475=ROUNDUP('PV IN'!$H$33*12,)),-'PV IN'!$E$33*'PV IN'!$E$18,0)</f>
        <v>0</v>
      </c>
      <c r="AK475" s="2">
        <f t="shared" si="126"/>
        <v>8794.3428225087118</v>
      </c>
      <c r="AL475" s="2">
        <f t="shared" si="114"/>
        <v>-1375</v>
      </c>
      <c r="AM475" s="2">
        <f t="shared" si="115"/>
        <v>7419.3428225087118</v>
      </c>
      <c r="AN475" s="43"/>
      <c r="AO475" s="2">
        <f t="shared" si="116"/>
        <v>0</v>
      </c>
      <c r="AP475" s="2">
        <f t="shared" si="117"/>
        <v>-1375</v>
      </c>
      <c r="AR475" s="2">
        <f t="shared" si="118"/>
        <v>-1375</v>
      </c>
      <c r="AS475" s="2">
        <f>-AR475*'PV IN'!$E$8</f>
        <v>288.75</v>
      </c>
      <c r="AT475" s="2">
        <f>IF('PV IN'!$F$4="Battery Only",0,AM475+AS475)</f>
        <v>7708.0928225087118</v>
      </c>
      <c r="AV475" s="10">
        <f t="shared" si="119"/>
        <v>3355441.9438545085</v>
      </c>
      <c r="AW475" s="2">
        <f>AT475/(1+('PV IN'!$G$9))^(C475)</f>
        <v>1135.7086861775638</v>
      </c>
      <c r="AX475" s="2" t="e">
        <f>IF(C475&lt;='PV IN'!$O$22*12,AW475+AX474,NA())</f>
        <v>#N/A</v>
      </c>
      <c r="AZ475" s="10">
        <f t="shared" si="120"/>
        <v>-1375</v>
      </c>
      <c r="BA475" s="10">
        <f t="shared" si="127"/>
        <v>0</v>
      </c>
      <c r="BB475" s="10">
        <f t="shared" si="121"/>
        <v>-1375</v>
      </c>
      <c r="BC475" s="10">
        <f t="shared" si="122"/>
        <v>0</v>
      </c>
      <c r="BD475" s="10">
        <f t="shared" si="123"/>
        <v>-1375</v>
      </c>
      <c r="BE475" s="2">
        <f t="shared" si="124"/>
        <v>0</v>
      </c>
      <c r="BF475" s="10">
        <f t="shared" si="125"/>
        <v>-1375</v>
      </c>
      <c r="BG475" s="2">
        <f>-BF475*'PV IN'!$E$8</f>
        <v>288.75</v>
      </c>
      <c r="BH475" s="2">
        <f>IF('PV IN'!$F$4="Battery Only",0,BB475+BG475)</f>
        <v>-1086.25</v>
      </c>
      <c r="BI475" s="2">
        <f>BH475/(1+('PV IN'!$G$9))^(C475)</f>
        <v>-160.04783398013942</v>
      </c>
    </row>
    <row r="476" spans="2:61" x14ac:dyDescent="0.25">
      <c r="C476">
        <v>472</v>
      </c>
      <c r="D476" s="16">
        <f>D475*(1+('PV IN'!$G$6/12))</f>
        <v>7.5999999999999998E-2</v>
      </c>
      <c r="E476" s="16">
        <f>LkUP!$U$50</f>
        <v>7.8896523189157505E-2</v>
      </c>
      <c r="F476" s="16">
        <f>IF('PV IN'!$D$7="Table",E476,D476)</f>
        <v>7.8896523189157505E-2</v>
      </c>
      <c r="G476" s="33">
        <f>('PV IN'!$E$25*'PV IN'!$E$18/12)*(1-(1-'PV IN'!$E$27)/(25*12))^C475</f>
        <v>111392.48691888464</v>
      </c>
      <c r="H476" s="33">
        <f>IF('PV IN'!$D$19="YES",G476*'PV IN'!$E$21,0)</f>
        <v>0</v>
      </c>
      <c r="I476" s="33">
        <f>IF('PV IN'!$D$19="YES",'PV IN'!$E$22*BattCalcs!W476,0)</f>
        <v>0</v>
      </c>
      <c r="J476" s="33">
        <f>IF('PV IN'!$D$19="YES",'PV IN'!$E$23*BattCalcs!Y476,0)</f>
        <v>0</v>
      </c>
      <c r="K476" s="33">
        <f>BattCalcs!AF476</f>
        <v>25811.765833333331</v>
      </c>
      <c r="L476" s="33">
        <f t="shared" si="113"/>
        <v>25811.765833333331</v>
      </c>
      <c r="M476" s="33">
        <f>IF('PV IN'!$F$4="PV Only",G476,G476-SUM(H476:J476,L476))</f>
        <v>111392.48691888464</v>
      </c>
      <c r="N476" s="2">
        <f>IF(C476&lt;='PV IN'!$I$12*12,'PV IN'!$E$12*G476/1000,0)</f>
        <v>0</v>
      </c>
      <c r="O476" s="2">
        <f>IF(AND(C476&gt;'PV IN'!$I$12*12,C476&lt;='PV IN'!$I$13*12+'PV IN'!$I$12*12),'PV IN'!$E$13*PVCalcs!G476/1000,0)</f>
        <v>0</v>
      </c>
      <c r="P476" s="2">
        <f>IF(AND(C476&gt;'PV IN'!$I$12*12+'PV IN'!$I$13*12,C476&lt;='PV IN'!$I$12*12+'PV IN'!$I$13*12+'PV IN'!$I$14*12),'PV IN'!$E$14*PVCalcs!G476/1000,0)</f>
        <v>0</v>
      </c>
      <c r="R476" s="10">
        <f>IF(AND('PV IN'!$D$35="YES",$C476&lt;='PV IN'!$E$35*12),-'PV IN'!$E$18*'PV IN'!$E$34/12,0)</f>
        <v>0</v>
      </c>
      <c r="S476" s="10">
        <f>IF(AND('PV IN'!$D$37="YES",$C476&lt;='PV IN'!$E$37*12),-'PV IN'!$E$18*'PV IN'!$E$36/12,0)</f>
        <v>0</v>
      </c>
      <c r="U476" s="2">
        <f t="shared" si="128"/>
        <v>8788.4799272937053</v>
      </c>
      <c r="V476" s="10">
        <f>PVLoan!M503</f>
        <v>0</v>
      </c>
      <c r="W476" s="2">
        <f>IF(C476='PV IN'!$I$40,IF('PV IN'!$G$40="Non-Taxable",'PV IN'!$F$40,0),0)+IF(C476='PV IN'!$I$41,IF('PV IN'!$G$41="Non-Taxable",'PV IN'!$F$41,0),0)</f>
        <v>0</v>
      </c>
      <c r="X476" s="10"/>
      <c r="Y476" s="10">
        <f>IF('PV IN'!$E$15="Non-Taxable",SUM(N476:P476),0)</f>
        <v>0</v>
      </c>
      <c r="Z476" s="10">
        <f>IF('PV IN'!$E$15="Taxable",SUM(N476:P476),0)</f>
        <v>0</v>
      </c>
      <c r="AA476" s="2">
        <f>IF(C476='PV IN'!$I$40,IF('PV IN'!$G$40="Taxable",'PV IN'!$F$40,0),0)+IF(C476='PV IN'!$I$41,IF('PV IN'!$G$41="Taxable",'PV IN'!$F$41,0),0)</f>
        <v>0</v>
      </c>
      <c r="AD476" s="10">
        <f>IF('PV IN'!$D$48="YES",-U476*'PV IN'!$E$8,0)</f>
        <v>0</v>
      </c>
      <c r="AE476" s="10">
        <f>IF('PV IN'!$N$10="Yes",-PVLoan!H504,-PVLoan!L504)</f>
        <v>0</v>
      </c>
      <c r="AF476" s="10">
        <f>IF('PV IN'!$N$10="Yes",-PVLoan!F504,0)</f>
        <v>0</v>
      </c>
      <c r="AG476" s="10">
        <f>IF(AND('PV IN'!$D$35="YES",$C476&lt;='PV IN'!$E$35*12),0,-'PV IN'!$E$18*'PV IN'!$E$34/12)</f>
        <v>-750</v>
      </c>
      <c r="AH476" s="10">
        <f>IF(AND('PV IN'!$D$37="YES",$C476&lt;='PV IN'!$E$37*12),0,-'PV IN'!$E$18*'PV IN'!$E$36/12)</f>
        <v>-625</v>
      </c>
      <c r="AI476" s="2">
        <f>IF(AND('PV IN'!$D$33="YES",PVCalcs!C476=ROUNDUP('PV IN'!$H$33*12,)),-'PV IN'!$E$33*'PV IN'!$E$18,0)</f>
        <v>0</v>
      </c>
      <c r="AK476" s="2">
        <f t="shared" si="126"/>
        <v>8788.4799272937053</v>
      </c>
      <c r="AL476" s="2">
        <f t="shared" si="114"/>
        <v>-1375</v>
      </c>
      <c r="AM476" s="2">
        <f t="shared" si="115"/>
        <v>7413.4799272937053</v>
      </c>
      <c r="AN476" s="43"/>
      <c r="AO476" s="2">
        <f t="shared" si="116"/>
        <v>0</v>
      </c>
      <c r="AP476" s="2">
        <f t="shared" si="117"/>
        <v>-1375</v>
      </c>
      <c r="AR476" s="2">
        <f t="shared" si="118"/>
        <v>-1375</v>
      </c>
      <c r="AS476" s="2">
        <f>-AR476*'PV IN'!$E$8</f>
        <v>288.75</v>
      </c>
      <c r="AT476" s="2">
        <f>IF('PV IN'!$F$4="Battery Only",0,AM476+AS476)</f>
        <v>7702.2299272937053</v>
      </c>
      <c r="AV476" s="10">
        <f t="shared" si="119"/>
        <v>3363144.1737818019</v>
      </c>
      <c r="AW476" s="2">
        <f>AT476/(1+('PV IN'!$G$9))^(C476)</f>
        <v>1130.2401103825155</v>
      </c>
      <c r="AX476" s="2" t="e">
        <f>IF(C476&lt;='PV IN'!$O$22*12,AW476+AX475,NA())</f>
        <v>#N/A</v>
      </c>
      <c r="AZ476" s="10">
        <f t="shared" si="120"/>
        <v>-1375</v>
      </c>
      <c r="BA476" s="10">
        <f t="shared" si="127"/>
        <v>0</v>
      </c>
      <c r="BB476" s="10">
        <f t="shared" si="121"/>
        <v>-1375</v>
      </c>
      <c r="BC476" s="10">
        <f t="shared" si="122"/>
        <v>0</v>
      </c>
      <c r="BD476" s="10">
        <f t="shared" si="123"/>
        <v>-1375</v>
      </c>
      <c r="BE476" s="2">
        <f t="shared" si="124"/>
        <v>0</v>
      </c>
      <c r="BF476" s="10">
        <f t="shared" si="125"/>
        <v>-1375</v>
      </c>
      <c r="BG476" s="2">
        <f>-BF476*'PV IN'!$E$8</f>
        <v>288.75</v>
      </c>
      <c r="BH476" s="2">
        <f>IF('PV IN'!$F$4="Battery Only",0,BB476+BG476)</f>
        <v>-1086.25</v>
      </c>
      <c r="BI476" s="2">
        <f>BH476/(1+('PV IN'!$G$9))^(C476)</f>
        <v>-159.39842506550391</v>
      </c>
    </row>
    <row r="477" spans="2:61" x14ac:dyDescent="0.25">
      <c r="C477">
        <v>473</v>
      </c>
      <c r="D477" s="16">
        <f>D476*(1+('PV IN'!$G$6/12))</f>
        <v>7.5999999999999998E-2</v>
      </c>
      <c r="E477" s="16">
        <f>LkUP!$U$50</f>
        <v>7.8896523189157505E-2</v>
      </c>
      <c r="F477" s="16">
        <f>IF('PV IN'!$D$7="Table",E477,D477)</f>
        <v>7.8896523189157505E-2</v>
      </c>
      <c r="G477" s="33">
        <f>('PV IN'!$E$25*'PV IN'!$E$18/12)*(1-(1-'PV IN'!$E$27)/(25*12))^C476</f>
        <v>111318.22526093871</v>
      </c>
      <c r="H477" s="33">
        <f>IF('PV IN'!$D$19="YES",G477*'PV IN'!$E$21,0)</f>
        <v>0</v>
      </c>
      <c r="I477" s="33">
        <f>IF('PV IN'!$D$19="YES",'PV IN'!$E$22*BattCalcs!W477,0)</f>
        <v>0</v>
      </c>
      <c r="J477" s="33">
        <f>IF('PV IN'!$D$19="YES",'PV IN'!$E$23*BattCalcs!Y477,0)</f>
        <v>0</v>
      </c>
      <c r="K477" s="33">
        <f>BattCalcs!AF477</f>
        <v>25811.765833333331</v>
      </c>
      <c r="L477" s="33">
        <f t="shared" si="113"/>
        <v>25811.765833333331</v>
      </c>
      <c r="M477" s="33">
        <f>IF('PV IN'!$F$4="PV Only",G477,G477-SUM(H477:J477,L477))</f>
        <v>111318.22526093871</v>
      </c>
      <c r="N477" s="2">
        <f>IF(C477&lt;='PV IN'!$I$12*12,'PV IN'!$E$12*G477/1000,0)</f>
        <v>0</v>
      </c>
      <c r="O477" s="2">
        <f>IF(AND(C477&gt;'PV IN'!$I$12*12,C477&lt;='PV IN'!$I$13*12+'PV IN'!$I$12*12),'PV IN'!$E$13*PVCalcs!G477/1000,0)</f>
        <v>0</v>
      </c>
      <c r="P477" s="2">
        <f>IF(AND(C477&gt;'PV IN'!$I$12*12+'PV IN'!$I$13*12,C477&lt;='PV IN'!$I$12*12+'PV IN'!$I$13*12+'PV IN'!$I$14*12),'PV IN'!$E$14*PVCalcs!G477/1000,0)</f>
        <v>0</v>
      </c>
      <c r="R477" s="10">
        <f>IF(AND('PV IN'!$D$35="YES",$C477&lt;='PV IN'!$E$35*12),-'PV IN'!$E$18*'PV IN'!$E$34/12,0)</f>
        <v>0</v>
      </c>
      <c r="S477" s="10">
        <f>IF(AND('PV IN'!$D$37="YES",$C477&lt;='PV IN'!$E$37*12),-'PV IN'!$E$18*'PV IN'!$E$36/12,0)</f>
        <v>0</v>
      </c>
      <c r="U477" s="2">
        <f t="shared" si="128"/>
        <v>8782.6209406755097</v>
      </c>
      <c r="V477" s="10">
        <f>PVLoan!M504</f>
        <v>0</v>
      </c>
      <c r="W477" s="2">
        <f>IF(C477='PV IN'!$I$40,IF('PV IN'!$G$40="Non-Taxable",'PV IN'!$F$40,0),0)+IF(C477='PV IN'!$I$41,IF('PV IN'!$G$41="Non-Taxable",'PV IN'!$F$41,0),0)</f>
        <v>0</v>
      </c>
      <c r="X477" s="10"/>
      <c r="Y477" s="10">
        <f>IF('PV IN'!$E$15="Non-Taxable",SUM(N477:P477),0)</f>
        <v>0</v>
      </c>
      <c r="Z477" s="10">
        <f>IF('PV IN'!$E$15="Taxable",SUM(N477:P477),0)</f>
        <v>0</v>
      </c>
      <c r="AA477" s="2">
        <f>IF(C477='PV IN'!$I$40,IF('PV IN'!$G$40="Taxable",'PV IN'!$F$40,0),0)+IF(C477='PV IN'!$I$41,IF('PV IN'!$G$41="Taxable",'PV IN'!$F$41,0),0)</f>
        <v>0</v>
      </c>
      <c r="AD477" s="10">
        <f>IF('PV IN'!$D$48="YES",-U477*'PV IN'!$E$8,0)</f>
        <v>0</v>
      </c>
      <c r="AE477" s="10">
        <f>IF('PV IN'!$N$10="Yes",-PVLoan!H505,-PVLoan!L505)</f>
        <v>0</v>
      </c>
      <c r="AF477" s="10">
        <f>IF('PV IN'!$N$10="Yes",-PVLoan!F505,0)</f>
        <v>0</v>
      </c>
      <c r="AG477" s="10">
        <f>IF(AND('PV IN'!$D$35="YES",$C477&lt;='PV IN'!$E$35*12),0,-'PV IN'!$E$18*'PV IN'!$E$34/12)</f>
        <v>-750</v>
      </c>
      <c r="AH477" s="10">
        <f>IF(AND('PV IN'!$D$37="YES",$C477&lt;='PV IN'!$E$37*12),0,-'PV IN'!$E$18*'PV IN'!$E$36/12)</f>
        <v>-625</v>
      </c>
      <c r="AI477" s="2">
        <f>IF(AND('PV IN'!$D$33="YES",PVCalcs!C477=ROUNDUP('PV IN'!$H$33*12,)),-'PV IN'!$E$33*'PV IN'!$E$18,0)</f>
        <v>0</v>
      </c>
      <c r="AK477" s="2">
        <f t="shared" si="126"/>
        <v>8782.6209406755097</v>
      </c>
      <c r="AL477" s="2">
        <f t="shared" si="114"/>
        <v>-1375</v>
      </c>
      <c r="AM477" s="2">
        <f t="shared" si="115"/>
        <v>7407.6209406755097</v>
      </c>
      <c r="AN477" s="43"/>
      <c r="AO477" s="2">
        <f t="shared" si="116"/>
        <v>0</v>
      </c>
      <c r="AP477" s="2">
        <f t="shared" si="117"/>
        <v>-1375</v>
      </c>
      <c r="AR477" s="2">
        <f t="shared" si="118"/>
        <v>-1375</v>
      </c>
      <c r="AS477" s="2">
        <f>-AR477*'PV IN'!$E$8</f>
        <v>288.75</v>
      </c>
      <c r="AT477" s="2">
        <f>IF('PV IN'!$F$4="Battery Only",0,AM477+AS477)</f>
        <v>7696.3709406755097</v>
      </c>
      <c r="AV477" s="10">
        <f t="shared" si="119"/>
        <v>3370840.5447224774</v>
      </c>
      <c r="AW477" s="2">
        <f>AT477/(1+('PV IN'!$G$9))^(C477)</f>
        <v>1124.7977859473599</v>
      </c>
      <c r="AX477" s="2" t="e">
        <f>IF(C477&lt;='PV IN'!$O$22*12,AW477+AX476,NA())</f>
        <v>#N/A</v>
      </c>
      <c r="AZ477" s="10">
        <f t="shared" si="120"/>
        <v>-1375</v>
      </c>
      <c r="BA477" s="10">
        <f t="shared" si="127"/>
        <v>0</v>
      </c>
      <c r="BB477" s="10">
        <f t="shared" si="121"/>
        <v>-1375</v>
      </c>
      <c r="BC477" s="10">
        <f t="shared" si="122"/>
        <v>0</v>
      </c>
      <c r="BD477" s="10">
        <f t="shared" si="123"/>
        <v>-1375</v>
      </c>
      <c r="BE477" s="2">
        <f t="shared" si="124"/>
        <v>0</v>
      </c>
      <c r="BF477" s="10">
        <f t="shared" si="125"/>
        <v>-1375</v>
      </c>
      <c r="BG477" s="2">
        <f>-BF477*'PV IN'!$E$8</f>
        <v>288.75</v>
      </c>
      <c r="BH477" s="2">
        <f>IF('PV IN'!$F$4="Battery Only",0,BB477+BG477)</f>
        <v>-1086.25</v>
      </c>
      <c r="BI477" s="2">
        <f>BH477/(1+('PV IN'!$G$9))^(C477)</f>
        <v>-158.75165118770659</v>
      </c>
    </row>
    <row r="478" spans="2:61" x14ac:dyDescent="0.25">
      <c r="C478">
        <v>474</v>
      </c>
      <c r="D478" s="16">
        <f>D477*(1+('PV IN'!$G$6/12))</f>
        <v>7.5999999999999998E-2</v>
      </c>
      <c r="E478" s="16">
        <f>LkUP!$U$50</f>
        <v>7.8896523189157505E-2</v>
      </c>
      <c r="F478" s="16">
        <f>IF('PV IN'!$D$7="Table",E478,D478)</f>
        <v>7.8896523189157505E-2</v>
      </c>
      <c r="G478" s="33">
        <f>('PV IN'!$E$25*'PV IN'!$E$18/12)*(1-(1-'PV IN'!$E$27)/(25*12))^C477</f>
        <v>111244.01311076475</v>
      </c>
      <c r="H478" s="33">
        <f>IF('PV IN'!$D$19="YES",G478*'PV IN'!$E$21,0)</f>
        <v>0</v>
      </c>
      <c r="I478" s="33">
        <f>IF('PV IN'!$D$19="YES",'PV IN'!$E$22*BattCalcs!W478,0)</f>
        <v>0</v>
      </c>
      <c r="J478" s="33">
        <f>IF('PV IN'!$D$19="YES",'PV IN'!$E$23*BattCalcs!Y478,0)</f>
        <v>0</v>
      </c>
      <c r="K478" s="33">
        <f>BattCalcs!AF478</f>
        <v>25811.765833333331</v>
      </c>
      <c r="L478" s="33">
        <f t="shared" si="113"/>
        <v>25811.765833333331</v>
      </c>
      <c r="M478" s="33">
        <f>IF('PV IN'!$F$4="PV Only",G478,G478-SUM(H478:J478,L478))</f>
        <v>111244.01311076475</v>
      </c>
      <c r="N478" s="2">
        <f>IF(C478&lt;='PV IN'!$I$12*12,'PV IN'!$E$12*G478/1000,0)</f>
        <v>0</v>
      </c>
      <c r="O478" s="2">
        <f>IF(AND(C478&gt;'PV IN'!$I$12*12,C478&lt;='PV IN'!$I$13*12+'PV IN'!$I$12*12),'PV IN'!$E$13*PVCalcs!G478/1000,0)</f>
        <v>0</v>
      </c>
      <c r="P478" s="2">
        <f>IF(AND(C478&gt;'PV IN'!$I$12*12+'PV IN'!$I$13*12,C478&lt;='PV IN'!$I$12*12+'PV IN'!$I$13*12+'PV IN'!$I$14*12),'PV IN'!$E$14*PVCalcs!G478/1000,0)</f>
        <v>0</v>
      </c>
      <c r="R478" s="10">
        <f>IF(AND('PV IN'!$D$35="YES",$C478&lt;='PV IN'!$E$35*12),-'PV IN'!$E$18*'PV IN'!$E$34/12,0)</f>
        <v>0</v>
      </c>
      <c r="S478" s="10">
        <f>IF(AND('PV IN'!$D$37="YES",$C478&lt;='PV IN'!$E$37*12),-'PV IN'!$E$18*'PV IN'!$E$36/12,0)</f>
        <v>0</v>
      </c>
      <c r="U478" s="2">
        <f t="shared" si="128"/>
        <v>8776.7658600483919</v>
      </c>
      <c r="V478" s="10">
        <f>PVLoan!M505</f>
        <v>0</v>
      </c>
      <c r="W478" s="2">
        <f>IF(C478='PV IN'!$I$40,IF('PV IN'!$G$40="Non-Taxable",'PV IN'!$F$40,0),0)+IF(C478='PV IN'!$I$41,IF('PV IN'!$G$41="Non-Taxable",'PV IN'!$F$41,0),0)</f>
        <v>0</v>
      </c>
      <c r="X478" s="10"/>
      <c r="Y478" s="10">
        <f>IF('PV IN'!$E$15="Non-Taxable",SUM(N478:P478),0)</f>
        <v>0</v>
      </c>
      <c r="Z478" s="10">
        <f>IF('PV IN'!$E$15="Taxable",SUM(N478:P478),0)</f>
        <v>0</v>
      </c>
      <c r="AA478" s="2">
        <f>IF(C478='PV IN'!$I$40,IF('PV IN'!$G$40="Taxable",'PV IN'!$F$40,0),0)+IF(C478='PV IN'!$I$41,IF('PV IN'!$G$41="Taxable",'PV IN'!$F$41,0),0)</f>
        <v>0</v>
      </c>
      <c r="AD478" s="10">
        <f>IF('PV IN'!$D$48="YES",-U478*'PV IN'!$E$8,0)</f>
        <v>0</v>
      </c>
      <c r="AE478" s="10">
        <f>IF('PV IN'!$N$10="Yes",-PVLoan!H506,-PVLoan!L506)</f>
        <v>0</v>
      </c>
      <c r="AF478" s="10">
        <f>IF('PV IN'!$N$10="Yes",-PVLoan!F506,0)</f>
        <v>0</v>
      </c>
      <c r="AG478" s="10">
        <f>IF(AND('PV IN'!$D$35="YES",$C478&lt;='PV IN'!$E$35*12),0,-'PV IN'!$E$18*'PV IN'!$E$34/12)</f>
        <v>-750</v>
      </c>
      <c r="AH478" s="10">
        <f>IF(AND('PV IN'!$D$37="YES",$C478&lt;='PV IN'!$E$37*12),0,-'PV IN'!$E$18*'PV IN'!$E$36/12)</f>
        <v>-625</v>
      </c>
      <c r="AI478" s="2">
        <f>IF(AND('PV IN'!$D$33="YES",PVCalcs!C478=ROUNDUP('PV IN'!$H$33*12,)),-'PV IN'!$E$33*'PV IN'!$E$18,0)</f>
        <v>0</v>
      </c>
      <c r="AK478" s="2">
        <f t="shared" si="126"/>
        <v>8776.7658600483919</v>
      </c>
      <c r="AL478" s="2">
        <f t="shared" si="114"/>
        <v>-1375</v>
      </c>
      <c r="AM478" s="2">
        <f t="shared" si="115"/>
        <v>7401.7658600483919</v>
      </c>
      <c r="AN478" s="43"/>
      <c r="AO478" s="2">
        <f t="shared" si="116"/>
        <v>0</v>
      </c>
      <c r="AP478" s="2">
        <f t="shared" si="117"/>
        <v>-1375</v>
      </c>
      <c r="AR478" s="2">
        <f t="shared" si="118"/>
        <v>-1375</v>
      </c>
      <c r="AS478" s="2">
        <f>-AR478*'PV IN'!$E$8</f>
        <v>288.75</v>
      </c>
      <c r="AT478" s="2">
        <f>IF('PV IN'!$F$4="Battery Only",0,AM478+AS478)</f>
        <v>7690.5158600483919</v>
      </c>
      <c r="AV478" s="10">
        <f t="shared" si="119"/>
        <v>3378531.060582526</v>
      </c>
      <c r="AW478" s="2">
        <f>AT478/(1+('PV IN'!$G$9))^(C478)</f>
        <v>1119.3815871753143</v>
      </c>
      <c r="AX478" s="2" t="e">
        <f>IF(C478&lt;='PV IN'!$O$22*12,AW478+AX477,NA())</f>
        <v>#N/A</v>
      </c>
      <c r="AZ478" s="10">
        <f t="shared" si="120"/>
        <v>-1375</v>
      </c>
      <c r="BA478" s="10">
        <f t="shared" si="127"/>
        <v>0</v>
      </c>
      <c r="BB478" s="10">
        <f t="shared" si="121"/>
        <v>-1375</v>
      </c>
      <c r="BC478" s="10">
        <f t="shared" si="122"/>
        <v>0</v>
      </c>
      <c r="BD478" s="10">
        <f t="shared" si="123"/>
        <v>-1375</v>
      </c>
      <c r="BE478" s="2">
        <f t="shared" si="124"/>
        <v>0</v>
      </c>
      <c r="BF478" s="10">
        <f t="shared" si="125"/>
        <v>-1375</v>
      </c>
      <c r="BG478" s="2">
        <f>-BF478*'PV IN'!$E$8</f>
        <v>288.75</v>
      </c>
      <c r="BH478" s="2">
        <f>IF('PV IN'!$F$4="Battery Only",0,BB478+BG478)</f>
        <v>-1086.25</v>
      </c>
      <c r="BI478" s="2">
        <f>BH478/(1+('PV IN'!$G$9))^(C478)</f>
        <v>-158.1075016548414</v>
      </c>
    </row>
    <row r="479" spans="2:61" x14ac:dyDescent="0.25">
      <c r="C479">
        <v>475</v>
      </c>
      <c r="D479" s="16">
        <f>D478*(1+('PV IN'!$G$6/12))</f>
        <v>7.5999999999999998E-2</v>
      </c>
      <c r="E479" s="16">
        <f>LkUP!$U$50</f>
        <v>7.8896523189157505E-2</v>
      </c>
      <c r="F479" s="16">
        <f>IF('PV IN'!$D$7="Table",E479,D479)</f>
        <v>7.8896523189157505E-2</v>
      </c>
      <c r="G479" s="33">
        <f>('PV IN'!$E$25*'PV IN'!$E$18/12)*(1-(1-'PV IN'!$E$27)/(25*12))^C478</f>
        <v>111169.85043535756</v>
      </c>
      <c r="H479" s="33">
        <f>IF('PV IN'!$D$19="YES",G479*'PV IN'!$E$21,0)</f>
        <v>0</v>
      </c>
      <c r="I479" s="33">
        <f>IF('PV IN'!$D$19="YES",'PV IN'!$E$22*BattCalcs!W479,0)</f>
        <v>0</v>
      </c>
      <c r="J479" s="33">
        <f>IF('PV IN'!$D$19="YES",'PV IN'!$E$23*BattCalcs!Y479,0)</f>
        <v>0</v>
      </c>
      <c r="K479" s="33">
        <f>BattCalcs!AF479</f>
        <v>25811.765833333331</v>
      </c>
      <c r="L479" s="33">
        <f t="shared" si="113"/>
        <v>25811.765833333331</v>
      </c>
      <c r="M479" s="33">
        <f>IF('PV IN'!$F$4="PV Only",G479,G479-SUM(H479:J479,L479))</f>
        <v>111169.85043535756</v>
      </c>
      <c r="N479" s="2">
        <f>IF(C479&lt;='PV IN'!$I$12*12,'PV IN'!$E$12*G479/1000,0)</f>
        <v>0</v>
      </c>
      <c r="O479" s="2">
        <f>IF(AND(C479&gt;'PV IN'!$I$12*12,C479&lt;='PV IN'!$I$13*12+'PV IN'!$I$12*12),'PV IN'!$E$13*PVCalcs!G479/1000,0)</f>
        <v>0</v>
      </c>
      <c r="P479" s="2">
        <f>IF(AND(C479&gt;'PV IN'!$I$12*12+'PV IN'!$I$13*12,C479&lt;='PV IN'!$I$12*12+'PV IN'!$I$13*12+'PV IN'!$I$14*12),'PV IN'!$E$14*PVCalcs!G479/1000,0)</f>
        <v>0</v>
      </c>
      <c r="R479" s="10">
        <f>IF(AND('PV IN'!$D$35="YES",$C479&lt;='PV IN'!$E$35*12),-'PV IN'!$E$18*'PV IN'!$E$34/12,0)</f>
        <v>0</v>
      </c>
      <c r="S479" s="10">
        <f>IF(AND('PV IN'!$D$37="YES",$C479&lt;='PV IN'!$E$37*12),-'PV IN'!$E$18*'PV IN'!$E$36/12,0)</f>
        <v>0</v>
      </c>
      <c r="U479" s="2">
        <f t="shared" si="128"/>
        <v>8770.9146828083594</v>
      </c>
      <c r="V479" s="10">
        <f>PVLoan!M506</f>
        <v>0</v>
      </c>
      <c r="W479" s="2">
        <f>IF(C479='PV IN'!$I$40,IF('PV IN'!$G$40="Non-Taxable",'PV IN'!$F$40,0),0)+IF(C479='PV IN'!$I$41,IF('PV IN'!$G$41="Non-Taxable",'PV IN'!$F$41,0),0)</f>
        <v>0</v>
      </c>
      <c r="X479" s="10"/>
      <c r="Y479" s="10">
        <f>IF('PV IN'!$E$15="Non-Taxable",SUM(N479:P479),0)</f>
        <v>0</v>
      </c>
      <c r="Z479" s="10">
        <f>IF('PV IN'!$E$15="Taxable",SUM(N479:P479),0)</f>
        <v>0</v>
      </c>
      <c r="AA479" s="2">
        <f>IF(C479='PV IN'!$I$40,IF('PV IN'!$G$40="Taxable",'PV IN'!$F$40,0),0)+IF(C479='PV IN'!$I$41,IF('PV IN'!$G$41="Taxable",'PV IN'!$F$41,0),0)</f>
        <v>0</v>
      </c>
      <c r="AD479" s="10">
        <f>IF('PV IN'!$D$48="YES",-U479*'PV IN'!$E$8,0)</f>
        <v>0</v>
      </c>
      <c r="AE479" s="10">
        <f>IF('PV IN'!$N$10="Yes",-PVLoan!H507,-PVLoan!L507)</f>
        <v>0</v>
      </c>
      <c r="AF479" s="10">
        <f>IF('PV IN'!$N$10="Yes",-PVLoan!F507,0)</f>
        <v>0</v>
      </c>
      <c r="AG479" s="10">
        <f>IF(AND('PV IN'!$D$35="YES",$C479&lt;='PV IN'!$E$35*12),0,-'PV IN'!$E$18*'PV IN'!$E$34/12)</f>
        <v>-750</v>
      </c>
      <c r="AH479" s="10">
        <f>IF(AND('PV IN'!$D$37="YES",$C479&lt;='PV IN'!$E$37*12),0,-'PV IN'!$E$18*'PV IN'!$E$36/12)</f>
        <v>-625</v>
      </c>
      <c r="AI479" s="2">
        <f>IF(AND('PV IN'!$D$33="YES",PVCalcs!C479=ROUNDUP('PV IN'!$H$33*12,)),-'PV IN'!$E$33*'PV IN'!$E$18,0)</f>
        <v>0</v>
      </c>
      <c r="AK479" s="2">
        <f t="shared" si="126"/>
        <v>8770.9146828083594</v>
      </c>
      <c r="AL479" s="2">
        <f t="shared" si="114"/>
        <v>-1375</v>
      </c>
      <c r="AM479" s="2">
        <f t="shared" si="115"/>
        <v>7395.9146828083594</v>
      </c>
      <c r="AN479" s="43"/>
      <c r="AO479" s="2">
        <f t="shared" si="116"/>
        <v>0</v>
      </c>
      <c r="AP479" s="2">
        <f t="shared" si="117"/>
        <v>-1375</v>
      </c>
      <c r="AR479" s="2">
        <f t="shared" si="118"/>
        <v>-1375</v>
      </c>
      <c r="AS479" s="2">
        <f>-AR479*'PV IN'!$E$8</f>
        <v>288.75</v>
      </c>
      <c r="AT479" s="2">
        <f>IF('PV IN'!$F$4="Battery Only",0,AM479+AS479)</f>
        <v>7684.6646828083594</v>
      </c>
      <c r="AV479" s="10">
        <f t="shared" si="119"/>
        <v>3386215.7252653344</v>
      </c>
      <c r="AW479" s="2">
        <f>AT479/(1+('PV IN'!$G$9))^(C479)</f>
        <v>1113.9913889701781</v>
      </c>
      <c r="AX479" s="2" t="e">
        <f>IF(C479&lt;='PV IN'!$O$22*12,AW479+AX478,NA())</f>
        <v>#N/A</v>
      </c>
      <c r="AZ479" s="10">
        <f t="shared" si="120"/>
        <v>-1375</v>
      </c>
      <c r="BA479" s="10">
        <f t="shared" si="127"/>
        <v>0</v>
      </c>
      <c r="BB479" s="10">
        <f t="shared" si="121"/>
        <v>-1375</v>
      </c>
      <c r="BC479" s="10">
        <f t="shared" si="122"/>
        <v>0</v>
      </c>
      <c r="BD479" s="10">
        <f t="shared" si="123"/>
        <v>-1375</v>
      </c>
      <c r="BE479" s="2">
        <f t="shared" si="124"/>
        <v>0</v>
      </c>
      <c r="BF479" s="10">
        <f t="shared" si="125"/>
        <v>-1375</v>
      </c>
      <c r="BG479" s="2">
        <f>-BF479*'PV IN'!$E$8</f>
        <v>288.75</v>
      </c>
      <c r="BH479" s="2">
        <f>IF('PV IN'!$F$4="Battery Only",0,BB479+BG479)</f>
        <v>-1086.25</v>
      </c>
      <c r="BI479" s="2">
        <f>BH479/(1+('PV IN'!$G$9))^(C479)</f>
        <v>-157.4659658183856</v>
      </c>
    </row>
    <row r="480" spans="2:61" x14ac:dyDescent="0.25">
      <c r="C480">
        <v>476</v>
      </c>
      <c r="D480" s="16">
        <f>D479*(1+('PV IN'!$G$6/12))</f>
        <v>7.5999999999999998E-2</v>
      </c>
      <c r="E480" s="16">
        <f>LkUP!$U$50</f>
        <v>7.8896523189157505E-2</v>
      </c>
      <c r="F480" s="16">
        <f>IF('PV IN'!$D$7="Table",E480,D480)</f>
        <v>7.8896523189157505E-2</v>
      </c>
      <c r="G480" s="33">
        <f>('PV IN'!$E$25*'PV IN'!$E$18/12)*(1-(1-'PV IN'!$E$27)/(25*12))^C479</f>
        <v>111095.73720173398</v>
      </c>
      <c r="H480" s="33">
        <f>IF('PV IN'!$D$19="YES",G480*'PV IN'!$E$21,0)</f>
        <v>0</v>
      </c>
      <c r="I480" s="33">
        <f>IF('PV IN'!$D$19="YES",'PV IN'!$E$22*BattCalcs!W480,0)</f>
        <v>0</v>
      </c>
      <c r="J480" s="33">
        <f>IF('PV IN'!$D$19="YES",'PV IN'!$E$23*BattCalcs!Y480,0)</f>
        <v>0</v>
      </c>
      <c r="K480" s="33">
        <f>BattCalcs!AF480</f>
        <v>25811.765833333331</v>
      </c>
      <c r="L480" s="33">
        <f t="shared" si="113"/>
        <v>25811.765833333331</v>
      </c>
      <c r="M480" s="33">
        <f>IF('PV IN'!$F$4="PV Only",G480,G480-SUM(H480:J480,L480))</f>
        <v>111095.73720173398</v>
      </c>
      <c r="N480" s="2">
        <f>IF(C480&lt;='PV IN'!$I$12*12,'PV IN'!$E$12*G480/1000,0)</f>
        <v>0</v>
      </c>
      <c r="O480" s="2">
        <f>IF(AND(C480&gt;'PV IN'!$I$12*12,C480&lt;='PV IN'!$I$13*12+'PV IN'!$I$12*12),'PV IN'!$E$13*PVCalcs!G480/1000,0)</f>
        <v>0</v>
      </c>
      <c r="P480" s="2">
        <f>IF(AND(C480&gt;'PV IN'!$I$12*12+'PV IN'!$I$13*12,C480&lt;='PV IN'!$I$12*12+'PV IN'!$I$13*12+'PV IN'!$I$14*12),'PV IN'!$E$14*PVCalcs!G480/1000,0)</f>
        <v>0</v>
      </c>
      <c r="R480" s="10">
        <f>IF(AND('PV IN'!$D$35="YES",$C480&lt;='PV IN'!$E$35*12),-'PV IN'!$E$18*'PV IN'!$E$34/12,0)</f>
        <v>0</v>
      </c>
      <c r="S480" s="10">
        <f>IF(AND('PV IN'!$D$37="YES",$C480&lt;='PV IN'!$E$37*12),-'PV IN'!$E$18*'PV IN'!$E$36/12,0)</f>
        <v>0</v>
      </c>
      <c r="U480" s="2">
        <f t="shared" si="128"/>
        <v>8765.0674063531533</v>
      </c>
      <c r="V480" s="10">
        <f>PVLoan!M507</f>
        <v>0</v>
      </c>
      <c r="W480" s="2">
        <f>IF(C480='PV IN'!$I$40,IF('PV IN'!$G$40="Non-Taxable",'PV IN'!$F$40,0),0)+IF(C480='PV IN'!$I$41,IF('PV IN'!$G$41="Non-Taxable",'PV IN'!$F$41,0),0)</f>
        <v>0</v>
      </c>
      <c r="X480" s="10"/>
      <c r="Y480" s="10">
        <f>IF('PV IN'!$E$15="Non-Taxable",SUM(N480:P480),0)</f>
        <v>0</v>
      </c>
      <c r="Z480" s="10">
        <f>IF('PV IN'!$E$15="Taxable",SUM(N480:P480),0)</f>
        <v>0</v>
      </c>
      <c r="AA480" s="2">
        <f>IF(C480='PV IN'!$I$40,IF('PV IN'!$G$40="Taxable",'PV IN'!$F$40,0),0)+IF(C480='PV IN'!$I$41,IF('PV IN'!$G$41="Taxable",'PV IN'!$F$41,0),0)</f>
        <v>0</v>
      </c>
      <c r="AD480" s="10">
        <f>IF('PV IN'!$D$48="YES",-U480*'PV IN'!$E$8,0)</f>
        <v>0</v>
      </c>
      <c r="AE480" s="10">
        <f>IF('PV IN'!$N$10="Yes",-PVLoan!H508,-PVLoan!L508)</f>
        <v>0</v>
      </c>
      <c r="AF480" s="10">
        <f>IF('PV IN'!$N$10="Yes",-PVLoan!F508,0)</f>
        <v>0</v>
      </c>
      <c r="AG480" s="10">
        <f>IF(AND('PV IN'!$D$35="YES",$C480&lt;='PV IN'!$E$35*12),0,-'PV IN'!$E$18*'PV IN'!$E$34/12)</f>
        <v>-750</v>
      </c>
      <c r="AH480" s="10">
        <f>IF(AND('PV IN'!$D$37="YES",$C480&lt;='PV IN'!$E$37*12),0,-'PV IN'!$E$18*'PV IN'!$E$36/12)</f>
        <v>-625</v>
      </c>
      <c r="AI480" s="2">
        <f>IF(AND('PV IN'!$D$33="YES",PVCalcs!C480=ROUNDUP('PV IN'!$H$33*12,)),-'PV IN'!$E$33*'PV IN'!$E$18,0)</f>
        <v>0</v>
      </c>
      <c r="AK480" s="2">
        <f t="shared" si="126"/>
        <v>8765.0674063531533</v>
      </c>
      <c r="AL480" s="2">
        <f t="shared" si="114"/>
        <v>-1375</v>
      </c>
      <c r="AM480" s="2">
        <f t="shared" si="115"/>
        <v>7390.0674063531533</v>
      </c>
      <c r="AN480" s="43"/>
      <c r="AO480" s="2">
        <f t="shared" si="116"/>
        <v>0</v>
      </c>
      <c r="AP480" s="2">
        <f t="shared" si="117"/>
        <v>-1375</v>
      </c>
      <c r="AR480" s="2">
        <f t="shared" si="118"/>
        <v>-1375</v>
      </c>
      <c r="AS480" s="2">
        <f>-AR480*'PV IN'!$E$8</f>
        <v>288.75</v>
      </c>
      <c r="AT480" s="2">
        <f>IF('PV IN'!$F$4="Battery Only",0,AM480+AS480)</f>
        <v>7678.8174063531533</v>
      </c>
      <c r="AV480" s="10">
        <f t="shared" si="119"/>
        <v>3393894.5426716874</v>
      </c>
      <c r="AW480" s="2">
        <f>AT480/(1+('PV IN'!$G$9))^(C480)</f>
        <v>1108.6270668334696</v>
      </c>
      <c r="AX480" s="2" t="e">
        <f>IF(C480&lt;='PV IN'!$O$22*12,AW480+AX479,NA())</f>
        <v>#N/A</v>
      </c>
      <c r="AZ480" s="10">
        <f t="shared" si="120"/>
        <v>-1375</v>
      </c>
      <c r="BA480" s="10">
        <f t="shared" si="127"/>
        <v>0</v>
      </c>
      <c r="BB480" s="10">
        <f t="shared" si="121"/>
        <v>-1375</v>
      </c>
      <c r="BC480" s="10">
        <f t="shared" si="122"/>
        <v>0</v>
      </c>
      <c r="BD480" s="10">
        <f t="shared" si="123"/>
        <v>-1375</v>
      </c>
      <c r="BE480" s="2">
        <f t="shared" si="124"/>
        <v>0</v>
      </c>
      <c r="BF480" s="10">
        <f t="shared" si="125"/>
        <v>-1375</v>
      </c>
      <c r="BG480" s="2">
        <f>-BF480*'PV IN'!$E$8</f>
        <v>288.75</v>
      </c>
      <c r="BH480" s="2">
        <f>IF('PV IN'!$F$4="Battery Only",0,BB480+BG480)</f>
        <v>-1086.25</v>
      </c>
      <c r="BI480" s="2">
        <f>BH480/(1+('PV IN'!$G$9))^(C480)</f>
        <v>-156.82703307302376</v>
      </c>
    </row>
    <row r="481" spans="2:61" x14ac:dyDescent="0.25">
      <c r="C481">
        <v>477</v>
      </c>
      <c r="D481" s="16">
        <f>D480*(1+('PV IN'!$G$6/12))</f>
        <v>7.5999999999999998E-2</v>
      </c>
      <c r="E481" s="16">
        <f>LkUP!$U$50</f>
        <v>7.8896523189157505E-2</v>
      </c>
      <c r="F481" s="16">
        <f>IF('PV IN'!$D$7="Table",E481,D481)</f>
        <v>7.8896523189157505E-2</v>
      </c>
      <c r="G481" s="33">
        <f>('PV IN'!$E$25*'PV IN'!$E$18/12)*(1-(1-'PV IN'!$E$27)/(25*12))^C480</f>
        <v>111021.67337693284</v>
      </c>
      <c r="H481" s="33">
        <f>IF('PV IN'!$D$19="YES",G481*'PV IN'!$E$21,0)</f>
        <v>0</v>
      </c>
      <c r="I481" s="33">
        <f>IF('PV IN'!$D$19="YES",'PV IN'!$E$22*BattCalcs!W481,0)</f>
        <v>0</v>
      </c>
      <c r="J481" s="33">
        <f>IF('PV IN'!$D$19="YES",'PV IN'!$E$23*BattCalcs!Y481,0)</f>
        <v>0</v>
      </c>
      <c r="K481" s="33">
        <f>BattCalcs!AF481</f>
        <v>25811.765833333331</v>
      </c>
      <c r="L481" s="33">
        <f t="shared" si="113"/>
        <v>25811.765833333331</v>
      </c>
      <c r="M481" s="33">
        <f>IF('PV IN'!$F$4="PV Only",G481,G481-SUM(H481:J481,L481))</f>
        <v>111021.67337693284</v>
      </c>
      <c r="N481" s="2">
        <f>IF(C481&lt;='PV IN'!$I$12*12,'PV IN'!$E$12*G481/1000,0)</f>
        <v>0</v>
      </c>
      <c r="O481" s="2">
        <f>IF(AND(C481&gt;'PV IN'!$I$12*12,C481&lt;='PV IN'!$I$13*12+'PV IN'!$I$12*12),'PV IN'!$E$13*PVCalcs!G481/1000,0)</f>
        <v>0</v>
      </c>
      <c r="P481" s="2">
        <f>IF(AND(C481&gt;'PV IN'!$I$12*12+'PV IN'!$I$13*12,C481&lt;='PV IN'!$I$12*12+'PV IN'!$I$13*12+'PV IN'!$I$14*12),'PV IN'!$E$14*PVCalcs!G481/1000,0)</f>
        <v>0</v>
      </c>
      <c r="R481" s="10">
        <f>IF(AND('PV IN'!$D$35="YES",$C481&lt;='PV IN'!$E$35*12),-'PV IN'!$E$18*'PV IN'!$E$34/12,0)</f>
        <v>0</v>
      </c>
      <c r="S481" s="10">
        <f>IF(AND('PV IN'!$D$37="YES",$C481&lt;='PV IN'!$E$37*12),-'PV IN'!$E$18*'PV IN'!$E$36/12,0)</f>
        <v>0</v>
      </c>
      <c r="U481" s="2">
        <f t="shared" si="128"/>
        <v>8759.2240280822516</v>
      </c>
      <c r="V481" s="10">
        <f>PVLoan!M508</f>
        <v>0</v>
      </c>
      <c r="W481" s="2">
        <f>IF(C481='PV IN'!$I$40,IF('PV IN'!$G$40="Non-Taxable",'PV IN'!$F$40,0),0)+IF(C481='PV IN'!$I$41,IF('PV IN'!$G$41="Non-Taxable",'PV IN'!$F$41,0),0)</f>
        <v>0</v>
      </c>
      <c r="X481" s="10"/>
      <c r="Y481" s="10">
        <f>IF('PV IN'!$E$15="Non-Taxable",SUM(N481:P481),0)</f>
        <v>0</v>
      </c>
      <c r="Z481" s="10">
        <f>IF('PV IN'!$E$15="Taxable",SUM(N481:P481),0)</f>
        <v>0</v>
      </c>
      <c r="AA481" s="2">
        <f>IF(C481='PV IN'!$I$40,IF('PV IN'!$G$40="Taxable",'PV IN'!$F$40,0),0)+IF(C481='PV IN'!$I$41,IF('PV IN'!$G$41="Taxable",'PV IN'!$F$41,0),0)</f>
        <v>0</v>
      </c>
      <c r="AD481" s="10">
        <f>IF('PV IN'!$D$48="YES",-U481*'PV IN'!$E$8,0)</f>
        <v>0</v>
      </c>
      <c r="AE481" s="10">
        <f>IF('PV IN'!$N$10="Yes",-PVLoan!H509,-PVLoan!L509)</f>
        <v>0</v>
      </c>
      <c r="AF481" s="10">
        <f>IF('PV IN'!$N$10="Yes",-PVLoan!F509,0)</f>
        <v>0</v>
      </c>
      <c r="AG481" s="10">
        <f>IF(AND('PV IN'!$D$35="YES",$C481&lt;='PV IN'!$E$35*12),0,-'PV IN'!$E$18*'PV IN'!$E$34/12)</f>
        <v>-750</v>
      </c>
      <c r="AH481" s="10">
        <f>IF(AND('PV IN'!$D$37="YES",$C481&lt;='PV IN'!$E$37*12),0,-'PV IN'!$E$18*'PV IN'!$E$36/12)</f>
        <v>-625</v>
      </c>
      <c r="AI481" s="2">
        <f>IF(AND('PV IN'!$D$33="YES",PVCalcs!C481=ROUNDUP('PV IN'!$H$33*12,)),-'PV IN'!$E$33*'PV IN'!$E$18,0)</f>
        <v>0</v>
      </c>
      <c r="AK481" s="2">
        <f t="shared" si="126"/>
        <v>8759.2240280822516</v>
      </c>
      <c r="AL481" s="2">
        <f t="shared" si="114"/>
        <v>-1375</v>
      </c>
      <c r="AM481" s="2">
        <f t="shared" si="115"/>
        <v>7384.2240280822516</v>
      </c>
      <c r="AN481" s="43"/>
      <c r="AO481" s="2">
        <f t="shared" si="116"/>
        <v>0</v>
      </c>
      <c r="AP481" s="2">
        <f t="shared" si="117"/>
        <v>-1375</v>
      </c>
      <c r="AR481" s="2">
        <f t="shared" si="118"/>
        <v>-1375</v>
      </c>
      <c r="AS481" s="2">
        <f>-AR481*'PV IN'!$E$8</f>
        <v>288.75</v>
      </c>
      <c r="AT481" s="2">
        <f>IF('PV IN'!$F$4="Battery Only",0,AM481+AS481)</f>
        <v>7672.9740280822516</v>
      </c>
      <c r="AV481" s="10">
        <f t="shared" si="119"/>
        <v>3401567.5166997695</v>
      </c>
      <c r="AW481" s="2">
        <f>AT481/(1+('PV IN'!$G$9))^(C481)</f>
        <v>1103.2884968615758</v>
      </c>
      <c r="AX481" s="2" t="e">
        <f>IF(C481&lt;='PV IN'!$O$22*12,AW481+AX480,NA())</f>
        <v>#N/A</v>
      </c>
      <c r="AZ481" s="10">
        <f t="shared" si="120"/>
        <v>-1375</v>
      </c>
      <c r="BA481" s="10">
        <f t="shared" si="127"/>
        <v>0</v>
      </c>
      <c r="BB481" s="10">
        <f t="shared" si="121"/>
        <v>-1375</v>
      </c>
      <c r="BC481" s="10">
        <f t="shared" si="122"/>
        <v>0</v>
      </c>
      <c r="BD481" s="10">
        <f t="shared" si="123"/>
        <v>-1375</v>
      </c>
      <c r="BE481" s="2">
        <f t="shared" si="124"/>
        <v>0</v>
      </c>
      <c r="BF481" s="10">
        <f t="shared" si="125"/>
        <v>-1375</v>
      </c>
      <c r="BG481" s="2">
        <f>-BF481*'PV IN'!$E$8</f>
        <v>288.75</v>
      </c>
      <c r="BH481" s="2">
        <f>IF('PV IN'!$F$4="Battery Only",0,BB481+BG481)</f>
        <v>-1086.25</v>
      </c>
      <c r="BI481" s="2">
        <f>BH481/(1+('PV IN'!$G$9))^(C481)</f>
        <v>-156.19069285647265</v>
      </c>
    </row>
    <row r="482" spans="2:61" x14ac:dyDescent="0.25">
      <c r="C482">
        <v>478</v>
      </c>
      <c r="D482" s="16">
        <f>D481*(1+('PV IN'!$G$6/12))</f>
        <v>7.5999999999999998E-2</v>
      </c>
      <c r="E482" s="16">
        <f>LkUP!$U$50</f>
        <v>7.8896523189157505E-2</v>
      </c>
      <c r="F482" s="16">
        <f>IF('PV IN'!$D$7="Table",E482,D482)</f>
        <v>7.8896523189157505E-2</v>
      </c>
      <c r="G482" s="33">
        <f>('PV IN'!$E$25*'PV IN'!$E$18/12)*(1-(1-'PV IN'!$E$27)/(25*12))^C481</f>
        <v>110947.65892801486</v>
      </c>
      <c r="H482" s="33">
        <f>IF('PV IN'!$D$19="YES",G482*'PV IN'!$E$21,0)</f>
        <v>0</v>
      </c>
      <c r="I482" s="33">
        <f>IF('PV IN'!$D$19="YES",'PV IN'!$E$22*BattCalcs!W482,0)</f>
        <v>0</v>
      </c>
      <c r="J482" s="33">
        <f>IF('PV IN'!$D$19="YES",'PV IN'!$E$23*BattCalcs!Y482,0)</f>
        <v>0</v>
      </c>
      <c r="K482" s="33">
        <f>BattCalcs!AF482</f>
        <v>25811.765833333331</v>
      </c>
      <c r="L482" s="33">
        <f t="shared" si="113"/>
        <v>25811.765833333331</v>
      </c>
      <c r="M482" s="33">
        <f>IF('PV IN'!$F$4="PV Only",G482,G482-SUM(H482:J482,L482))</f>
        <v>110947.65892801486</v>
      </c>
      <c r="N482" s="2">
        <f>IF(C482&lt;='PV IN'!$I$12*12,'PV IN'!$E$12*G482/1000,0)</f>
        <v>0</v>
      </c>
      <c r="O482" s="2">
        <f>IF(AND(C482&gt;'PV IN'!$I$12*12,C482&lt;='PV IN'!$I$13*12+'PV IN'!$I$12*12),'PV IN'!$E$13*PVCalcs!G482/1000,0)</f>
        <v>0</v>
      </c>
      <c r="P482" s="2">
        <f>IF(AND(C482&gt;'PV IN'!$I$12*12+'PV IN'!$I$13*12,C482&lt;='PV IN'!$I$12*12+'PV IN'!$I$13*12+'PV IN'!$I$14*12),'PV IN'!$E$14*PVCalcs!G482/1000,0)</f>
        <v>0</v>
      </c>
      <c r="R482" s="10">
        <f>IF(AND('PV IN'!$D$35="YES",$C482&lt;='PV IN'!$E$35*12),-'PV IN'!$E$18*'PV IN'!$E$34/12,0)</f>
        <v>0</v>
      </c>
      <c r="S482" s="10">
        <f>IF(AND('PV IN'!$D$37="YES",$C482&lt;='PV IN'!$E$37*12),-'PV IN'!$E$18*'PV IN'!$E$36/12,0)</f>
        <v>0</v>
      </c>
      <c r="U482" s="2">
        <f t="shared" si="128"/>
        <v>8753.3845453968624</v>
      </c>
      <c r="V482" s="10">
        <f>PVLoan!M509</f>
        <v>0</v>
      </c>
      <c r="W482" s="2">
        <f>IF(C482='PV IN'!$I$40,IF('PV IN'!$G$40="Non-Taxable",'PV IN'!$F$40,0),0)+IF(C482='PV IN'!$I$41,IF('PV IN'!$G$41="Non-Taxable",'PV IN'!$F$41,0),0)</f>
        <v>0</v>
      </c>
      <c r="X482" s="10"/>
      <c r="Y482" s="10">
        <f>IF('PV IN'!$E$15="Non-Taxable",SUM(N482:P482),0)</f>
        <v>0</v>
      </c>
      <c r="Z482" s="10">
        <f>IF('PV IN'!$E$15="Taxable",SUM(N482:P482),0)</f>
        <v>0</v>
      </c>
      <c r="AA482" s="2">
        <f>IF(C482='PV IN'!$I$40,IF('PV IN'!$G$40="Taxable",'PV IN'!$F$40,0),0)+IF(C482='PV IN'!$I$41,IF('PV IN'!$G$41="Taxable",'PV IN'!$F$41,0),0)</f>
        <v>0</v>
      </c>
      <c r="AD482" s="10">
        <f>IF('PV IN'!$D$48="YES",-U482*'PV IN'!$E$8,0)</f>
        <v>0</v>
      </c>
      <c r="AE482" s="10">
        <f>IF('PV IN'!$N$10="Yes",-PVLoan!H510,-PVLoan!L510)</f>
        <v>0</v>
      </c>
      <c r="AF482" s="10">
        <f>IF('PV IN'!$N$10="Yes",-PVLoan!F510,0)</f>
        <v>0</v>
      </c>
      <c r="AG482" s="10">
        <f>IF(AND('PV IN'!$D$35="YES",$C482&lt;='PV IN'!$E$35*12),0,-'PV IN'!$E$18*'PV IN'!$E$34/12)</f>
        <v>-750</v>
      </c>
      <c r="AH482" s="10">
        <f>IF(AND('PV IN'!$D$37="YES",$C482&lt;='PV IN'!$E$37*12),0,-'PV IN'!$E$18*'PV IN'!$E$36/12)</f>
        <v>-625</v>
      </c>
      <c r="AI482" s="2">
        <f>IF(AND('PV IN'!$D$33="YES",PVCalcs!C482=ROUNDUP('PV IN'!$H$33*12,)),-'PV IN'!$E$33*'PV IN'!$E$18,0)</f>
        <v>0</v>
      </c>
      <c r="AK482" s="2">
        <f t="shared" si="126"/>
        <v>8753.3845453968624</v>
      </c>
      <c r="AL482" s="2">
        <f t="shared" si="114"/>
        <v>-1375</v>
      </c>
      <c r="AM482" s="2">
        <f t="shared" si="115"/>
        <v>7378.3845453968624</v>
      </c>
      <c r="AN482" s="43"/>
      <c r="AO482" s="2">
        <f t="shared" si="116"/>
        <v>0</v>
      </c>
      <c r="AP482" s="2">
        <f t="shared" si="117"/>
        <v>-1375</v>
      </c>
      <c r="AR482" s="2">
        <f t="shared" si="118"/>
        <v>-1375</v>
      </c>
      <c r="AS482" s="2">
        <f>-AR482*'PV IN'!$E$8</f>
        <v>288.75</v>
      </c>
      <c r="AT482" s="2">
        <f>IF('PV IN'!$F$4="Battery Only",0,AM482+AS482)</f>
        <v>7667.1345453968624</v>
      </c>
      <c r="AV482" s="10">
        <f t="shared" si="119"/>
        <v>3409234.6512451665</v>
      </c>
      <c r="AW482" s="2">
        <f>AT482/(1+('PV IN'!$G$9))^(C482)</f>
        <v>1097.9755557429137</v>
      </c>
      <c r="AX482" s="2" t="e">
        <f>IF(C482&lt;='PV IN'!$O$22*12,AW482+AX481,NA())</f>
        <v>#N/A</v>
      </c>
      <c r="AZ482" s="10">
        <f t="shared" si="120"/>
        <v>-1375</v>
      </c>
      <c r="BA482" s="10">
        <f t="shared" si="127"/>
        <v>0</v>
      </c>
      <c r="BB482" s="10">
        <f t="shared" si="121"/>
        <v>-1375</v>
      </c>
      <c r="BC482" s="10">
        <f t="shared" si="122"/>
        <v>0</v>
      </c>
      <c r="BD482" s="10">
        <f t="shared" si="123"/>
        <v>-1375</v>
      </c>
      <c r="BE482" s="2">
        <f t="shared" si="124"/>
        <v>0</v>
      </c>
      <c r="BF482" s="10">
        <f t="shared" si="125"/>
        <v>-1375</v>
      </c>
      <c r="BG482" s="2">
        <f>-BF482*'PV IN'!$E$8</f>
        <v>288.75</v>
      </c>
      <c r="BH482" s="2">
        <f>IF('PV IN'!$F$4="Battery Only",0,BB482+BG482)</f>
        <v>-1086.25</v>
      </c>
      <c r="BI482" s="2">
        <f>BH482/(1+('PV IN'!$G$9))^(C482)</f>
        <v>-155.5569346493065</v>
      </c>
    </row>
    <row r="483" spans="2:61" x14ac:dyDescent="0.25">
      <c r="C483">
        <v>479</v>
      </c>
      <c r="D483" s="16">
        <f>D482*(1+('PV IN'!$G$6/12))</f>
        <v>7.5999999999999998E-2</v>
      </c>
      <c r="E483" s="16">
        <f>LkUP!$U$50</f>
        <v>7.8896523189157505E-2</v>
      </c>
      <c r="F483" s="16">
        <f>IF('PV IN'!$D$7="Table",E483,D483)</f>
        <v>7.8896523189157505E-2</v>
      </c>
      <c r="G483" s="33">
        <f>('PV IN'!$E$25*'PV IN'!$E$18/12)*(1-(1-'PV IN'!$E$27)/(25*12))^C482</f>
        <v>110873.69382206284</v>
      </c>
      <c r="H483" s="33">
        <f>IF('PV IN'!$D$19="YES",G483*'PV IN'!$E$21,0)</f>
        <v>0</v>
      </c>
      <c r="I483" s="33">
        <f>IF('PV IN'!$D$19="YES",'PV IN'!$E$22*BattCalcs!W483,0)</f>
        <v>0</v>
      </c>
      <c r="J483" s="33">
        <f>IF('PV IN'!$D$19="YES",'PV IN'!$E$23*BattCalcs!Y483,0)</f>
        <v>0</v>
      </c>
      <c r="K483" s="33">
        <f>BattCalcs!AF483</f>
        <v>25811.765833333331</v>
      </c>
      <c r="L483" s="33">
        <f t="shared" si="113"/>
        <v>25811.765833333331</v>
      </c>
      <c r="M483" s="33">
        <f>IF('PV IN'!$F$4="PV Only",G483,G483-SUM(H483:J483,L483))</f>
        <v>110873.69382206284</v>
      </c>
      <c r="N483" s="2">
        <f>IF(C483&lt;='PV IN'!$I$12*12,'PV IN'!$E$12*G483/1000,0)</f>
        <v>0</v>
      </c>
      <c r="O483" s="2">
        <f>IF(AND(C483&gt;'PV IN'!$I$12*12,C483&lt;='PV IN'!$I$13*12+'PV IN'!$I$12*12),'PV IN'!$E$13*PVCalcs!G483/1000,0)</f>
        <v>0</v>
      </c>
      <c r="P483" s="2">
        <f>IF(AND(C483&gt;'PV IN'!$I$12*12+'PV IN'!$I$13*12,C483&lt;='PV IN'!$I$12*12+'PV IN'!$I$13*12+'PV IN'!$I$14*12),'PV IN'!$E$14*PVCalcs!G483/1000,0)</f>
        <v>0</v>
      </c>
      <c r="R483" s="10">
        <f>IF(AND('PV IN'!$D$35="YES",$C483&lt;='PV IN'!$E$35*12),-'PV IN'!$E$18*'PV IN'!$E$34/12,0)</f>
        <v>0</v>
      </c>
      <c r="S483" s="10">
        <f>IF(AND('PV IN'!$D$37="YES",$C483&lt;='PV IN'!$E$37*12),-'PV IN'!$E$18*'PV IN'!$E$36/12,0)</f>
        <v>0</v>
      </c>
      <c r="U483" s="2">
        <f t="shared" si="128"/>
        <v>8747.5489556999291</v>
      </c>
      <c r="V483" s="10">
        <f>PVLoan!M510</f>
        <v>0</v>
      </c>
      <c r="W483" s="2">
        <f>IF(C483='PV IN'!$I$40,IF('PV IN'!$G$40="Non-Taxable",'PV IN'!$F$40,0),0)+IF(C483='PV IN'!$I$41,IF('PV IN'!$G$41="Non-Taxable",'PV IN'!$F$41,0),0)</f>
        <v>0</v>
      </c>
      <c r="X483" s="10"/>
      <c r="Y483" s="10">
        <f>IF('PV IN'!$E$15="Non-Taxable",SUM(N483:P483),0)</f>
        <v>0</v>
      </c>
      <c r="Z483" s="10">
        <f>IF('PV IN'!$E$15="Taxable",SUM(N483:P483),0)</f>
        <v>0</v>
      </c>
      <c r="AA483" s="2">
        <f>IF(C483='PV IN'!$I$40,IF('PV IN'!$G$40="Taxable",'PV IN'!$F$40,0),0)+IF(C483='PV IN'!$I$41,IF('PV IN'!$G$41="Taxable",'PV IN'!$F$41,0),0)</f>
        <v>0</v>
      </c>
      <c r="AD483" s="10">
        <f>IF('PV IN'!$D$48="YES",-U483*'PV IN'!$E$8,0)</f>
        <v>0</v>
      </c>
      <c r="AE483" s="10">
        <f>IF('PV IN'!$N$10="Yes",-PVLoan!H511,-PVLoan!L511)</f>
        <v>0</v>
      </c>
      <c r="AF483" s="10">
        <f>IF('PV IN'!$N$10="Yes",-PVLoan!F511,0)</f>
        <v>0</v>
      </c>
      <c r="AG483" s="10">
        <f>IF(AND('PV IN'!$D$35="YES",$C483&lt;='PV IN'!$E$35*12),0,-'PV IN'!$E$18*'PV IN'!$E$34/12)</f>
        <v>-750</v>
      </c>
      <c r="AH483" s="10">
        <f>IF(AND('PV IN'!$D$37="YES",$C483&lt;='PV IN'!$E$37*12),0,-'PV IN'!$E$18*'PV IN'!$E$36/12)</f>
        <v>-625</v>
      </c>
      <c r="AI483" s="2">
        <f>IF(AND('PV IN'!$D$33="YES",PVCalcs!C483=ROUNDUP('PV IN'!$H$33*12,)),-'PV IN'!$E$33*'PV IN'!$E$18,0)</f>
        <v>0</v>
      </c>
      <c r="AK483" s="2">
        <f t="shared" si="126"/>
        <v>8747.5489556999291</v>
      </c>
      <c r="AL483" s="2">
        <f t="shared" si="114"/>
        <v>-1375</v>
      </c>
      <c r="AM483" s="2">
        <f t="shared" si="115"/>
        <v>7372.5489556999291</v>
      </c>
      <c r="AN483" s="43"/>
      <c r="AO483" s="2">
        <f t="shared" si="116"/>
        <v>0</v>
      </c>
      <c r="AP483" s="2">
        <f t="shared" si="117"/>
        <v>-1375</v>
      </c>
      <c r="AR483" s="2">
        <f t="shared" si="118"/>
        <v>-1375</v>
      </c>
      <c r="AS483" s="2">
        <f>-AR483*'PV IN'!$E$8</f>
        <v>288.75</v>
      </c>
      <c r="AT483" s="2">
        <f>IF('PV IN'!$F$4="Battery Only",0,AM483+AS483)</f>
        <v>7661.2989556999291</v>
      </c>
      <c r="AV483" s="10">
        <f t="shared" si="119"/>
        <v>3416895.9502008664</v>
      </c>
      <c r="AW483" s="2">
        <f>AT483/(1+('PV IN'!$G$9))^(C483)</f>
        <v>1092.6881207551066</v>
      </c>
      <c r="AX483" s="2" t="e">
        <f>IF(C483&lt;='PV IN'!$O$22*12,AW483+AX482,NA())</f>
        <v>#N/A</v>
      </c>
      <c r="AZ483" s="10">
        <f t="shared" si="120"/>
        <v>-1375</v>
      </c>
      <c r="BA483" s="10">
        <f t="shared" si="127"/>
        <v>0</v>
      </c>
      <c r="BB483" s="10">
        <f t="shared" si="121"/>
        <v>-1375</v>
      </c>
      <c r="BC483" s="10">
        <f t="shared" si="122"/>
        <v>0</v>
      </c>
      <c r="BD483" s="10">
        <f t="shared" si="123"/>
        <v>-1375</v>
      </c>
      <c r="BE483" s="2">
        <f t="shared" si="124"/>
        <v>0</v>
      </c>
      <c r="BF483" s="10">
        <f t="shared" si="125"/>
        <v>-1375</v>
      </c>
      <c r="BG483" s="2">
        <f>-BF483*'PV IN'!$E$8</f>
        <v>288.75</v>
      </c>
      <c r="BH483" s="2">
        <f>IF('PV IN'!$F$4="Battery Only",0,BB483+BG483)</f>
        <v>-1086.25</v>
      </c>
      <c r="BI483" s="2">
        <f>BH483/(1+('PV IN'!$G$9))^(C483)</f>
        <v>-154.92574797478289</v>
      </c>
    </row>
    <row r="484" spans="2:61" x14ac:dyDescent="0.25">
      <c r="B484">
        <v>40</v>
      </c>
      <c r="C484">
        <v>480</v>
      </c>
      <c r="D484" s="16">
        <f>D483*(1+('PV IN'!$G$6/12))</f>
        <v>7.5999999999999998E-2</v>
      </c>
      <c r="E484" s="16">
        <f>LkUP!$U$50</f>
        <v>7.8896523189157505E-2</v>
      </c>
      <c r="F484" s="16">
        <f>IF('PV IN'!$D$7="Table",E484,D484)</f>
        <v>7.8896523189157505E-2</v>
      </c>
      <c r="G484" s="33">
        <f>('PV IN'!$E$25*'PV IN'!$E$18/12)*(1-(1-'PV IN'!$E$27)/(25*12))^C483</f>
        <v>110799.77802618149</v>
      </c>
      <c r="H484" s="33">
        <f>IF('PV IN'!$D$19="YES",G484*'PV IN'!$E$21,0)</f>
        <v>0</v>
      </c>
      <c r="I484" s="33">
        <f>IF('PV IN'!$D$19="YES",'PV IN'!$E$22*BattCalcs!W484,0)</f>
        <v>0</v>
      </c>
      <c r="J484" s="33">
        <f>IF('PV IN'!$D$19="YES",'PV IN'!$E$23*BattCalcs!Y484,0)</f>
        <v>0</v>
      </c>
      <c r="K484" s="33">
        <f>BattCalcs!AF484</f>
        <v>25811.765833333331</v>
      </c>
      <c r="L484" s="33">
        <f t="shared" si="113"/>
        <v>25811.765833333331</v>
      </c>
      <c r="M484" s="33">
        <f>IF('PV IN'!$F$4="PV Only",G484,G484-SUM(H484:J484,L484))</f>
        <v>110799.77802618149</v>
      </c>
      <c r="N484" s="2">
        <f>IF(C484&lt;='PV IN'!$I$12*12,'PV IN'!$E$12*G484/1000,0)</f>
        <v>0</v>
      </c>
      <c r="O484" s="2">
        <f>IF(AND(C484&gt;'PV IN'!$I$12*12,C484&lt;='PV IN'!$I$13*12+'PV IN'!$I$12*12),'PV IN'!$E$13*PVCalcs!G484/1000,0)</f>
        <v>0</v>
      </c>
      <c r="P484" s="2">
        <f>IF(AND(C484&gt;'PV IN'!$I$12*12+'PV IN'!$I$13*12,C484&lt;='PV IN'!$I$12*12+'PV IN'!$I$13*12+'PV IN'!$I$14*12),'PV IN'!$E$14*PVCalcs!G484/1000,0)</f>
        <v>0</v>
      </c>
      <c r="R484" s="10">
        <f>IF(AND('PV IN'!$D$35="YES",$C484&lt;='PV IN'!$E$35*12),-'PV IN'!$E$18*'PV IN'!$E$34/12,0)</f>
        <v>0</v>
      </c>
      <c r="S484" s="10">
        <f>IF(AND('PV IN'!$D$37="YES",$C484&lt;='PV IN'!$E$37*12),-'PV IN'!$E$18*'PV IN'!$E$36/12,0)</f>
        <v>0</v>
      </c>
      <c r="U484" s="2">
        <f t="shared" si="128"/>
        <v>8741.7172563961321</v>
      </c>
      <c r="V484" s="10">
        <f>PVLoan!M511</f>
        <v>0</v>
      </c>
      <c r="W484" s="2">
        <f>IF(C484='PV IN'!$I$40,IF('PV IN'!$G$40="Non-Taxable",'PV IN'!$F$40,0),0)+IF(C484='PV IN'!$I$41,IF('PV IN'!$G$41="Non-Taxable",'PV IN'!$F$41,0),0)</f>
        <v>0</v>
      </c>
      <c r="X484" s="10"/>
      <c r="Y484" s="10">
        <f>IF('PV IN'!$E$15="Non-Taxable",SUM(N484:P484),0)</f>
        <v>0</v>
      </c>
      <c r="Z484" s="10">
        <f>IF('PV IN'!$E$15="Taxable",SUM(N484:P484),0)</f>
        <v>0</v>
      </c>
      <c r="AA484" s="2">
        <f>IF(C484='PV IN'!$I$40,IF('PV IN'!$G$40="Taxable",'PV IN'!$F$40,0),0)+IF(C484='PV IN'!$I$41,IF('PV IN'!$G$41="Taxable",'PV IN'!$F$41,0),0)</f>
        <v>0</v>
      </c>
      <c r="AD484" s="10">
        <f>IF('PV IN'!$D$48="YES",-U484*'PV IN'!$E$8,0)</f>
        <v>0</v>
      </c>
      <c r="AE484" s="10">
        <f>IF('PV IN'!$N$10="Yes",-PVLoan!H512,-PVLoan!L512)</f>
        <v>0</v>
      </c>
      <c r="AF484" s="10">
        <f>IF('PV IN'!$N$10="Yes",-PVLoan!F512,0)</f>
        <v>0</v>
      </c>
      <c r="AG484" s="10">
        <f>IF(AND('PV IN'!$D$35="YES",$C484&lt;='PV IN'!$E$35*12),0,-'PV IN'!$E$18*'PV IN'!$E$34/12)</f>
        <v>-750</v>
      </c>
      <c r="AH484" s="10">
        <f>IF(AND('PV IN'!$D$37="YES",$C484&lt;='PV IN'!$E$37*12),0,-'PV IN'!$E$18*'PV IN'!$E$36/12)</f>
        <v>-625</v>
      </c>
      <c r="AI484" s="2">
        <f>IF(AND('PV IN'!$D$33="YES",PVCalcs!C484=ROUNDUP('PV IN'!$H$33*12,)),-'PV IN'!$E$33*'PV IN'!$E$18,0)</f>
        <v>0</v>
      </c>
      <c r="AK484" s="2">
        <f t="shared" si="126"/>
        <v>8741.7172563961321</v>
      </c>
      <c r="AL484" s="2">
        <f t="shared" si="114"/>
        <v>-1375</v>
      </c>
      <c r="AM484" s="2">
        <f t="shared" si="115"/>
        <v>7366.7172563961321</v>
      </c>
      <c r="AN484" s="43"/>
      <c r="AO484" s="2">
        <f t="shared" si="116"/>
        <v>0</v>
      </c>
      <c r="AP484" s="2">
        <f t="shared" si="117"/>
        <v>-1375</v>
      </c>
      <c r="AR484" s="2">
        <f t="shared" si="118"/>
        <v>-1375</v>
      </c>
      <c r="AS484" s="2">
        <f>-AR484*'PV IN'!$E$8</f>
        <v>288.75</v>
      </c>
      <c r="AT484" s="2">
        <f>IF('PV IN'!$F$4="Battery Only",0,AM484+AS484)</f>
        <v>7655.4672563961321</v>
      </c>
      <c r="AV484" s="10">
        <f t="shared" si="119"/>
        <v>3424551.4174572625</v>
      </c>
      <c r="AW484" s="2">
        <f>AT484/(1+('PV IN'!$G$9))^(C484)</f>
        <v>1087.4260697621764</v>
      </c>
      <c r="AX484" s="2" t="e">
        <f>IF(C484&lt;='PV IN'!$O$22*12,AW484+AX483,NA())</f>
        <v>#N/A</v>
      </c>
      <c r="AZ484" s="10">
        <f t="shared" si="120"/>
        <v>-1375</v>
      </c>
      <c r="BA484" s="10">
        <f t="shared" si="127"/>
        <v>0</v>
      </c>
      <c r="BB484" s="10">
        <f t="shared" si="121"/>
        <v>-1375</v>
      </c>
      <c r="BC484" s="10">
        <f t="shared" si="122"/>
        <v>0</v>
      </c>
      <c r="BD484" s="10">
        <f t="shared" si="123"/>
        <v>-1375</v>
      </c>
      <c r="BE484" s="2">
        <f t="shared" si="124"/>
        <v>0</v>
      </c>
      <c r="BF484" s="10">
        <f t="shared" si="125"/>
        <v>-1375</v>
      </c>
      <c r="BG484" s="2">
        <f>-BF484*'PV IN'!$E$8</f>
        <v>288.75</v>
      </c>
      <c r="BH484" s="2">
        <f>IF('PV IN'!$F$4="Battery Only",0,BB484+BG484)</f>
        <v>-1086.25</v>
      </c>
      <c r="BI484" s="2">
        <f>BH484/(1+('PV IN'!$G$9))^(C484)</f>
        <v>-154.29712239866998</v>
      </c>
    </row>
  </sheetData>
  <mergeCells count="5">
    <mergeCell ref="U2:W2"/>
    <mergeCell ref="AF2:AI2"/>
    <mergeCell ref="AC2:AD2"/>
    <mergeCell ref="Z2:AA2"/>
    <mergeCell ref="AZ2:BI2"/>
  </mergeCells>
  <pageMargins left="0.7" right="0.7" top="0.75" bottom="0.75" header="0.3" footer="0.3"/>
  <pageSetup orientation="portrait" horizontalDpi="4294967294"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DA487"/>
  <sheetViews>
    <sheetView zoomScale="85" zoomScaleNormal="85" workbookViewId="0">
      <pane xSplit="3" ySplit="3" topLeftCell="D4" activePane="bottomRight" state="frozen"/>
      <selection pane="topRight" activeCell="D1" sqref="D1"/>
      <selection pane="bottomLeft" activeCell="A4" sqref="A4"/>
      <selection pane="bottomRight"/>
    </sheetView>
  </sheetViews>
  <sheetFormatPr defaultRowHeight="15" x14ac:dyDescent="0.25"/>
  <cols>
    <col min="1" max="1" width="4.7109375" customWidth="1"/>
    <col min="2" max="2" width="4" customWidth="1"/>
    <col min="3" max="3" width="4.85546875" customWidth="1"/>
    <col min="4" max="4" width="9.7109375" style="4" bestFit="1" customWidth="1"/>
    <col min="5" max="5" width="10.28515625" bestFit="1" customWidth="1"/>
    <col min="6" max="6" width="9" bestFit="1" customWidth="1"/>
    <col min="9" max="9" width="10.140625" bestFit="1" customWidth="1"/>
    <col min="11" max="12" width="10.7109375" customWidth="1"/>
    <col min="15" max="15" width="13.28515625" customWidth="1"/>
    <col min="16" max="16" width="11" customWidth="1"/>
    <col min="17" max="17" width="15.140625" bestFit="1" customWidth="1"/>
    <col min="18" max="18" width="2.85546875" customWidth="1"/>
    <col min="19" max="19" width="12.5703125" customWidth="1"/>
    <col min="20" max="20" width="2.85546875" customWidth="1"/>
    <col min="21" max="21" width="17.140625" customWidth="1"/>
    <col min="22" max="24" width="15" customWidth="1"/>
    <col min="25" max="25" width="12.42578125" bestFit="1" customWidth="1"/>
    <col min="26" max="30" width="12.42578125" customWidth="1"/>
    <col min="31" max="31" width="19.85546875" customWidth="1"/>
    <col min="32" max="34" width="14.85546875" customWidth="1"/>
    <col min="35" max="35" width="2.85546875" customWidth="1"/>
    <col min="36" max="40" width="12.85546875" customWidth="1"/>
    <col min="41" max="41" width="14.28515625" bestFit="1" customWidth="1"/>
    <col min="42" max="42" width="13.42578125" bestFit="1" customWidth="1"/>
    <col min="43" max="43" width="2.85546875" customWidth="1"/>
    <col min="44" max="47" width="14.28515625" customWidth="1"/>
    <col min="48" max="48" width="15" bestFit="1" customWidth="1"/>
    <col min="49" max="54" width="15" customWidth="1"/>
    <col min="55" max="55" width="13.28515625" bestFit="1" customWidth="1"/>
    <col min="56" max="56" width="13.28515625" customWidth="1"/>
    <col min="57" max="57" width="14.28515625" bestFit="1" customWidth="1"/>
    <col min="58" max="59" width="14.28515625" customWidth="1"/>
    <col min="60" max="60" width="12.5703125" bestFit="1" customWidth="1"/>
    <col min="61" max="61" width="2.85546875" style="36" customWidth="1"/>
    <col min="62" max="62" width="15.7109375" bestFit="1" customWidth="1"/>
    <col min="63" max="63" width="15.7109375" customWidth="1"/>
    <col min="64" max="64" width="14.28515625" bestFit="1" customWidth="1"/>
    <col min="65" max="65" width="13" bestFit="1" customWidth="1"/>
    <col min="66" max="66" width="11.7109375" bestFit="1" customWidth="1"/>
    <col min="67" max="67" width="14.28515625" bestFit="1" customWidth="1"/>
    <col min="68" max="69" width="13.42578125" customWidth="1"/>
    <col min="70" max="72" width="15" bestFit="1" customWidth="1"/>
    <col min="73" max="73" width="15" customWidth="1"/>
    <col min="74" max="75" width="13.42578125" customWidth="1"/>
    <col min="76" max="76" width="17" bestFit="1" customWidth="1"/>
    <col min="77" max="77" width="17.7109375" customWidth="1"/>
    <col min="78" max="78" width="2.7109375" style="36" customWidth="1"/>
    <col min="79" max="79" width="15.140625" bestFit="1" customWidth="1"/>
    <col min="80" max="80" width="17" customWidth="1"/>
    <col min="81" max="81" width="17" style="3" customWidth="1"/>
    <col min="82" max="82" width="2.85546875" style="41" customWidth="1"/>
    <col min="83" max="86" width="17" customWidth="1"/>
    <col min="87" max="87" width="17" style="3" customWidth="1"/>
    <col min="88" max="88" width="2.85546875" style="46" customWidth="1"/>
    <col min="89" max="89" width="17" style="3" customWidth="1"/>
    <col min="90" max="90" width="2.85546875" style="36" customWidth="1"/>
    <col min="91" max="91" width="16" bestFit="1" customWidth="1"/>
    <col min="92" max="92" width="16.140625" bestFit="1" customWidth="1"/>
    <col min="93" max="93" width="15.7109375" bestFit="1" customWidth="1"/>
    <col min="95" max="95" width="15.7109375" bestFit="1" customWidth="1"/>
    <col min="96" max="96" width="3.5703125" style="36" customWidth="1"/>
    <col min="97" max="97" width="13.42578125" bestFit="1" customWidth="1"/>
    <col min="98" max="98" width="12.5703125" bestFit="1" customWidth="1"/>
    <col min="99" max="100" width="13.42578125" bestFit="1" customWidth="1"/>
    <col min="101" max="101" width="13.85546875" customWidth="1"/>
    <col min="102" max="102" width="12.5703125" bestFit="1" customWidth="1"/>
    <col min="103" max="103" width="13.42578125" bestFit="1" customWidth="1"/>
    <col min="104" max="104" width="15" bestFit="1" customWidth="1"/>
    <col min="105" max="105" width="10" customWidth="1"/>
  </cols>
  <sheetData>
    <row r="1" spans="1:105" x14ac:dyDescent="0.25">
      <c r="AK1" t="s">
        <v>113</v>
      </c>
      <c r="AL1">
        <f>IF('Batt IN'!$E$53="1st refresh",1,IF('Batt IN'!$E$53="1st and 2nd refresh",2,IF('Batt IN'!$E$53="1st, 2nd, and 3rd Refresh",3,IF('Batt IN'!$E$53="1st - 4th refresh",4,IF('Batt IN'!$E$53="1st - 5th Refresh",5,0)))))</f>
        <v>1</v>
      </c>
      <c r="CW1" s="2"/>
      <c r="CZ1" s="2">
        <f ca="1">SUM(Batt_LCOE_DCF)</f>
        <v>-507667.27935961075</v>
      </c>
    </row>
    <row r="2" spans="1:105" x14ac:dyDescent="0.25">
      <c r="E2" s="337" t="s">
        <v>429</v>
      </c>
      <c r="F2" s="337"/>
      <c r="G2" s="337"/>
      <c r="H2" s="337"/>
      <c r="I2" s="337"/>
      <c r="J2" s="337"/>
      <c r="K2" s="337"/>
      <c r="L2" s="337"/>
      <c r="M2" s="337"/>
      <c r="N2" s="337"/>
      <c r="Q2" s="10">
        <f>SUM(Q5:Q16)</f>
        <v>133056.95999999999</v>
      </c>
      <c r="R2" s="10"/>
      <c r="U2" s="338" t="s">
        <v>326</v>
      </c>
      <c r="V2" s="338"/>
      <c r="W2" s="338"/>
      <c r="X2" s="338"/>
      <c r="Y2" s="338"/>
      <c r="Z2" s="338"/>
      <c r="AA2" s="338"/>
      <c r="AB2" s="338"/>
      <c r="AC2" s="338"/>
      <c r="AD2" s="338"/>
      <c r="AE2" s="10"/>
      <c r="AF2" s="79"/>
      <c r="AG2" s="79"/>
      <c r="AH2" s="79"/>
      <c r="AJ2" s="339" t="s">
        <v>112</v>
      </c>
      <c r="AK2" s="339"/>
      <c r="AL2" s="339"/>
      <c r="AM2" s="339"/>
      <c r="AN2" s="339"/>
      <c r="AO2" s="339"/>
      <c r="AP2" s="339"/>
      <c r="AR2" s="332"/>
      <c r="AS2" s="332"/>
      <c r="AT2" s="332"/>
      <c r="AU2" s="332"/>
      <c r="AV2" s="332"/>
      <c r="AW2" s="68"/>
      <c r="AX2" s="68"/>
      <c r="AY2" s="68"/>
      <c r="AZ2" s="68"/>
      <c r="BA2" s="68"/>
      <c r="BB2" s="68"/>
      <c r="BC2" s="335" t="s">
        <v>85</v>
      </c>
      <c r="BD2" s="335"/>
      <c r="BE2" s="335"/>
      <c r="BF2" s="335"/>
      <c r="BG2" s="335"/>
      <c r="BH2" s="335"/>
      <c r="BJ2" s="39" t="s">
        <v>144</v>
      </c>
      <c r="BK2" s="39"/>
      <c r="BL2" s="333" t="s">
        <v>86</v>
      </c>
      <c r="BM2" s="333"/>
      <c r="BN2" s="333"/>
      <c r="BO2" s="333"/>
      <c r="BP2" s="333"/>
      <c r="BQ2" s="333"/>
      <c r="BR2" s="333"/>
      <c r="BS2" s="333"/>
      <c r="BT2" s="333"/>
      <c r="BU2" s="333"/>
      <c r="BV2" s="333"/>
      <c r="BW2" s="333"/>
      <c r="BX2" s="333"/>
      <c r="BY2" s="132"/>
      <c r="CS2" s="336" t="s">
        <v>409</v>
      </c>
      <c r="CT2" s="336"/>
      <c r="CU2" s="336"/>
      <c r="CV2" s="336"/>
      <c r="CW2" s="336"/>
      <c r="CX2" s="336"/>
      <c r="CY2" s="336"/>
      <c r="CZ2" s="336"/>
      <c r="DA2" s="336"/>
    </row>
    <row r="3" spans="1:105" s="9" customFormat="1" ht="59.25" customHeight="1" x14ac:dyDescent="0.35">
      <c r="A3" s="9" t="s">
        <v>424</v>
      </c>
      <c r="B3" s="9" t="s">
        <v>37</v>
      </c>
      <c r="C3" s="9" t="s">
        <v>18</v>
      </c>
      <c r="D3" s="24" t="s">
        <v>111</v>
      </c>
      <c r="E3" s="9" t="s">
        <v>110</v>
      </c>
      <c r="F3" s="9" t="s">
        <v>109</v>
      </c>
      <c r="G3" s="9" t="s">
        <v>108</v>
      </c>
      <c r="H3" s="9" t="s">
        <v>304</v>
      </c>
      <c r="I3" s="9" t="s">
        <v>103</v>
      </c>
      <c r="J3" s="9" t="s">
        <v>291</v>
      </c>
      <c r="K3" s="9" t="s">
        <v>356</v>
      </c>
      <c r="L3" s="9" t="s">
        <v>357</v>
      </c>
      <c r="M3" s="9" t="s">
        <v>292</v>
      </c>
      <c r="N3" s="9" t="s">
        <v>293</v>
      </c>
      <c r="O3" s="9" t="s">
        <v>418</v>
      </c>
      <c r="P3" s="9" t="s">
        <v>417</v>
      </c>
      <c r="Q3" s="9" t="s">
        <v>426</v>
      </c>
      <c r="S3" s="9" t="s">
        <v>308</v>
      </c>
      <c r="U3" s="9" t="s">
        <v>427</v>
      </c>
      <c r="V3" s="9" t="s">
        <v>428</v>
      </c>
      <c r="W3" s="9" t="s">
        <v>338</v>
      </c>
      <c r="X3" s="9" t="s">
        <v>312</v>
      </c>
      <c r="Y3" s="9" t="s">
        <v>311</v>
      </c>
      <c r="Z3" s="9" t="s">
        <v>310</v>
      </c>
      <c r="AA3" s="9" t="s">
        <v>358</v>
      </c>
      <c r="AB3" s="9" t="s">
        <v>359</v>
      </c>
      <c r="AC3" s="9" t="s">
        <v>318</v>
      </c>
      <c r="AD3" s="9" t="s">
        <v>319</v>
      </c>
      <c r="AE3" s="9" t="s">
        <v>421</v>
      </c>
      <c r="AF3" s="9" t="s">
        <v>328</v>
      </c>
      <c r="AG3" s="9" t="s">
        <v>416</v>
      </c>
      <c r="AH3" s="9" t="s">
        <v>327</v>
      </c>
      <c r="AJ3" s="9" t="s">
        <v>273</v>
      </c>
      <c r="AK3" s="9" t="s">
        <v>274</v>
      </c>
      <c r="AL3" s="9" t="s">
        <v>275</v>
      </c>
      <c r="AM3" s="9" t="s">
        <v>276</v>
      </c>
      <c r="AN3" s="9" t="s">
        <v>277</v>
      </c>
      <c r="AO3" s="9" t="s">
        <v>42</v>
      </c>
      <c r="AP3" s="9" t="s">
        <v>47</v>
      </c>
      <c r="AR3" s="9" t="s">
        <v>83</v>
      </c>
      <c r="AS3" s="9" t="s">
        <v>309</v>
      </c>
      <c r="AT3" s="9" t="s">
        <v>360</v>
      </c>
      <c r="AU3" s="9" t="s">
        <v>361</v>
      </c>
      <c r="AV3" s="9" t="s">
        <v>89</v>
      </c>
      <c r="AW3" s="9" t="s">
        <v>24</v>
      </c>
      <c r="AX3" s="9" t="s">
        <v>480</v>
      </c>
      <c r="AY3" s="9" t="s">
        <v>307</v>
      </c>
      <c r="AZ3" s="9" t="s">
        <v>129</v>
      </c>
      <c r="BA3" s="9" t="s">
        <v>317</v>
      </c>
      <c r="BB3" s="9" t="s">
        <v>320</v>
      </c>
      <c r="BC3" s="9" t="s">
        <v>306</v>
      </c>
      <c r="BD3" s="9" t="s">
        <v>307</v>
      </c>
      <c r="BE3" s="9" t="s">
        <v>129</v>
      </c>
      <c r="BF3" s="9" t="s">
        <v>317</v>
      </c>
      <c r="BG3" s="9" t="s">
        <v>320</v>
      </c>
      <c r="BH3" s="9" t="s">
        <v>90</v>
      </c>
      <c r="BI3" s="37"/>
      <c r="BJ3" s="9" t="s">
        <v>92</v>
      </c>
      <c r="BK3" s="9" t="str">
        <f>IF('Batt IN'!$N$18="Yes", "Loan Principal","Loan Payment")</f>
        <v>Loan Principal</v>
      </c>
      <c r="BL3" s="9" t="s">
        <v>158</v>
      </c>
      <c r="BM3" s="9" t="s">
        <v>43</v>
      </c>
      <c r="BN3" s="9" t="s">
        <v>48</v>
      </c>
      <c r="BO3" s="9" t="s">
        <v>36</v>
      </c>
      <c r="BP3" s="9" t="s">
        <v>273</v>
      </c>
      <c r="BQ3" s="9" t="s">
        <v>274</v>
      </c>
      <c r="BR3" s="9" t="s">
        <v>275</v>
      </c>
      <c r="BS3" s="9" t="s">
        <v>276</v>
      </c>
      <c r="BT3" s="9" t="s">
        <v>277</v>
      </c>
      <c r="BU3" s="9" t="s">
        <v>485</v>
      </c>
      <c r="BV3" s="9" t="s">
        <v>140</v>
      </c>
      <c r="BW3" s="9" t="s">
        <v>142</v>
      </c>
      <c r="BX3" s="9" t="s">
        <v>165</v>
      </c>
      <c r="BY3" s="9" t="s">
        <v>415</v>
      </c>
      <c r="BZ3" s="37"/>
      <c r="CA3" s="9" t="s">
        <v>160</v>
      </c>
      <c r="CB3" s="9" t="s">
        <v>161</v>
      </c>
      <c r="CC3" s="44" t="s">
        <v>162</v>
      </c>
      <c r="CD3" s="42"/>
      <c r="CE3" s="9" t="s">
        <v>288</v>
      </c>
      <c r="CF3" s="9" t="s">
        <v>289</v>
      </c>
      <c r="CG3" s="9" t="s">
        <v>28</v>
      </c>
      <c r="CH3" s="9" t="s">
        <v>290</v>
      </c>
      <c r="CI3" s="44" t="s">
        <v>159</v>
      </c>
      <c r="CJ3" s="47"/>
      <c r="CK3" s="44" t="s">
        <v>145</v>
      </c>
      <c r="CL3" s="37"/>
      <c r="CM3" s="9" t="s">
        <v>119</v>
      </c>
      <c r="CN3" s="9" t="s">
        <v>120</v>
      </c>
      <c r="CO3" s="9" t="s">
        <v>121</v>
      </c>
      <c r="CQ3" s="9" t="s">
        <v>150</v>
      </c>
      <c r="CR3" s="36"/>
      <c r="CS3" s="9" t="s">
        <v>161</v>
      </c>
      <c r="CT3" s="9" t="s">
        <v>412</v>
      </c>
      <c r="CU3" s="9" t="s">
        <v>413</v>
      </c>
      <c r="CV3" s="9" t="s">
        <v>289</v>
      </c>
      <c r="CW3" s="86" t="s">
        <v>28</v>
      </c>
      <c r="CX3" s="9" t="s">
        <v>159</v>
      </c>
      <c r="CY3" s="9" t="s">
        <v>145</v>
      </c>
      <c r="CZ3" s="9" t="s">
        <v>410</v>
      </c>
      <c r="DA3" s="9" t="s">
        <v>422</v>
      </c>
    </row>
    <row r="4" spans="1:105" x14ac:dyDescent="0.25">
      <c r="A4">
        <f>IF(C4&lt;='Batt IN'!$H$43*12,C4,"")</f>
        <v>0</v>
      </c>
      <c r="B4">
        <v>0</v>
      </c>
      <c r="C4">
        <v>0</v>
      </c>
      <c r="AR4" s="10"/>
      <c r="AS4" s="10"/>
      <c r="AT4" s="10"/>
      <c r="AU4" s="10"/>
      <c r="BJ4" s="10">
        <f>-'Batt IN'!O25</f>
        <v>0</v>
      </c>
      <c r="BK4" s="10"/>
      <c r="CA4" s="10">
        <f t="shared" ref="CA4:CA67" si="0">SUM(AR4:BH4)</f>
        <v>0</v>
      </c>
      <c r="CB4" s="2">
        <f>SUM(BJ4:BY4)</f>
        <v>0</v>
      </c>
      <c r="CC4" s="45">
        <f>SUM(CA4:CB4)</f>
        <v>0</v>
      </c>
      <c r="CD4" s="43"/>
      <c r="CE4" s="2">
        <f>SUM(BC4:BH4)</f>
        <v>0</v>
      </c>
      <c r="CF4" s="2">
        <f>SUM(BL4:BY4)</f>
        <v>0</v>
      </c>
      <c r="CG4" s="2"/>
      <c r="CH4" s="2">
        <f>SUM(CE4:CG4)</f>
        <v>0</v>
      </c>
      <c r="CI4" s="45">
        <f>-CH4*'Batt IN'!$E$7</f>
        <v>0</v>
      </c>
      <c r="CJ4" s="48"/>
      <c r="CK4" s="45">
        <f>IF('Batt IN'!$F$4="PV Only",0,IF(C4&gt;'Batt IN'!$H$43*12,0,CC4+CI4))</f>
        <v>0</v>
      </c>
      <c r="CM4" s="10">
        <f>CK4</f>
        <v>0</v>
      </c>
      <c r="CN4" s="2">
        <f>CK4/(1+('Batt IN'!$G$8))^(C4)</f>
        <v>0</v>
      </c>
      <c r="CO4" s="10">
        <f>CN4</f>
        <v>0</v>
      </c>
      <c r="CQ4" s="2">
        <f>CK4/((1+('Batt IN'!$E$8/12))^BattCalcs!C4)</f>
        <v>0</v>
      </c>
      <c r="CS4" s="10">
        <f>CB4</f>
        <v>0</v>
      </c>
      <c r="CT4" s="10">
        <f>AV4+BH4</f>
        <v>0</v>
      </c>
      <c r="CU4" s="10">
        <f>CS4+CT4</f>
        <v>0</v>
      </c>
      <c r="CV4" s="10">
        <f>SUM(BL4:BX4)</f>
        <v>0</v>
      </c>
      <c r="CW4" s="2">
        <f>CG4</f>
        <v>0</v>
      </c>
      <c r="CX4" s="2">
        <f>-(SUM(CV4:CW4)*'PV IN'!$E$8)</f>
        <v>0</v>
      </c>
      <c r="CY4" s="2">
        <f>CU4+CX4</f>
        <v>0</v>
      </c>
      <c r="CZ4" s="2">
        <f>IF(C4&lt;='Batt IN'!$H$43*12,CY4/(1+('PV IN'!$G$9))^(C4),0)</f>
        <v>0</v>
      </c>
      <c r="DA4" s="33">
        <f>IF(C4&lt;='Batt IN'!$H$43*12,AE4,0)</f>
        <v>0</v>
      </c>
    </row>
    <row r="5" spans="1:105" x14ac:dyDescent="0.25">
      <c r="A5">
        <f>IF(C5&lt;='Batt IN'!$H$43*12,C5,"")</f>
        <v>1</v>
      </c>
      <c r="C5">
        <v>1</v>
      </c>
      <c r="D5" s="21">
        <v>730</v>
      </c>
      <c r="E5" s="1">
        <f>1-'Batt IN'!$E$31</f>
        <v>2.0000000000000018E-2</v>
      </c>
      <c r="F5" s="12">
        <f>('Batt IN'!$E$33*365)/8760</f>
        <v>0</v>
      </c>
      <c r="G5" s="22">
        <f>'Batt IN'!$E$32/8760</f>
        <v>5.7077625570776253E-3</v>
      </c>
      <c r="H5" s="22">
        <f>'Batt IN'!$E$13/8760</f>
        <v>5.5936073059360729E-3</v>
      </c>
      <c r="I5" s="23">
        <f>IF(C5&lt;='Batt IN'!$G$14*12,'Batt IN'!$E$15/8760*'Batt IN'!$G$15,0)</f>
        <v>6.8493150684931503E-3</v>
      </c>
      <c r="J5" s="12">
        <f>Z5/'Batt IN'!$E$27/730</f>
        <v>2.4999999999999996E-3</v>
      </c>
      <c r="K5" s="23">
        <f>AA5/'Batt IN'!$E$27/730</f>
        <v>1.6027397260273972E-3</v>
      </c>
      <c r="L5" s="23">
        <f>AB5/'Batt IN'!$E$27/730</f>
        <v>2.0547945205479451E-4</v>
      </c>
      <c r="M5" s="23">
        <f>AC5/'Batt IN'!$E$27/730</f>
        <v>4.7945205479452057E-3</v>
      </c>
      <c r="N5" s="23">
        <f>AD5/'Batt IN'!$E$27/730</f>
        <v>3.4246575342465752E-3</v>
      </c>
      <c r="O5" s="12">
        <f>SUM(E5:N5)</f>
        <v>5.0678082191780847E-2</v>
      </c>
      <c r="P5" s="21">
        <f>D5*(1-O5)</f>
        <v>693.005</v>
      </c>
      <c r="Q5" s="2">
        <f>IF('Batt IN'!$E$27*'Batt IN'!$E$24&lt;='Batt IN'!$E$28,(('Batt IN'!$E$23*'Batt IN'!$E$27*'Batt IN'!$E$24)/1000)*P5,(('Batt IN'!$E$23*'Batt IN'!$E$28*'Batt IN'!$E$24)/1000)*P5)</f>
        <v>11088.08</v>
      </c>
      <c r="R5" s="2"/>
      <c r="S5" s="77">
        <f>IF(C5&lt;='Batt IN'!$G$14*12,'Batt IN'!$E$15/12,0)</f>
        <v>8.3333333333333339</v>
      </c>
      <c r="T5" s="23"/>
      <c r="U5" s="80">
        <f>'Batt IN'!$E$28*('Batt IN'!$G$24/24)*730*(1-O5)</f>
        <v>80850.583333333328</v>
      </c>
      <c r="V5" s="78">
        <f>U5*'Batt IN'!$F$30</f>
        <v>16170.116666666667</v>
      </c>
      <c r="W5" s="78">
        <f>'Batt IN'!$E$28*'Batt IN'!$G$32*('Batt IN'!$E$32/12)*(1+'Batt IN'!$F$30)</f>
        <v>1750.0000000000002</v>
      </c>
      <c r="X5" s="78">
        <f>'Batt IN'!$E$28*'Batt IN'!$G$13*('Batt IN'!$E$13/12)*(1+'Batt IN'!$F$30)</f>
        <v>3184.9999999999995</v>
      </c>
      <c r="Y5" s="33">
        <f>S5*'Batt IN'!$G$15*'Batt IN'!$E$28*(1+'Batt IN'!$F$30)</f>
        <v>6000</v>
      </c>
      <c r="Z5" s="33">
        <f>'Batt IN'!$G$16*365/12*(1+'Batt IN'!$F$30)</f>
        <v>1824.9999999999998</v>
      </c>
      <c r="AA5" s="33">
        <f>'Batt IN'!$G$17*'Batt IN'!$E$18*'Batt IN'!$G$18/12*(1+'Batt IN'!$F$30)</f>
        <v>1170</v>
      </c>
      <c r="AB5" s="33">
        <f>'Batt IN'!$G$19*'Batt IN'!$E$20*'Batt IN'!$G$20/12*(1+'Batt IN'!$F$30)</f>
        <v>150</v>
      </c>
      <c r="AC5" s="33">
        <f>'Batt IN'!$G$21*(1+'Batt IN'!$F$30)/12</f>
        <v>3500</v>
      </c>
      <c r="AD5" s="33">
        <f>'Batt IN'!$G$22*(1+'Batt IN'!$F$30)/12</f>
        <v>2500</v>
      </c>
      <c r="AE5" s="33">
        <f>SUM(V5:AD5)</f>
        <v>36250.116666666669</v>
      </c>
      <c r="AF5" s="33">
        <f>IF('PV IN'!$F$4="Battery Only",0,AE5*'Batt IN'!$E$29)</f>
        <v>30812.599166666667</v>
      </c>
      <c r="AG5" s="33">
        <f>PVCalcs!L5</f>
        <v>30812.599166666667</v>
      </c>
      <c r="AH5" s="33">
        <f>AE5-AG5</f>
        <v>5437.5175000000017</v>
      </c>
      <c r="AI5" s="33"/>
      <c r="AJ5" s="2">
        <f>IF(AND('Batt IN'!$D$53="Yes",$AL$1&gt;=1),IF($C5='Batt IN'!$H$54*12,-'Batt IN'!$F$54,0),0)</f>
        <v>0</v>
      </c>
      <c r="AK5" s="2">
        <f>IF(AND('Batt IN'!$D$53="Yes",$AL$1&gt;=2),IF($C5='Batt IN'!$H$55*12,-'Batt IN'!$F$55,0),0)</f>
        <v>0</v>
      </c>
      <c r="AL5" s="2">
        <f>IF(AND('Batt IN'!$D$53="Yes",$AL$1&gt;=3),IF($C5='Batt IN'!$H$56*12,-'Batt IN'!$F$56,0),0)</f>
        <v>0</v>
      </c>
      <c r="AM5" s="2">
        <f>IF(AND('Batt IN'!$D$53="Yes",$AL$1&gt;=4),IF($C5='Batt IN'!$H$57*12,-'Batt IN'!$F$57,0),0)</f>
        <v>0</v>
      </c>
      <c r="AN5" s="2">
        <f>IF(AND('Batt IN'!$D$53="Yes",$AL$1&gt;=5),IF($C5='Batt IN'!$H$58*12,-'Batt IN'!$F$58,0),0)</f>
        <v>0</v>
      </c>
      <c r="AO5" s="10">
        <f>IF(AND('Batt IN'!$D$44="YES",$C5&lt;='Batt IN'!$E$44*12),-'Batt IN'!$E$28*'Batt IN'!$E$42/12,0)</f>
        <v>0</v>
      </c>
      <c r="AP5" s="10">
        <f>IF(AND('Batt IN'!$D$46="YES",$C5&lt;='Batt IN'!$E$46*12),-'Batt IN'!$E$28*'Batt IN'!$E$45/12,0)</f>
        <v>0</v>
      </c>
      <c r="AR5" s="10">
        <f>BattLoan!M32</f>
        <v>0</v>
      </c>
      <c r="AS5" s="10">
        <f>'Batt IN'!$G$16*365/12*'Batt IN'!$E$16</f>
        <v>76.041666666666671</v>
      </c>
      <c r="AT5" s="10">
        <f>IF(AND('Batt IN'!$E$18&gt;0,'Batt IN'!$G$18&gt;0),'Batt IN'!$E$17*'Batt IN'!$G$17,0)</f>
        <v>119.44619999999999</v>
      </c>
      <c r="AU5" s="10">
        <f>IF(AND('Batt IN'!$E$20&gt;0,'Batt IN'!$G$20&gt;0),'Batt IN'!$E$19*'Batt IN'!$G$19,0)</f>
        <v>231</v>
      </c>
      <c r="AV5" s="10"/>
      <c r="AW5" s="10"/>
      <c r="AX5" s="10">
        <f>IF('Batt IN'!$E$11="Non-Taxable",Q5,0)</f>
        <v>11088.08</v>
      </c>
      <c r="AY5" s="10">
        <f>IF('Batt IN'!$E$11="Non-Taxable",'Batt IN'!$E$28/1000*'Batt IN'!$G$13*('Batt IN'!$E$13/12)*'Batt IN'!$E$12,0)</f>
        <v>244.42220833333334</v>
      </c>
      <c r="AZ5" s="10">
        <f>IF('Batt IN'!$E$11="Non-Taxable",$S5*'Batt IN'!$G$15*'Batt IN'!$E$28*'Batt IN'!$E$14/1000,0)</f>
        <v>475</v>
      </c>
      <c r="BA5" s="10">
        <f>IF('Batt IN'!$E$11="Non-Taxable",'Batt IN'!$E$21*'Batt IN'!$G$21/12,0)</f>
        <v>437.5</v>
      </c>
      <c r="BB5" s="10">
        <f>IF('Batt IN'!$E$11="Non-Taxable",'Batt IN'!$E$22*'Batt IN'!$G$22/12,0)</f>
        <v>1145.8333333333335</v>
      </c>
      <c r="BC5" s="10">
        <f>IF('Batt IN'!$E$11="Taxable",Q5,0)</f>
        <v>0</v>
      </c>
      <c r="BD5" s="10">
        <f>IF('Batt IN'!$E$11="Taxable",'Batt IN'!$E$28/1000*'Batt IN'!$G$13*('Batt IN'!$E$13/12)*'Batt IN'!$E$12,0)</f>
        <v>0</v>
      </c>
      <c r="BE5" s="10">
        <f>IF('Batt IN'!$E$11="Taxable",$S5*'Batt IN'!$G$15*'Batt IN'!$E$28*'Batt IN'!$E$14/1000,0)</f>
        <v>0</v>
      </c>
      <c r="BF5" s="10">
        <f>IF('Batt IN'!$E$11="Taxable",'Batt IN'!$E$21*'Batt IN'!$G$21/12,0)</f>
        <v>0</v>
      </c>
      <c r="BG5" s="10">
        <f>IF('Batt IN'!$E$11="Taxable",'Batt IN'!$E$22*'Batt IN'!$G$22/12,0)</f>
        <v>0</v>
      </c>
      <c r="BK5" s="10">
        <f>IF('Batt IN'!$N$18="Yes",-BattLoan!H33,-BattLoan!L33)</f>
        <v>0</v>
      </c>
      <c r="BL5" s="10">
        <f>IF('Batt IN'!$N$18="Yes",-BattLoan!F33,0)</f>
        <v>0</v>
      </c>
      <c r="BM5" s="10">
        <f>IF(AND('Batt IN'!$D$44="YES",$C5&lt;='Batt IN'!$E$44*12),0,-'Batt IN'!$E$28*'Batt IN'!$E$42/12)</f>
        <v>-83.333333333333329</v>
      </c>
      <c r="BN5" s="10">
        <f>IF(AND('Batt IN'!$D$46="YES",$C5&lt;='Batt IN'!$E$46*12),0,-'Batt IN'!$E$28*'Batt IN'!$E$45/12)</f>
        <v>-166.66666666666666</v>
      </c>
      <c r="BO5" s="2">
        <f>IF(AND('Batt IN'!$D$41="YES",BattCalcs!C5=ROUNDUP('Batt IN'!$H$41*12,)),-'Batt IN'!$E$41*'Batt IN'!$E$28,0)</f>
        <v>0</v>
      </c>
      <c r="BP5" s="2">
        <f>IF(AND('Batt IN'!$D$53="Yes",$AL$1&gt;=1),0,IF($C5='Batt IN'!$H$54*12,-'Batt IN'!$F$54,0))</f>
        <v>0</v>
      </c>
      <c r="BQ5" s="2">
        <f>IF(AND('Batt IN'!$D$53="Yes",$AL$1&gt;=2),0,IF($C5='Batt IN'!$H$55*12,-'Batt IN'!$F$55,0))</f>
        <v>0</v>
      </c>
      <c r="BR5" s="2">
        <f>IF(AND('Batt IN'!$D$53="Yes",$AL$1&gt;=3),0,IF($C5='Batt IN'!$H$56*12,-'Batt IN'!$F$56,0))</f>
        <v>0</v>
      </c>
      <c r="BS5" s="2">
        <f>IF(AND('Batt IN'!$D$53="Yes",$AL$1&gt;=4),0,IF($C5='Batt IN'!$H$57*12,-'Batt IN'!$F$57,0))</f>
        <v>0</v>
      </c>
      <c r="BT5" s="2">
        <f>IF(AND('Batt IN'!$D$53="Yes",$AL$1&gt;=5),0,IF($C5='Batt IN'!$H$58*12,-'Batt IN'!$F$58,0))</f>
        <v>0</v>
      </c>
      <c r="BU5" s="2">
        <f>-AH5*PVCalcs!F5</f>
        <v>-413.06265108561007</v>
      </c>
      <c r="BV5" s="2">
        <f>-'Batt IN'!$E$47</f>
        <v>-150</v>
      </c>
      <c r="BW5" s="2">
        <f>-'Batt IN'!$E$49</f>
        <v>-2250</v>
      </c>
      <c r="BX5" s="2">
        <f>IF('Batt IN'!$H$50="No",-(BC5*'Batt IN'!$E$50),-(BC5+BE5)*'Batt IN'!$E$50)</f>
        <v>0</v>
      </c>
      <c r="BY5" s="2">
        <f>IF(C5='Batt IN'!$H$43*12,-'Batt IN'!$E$43,0)</f>
        <v>0</v>
      </c>
      <c r="BZ5" s="38"/>
      <c r="CA5" s="10">
        <f>SUM(AR5:BH5)</f>
        <v>13817.323408333334</v>
      </c>
      <c r="CB5" s="2">
        <f>SUM(BJ5:BY5)</f>
        <v>-3063.06265108561</v>
      </c>
      <c r="CC5" s="45">
        <f>SUM(CA5:CB5)</f>
        <v>10754.260757247725</v>
      </c>
      <c r="CD5" s="43"/>
      <c r="CE5" s="2">
        <f>SUM(BC5:BH5)</f>
        <v>0</v>
      </c>
      <c r="CF5" s="2">
        <f>SUM(BL5:BY5)</f>
        <v>-3063.06265108561</v>
      </c>
      <c r="CG5" s="2"/>
      <c r="CH5" s="2">
        <f>SUM(CE5:CG5)</f>
        <v>-3063.06265108561</v>
      </c>
      <c r="CI5" s="45">
        <f>-CH5*'Batt IN'!$E$7</f>
        <v>643.24315672797809</v>
      </c>
      <c r="CJ5" s="48"/>
      <c r="CK5" s="45">
        <f>IF('Batt IN'!$F$4="PV Only",0,IF(C5&gt;'Batt IN'!$H$43*12,0,CC5+CI5))</f>
        <v>0</v>
      </c>
      <c r="CM5" s="10">
        <f>CM4+CK5</f>
        <v>0</v>
      </c>
      <c r="CN5" s="2">
        <f>CK5/(1+('Batt IN'!$G$8))^(C5)</f>
        <v>0</v>
      </c>
      <c r="CO5" s="2">
        <f>IF(C5&lt;='Batt IN'!$O$30*12,CN5+CO4,NA())</f>
        <v>0</v>
      </c>
      <c r="CQ5" s="2">
        <f>CK5/((1+('Batt IN'!$E$8/12))^BattCalcs!C5)</f>
        <v>0</v>
      </c>
      <c r="CS5" s="10">
        <f>CB5</f>
        <v>-3063.06265108561</v>
      </c>
      <c r="CT5" s="10">
        <f>AV5+BH5</f>
        <v>0</v>
      </c>
      <c r="CU5" s="10">
        <f>CS5+CT5</f>
        <v>-3063.06265108561</v>
      </c>
      <c r="CV5" s="10">
        <f>SUM(BL5:BX5)</f>
        <v>-3063.06265108561</v>
      </c>
      <c r="CW5" s="2">
        <f t="shared" ref="CW5:CW68" si="1">CG5</f>
        <v>0</v>
      </c>
      <c r="CX5" s="2">
        <f>-(SUM(CV5:CW5)*'PV IN'!$E$8)</f>
        <v>643.24315672797809</v>
      </c>
      <c r="CY5" s="2">
        <f>CU5+CX5</f>
        <v>-2419.8194943576318</v>
      </c>
      <c r="CZ5" s="2">
        <f>IF(C5&lt;='Batt IN'!$H$43*12,CY5/(1+('PV IN'!$G$9))^(C5),0)</f>
        <v>-2410.0008525655817</v>
      </c>
      <c r="DA5" s="33">
        <f>IF(C5&lt;='Batt IN'!$H$43*12,AE5,0)</f>
        <v>36250.116666666669</v>
      </c>
    </row>
    <row r="6" spans="1:105" x14ac:dyDescent="0.25">
      <c r="A6">
        <f>IF(C6&lt;='Batt IN'!$H$43*12,C6,"")</f>
        <v>2</v>
      </c>
      <c r="C6">
        <v>2</v>
      </c>
      <c r="D6" s="21">
        <v>730</v>
      </c>
      <c r="E6" s="1">
        <f>1-'Batt IN'!$E$31</f>
        <v>2.0000000000000018E-2</v>
      </c>
      <c r="F6" s="12">
        <f>('Batt IN'!$E$33*365)/8760</f>
        <v>0</v>
      </c>
      <c r="G6" s="22">
        <f>'Batt IN'!$E$32/8760</f>
        <v>5.7077625570776253E-3</v>
      </c>
      <c r="H6" s="22">
        <f>'Batt IN'!$E$13/8760</f>
        <v>5.5936073059360729E-3</v>
      </c>
      <c r="I6" s="23">
        <f>IF(C6&lt;='Batt IN'!$G$14*12,'Batt IN'!$E$15/8760*'Batt IN'!$G$15,0)</f>
        <v>6.8493150684931503E-3</v>
      </c>
      <c r="J6" s="12">
        <f>Z6/'Batt IN'!$E$27/730</f>
        <v>2.4999999999999996E-3</v>
      </c>
      <c r="K6" s="23">
        <f>AA6/'Batt IN'!$E$27/730</f>
        <v>1.6027397260273972E-3</v>
      </c>
      <c r="L6" s="23">
        <f>AB6/'Batt IN'!$E$27/730</f>
        <v>2.0547945205479451E-4</v>
      </c>
      <c r="M6" s="23">
        <f>AC6/'Batt IN'!$E$27/730</f>
        <v>4.7945205479452057E-3</v>
      </c>
      <c r="N6" s="23">
        <f>AD6/'Batt IN'!$E$27/730</f>
        <v>3.4246575342465752E-3</v>
      </c>
      <c r="O6" s="12">
        <f t="shared" ref="O6:O68" si="2">SUM(E6:N6)</f>
        <v>5.0678082191780847E-2</v>
      </c>
      <c r="P6" s="21">
        <f t="shared" ref="P6:P68" si="3">D6*(1-O6)</f>
        <v>693.005</v>
      </c>
      <c r="Q6" s="2">
        <f>IF('Batt IN'!$E$27*'Batt IN'!$E$24&lt;='Batt IN'!$E$28,(('Batt IN'!$E$23*'Batt IN'!$E$27*'Batt IN'!$E$24)/1000)*P6,(('Batt IN'!$E$23*'Batt IN'!$E$28*'Batt IN'!$E$24)/1000)*P6)</f>
        <v>11088.08</v>
      </c>
      <c r="R6" s="2"/>
      <c r="S6" s="77">
        <f>IF(C6&lt;='Batt IN'!$G$14*12,'Batt IN'!$E$15/12,0)</f>
        <v>8.3333333333333339</v>
      </c>
      <c r="T6" s="77"/>
      <c r="U6" s="80">
        <f>'Batt IN'!$E$28*('Batt IN'!$G$24/24)*730*(1-O6)</f>
        <v>80850.583333333328</v>
      </c>
      <c r="V6" s="78">
        <f>U6*'Batt IN'!$F$30</f>
        <v>16170.116666666667</v>
      </c>
      <c r="W6" s="78">
        <f>'Batt IN'!$E$28*'Batt IN'!$G$32*('Batt IN'!$E$32/12)*(1+'Batt IN'!$F$30)</f>
        <v>1750.0000000000002</v>
      </c>
      <c r="X6" s="78">
        <f>'Batt IN'!$E$28*'Batt IN'!$G$13*('Batt IN'!$E$13/12)*(1+'Batt IN'!$F$30)</f>
        <v>3184.9999999999995</v>
      </c>
      <c r="Y6" s="33">
        <f>S6*'Batt IN'!$G$15*'Batt IN'!$E$28*(1+'Batt IN'!$F$30)</f>
        <v>6000</v>
      </c>
      <c r="Z6" s="33">
        <f>'Batt IN'!$G$16*365/12*(1+'Batt IN'!$F$30)</f>
        <v>1824.9999999999998</v>
      </c>
      <c r="AA6" s="33">
        <f>'Batt IN'!$G$17*'Batt IN'!$E$18*'Batt IN'!$G$18/12*(1+'Batt IN'!$F$30)</f>
        <v>1170</v>
      </c>
      <c r="AB6" s="33">
        <f>'Batt IN'!$G$19*'Batt IN'!$E$20*'Batt IN'!$G$20/12*(1+'Batt IN'!$F$30)</f>
        <v>150</v>
      </c>
      <c r="AC6" s="33">
        <f>'Batt IN'!$G$21*(1+'Batt IN'!$F$30)/12</f>
        <v>3500</v>
      </c>
      <c r="AD6" s="33">
        <f>'Batt IN'!$G$22*(1+'Batt IN'!$F$30)/12</f>
        <v>2500</v>
      </c>
      <c r="AE6" s="33">
        <f t="shared" ref="AE6:AE69" si="4">SUM(V6:AD6)</f>
        <v>36250.116666666669</v>
      </c>
      <c r="AF6" s="33">
        <f>IF('PV IN'!$F$4="Battery Only",0,AE6*'Batt IN'!$E$29)</f>
        <v>30812.599166666667</v>
      </c>
      <c r="AG6" s="33">
        <f>PVCalcs!L6</f>
        <v>30812.599166666667</v>
      </c>
      <c r="AH6" s="33">
        <f t="shared" ref="AH6:AH69" si="5">AE6-AG6</f>
        <v>5437.5175000000017</v>
      </c>
      <c r="AI6" s="33"/>
      <c r="AJ6" s="2">
        <f>IF(AND('Batt IN'!$D$53="Yes",$AL$1&gt;=1),IF($C6='Batt IN'!$H$54*12,-'Batt IN'!$F$54,0),0)</f>
        <v>0</v>
      </c>
      <c r="AK6" s="2">
        <f>IF(AND('Batt IN'!$D$53="Yes",$AL$1&gt;=2),IF($C6='Batt IN'!$H$55*12,-'Batt IN'!$F$55,0),0)</f>
        <v>0</v>
      </c>
      <c r="AL6" s="2">
        <f>IF(AND('Batt IN'!$D$53="Yes",$AL$1&gt;=3),IF($C6='Batt IN'!$H$56*12,-'Batt IN'!$F$56,0),0)</f>
        <v>0</v>
      </c>
      <c r="AM6" s="2">
        <f>IF(AND('Batt IN'!$D$53="Yes",$AL$1&gt;=4),IF($C6='Batt IN'!$H$57*12,-'Batt IN'!$F$57,0),0)</f>
        <v>0</v>
      </c>
      <c r="AN6" s="2">
        <f>IF(AND('Batt IN'!$D$53="Yes",$AL$1&gt;=5),IF($C6='Batt IN'!$H$58*12,-'Batt IN'!$F$58,0),0)</f>
        <v>0</v>
      </c>
      <c r="AO6" s="10">
        <f>IF(AND('Batt IN'!$D$44="YES",$C6&lt;='Batt IN'!$E$44*12),-'Batt IN'!$E$28*'Batt IN'!$E$42/12,0)</f>
        <v>0</v>
      </c>
      <c r="AP6" s="10">
        <f>IF(AND('Batt IN'!$D$46="YES",$C6&lt;='Batt IN'!$E$46*12),-'Batt IN'!$E$28*'Batt IN'!$E$45/12,0)</f>
        <v>0</v>
      </c>
      <c r="AR6" s="10">
        <f>BattLoan!M33</f>
        <v>0</v>
      </c>
      <c r="AS6" s="10">
        <f>'Batt IN'!$G$16*365/12*'Batt IN'!$E$16</f>
        <v>76.041666666666671</v>
      </c>
      <c r="AT6" s="10">
        <f>IF(AND('Batt IN'!$E$18&gt;0,'Batt IN'!$G$18&gt;0),'Batt IN'!$E$17*'Batt IN'!$G$17,0)</f>
        <v>119.44619999999999</v>
      </c>
      <c r="AU6" s="10">
        <f>IF(AND('Batt IN'!$E$20&gt;0,'Batt IN'!$G$20&gt;0),'Batt IN'!$E$19*'Batt IN'!$G$19,0)</f>
        <v>231</v>
      </c>
      <c r="AV6" s="10"/>
      <c r="AW6" s="10"/>
      <c r="AX6" s="10">
        <f>IF('Batt IN'!$E$11="Non-Taxable",Q6,0)</f>
        <v>11088.08</v>
      </c>
      <c r="AY6" s="10">
        <f>IF('Batt IN'!$E$11="Non-Taxable",'Batt IN'!$E$28/1000*'Batt IN'!$G$13*('Batt IN'!$E$13/12)*'Batt IN'!$E$12,0)</f>
        <v>244.42220833333334</v>
      </c>
      <c r="AZ6" s="10">
        <f>IF('Batt IN'!$E$11="Non-Taxable",$S6*'Batt IN'!$G$15*'Batt IN'!$E$28*'Batt IN'!$E$14/1000,0)</f>
        <v>475</v>
      </c>
      <c r="BA6" s="10">
        <f>IF('Batt IN'!$E$11="Non-Taxable",'Batt IN'!$E$21*'Batt IN'!$G$21/12,0)</f>
        <v>437.5</v>
      </c>
      <c r="BB6" s="10">
        <f>IF('Batt IN'!$E$11="Non-Taxable",'Batt IN'!$E$22*'Batt IN'!$G$22/12,0)</f>
        <v>1145.8333333333335</v>
      </c>
      <c r="BC6" s="10">
        <f>IF('Batt IN'!$E$11="Taxable",Q6,0)</f>
        <v>0</v>
      </c>
      <c r="BD6" s="10">
        <f>IF('Batt IN'!$E$11="Taxable",'Batt IN'!$E$28/1000*'Batt IN'!$G$13*('Batt IN'!$E$13/12)*'Batt IN'!$E$12,0)</f>
        <v>0</v>
      </c>
      <c r="BE6" s="10">
        <f>IF('Batt IN'!$E$11="Taxable",$S6*'Batt IN'!$G$15*'Batt IN'!$E$28*'Batt IN'!$E$14/1000,0)</f>
        <v>0</v>
      </c>
      <c r="BF6" s="10">
        <f>IF('Batt IN'!$E$11="Taxable",'Batt IN'!$E$21*'Batt IN'!$G$21/12,0)</f>
        <v>0</v>
      </c>
      <c r="BG6" s="10">
        <f>IF('Batt IN'!$E$11="Taxable",'Batt IN'!$E$22*'Batt IN'!$G$22/12,0)</f>
        <v>0</v>
      </c>
      <c r="BK6" s="10">
        <f>IF('Batt IN'!$N$18="Yes",-BattLoan!H34,-BattLoan!L34)</f>
        <v>0</v>
      </c>
      <c r="BL6" s="10">
        <f>IF('Batt IN'!$N$18="Yes",-BattLoan!F34,0)</f>
        <v>0</v>
      </c>
      <c r="BM6" s="10">
        <f>IF(AND('Batt IN'!$D$44="YES",$C6&lt;='Batt IN'!$E$44*12),0,-'Batt IN'!$E$28*'Batt IN'!$E$42/12)</f>
        <v>-83.333333333333329</v>
      </c>
      <c r="BN6" s="10">
        <f>IF(AND('Batt IN'!$D$46="YES",$C6&lt;='Batt IN'!$E$46*12),0,-'Batt IN'!$E$28*'Batt IN'!$E$45/12)</f>
        <v>-166.66666666666666</v>
      </c>
      <c r="BO6" s="2">
        <f>IF(AND('Batt IN'!$D$41="YES",BattCalcs!C6=ROUNDUP('Batt IN'!$H$41*12,)),-'Batt IN'!$E$41*'Batt IN'!$E$28,0)</f>
        <v>0</v>
      </c>
      <c r="BP6" s="2">
        <f>IF(AND('Batt IN'!$D$53="Yes",$AL$1&gt;=1),0,IF($C6='Batt IN'!$H$54*12,-'Batt IN'!$F$54,0))</f>
        <v>0</v>
      </c>
      <c r="BQ6" s="2">
        <f>IF(AND('Batt IN'!$D$53="Yes",$AL$1&gt;=2),0,IF($C6='Batt IN'!$H$55*12,-'Batt IN'!$F$55,0))</f>
        <v>0</v>
      </c>
      <c r="BR6" s="2">
        <f>IF(AND('Batt IN'!$D$53="Yes",$AL$1&gt;=3),0,IF($C6='Batt IN'!$H$56*12,-'Batt IN'!$F$56,0))</f>
        <v>0</v>
      </c>
      <c r="BS6" s="2">
        <f>IF(AND('Batt IN'!$D$53="Yes",$AL$1&gt;=4),0,IF($C6='Batt IN'!$H$57*12,-'Batt IN'!$F$57,0))</f>
        <v>0</v>
      </c>
      <c r="BT6" s="2">
        <f>IF(AND('Batt IN'!$D$53="Yes",$AL$1&gt;=5),0,IF($C6='Batt IN'!$H$58*12,-'Batt IN'!$F$58,0))</f>
        <v>0</v>
      </c>
      <c r="BU6" s="2">
        <f>-AH6*PVCalcs!F6</f>
        <v>-413.06265108561007</v>
      </c>
      <c r="BV6" s="2">
        <f>-'Batt IN'!$E$47</f>
        <v>-150</v>
      </c>
      <c r="BW6" s="2">
        <f>-'Batt IN'!$E$49</f>
        <v>-2250</v>
      </c>
      <c r="BX6" s="2">
        <f>IF('Batt IN'!$H$50="No",-(BC6*'Batt IN'!$E$50),-(BC6+BE6)*'Batt IN'!$E$50)</f>
        <v>0</v>
      </c>
      <c r="BY6" s="2">
        <f>IF(C6='Batt IN'!$H$43*12,-'Batt IN'!$E$43,0)</f>
        <v>0</v>
      </c>
      <c r="BZ6" s="38"/>
      <c r="CA6" s="10">
        <f t="shared" si="0"/>
        <v>13817.323408333334</v>
      </c>
      <c r="CB6" s="2">
        <f t="shared" ref="CB6:CB68" si="6">SUM(BJ6:BY6)</f>
        <v>-3063.06265108561</v>
      </c>
      <c r="CC6" s="45">
        <f t="shared" ref="CC6:CC68" si="7">SUM(CA6:CB6)</f>
        <v>10754.260757247725</v>
      </c>
      <c r="CD6" s="43"/>
      <c r="CE6" s="2">
        <f t="shared" ref="CE6:CE67" si="8">SUM(BC6:BH6)</f>
        <v>0</v>
      </c>
      <c r="CF6" s="2">
        <f t="shared" ref="CF6:CF68" si="9">SUM(BL6:BY6)</f>
        <v>-3063.06265108561</v>
      </c>
      <c r="CG6" s="2"/>
      <c r="CH6" s="2">
        <f t="shared" ref="CH6:CH68" si="10">SUM(CE6:CG6)</f>
        <v>-3063.06265108561</v>
      </c>
      <c r="CI6" s="45">
        <f>-CH6*'Batt IN'!$E$7</f>
        <v>643.24315672797809</v>
      </c>
      <c r="CJ6" s="48"/>
      <c r="CK6" s="45">
        <f>IF('Batt IN'!$F$4="PV Only",0,IF(C6&gt;'Batt IN'!$H$43*12,0,CC6+CI6))</f>
        <v>0</v>
      </c>
      <c r="CM6" s="10">
        <f t="shared" ref="CM6:CM68" si="11">CM5+CK6</f>
        <v>0</v>
      </c>
      <c r="CN6" s="2">
        <f>CK6/(1+('Batt IN'!$G$8))^(C6)</f>
        <v>0</v>
      </c>
      <c r="CO6" s="2">
        <f>IF(C6&lt;='Batt IN'!$O$30*12,CN6+CO5,NA())</f>
        <v>0</v>
      </c>
      <c r="CQ6" s="2">
        <f>CK6/((1+('Batt IN'!$E$8/12))^BattCalcs!C6)</f>
        <v>0</v>
      </c>
      <c r="CS6" s="10">
        <f t="shared" ref="CS6:CS68" si="12">CB6</f>
        <v>-3063.06265108561</v>
      </c>
      <c r="CT6" s="10">
        <f t="shared" ref="CT6:CT68" si="13">AV6+BH6</f>
        <v>0</v>
      </c>
      <c r="CU6" s="10">
        <f t="shared" ref="CU6:CU68" si="14">CS6+CT6</f>
        <v>-3063.06265108561</v>
      </c>
      <c r="CV6" s="10">
        <f t="shared" ref="CV6:CV68" si="15">SUM(BL6:BX6)</f>
        <v>-3063.06265108561</v>
      </c>
      <c r="CW6" s="2">
        <f t="shared" si="1"/>
        <v>0</v>
      </c>
      <c r="CX6" s="2">
        <f>-(SUM(CV6:CW6)*'PV IN'!$E$8)</f>
        <v>643.24315672797809</v>
      </c>
      <c r="CY6" s="2">
        <f t="shared" ref="CY6:CY68" si="16">CU6+CX6</f>
        <v>-2419.8194943576318</v>
      </c>
      <c r="CZ6" s="2">
        <f>IF(C6&lt;='Batt IN'!$H$43*12,CY6/(1+('PV IN'!$G$9))^(C6),0)</f>
        <v>-2400.222050822289</v>
      </c>
      <c r="DA6" s="33">
        <f>IF(C6&lt;='Batt IN'!$H$43*12,AE6,0)</f>
        <v>36250.116666666669</v>
      </c>
    </row>
    <row r="7" spans="1:105" x14ac:dyDescent="0.25">
      <c r="A7">
        <f>IF(C7&lt;='Batt IN'!$H$43*12,C7,"")</f>
        <v>3</v>
      </c>
      <c r="C7">
        <v>3</v>
      </c>
      <c r="D7" s="21">
        <v>730</v>
      </c>
      <c r="E7" s="1">
        <f>1-'Batt IN'!$E$31</f>
        <v>2.0000000000000018E-2</v>
      </c>
      <c r="F7" s="12">
        <f>('Batt IN'!$E$33*365)/8760</f>
        <v>0</v>
      </c>
      <c r="G7" s="22">
        <f>'Batt IN'!$E$32/8760</f>
        <v>5.7077625570776253E-3</v>
      </c>
      <c r="H7" s="22">
        <f>'Batt IN'!$E$13/8760</f>
        <v>5.5936073059360729E-3</v>
      </c>
      <c r="I7" s="23">
        <f>IF(C7&lt;='Batt IN'!$G$14*12,'Batt IN'!$E$15/8760*'Batt IN'!$G$15,0)</f>
        <v>6.8493150684931503E-3</v>
      </c>
      <c r="J7" s="12">
        <f>Z7/'Batt IN'!$E$27/730</f>
        <v>2.4999999999999996E-3</v>
      </c>
      <c r="K7" s="23">
        <f>AA7/'Batt IN'!$E$27/730</f>
        <v>1.6027397260273972E-3</v>
      </c>
      <c r="L7" s="23">
        <f>AB7/'Batt IN'!$E$27/730</f>
        <v>2.0547945205479451E-4</v>
      </c>
      <c r="M7" s="23">
        <f>AC7/'Batt IN'!$E$27/730</f>
        <v>4.7945205479452057E-3</v>
      </c>
      <c r="N7" s="23">
        <f>AD7/'Batt IN'!$E$27/730</f>
        <v>3.4246575342465752E-3</v>
      </c>
      <c r="O7" s="12">
        <f t="shared" si="2"/>
        <v>5.0678082191780847E-2</v>
      </c>
      <c r="P7" s="21">
        <f t="shared" si="3"/>
        <v>693.005</v>
      </c>
      <c r="Q7" s="2">
        <f>IF('Batt IN'!$E$27*'Batt IN'!$E$24&lt;='Batt IN'!$E$28,(('Batt IN'!$E$23*'Batt IN'!$E$27*'Batt IN'!$E$24)/1000)*P7,(('Batt IN'!$E$23*'Batt IN'!$E$28*'Batt IN'!$E$24)/1000)*P7)</f>
        <v>11088.08</v>
      </c>
      <c r="R7" s="2"/>
      <c r="S7" s="77">
        <f>IF(C7&lt;='Batt IN'!$G$14*12,'Batt IN'!$E$15/12,0)</f>
        <v>8.3333333333333339</v>
      </c>
      <c r="T7" s="77"/>
      <c r="U7" s="80">
        <f>'Batt IN'!$E$28*('Batt IN'!$G$24/24)*730*(1-O7)</f>
        <v>80850.583333333328</v>
      </c>
      <c r="V7" s="78">
        <f>U7*'Batt IN'!$F$30</f>
        <v>16170.116666666667</v>
      </c>
      <c r="W7" s="78">
        <f>'Batt IN'!$E$28*'Batt IN'!$G$32*('Batt IN'!$E$32/12)*(1+'Batt IN'!$F$30)</f>
        <v>1750.0000000000002</v>
      </c>
      <c r="X7" s="78">
        <f>'Batt IN'!$E$28*'Batt IN'!$G$13*('Batt IN'!$E$13/12)*(1+'Batt IN'!$F$30)</f>
        <v>3184.9999999999995</v>
      </c>
      <c r="Y7" s="33">
        <f>S7*'Batt IN'!$G$15*'Batt IN'!$E$28*(1+'Batt IN'!$F$30)</f>
        <v>6000</v>
      </c>
      <c r="Z7" s="33">
        <f>'Batt IN'!$G$16*365/12*(1+'Batt IN'!$F$30)</f>
        <v>1824.9999999999998</v>
      </c>
      <c r="AA7" s="33">
        <f>'Batt IN'!$G$17*'Batt IN'!$E$18*'Batt IN'!$G$18/12*(1+'Batt IN'!$F$30)</f>
        <v>1170</v>
      </c>
      <c r="AB7" s="33">
        <f>'Batt IN'!$G$19*'Batt IN'!$E$20*'Batt IN'!$G$20/12*(1+'Batt IN'!$F$30)</f>
        <v>150</v>
      </c>
      <c r="AC7" s="33">
        <f>'Batt IN'!$G$21*(1+'Batt IN'!$F$30)/12</f>
        <v>3500</v>
      </c>
      <c r="AD7" s="33">
        <f>'Batt IN'!$G$22*(1+'Batt IN'!$F$30)/12</f>
        <v>2500</v>
      </c>
      <c r="AE7" s="33">
        <f t="shared" si="4"/>
        <v>36250.116666666669</v>
      </c>
      <c r="AF7" s="33">
        <f>IF('PV IN'!$F$4="Battery Only",0,AE7*'Batt IN'!$E$29)</f>
        <v>30812.599166666667</v>
      </c>
      <c r="AG7" s="33">
        <f>PVCalcs!L7</f>
        <v>30812.599166666667</v>
      </c>
      <c r="AH7" s="33">
        <f t="shared" si="5"/>
        <v>5437.5175000000017</v>
      </c>
      <c r="AI7" s="33"/>
      <c r="AJ7" s="2">
        <f>IF(AND('Batt IN'!$D$53="Yes",$AL$1&gt;=1),IF($C7='Batt IN'!$H$54*12,-'Batt IN'!$F$54,0),0)</f>
        <v>0</v>
      </c>
      <c r="AK7" s="2">
        <f>IF(AND('Batt IN'!$D$53="Yes",$AL$1&gt;=2),IF($C7='Batt IN'!$H$55*12,-'Batt IN'!$F$55,0),0)</f>
        <v>0</v>
      </c>
      <c r="AL7" s="2">
        <f>IF(AND('Batt IN'!$D$53="Yes",$AL$1&gt;=3),IF($C7='Batt IN'!$H$56*12,-'Batt IN'!$F$56,0),0)</f>
        <v>0</v>
      </c>
      <c r="AM7" s="2">
        <f>IF(AND('Batt IN'!$D$53="Yes",$AL$1&gt;=4),IF($C7='Batt IN'!$H$57*12,-'Batt IN'!$F$57,0),0)</f>
        <v>0</v>
      </c>
      <c r="AN7" s="2">
        <f>IF(AND('Batt IN'!$D$53="Yes",$AL$1&gt;=5),IF($C7='Batt IN'!$H$58*12,-'Batt IN'!$F$58,0),0)</f>
        <v>0</v>
      </c>
      <c r="AO7" s="10">
        <f>IF(AND('Batt IN'!$D$44="YES",$C7&lt;='Batt IN'!$E$44*12),-'Batt IN'!$E$28*'Batt IN'!$E$42/12,0)</f>
        <v>0</v>
      </c>
      <c r="AP7" s="10">
        <f>IF(AND('Batt IN'!$D$46="YES",$C7&lt;='Batt IN'!$E$46*12),-'Batt IN'!$E$28*'Batt IN'!$E$45/12,0)</f>
        <v>0</v>
      </c>
      <c r="AR7" s="10">
        <f>BattLoan!M34</f>
        <v>0</v>
      </c>
      <c r="AS7" s="10">
        <f>'Batt IN'!$G$16*365/12*'Batt IN'!$E$16</f>
        <v>76.041666666666671</v>
      </c>
      <c r="AT7" s="10">
        <f>IF(AND('Batt IN'!$E$18&gt;0,'Batt IN'!$G$18&gt;0),'Batt IN'!$E$17*'Batt IN'!$G$17,0)</f>
        <v>119.44619999999999</v>
      </c>
      <c r="AU7" s="10">
        <f>IF(AND('Batt IN'!$E$20&gt;0,'Batt IN'!$G$20&gt;0),'Batt IN'!$E$19*'Batt IN'!$G$19,0)</f>
        <v>231</v>
      </c>
      <c r="AV7" s="10"/>
      <c r="AW7" s="10"/>
      <c r="AX7" s="10">
        <f>IF('Batt IN'!$E$11="Non-Taxable",Q7,0)</f>
        <v>11088.08</v>
      </c>
      <c r="AY7" s="10">
        <f>IF('Batt IN'!$E$11="Non-Taxable",'Batt IN'!$E$28/1000*'Batt IN'!$G$13*('Batt IN'!$E$13/12)*'Batt IN'!$E$12,0)</f>
        <v>244.42220833333334</v>
      </c>
      <c r="AZ7" s="10">
        <f>IF('Batt IN'!$E$11="Non-Taxable",$S7*'Batt IN'!$G$15*'Batt IN'!$E$28*'Batt IN'!$E$14/1000,0)</f>
        <v>475</v>
      </c>
      <c r="BA7" s="10">
        <f>IF('Batt IN'!$E$11="Non-Taxable",'Batt IN'!$E$21*'Batt IN'!$G$21/12,0)</f>
        <v>437.5</v>
      </c>
      <c r="BB7" s="10">
        <f>IF('Batt IN'!$E$11="Non-Taxable",'Batt IN'!$E$22*'Batt IN'!$G$22/12,0)</f>
        <v>1145.8333333333335</v>
      </c>
      <c r="BC7" s="10">
        <f>IF('Batt IN'!$E$11="Taxable",Q7,0)</f>
        <v>0</v>
      </c>
      <c r="BD7" s="10">
        <f>IF('Batt IN'!$E$11="Taxable",'Batt IN'!$E$28/1000*'Batt IN'!$G$13*('Batt IN'!$E$13/12)*'Batt IN'!$E$12,0)</f>
        <v>0</v>
      </c>
      <c r="BE7" s="10">
        <f>IF('Batt IN'!$E$11="Taxable",$S7*'Batt IN'!$G$15*'Batt IN'!$E$28*'Batt IN'!$E$14/1000,0)</f>
        <v>0</v>
      </c>
      <c r="BF7" s="10">
        <f>IF('Batt IN'!$E$11="Taxable",'Batt IN'!$E$21*'Batt IN'!$G$21/12,0)</f>
        <v>0</v>
      </c>
      <c r="BG7" s="10">
        <f>IF('Batt IN'!$E$11="Taxable",'Batt IN'!$E$22*'Batt IN'!$G$22/12,0)</f>
        <v>0</v>
      </c>
      <c r="BK7" s="10">
        <f>IF('Batt IN'!$N$18="Yes",-BattLoan!H35,-BattLoan!L35)</f>
        <v>0</v>
      </c>
      <c r="BL7" s="10">
        <f>IF('Batt IN'!$N$18="Yes",-BattLoan!F35,0)</f>
        <v>0</v>
      </c>
      <c r="BM7" s="10">
        <f>IF(AND('Batt IN'!$D$44="YES",$C7&lt;='Batt IN'!$E$44*12),0,-'Batt IN'!$E$28*'Batt IN'!$E$42/12)</f>
        <v>-83.333333333333329</v>
      </c>
      <c r="BN7" s="10">
        <f>IF(AND('Batt IN'!$D$46="YES",$C7&lt;='Batt IN'!$E$46*12),0,-'Batt IN'!$E$28*'Batt IN'!$E$45/12)</f>
        <v>-166.66666666666666</v>
      </c>
      <c r="BO7" s="2">
        <f>IF(AND('Batt IN'!$D$41="YES",BattCalcs!C7=ROUNDUP('Batt IN'!$H$41*12,)),-'Batt IN'!$E$41*'Batt IN'!$E$28,0)</f>
        <v>0</v>
      </c>
      <c r="BP7" s="2">
        <f>IF(AND('Batt IN'!$D$53="Yes",$AL$1&gt;=1),0,IF($C7='Batt IN'!$H$54*12,-'Batt IN'!$F$54,0))</f>
        <v>0</v>
      </c>
      <c r="BQ7" s="2">
        <f>IF(AND('Batt IN'!$D$53="Yes",$AL$1&gt;=2),0,IF($C7='Batt IN'!$H$55*12,-'Batt IN'!$F$55,0))</f>
        <v>0</v>
      </c>
      <c r="BR7" s="2">
        <f>IF(AND('Batt IN'!$D$53="Yes",$AL$1&gt;=3),0,IF($C7='Batt IN'!$H$56*12,-'Batt IN'!$F$56,0))</f>
        <v>0</v>
      </c>
      <c r="BS7" s="2">
        <f>IF(AND('Batt IN'!$D$53="Yes",$AL$1&gt;=4),0,IF($C7='Batt IN'!$H$57*12,-'Batt IN'!$F$57,0))</f>
        <v>0</v>
      </c>
      <c r="BT7" s="2">
        <f>IF(AND('Batt IN'!$D$53="Yes",$AL$1&gt;=5),0,IF($C7='Batt IN'!$H$58*12,-'Batt IN'!$F$58,0))</f>
        <v>0</v>
      </c>
      <c r="BU7" s="2">
        <f>-AH7*PVCalcs!F7</f>
        <v>-413.06265108561007</v>
      </c>
      <c r="BV7" s="2">
        <f>-'Batt IN'!$E$47</f>
        <v>-150</v>
      </c>
      <c r="BW7" s="2">
        <f>-'Batt IN'!$E$49</f>
        <v>-2250</v>
      </c>
      <c r="BX7" s="2">
        <f>IF('Batt IN'!$H$50="No",-(BC7*'Batt IN'!$E$50),-(BC7+BE7)*'Batt IN'!$E$50)</f>
        <v>0</v>
      </c>
      <c r="BY7" s="2">
        <f>IF(C7='Batt IN'!$H$43*12,-'Batt IN'!$E$43,0)</f>
        <v>0</v>
      </c>
      <c r="BZ7" s="38"/>
      <c r="CA7" s="10">
        <f t="shared" si="0"/>
        <v>13817.323408333334</v>
      </c>
      <c r="CB7" s="2">
        <f t="shared" si="6"/>
        <v>-3063.06265108561</v>
      </c>
      <c r="CC7" s="45">
        <f t="shared" si="7"/>
        <v>10754.260757247725</v>
      </c>
      <c r="CD7" s="43"/>
      <c r="CE7" s="2">
        <f t="shared" si="8"/>
        <v>0</v>
      </c>
      <c r="CF7" s="2">
        <f t="shared" si="9"/>
        <v>-3063.06265108561</v>
      </c>
      <c r="CG7" s="2"/>
      <c r="CH7" s="2">
        <f t="shared" si="10"/>
        <v>-3063.06265108561</v>
      </c>
      <c r="CI7" s="45">
        <f>-CH7*'Batt IN'!$E$7</f>
        <v>643.24315672797809</v>
      </c>
      <c r="CJ7" s="48"/>
      <c r="CK7" s="45">
        <f>IF('Batt IN'!$F$4="PV Only",0,IF(C7&gt;'Batt IN'!$H$43*12,0,CC7+CI7))</f>
        <v>0</v>
      </c>
      <c r="CM7" s="10">
        <f t="shared" si="11"/>
        <v>0</v>
      </c>
      <c r="CN7" s="2">
        <f>CK7/(1+('Batt IN'!$G$8))^(C7)</f>
        <v>0</v>
      </c>
      <c r="CO7" s="2">
        <f>IF(C7&lt;='Batt IN'!$O$30*12,CN7+CO6,NA())</f>
        <v>0</v>
      </c>
      <c r="CQ7" s="2">
        <f>CK7/((1+('Batt IN'!$E$8/12))^BattCalcs!C7)</f>
        <v>0</v>
      </c>
      <c r="CS7" s="10">
        <f t="shared" si="12"/>
        <v>-3063.06265108561</v>
      </c>
      <c r="CT7" s="10">
        <f t="shared" si="13"/>
        <v>0</v>
      </c>
      <c r="CU7" s="10">
        <f t="shared" si="14"/>
        <v>-3063.06265108561</v>
      </c>
      <c r="CV7" s="10">
        <f t="shared" si="15"/>
        <v>-3063.06265108561</v>
      </c>
      <c r="CW7" s="2">
        <f t="shared" si="1"/>
        <v>0</v>
      </c>
      <c r="CX7" s="2">
        <f>-(SUM(CV7:CW7)*'PV IN'!$E$8)</f>
        <v>643.24315672797809</v>
      </c>
      <c r="CY7" s="2">
        <f t="shared" si="16"/>
        <v>-2419.8194943576318</v>
      </c>
      <c r="CZ7" s="2">
        <f>IF(C7&lt;='Batt IN'!$H$43*12,CY7/(1+('PV IN'!$G$9))^(C7),0)</f>
        <v>-2390.4829274730655</v>
      </c>
      <c r="DA7" s="33">
        <f>IF(C7&lt;='Batt IN'!$H$43*12,AE7,0)</f>
        <v>36250.116666666669</v>
      </c>
    </row>
    <row r="8" spans="1:105" x14ac:dyDescent="0.25">
      <c r="A8">
        <f>IF(C8&lt;='Batt IN'!$H$43*12,C8,"")</f>
        <v>4</v>
      </c>
      <c r="C8">
        <v>4</v>
      </c>
      <c r="D8" s="21">
        <v>730</v>
      </c>
      <c r="E8" s="1">
        <f>1-'Batt IN'!$E$31</f>
        <v>2.0000000000000018E-2</v>
      </c>
      <c r="F8" s="12">
        <f>('Batt IN'!$E$33*365)/8760</f>
        <v>0</v>
      </c>
      <c r="G8" s="22">
        <f>'Batt IN'!$E$32/8760</f>
        <v>5.7077625570776253E-3</v>
      </c>
      <c r="H8" s="22">
        <f>'Batt IN'!$E$13/8760</f>
        <v>5.5936073059360729E-3</v>
      </c>
      <c r="I8" s="23">
        <f>IF(C8&lt;='Batt IN'!$G$14*12,'Batt IN'!$E$15/8760*'Batt IN'!$G$15,0)</f>
        <v>6.8493150684931503E-3</v>
      </c>
      <c r="J8" s="12">
        <f>Z8/'Batt IN'!$E$27/730</f>
        <v>2.4999999999999996E-3</v>
      </c>
      <c r="K8" s="23">
        <f>AA8/'Batt IN'!$E$27/730</f>
        <v>1.6027397260273972E-3</v>
      </c>
      <c r="L8" s="23">
        <f>AB8/'Batt IN'!$E$27/730</f>
        <v>2.0547945205479451E-4</v>
      </c>
      <c r="M8" s="23">
        <f>AC8/'Batt IN'!$E$27/730</f>
        <v>4.7945205479452057E-3</v>
      </c>
      <c r="N8" s="23">
        <f>AD8/'Batt IN'!$E$27/730</f>
        <v>3.4246575342465752E-3</v>
      </c>
      <c r="O8" s="12">
        <f t="shared" si="2"/>
        <v>5.0678082191780847E-2</v>
      </c>
      <c r="P8" s="21">
        <f t="shared" si="3"/>
        <v>693.005</v>
      </c>
      <c r="Q8" s="2">
        <f>IF('Batt IN'!$E$27*'Batt IN'!$E$24&lt;='Batt IN'!$E$28,(('Batt IN'!$E$23*'Batt IN'!$E$27*'Batt IN'!$E$24)/1000)*P8,(('Batt IN'!$E$23*'Batt IN'!$E$28*'Batt IN'!$E$24)/1000)*P8)</f>
        <v>11088.08</v>
      </c>
      <c r="R8" s="2"/>
      <c r="S8" s="77">
        <f>IF(C8&lt;='Batt IN'!$G$14*12,'Batt IN'!$E$15/12,0)</f>
        <v>8.3333333333333339</v>
      </c>
      <c r="T8" s="77"/>
      <c r="U8" s="80">
        <f>'Batt IN'!$E$28*('Batt IN'!$G$24/24)*730*(1-O8)</f>
        <v>80850.583333333328</v>
      </c>
      <c r="V8" s="78">
        <f>U8*'Batt IN'!$F$30</f>
        <v>16170.116666666667</v>
      </c>
      <c r="W8" s="78">
        <f>'Batt IN'!$E$28*'Batt IN'!$G$32*('Batt IN'!$E$32/12)*(1+'Batt IN'!$F$30)</f>
        <v>1750.0000000000002</v>
      </c>
      <c r="X8" s="78">
        <f>'Batt IN'!$E$28*'Batt IN'!$G$13*('Batt IN'!$E$13/12)*(1+'Batt IN'!$F$30)</f>
        <v>3184.9999999999995</v>
      </c>
      <c r="Y8" s="33">
        <f>S8*'Batt IN'!$G$15*'Batt IN'!$E$28*(1+'Batt IN'!$F$30)</f>
        <v>6000</v>
      </c>
      <c r="Z8" s="33">
        <f>'Batt IN'!$G$16*365/12*(1+'Batt IN'!$F$30)</f>
        <v>1824.9999999999998</v>
      </c>
      <c r="AA8" s="33">
        <f>'Batt IN'!$G$17*'Batt IN'!$E$18*'Batt IN'!$G$18/12*(1+'Batt IN'!$F$30)</f>
        <v>1170</v>
      </c>
      <c r="AB8" s="33">
        <f>'Batt IN'!$G$19*'Batt IN'!$E$20*'Batt IN'!$G$20/12*(1+'Batt IN'!$F$30)</f>
        <v>150</v>
      </c>
      <c r="AC8" s="33">
        <f>'Batt IN'!$G$21*(1+'Batt IN'!$F$30)/12</f>
        <v>3500</v>
      </c>
      <c r="AD8" s="33">
        <f>'Batt IN'!$G$22*(1+'Batt IN'!$F$30)/12</f>
        <v>2500</v>
      </c>
      <c r="AE8" s="33">
        <f t="shared" si="4"/>
        <v>36250.116666666669</v>
      </c>
      <c r="AF8" s="33">
        <f>IF('PV IN'!$F$4="Battery Only",0,AE8*'Batt IN'!$E$29)</f>
        <v>30812.599166666667</v>
      </c>
      <c r="AG8" s="33">
        <f>PVCalcs!L8</f>
        <v>30812.599166666667</v>
      </c>
      <c r="AH8" s="33">
        <f t="shared" si="5"/>
        <v>5437.5175000000017</v>
      </c>
      <c r="AI8" s="33"/>
      <c r="AJ8" s="2">
        <f>IF(AND('Batt IN'!$D$53="Yes",$AL$1&gt;=1),IF($C8='Batt IN'!$H$54*12,-'Batt IN'!$F$54,0),0)</f>
        <v>0</v>
      </c>
      <c r="AK8" s="2">
        <f>IF(AND('Batt IN'!$D$53="Yes",$AL$1&gt;=2),IF($C8='Batt IN'!$H$55*12,-'Batt IN'!$F$55,0),0)</f>
        <v>0</v>
      </c>
      <c r="AL8" s="2">
        <f>IF(AND('Batt IN'!$D$53="Yes",$AL$1&gt;=3),IF($C8='Batt IN'!$H$56*12,-'Batt IN'!$F$56,0),0)</f>
        <v>0</v>
      </c>
      <c r="AM8" s="2">
        <f>IF(AND('Batt IN'!$D$53="Yes",$AL$1&gt;=4),IF($C8='Batt IN'!$H$57*12,-'Batt IN'!$F$57,0),0)</f>
        <v>0</v>
      </c>
      <c r="AN8" s="2">
        <f>IF(AND('Batt IN'!$D$53="Yes",$AL$1&gt;=5),IF($C8='Batt IN'!$H$58*12,-'Batt IN'!$F$58,0),0)</f>
        <v>0</v>
      </c>
      <c r="AO8" s="10">
        <f>IF(AND('Batt IN'!$D$44="YES",$C8&lt;='Batt IN'!$E$44*12),-'Batt IN'!$E$28*'Batt IN'!$E$42/12,0)</f>
        <v>0</v>
      </c>
      <c r="AP8" s="10">
        <f>IF(AND('Batt IN'!$D$46="YES",$C8&lt;='Batt IN'!$E$46*12),-'Batt IN'!$E$28*'Batt IN'!$E$45/12,0)</f>
        <v>0</v>
      </c>
      <c r="AR8" s="10">
        <f>BattLoan!M35</f>
        <v>0</v>
      </c>
      <c r="AS8" s="10">
        <f>'Batt IN'!$G$16*365/12*'Batt IN'!$E$16</f>
        <v>76.041666666666671</v>
      </c>
      <c r="AT8" s="10">
        <f>IF(AND('Batt IN'!$E$18&gt;0,'Batt IN'!$G$18&gt;0),'Batt IN'!$E$17*'Batt IN'!$G$17,0)</f>
        <v>119.44619999999999</v>
      </c>
      <c r="AU8" s="10">
        <f>IF(AND('Batt IN'!$E$20&gt;0,'Batt IN'!$G$20&gt;0),'Batt IN'!$E$19*'Batt IN'!$G$19,0)</f>
        <v>231</v>
      </c>
      <c r="AV8" s="10"/>
      <c r="AW8" s="10"/>
      <c r="AX8" s="10">
        <f>IF('Batt IN'!$E$11="Non-Taxable",Q8,0)</f>
        <v>11088.08</v>
      </c>
      <c r="AY8" s="10">
        <f>IF('Batt IN'!$E$11="Non-Taxable",'Batt IN'!$E$28/1000*'Batt IN'!$G$13*('Batt IN'!$E$13/12)*'Batt IN'!$E$12,0)</f>
        <v>244.42220833333334</v>
      </c>
      <c r="AZ8" s="10">
        <f>IF('Batt IN'!$E$11="Non-Taxable",$S8*'Batt IN'!$G$15*'Batt IN'!$E$28*'Batt IN'!$E$14/1000,0)</f>
        <v>475</v>
      </c>
      <c r="BA8" s="10">
        <f>IF('Batt IN'!$E$11="Non-Taxable",'Batt IN'!$E$21*'Batt IN'!$G$21/12,0)</f>
        <v>437.5</v>
      </c>
      <c r="BB8" s="10">
        <f>IF('Batt IN'!$E$11="Non-Taxable",'Batt IN'!$E$22*'Batt IN'!$G$22/12,0)</f>
        <v>1145.8333333333335</v>
      </c>
      <c r="BC8" s="10">
        <f>IF('Batt IN'!$E$11="Taxable",Q8,0)</f>
        <v>0</v>
      </c>
      <c r="BD8" s="10">
        <f>IF('Batt IN'!$E$11="Taxable",'Batt IN'!$E$28/1000*'Batt IN'!$G$13*('Batt IN'!$E$13/12)*'Batt IN'!$E$12,0)</f>
        <v>0</v>
      </c>
      <c r="BE8" s="10">
        <f>IF('Batt IN'!$E$11="Taxable",$S8*'Batt IN'!$G$15*'Batt IN'!$E$28*'Batt IN'!$E$14/1000,0)</f>
        <v>0</v>
      </c>
      <c r="BF8" s="10">
        <f>IF('Batt IN'!$E$11="Taxable",'Batt IN'!$E$21*'Batt IN'!$G$21/12,0)</f>
        <v>0</v>
      </c>
      <c r="BG8" s="10">
        <f>IF('Batt IN'!$E$11="Taxable",'Batt IN'!$E$22*'Batt IN'!$G$22/12,0)</f>
        <v>0</v>
      </c>
      <c r="BK8" s="10">
        <f>IF('Batt IN'!$N$18="Yes",-BattLoan!H36,-BattLoan!L36)</f>
        <v>0</v>
      </c>
      <c r="BL8" s="10">
        <f>IF('Batt IN'!$N$18="Yes",-BattLoan!F36,0)</f>
        <v>0</v>
      </c>
      <c r="BM8" s="10">
        <f>IF(AND('Batt IN'!$D$44="YES",$C8&lt;='Batt IN'!$E$44*12),0,-'Batt IN'!$E$28*'Batt IN'!$E$42/12)</f>
        <v>-83.333333333333329</v>
      </c>
      <c r="BN8" s="10">
        <f>IF(AND('Batt IN'!$D$46="YES",$C8&lt;='Batt IN'!$E$46*12),0,-'Batt IN'!$E$28*'Batt IN'!$E$45/12)</f>
        <v>-166.66666666666666</v>
      </c>
      <c r="BO8" s="2">
        <f>IF(AND('Batt IN'!$D$41="YES",BattCalcs!C8=ROUNDUP('Batt IN'!$H$41*12,)),-'Batt IN'!$E$41*'Batt IN'!$E$28,0)</f>
        <v>0</v>
      </c>
      <c r="BP8" s="2">
        <f>IF(AND('Batt IN'!$D$53="Yes",$AL$1&gt;=1),0,IF($C8='Batt IN'!$H$54*12,-'Batt IN'!$F$54,0))</f>
        <v>0</v>
      </c>
      <c r="BQ8" s="2">
        <f>IF(AND('Batt IN'!$D$53="Yes",$AL$1&gt;=2),0,IF($C8='Batt IN'!$H$55*12,-'Batt IN'!$F$55,0))</f>
        <v>0</v>
      </c>
      <c r="BR8" s="2">
        <f>IF(AND('Batt IN'!$D$53="Yes",$AL$1&gt;=3),0,IF($C8='Batt IN'!$H$56*12,-'Batt IN'!$F$56,0))</f>
        <v>0</v>
      </c>
      <c r="BS8" s="2">
        <f>IF(AND('Batt IN'!$D$53="Yes",$AL$1&gt;=4),0,IF($C8='Batt IN'!$H$57*12,-'Batt IN'!$F$57,0))</f>
        <v>0</v>
      </c>
      <c r="BT8" s="2">
        <f>IF(AND('Batt IN'!$D$53="Yes",$AL$1&gt;=5),0,IF($C8='Batt IN'!$H$58*12,-'Batt IN'!$F$58,0))</f>
        <v>0</v>
      </c>
      <c r="BU8" s="2">
        <f>-AH8*PVCalcs!F8</f>
        <v>-413.06265108561007</v>
      </c>
      <c r="BV8" s="2">
        <f>-'Batt IN'!$E$47</f>
        <v>-150</v>
      </c>
      <c r="BW8" s="2">
        <f>-'Batt IN'!$E$49</f>
        <v>-2250</v>
      </c>
      <c r="BX8" s="2">
        <f>IF('Batt IN'!$H$50="No",-(BC8*'Batt IN'!$E$50),-(BC8+BE8)*'Batt IN'!$E$50)</f>
        <v>0</v>
      </c>
      <c r="BY8" s="2">
        <f>IF(C8='Batt IN'!$H$43*12,-'Batt IN'!$E$43,0)</f>
        <v>0</v>
      </c>
      <c r="BZ8" s="38"/>
      <c r="CA8" s="10">
        <f t="shared" si="0"/>
        <v>13817.323408333334</v>
      </c>
      <c r="CB8" s="2">
        <f t="shared" si="6"/>
        <v>-3063.06265108561</v>
      </c>
      <c r="CC8" s="45">
        <f t="shared" si="7"/>
        <v>10754.260757247725</v>
      </c>
      <c r="CD8" s="43"/>
      <c r="CE8" s="2">
        <f t="shared" si="8"/>
        <v>0</v>
      </c>
      <c r="CF8" s="2">
        <f t="shared" si="9"/>
        <v>-3063.06265108561</v>
      </c>
      <c r="CG8" s="2"/>
      <c r="CH8" s="2">
        <f t="shared" si="10"/>
        <v>-3063.06265108561</v>
      </c>
      <c r="CI8" s="45">
        <f>-CH8*'Batt IN'!$E$7</f>
        <v>643.24315672797809</v>
      </c>
      <c r="CJ8" s="48"/>
      <c r="CK8" s="45">
        <f>IF('Batt IN'!$F$4="PV Only",0,IF(C8&gt;'Batt IN'!$H$43*12,0,CC8+CI8))</f>
        <v>0</v>
      </c>
      <c r="CM8" s="10">
        <f t="shared" si="11"/>
        <v>0</v>
      </c>
      <c r="CN8" s="2">
        <f>CK8/(1+('Batt IN'!$G$8))^(C8)</f>
        <v>0</v>
      </c>
      <c r="CO8" s="2">
        <f>IF(C8&lt;='Batt IN'!$O$30*12,CN8+CO7,NA())</f>
        <v>0</v>
      </c>
      <c r="CQ8" s="2">
        <f>CK8/((1+('Batt IN'!$E$8/12))^BattCalcs!C8)</f>
        <v>0</v>
      </c>
      <c r="CS8" s="10">
        <f t="shared" si="12"/>
        <v>-3063.06265108561</v>
      </c>
      <c r="CT8" s="10">
        <f t="shared" si="13"/>
        <v>0</v>
      </c>
      <c r="CU8" s="10">
        <f t="shared" si="14"/>
        <v>-3063.06265108561</v>
      </c>
      <c r="CV8" s="10">
        <f t="shared" si="15"/>
        <v>-3063.06265108561</v>
      </c>
      <c r="CW8" s="2">
        <f t="shared" si="1"/>
        <v>0</v>
      </c>
      <c r="CX8" s="2">
        <f>-(SUM(CV8:CW8)*'PV IN'!$E$8)</f>
        <v>643.24315672797809</v>
      </c>
      <c r="CY8" s="2">
        <f t="shared" si="16"/>
        <v>-2419.8194943576318</v>
      </c>
      <c r="CZ8" s="2">
        <f>IF(C8&lt;='Batt IN'!$H$43*12,CY8/(1+('PV IN'!$G$9))^(C8),0)</f>
        <v>-2380.7833215191513</v>
      </c>
      <c r="DA8" s="33">
        <f>IF(C8&lt;='Batt IN'!$H$43*12,AE8,0)</f>
        <v>36250.116666666669</v>
      </c>
    </row>
    <row r="9" spans="1:105" x14ac:dyDescent="0.25">
      <c r="A9">
        <f>IF(C9&lt;='Batt IN'!$H$43*12,C9,"")</f>
        <v>5</v>
      </c>
      <c r="C9">
        <v>5</v>
      </c>
      <c r="D9" s="21">
        <v>730</v>
      </c>
      <c r="E9" s="1">
        <f>1-'Batt IN'!$E$31</f>
        <v>2.0000000000000018E-2</v>
      </c>
      <c r="F9" s="12">
        <f>('Batt IN'!$E$33*365)/8760</f>
        <v>0</v>
      </c>
      <c r="G9" s="22">
        <f>'Batt IN'!$E$32/8760</f>
        <v>5.7077625570776253E-3</v>
      </c>
      <c r="H9" s="22">
        <f>'Batt IN'!$E$13/8760</f>
        <v>5.5936073059360729E-3</v>
      </c>
      <c r="I9" s="23">
        <f>IF(C9&lt;='Batt IN'!$G$14*12,'Batt IN'!$E$15/8760*'Batt IN'!$G$15,0)</f>
        <v>6.8493150684931503E-3</v>
      </c>
      <c r="J9" s="12">
        <f>Z9/'Batt IN'!$E$27/730</f>
        <v>2.4999999999999996E-3</v>
      </c>
      <c r="K9" s="23">
        <f>AA9/'Batt IN'!$E$27/730</f>
        <v>1.6027397260273972E-3</v>
      </c>
      <c r="L9" s="23">
        <f>AB9/'Batt IN'!$E$27/730</f>
        <v>2.0547945205479451E-4</v>
      </c>
      <c r="M9" s="23">
        <f>AC9/'Batt IN'!$E$27/730</f>
        <v>4.7945205479452057E-3</v>
      </c>
      <c r="N9" s="23">
        <f>AD9/'Batt IN'!$E$27/730</f>
        <v>3.4246575342465752E-3</v>
      </c>
      <c r="O9" s="12">
        <f t="shared" si="2"/>
        <v>5.0678082191780847E-2</v>
      </c>
      <c r="P9" s="21">
        <f t="shared" si="3"/>
        <v>693.005</v>
      </c>
      <c r="Q9" s="2">
        <f>IF('Batt IN'!$E$27*'Batt IN'!$E$24&lt;='Batt IN'!$E$28,(('Batt IN'!$E$23*'Batt IN'!$E$27*'Batt IN'!$E$24)/1000)*P9,(('Batt IN'!$E$23*'Batt IN'!$E$28*'Batt IN'!$E$24)/1000)*P9)</f>
        <v>11088.08</v>
      </c>
      <c r="R9" s="2"/>
      <c r="S9" s="77">
        <f>IF(C9&lt;='Batt IN'!$G$14*12,'Batt IN'!$E$15/12,0)</f>
        <v>8.3333333333333339</v>
      </c>
      <c r="T9" s="77"/>
      <c r="U9" s="80">
        <f>'Batt IN'!$E$28*('Batt IN'!$G$24/24)*730*(1-O9)</f>
        <v>80850.583333333328</v>
      </c>
      <c r="V9" s="78">
        <f>U9*'Batt IN'!$F$30</f>
        <v>16170.116666666667</v>
      </c>
      <c r="W9" s="78">
        <f>'Batt IN'!$E$28*'Batt IN'!$G$32*('Batt IN'!$E$32/12)*(1+'Batt IN'!$F$30)</f>
        <v>1750.0000000000002</v>
      </c>
      <c r="X9" s="78">
        <f>'Batt IN'!$E$28*'Batt IN'!$G$13*('Batt IN'!$E$13/12)*(1+'Batt IN'!$F$30)</f>
        <v>3184.9999999999995</v>
      </c>
      <c r="Y9" s="33">
        <f>S9*'Batt IN'!$G$15*'Batt IN'!$E$28*(1+'Batt IN'!$F$30)</f>
        <v>6000</v>
      </c>
      <c r="Z9" s="33">
        <f>'Batt IN'!$G$16*365/12*(1+'Batt IN'!$F$30)</f>
        <v>1824.9999999999998</v>
      </c>
      <c r="AA9" s="33">
        <f>'Batt IN'!$G$17*'Batt IN'!$E$18*'Batt IN'!$G$18/12*(1+'Batt IN'!$F$30)</f>
        <v>1170</v>
      </c>
      <c r="AB9" s="33">
        <f>'Batt IN'!$G$19*'Batt IN'!$E$20*'Batt IN'!$G$20/12*(1+'Batt IN'!$F$30)</f>
        <v>150</v>
      </c>
      <c r="AC9" s="33">
        <f>'Batt IN'!$G$21*(1+'Batt IN'!$F$30)/12</f>
        <v>3500</v>
      </c>
      <c r="AD9" s="33">
        <f>'Batt IN'!$G$22*(1+'Batt IN'!$F$30)/12</f>
        <v>2500</v>
      </c>
      <c r="AE9" s="33">
        <f t="shared" si="4"/>
        <v>36250.116666666669</v>
      </c>
      <c r="AF9" s="33">
        <f>IF('PV IN'!$F$4="Battery Only",0,AE9*'Batt IN'!$E$29)</f>
        <v>30812.599166666667</v>
      </c>
      <c r="AG9" s="33">
        <f>PVCalcs!L9</f>
        <v>30812.599166666667</v>
      </c>
      <c r="AH9" s="33">
        <f t="shared" si="5"/>
        <v>5437.5175000000017</v>
      </c>
      <c r="AI9" s="33"/>
      <c r="AJ9" s="2">
        <f>IF(AND('Batt IN'!$D$53="Yes",$AL$1&gt;=1),IF($C9='Batt IN'!$H$54*12,-'Batt IN'!$F$54,0),0)</f>
        <v>0</v>
      </c>
      <c r="AK9" s="2">
        <f>IF(AND('Batt IN'!$D$53="Yes",$AL$1&gt;=2),IF($C9='Batt IN'!$H$55*12,-'Batt IN'!$F$55,0),0)</f>
        <v>0</v>
      </c>
      <c r="AL9" s="2">
        <f>IF(AND('Batt IN'!$D$53="Yes",$AL$1&gt;=3),IF($C9='Batt IN'!$H$56*12,-'Batt IN'!$F$56,0),0)</f>
        <v>0</v>
      </c>
      <c r="AM9" s="2">
        <f>IF(AND('Batt IN'!$D$53="Yes",$AL$1&gt;=4),IF($C9='Batt IN'!$H$57*12,-'Batt IN'!$F$57,0),0)</f>
        <v>0</v>
      </c>
      <c r="AN9" s="2">
        <f>IF(AND('Batt IN'!$D$53="Yes",$AL$1&gt;=5),IF($C9='Batt IN'!$H$58*12,-'Batt IN'!$F$58,0),0)</f>
        <v>0</v>
      </c>
      <c r="AO9" s="10">
        <f>IF(AND('Batt IN'!$D$44="YES",$C9&lt;='Batt IN'!$E$44*12),-'Batt IN'!$E$28*'Batt IN'!$E$42/12,0)</f>
        <v>0</v>
      </c>
      <c r="AP9" s="10">
        <f>IF(AND('Batt IN'!$D$46="YES",$C9&lt;='Batt IN'!$E$46*12),-'Batt IN'!$E$28*'Batt IN'!$E$45/12,0)</f>
        <v>0</v>
      </c>
      <c r="AR9" s="10">
        <f>BattLoan!M36</f>
        <v>0</v>
      </c>
      <c r="AS9" s="10">
        <f>'Batt IN'!$G$16*365/12*'Batt IN'!$E$16</f>
        <v>76.041666666666671</v>
      </c>
      <c r="AT9" s="10">
        <f>IF(AND('Batt IN'!$E$18&gt;0,'Batt IN'!$G$18&gt;0),'Batt IN'!$E$17*'Batt IN'!$G$17,0)</f>
        <v>119.44619999999999</v>
      </c>
      <c r="AU9" s="10">
        <f>IF(AND('Batt IN'!$E$20&gt;0,'Batt IN'!$G$20&gt;0),'Batt IN'!$E$19*'Batt IN'!$G$19,0)</f>
        <v>231</v>
      </c>
      <c r="AV9" s="10"/>
      <c r="AW9" s="10"/>
      <c r="AX9" s="10">
        <f>IF('Batt IN'!$E$11="Non-Taxable",Q9,0)</f>
        <v>11088.08</v>
      </c>
      <c r="AY9" s="10">
        <f>IF('Batt IN'!$E$11="Non-Taxable",'Batt IN'!$E$28/1000*'Batt IN'!$G$13*('Batt IN'!$E$13/12)*'Batt IN'!$E$12,0)</f>
        <v>244.42220833333334</v>
      </c>
      <c r="AZ9" s="10">
        <f>IF('Batt IN'!$E$11="Non-Taxable",$S9*'Batt IN'!$G$15*'Batt IN'!$E$28*'Batt IN'!$E$14/1000,0)</f>
        <v>475</v>
      </c>
      <c r="BA9" s="10">
        <f>IF('Batt IN'!$E$11="Non-Taxable",'Batt IN'!$E$21*'Batt IN'!$G$21/12,0)</f>
        <v>437.5</v>
      </c>
      <c r="BB9" s="10">
        <f>IF('Batt IN'!$E$11="Non-Taxable",'Batt IN'!$E$22*'Batt IN'!$G$22/12,0)</f>
        <v>1145.8333333333335</v>
      </c>
      <c r="BC9" s="10">
        <f>IF('Batt IN'!$E$11="Taxable",Q9,0)</f>
        <v>0</v>
      </c>
      <c r="BD9" s="10">
        <f>IF('Batt IN'!$E$11="Taxable",'Batt IN'!$E$28/1000*'Batt IN'!$G$13*('Batt IN'!$E$13/12)*'Batt IN'!$E$12,0)</f>
        <v>0</v>
      </c>
      <c r="BE9" s="10">
        <f>IF('Batt IN'!$E$11="Taxable",$S9*'Batt IN'!$G$15*'Batt IN'!$E$28*'Batt IN'!$E$14/1000,0)</f>
        <v>0</v>
      </c>
      <c r="BF9" s="10">
        <f>IF('Batt IN'!$E$11="Taxable",'Batt IN'!$E$21*'Batt IN'!$G$21/12,0)</f>
        <v>0</v>
      </c>
      <c r="BG9" s="10">
        <f>IF('Batt IN'!$E$11="Taxable",'Batt IN'!$E$22*'Batt IN'!$G$22/12,0)</f>
        <v>0</v>
      </c>
      <c r="BK9" s="10">
        <f>IF('Batt IN'!$N$18="Yes",-BattLoan!H37,-BattLoan!L37)</f>
        <v>0</v>
      </c>
      <c r="BL9" s="10">
        <f>IF('Batt IN'!$N$18="Yes",-BattLoan!F37,0)</f>
        <v>0</v>
      </c>
      <c r="BM9" s="10">
        <f>IF(AND('Batt IN'!$D$44="YES",$C9&lt;='Batt IN'!$E$44*12),0,-'Batt IN'!$E$28*'Batt IN'!$E$42/12)</f>
        <v>-83.333333333333329</v>
      </c>
      <c r="BN9" s="10">
        <f>IF(AND('Batt IN'!$D$46="YES",$C9&lt;='Batt IN'!$E$46*12),0,-'Batt IN'!$E$28*'Batt IN'!$E$45/12)</f>
        <v>-166.66666666666666</v>
      </c>
      <c r="BO9" s="2">
        <f>IF(AND('Batt IN'!$D$41="YES",BattCalcs!C9=ROUNDUP('Batt IN'!$H$41*12,)),-'Batt IN'!$E$41*'Batt IN'!$E$28,0)</f>
        <v>0</v>
      </c>
      <c r="BP9" s="2">
        <f>IF(AND('Batt IN'!$D$53="Yes",$AL$1&gt;=1),0,IF($C9='Batt IN'!$H$54*12,-'Batt IN'!$F$54,0))</f>
        <v>0</v>
      </c>
      <c r="BQ9" s="2">
        <f>IF(AND('Batt IN'!$D$53="Yes",$AL$1&gt;=2),0,IF($C9='Batt IN'!$H$55*12,-'Batt IN'!$F$55,0))</f>
        <v>0</v>
      </c>
      <c r="BR9" s="2">
        <f>IF(AND('Batt IN'!$D$53="Yes",$AL$1&gt;=3),0,IF($C9='Batt IN'!$H$56*12,-'Batt IN'!$F$56,0))</f>
        <v>0</v>
      </c>
      <c r="BS9" s="2">
        <f>IF(AND('Batt IN'!$D$53="Yes",$AL$1&gt;=4),0,IF($C9='Batt IN'!$H$57*12,-'Batt IN'!$F$57,0))</f>
        <v>0</v>
      </c>
      <c r="BT9" s="2">
        <f>IF(AND('Batt IN'!$D$53="Yes",$AL$1&gt;=5),0,IF($C9='Batt IN'!$H$58*12,-'Batt IN'!$F$58,0))</f>
        <v>0</v>
      </c>
      <c r="BU9" s="2">
        <f>-AH9*PVCalcs!F9</f>
        <v>-413.06265108561007</v>
      </c>
      <c r="BV9" s="2">
        <f>-'Batt IN'!$E$47</f>
        <v>-150</v>
      </c>
      <c r="BW9" s="2">
        <f>-'Batt IN'!$E$49</f>
        <v>-2250</v>
      </c>
      <c r="BX9" s="2">
        <f>IF('Batt IN'!$H$50="No",-(BC9*'Batt IN'!$E$50),-(BC9+BE9)*'Batt IN'!$E$50)</f>
        <v>0</v>
      </c>
      <c r="BY9" s="2">
        <f>IF(C9='Batt IN'!$H$43*12,-'Batt IN'!$E$43,0)</f>
        <v>0</v>
      </c>
      <c r="BZ9" s="38"/>
      <c r="CA9" s="10">
        <f t="shared" si="0"/>
        <v>13817.323408333334</v>
      </c>
      <c r="CB9" s="2">
        <f t="shared" si="6"/>
        <v>-3063.06265108561</v>
      </c>
      <c r="CC9" s="45">
        <f t="shared" si="7"/>
        <v>10754.260757247725</v>
      </c>
      <c r="CD9" s="43"/>
      <c r="CE9" s="2">
        <f t="shared" si="8"/>
        <v>0</v>
      </c>
      <c r="CF9" s="2">
        <f t="shared" si="9"/>
        <v>-3063.06265108561</v>
      </c>
      <c r="CG9" s="2"/>
      <c r="CH9" s="2">
        <f t="shared" si="10"/>
        <v>-3063.06265108561</v>
      </c>
      <c r="CI9" s="45">
        <f>-CH9*'Batt IN'!$E$7</f>
        <v>643.24315672797809</v>
      </c>
      <c r="CJ9" s="48"/>
      <c r="CK9" s="45">
        <f>IF('Batt IN'!$F$4="PV Only",0,IF(C9&gt;'Batt IN'!$H$43*12,0,CC9+CI9))</f>
        <v>0</v>
      </c>
      <c r="CM9" s="10">
        <f t="shared" si="11"/>
        <v>0</v>
      </c>
      <c r="CN9" s="2">
        <f>CK9/(1+('Batt IN'!$G$8))^(C9)</f>
        <v>0</v>
      </c>
      <c r="CO9" s="2">
        <f>IF(C9&lt;='Batt IN'!$O$30*12,CN9+CO8,NA())</f>
        <v>0</v>
      </c>
      <c r="CQ9" s="2">
        <f>CK9/((1+('Batt IN'!$E$8/12))^BattCalcs!C9)</f>
        <v>0</v>
      </c>
      <c r="CS9" s="10">
        <f t="shared" si="12"/>
        <v>-3063.06265108561</v>
      </c>
      <c r="CT9" s="10">
        <f t="shared" si="13"/>
        <v>0</v>
      </c>
      <c r="CU9" s="10">
        <f t="shared" si="14"/>
        <v>-3063.06265108561</v>
      </c>
      <c r="CV9" s="10">
        <f t="shared" si="15"/>
        <v>-3063.06265108561</v>
      </c>
      <c r="CW9" s="2">
        <f t="shared" si="1"/>
        <v>0</v>
      </c>
      <c r="CX9" s="2">
        <f>-(SUM(CV9:CW9)*'PV IN'!$E$8)</f>
        <v>643.24315672797809</v>
      </c>
      <c r="CY9" s="2">
        <f t="shared" si="16"/>
        <v>-2419.8194943576318</v>
      </c>
      <c r="CZ9" s="2">
        <f>IF(C9&lt;='Batt IN'!$H$43*12,CY9/(1+('PV IN'!$G$9))^(C9),0)</f>
        <v>-2371.1230726150529</v>
      </c>
      <c r="DA9" s="33">
        <f>IF(C9&lt;='Batt IN'!$H$43*12,AE9,0)</f>
        <v>36250.116666666669</v>
      </c>
    </row>
    <row r="10" spans="1:105" x14ac:dyDescent="0.25">
      <c r="A10">
        <f>IF(C10&lt;='Batt IN'!$H$43*12,C10,"")</f>
        <v>6</v>
      </c>
      <c r="C10">
        <v>6</v>
      </c>
      <c r="D10" s="21">
        <v>730</v>
      </c>
      <c r="E10" s="1">
        <f>1-'Batt IN'!$E$31</f>
        <v>2.0000000000000018E-2</v>
      </c>
      <c r="F10" s="12">
        <f>('Batt IN'!$E$33*365)/8760</f>
        <v>0</v>
      </c>
      <c r="G10" s="22">
        <f>'Batt IN'!$E$32/8760</f>
        <v>5.7077625570776253E-3</v>
      </c>
      <c r="H10" s="22">
        <f>'Batt IN'!$E$13/8760</f>
        <v>5.5936073059360729E-3</v>
      </c>
      <c r="I10" s="23">
        <f>IF(C10&lt;='Batt IN'!$G$14*12,'Batt IN'!$E$15/8760*'Batt IN'!$G$15,0)</f>
        <v>6.8493150684931503E-3</v>
      </c>
      <c r="J10" s="12">
        <f>Z10/'Batt IN'!$E$27/730</f>
        <v>2.4999999999999996E-3</v>
      </c>
      <c r="K10" s="23">
        <f>AA10/'Batt IN'!$E$27/730</f>
        <v>1.6027397260273972E-3</v>
      </c>
      <c r="L10" s="23">
        <f>AB10/'Batt IN'!$E$27/730</f>
        <v>2.0547945205479451E-4</v>
      </c>
      <c r="M10" s="23">
        <f>AC10/'Batt IN'!$E$27/730</f>
        <v>4.7945205479452057E-3</v>
      </c>
      <c r="N10" s="23">
        <f>AD10/'Batt IN'!$E$27/730</f>
        <v>3.4246575342465752E-3</v>
      </c>
      <c r="O10" s="12">
        <f t="shared" si="2"/>
        <v>5.0678082191780847E-2</v>
      </c>
      <c r="P10" s="21">
        <f t="shared" si="3"/>
        <v>693.005</v>
      </c>
      <c r="Q10" s="2">
        <f>IF('Batt IN'!$E$27*'Batt IN'!$E$24&lt;='Batt IN'!$E$28,(('Batt IN'!$E$23*'Batt IN'!$E$27*'Batt IN'!$E$24)/1000)*P10,(('Batt IN'!$E$23*'Batt IN'!$E$28*'Batt IN'!$E$24)/1000)*P10)</f>
        <v>11088.08</v>
      </c>
      <c r="R10" s="2"/>
      <c r="S10" s="77">
        <f>IF(C10&lt;='Batt IN'!$G$14*12,'Batt IN'!$E$15/12,0)</f>
        <v>8.3333333333333339</v>
      </c>
      <c r="T10" s="77"/>
      <c r="U10" s="80">
        <f>'Batt IN'!$E$28*('Batt IN'!$G$24/24)*730*(1-O10)</f>
        <v>80850.583333333328</v>
      </c>
      <c r="V10" s="78">
        <f>U10*'Batt IN'!$F$30</f>
        <v>16170.116666666667</v>
      </c>
      <c r="W10" s="78">
        <f>'Batt IN'!$E$28*'Batt IN'!$G$32*('Batt IN'!$E$32/12)*(1+'Batt IN'!$F$30)</f>
        <v>1750.0000000000002</v>
      </c>
      <c r="X10" s="78">
        <f>'Batt IN'!$E$28*'Batt IN'!$G$13*('Batt IN'!$E$13/12)*(1+'Batt IN'!$F$30)</f>
        <v>3184.9999999999995</v>
      </c>
      <c r="Y10" s="33">
        <f>S10*'Batt IN'!$G$15*'Batt IN'!$E$28*(1+'Batt IN'!$F$30)</f>
        <v>6000</v>
      </c>
      <c r="Z10" s="33">
        <f>'Batt IN'!$G$16*365/12*(1+'Batt IN'!$F$30)</f>
        <v>1824.9999999999998</v>
      </c>
      <c r="AA10" s="33">
        <f>'Batt IN'!$G$17*'Batt IN'!$E$18*'Batt IN'!$G$18/12*(1+'Batt IN'!$F$30)</f>
        <v>1170</v>
      </c>
      <c r="AB10" s="33">
        <f>'Batt IN'!$G$19*'Batt IN'!$E$20*'Batt IN'!$G$20/12*(1+'Batt IN'!$F$30)</f>
        <v>150</v>
      </c>
      <c r="AC10" s="33">
        <f>'Batt IN'!$G$21*(1+'Batt IN'!$F$30)/12</f>
        <v>3500</v>
      </c>
      <c r="AD10" s="33">
        <f>'Batt IN'!$G$22*(1+'Batt IN'!$F$30)/12</f>
        <v>2500</v>
      </c>
      <c r="AE10" s="33">
        <f t="shared" si="4"/>
        <v>36250.116666666669</v>
      </c>
      <c r="AF10" s="33">
        <f>IF('PV IN'!$F$4="Battery Only",0,AE10*'Batt IN'!$E$29)</f>
        <v>30812.599166666667</v>
      </c>
      <c r="AG10" s="33">
        <f>PVCalcs!L10</f>
        <v>30812.599166666667</v>
      </c>
      <c r="AH10" s="33">
        <f t="shared" si="5"/>
        <v>5437.5175000000017</v>
      </c>
      <c r="AI10" s="33"/>
      <c r="AJ10" s="2">
        <f>IF(AND('Batt IN'!$D$53="Yes",$AL$1&gt;=1),IF($C10='Batt IN'!$H$54*12,-'Batt IN'!$F$54,0),0)</f>
        <v>0</v>
      </c>
      <c r="AK10" s="2">
        <f>IF(AND('Batt IN'!$D$53="Yes",$AL$1&gt;=2),IF($C10='Batt IN'!$H$55*12,-'Batt IN'!$F$55,0),0)</f>
        <v>0</v>
      </c>
      <c r="AL10" s="2">
        <f>IF(AND('Batt IN'!$D$53="Yes",$AL$1&gt;=3),IF($C10='Batt IN'!$H$56*12,-'Batt IN'!$F$56,0),0)</f>
        <v>0</v>
      </c>
      <c r="AM10" s="2">
        <f>IF(AND('Batt IN'!$D$53="Yes",$AL$1&gt;=4),IF($C10='Batt IN'!$H$57*12,-'Batt IN'!$F$57,0),0)</f>
        <v>0</v>
      </c>
      <c r="AN10" s="2">
        <f>IF(AND('Batt IN'!$D$53="Yes",$AL$1&gt;=5),IF($C10='Batt IN'!$H$58*12,-'Batt IN'!$F$58,0),0)</f>
        <v>0</v>
      </c>
      <c r="AO10" s="10">
        <f>IF(AND('Batt IN'!$D$44="YES",$C10&lt;='Batt IN'!$E$44*12),-'Batt IN'!$E$28*'Batt IN'!$E$42/12,0)</f>
        <v>0</v>
      </c>
      <c r="AP10" s="10">
        <f>IF(AND('Batt IN'!$D$46="YES",$C10&lt;='Batt IN'!$E$46*12),-'Batt IN'!$E$28*'Batt IN'!$E$45/12,0)</f>
        <v>0</v>
      </c>
      <c r="AR10" s="10">
        <f>BattLoan!M37</f>
        <v>0</v>
      </c>
      <c r="AS10" s="10">
        <f>'Batt IN'!$G$16*365/12*'Batt IN'!$E$16</f>
        <v>76.041666666666671</v>
      </c>
      <c r="AT10" s="10">
        <f>IF(AND('Batt IN'!$E$18&gt;0,'Batt IN'!$G$18&gt;0),'Batt IN'!$E$17*'Batt IN'!$G$17,0)</f>
        <v>119.44619999999999</v>
      </c>
      <c r="AU10" s="10">
        <f>IF(AND('Batt IN'!$E$20&gt;0,'Batt IN'!$G$20&gt;0),'Batt IN'!$E$19*'Batt IN'!$G$19,0)</f>
        <v>231</v>
      </c>
      <c r="AV10" s="10"/>
      <c r="AW10" s="10"/>
      <c r="AX10" s="10">
        <f>IF('Batt IN'!$E$11="Non-Taxable",Q10,0)</f>
        <v>11088.08</v>
      </c>
      <c r="AY10" s="10">
        <f>IF('Batt IN'!$E$11="Non-Taxable",'Batt IN'!$E$28/1000*'Batt IN'!$G$13*('Batt IN'!$E$13/12)*'Batt IN'!$E$12,0)</f>
        <v>244.42220833333334</v>
      </c>
      <c r="AZ10" s="10">
        <f>IF('Batt IN'!$E$11="Non-Taxable",$S10*'Batt IN'!$G$15*'Batt IN'!$E$28*'Batt IN'!$E$14/1000,0)</f>
        <v>475</v>
      </c>
      <c r="BA10" s="10">
        <f>IF('Batt IN'!$E$11="Non-Taxable",'Batt IN'!$E$21*'Batt IN'!$G$21/12,0)</f>
        <v>437.5</v>
      </c>
      <c r="BB10" s="10">
        <f>IF('Batt IN'!$E$11="Non-Taxable",'Batt IN'!$E$22*'Batt IN'!$G$22/12,0)</f>
        <v>1145.8333333333335</v>
      </c>
      <c r="BC10" s="10">
        <f>IF('Batt IN'!$E$11="Taxable",Q10,0)</f>
        <v>0</v>
      </c>
      <c r="BD10" s="10">
        <f>IF('Batt IN'!$E$11="Taxable",'Batt IN'!$E$28/1000*'Batt IN'!$G$13*('Batt IN'!$E$13/12)*'Batt IN'!$E$12,0)</f>
        <v>0</v>
      </c>
      <c r="BE10" s="10">
        <f>IF('Batt IN'!$E$11="Taxable",$S10*'Batt IN'!$G$15*'Batt IN'!$E$28*'Batt IN'!$E$14/1000,0)</f>
        <v>0</v>
      </c>
      <c r="BF10" s="10">
        <f>IF('Batt IN'!$E$11="Taxable",'Batt IN'!$E$21*'Batt IN'!$G$21/12,0)</f>
        <v>0</v>
      </c>
      <c r="BG10" s="10">
        <f>IF('Batt IN'!$E$11="Taxable",'Batt IN'!$E$22*'Batt IN'!$G$22/12,0)</f>
        <v>0</v>
      </c>
      <c r="BK10" s="10">
        <f>IF('Batt IN'!$N$18="Yes",-BattLoan!H38,-BattLoan!L38)</f>
        <v>0</v>
      </c>
      <c r="BL10" s="10">
        <f>IF('Batt IN'!$N$18="Yes",-BattLoan!F38,0)</f>
        <v>0</v>
      </c>
      <c r="BM10" s="10">
        <f>IF(AND('Batt IN'!$D$44="YES",$C10&lt;='Batt IN'!$E$44*12),0,-'Batt IN'!$E$28*'Batt IN'!$E$42/12)</f>
        <v>-83.333333333333329</v>
      </c>
      <c r="BN10" s="10">
        <f>IF(AND('Batt IN'!$D$46="YES",$C10&lt;='Batt IN'!$E$46*12),0,-'Batt IN'!$E$28*'Batt IN'!$E$45/12)</f>
        <v>-166.66666666666666</v>
      </c>
      <c r="BO10" s="2">
        <f>IF(AND('Batt IN'!$D$41="YES",BattCalcs!C10=ROUNDUP('Batt IN'!$H$41*12,)),-'Batt IN'!$E$41*'Batt IN'!$E$28,0)</f>
        <v>0</v>
      </c>
      <c r="BP10" s="2">
        <f>IF(AND('Batt IN'!$D$53="Yes",$AL$1&gt;=1),0,IF($C10='Batt IN'!$H$54*12,-'Batt IN'!$F$54,0))</f>
        <v>0</v>
      </c>
      <c r="BQ10" s="2">
        <f>IF(AND('Batt IN'!$D$53="Yes",$AL$1&gt;=2),0,IF($C10='Batt IN'!$H$55*12,-'Batt IN'!$F$55,0))</f>
        <v>0</v>
      </c>
      <c r="BR10" s="2">
        <f>IF(AND('Batt IN'!$D$53="Yes",$AL$1&gt;=3),0,IF($C10='Batt IN'!$H$56*12,-'Batt IN'!$F$56,0))</f>
        <v>0</v>
      </c>
      <c r="BS10" s="2">
        <f>IF(AND('Batt IN'!$D$53="Yes",$AL$1&gt;=4),0,IF($C10='Batt IN'!$H$57*12,-'Batt IN'!$F$57,0))</f>
        <v>0</v>
      </c>
      <c r="BT10" s="2">
        <f>IF(AND('Batt IN'!$D$53="Yes",$AL$1&gt;=5),0,IF($C10='Batt IN'!$H$58*12,-'Batt IN'!$F$58,0))</f>
        <v>0</v>
      </c>
      <c r="BU10" s="2">
        <f>-AH10*PVCalcs!F10</f>
        <v>-413.06265108561007</v>
      </c>
      <c r="BV10" s="2">
        <f>-'Batt IN'!$E$47</f>
        <v>-150</v>
      </c>
      <c r="BW10" s="2">
        <f>-'Batt IN'!$E$49</f>
        <v>-2250</v>
      </c>
      <c r="BX10" s="2">
        <f>IF('Batt IN'!$H$50="No",-(BC10*'Batt IN'!$E$50),-(BC10+BE10)*'Batt IN'!$E$50)</f>
        <v>0</v>
      </c>
      <c r="BY10" s="2">
        <f>IF(C10='Batt IN'!$H$43*12,-'Batt IN'!$E$43,0)</f>
        <v>0</v>
      </c>
      <c r="BZ10" s="38"/>
      <c r="CA10" s="10">
        <f t="shared" si="0"/>
        <v>13817.323408333334</v>
      </c>
      <c r="CB10" s="2">
        <f t="shared" si="6"/>
        <v>-3063.06265108561</v>
      </c>
      <c r="CC10" s="45">
        <f t="shared" si="7"/>
        <v>10754.260757247725</v>
      </c>
      <c r="CD10" s="43"/>
      <c r="CE10" s="2">
        <f t="shared" si="8"/>
        <v>0</v>
      </c>
      <c r="CF10" s="2">
        <f t="shared" si="9"/>
        <v>-3063.06265108561</v>
      </c>
      <c r="CG10" s="2"/>
      <c r="CH10" s="2">
        <f t="shared" si="10"/>
        <v>-3063.06265108561</v>
      </c>
      <c r="CI10" s="45">
        <f>-CH10*'Batt IN'!$E$7</f>
        <v>643.24315672797809</v>
      </c>
      <c r="CJ10" s="48"/>
      <c r="CK10" s="45">
        <f>IF('Batt IN'!$F$4="PV Only",0,IF(C10&gt;'Batt IN'!$H$43*12,0,CC10+CI10))</f>
        <v>0</v>
      </c>
      <c r="CM10" s="10">
        <f t="shared" si="11"/>
        <v>0</v>
      </c>
      <c r="CN10" s="2">
        <f>CK10/(1+('Batt IN'!$G$8))^(C10)</f>
        <v>0</v>
      </c>
      <c r="CO10" s="2">
        <f>IF(C10&lt;='Batt IN'!$O$30*12,CN10+CO9,NA())</f>
        <v>0</v>
      </c>
      <c r="CQ10" s="2">
        <f>CK10/((1+('Batt IN'!$E$8/12))^BattCalcs!C10)</f>
        <v>0</v>
      </c>
      <c r="CS10" s="10">
        <f t="shared" si="12"/>
        <v>-3063.06265108561</v>
      </c>
      <c r="CT10" s="10">
        <f t="shared" si="13"/>
        <v>0</v>
      </c>
      <c r="CU10" s="10">
        <f t="shared" si="14"/>
        <v>-3063.06265108561</v>
      </c>
      <c r="CV10" s="10">
        <f t="shared" si="15"/>
        <v>-3063.06265108561</v>
      </c>
      <c r="CW10" s="2">
        <f t="shared" si="1"/>
        <v>0</v>
      </c>
      <c r="CX10" s="2">
        <f>-(SUM(CV10:CW10)*'PV IN'!$E$8)</f>
        <v>643.24315672797809</v>
      </c>
      <c r="CY10" s="2">
        <f t="shared" si="16"/>
        <v>-2419.8194943576318</v>
      </c>
      <c r="CZ10" s="2">
        <f>IF(C10&lt;='Batt IN'!$H$43*12,CY10/(1+('PV IN'!$G$9))^(C10),0)</f>
        <v>-2361.5020210658945</v>
      </c>
      <c r="DA10" s="33">
        <f>IF(C10&lt;='Batt IN'!$H$43*12,AE10,0)</f>
        <v>36250.116666666669</v>
      </c>
    </row>
    <row r="11" spans="1:105" x14ac:dyDescent="0.25">
      <c r="A11">
        <f>IF(C11&lt;='Batt IN'!$H$43*12,C11,"")</f>
        <v>7</v>
      </c>
      <c r="C11">
        <v>7</v>
      </c>
      <c r="D11" s="21">
        <v>730</v>
      </c>
      <c r="E11" s="1">
        <f>1-'Batt IN'!$E$31</f>
        <v>2.0000000000000018E-2</v>
      </c>
      <c r="F11" s="12">
        <f>('Batt IN'!$E$33*365)/8760</f>
        <v>0</v>
      </c>
      <c r="G11" s="22">
        <f>'Batt IN'!$E$32/8760</f>
        <v>5.7077625570776253E-3</v>
      </c>
      <c r="H11" s="22">
        <f>'Batt IN'!$E$13/8760</f>
        <v>5.5936073059360729E-3</v>
      </c>
      <c r="I11" s="23">
        <f>IF(C11&lt;='Batt IN'!$G$14*12,'Batt IN'!$E$15/8760*'Batt IN'!$G$15,0)</f>
        <v>6.8493150684931503E-3</v>
      </c>
      <c r="J11" s="12">
        <f>Z11/'Batt IN'!$E$27/730</f>
        <v>2.4999999999999996E-3</v>
      </c>
      <c r="K11" s="23">
        <f>AA11/'Batt IN'!$E$27/730</f>
        <v>1.6027397260273972E-3</v>
      </c>
      <c r="L11" s="23">
        <f>AB11/'Batt IN'!$E$27/730</f>
        <v>2.0547945205479451E-4</v>
      </c>
      <c r="M11" s="23">
        <f>AC11/'Batt IN'!$E$27/730</f>
        <v>4.7945205479452057E-3</v>
      </c>
      <c r="N11" s="23">
        <f>AD11/'Batt IN'!$E$27/730</f>
        <v>3.4246575342465752E-3</v>
      </c>
      <c r="O11" s="12">
        <f t="shared" si="2"/>
        <v>5.0678082191780847E-2</v>
      </c>
      <c r="P11" s="21">
        <f t="shared" si="3"/>
        <v>693.005</v>
      </c>
      <c r="Q11" s="2">
        <f>IF('Batt IN'!$E$27*'Batt IN'!$E$24&lt;='Batt IN'!$E$28,(('Batt IN'!$E$23*'Batt IN'!$E$27*'Batt IN'!$E$24)/1000)*P11,(('Batt IN'!$E$23*'Batt IN'!$E$28*'Batt IN'!$E$24)/1000)*P11)</f>
        <v>11088.08</v>
      </c>
      <c r="R11" s="2"/>
      <c r="S11" s="77">
        <f>IF(C11&lt;='Batt IN'!$G$14*12,'Batt IN'!$E$15/12,0)</f>
        <v>8.3333333333333339</v>
      </c>
      <c r="T11" s="77"/>
      <c r="U11" s="80">
        <f>'Batt IN'!$E$28*('Batt IN'!$G$24/24)*730*(1-O11)</f>
        <v>80850.583333333328</v>
      </c>
      <c r="V11" s="78">
        <f>U11*'Batt IN'!$F$30</f>
        <v>16170.116666666667</v>
      </c>
      <c r="W11" s="78">
        <f>'Batt IN'!$E$28*'Batt IN'!$G$32*('Batt IN'!$E$32/12)*(1+'Batt IN'!$F$30)</f>
        <v>1750.0000000000002</v>
      </c>
      <c r="X11" s="78">
        <f>'Batt IN'!$E$28*'Batt IN'!$G$13*('Batt IN'!$E$13/12)*(1+'Batt IN'!$F$30)</f>
        <v>3184.9999999999995</v>
      </c>
      <c r="Y11" s="33">
        <f>S11*'Batt IN'!$G$15*'Batt IN'!$E$28*(1+'Batt IN'!$F$30)</f>
        <v>6000</v>
      </c>
      <c r="Z11" s="33">
        <f>'Batt IN'!$G$16*365/12*(1+'Batt IN'!$F$30)</f>
        <v>1824.9999999999998</v>
      </c>
      <c r="AA11" s="33">
        <f>'Batt IN'!$G$17*'Batt IN'!$E$18*'Batt IN'!$G$18/12*(1+'Batt IN'!$F$30)</f>
        <v>1170</v>
      </c>
      <c r="AB11" s="33">
        <f>'Batt IN'!$G$19*'Batt IN'!$E$20*'Batt IN'!$G$20/12*(1+'Batt IN'!$F$30)</f>
        <v>150</v>
      </c>
      <c r="AC11" s="33">
        <f>'Batt IN'!$G$21*(1+'Batt IN'!$F$30)/12</f>
        <v>3500</v>
      </c>
      <c r="AD11" s="33">
        <f>'Batt IN'!$G$22*(1+'Batt IN'!$F$30)/12</f>
        <v>2500</v>
      </c>
      <c r="AE11" s="33">
        <f t="shared" si="4"/>
        <v>36250.116666666669</v>
      </c>
      <c r="AF11" s="33">
        <f>IF('PV IN'!$F$4="Battery Only",0,AE11*'Batt IN'!$E$29)</f>
        <v>30812.599166666667</v>
      </c>
      <c r="AG11" s="33">
        <f>PVCalcs!L11</f>
        <v>30812.599166666667</v>
      </c>
      <c r="AH11" s="33">
        <f t="shared" si="5"/>
        <v>5437.5175000000017</v>
      </c>
      <c r="AI11" s="33"/>
      <c r="AJ11" s="2">
        <f>IF(AND('Batt IN'!$D$53="Yes",$AL$1&gt;=1),IF($C11='Batt IN'!$H$54*12,-'Batt IN'!$F$54,0),0)</f>
        <v>0</v>
      </c>
      <c r="AK11" s="2">
        <f>IF(AND('Batt IN'!$D$53="Yes",$AL$1&gt;=2),IF($C11='Batt IN'!$H$55*12,-'Batt IN'!$F$55,0),0)</f>
        <v>0</v>
      </c>
      <c r="AL11" s="2">
        <f>IF(AND('Batt IN'!$D$53="Yes",$AL$1&gt;=3),IF($C11='Batt IN'!$H$56*12,-'Batt IN'!$F$56,0),0)</f>
        <v>0</v>
      </c>
      <c r="AM11" s="2">
        <f>IF(AND('Batt IN'!$D$53="Yes",$AL$1&gt;=4),IF($C11='Batt IN'!$H$57*12,-'Batt IN'!$F$57,0),0)</f>
        <v>0</v>
      </c>
      <c r="AN11" s="2">
        <f>IF(AND('Batt IN'!$D$53="Yes",$AL$1&gt;=5),IF($C11='Batt IN'!$H$58*12,-'Batt IN'!$F$58,0),0)</f>
        <v>0</v>
      </c>
      <c r="AO11" s="10">
        <f>IF(AND('Batt IN'!$D$44="YES",$C11&lt;='Batt IN'!$E$44*12),-'Batt IN'!$E$28*'Batt IN'!$E$42/12,0)</f>
        <v>0</v>
      </c>
      <c r="AP11" s="10">
        <f>IF(AND('Batt IN'!$D$46="YES",$C11&lt;='Batt IN'!$E$46*12),-'Batt IN'!$E$28*'Batt IN'!$E$45/12,0)</f>
        <v>0</v>
      </c>
      <c r="AR11" s="10">
        <f>BattLoan!M38</f>
        <v>0</v>
      </c>
      <c r="AS11" s="10">
        <f>'Batt IN'!$G$16*365/12*'Batt IN'!$E$16</f>
        <v>76.041666666666671</v>
      </c>
      <c r="AT11" s="10">
        <f>IF(AND('Batt IN'!$E$18&gt;0,'Batt IN'!$G$18&gt;0),'Batt IN'!$E$17*'Batt IN'!$G$17,0)</f>
        <v>119.44619999999999</v>
      </c>
      <c r="AU11" s="10">
        <f>IF(AND('Batt IN'!$E$20&gt;0,'Batt IN'!$G$20&gt;0),'Batt IN'!$E$19*'Batt IN'!$G$19,0)</f>
        <v>231</v>
      </c>
      <c r="AV11" s="10"/>
      <c r="AW11" s="10"/>
      <c r="AX11" s="10">
        <f>IF('Batt IN'!$E$11="Non-Taxable",Q11,0)</f>
        <v>11088.08</v>
      </c>
      <c r="AY11" s="10">
        <f>IF('Batt IN'!$E$11="Non-Taxable",'Batt IN'!$E$28/1000*'Batt IN'!$G$13*('Batt IN'!$E$13/12)*'Batt IN'!$E$12,0)</f>
        <v>244.42220833333334</v>
      </c>
      <c r="AZ11" s="10">
        <f>IF('Batt IN'!$E$11="Non-Taxable",$S11*'Batt IN'!$G$15*'Batt IN'!$E$28*'Batt IN'!$E$14/1000,0)</f>
        <v>475</v>
      </c>
      <c r="BA11" s="10">
        <f>IF('Batt IN'!$E$11="Non-Taxable",'Batt IN'!$E$21*'Batt IN'!$G$21/12,0)</f>
        <v>437.5</v>
      </c>
      <c r="BB11" s="10">
        <f>IF('Batt IN'!$E$11="Non-Taxable",'Batt IN'!$E$22*'Batt IN'!$G$22/12,0)</f>
        <v>1145.8333333333335</v>
      </c>
      <c r="BC11" s="10">
        <f>IF('Batt IN'!$E$11="Taxable",Q11,0)</f>
        <v>0</v>
      </c>
      <c r="BD11" s="10">
        <f>IF('Batt IN'!$E$11="Taxable",'Batt IN'!$E$28/1000*'Batt IN'!$G$13*('Batt IN'!$E$13/12)*'Batt IN'!$E$12,0)</f>
        <v>0</v>
      </c>
      <c r="BE11" s="10">
        <f>IF('Batt IN'!$E$11="Taxable",$S11*'Batt IN'!$G$15*'Batt IN'!$E$28*'Batt IN'!$E$14/1000,0)</f>
        <v>0</v>
      </c>
      <c r="BF11" s="10">
        <f>IF('Batt IN'!$E$11="Taxable",'Batt IN'!$E$21*'Batt IN'!$G$21/12,0)</f>
        <v>0</v>
      </c>
      <c r="BG11" s="10">
        <f>IF('Batt IN'!$E$11="Taxable",'Batt IN'!$E$22*'Batt IN'!$G$22/12,0)</f>
        <v>0</v>
      </c>
      <c r="BK11" s="10">
        <f>IF('Batt IN'!$N$18="Yes",-BattLoan!H39,-BattLoan!L39)</f>
        <v>0</v>
      </c>
      <c r="BL11" s="10">
        <f>IF('Batt IN'!$N$18="Yes",-BattLoan!F39,0)</f>
        <v>0</v>
      </c>
      <c r="BM11" s="10">
        <f>IF(AND('Batt IN'!$D$44="YES",$C11&lt;='Batt IN'!$E$44*12),0,-'Batt IN'!$E$28*'Batt IN'!$E$42/12)</f>
        <v>-83.333333333333329</v>
      </c>
      <c r="BN11" s="10">
        <f>IF(AND('Batt IN'!$D$46="YES",$C11&lt;='Batt IN'!$E$46*12),0,-'Batt IN'!$E$28*'Batt IN'!$E$45/12)</f>
        <v>-166.66666666666666</v>
      </c>
      <c r="BO11" s="2">
        <f>IF(AND('Batt IN'!$D$41="YES",BattCalcs!C11=ROUNDUP('Batt IN'!$H$41*12,)),-'Batt IN'!$E$41*'Batt IN'!$E$28,0)</f>
        <v>0</v>
      </c>
      <c r="BP11" s="2">
        <f>IF(AND('Batt IN'!$D$53="Yes",$AL$1&gt;=1),0,IF($C11='Batt IN'!$H$54*12,-'Batt IN'!$F$54,0))</f>
        <v>0</v>
      </c>
      <c r="BQ11" s="2">
        <f>IF(AND('Batt IN'!$D$53="Yes",$AL$1&gt;=2),0,IF($C11='Batt IN'!$H$55*12,-'Batt IN'!$F$55,0))</f>
        <v>0</v>
      </c>
      <c r="BR11" s="2">
        <f>IF(AND('Batt IN'!$D$53="Yes",$AL$1&gt;=3),0,IF($C11='Batt IN'!$H$56*12,-'Batt IN'!$F$56,0))</f>
        <v>0</v>
      </c>
      <c r="BS11" s="2">
        <f>IF(AND('Batt IN'!$D$53="Yes",$AL$1&gt;=4),0,IF($C11='Batt IN'!$H$57*12,-'Batt IN'!$F$57,0))</f>
        <v>0</v>
      </c>
      <c r="BT11" s="2">
        <f>IF(AND('Batt IN'!$D$53="Yes",$AL$1&gt;=5),0,IF($C11='Batt IN'!$H$58*12,-'Batt IN'!$F$58,0))</f>
        <v>0</v>
      </c>
      <c r="BU11" s="2">
        <f>-AH11*PVCalcs!F11</f>
        <v>-413.06265108561007</v>
      </c>
      <c r="BV11" s="2">
        <f>-'Batt IN'!$E$47</f>
        <v>-150</v>
      </c>
      <c r="BW11" s="2">
        <f>-'Batt IN'!$E$49</f>
        <v>-2250</v>
      </c>
      <c r="BX11" s="2">
        <f>IF('Batt IN'!$H$50="No",-(BC11*'Batt IN'!$E$50),-(BC11+BE11)*'Batt IN'!$E$50)</f>
        <v>0</v>
      </c>
      <c r="BY11" s="2">
        <f>IF(C11='Batt IN'!$H$43*12,-'Batt IN'!$E$43,0)</f>
        <v>0</v>
      </c>
      <c r="BZ11" s="38"/>
      <c r="CA11" s="10">
        <f t="shared" si="0"/>
        <v>13817.323408333334</v>
      </c>
      <c r="CB11" s="2">
        <f t="shared" si="6"/>
        <v>-3063.06265108561</v>
      </c>
      <c r="CC11" s="45">
        <f t="shared" si="7"/>
        <v>10754.260757247725</v>
      </c>
      <c r="CD11" s="43"/>
      <c r="CE11" s="2">
        <f t="shared" si="8"/>
        <v>0</v>
      </c>
      <c r="CF11" s="2">
        <f t="shared" si="9"/>
        <v>-3063.06265108561</v>
      </c>
      <c r="CG11" s="2"/>
      <c r="CH11" s="2">
        <f t="shared" si="10"/>
        <v>-3063.06265108561</v>
      </c>
      <c r="CI11" s="45">
        <f>-CH11*'Batt IN'!$E$7</f>
        <v>643.24315672797809</v>
      </c>
      <c r="CJ11" s="48"/>
      <c r="CK11" s="45">
        <f>IF('Batt IN'!$F$4="PV Only",0,IF(C11&gt;'Batt IN'!$H$43*12,0,CC11+CI11))</f>
        <v>0</v>
      </c>
      <c r="CM11" s="10">
        <f t="shared" si="11"/>
        <v>0</v>
      </c>
      <c r="CN11" s="2">
        <f>CK11/(1+('Batt IN'!$G$8))^(C11)</f>
        <v>0</v>
      </c>
      <c r="CO11" s="2">
        <f>IF(C11&lt;='Batt IN'!$O$30*12,CN11+CO10,NA())</f>
        <v>0</v>
      </c>
      <c r="CQ11" s="2">
        <f>CK11/((1+('Batt IN'!$E$8/12))^BattCalcs!C11)</f>
        <v>0</v>
      </c>
      <c r="CS11" s="10">
        <f t="shared" si="12"/>
        <v>-3063.06265108561</v>
      </c>
      <c r="CT11" s="10">
        <f t="shared" si="13"/>
        <v>0</v>
      </c>
      <c r="CU11" s="10">
        <f t="shared" si="14"/>
        <v>-3063.06265108561</v>
      </c>
      <c r="CV11" s="10">
        <f t="shared" si="15"/>
        <v>-3063.06265108561</v>
      </c>
      <c r="CW11" s="2">
        <f t="shared" si="1"/>
        <v>0</v>
      </c>
      <c r="CX11" s="2">
        <f>-(SUM(CV11:CW11)*'PV IN'!$E$8)</f>
        <v>643.24315672797809</v>
      </c>
      <c r="CY11" s="2">
        <f t="shared" si="16"/>
        <v>-2419.8194943576318</v>
      </c>
      <c r="CZ11" s="2">
        <f>IF(C11&lt;='Batt IN'!$H$43*12,CY11/(1+('PV IN'!$G$9))^(C11),0)</f>
        <v>-2351.9200078247773</v>
      </c>
      <c r="DA11" s="33">
        <f>IF(C11&lt;='Batt IN'!$H$43*12,AE11,0)</f>
        <v>36250.116666666669</v>
      </c>
    </row>
    <row r="12" spans="1:105" x14ac:dyDescent="0.25">
      <c r="A12">
        <f>IF(C12&lt;='Batt IN'!$H$43*12,C12,"")</f>
        <v>8</v>
      </c>
      <c r="C12">
        <v>8</v>
      </c>
      <c r="D12" s="21">
        <v>730</v>
      </c>
      <c r="E12" s="1">
        <f>1-'Batt IN'!$E$31</f>
        <v>2.0000000000000018E-2</v>
      </c>
      <c r="F12" s="12">
        <f>('Batt IN'!$E$33*365)/8760</f>
        <v>0</v>
      </c>
      <c r="G12" s="22">
        <f>'Batt IN'!$E$32/8760</f>
        <v>5.7077625570776253E-3</v>
      </c>
      <c r="H12" s="22">
        <f>'Batt IN'!$E$13/8760</f>
        <v>5.5936073059360729E-3</v>
      </c>
      <c r="I12" s="23">
        <f>IF(C12&lt;='Batt IN'!$G$14*12,'Batt IN'!$E$15/8760*'Batt IN'!$G$15,0)</f>
        <v>6.8493150684931503E-3</v>
      </c>
      <c r="J12" s="12">
        <f>Z12/'Batt IN'!$E$27/730</f>
        <v>2.4999999999999996E-3</v>
      </c>
      <c r="K12" s="23">
        <f>AA12/'Batt IN'!$E$27/730</f>
        <v>1.6027397260273972E-3</v>
      </c>
      <c r="L12" s="23">
        <f>AB12/'Batt IN'!$E$27/730</f>
        <v>2.0547945205479451E-4</v>
      </c>
      <c r="M12" s="23">
        <f>AC12/'Batt IN'!$E$27/730</f>
        <v>4.7945205479452057E-3</v>
      </c>
      <c r="N12" s="23">
        <f>AD12/'Batt IN'!$E$27/730</f>
        <v>3.4246575342465752E-3</v>
      </c>
      <c r="O12" s="12">
        <f t="shared" si="2"/>
        <v>5.0678082191780847E-2</v>
      </c>
      <c r="P12" s="21">
        <f t="shared" si="3"/>
        <v>693.005</v>
      </c>
      <c r="Q12" s="2">
        <f>IF('Batt IN'!$E$27*'Batt IN'!$E$24&lt;='Batt IN'!$E$28,(('Batt IN'!$E$23*'Batt IN'!$E$27*'Batt IN'!$E$24)/1000)*P12,(('Batt IN'!$E$23*'Batt IN'!$E$28*'Batt IN'!$E$24)/1000)*P12)</f>
        <v>11088.08</v>
      </c>
      <c r="R12" s="2"/>
      <c r="S12" s="77">
        <f>IF(C12&lt;='Batt IN'!$G$14*12,'Batt IN'!$E$15/12,0)</f>
        <v>8.3333333333333339</v>
      </c>
      <c r="T12" s="77"/>
      <c r="U12" s="80">
        <f>'Batt IN'!$E$28*('Batt IN'!$G$24/24)*730*(1-O12)</f>
        <v>80850.583333333328</v>
      </c>
      <c r="V12" s="78">
        <f>U12*'Batt IN'!$F$30</f>
        <v>16170.116666666667</v>
      </c>
      <c r="W12" s="78">
        <f>'Batt IN'!$E$28*'Batt IN'!$G$32*('Batt IN'!$E$32/12)*(1+'Batt IN'!$F$30)</f>
        <v>1750.0000000000002</v>
      </c>
      <c r="X12" s="78">
        <f>'Batt IN'!$E$28*'Batt IN'!$G$13*('Batt IN'!$E$13/12)*(1+'Batt IN'!$F$30)</f>
        <v>3184.9999999999995</v>
      </c>
      <c r="Y12" s="33">
        <f>S12*'Batt IN'!$G$15*'Batt IN'!$E$28*(1+'Batt IN'!$F$30)</f>
        <v>6000</v>
      </c>
      <c r="Z12" s="33">
        <f>'Batt IN'!$G$16*365/12*(1+'Batt IN'!$F$30)</f>
        <v>1824.9999999999998</v>
      </c>
      <c r="AA12" s="33">
        <f>'Batt IN'!$G$17*'Batt IN'!$E$18*'Batt IN'!$G$18/12*(1+'Batt IN'!$F$30)</f>
        <v>1170</v>
      </c>
      <c r="AB12" s="33">
        <f>'Batt IN'!$G$19*'Batt IN'!$E$20*'Batt IN'!$G$20/12*(1+'Batt IN'!$F$30)</f>
        <v>150</v>
      </c>
      <c r="AC12" s="33">
        <f>'Batt IN'!$G$21*(1+'Batt IN'!$F$30)/12</f>
        <v>3500</v>
      </c>
      <c r="AD12" s="33">
        <f>'Batt IN'!$G$22*(1+'Batt IN'!$F$30)/12</f>
        <v>2500</v>
      </c>
      <c r="AE12" s="33">
        <f t="shared" si="4"/>
        <v>36250.116666666669</v>
      </c>
      <c r="AF12" s="33">
        <f>IF('PV IN'!$F$4="Battery Only",0,AE12*'Batt IN'!$E$29)</f>
        <v>30812.599166666667</v>
      </c>
      <c r="AG12" s="33">
        <f>PVCalcs!L12</f>
        <v>30812.599166666667</v>
      </c>
      <c r="AH12" s="33">
        <f t="shared" si="5"/>
        <v>5437.5175000000017</v>
      </c>
      <c r="AI12" s="33"/>
      <c r="AJ12" s="2">
        <f>IF(AND('Batt IN'!$D$53="Yes",$AL$1&gt;=1),IF($C12='Batt IN'!$H$54*12,-'Batt IN'!$F$54,0),0)</f>
        <v>0</v>
      </c>
      <c r="AK12" s="2">
        <f>IF(AND('Batt IN'!$D$53="Yes",$AL$1&gt;=2),IF($C12='Batt IN'!$H$55*12,-'Batt IN'!$F$55,0),0)</f>
        <v>0</v>
      </c>
      <c r="AL12" s="2">
        <f>IF(AND('Batt IN'!$D$53="Yes",$AL$1&gt;=3),IF($C12='Batt IN'!$H$56*12,-'Batt IN'!$F$56,0),0)</f>
        <v>0</v>
      </c>
      <c r="AM12" s="2">
        <f>IF(AND('Batt IN'!$D$53="Yes",$AL$1&gt;=4),IF($C12='Batt IN'!$H$57*12,-'Batt IN'!$F$57,0),0)</f>
        <v>0</v>
      </c>
      <c r="AN12" s="2">
        <f>IF(AND('Batt IN'!$D$53="Yes",$AL$1&gt;=5),IF($C12='Batt IN'!$H$58*12,-'Batt IN'!$F$58,0),0)</f>
        <v>0</v>
      </c>
      <c r="AO12" s="10">
        <f>IF(AND('Batt IN'!$D$44="YES",$C12&lt;='Batt IN'!$E$44*12),-'Batt IN'!$E$28*'Batt IN'!$E$42/12,0)</f>
        <v>0</v>
      </c>
      <c r="AP12" s="10">
        <f>IF(AND('Batt IN'!$D$46="YES",$C12&lt;='Batt IN'!$E$46*12),-'Batt IN'!$E$28*'Batt IN'!$E$45/12,0)</f>
        <v>0</v>
      </c>
      <c r="AR12" s="10">
        <f>BattLoan!M39</f>
        <v>0</v>
      </c>
      <c r="AS12" s="10">
        <f>'Batt IN'!$G$16*365/12*'Batt IN'!$E$16</f>
        <v>76.041666666666671</v>
      </c>
      <c r="AT12" s="10">
        <f>IF(AND('Batt IN'!$E$18&gt;0,'Batt IN'!$G$18&gt;0),'Batt IN'!$E$17*'Batt IN'!$G$17,0)</f>
        <v>119.44619999999999</v>
      </c>
      <c r="AU12" s="10">
        <f>IF(AND('Batt IN'!$E$20&gt;0,'Batt IN'!$G$20&gt;0),'Batt IN'!$E$19*'Batt IN'!$G$19,0)</f>
        <v>231</v>
      </c>
      <c r="AV12" s="10"/>
      <c r="AW12" s="10"/>
      <c r="AX12" s="10">
        <f>IF('Batt IN'!$E$11="Non-Taxable",Q12,0)</f>
        <v>11088.08</v>
      </c>
      <c r="AY12" s="10">
        <f>IF('Batt IN'!$E$11="Non-Taxable",'Batt IN'!$E$28/1000*'Batt IN'!$G$13*('Batt IN'!$E$13/12)*'Batt IN'!$E$12,0)</f>
        <v>244.42220833333334</v>
      </c>
      <c r="AZ12" s="10">
        <f>IF('Batt IN'!$E$11="Non-Taxable",$S12*'Batt IN'!$G$15*'Batt IN'!$E$28*'Batt IN'!$E$14/1000,0)</f>
        <v>475</v>
      </c>
      <c r="BA12" s="10">
        <f>IF('Batt IN'!$E$11="Non-Taxable",'Batt IN'!$E$21*'Batt IN'!$G$21/12,0)</f>
        <v>437.5</v>
      </c>
      <c r="BB12" s="10">
        <f>IF('Batt IN'!$E$11="Non-Taxable",'Batt IN'!$E$22*'Batt IN'!$G$22/12,0)</f>
        <v>1145.8333333333335</v>
      </c>
      <c r="BC12" s="10">
        <f>IF('Batt IN'!$E$11="Taxable",Q12,0)</f>
        <v>0</v>
      </c>
      <c r="BD12" s="10">
        <f>IF('Batt IN'!$E$11="Taxable",'Batt IN'!$E$28/1000*'Batt IN'!$G$13*('Batt IN'!$E$13/12)*'Batt IN'!$E$12,0)</f>
        <v>0</v>
      </c>
      <c r="BE12" s="10">
        <f>IF('Batt IN'!$E$11="Taxable",$S12*'Batt IN'!$G$15*'Batt IN'!$E$28*'Batt IN'!$E$14/1000,0)</f>
        <v>0</v>
      </c>
      <c r="BF12" s="10">
        <f>IF('Batt IN'!$E$11="Taxable",'Batt IN'!$E$21*'Batt IN'!$G$21/12,0)</f>
        <v>0</v>
      </c>
      <c r="BG12" s="10">
        <f>IF('Batt IN'!$E$11="Taxable",'Batt IN'!$E$22*'Batt IN'!$G$22/12,0)</f>
        <v>0</v>
      </c>
      <c r="BK12" s="10">
        <f>IF('Batt IN'!$N$18="Yes",-BattLoan!H40,-BattLoan!L40)</f>
        <v>0</v>
      </c>
      <c r="BL12" s="10">
        <f>IF('Batt IN'!$N$18="Yes",-BattLoan!F40,0)</f>
        <v>0</v>
      </c>
      <c r="BM12" s="10">
        <f>IF(AND('Batt IN'!$D$44="YES",$C12&lt;='Batt IN'!$E$44*12),0,-'Batt IN'!$E$28*'Batt IN'!$E$42/12)</f>
        <v>-83.333333333333329</v>
      </c>
      <c r="BN12" s="10">
        <f>IF(AND('Batt IN'!$D$46="YES",$C12&lt;='Batt IN'!$E$46*12),0,-'Batt IN'!$E$28*'Batt IN'!$E$45/12)</f>
        <v>-166.66666666666666</v>
      </c>
      <c r="BO12" s="2">
        <f>IF(AND('Batt IN'!$D$41="YES",BattCalcs!C12=ROUNDUP('Batt IN'!$H$41*12,)),-'Batt IN'!$E$41*'Batt IN'!$E$28,0)</f>
        <v>0</v>
      </c>
      <c r="BP12" s="2">
        <f>IF(AND('Batt IN'!$D$53="Yes",$AL$1&gt;=1),0,IF($C12='Batt IN'!$H$54*12,-'Batt IN'!$F$54,0))</f>
        <v>0</v>
      </c>
      <c r="BQ12" s="2">
        <f>IF(AND('Batt IN'!$D$53="Yes",$AL$1&gt;=2),0,IF($C12='Batt IN'!$H$55*12,-'Batt IN'!$F$55,0))</f>
        <v>0</v>
      </c>
      <c r="BR12" s="2">
        <f>IF(AND('Batt IN'!$D$53="Yes",$AL$1&gt;=3),0,IF($C12='Batt IN'!$H$56*12,-'Batt IN'!$F$56,0))</f>
        <v>0</v>
      </c>
      <c r="BS12" s="2">
        <f>IF(AND('Batt IN'!$D$53="Yes",$AL$1&gt;=4),0,IF($C12='Batt IN'!$H$57*12,-'Batt IN'!$F$57,0))</f>
        <v>0</v>
      </c>
      <c r="BT12" s="2">
        <f>IF(AND('Batt IN'!$D$53="Yes",$AL$1&gt;=5),0,IF($C12='Batt IN'!$H$58*12,-'Batt IN'!$F$58,0))</f>
        <v>0</v>
      </c>
      <c r="BU12" s="2">
        <f>-AH12*PVCalcs!F12</f>
        <v>-413.06265108561007</v>
      </c>
      <c r="BV12" s="2">
        <f>-'Batt IN'!$E$47</f>
        <v>-150</v>
      </c>
      <c r="BW12" s="2">
        <f>-'Batt IN'!$E$49</f>
        <v>-2250</v>
      </c>
      <c r="BX12" s="2">
        <f>IF('Batt IN'!$H$50="No",-(BC12*'Batt IN'!$E$50),-(BC12+BE12)*'Batt IN'!$E$50)</f>
        <v>0</v>
      </c>
      <c r="BY12" s="2">
        <f>IF(C12='Batt IN'!$H$43*12,-'Batt IN'!$E$43,0)</f>
        <v>0</v>
      </c>
      <c r="BZ12" s="38"/>
      <c r="CA12" s="10">
        <f t="shared" si="0"/>
        <v>13817.323408333334</v>
      </c>
      <c r="CB12" s="2">
        <f t="shared" si="6"/>
        <v>-3063.06265108561</v>
      </c>
      <c r="CC12" s="45">
        <f t="shared" si="7"/>
        <v>10754.260757247725</v>
      </c>
      <c r="CD12" s="43"/>
      <c r="CE12" s="2">
        <f t="shared" si="8"/>
        <v>0</v>
      </c>
      <c r="CF12" s="2">
        <f t="shared" si="9"/>
        <v>-3063.06265108561</v>
      </c>
      <c r="CG12" s="2"/>
      <c r="CH12" s="2">
        <f t="shared" si="10"/>
        <v>-3063.06265108561</v>
      </c>
      <c r="CI12" s="45">
        <f>-CH12*'Batt IN'!$E$7</f>
        <v>643.24315672797809</v>
      </c>
      <c r="CJ12" s="48"/>
      <c r="CK12" s="45">
        <f>IF('Batt IN'!$F$4="PV Only",0,IF(C12&gt;'Batt IN'!$H$43*12,0,CC12+CI12))</f>
        <v>0</v>
      </c>
      <c r="CM12" s="10">
        <f t="shared" si="11"/>
        <v>0</v>
      </c>
      <c r="CN12" s="2">
        <f>CK12/(1+('Batt IN'!$G$8))^(C12)</f>
        <v>0</v>
      </c>
      <c r="CO12" s="2">
        <f>IF(C12&lt;='Batt IN'!$O$30*12,CN12+CO11,NA())</f>
        <v>0</v>
      </c>
      <c r="CQ12" s="2">
        <f>CK12/((1+('Batt IN'!$E$8/12))^BattCalcs!C12)</f>
        <v>0</v>
      </c>
      <c r="CS12" s="10">
        <f t="shared" si="12"/>
        <v>-3063.06265108561</v>
      </c>
      <c r="CT12" s="10">
        <f t="shared" si="13"/>
        <v>0</v>
      </c>
      <c r="CU12" s="10">
        <f t="shared" si="14"/>
        <v>-3063.06265108561</v>
      </c>
      <c r="CV12" s="10">
        <f t="shared" si="15"/>
        <v>-3063.06265108561</v>
      </c>
      <c r="CW12" s="2">
        <f t="shared" si="1"/>
        <v>0</v>
      </c>
      <c r="CX12" s="2">
        <f>-(SUM(CV12:CW12)*'PV IN'!$E$8)</f>
        <v>643.24315672797809</v>
      </c>
      <c r="CY12" s="2">
        <f t="shared" si="16"/>
        <v>-2419.8194943576318</v>
      </c>
      <c r="CZ12" s="2">
        <f>IF(C12&lt;='Batt IN'!$H$43*12,CY12/(1+('PV IN'!$G$9))^(C12),0)</f>
        <v>-2342.3768744901486</v>
      </c>
      <c r="DA12" s="33">
        <f>IF(C12&lt;='Batt IN'!$H$43*12,AE12,0)</f>
        <v>36250.116666666669</v>
      </c>
    </row>
    <row r="13" spans="1:105" x14ac:dyDescent="0.25">
      <c r="A13">
        <f>IF(C13&lt;='Batt IN'!$H$43*12,C13,"")</f>
        <v>9</v>
      </c>
      <c r="C13">
        <v>9</v>
      </c>
      <c r="D13" s="21">
        <v>730</v>
      </c>
      <c r="E13" s="1">
        <f>1-'Batt IN'!$E$31</f>
        <v>2.0000000000000018E-2</v>
      </c>
      <c r="F13" s="12">
        <f>('Batt IN'!$E$33*365)/8760</f>
        <v>0</v>
      </c>
      <c r="G13" s="22">
        <f>'Batt IN'!$E$32/8760</f>
        <v>5.7077625570776253E-3</v>
      </c>
      <c r="H13" s="22">
        <f>'Batt IN'!$E$13/8760</f>
        <v>5.5936073059360729E-3</v>
      </c>
      <c r="I13" s="23">
        <f>IF(C13&lt;='Batt IN'!$G$14*12,'Batt IN'!$E$15/8760*'Batt IN'!$G$15,0)</f>
        <v>6.8493150684931503E-3</v>
      </c>
      <c r="J13" s="12">
        <f>Z13/'Batt IN'!$E$27/730</f>
        <v>2.4999999999999996E-3</v>
      </c>
      <c r="K13" s="23">
        <f>AA13/'Batt IN'!$E$27/730</f>
        <v>1.6027397260273972E-3</v>
      </c>
      <c r="L13" s="23">
        <f>AB13/'Batt IN'!$E$27/730</f>
        <v>2.0547945205479451E-4</v>
      </c>
      <c r="M13" s="23">
        <f>AC13/'Batt IN'!$E$27/730</f>
        <v>4.7945205479452057E-3</v>
      </c>
      <c r="N13" s="23">
        <f>AD13/'Batt IN'!$E$27/730</f>
        <v>3.4246575342465752E-3</v>
      </c>
      <c r="O13" s="12">
        <f t="shared" si="2"/>
        <v>5.0678082191780847E-2</v>
      </c>
      <c r="P13" s="21">
        <f t="shared" si="3"/>
        <v>693.005</v>
      </c>
      <c r="Q13" s="2">
        <f>IF('Batt IN'!$E$27*'Batt IN'!$E$24&lt;='Batt IN'!$E$28,(('Batt IN'!$E$23*'Batt IN'!$E$27*'Batt IN'!$E$24)/1000)*P13,(('Batt IN'!$E$23*'Batt IN'!$E$28*'Batt IN'!$E$24)/1000)*P13)</f>
        <v>11088.08</v>
      </c>
      <c r="R13" s="2"/>
      <c r="S13" s="77">
        <f>IF(C13&lt;='Batt IN'!$G$14*12,'Batt IN'!$E$15/12,0)</f>
        <v>8.3333333333333339</v>
      </c>
      <c r="T13" s="77"/>
      <c r="U13" s="80">
        <f>'Batt IN'!$E$28*('Batt IN'!$G$24/24)*730*(1-O13)</f>
        <v>80850.583333333328</v>
      </c>
      <c r="V13" s="78">
        <f>U13*'Batt IN'!$F$30</f>
        <v>16170.116666666667</v>
      </c>
      <c r="W13" s="78">
        <f>'Batt IN'!$E$28*'Batt IN'!$G$32*('Batt IN'!$E$32/12)*(1+'Batt IN'!$F$30)</f>
        <v>1750.0000000000002</v>
      </c>
      <c r="X13" s="78">
        <f>'Batt IN'!$E$28*'Batt IN'!$G$13*('Batt IN'!$E$13/12)*(1+'Batt IN'!$F$30)</f>
        <v>3184.9999999999995</v>
      </c>
      <c r="Y13" s="33">
        <f>S13*'Batt IN'!$G$15*'Batt IN'!$E$28*(1+'Batt IN'!$F$30)</f>
        <v>6000</v>
      </c>
      <c r="Z13" s="33">
        <f>'Batt IN'!$G$16*365/12*(1+'Batt IN'!$F$30)</f>
        <v>1824.9999999999998</v>
      </c>
      <c r="AA13" s="33">
        <f>'Batt IN'!$G$17*'Batt IN'!$E$18*'Batt IN'!$G$18/12*(1+'Batt IN'!$F$30)</f>
        <v>1170</v>
      </c>
      <c r="AB13" s="33">
        <f>'Batt IN'!$G$19*'Batt IN'!$E$20*'Batt IN'!$G$20/12*(1+'Batt IN'!$F$30)</f>
        <v>150</v>
      </c>
      <c r="AC13" s="33">
        <f>'Batt IN'!$G$21*(1+'Batt IN'!$F$30)/12</f>
        <v>3500</v>
      </c>
      <c r="AD13" s="33">
        <f>'Batt IN'!$G$22*(1+'Batt IN'!$F$30)/12</f>
        <v>2500</v>
      </c>
      <c r="AE13" s="33">
        <f t="shared" si="4"/>
        <v>36250.116666666669</v>
      </c>
      <c r="AF13" s="33">
        <f>IF('PV IN'!$F$4="Battery Only",0,AE13*'Batt IN'!$E$29)</f>
        <v>30812.599166666667</v>
      </c>
      <c r="AG13" s="33">
        <f>PVCalcs!L13</f>
        <v>30812.599166666667</v>
      </c>
      <c r="AH13" s="33">
        <f t="shared" si="5"/>
        <v>5437.5175000000017</v>
      </c>
      <c r="AI13" s="33"/>
      <c r="AJ13" s="2">
        <f>IF(AND('Batt IN'!$D$53="Yes",$AL$1&gt;=1),IF($C13='Batt IN'!$H$54*12,-'Batt IN'!$F$54,0),0)</f>
        <v>0</v>
      </c>
      <c r="AK13" s="2">
        <f>IF(AND('Batt IN'!$D$53="Yes",$AL$1&gt;=2),IF($C13='Batt IN'!$H$55*12,-'Batt IN'!$F$55,0),0)</f>
        <v>0</v>
      </c>
      <c r="AL13" s="2">
        <f>IF(AND('Batt IN'!$D$53="Yes",$AL$1&gt;=3),IF($C13='Batt IN'!$H$56*12,-'Batt IN'!$F$56,0),0)</f>
        <v>0</v>
      </c>
      <c r="AM13" s="2">
        <f>IF(AND('Batt IN'!$D$53="Yes",$AL$1&gt;=4),IF($C13='Batt IN'!$H$57*12,-'Batt IN'!$F$57,0),0)</f>
        <v>0</v>
      </c>
      <c r="AN13" s="2">
        <f>IF(AND('Batt IN'!$D$53="Yes",$AL$1&gt;=5),IF($C13='Batt IN'!$H$58*12,-'Batt IN'!$F$58,0),0)</f>
        <v>0</v>
      </c>
      <c r="AO13" s="10">
        <f>IF(AND('Batt IN'!$D$44="YES",$C13&lt;='Batt IN'!$E$44*12),-'Batt IN'!$E$28*'Batt IN'!$E$42/12,0)</f>
        <v>0</v>
      </c>
      <c r="AP13" s="10">
        <f>IF(AND('Batt IN'!$D$46="YES",$C13&lt;='Batt IN'!$E$46*12),-'Batt IN'!$E$28*'Batt IN'!$E$45/12,0)</f>
        <v>0</v>
      </c>
      <c r="AR13" s="10">
        <f>BattLoan!M40</f>
        <v>0</v>
      </c>
      <c r="AS13" s="10">
        <f>'Batt IN'!$G$16*365/12*'Batt IN'!$E$16</f>
        <v>76.041666666666671</v>
      </c>
      <c r="AT13" s="10">
        <f>IF(AND('Batt IN'!$E$18&gt;0,'Batt IN'!$G$18&gt;0),'Batt IN'!$E$17*'Batt IN'!$G$17,0)</f>
        <v>119.44619999999999</v>
      </c>
      <c r="AU13" s="10">
        <f>IF(AND('Batt IN'!$E$20&gt;0,'Batt IN'!$G$20&gt;0),'Batt IN'!$E$19*'Batt IN'!$G$19,0)</f>
        <v>231</v>
      </c>
      <c r="AV13" s="10"/>
      <c r="AW13" s="10"/>
      <c r="AX13" s="10">
        <f>IF('Batt IN'!$E$11="Non-Taxable",Q13,0)</f>
        <v>11088.08</v>
      </c>
      <c r="AY13" s="10">
        <f>IF('Batt IN'!$E$11="Non-Taxable",'Batt IN'!$E$28/1000*'Batt IN'!$G$13*('Batt IN'!$E$13/12)*'Batt IN'!$E$12,0)</f>
        <v>244.42220833333334</v>
      </c>
      <c r="AZ13" s="10">
        <f>IF('Batt IN'!$E$11="Non-Taxable",$S13*'Batt IN'!$G$15*'Batt IN'!$E$28*'Batt IN'!$E$14/1000,0)</f>
        <v>475</v>
      </c>
      <c r="BA13" s="10">
        <f>IF('Batt IN'!$E$11="Non-Taxable",'Batt IN'!$E$21*'Batt IN'!$G$21/12,0)</f>
        <v>437.5</v>
      </c>
      <c r="BB13" s="10">
        <f>IF('Batt IN'!$E$11="Non-Taxable",'Batt IN'!$E$22*'Batt IN'!$G$22/12,0)</f>
        <v>1145.8333333333335</v>
      </c>
      <c r="BC13" s="10">
        <f>IF('Batt IN'!$E$11="Taxable",Q13,0)</f>
        <v>0</v>
      </c>
      <c r="BD13" s="10">
        <f>IF('Batt IN'!$E$11="Taxable",'Batt IN'!$E$28/1000*'Batt IN'!$G$13*('Batt IN'!$E$13/12)*'Batt IN'!$E$12,0)</f>
        <v>0</v>
      </c>
      <c r="BE13" s="10">
        <f>IF('Batt IN'!$E$11="Taxable",$S13*'Batt IN'!$G$15*'Batt IN'!$E$28*'Batt IN'!$E$14/1000,0)</f>
        <v>0</v>
      </c>
      <c r="BF13" s="10">
        <f>IF('Batt IN'!$E$11="Taxable",'Batt IN'!$E$21*'Batt IN'!$G$21/12,0)</f>
        <v>0</v>
      </c>
      <c r="BG13" s="10">
        <f>IF('Batt IN'!$E$11="Taxable",'Batt IN'!$E$22*'Batt IN'!$G$22/12,0)</f>
        <v>0</v>
      </c>
      <c r="BK13" s="10">
        <f>IF('Batt IN'!$N$18="Yes",-BattLoan!H41,-BattLoan!L41)</f>
        <v>0</v>
      </c>
      <c r="BL13" s="10">
        <f>IF('Batt IN'!$N$18="Yes",-BattLoan!F41,0)</f>
        <v>0</v>
      </c>
      <c r="BM13" s="10">
        <f>IF(AND('Batt IN'!$D$44="YES",$C13&lt;='Batt IN'!$E$44*12),0,-'Batt IN'!$E$28*'Batt IN'!$E$42/12)</f>
        <v>-83.333333333333329</v>
      </c>
      <c r="BN13" s="10">
        <f>IF(AND('Batt IN'!$D$46="YES",$C13&lt;='Batt IN'!$E$46*12),0,-'Batt IN'!$E$28*'Batt IN'!$E$45/12)</f>
        <v>-166.66666666666666</v>
      </c>
      <c r="BO13" s="2">
        <f>IF(AND('Batt IN'!$D$41="YES",BattCalcs!C13=ROUNDUP('Batt IN'!$H$41*12,)),-'Batt IN'!$E$41*'Batt IN'!$E$28,0)</f>
        <v>0</v>
      </c>
      <c r="BP13" s="2">
        <f>IF(AND('Batt IN'!$D$53="Yes",$AL$1&gt;=1),0,IF($C13='Batt IN'!$H$54*12,-'Batt IN'!$F$54,0))</f>
        <v>0</v>
      </c>
      <c r="BQ13" s="2">
        <f>IF(AND('Batt IN'!$D$53="Yes",$AL$1&gt;=2),0,IF($C13='Batt IN'!$H$55*12,-'Batt IN'!$F$55,0))</f>
        <v>0</v>
      </c>
      <c r="BR13" s="2">
        <f>IF(AND('Batt IN'!$D$53="Yes",$AL$1&gt;=3),0,IF($C13='Batt IN'!$H$56*12,-'Batt IN'!$F$56,0))</f>
        <v>0</v>
      </c>
      <c r="BS13" s="2">
        <f>IF(AND('Batt IN'!$D$53="Yes",$AL$1&gt;=4),0,IF($C13='Batt IN'!$H$57*12,-'Batt IN'!$F$57,0))</f>
        <v>0</v>
      </c>
      <c r="BT13" s="2">
        <f>IF(AND('Batt IN'!$D$53="Yes",$AL$1&gt;=5),0,IF($C13='Batt IN'!$H$58*12,-'Batt IN'!$F$58,0))</f>
        <v>0</v>
      </c>
      <c r="BU13" s="2">
        <f>-AH13*PVCalcs!F13</f>
        <v>-413.06265108561007</v>
      </c>
      <c r="BV13" s="2">
        <f>-'Batt IN'!$E$47</f>
        <v>-150</v>
      </c>
      <c r="BW13" s="2">
        <f>-'Batt IN'!$E$49</f>
        <v>-2250</v>
      </c>
      <c r="BX13" s="2">
        <f>IF('Batt IN'!$H$50="No",-(BC13*'Batt IN'!$E$50),-(BC13+BE13)*'Batt IN'!$E$50)</f>
        <v>0</v>
      </c>
      <c r="BY13" s="2">
        <f>IF(C13='Batt IN'!$H$43*12,-'Batt IN'!$E$43,0)</f>
        <v>0</v>
      </c>
      <c r="BZ13" s="38"/>
      <c r="CA13" s="10">
        <f t="shared" si="0"/>
        <v>13817.323408333334</v>
      </c>
      <c r="CB13" s="2">
        <f t="shared" si="6"/>
        <v>-3063.06265108561</v>
      </c>
      <c r="CC13" s="45">
        <f t="shared" si="7"/>
        <v>10754.260757247725</v>
      </c>
      <c r="CD13" s="43"/>
      <c r="CE13" s="2">
        <f t="shared" si="8"/>
        <v>0</v>
      </c>
      <c r="CF13" s="2">
        <f t="shared" si="9"/>
        <v>-3063.06265108561</v>
      </c>
      <c r="CG13" s="2"/>
      <c r="CH13" s="2">
        <f t="shared" si="10"/>
        <v>-3063.06265108561</v>
      </c>
      <c r="CI13" s="45">
        <f>-CH13*'Batt IN'!$E$7</f>
        <v>643.24315672797809</v>
      </c>
      <c r="CJ13" s="48"/>
      <c r="CK13" s="45">
        <f>IF('Batt IN'!$F$4="PV Only",0,IF(C13&gt;'Batt IN'!$H$43*12,0,CC13+CI13))</f>
        <v>0</v>
      </c>
      <c r="CM13" s="10">
        <f t="shared" si="11"/>
        <v>0</v>
      </c>
      <c r="CN13" s="2">
        <f>CK13/(1+('Batt IN'!$G$8))^(C13)</f>
        <v>0</v>
      </c>
      <c r="CO13" s="2">
        <f>IF(C13&lt;='Batt IN'!$O$30*12,CN13+CO12,NA())</f>
        <v>0</v>
      </c>
      <c r="CQ13" s="2">
        <f>CK13/((1+('Batt IN'!$E$8/12))^BattCalcs!C13)</f>
        <v>0</v>
      </c>
      <c r="CS13" s="10">
        <f t="shared" si="12"/>
        <v>-3063.06265108561</v>
      </c>
      <c r="CT13" s="10">
        <f t="shared" si="13"/>
        <v>0</v>
      </c>
      <c r="CU13" s="10">
        <f t="shared" si="14"/>
        <v>-3063.06265108561</v>
      </c>
      <c r="CV13" s="10">
        <f t="shared" si="15"/>
        <v>-3063.06265108561</v>
      </c>
      <c r="CW13" s="2">
        <f t="shared" si="1"/>
        <v>0</v>
      </c>
      <c r="CX13" s="2">
        <f>-(SUM(CV13:CW13)*'PV IN'!$E$8)</f>
        <v>643.24315672797809</v>
      </c>
      <c r="CY13" s="2">
        <f t="shared" si="16"/>
        <v>-2419.8194943576318</v>
      </c>
      <c r="CZ13" s="2">
        <f>IF(C13&lt;='Batt IN'!$H$43*12,CY13/(1+('PV IN'!$G$9))^(C13),0)</f>
        <v>-2332.8724633031866</v>
      </c>
      <c r="DA13" s="33">
        <f>IF(C13&lt;='Batt IN'!$H$43*12,AE13,0)</f>
        <v>36250.116666666669</v>
      </c>
    </row>
    <row r="14" spans="1:105" x14ac:dyDescent="0.25">
      <c r="A14">
        <f>IF(C14&lt;='Batt IN'!$H$43*12,C14,"")</f>
        <v>10</v>
      </c>
      <c r="C14">
        <v>10</v>
      </c>
      <c r="D14" s="21">
        <v>730</v>
      </c>
      <c r="E14" s="1">
        <f>1-'Batt IN'!$E$31</f>
        <v>2.0000000000000018E-2</v>
      </c>
      <c r="F14" s="12">
        <f>('Batt IN'!$E$33*365)/8760</f>
        <v>0</v>
      </c>
      <c r="G14" s="22">
        <f>'Batt IN'!$E$32/8760</f>
        <v>5.7077625570776253E-3</v>
      </c>
      <c r="H14" s="22">
        <f>'Batt IN'!$E$13/8760</f>
        <v>5.5936073059360729E-3</v>
      </c>
      <c r="I14" s="23">
        <f>IF(C14&lt;='Batt IN'!$G$14*12,'Batt IN'!$E$15/8760*'Batt IN'!$G$15,0)</f>
        <v>6.8493150684931503E-3</v>
      </c>
      <c r="J14" s="12">
        <f>Z14/'Batt IN'!$E$27/730</f>
        <v>2.4999999999999996E-3</v>
      </c>
      <c r="K14" s="23">
        <f>AA14/'Batt IN'!$E$27/730</f>
        <v>1.6027397260273972E-3</v>
      </c>
      <c r="L14" s="23">
        <f>AB14/'Batt IN'!$E$27/730</f>
        <v>2.0547945205479451E-4</v>
      </c>
      <c r="M14" s="23">
        <f>AC14/'Batt IN'!$E$27/730</f>
        <v>4.7945205479452057E-3</v>
      </c>
      <c r="N14" s="23">
        <f>AD14/'Batt IN'!$E$27/730</f>
        <v>3.4246575342465752E-3</v>
      </c>
      <c r="O14" s="12">
        <f t="shared" si="2"/>
        <v>5.0678082191780847E-2</v>
      </c>
      <c r="P14" s="21">
        <f t="shared" si="3"/>
        <v>693.005</v>
      </c>
      <c r="Q14" s="2">
        <f>IF('Batt IN'!$E$27*'Batt IN'!$E$24&lt;='Batt IN'!$E$28,(('Batt IN'!$E$23*'Batt IN'!$E$27*'Batt IN'!$E$24)/1000)*P14,(('Batt IN'!$E$23*'Batt IN'!$E$28*'Batt IN'!$E$24)/1000)*P14)</f>
        <v>11088.08</v>
      </c>
      <c r="R14" s="2"/>
      <c r="S14" s="77">
        <f>IF(C14&lt;='Batt IN'!$G$14*12,'Batt IN'!$E$15/12,0)</f>
        <v>8.3333333333333339</v>
      </c>
      <c r="T14" s="77"/>
      <c r="U14" s="80">
        <f>'Batt IN'!$E$28*('Batt IN'!$G$24/24)*730*(1-O14)</f>
        <v>80850.583333333328</v>
      </c>
      <c r="V14" s="78">
        <f>U14*'Batt IN'!$F$30</f>
        <v>16170.116666666667</v>
      </c>
      <c r="W14" s="78">
        <f>'Batt IN'!$E$28*'Batt IN'!$G$32*('Batt IN'!$E$32/12)*(1+'Batt IN'!$F$30)</f>
        <v>1750.0000000000002</v>
      </c>
      <c r="X14" s="78">
        <f>'Batt IN'!$E$28*'Batt IN'!$G$13*('Batt IN'!$E$13/12)*(1+'Batt IN'!$F$30)</f>
        <v>3184.9999999999995</v>
      </c>
      <c r="Y14" s="33">
        <f>S14*'Batt IN'!$G$15*'Batt IN'!$E$28*(1+'Batt IN'!$F$30)</f>
        <v>6000</v>
      </c>
      <c r="Z14" s="33">
        <f>'Batt IN'!$G$16*365/12*(1+'Batt IN'!$F$30)</f>
        <v>1824.9999999999998</v>
      </c>
      <c r="AA14" s="33">
        <f>'Batt IN'!$G$17*'Batt IN'!$E$18*'Batt IN'!$G$18/12*(1+'Batt IN'!$F$30)</f>
        <v>1170</v>
      </c>
      <c r="AB14" s="33">
        <f>'Batt IN'!$G$19*'Batt IN'!$E$20*'Batt IN'!$G$20/12*(1+'Batt IN'!$F$30)</f>
        <v>150</v>
      </c>
      <c r="AC14" s="33">
        <f>'Batt IN'!$G$21*(1+'Batt IN'!$F$30)/12</f>
        <v>3500</v>
      </c>
      <c r="AD14" s="33">
        <f>'Batt IN'!$G$22*(1+'Batt IN'!$F$30)/12</f>
        <v>2500</v>
      </c>
      <c r="AE14" s="33">
        <f t="shared" si="4"/>
        <v>36250.116666666669</v>
      </c>
      <c r="AF14" s="33">
        <f>IF('PV IN'!$F$4="Battery Only",0,AE14*'Batt IN'!$E$29)</f>
        <v>30812.599166666667</v>
      </c>
      <c r="AG14" s="33">
        <f>PVCalcs!L14</f>
        <v>30812.599166666667</v>
      </c>
      <c r="AH14" s="33">
        <f t="shared" si="5"/>
        <v>5437.5175000000017</v>
      </c>
      <c r="AI14" s="33"/>
      <c r="AJ14" s="2">
        <f>IF(AND('Batt IN'!$D$53="Yes",$AL$1&gt;=1),IF($C14='Batt IN'!$H$54*12,-'Batt IN'!$F$54,0),0)</f>
        <v>0</v>
      </c>
      <c r="AK14" s="2">
        <f>IF(AND('Batt IN'!$D$53="Yes",$AL$1&gt;=2),IF($C14='Batt IN'!$H$55*12,-'Batt IN'!$F$55,0),0)</f>
        <v>0</v>
      </c>
      <c r="AL14" s="2">
        <f>IF(AND('Batt IN'!$D$53="Yes",$AL$1&gt;=3),IF($C14='Batt IN'!$H$56*12,-'Batt IN'!$F$56,0),0)</f>
        <v>0</v>
      </c>
      <c r="AM14" s="2">
        <f>IF(AND('Batt IN'!$D$53="Yes",$AL$1&gt;=4),IF($C14='Batt IN'!$H$57*12,-'Batt IN'!$F$57,0),0)</f>
        <v>0</v>
      </c>
      <c r="AN14" s="2">
        <f>IF(AND('Batt IN'!$D$53="Yes",$AL$1&gt;=5),IF($C14='Batt IN'!$H$58*12,-'Batt IN'!$F$58,0),0)</f>
        <v>0</v>
      </c>
      <c r="AO14" s="10">
        <f>IF(AND('Batt IN'!$D$44="YES",$C14&lt;='Batt IN'!$E$44*12),-'Batt IN'!$E$28*'Batt IN'!$E$42/12,0)</f>
        <v>0</v>
      </c>
      <c r="AP14" s="10">
        <f>IF(AND('Batt IN'!$D$46="YES",$C14&lt;='Batt IN'!$E$46*12),-'Batt IN'!$E$28*'Batt IN'!$E$45/12,0)</f>
        <v>0</v>
      </c>
      <c r="AR14" s="10">
        <f>BattLoan!M41</f>
        <v>0</v>
      </c>
      <c r="AS14" s="10">
        <f>'Batt IN'!$G$16*365/12*'Batt IN'!$E$16</f>
        <v>76.041666666666671</v>
      </c>
      <c r="AT14" s="10">
        <f>IF(AND('Batt IN'!$E$18&gt;0,'Batt IN'!$G$18&gt;0),'Batt IN'!$E$17*'Batt IN'!$G$17,0)</f>
        <v>119.44619999999999</v>
      </c>
      <c r="AU14" s="10">
        <f>IF(AND('Batt IN'!$E$20&gt;0,'Batt IN'!$G$20&gt;0),'Batt IN'!$E$19*'Batt IN'!$G$19,0)</f>
        <v>231</v>
      </c>
      <c r="AV14" s="10"/>
      <c r="AW14" s="10"/>
      <c r="AX14" s="10">
        <f>IF('Batt IN'!$E$11="Non-Taxable",Q14,0)</f>
        <v>11088.08</v>
      </c>
      <c r="AY14" s="10">
        <f>IF('Batt IN'!$E$11="Non-Taxable",'Batt IN'!$E$28/1000*'Batt IN'!$G$13*('Batt IN'!$E$13/12)*'Batt IN'!$E$12,0)</f>
        <v>244.42220833333334</v>
      </c>
      <c r="AZ14" s="10">
        <f>IF('Batt IN'!$E$11="Non-Taxable",$S14*'Batt IN'!$G$15*'Batt IN'!$E$28*'Batt IN'!$E$14/1000,0)</f>
        <v>475</v>
      </c>
      <c r="BA14" s="10">
        <f>IF('Batt IN'!$E$11="Non-Taxable",'Batt IN'!$E$21*'Batt IN'!$G$21/12,0)</f>
        <v>437.5</v>
      </c>
      <c r="BB14" s="10">
        <f>IF('Batt IN'!$E$11="Non-Taxable",'Batt IN'!$E$22*'Batt IN'!$G$22/12,0)</f>
        <v>1145.8333333333335</v>
      </c>
      <c r="BC14" s="10">
        <f>IF('Batt IN'!$E$11="Taxable",Q14,0)</f>
        <v>0</v>
      </c>
      <c r="BD14" s="10">
        <f>IF('Batt IN'!$E$11="Taxable",'Batt IN'!$E$28/1000*'Batt IN'!$G$13*('Batt IN'!$E$13/12)*'Batt IN'!$E$12,0)</f>
        <v>0</v>
      </c>
      <c r="BE14" s="10">
        <f>IF('Batt IN'!$E$11="Taxable",$S14*'Batt IN'!$G$15*'Batt IN'!$E$28*'Batt IN'!$E$14/1000,0)</f>
        <v>0</v>
      </c>
      <c r="BF14" s="10">
        <f>IF('Batt IN'!$E$11="Taxable",'Batt IN'!$E$21*'Batt IN'!$G$21/12,0)</f>
        <v>0</v>
      </c>
      <c r="BG14" s="10">
        <f>IF('Batt IN'!$E$11="Taxable",'Batt IN'!$E$22*'Batt IN'!$G$22/12,0)</f>
        <v>0</v>
      </c>
      <c r="BK14" s="10">
        <f>IF('Batt IN'!$N$18="Yes",-BattLoan!H42,-BattLoan!L42)</f>
        <v>0</v>
      </c>
      <c r="BL14" s="10">
        <f>IF('Batt IN'!$N$18="Yes",-BattLoan!F42,0)</f>
        <v>0</v>
      </c>
      <c r="BM14" s="10">
        <f>IF(AND('Batt IN'!$D$44="YES",$C14&lt;='Batt IN'!$E$44*12),0,-'Batt IN'!$E$28*'Batt IN'!$E$42/12)</f>
        <v>-83.333333333333329</v>
      </c>
      <c r="BN14" s="10">
        <f>IF(AND('Batt IN'!$D$46="YES",$C14&lt;='Batt IN'!$E$46*12),0,-'Batt IN'!$E$28*'Batt IN'!$E$45/12)</f>
        <v>-166.66666666666666</v>
      </c>
      <c r="BO14" s="2">
        <f>IF(AND('Batt IN'!$D$41="YES",BattCalcs!C14=ROUNDUP('Batt IN'!$H$41*12,)),-'Batt IN'!$E$41*'Batt IN'!$E$28,0)</f>
        <v>0</v>
      </c>
      <c r="BP14" s="2">
        <f>IF(AND('Batt IN'!$D$53="Yes",$AL$1&gt;=1),0,IF($C14='Batt IN'!$H$54*12,-'Batt IN'!$F$54,0))</f>
        <v>0</v>
      </c>
      <c r="BQ14" s="2">
        <f>IF(AND('Batt IN'!$D$53="Yes",$AL$1&gt;=2),0,IF($C14='Batt IN'!$H$55*12,-'Batt IN'!$F$55,0))</f>
        <v>0</v>
      </c>
      <c r="BR14" s="2">
        <f>IF(AND('Batt IN'!$D$53="Yes",$AL$1&gt;=3),0,IF($C14='Batt IN'!$H$56*12,-'Batt IN'!$F$56,0))</f>
        <v>0</v>
      </c>
      <c r="BS14" s="2">
        <f>IF(AND('Batt IN'!$D$53="Yes",$AL$1&gt;=4),0,IF($C14='Batt IN'!$H$57*12,-'Batt IN'!$F$57,0))</f>
        <v>0</v>
      </c>
      <c r="BT14" s="2">
        <f>IF(AND('Batt IN'!$D$53="Yes",$AL$1&gt;=5),0,IF($C14='Batt IN'!$H$58*12,-'Batt IN'!$F$58,0))</f>
        <v>0</v>
      </c>
      <c r="BU14" s="2">
        <f>-AH14*PVCalcs!F14</f>
        <v>-413.06265108561007</v>
      </c>
      <c r="BV14" s="2">
        <f>-'Batt IN'!$E$47</f>
        <v>-150</v>
      </c>
      <c r="BW14" s="2">
        <f>-'Batt IN'!$E$49</f>
        <v>-2250</v>
      </c>
      <c r="BX14" s="2">
        <f>IF('Batt IN'!$H$50="No",-(BC14*'Batt IN'!$E$50),-(BC14+BE14)*'Batt IN'!$E$50)</f>
        <v>0</v>
      </c>
      <c r="BY14" s="2">
        <f>IF(C14='Batt IN'!$H$43*12,-'Batt IN'!$E$43,0)</f>
        <v>0</v>
      </c>
      <c r="BZ14" s="38"/>
      <c r="CA14" s="10">
        <f t="shared" si="0"/>
        <v>13817.323408333334</v>
      </c>
      <c r="CB14" s="2">
        <f t="shared" si="6"/>
        <v>-3063.06265108561</v>
      </c>
      <c r="CC14" s="45">
        <f t="shared" si="7"/>
        <v>10754.260757247725</v>
      </c>
      <c r="CD14" s="43"/>
      <c r="CE14" s="2">
        <f t="shared" si="8"/>
        <v>0</v>
      </c>
      <c r="CF14" s="2">
        <f t="shared" si="9"/>
        <v>-3063.06265108561</v>
      </c>
      <c r="CG14" s="2"/>
      <c r="CH14" s="2">
        <f t="shared" si="10"/>
        <v>-3063.06265108561</v>
      </c>
      <c r="CI14" s="45">
        <f>-CH14*'Batt IN'!$E$7</f>
        <v>643.24315672797809</v>
      </c>
      <c r="CJ14" s="48"/>
      <c r="CK14" s="45">
        <f>IF('Batt IN'!$F$4="PV Only",0,IF(C14&gt;'Batt IN'!$H$43*12,0,CC14+CI14))</f>
        <v>0</v>
      </c>
      <c r="CM14" s="10">
        <f t="shared" si="11"/>
        <v>0</v>
      </c>
      <c r="CN14" s="2">
        <f>CK14/(1+('Batt IN'!$G$8))^(C14)</f>
        <v>0</v>
      </c>
      <c r="CO14" s="2">
        <f>IF(C14&lt;='Batt IN'!$O$30*12,CN14+CO13,NA())</f>
        <v>0</v>
      </c>
      <c r="CQ14" s="2">
        <f>CK14/((1+('Batt IN'!$E$8/12))^BattCalcs!C14)</f>
        <v>0</v>
      </c>
      <c r="CS14" s="10">
        <f t="shared" si="12"/>
        <v>-3063.06265108561</v>
      </c>
      <c r="CT14" s="10">
        <f t="shared" si="13"/>
        <v>0</v>
      </c>
      <c r="CU14" s="10">
        <f t="shared" si="14"/>
        <v>-3063.06265108561</v>
      </c>
      <c r="CV14" s="10">
        <f t="shared" si="15"/>
        <v>-3063.06265108561</v>
      </c>
      <c r="CW14" s="2">
        <f t="shared" si="1"/>
        <v>0</v>
      </c>
      <c r="CX14" s="2">
        <f>-(SUM(CV14:CW14)*'PV IN'!$E$8)</f>
        <v>643.24315672797809</v>
      </c>
      <c r="CY14" s="2">
        <f t="shared" si="16"/>
        <v>-2419.8194943576318</v>
      </c>
      <c r="CZ14" s="2">
        <f>IF(C14&lt;='Batt IN'!$H$43*12,CY14/(1+('PV IN'!$G$9))^(C14),0)</f>
        <v>-2323.4066171451891</v>
      </c>
      <c r="DA14" s="33">
        <f>IF(C14&lt;='Batt IN'!$H$43*12,AE14,0)</f>
        <v>36250.116666666669</v>
      </c>
    </row>
    <row r="15" spans="1:105" x14ac:dyDescent="0.25">
      <c r="A15">
        <f>IF(C15&lt;='Batt IN'!$H$43*12,C15,"")</f>
        <v>11</v>
      </c>
      <c r="C15">
        <v>11</v>
      </c>
      <c r="D15" s="21">
        <v>730</v>
      </c>
      <c r="E15" s="1">
        <f>1-'Batt IN'!$E$31</f>
        <v>2.0000000000000018E-2</v>
      </c>
      <c r="F15" s="12">
        <f>('Batt IN'!$E$33*365)/8760</f>
        <v>0</v>
      </c>
      <c r="G15" s="22">
        <f>'Batt IN'!$E$32/8760</f>
        <v>5.7077625570776253E-3</v>
      </c>
      <c r="H15" s="22">
        <f>'Batt IN'!$E$13/8760</f>
        <v>5.5936073059360729E-3</v>
      </c>
      <c r="I15" s="23">
        <f>IF(C15&lt;='Batt IN'!$G$14*12,'Batt IN'!$E$15/8760*'Batt IN'!$G$15,0)</f>
        <v>6.8493150684931503E-3</v>
      </c>
      <c r="J15" s="12">
        <f>Z15/'Batt IN'!$E$27/730</f>
        <v>2.4999999999999996E-3</v>
      </c>
      <c r="K15" s="23">
        <f>AA15/'Batt IN'!$E$27/730</f>
        <v>1.6027397260273972E-3</v>
      </c>
      <c r="L15" s="23">
        <f>AB15/'Batt IN'!$E$27/730</f>
        <v>2.0547945205479451E-4</v>
      </c>
      <c r="M15" s="23">
        <f>AC15/'Batt IN'!$E$27/730</f>
        <v>4.7945205479452057E-3</v>
      </c>
      <c r="N15" s="23">
        <f>AD15/'Batt IN'!$E$27/730</f>
        <v>3.4246575342465752E-3</v>
      </c>
      <c r="O15" s="12">
        <f t="shared" si="2"/>
        <v>5.0678082191780847E-2</v>
      </c>
      <c r="P15" s="21">
        <f t="shared" si="3"/>
        <v>693.005</v>
      </c>
      <c r="Q15" s="2">
        <f>IF('Batt IN'!$E$27*'Batt IN'!$E$24&lt;='Batt IN'!$E$28,(('Batt IN'!$E$23*'Batt IN'!$E$27*'Batt IN'!$E$24)/1000)*P15,(('Batt IN'!$E$23*'Batt IN'!$E$28*'Batt IN'!$E$24)/1000)*P15)</f>
        <v>11088.08</v>
      </c>
      <c r="R15" s="2"/>
      <c r="S15" s="77">
        <f>IF(C15&lt;='Batt IN'!$G$14*12,'Batt IN'!$E$15/12,0)</f>
        <v>8.3333333333333339</v>
      </c>
      <c r="T15" s="77"/>
      <c r="U15" s="80">
        <f>'Batt IN'!$E$28*('Batt IN'!$G$24/24)*730*(1-O15)</f>
        <v>80850.583333333328</v>
      </c>
      <c r="V15" s="78">
        <f>U15*'Batt IN'!$F$30</f>
        <v>16170.116666666667</v>
      </c>
      <c r="W15" s="78">
        <f>'Batt IN'!$E$28*'Batt IN'!$G$32*('Batt IN'!$E$32/12)*(1+'Batt IN'!$F$30)</f>
        <v>1750.0000000000002</v>
      </c>
      <c r="X15" s="78">
        <f>'Batt IN'!$E$28*'Batt IN'!$G$13*('Batt IN'!$E$13/12)*(1+'Batt IN'!$F$30)</f>
        <v>3184.9999999999995</v>
      </c>
      <c r="Y15" s="33">
        <f>S15*'Batt IN'!$G$15*'Batt IN'!$E$28*(1+'Batt IN'!$F$30)</f>
        <v>6000</v>
      </c>
      <c r="Z15" s="33">
        <f>'Batt IN'!$G$16*365/12*(1+'Batt IN'!$F$30)</f>
        <v>1824.9999999999998</v>
      </c>
      <c r="AA15" s="33">
        <f>'Batt IN'!$G$17*'Batt IN'!$E$18*'Batt IN'!$G$18/12*(1+'Batt IN'!$F$30)</f>
        <v>1170</v>
      </c>
      <c r="AB15" s="33">
        <f>'Batt IN'!$G$19*'Batt IN'!$E$20*'Batt IN'!$G$20/12*(1+'Batt IN'!$F$30)</f>
        <v>150</v>
      </c>
      <c r="AC15" s="33">
        <f>'Batt IN'!$G$21*(1+'Batt IN'!$F$30)/12</f>
        <v>3500</v>
      </c>
      <c r="AD15" s="33">
        <f>'Batt IN'!$G$22*(1+'Batt IN'!$F$30)/12</f>
        <v>2500</v>
      </c>
      <c r="AE15" s="33">
        <f t="shared" si="4"/>
        <v>36250.116666666669</v>
      </c>
      <c r="AF15" s="33">
        <f>IF('PV IN'!$F$4="Battery Only",0,AE15*'Batt IN'!$E$29)</f>
        <v>30812.599166666667</v>
      </c>
      <c r="AG15" s="33">
        <f>PVCalcs!L15</f>
        <v>30812.599166666667</v>
      </c>
      <c r="AH15" s="33">
        <f t="shared" si="5"/>
        <v>5437.5175000000017</v>
      </c>
      <c r="AI15" s="33"/>
      <c r="AJ15" s="2">
        <f>IF(AND('Batt IN'!$D$53="Yes",$AL$1&gt;=1),IF($C15='Batt IN'!$H$54*12,-'Batt IN'!$F$54,0),0)</f>
        <v>0</v>
      </c>
      <c r="AK15" s="2">
        <f>IF(AND('Batt IN'!$D$53="Yes",$AL$1&gt;=2),IF($C15='Batt IN'!$H$55*12,-'Batt IN'!$F$55,0),0)</f>
        <v>0</v>
      </c>
      <c r="AL15" s="2">
        <f>IF(AND('Batt IN'!$D$53="Yes",$AL$1&gt;=3),IF($C15='Batt IN'!$H$56*12,-'Batt IN'!$F$56,0),0)</f>
        <v>0</v>
      </c>
      <c r="AM15" s="2">
        <f>IF(AND('Batt IN'!$D$53="Yes",$AL$1&gt;=4),IF($C15='Batt IN'!$H$57*12,-'Batt IN'!$F$57,0),0)</f>
        <v>0</v>
      </c>
      <c r="AN15" s="2">
        <f>IF(AND('Batt IN'!$D$53="Yes",$AL$1&gt;=5),IF($C15='Batt IN'!$H$58*12,-'Batt IN'!$F$58,0),0)</f>
        <v>0</v>
      </c>
      <c r="AO15" s="10">
        <f>IF(AND('Batt IN'!$D$44="YES",$C15&lt;='Batt IN'!$E$44*12),-'Batt IN'!$E$28*'Batt IN'!$E$42/12,0)</f>
        <v>0</v>
      </c>
      <c r="AP15" s="10">
        <f>IF(AND('Batt IN'!$D$46="YES",$C15&lt;='Batt IN'!$E$46*12),-'Batt IN'!$E$28*'Batt IN'!$E$45/12,0)</f>
        <v>0</v>
      </c>
      <c r="AR15" s="10">
        <f>BattLoan!M42</f>
        <v>0</v>
      </c>
      <c r="AS15" s="10">
        <f>'Batt IN'!$G$16*365/12*'Batt IN'!$E$16</f>
        <v>76.041666666666671</v>
      </c>
      <c r="AT15" s="10">
        <f>IF(AND('Batt IN'!$E$18&gt;0,'Batt IN'!$G$18&gt;0),'Batt IN'!$E$17*'Batt IN'!$G$17,0)</f>
        <v>119.44619999999999</v>
      </c>
      <c r="AU15" s="10">
        <f>IF(AND('Batt IN'!$E$20&gt;0,'Batt IN'!$G$20&gt;0),'Batt IN'!$E$19*'Batt IN'!$G$19,0)</f>
        <v>231</v>
      </c>
      <c r="AV15" s="10"/>
      <c r="AW15" s="10"/>
      <c r="AX15" s="10">
        <f>IF('Batt IN'!$E$11="Non-Taxable",Q15,0)</f>
        <v>11088.08</v>
      </c>
      <c r="AY15" s="10">
        <f>IF('Batt IN'!$E$11="Non-Taxable",'Batt IN'!$E$28/1000*'Batt IN'!$G$13*('Batt IN'!$E$13/12)*'Batt IN'!$E$12,0)</f>
        <v>244.42220833333334</v>
      </c>
      <c r="AZ15" s="10">
        <f>IF('Batt IN'!$E$11="Non-Taxable",$S15*'Batt IN'!$G$15*'Batt IN'!$E$28*'Batt IN'!$E$14/1000,0)</f>
        <v>475</v>
      </c>
      <c r="BA15" s="10">
        <f>IF('Batt IN'!$E$11="Non-Taxable",'Batt IN'!$E$21*'Batt IN'!$G$21/12,0)</f>
        <v>437.5</v>
      </c>
      <c r="BB15" s="10">
        <f>IF('Batt IN'!$E$11="Non-Taxable",'Batt IN'!$E$22*'Batt IN'!$G$22/12,0)</f>
        <v>1145.8333333333335</v>
      </c>
      <c r="BC15" s="10">
        <f>IF('Batt IN'!$E$11="Taxable",Q15,0)</f>
        <v>0</v>
      </c>
      <c r="BD15" s="10">
        <f>IF('Batt IN'!$E$11="Taxable",'Batt IN'!$E$28/1000*'Batt IN'!$G$13*('Batt IN'!$E$13/12)*'Batt IN'!$E$12,0)</f>
        <v>0</v>
      </c>
      <c r="BE15" s="10">
        <f>IF('Batt IN'!$E$11="Taxable",$S15*'Batt IN'!$G$15*'Batt IN'!$E$28*'Batt IN'!$E$14/1000,0)</f>
        <v>0</v>
      </c>
      <c r="BF15" s="10">
        <f>IF('Batt IN'!$E$11="Taxable",'Batt IN'!$E$21*'Batt IN'!$G$21/12,0)</f>
        <v>0</v>
      </c>
      <c r="BG15" s="10">
        <f>IF('Batt IN'!$E$11="Taxable",'Batt IN'!$E$22*'Batt IN'!$G$22/12,0)</f>
        <v>0</v>
      </c>
      <c r="BK15" s="10">
        <f>IF('Batt IN'!$N$18="Yes",-BattLoan!H43,-BattLoan!L43)</f>
        <v>0</v>
      </c>
      <c r="BL15" s="10">
        <f>IF('Batt IN'!$N$18="Yes",-BattLoan!F43,0)</f>
        <v>0</v>
      </c>
      <c r="BM15" s="10">
        <f>IF(AND('Batt IN'!$D$44="YES",$C15&lt;='Batt IN'!$E$44*12),0,-'Batt IN'!$E$28*'Batt IN'!$E$42/12)</f>
        <v>-83.333333333333329</v>
      </c>
      <c r="BN15" s="10">
        <f>IF(AND('Batt IN'!$D$46="YES",$C15&lt;='Batt IN'!$E$46*12),0,-'Batt IN'!$E$28*'Batt IN'!$E$45/12)</f>
        <v>-166.66666666666666</v>
      </c>
      <c r="BO15" s="2">
        <f>IF(AND('Batt IN'!$D$41="YES",BattCalcs!C15=ROUNDUP('Batt IN'!$H$41*12,)),-'Batt IN'!$E$41*'Batt IN'!$E$28,0)</f>
        <v>0</v>
      </c>
      <c r="BP15" s="2">
        <f>IF(AND('Batt IN'!$D$53="Yes",$AL$1&gt;=1),0,IF($C15='Batt IN'!$H$54*12,-'Batt IN'!$F$54,0))</f>
        <v>0</v>
      </c>
      <c r="BQ15" s="2">
        <f>IF(AND('Batt IN'!$D$53="Yes",$AL$1&gt;=2),0,IF($C15='Batt IN'!$H$55*12,-'Batt IN'!$F$55,0))</f>
        <v>0</v>
      </c>
      <c r="BR15" s="2">
        <f>IF(AND('Batt IN'!$D$53="Yes",$AL$1&gt;=3),0,IF($C15='Batt IN'!$H$56*12,-'Batt IN'!$F$56,0))</f>
        <v>0</v>
      </c>
      <c r="BS15" s="2">
        <f>IF(AND('Batt IN'!$D$53="Yes",$AL$1&gt;=4),0,IF($C15='Batt IN'!$H$57*12,-'Batt IN'!$F$57,0))</f>
        <v>0</v>
      </c>
      <c r="BT15" s="2">
        <f>IF(AND('Batt IN'!$D$53="Yes",$AL$1&gt;=5),0,IF($C15='Batt IN'!$H$58*12,-'Batt IN'!$F$58,0))</f>
        <v>0</v>
      </c>
      <c r="BU15" s="2">
        <f>-AH15*PVCalcs!F15</f>
        <v>-413.06265108561007</v>
      </c>
      <c r="BV15" s="2">
        <f>-'Batt IN'!$E$47</f>
        <v>-150</v>
      </c>
      <c r="BW15" s="2">
        <f>-'Batt IN'!$E$49</f>
        <v>-2250</v>
      </c>
      <c r="BX15" s="2">
        <f>IF('Batt IN'!$H$50="No",-(BC15*'Batt IN'!$E$50),-(BC15+BE15)*'Batt IN'!$E$50)</f>
        <v>0</v>
      </c>
      <c r="BY15" s="2">
        <f>IF(C15='Batt IN'!$H$43*12,-'Batt IN'!$E$43,0)</f>
        <v>0</v>
      </c>
      <c r="BZ15" s="38"/>
      <c r="CA15" s="10">
        <f t="shared" si="0"/>
        <v>13817.323408333334</v>
      </c>
      <c r="CB15" s="2">
        <f t="shared" si="6"/>
        <v>-3063.06265108561</v>
      </c>
      <c r="CC15" s="45">
        <f t="shared" si="7"/>
        <v>10754.260757247725</v>
      </c>
      <c r="CD15" s="43"/>
      <c r="CE15" s="2">
        <f t="shared" si="8"/>
        <v>0</v>
      </c>
      <c r="CF15" s="2">
        <f t="shared" si="9"/>
        <v>-3063.06265108561</v>
      </c>
      <c r="CG15" s="2"/>
      <c r="CH15" s="2">
        <f t="shared" si="10"/>
        <v>-3063.06265108561</v>
      </c>
      <c r="CI15" s="45">
        <f>-CH15*'Batt IN'!$E$7</f>
        <v>643.24315672797809</v>
      </c>
      <c r="CJ15" s="48"/>
      <c r="CK15" s="45">
        <f>IF('Batt IN'!$F$4="PV Only",0,IF(C15&gt;'Batt IN'!$H$43*12,0,CC15+CI15))</f>
        <v>0</v>
      </c>
      <c r="CM15" s="10">
        <f t="shared" si="11"/>
        <v>0</v>
      </c>
      <c r="CN15" s="2">
        <f>CK15/(1+('Batt IN'!$G$8))^(C15)</f>
        <v>0</v>
      </c>
      <c r="CO15" s="2">
        <f>IF(C15&lt;='Batt IN'!$O$30*12,CN15+CO14,NA())</f>
        <v>0</v>
      </c>
      <c r="CQ15" s="2">
        <f>CK15/((1+('Batt IN'!$E$8/12))^BattCalcs!C15)</f>
        <v>0</v>
      </c>
      <c r="CS15" s="10">
        <f t="shared" si="12"/>
        <v>-3063.06265108561</v>
      </c>
      <c r="CT15" s="10">
        <f t="shared" si="13"/>
        <v>0</v>
      </c>
      <c r="CU15" s="10">
        <f t="shared" si="14"/>
        <v>-3063.06265108561</v>
      </c>
      <c r="CV15" s="10">
        <f t="shared" si="15"/>
        <v>-3063.06265108561</v>
      </c>
      <c r="CW15" s="2">
        <f t="shared" si="1"/>
        <v>0</v>
      </c>
      <c r="CX15" s="2">
        <f>-(SUM(CV15:CW15)*'PV IN'!$E$8)</f>
        <v>643.24315672797809</v>
      </c>
      <c r="CY15" s="2">
        <f t="shared" si="16"/>
        <v>-2419.8194943576318</v>
      </c>
      <c r="CZ15" s="2">
        <f>IF(C15&lt;='Batt IN'!$H$43*12,CY15/(1+('PV IN'!$G$9))^(C15),0)</f>
        <v>-2313.9791795349788</v>
      </c>
      <c r="DA15" s="33">
        <f>IF(C15&lt;='Batt IN'!$H$43*12,AE15,0)</f>
        <v>36250.116666666669</v>
      </c>
    </row>
    <row r="16" spans="1:105" x14ac:dyDescent="0.25">
      <c r="A16">
        <f>IF(C16&lt;='Batt IN'!$H$43*12,C16,"")</f>
        <v>12</v>
      </c>
      <c r="B16">
        <v>1</v>
      </c>
      <c r="C16">
        <v>12</v>
      </c>
      <c r="D16" s="21">
        <v>730</v>
      </c>
      <c r="E16" s="1">
        <f>1-'Batt IN'!$E$31</f>
        <v>2.0000000000000018E-2</v>
      </c>
      <c r="F16" s="12">
        <f>('Batt IN'!$E$33*365)/8760</f>
        <v>0</v>
      </c>
      <c r="G16" s="22">
        <f>'Batt IN'!$E$32/8760</f>
        <v>5.7077625570776253E-3</v>
      </c>
      <c r="H16" s="22">
        <f>'Batt IN'!$E$13/8760</f>
        <v>5.5936073059360729E-3</v>
      </c>
      <c r="I16" s="23">
        <f>IF(C16&lt;='Batt IN'!$G$14*12,'Batt IN'!$E$15/8760*'Batt IN'!$G$15,0)</f>
        <v>6.8493150684931503E-3</v>
      </c>
      <c r="J16" s="12">
        <f>Z16/'Batt IN'!$E$27/730</f>
        <v>2.4999999999999996E-3</v>
      </c>
      <c r="K16" s="23">
        <f>AA16/'Batt IN'!$E$27/730</f>
        <v>1.6027397260273972E-3</v>
      </c>
      <c r="L16" s="23">
        <f>AB16/'Batt IN'!$E$27/730</f>
        <v>2.0547945205479451E-4</v>
      </c>
      <c r="M16" s="23">
        <f>AC16/'Batt IN'!$E$27/730</f>
        <v>4.7945205479452057E-3</v>
      </c>
      <c r="N16" s="23">
        <f>AD16/'Batt IN'!$E$27/730</f>
        <v>3.4246575342465752E-3</v>
      </c>
      <c r="O16" s="12">
        <f t="shared" si="2"/>
        <v>5.0678082191780847E-2</v>
      </c>
      <c r="P16" s="21">
        <f t="shared" si="3"/>
        <v>693.005</v>
      </c>
      <c r="Q16" s="2">
        <f>IF('Batt IN'!$E$27*'Batt IN'!$E$24&lt;='Batt IN'!$E$28,(('Batt IN'!$E$23*'Batt IN'!$E$27*'Batt IN'!$E$24)/1000)*P16,(('Batt IN'!$E$23*'Batt IN'!$E$28*'Batt IN'!$E$24)/1000)*P16)</f>
        <v>11088.08</v>
      </c>
      <c r="R16" s="2"/>
      <c r="S16" s="77">
        <f>IF(C16&lt;='Batt IN'!$G$14*12,'Batt IN'!$E$15/12,0)</f>
        <v>8.3333333333333339</v>
      </c>
      <c r="T16" s="77"/>
      <c r="U16" s="80">
        <f>'Batt IN'!$E$28*('Batt IN'!$G$24/24)*730*(1-O16)</f>
        <v>80850.583333333328</v>
      </c>
      <c r="V16" s="78">
        <f>U16*'Batt IN'!$F$30</f>
        <v>16170.116666666667</v>
      </c>
      <c r="W16" s="78">
        <f>'Batt IN'!$E$28*'Batt IN'!$G$32*('Batt IN'!$E$32/12)*(1+'Batt IN'!$F$30)</f>
        <v>1750.0000000000002</v>
      </c>
      <c r="X16" s="78">
        <f>'Batt IN'!$E$28*'Batt IN'!$G$13*('Batt IN'!$E$13/12)*(1+'Batt IN'!$F$30)</f>
        <v>3184.9999999999995</v>
      </c>
      <c r="Y16" s="33">
        <f>S16*'Batt IN'!$G$15*'Batt IN'!$E$28*(1+'Batt IN'!$F$30)</f>
        <v>6000</v>
      </c>
      <c r="Z16" s="33">
        <f>'Batt IN'!$G$16*365/12*(1+'Batt IN'!$F$30)</f>
        <v>1824.9999999999998</v>
      </c>
      <c r="AA16" s="33">
        <f>'Batt IN'!$G$17*'Batt IN'!$E$18*'Batt IN'!$G$18/12*(1+'Batt IN'!$F$30)</f>
        <v>1170</v>
      </c>
      <c r="AB16" s="33">
        <f>'Batt IN'!$G$19*'Batt IN'!$E$20*'Batt IN'!$G$20/12*(1+'Batt IN'!$F$30)</f>
        <v>150</v>
      </c>
      <c r="AC16" s="33">
        <f>'Batt IN'!$G$21*(1+'Batt IN'!$F$30)/12</f>
        <v>3500</v>
      </c>
      <c r="AD16" s="33">
        <f>'Batt IN'!$G$22*(1+'Batt IN'!$F$30)/12</f>
        <v>2500</v>
      </c>
      <c r="AE16" s="33">
        <f t="shared" si="4"/>
        <v>36250.116666666669</v>
      </c>
      <c r="AF16" s="33">
        <f>IF('PV IN'!$F$4="Battery Only",0,AE16*'Batt IN'!$E$29)</f>
        <v>30812.599166666667</v>
      </c>
      <c r="AG16" s="33">
        <f>PVCalcs!L16</f>
        <v>30812.599166666667</v>
      </c>
      <c r="AH16" s="33">
        <f t="shared" si="5"/>
        <v>5437.5175000000017</v>
      </c>
      <c r="AI16" s="33"/>
      <c r="AJ16" s="2">
        <f>IF(AND('Batt IN'!$D$53="Yes",$AL$1&gt;=1),IF($C16='Batt IN'!$H$54*12,-'Batt IN'!$F$54,0),0)</f>
        <v>0</v>
      </c>
      <c r="AK16" s="2">
        <f>IF(AND('Batt IN'!$D$53="Yes",$AL$1&gt;=2),IF($C16='Batt IN'!$H$55*12,-'Batt IN'!$F$55,0),0)</f>
        <v>0</v>
      </c>
      <c r="AL16" s="2">
        <f>IF(AND('Batt IN'!$D$53="Yes",$AL$1&gt;=3),IF($C16='Batt IN'!$H$56*12,-'Batt IN'!$F$56,0),0)</f>
        <v>0</v>
      </c>
      <c r="AM16" s="2">
        <f>IF(AND('Batt IN'!$D$53="Yes",$AL$1&gt;=4),IF($C16='Batt IN'!$H$57*12,-'Batt IN'!$F$57,0),0)</f>
        <v>0</v>
      </c>
      <c r="AN16" s="2">
        <f>IF(AND('Batt IN'!$D$53="Yes",$AL$1&gt;=5),IF($C16='Batt IN'!$H$58*12,-'Batt IN'!$F$58,0),0)</f>
        <v>0</v>
      </c>
      <c r="AO16" s="10">
        <f>IF(AND('Batt IN'!$D$44="YES",$C16&lt;='Batt IN'!$E$44*12),-'Batt IN'!$E$28*'Batt IN'!$E$42/12,0)</f>
        <v>0</v>
      </c>
      <c r="AP16" s="10">
        <f>IF(AND('Batt IN'!$D$46="YES",$C16&lt;='Batt IN'!$E$46*12),-'Batt IN'!$E$28*'Batt IN'!$E$45/12,0)</f>
        <v>0</v>
      </c>
      <c r="AR16" s="10">
        <f>BattLoan!M43</f>
        <v>0</v>
      </c>
      <c r="AS16" s="10">
        <f>'Batt IN'!$G$16*365/12*'Batt IN'!$E$16</f>
        <v>76.041666666666671</v>
      </c>
      <c r="AT16" s="10">
        <f>IF(AND('Batt IN'!$E$18&gt;0,'Batt IN'!$G$18&gt;0),'Batt IN'!$E$17*'Batt IN'!$G$17,0)</f>
        <v>119.44619999999999</v>
      </c>
      <c r="AU16" s="10">
        <f>IF(AND('Batt IN'!$E$20&gt;0,'Batt IN'!$G$20&gt;0),'Batt IN'!$E$19*'Batt IN'!$G$19,0)</f>
        <v>231</v>
      </c>
      <c r="AV16" s="2">
        <f>IF('Batt IN'!Q4="Non-Taxable",'Batt IN'!P4,0)+IF('Batt IN'!Q5="Non-Taxable",'Batt IN'!P5,0)</f>
        <v>0</v>
      </c>
      <c r="AW16" s="2">
        <f>'Batt IN'!$P$6</f>
        <v>0</v>
      </c>
      <c r="AX16" s="10">
        <f>IF('Batt IN'!$E$11="Non-Taxable",Q16,0)</f>
        <v>11088.08</v>
      </c>
      <c r="AY16" s="10">
        <f>IF('Batt IN'!$E$11="Non-Taxable",'Batt IN'!$E$28/1000*'Batt IN'!$G$13*('Batt IN'!$E$13/12)*'Batt IN'!$E$12,0)</f>
        <v>244.42220833333334</v>
      </c>
      <c r="AZ16" s="10">
        <f>IF('Batt IN'!$E$11="Non-Taxable",$S16*'Batt IN'!$G$15*'Batt IN'!$E$28*'Batt IN'!$E$14/1000,0)</f>
        <v>475</v>
      </c>
      <c r="BA16" s="10">
        <f>IF('Batt IN'!$E$11="Non-Taxable",'Batt IN'!$E$21*'Batt IN'!$G$21/12,0)</f>
        <v>437.5</v>
      </c>
      <c r="BB16" s="10">
        <f>IF('Batt IN'!$E$11="Non-Taxable",'Batt IN'!$E$22*'Batt IN'!$G$22/12,0)</f>
        <v>1145.8333333333335</v>
      </c>
      <c r="BC16" s="10">
        <f>IF('Batt IN'!$E$11="Taxable",Q16,0)</f>
        <v>0</v>
      </c>
      <c r="BD16" s="10">
        <f>IF('Batt IN'!$E$11="Taxable",'Batt IN'!$E$28/1000*'Batt IN'!$G$13*('Batt IN'!$E$13/12)*'Batt IN'!$E$12,0)</f>
        <v>0</v>
      </c>
      <c r="BE16" s="10">
        <f>IF('Batt IN'!$E$11="Taxable",$S16*'Batt IN'!$G$15*'Batt IN'!$E$28*'Batt IN'!$E$14/1000,0)</f>
        <v>0</v>
      </c>
      <c r="BF16" s="10">
        <f>IF('Batt IN'!$E$11="Taxable",'Batt IN'!$E$21*'Batt IN'!$G$21/12,0)</f>
        <v>0</v>
      </c>
      <c r="BG16" s="10">
        <f>IF('Batt IN'!$E$11="Taxable",'Batt IN'!$E$22*'Batt IN'!$G$22/12,0)</f>
        <v>0</v>
      </c>
      <c r="BH16" s="2">
        <f>IF('Batt IN'!Q4="Taxable",'Batt IN'!P4,0)+IF('Batt IN'!Q5="Taxable",'Batt IN'!P5,0)</f>
        <v>0</v>
      </c>
      <c r="BK16" s="10">
        <f>IF('Batt IN'!$N$18="Yes",-BattLoan!H44,-BattLoan!L44)</f>
        <v>0</v>
      </c>
      <c r="BL16" s="10">
        <f>IF('Batt IN'!$N$18="Yes",-BattLoan!F44,0)</f>
        <v>0</v>
      </c>
      <c r="BM16" s="10">
        <f>IF(AND('Batt IN'!$D$44="YES",$C16&lt;='Batt IN'!$E$44*12),0,-'Batt IN'!$E$28*'Batt IN'!$E$42/12)</f>
        <v>-83.333333333333329</v>
      </c>
      <c r="BN16" s="10">
        <f>IF(AND('Batt IN'!$D$46="YES",$C16&lt;='Batt IN'!$E$46*12),0,-'Batt IN'!$E$28*'Batt IN'!$E$45/12)</f>
        <v>-166.66666666666666</v>
      </c>
      <c r="BO16" s="2">
        <f>IF(AND('Batt IN'!$D$41="YES",BattCalcs!C16=ROUNDUP('Batt IN'!$H$41*12,)),-'Batt IN'!$E$41*'Batt IN'!$E$28,0)</f>
        <v>0</v>
      </c>
      <c r="BP16" s="2">
        <f>IF(AND('Batt IN'!$D$53="Yes",$AL$1&gt;=1),0,IF($C16='Batt IN'!$H$54*12,-'Batt IN'!$F$54,0))</f>
        <v>0</v>
      </c>
      <c r="BQ16" s="2">
        <f>IF(AND('Batt IN'!$D$53="Yes",$AL$1&gt;=2),0,IF($C16='Batt IN'!$H$55*12,-'Batt IN'!$F$55,0))</f>
        <v>0</v>
      </c>
      <c r="BR16" s="2">
        <f>IF(AND('Batt IN'!$D$53="Yes",$AL$1&gt;=3),0,IF($C16='Batt IN'!$H$56*12,-'Batt IN'!$F$56,0))</f>
        <v>0</v>
      </c>
      <c r="BS16" s="2">
        <f>IF(AND('Batt IN'!$D$53="Yes",$AL$1&gt;=4),0,IF($C16='Batt IN'!$H$57*12,-'Batt IN'!$F$57,0))</f>
        <v>0</v>
      </c>
      <c r="BT16" s="2">
        <f>IF(AND('Batt IN'!$D$53="Yes",$AL$1&gt;=5),0,IF($C16='Batt IN'!$H$58*12,-'Batt IN'!$F$58,0))</f>
        <v>0</v>
      </c>
      <c r="BU16" s="2">
        <f>-AH16*PVCalcs!F16</f>
        <v>-413.06265108561007</v>
      </c>
      <c r="BV16" s="2">
        <f>-'Batt IN'!$E$47</f>
        <v>-150</v>
      </c>
      <c r="BW16" s="2">
        <f>-'Batt IN'!$E$49</f>
        <v>-2250</v>
      </c>
      <c r="BX16" s="2">
        <f>IF('Batt IN'!$H$50="No",-(BC16*'Batt IN'!$E$50),-(BC16+BE16)*'Batt IN'!$E$50)</f>
        <v>0</v>
      </c>
      <c r="BY16" s="2">
        <f>IF(C16='Batt IN'!$H$43*12,-'Batt IN'!$E$43,0)</f>
        <v>0</v>
      </c>
      <c r="BZ16" s="38"/>
      <c r="CA16" s="10">
        <f t="shared" si="0"/>
        <v>13817.323408333334</v>
      </c>
      <c r="CB16" s="2">
        <f t="shared" si="6"/>
        <v>-3063.06265108561</v>
      </c>
      <c r="CC16" s="45">
        <f t="shared" si="7"/>
        <v>10754.260757247725</v>
      </c>
      <c r="CD16" s="43"/>
      <c r="CE16" s="2">
        <f t="shared" si="8"/>
        <v>0</v>
      </c>
      <c r="CF16" s="2">
        <f t="shared" si="9"/>
        <v>-3063.06265108561</v>
      </c>
      <c r="CG16" s="2">
        <f>-Depr.!F20</f>
        <v>0</v>
      </c>
      <c r="CH16" s="2">
        <f t="shared" si="10"/>
        <v>-3063.06265108561</v>
      </c>
      <c r="CI16" s="45">
        <f>-CH16*'Batt IN'!$E$7</f>
        <v>643.24315672797809</v>
      </c>
      <c r="CJ16" s="48"/>
      <c r="CK16" s="45">
        <f>IF('Batt IN'!$F$4="PV Only",0,IF(C16&gt;'Batt IN'!$H$43*12,0,CC16+CI16))</f>
        <v>0</v>
      </c>
      <c r="CM16" s="10">
        <f t="shared" si="11"/>
        <v>0</v>
      </c>
      <c r="CN16" s="2">
        <f>CK16/(1+('Batt IN'!$G$8))^(C16)</f>
        <v>0</v>
      </c>
      <c r="CO16" s="2">
        <f>IF(C16&lt;='Batt IN'!$O$30*12,CN16+CO15,NA())</f>
        <v>0</v>
      </c>
      <c r="CQ16" s="2">
        <f>CK16/((1+('Batt IN'!$E$8/12))^BattCalcs!C16)</f>
        <v>0</v>
      </c>
      <c r="CS16" s="10">
        <f t="shared" si="12"/>
        <v>-3063.06265108561</v>
      </c>
      <c r="CT16" s="10">
        <f t="shared" si="13"/>
        <v>0</v>
      </c>
      <c r="CU16" s="10">
        <f t="shared" si="14"/>
        <v>-3063.06265108561</v>
      </c>
      <c r="CV16" s="10">
        <f t="shared" si="15"/>
        <v>-3063.06265108561</v>
      </c>
      <c r="CW16" s="2">
        <f t="shared" si="1"/>
        <v>0</v>
      </c>
      <c r="CX16" s="2">
        <f>-(SUM(CV16:CW16)*'PV IN'!$E$8)</f>
        <v>643.24315672797809</v>
      </c>
      <c r="CY16" s="2">
        <f t="shared" si="16"/>
        <v>-2419.8194943576318</v>
      </c>
      <c r="CZ16" s="2">
        <f>IF(C16&lt;='Batt IN'!$H$43*12,CY16/(1+('PV IN'!$G$9))^(C16),0)</f>
        <v>-2304.5899946263135</v>
      </c>
      <c r="DA16" s="33">
        <f>IF(C16&lt;='Batt IN'!$H$43*12,AE16,0)</f>
        <v>36250.116666666669</v>
      </c>
    </row>
    <row r="17" spans="1:105" x14ac:dyDescent="0.25">
      <c r="A17">
        <f>IF(C17&lt;='Batt IN'!$H$43*12,C17,"")</f>
        <v>13</v>
      </c>
      <c r="C17">
        <v>13</v>
      </c>
      <c r="D17" s="21">
        <v>730</v>
      </c>
      <c r="E17" s="1">
        <f>1-'Batt IN'!$E$31</f>
        <v>2.0000000000000018E-2</v>
      </c>
      <c r="F17" s="12">
        <f>('Batt IN'!$E$33*365)/8760</f>
        <v>0</v>
      </c>
      <c r="G17" s="22">
        <f>'Batt IN'!$E$32/8760</f>
        <v>5.7077625570776253E-3</v>
      </c>
      <c r="H17" s="22">
        <f>'Batt IN'!$E$13/8760</f>
        <v>5.5936073059360729E-3</v>
      </c>
      <c r="I17" s="23">
        <f>IF(C17&lt;='Batt IN'!$G$14*12,'Batt IN'!$E$15/8760*'Batt IN'!$G$15,0)</f>
        <v>6.8493150684931503E-3</v>
      </c>
      <c r="J17" s="12">
        <f>Z17/'Batt IN'!$E$27/730</f>
        <v>2.4999999999999996E-3</v>
      </c>
      <c r="K17" s="23">
        <f>AA17/'Batt IN'!$E$27/730</f>
        <v>1.6027397260273972E-3</v>
      </c>
      <c r="L17" s="23">
        <f>AB17/'Batt IN'!$E$27/730</f>
        <v>2.0547945205479451E-4</v>
      </c>
      <c r="M17" s="23">
        <f>AC17/'Batt IN'!$E$27/730</f>
        <v>4.7945205479452057E-3</v>
      </c>
      <c r="N17" s="23">
        <f>AD17/'Batt IN'!$E$27/730</f>
        <v>3.4246575342465752E-3</v>
      </c>
      <c r="O17" s="12">
        <f t="shared" si="2"/>
        <v>5.0678082191780847E-2</v>
      </c>
      <c r="P17" s="21">
        <f t="shared" si="3"/>
        <v>693.005</v>
      </c>
      <c r="Q17" s="2">
        <f>IF('Batt IN'!$E$27*'Batt IN'!$E$24&lt;='Batt IN'!$E$28,(('Batt IN'!$E$23*'Batt IN'!$E$27*'Batt IN'!$E$24)/1000)*P17,(('Batt IN'!$E$23*'Batt IN'!$E$28*'Batt IN'!$E$24)/1000)*P17)</f>
        <v>11088.08</v>
      </c>
      <c r="R17" s="2"/>
      <c r="S17" s="77">
        <f>IF(C17&lt;='Batt IN'!$G$14*12,'Batt IN'!$E$15/12,0)</f>
        <v>8.3333333333333339</v>
      </c>
      <c r="T17" s="77"/>
      <c r="U17" s="80">
        <f>'Batt IN'!$E$28*('Batt IN'!$G$24/24)*730*(1-O17)</f>
        <v>80850.583333333328</v>
      </c>
      <c r="V17" s="78">
        <f>U17*'Batt IN'!$F$30</f>
        <v>16170.116666666667</v>
      </c>
      <c r="W17" s="78">
        <f>'Batt IN'!$E$28*'Batt IN'!$G$32*('Batt IN'!$E$32/12)*(1+'Batt IN'!$F$30)</f>
        <v>1750.0000000000002</v>
      </c>
      <c r="X17" s="78">
        <f>'Batt IN'!$E$28*'Batt IN'!$G$13*('Batt IN'!$E$13/12)*(1+'Batt IN'!$F$30)</f>
        <v>3184.9999999999995</v>
      </c>
      <c r="Y17" s="33">
        <f>S17*'Batt IN'!$G$15*'Batt IN'!$E$28*(1+'Batt IN'!$F$30)</f>
        <v>6000</v>
      </c>
      <c r="Z17" s="33">
        <f>'Batt IN'!$G$16*365/12*(1+'Batt IN'!$F$30)</f>
        <v>1824.9999999999998</v>
      </c>
      <c r="AA17" s="33">
        <f>'Batt IN'!$G$17*'Batt IN'!$E$18*'Batt IN'!$G$18/12*(1+'Batt IN'!$F$30)</f>
        <v>1170</v>
      </c>
      <c r="AB17" s="33">
        <f>'Batt IN'!$G$19*'Batt IN'!$E$20*'Batt IN'!$G$20/12*(1+'Batt IN'!$F$30)</f>
        <v>150</v>
      </c>
      <c r="AC17" s="33">
        <f>'Batt IN'!$G$21*(1+'Batt IN'!$F$30)/12</f>
        <v>3500</v>
      </c>
      <c r="AD17" s="33">
        <f>'Batt IN'!$G$22*(1+'Batt IN'!$F$30)/12</f>
        <v>2500</v>
      </c>
      <c r="AE17" s="33">
        <f t="shared" si="4"/>
        <v>36250.116666666669</v>
      </c>
      <c r="AF17" s="33">
        <f>IF('PV IN'!$F$4="Battery Only",0,AE17*'Batt IN'!$E$29)</f>
        <v>30812.599166666667</v>
      </c>
      <c r="AG17" s="33">
        <f>PVCalcs!L17</f>
        <v>30812.599166666667</v>
      </c>
      <c r="AH17" s="33">
        <f t="shared" si="5"/>
        <v>5437.5175000000017</v>
      </c>
      <c r="AI17" s="33"/>
      <c r="AJ17" s="2">
        <f>IF(AND('Batt IN'!$D$53="Yes",$AL$1&gt;=1),IF($C17='Batt IN'!$H$54*12,-'Batt IN'!$F$54,0),0)</f>
        <v>0</v>
      </c>
      <c r="AK17" s="2">
        <f>IF(AND('Batt IN'!$D$53="Yes",$AL$1&gt;=2),IF($C17='Batt IN'!$H$55*12,-'Batt IN'!$F$55,0),0)</f>
        <v>0</v>
      </c>
      <c r="AL17" s="2">
        <f>IF(AND('Batt IN'!$D$53="Yes",$AL$1&gt;=3),IF($C17='Batt IN'!$H$56*12,-'Batt IN'!$F$56,0),0)</f>
        <v>0</v>
      </c>
      <c r="AM17" s="2">
        <f>IF(AND('Batt IN'!$D$53="Yes",$AL$1&gt;=4),IF($C17='Batt IN'!$H$57*12,-'Batt IN'!$F$57,0),0)</f>
        <v>0</v>
      </c>
      <c r="AN17" s="2">
        <f>IF(AND('Batt IN'!$D$53="Yes",$AL$1&gt;=5),IF($C17='Batt IN'!$H$58*12,-'Batt IN'!$F$58,0),0)</f>
        <v>0</v>
      </c>
      <c r="AO17" s="10">
        <f>IF(AND('Batt IN'!$D$44="YES",$C17&lt;='Batt IN'!$E$44*12),-'Batt IN'!$E$28*'Batt IN'!$E$42/12,0)</f>
        <v>0</v>
      </c>
      <c r="AP17" s="10">
        <f>IF(AND('Batt IN'!$D$46="YES",$C17&lt;='Batt IN'!$E$46*12),-'Batt IN'!$E$28*'Batt IN'!$E$45/12,0)</f>
        <v>0</v>
      </c>
      <c r="AR17" s="10">
        <f>BattLoan!M44</f>
        <v>0</v>
      </c>
      <c r="AS17" s="10">
        <f>'Batt IN'!$G$16*365/12*'Batt IN'!$E$16</f>
        <v>76.041666666666671</v>
      </c>
      <c r="AT17" s="10">
        <f>IF(AND('Batt IN'!$E$18&gt;0,'Batt IN'!$G$18&gt;0),'Batt IN'!$E$17*'Batt IN'!$G$17,0)</f>
        <v>119.44619999999999</v>
      </c>
      <c r="AU17" s="10">
        <f>IF(AND('Batt IN'!$E$20&gt;0,'Batt IN'!$G$20&gt;0),'Batt IN'!$E$19*'Batt IN'!$G$19,0)</f>
        <v>231</v>
      </c>
      <c r="AV17" s="10"/>
      <c r="AW17" s="10"/>
      <c r="AX17" s="10">
        <f>IF('Batt IN'!$E$11="Non-Taxable",Q17,0)</f>
        <v>11088.08</v>
      </c>
      <c r="AY17" s="10">
        <f>IF('Batt IN'!$E$11="Non-Taxable",'Batt IN'!$E$28/1000*'Batt IN'!$G$13*('Batt IN'!$E$13/12)*'Batt IN'!$E$12,0)</f>
        <v>244.42220833333334</v>
      </c>
      <c r="AZ17" s="10">
        <f>IF('Batt IN'!$E$11="Non-Taxable",$S17*'Batt IN'!$G$15*'Batt IN'!$E$28*'Batt IN'!$E$14/1000,0)</f>
        <v>475</v>
      </c>
      <c r="BA17" s="10">
        <f>IF('Batt IN'!$E$11="Non-Taxable",'Batt IN'!$E$21*'Batt IN'!$G$21/12,0)</f>
        <v>437.5</v>
      </c>
      <c r="BB17" s="10">
        <f>IF('Batt IN'!$E$11="Non-Taxable",'Batt IN'!$E$22*'Batt IN'!$G$22/12,0)</f>
        <v>1145.8333333333335</v>
      </c>
      <c r="BC17" s="10">
        <f>IF('Batt IN'!$E$11="Taxable",Q17,0)</f>
        <v>0</v>
      </c>
      <c r="BD17" s="10">
        <f>IF('Batt IN'!$E$11="Taxable",'Batt IN'!$E$28/1000*'Batt IN'!$G$13*('Batt IN'!$E$13/12)*'Batt IN'!$E$12,0)</f>
        <v>0</v>
      </c>
      <c r="BE17" s="10">
        <f>IF('Batt IN'!$E$11="Taxable",$S17*'Batt IN'!$G$15*'Batt IN'!$E$28*'Batt IN'!$E$14/1000,0)</f>
        <v>0</v>
      </c>
      <c r="BF17" s="10">
        <f>IF('Batt IN'!$E$11="Taxable",'Batt IN'!$E$21*'Batt IN'!$G$21/12,0)</f>
        <v>0</v>
      </c>
      <c r="BG17" s="10">
        <f>IF('Batt IN'!$E$11="Taxable",'Batt IN'!$E$22*'Batt IN'!$G$22/12,0)</f>
        <v>0</v>
      </c>
      <c r="BH17" s="2"/>
      <c r="BK17" s="10">
        <f>IF('Batt IN'!$N$18="Yes",-BattLoan!H45,-BattLoan!L45)</f>
        <v>0</v>
      </c>
      <c r="BL17" s="10">
        <f>IF('Batt IN'!$N$18="Yes",-BattLoan!F45,0)</f>
        <v>0</v>
      </c>
      <c r="BM17" s="10">
        <f>IF(AND('Batt IN'!$D$44="YES",$C17&lt;='Batt IN'!$E$44*12),0,-'Batt IN'!$E$28*'Batt IN'!$E$42/12)</f>
        <v>-83.333333333333329</v>
      </c>
      <c r="BN17" s="10">
        <f>IF(AND('Batt IN'!$D$46="YES",$C17&lt;='Batt IN'!$E$46*12),0,-'Batt IN'!$E$28*'Batt IN'!$E$45/12)</f>
        <v>-166.66666666666666</v>
      </c>
      <c r="BO17" s="2">
        <f>IF(AND('Batt IN'!$D$41="YES",BattCalcs!C17=ROUNDUP('Batt IN'!$H$41*12,)),-'Batt IN'!$E$41*'Batt IN'!$E$28,0)</f>
        <v>0</v>
      </c>
      <c r="BP17" s="2">
        <f>IF(AND('Batt IN'!$D$53="Yes",$AL$1&gt;=1),0,IF($C17='Batt IN'!$H$54*12,-'Batt IN'!$F$54,0))</f>
        <v>0</v>
      </c>
      <c r="BQ17" s="2">
        <f>IF(AND('Batt IN'!$D$53="Yes",$AL$1&gt;=2),0,IF($C17='Batt IN'!$H$55*12,-'Batt IN'!$F$55,0))</f>
        <v>0</v>
      </c>
      <c r="BR17" s="2">
        <f>IF(AND('Batt IN'!$D$53="Yes",$AL$1&gt;=3),0,IF($C17='Batt IN'!$H$56*12,-'Batt IN'!$F$56,0))</f>
        <v>0</v>
      </c>
      <c r="BS17" s="2">
        <f>IF(AND('Batt IN'!$D$53="Yes",$AL$1&gt;=4),0,IF($C17='Batt IN'!$H$57*12,-'Batt IN'!$F$57,0))</f>
        <v>0</v>
      </c>
      <c r="BT17" s="2">
        <f>IF(AND('Batt IN'!$D$53="Yes",$AL$1&gt;=5),0,IF($C17='Batt IN'!$H$58*12,-'Batt IN'!$F$58,0))</f>
        <v>0</v>
      </c>
      <c r="BU17" s="2">
        <f>-AH17*PVCalcs!F17</f>
        <v>-407.96729701454188</v>
      </c>
      <c r="BV17" s="2">
        <f>-'Batt IN'!$E$47</f>
        <v>-150</v>
      </c>
      <c r="BW17" s="2">
        <f>-'Batt IN'!$E$49</f>
        <v>-2250</v>
      </c>
      <c r="BX17" s="2">
        <f>IF('Batt IN'!$H$50="No",-(BC17*'Batt IN'!$E$50),-(BC17+BE17)*'Batt IN'!$E$50)</f>
        <v>0</v>
      </c>
      <c r="BY17" s="2">
        <f>IF(C17='Batt IN'!$H$43*12,-'Batt IN'!$E$43,0)</f>
        <v>0</v>
      </c>
      <c r="BZ17" s="38"/>
      <c r="CA17" s="10">
        <f>SUM(AR17:BH17)</f>
        <v>13817.323408333334</v>
      </c>
      <c r="CB17" s="2">
        <f t="shared" si="6"/>
        <v>-3057.9672970145421</v>
      </c>
      <c r="CC17" s="45">
        <f t="shared" si="7"/>
        <v>10759.356111318792</v>
      </c>
      <c r="CD17" s="43"/>
      <c r="CE17" s="2">
        <f t="shared" si="8"/>
        <v>0</v>
      </c>
      <c r="CF17" s="2">
        <f t="shared" si="9"/>
        <v>-3057.9672970145421</v>
      </c>
      <c r="CG17" s="2"/>
      <c r="CH17" s="2">
        <f t="shared" si="10"/>
        <v>-3057.9672970145421</v>
      </c>
      <c r="CI17" s="45">
        <f>-CH17*'Batt IN'!$E$7</f>
        <v>642.17313237305382</v>
      </c>
      <c r="CJ17" s="48"/>
      <c r="CK17" s="45">
        <f>IF('Batt IN'!$F$4="PV Only",0,IF(C17&gt;'Batt IN'!$H$43*12,0,CC17+CI17))</f>
        <v>0</v>
      </c>
      <c r="CM17" s="10">
        <f t="shared" si="11"/>
        <v>0</v>
      </c>
      <c r="CN17" s="2">
        <f>CK17/(1+('Batt IN'!$G$8))^(C17)</f>
        <v>0</v>
      </c>
      <c r="CO17" s="2">
        <f>IF(C17&lt;='Batt IN'!$O$30*12,CN17+CO16,NA())</f>
        <v>0</v>
      </c>
      <c r="CQ17" s="2">
        <f>CK17/((1+('Batt IN'!$E$8/12))^BattCalcs!C17)</f>
        <v>0</v>
      </c>
      <c r="CS17" s="10">
        <f t="shared" si="12"/>
        <v>-3057.9672970145421</v>
      </c>
      <c r="CT17" s="10">
        <f t="shared" si="13"/>
        <v>0</v>
      </c>
      <c r="CU17" s="10">
        <f t="shared" si="14"/>
        <v>-3057.9672970145421</v>
      </c>
      <c r="CV17" s="10">
        <f t="shared" si="15"/>
        <v>-3057.9672970145421</v>
      </c>
      <c r="CW17" s="2">
        <f t="shared" si="1"/>
        <v>0</v>
      </c>
      <c r="CX17" s="2">
        <f>-(SUM(CV17:CW17)*'PV IN'!$E$8)</f>
        <v>642.17313237305382</v>
      </c>
      <c r="CY17" s="2">
        <f t="shared" si="16"/>
        <v>-2415.7941646414884</v>
      </c>
      <c r="CZ17" s="2">
        <f>IF(C17&lt;='Batt IN'!$H$43*12,CY17/(1+('PV IN'!$G$9))^(C17),0)</f>
        <v>-2291.420815235906</v>
      </c>
      <c r="DA17" s="33">
        <f>IF(C17&lt;='Batt IN'!$H$43*12,AE17,0)</f>
        <v>36250.116666666669</v>
      </c>
    </row>
    <row r="18" spans="1:105" x14ac:dyDescent="0.25">
      <c r="A18">
        <f>IF(C18&lt;='Batt IN'!$H$43*12,C18,"")</f>
        <v>14</v>
      </c>
      <c r="C18">
        <v>14</v>
      </c>
      <c r="D18" s="21">
        <v>730</v>
      </c>
      <c r="E18" s="1">
        <f>1-'Batt IN'!$E$31</f>
        <v>2.0000000000000018E-2</v>
      </c>
      <c r="F18" s="12">
        <f>('Batt IN'!$E$33*365)/8760</f>
        <v>0</v>
      </c>
      <c r="G18" s="22">
        <f>'Batt IN'!$E$32/8760</f>
        <v>5.7077625570776253E-3</v>
      </c>
      <c r="H18" s="22">
        <f>'Batt IN'!$E$13/8760</f>
        <v>5.5936073059360729E-3</v>
      </c>
      <c r="I18" s="23">
        <f>IF(C18&lt;='Batt IN'!$G$14*12,'Batt IN'!$E$15/8760*'Batt IN'!$G$15,0)</f>
        <v>6.8493150684931503E-3</v>
      </c>
      <c r="J18" s="12">
        <f>Z18/'Batt IN'!$E$27/730</f>
        <v>2.4999999999999996E-3</v>
      </c>
      <c r="K18" s="23">
        <f>AA18/'Batt IN'!$E$27/730</f>
        <v>1.6027397260273972E-3</v>
      </c>
      <c r="L18" s="23">
        <f>AB18/'Batt IN'!$E$27/730</f>
        <v>2.0547945205479451E-4</v>
      </c>
      <c r="M18" s="23">
        <f>AC18/'Batt IN'!$E$27/730</f>
        <v>4.7945205479452057E-3</v>
      </c>
      <c r="N18" s="23">
        <f>AD18/'Batt IN'!$E$27/730</f>
        <v>3.4246575342465752E-3</v>
      </c>
      <c r="O18" s="12">
        <f t="shared" si="2"/>
        <v>5.0678082191780847E-2</v>
      </c>
      <c r="P18" s="21">
        <f t="shared" si="3"/>
        <v>693.005</v>
      </c>
      <c r="Q18" s="2">
        <f>IF('Batt IN'!$E$27*'Batt IN'!$E$24&lt;='Batt IN'!$E$28,(('Batt IN'!$E$23*'Batt IN'!$E$27*'Batt IN'!$E$24)/1000)*P18,(('Batt IN'!$E$23*'Batt IN'!$E$28*'Batt IN'!$E$24)/1000)*P18)</f>
        <v>11088.08</v>
      </c>
      <c r="R18" s="2"/>
      <c r="S18" s="77">
        <f>IF(C18&lt;='Batt IN'!$G$14*12,'Batt IN'!$E$15/12,0)</f>
        <v>8.3333333333333339</v>
      </c>
      <c r="T18" s="77"/>
      <c r="U18" s="80">
        <f>'Batt IN'!$E$28*('Batt IN'!$G$24/24)*730*(1-O18)</f>
        <v>80850.583333333328</v>
      </c>
      <c r="V18" s="78">
        <f>U18*'Batt IN'!$F$30</f>
        <v>16170.116666666667</v>
      </c>
      <c r="W18" s="78">
        <f>'Batt IN'!$E$28*'Batt IN'!$G$32*('Batt IN'!$E$32/12)*(1+'Batt IN'!$F$30)</f>
        <v>1750.0000000000002</v>
      </c>
      <c r="X18" s="78">
        <f>'Batt IN'!$E$28*'Batt IN'!$G$13*('Batt IN'!$E$13/12)*(1+'Batt IN'!$F$30)</f>
        <v>3184.9999999999995</v>
      </c>
      <c r="Y18" s="33">
        <f>S18*'Batt IN'!$G$15*'Batt IN'!$E$28*(1+'Batt IN'!$F$30)</f>
        <v>6000</v>
      </c>
      <c r="Z18" s="33">
        <f>'Batt IN'!$G$16*365/12*(1+'Batt IN'!$F$30)</f>
        <v>1824.9999999999998</v>
      </c>
      <c r="AA18" s="33">
        <f>'Batt IN'!$G$17*'Batt IN'!$E$18*'Batt IN'!$G$18/12*(1+'Batt IN'!$F$30)</f>
        <v>1170</v>
      </c>
      <c r="AB18" s="33">
        <f>'Batt IN'!$G$19*'Batt IN'!$E$20*'Batt IN'!$G$20/12*(1+'Batt IN'!$F$30)</f>
        <v>150</v>
      </c>
      <c r="AC18" s="33">
        <f>'Batt IN'!$G$21*(1+'Batt IN'!$F$30)/12</f>
        <v>3500</v>
      </c>
      <c r="AD18" s="33">
        <f>'Batt IN'!$G$22*(1+'Batt IN'!$F$30)/12</f>
        <v>2500</v>
      </c>
      <c r="AE18" s="33">
        <f t="shared" si="4"/>
        <v>36250.116666666669</v>
      </c>
      <c r="AF18" s="33">
        <f>IF('PV IN'!$F$4="Battery Only",0,AE18*'Batt IN'!$E$29)</f>
        <v>30812.599166666667</v>
      </c>
      <c r="AG18" s="33">
        <f>PVCalcs!L18</f>
        <v>30812.599166666667</v>
      </c>
      <c r="AH18" s="33">
        <f t="shared" si="5"/>
        <v>5437.5175000000017</v>
      </c>
      <c r="AI18" s="33"/>
      <c r="AJ18" s="2">
        <f>IF(AND('Batt IN'!$D$53="Yes",$AL$1&gt;=1),IF($C18='Batt IN'!$H$54*12,-'Batt IN'!$F$54,0),0)</f>
        <v>0</v>
      </c>
      <c r="AK18" s="2">
        <f>IF(AND('Batt IN'!$D$53="Yes",$AL$1&gt;=2),IF($C18='Batt IN'!$H$55*12,-'Batt IN'!$F$55,0),0)</f>
        <v>0</v>
      </c>
      <c r="AL18" s="2">
        <f>IF(AND('Batt IN'!$D$53="Yes",$AL$1&gt;=3),IF($C18='Batt IN'!$H$56*12,-'Batt IN'!$F$56,0),0)</f>
        <v>0</v>
      </c>
      <c r="AM18" s="2">
        <f>IF(AND('Batt IN'!$D$53="Yes",$AL$1&gt;=4),IF($C18='Batt IN'!$H$57*12,-'Batt IN'!$F$57,0),0)</f>
        <v>0</v>
      </c>
      <c r="AN18" s="2">
        <f>IF(AND('Batt IN'!$D$53="Yes",$AL$1&gt;=5),IF($C18='Batt IN'!$H$58*12,-'Batt IN'!$F$58,0),0)</f>
        <v>0</v>
      </c>
      <c r="AO18" s="10">
        <f>IF(AND('Batt IN'!$D$44="YES",$C18&lt;='Batt IN'!$E$44*12),-'Batt IN'!$E$28*'Batt IN'!$E$42/12,0)</f>
        <v>0</v>
      </c>
      <c r="AP18" s="10">
        <f>IF(AND('Batt IN'!$D$46="YES",$C18&lt;='Batt IN'!$E$46*12),-'Batt IN'!$E$28*'Batt IN'!$E$45/12,0)</f>
        <v>0</v>
      </c>
      <c r="AR18" s="10">
        <f>BattLoan!M45</f>
        <v>0</v>
      </c>
      <c r="AS18" s="10">
        <f>'Batt IN'!$G$16*365/12*'Batt IN'!$E$16</f>
        <v>76.041666666666671</v>
      </c>
      <c r="AT18" s="10">
        <f>IF(AND('Batt IN'!$E$18&gt;0,'Batt IN'!$G$18&gt;0),'Batt IN'!$E$17*'Batt IN'!$G$17,0)</f>
        <v>119.44619999999999</v>
      </c>
      <c r="AU18" s="10">
        <f>IF(AND('Batt IN'!$E$20&gt;0,'Batt IN'!$G$20&gt;0),'Batt IN'!$E$19*'Batt IN'!$G$19,0)</f>
        <v>231</v>
      </c>
      <c r="AV18" s="10"/>
      <c r="AW18" s="10"/>
      <c r="AX18" s="10">
        <f>IF('Batt IN'!$E$11="Non-Taxable",Q18,0)</f>
        <v>11088.08</v>
      </c>
      <c r="AY18" s="10">
        <f>IF('Batt IN'!$E$11="Non-Taxable",'Batt IN'!$E$28/1000*'Batt IN'!$G$13*('Batt IN'!$E$13/12)*'Batt IN'!$E$12,0)</f>
        <v>244.42220833333334</v>
      </c>
      <c r="AZ18" s="10">
        <f>IF('Batt IN'!$E$11="Non-Taxable",$S18*'Batt IN'!$G$15*'Batt IN'!$E$28*'Batt IN'!$E$14/1000,0)</f>
        <v>475</v>
      </c>
      <c r="BA18" s="10">
        <f>IF('Batt IN'!$E$11="Non-Taxable",'Batt IN'!$E$21*'Batt IN'!$G$21/12,0)</f>
        <v>437.5</v>
      </c>
      <c r="BB18" s="10">
        <f>IF('Batt IN'!$E$11="Non-Taxable",'Batt IN'!$E$22*'Batt IN'!$G$22/12,0)</f>
        <v>1145.8333333333335</v>
      </c>
      <c r="BC18" s="10">
        <f>IF('Batt IN'!$E$11="Taxable",Q18,0)</f>
        <v>0</v>
      </c>
      <c r="BD18" s="10">
        <f>IF('Batt IN'!$E$11="Taxable",'Batt IN'!$E$28/1000*'Batt IN'!$G$13*('Batt IN'!$E$13/12)*'Batt IN'!$E$12,0)</f>
        <v>0</v>
      </c>
      <c r="BE18" s="10">
        <f>IF('Batt IN'!$E$11="Taxable",$S18*'Batt IN'!$G$15*'Batt IN'!$E$28*'Batt IN'!$E$14/1000,0)</f>
        <v>0</v>
      </c>
      <c r="BF18" s="10">
        <f>IF('Batt IN'!$E$11="Taxable",'Batt IN'!$E$21*'Batt IN'!$G$21/12,0)</f>
        <v>0</v>
      </c>
      <c r="BG18" s="10">
        <f>IF('Batt IN'!$E$11="Taxable",'Batt IN'!$E$22*'Batt IN'!$G$22/12,0)</f>
        <v>0</v>
      </c>
      <c r="BK18" s="10">
        <f>IF('Batt IN'!$N$18="Yes",-BattLoan!H46,-BattLoan!L46)</f>
        <v>0</v>
      </c>
      <c r="BL18" s="10">
        <f>IF('Batt IN'!$N$18="Yes",-BattLoan!F46,0)</f>
        <v>0</v>
      </c>
      <c r="BM18" s="10">
        <f>IF(AND('Batt IN'!$D$44="YES",$C18&lt;='Batt IN'!$E$44*12),0,-'Batt IN'!$E$28*'Batt IN'!$E$42/12)</f>
        <v>-83.333333333333329</v>
      </c>
      <c r="BN18" s="10">
        <f>IF(AND('Batt IN'!$D$46="YES",$C18&lt;='Batt IN'!$E$46*12),0,-'Batt IN'!$E$28*'Batt IN'!$E$45/12)</f>
        <v>-166.66666666666666</v>
      </c>
      <c r="BO18" s="2">
        <f>IF(AND('Batt IN'!$D$41="YES",BattCalcs!C18=ROUNDUP('Batt IN'!$H$41*12,)),-'Batt IN'!$E$41*'Batt IN'!$E$28,0)</f>
        <v>0</v>
      </c>
      <c r="BP18" s="2">
        <f>IF(AND('Batt IN'!$D$53="Yes",$AL$1&gt;=1),0,IF($C18='Batt IN'!$H$54*12,-'Batt IN'!$F$54,0))</f>
        <v>0</v>
      </c>
      <c r="BQ18" s="2">
        <f>IF(AND('Batt IN'!$D$53="Yes",$AL$1&gt;=2),0,IF($C18='Batt IN'!$H$55*12,-'Batt IN'!$F$55,0))</f>
        <v>0</v>
      </c>
      <c r="BR18" s="2">
        <f>IF(AND('Batt IN'!$D$53="Yes",$AL$1&gt;=3),0,IF($C18='Batt IN'!$H$56*12,-'Batt IN'!$F$56,0))</f>
        <v>0</v>
      </c>
      <c r="BS18" s="2">
        <f>IF(AND('Batt IN'!$D$53="Yes",$AL$1&gt;=4),0,IF($C18='Batt IN'!$H$57*12,-'Batt IN'!$F$57,0))</f>
        <v>0</v>
      </c>
      <c r="BT18" s="2">
        <f>IF(AND('Batt IN'!$D$53="Yes",$AL$1&gt;=5),0,IF($C18='Batt IN'!$H$58*12,-'Batt IN'!$F$58,0))</f>
        <v>0</v>
      </c>
      <c r="BU18" s="2">
        <f>-AH18*PVCalcs!F18</f>
        <v>-407.96729701454188</v>
      </c>
      <c r="BV18" s="2">
        <f>-'Batt IN'!$E$47</f>
        <v>-150</v>
      </c>
      <c r="BW18" s="2">
        <f>-'Batt IN'!$E$49</f>
        <v>-2250</v>
      </c>
      <c r="BX18" s="2">
        <f>IF('Batt IN'!$H$50="No",-(BC18*'Batt IN'!$E$50),-(BC18+BE18)*'Batt IN'!$E$50)</f>
        <v>0</v>
      </c>
      <c r="BY18" s="2">
        <f>IF(C18='Batt IN'!$H$43*12,-'Batt IN'!$E$43,0)</f>
        <v>0</v>
      </c>
      <c r="BZ18" s="38"/>
      <c r="CA18" s="10">
        <f t="shared" si="0"/>
        <v>13817.323408333334</v>
      </c>
      <c r="CB18" s="2">
        <f t="shared" si="6"/>
        <v>-3057.9672970145421</v>
      </c>
      <c r="CC18" s="45">
        <f t="shared" si="7"/>
        <v>10759.356111318792</v>
      </c>
      <c r="CD18" s="43"/>
      <c r="CE18" s="2">
        <f t="shared" si="8"/>
        <v>0</v>
      </c>
      <c r="CF18" s="2">
        <f t="shared" si="9"/>
        <v>-3057.9672970145421</v>
      </c>
      <c r="CG18" s="2"/>
      <c r="CH18" s="2">
        <f t="shared" si="10"/>
        <v>-3057.9672970145421</v>
      </c>
      <c r="CI18" s="45">
        <f>-CH18*'Batt IN'!$E$7</f>
        <v>642.17313237305382</v>
      </c>
      <c r="CJ18" s="48"/>
      <c r="CK18" s="45">
        <f>IF('Batt IN'!$F$4="PV Only",0,IF(C18&gt;'Batt IN'!$H$43*12,0,CC18+CI18))</f>
        <v>0</v>
      </c>
      <c r="CM18" s="10">
        <f t="shared" si="11"/>
        <v>0</v>
      </c>
      <c r="CN18" s="2">
        <f>CK18/(1+('Batt IN'!$G$8))^(C18)</f>
        <v>0</v>
      </c>
      <c r="CO18" s="2">
        <f>IF(C18&lt;='Batt IN'!$O$30*12,CN18+CO17,NA())</f>
        <v>0</v>
      </c>
      <c r="CQ18" s="2">
        <f>CK18/((1+('Batt IN'!$E$8/12))^BattCalcs!C18)</f>
        <v>0</v>
      </c>
      <c r="CS18" s="10">
        <f t="shared" si="12"/>
        <v>-3057.9672970145421</v>
      </c>
      <c r="CT18" s="10">
        <f t="shared" si="13"/>
        <v>0</v>
      </c>
      <c r="CU18" s="10">
        <f t="shared" si="14"/>
        <v>-3057.9672970145421</v>
      </c>
      <c r="CV18" s="10">
        <f t="shared" si="15"/>
        <v>-3057.9672970145421</v>
      </c>
      <c r="CW18" s="2">
        <f t="shared" si="1"/>
        <v>0</v>
      </c>
      <c r="CX18" s="2">
        <f>-(SUM(CV18:CW18)*'PV IN'!$E$8)</f>
        <v>642.17313237305382</v>
      </c>
      <c r="CY18" s="2">
        <f t="shared" si="16"/>
        <v>-2415.7941646414884</v>
      </c>
      <c r="CZ18" s="2">
        <f>IF(C18&lt;='Batt IN'!$H$43*12,CY18/(1+('PV IN'!$G$9))^(C18),0)</f>
        <v>-2282.1231629803924</v>
      </c>
      <c r="DA18" s="33">
        <f>IF(C18&lt;='Batt IN'!$H$43*12,AE18,0)</f>
        <v>36250.116666666669</v>
      </c>
    </row>
    <row r="19" spans="1:105" x14ac:dyDescent="0.25">
      <c r="A19">
        <f>IF(C19&lt;='Batt IN'!$H$43*12,C19,"")</f>
        <v>15</v>
      </c>
      <c r="C19">
        <v>15</v>
      </c>
      <c r="D19" s="21">
        <v>730</v>
      </c>
      <c r="E19" s="1">
        <f>1-'Batt IN'!$E$31</f>
        <v>2.0000000000000018E-2</v>
      </c>
      <c r="F19" s="12">
        <f>('Batt IN'!$E$33*365)/8760</f>
        <v>0</v>
      </c>
      <c r="G19" s="22">
        <f>'Batt IN'!$E$32/8760</f>
        <v>5.7077625570776253E-3</v>
      </c>
      <c r="H19" s="22">
        <f>'Batt IN'!$E$13/8760</f>
        <v>5.5936073059360729E-3</v>
      </c>
      <c r="I19" s="23">
        <f>IF(C19&lt;='Batt IN'!$G$14*12,'Batt IN'!$E$15/8760*'Batt IN'!$G$15,0)</f>
        <v>6.8493150684931503E-3</v>
      </c>
      <c r="J19" s="12">
        <f>Z19/'Batt IN'!$E$27/730</f>
        <v>2.4999999999999996E-3</v>
      </c>
      <c r="K19" s="23">
        <f>AA19/'Batt IN'!$E$27/730</f>
        <v>1.6027397260273972E-3</v>
      </c>
      <c r="L19" s="23">
        <f>AB19/'Batt IN'!$E$27/730</f>
        <v>2.0547945205479451E-4</v>
      </c>
      <c r="M19" s="23">
        <f>AC19/'Batt IN'!$E$27/730</f>
        <v>4.7945205479452057E-3</v>
      </c>
      <c r="N19" s="23">
        <f>AD19/'Batt IN'!$E$27/730</f>
        <v>3.4246575342465752E-3</v>
      </c>
      <c r="O19" s="12">
        <f t="shared" si="2"/>
        <v>5.0678082191780847E-2</v>
      </c>
      <c r="P19" s="21">
        <f t="shared" si="3"/>
        <v>693.005</v>
      </c>
      <c r="Q19" s="2">
        <f>IF('Batt IN'!$E$27*'Batt IN'!$E$24&lt;='Batt IN'!$E$28,(('Batt IN'!$E$23*'Batt IN'!$E$27*'Batt IN'!$E$24)/1000)*P19,(('Batt IN'!$E$23*'Batt IN'!$E$28*'Batt IN'!$E$24)/1000)*P19)</f>
        <v>11088.08</v>
      </c>
      <c r="R19" s="2"/>
      <c r="S19" s="77">
        <f>IF(C19&lt;='Batt IN'!$G$14*12,'Batt IN'!$E$15/12,0)</f>
        <v>8.3333333333333339</v>
      </c>
      <c r="T19" s="77"/>
      <c r="U19" s="80">
        <f>'Batt IN'!$E$28*('Batt IN'!$G$24/24)*730*(1-O19)</f>
        <v>80850.583333333328</v>
      </c>
      <c r="V19" s="78">
        <f>U19*'Batt IN'!$F$30</f>
        <v>16170.116666666667</v>
      </c>
      <c r="W19" s="78">
        <f>'Batt IN'!$E$28*'Batt IN'!$G$32*('Batt IN'!$E$32/12)*(1+'Batt IN'!$F$30)</f>
        <v>1750.0000000000002</v>
      </c>
      <c r="X19" s="78">
        <f>'Batt IN'!$E$28*'Batt IN'!$G$13*('Batt IN'!$E$13/12)*(1+'Batt IN'!$F$30)</f>
        <v>3184.9999999999995</v>
      </c>
      <c r="Y19" s="33">
        <f>S19*'Batt IN'!$G$15*'Batt IN'!$E$28*(1+'Batt IN'!$F$30)</f>
        <v>6000</v>
      </c>
      <c r="Z19" s="33">
        <f>'Batt IN'!$G$16*365/12*(1+'Batt IN'!$F$30)</f>
        <v>1824.9999999999998</v>
      </c>
      <c r="AA19" s="33">
        <f>'Batt IN'!$G$17*'Batt IN'!$E$18*'Batt IN'!$G$18/12*(1+'Batt IN'!$F$30)</f>
        <v>1170</v>
      </c>
      <c r="AB19" s="33">
        <f>'Batt IN'!$G$19*'Batt IN'!$E$20*'Batt IN'!$G$20/12*(1+'Batt IN'!$F$30)</f>
        <v>150</v>
      </c>
      <c r="AC19" s="33">
        <f>'Batt IN'!$G$21*(1+'Batt IN'!$F$30)/12</f>
        <v>3500</v>
      </c>
      <c r="AD19" s="33">
        <f>'Batt IN'!$G$22*(1+'Batt IN'!$F$30)/12</f>
        <v>2500</v>
      </c>
      <c r="AE19" s="33">
        <f t="shared" si="4"/>
        <v>36250.116666666669</v>
      </c>
      <c r="AF19" s="33">
        <f>IF('PV IN'!$F$4="Battery Only",0,AE19*'Batt IN'!$E$29)</f>
        <v>30812.599166666667</v>
      </c>
      <c r="AG19" s="33">
        <f>PVCalcs!L19</f>
        <v>30812.599166666667</v>
      </c>
      <c r="AH19" s="33">
        <f t="shared" si="5"/>
        <v>5437.5175000000017</v>
      </c>
      <c r="AI19" s="33"/>
      <c r="AJ19" s="2">
        <f>IF(AND('Batt IN'!$D$53="Yes",$AL$1&gt;=1),IF($C19='Batt IN'!$H$54*12,-'Batt IN'!$F$54,0),0)</f>
        <v>0</v>
      </c>
      <c r="AK19" s="2">
        <f>IF(AND('Batt IN'!$D$53="Yes",$AL$1&gt;=2),IF($C19='Batt IN'!$H$55*12,-'Batt IN'!$F$55,0),0)</f>
        <v>0</v>
      </c>
      <c r="AL19" s="2">
        <f>IF(AND('Batt IN'!$D$53="Yes",$AL$1&gt;=3),IF($C19='Batt IN'!$H$56*12,-'Batt IN'!$F$56,0),0)</f>
        <v>0</v>
      </c>
      <c r="AM19" s="2">
        <f>IF(AND('Batt IN'!$D$53="Yes",$AL$1&gt;=4),IF($C19='Batt IN'!$H$57*12,-'Batt IN'!$F$57,0),0)</f>
        <v>0</v>
      </c>
      <c r="AN19" s="2">
        <f>IF(AND('Batt IN'!$D$53="Yes",$AL$1&gt;=5),IF($C19='Batt IN'!$H$58*12,-'Batt IN'!$F$58,0),0)</f>
        <v>0</v>
      </c>
      <c r="AO19" s="10">
        <f>IF(AND('Batt IN'!$D$44="YES",$C19&lt;='Batt IN'!$E$44*12),-'Batt IN'!$E$28*'Batt IN'!$E$42/12,0)</f>
        <v>0</v>
      </c>
      <c r="AP19" s="10">
        <f>IF(AND('Batt IN'!$D$46="YES",$C19&lt;='Batt IN'!$E$46*12),-'Batt IN'!$E$28*'Batt IN'!$E$45/12,0)</f>
        <v>0</v>
      </c>
      <c r="AR19" s="10">
        <f>BattLoan!M46</f>
        <v>0</v>
      </c>
      <c r="AS19" s="10">
        <f>'Batt IN'!$G$16*365/12*'Batt IN'!$E$16</f>
        <v>76.041666666666671</v>
      </c>
      <c r="AT19" s="10">
        <f>IF(AND('Batt IN'!$E$18&gt;0,'Batt IN'!$G$18&gt;0),'Batt IN'!$E$17*'Batt IN'!$G$17,0)</f>
        <v>119.44619999999999</v>
      </c>
      <c r="AU19" s="10">
        <f>IF(AND('Batt IN'!$E$20&gt;0,'Batt IN'!$G$20&gt;0),'Batt IN'!$E$19*'Batt IN'!$G$19,0)</f>
        <v>231</v>
      </c>
      <c r="AV19" s="10"/>
      <c r="AW19" s="10"/>
      <c r="AX19" s="10">
        <f>IF('Batt IN'!$E$11="Non-Taxable",Q19,0)</f>
        <v>11088.08</v>
      </c>
      <c r="AY19" s="10">
        <f>IF('Batt IN'!$E$11="Non-Taxable",'Batt IN'!$E$28/1000*'Batt IN'!$G$13*('Batt IN'!$E$13/12)*'Batt IN'!$E$12,0)</f>
        <v>244.42220833333334</v>
      </c>
      <c r="AZ19" s="10">
        <f>IF('Batt IN'!$E$11="Non-Taxable",$S19*'Batt IN'!$G$15*'Batt IN'!$E$28*'Batt IN'!$E$14/1000,0)</f>
        <v>475</v>
      </c>
      <c r="BA19" s="10">
        <f>IF('Batt IN'!$E$11="Non-Taxable",'Batt IN'!$E$21*'Batt IN'!$G$21/12,0)</f>
        <v>437.5</v>
      </c>
      <c r="BB19" s="10">
        <f>IF('Batt IN'!$E$11="Non-Taxable",'Batt IN'!$E$22*'Batt IN'!$G$22/12,0)</f>
        <v>1145.8333333333335</v>
      </c>
      <c r="BC19" s="10">
        <f>IF('Batt IN'!$E$11="Taxable",Q19,0)</f>
        <v>0</v>
      </c>
      <c r="BD19" s="10">
        <f>IF('Batt IN'!$E$11="Taxable",'Batt IN'!$E$28/1000*'Batt IN'!$G$13*('Batt IN'!$E$13/12)*'Batt IN'!$E$12,0)</f>
        <v>0</v>
      </c>
      <c r="BE19" s="10">
        <f>IF('Batt IN'!$E$11="Taxable",$S19*'Batt IN'!$G$15*'Batt IN'!$E$28*'Batt IN'!$E$14/1000,0)</f>
        <v>0</v>
      </c>
      <c r="BF19" s="10">
        <f>IF('Batt IN'!$E$11="Taxable",'Batt IN'!$E$21*'Batt IN'!$G$21/12,0)</f>
        <v>0</v>
      </c>
      <c r="BG19" s="10">
        <f>IF('Batt IN'!$E$11="Taxable",'Batt IN'!$E$22*'Batt IN'!$G$22/12,0)</f>
        <v>0</v>
      </c>
      <c r="BK19" s="10">
        <f>IF('Batt IN'!$N$18="Yes",-BattLoan!H47,-BattLoan!L47)</f>
        <v>0</v>
      </c>
      <c r="BL19" s="10">
        <f>IF('Batt IN'!$N$18="Yes",-BattLoan!F47,0)</f>
        <v>0</v>
      </c>
      <c r="BM19" s="10">
        <f>IF(AND('Batt IN'!$D$44="YES",$C19&lt;='Batt IN'!$E$44*12),0,-'Batt IN'!$E$28*'Batt IN'!$E$42/12)</f>
        <v>-83.333333333333329</v>
      </c>
      <c r="BN19" s="10">
        <f>IF(AND('Batt IN'!$D$46="YES",$C19&lt;='Batt IN'!$E$46*12),0,-'Batt IN'!$E$28*'Batt IN'!$E$45/12)</f>
        <v>-166.66666666666666</v>
      </c>
      <c r="BO19" s="2">
        <f>IF(AND('Batt IN'!$D$41="YES",BattCalcs!C19=ROUNDUP('Batt IN'!$H$41*12,)),-'Batt IN'!$E$41*'Batt IN'!$E$28,0)</f>
        <v>0</v>
      </c>
      <c r="BP19" s="2">
        <f>IF(AND('Batt IN'!$D$53="Yes",$AL$1&gt;=1),0,IF($C19='Batt IN'!$H$54*12,-'Batt IN'!$F$54,0))</f>
        <v>0</v>
      </c>
      <c r="BQ19" s="2">
        <f>IF(AND('Batt IN'!$D$53="Yes",$AL$1&gt;=2),0,IF($C19='Batt IN'!$H$55*12,-'Batt IN'!$F$55,0))</f>
        <v>0</v>
      </c>
      <c r="BR19" s="2">
        <f>IF(AND('Batt IN'!$D$53="Yes",$AL$1&gt;=3),0,IF($C19='Batt IN'!$H$56*12,-'Batt IN'!$F$56,0))</f>
        <v>0</v>
      </c>
      <c r="BS19" s="2">
        <f>IF(AND('Batt IN'!$D$53="Yes",$AL$1&gt;=4),0,IF($C19='Batt IN'!$H$57*12,-'Batt IN'!$F$57,0))</f>
        <v>0</v>
      </c>
      <c r="BT19" s="2">
        <f>IF(AND('Batt IN'!$D$53="Yes",$AL$1&gt;=5),0,IF($C19='Batt IN'!$H$58*12,-'Batt IN'!$F$58,0))</f>
        <v>0</v>
      </c>
      <c r="BU19" s="2">
        <f>-AH19*PVCalcs!F19</f>
        <v>-407.96729701454188</v>
      </c>
      <c r="BV19" s="2">
        <f>-'Batt IN'!$E$47</f>
        <v>-150</v>
      </c>
      <c r="BW19" s="2">
        <f>-'Batt IN'!$E$49</f>
        <v>-2250</v>
      </c>
      <c r="BX19" s="2">
        <f>IF('Batt IN'!$H$50="No",-(BC19*'Batt IN'!$E$50),-(BC19+BE19)*'Batt IN'!$E$50)</f>
        <v>0</v>
      </c>
      <c r="BY19" s="2">
        <f>IF(C19='Batt IN'!$H$43*12,-'Batt IN'!$E$43,0)</f>
        <v>0</v>
      </c>
      <c r="BZ19" s="38"/>
      <c r="CA19" s="10">
        <f t="shared" si="0"/>
        <v>13817.323408333334</v>
      </c>
      <c r="CB19" s="2">
        <f t="shared" si="6"/>
        <v>-3057.9672970145421</v>
      </c>
      <c r="CC19" s="45">
        <f t="shared" si="7"/>
        <v>10759.356111318792</v>
      </c>
      <c r="CD19" s="43"/>
      <c r="CE19" s="2">
        <f t="shared" si="8"/>
        <v>0</v>
      </c>
      <c r="CF19" s="2">
        <f t="shared" si="9"/>
        <v>-3057.9672970145421</v>
      </c>
      <c r="CG19" s="2"/>
      <c r="CH19" s="2">
        <f t="shared" si="10"/>
        <v>-3057.9672970145421</v>
      </c>
      <c r="CI19" s="45">
        <f>-CH19*'Batt IN'!$E$7</f>
        <v>642.17313237305382</v>
      </c>
      <c r="CJ19" s="48"/>
      <c r="CK19" s="45">
        <f>IF('Batt IN'!$F$4="PV Only",0,IF(C19&gt;'Batt IN'!$H$43*12,0,CC19+CI19))</f>
        <v>0</v>
      </c>
      <c r="CM19" s="10">
        <f t="shared" si="11"/>
        <v>0</v>
      </c>
      <c r="CN19" s="2">
        <f>CK19/(1+('Batt IN'!$G$8))^(C19)</f>
        <v>0</v>
      </c>
      <c r="CO19" s="2">
        <f>IF(C19&lt;='Batt IN'!$O$30*12,CN19+CO18,NA())</f>
        <v>0</v>
      </c>
      <c r="CQ19" s="2">
        <f>CK19/((1+('Batt IN'!$E$8/12))^BattCalcs!C19)</f>
        <v>0</v>
      </c>
      <c r="CS19" s="10">
        <f t="shared" si="12"/>
        <v>-3057.9672970145421</v>
      </c>
      <c r="CT19" s="10">
        <f t="shared" si="13"/>
        <v>0</v>
      </c>
      <c r="CU19" s="10">
        <f t="shared" si="14"/>
        <v>-3057.9672970145421</v>
      </c>
      <c r="CV19" s="10">
        <f t="shared" si="15"/>
        <v>-3057.9672970145421</v>
      </c>
      <c r="CW19" s="2">
        <f t="shared" si="1"/>
        <v>0</v>
      </c>
      <c r="CX19" s="2">
        <f>-(SUM(CV19:CW19)*'PV IN'!$E$8)</f>
        <v>642.17313237305382</v>
      </c>
      <c r="CY19" s="2">
        <f t="shared" si="16"/>
        <v>-2415.7941646414884</v>
      </c>
      <c r="CZ19" s="2">
        <f>IF(C19&lt;='Batt IN'!$H$43*12,CY19/(1+('PV IN'!$G$9))^(C19),0)</f>
        <v>-2272.8632368103235</v>
      </c>
      <c r="DA19" s="33">
        <f>IF(C19&lt;='Batt IN'!$H$43*12,AE19,0)</f>
        <v>36250.116666666669</v>
      </c>
    </row>
    <row r="20" spans="1:105" x14ac:dyDescent="0.25">
      <c r="A20">
        <f>IF(C20&lt;='Batt IN'!$H$43*12,C20,"")</f>
        <v>16</v>
      </c>
      <c r="C20">
        <v>16</v>
      </c>
      <c r="D20" s="21">
        <v>730</v>
      </c>
      <c r="E20" s="1">
        <f>1-'Batt IN'!$E$31</f>
        <v>2.0000000000000018E-2</v>
      </c>
      <c r="F20" s="12">
        <f>('Batt IN'!$E$33*365)/8760</f>
        <v>0</v>
      </c>
      <c r="G20" s="22">
        <f>'Batt IN'!$E$32/8760</f>
        <v>5.7077625570776253E-3</v>
      </c>
      <c r="H20" s="22">
        <f>'Batt IN'!$E$13/8760</f>
        <v>5.5936073059360729E-3</v>
      </c>
      <c r="I20" s="23">
        <f>IF(C20&lt;='Batt IN'!$G$14*12,'Batt IN'!$E$15/8760*'Batt IN'!$G$15,0)</f>
        <v>6.8493150684931503E-3</v>
      </c>
      <c r="J20" s="12">
        <f>Z20/'Batt IN'!$E$27/730</f>
        <v>2.4999999999999996E-3</v>
      </c>
      <c r="K20" s="23">
        <f>AA20/'Batt IN'!$E$27/730</f>
        <v>1.6027397260273972E-3</v>
      </c>
      <c r="L20" s="23">
        <f>AB20/'Batt IN'!$E$27/730</f>
        <v>2.0547945205479451E-4</v>
      </c>
      <c r="M20" s="23">
        <f>AC20/'Batt IN'!$E$27/730</f>
        <v>4.7945205479452057E-3</v>
      </c>
      <c r="N20" s="23">
        <f>AD20/'Batt IN'!$E$27/730</f>
        <v>3.4246575342465752E-3</v>
      </c>
      <c r="O20" s="12">
        <f t="shared" si="2"/>
        <v>5.0678082191780847E-2</v>
      </c>
      <c r="P20" s="21">
        <f t="shared" si="3"/>
        <v>693.005</v>
      </c>
      <c r="Q20" s="2">
        <f>IF('Batt IN'!$E$27*'Batt IN'!$E$24&lt;='Batt IN'!$E$28,(('Batt IN'!$E$23*'Batt IN'!$E$27*'Batt IN'!$E$24)/1000)*P20,(('Batt IN'!$E$23*'Batt IN'!$E$28*'Batt IN'!$E$24)/1000)*P20)</f>
        <v>11088.08</v>
      </c>
      <c r="R20" s="2"/>
      <c r="S20" s="77">
        <f>IF(C20&lt;='Batt IN'!$G$14*12,'Batt IN'!$E$15/12,0)</f>
        <v>8.3333333333333339</v>
      </c>
      <c r="T20" s="77"/>
      <c r="U20" s="80">
        <f>'Batt IN'!$E$28*('Batt IN'!$G$24/24)*730*(1-O20)</f>
        <v>80850.583333333328</v>
      </c>
      <c r="V20" s="78">
        <f>U20*'Batt IN'!$F$30</f>
        <v>16170.116666666667</v>
      </c>
      <c r="W20" s="78">
        <f>'Batt IN'!$E$28*'Batt IN'!$G$32*('Batt IN'!$E$32/12)*(1+'Batt IN'!$F$30)</f>
        <v>1750.0000000000002</v>
      </c>
      <c r="X20" s="78">
        <f>'Batt IN'!$E$28*'Batt IN'!$G$13*('Batt IN'!$E$13/12)*(1+'Batt IN'!$F$30)</f>
        <v>3184.9999999999995</v>
      </c>
      <c r="Y20" s="33">
        <f>S20*'Batt IN'!$G$15*'Batt IN'!$E$28*(1+'Batt IN'!$F$30)</f>
        <v>6000</v>
      </c>
      <c r="Z20" s="33">
        <f>'Batt IN'!$G$16*365/12*(1+'Batt IN'!$F$30)</f>
        <v>1824.9999999999998</v>
      </c>
      <c r="AA20" s="33">
        <f>'Batt IN'!$G$17*'Batt IN'!$E$18*'Batt IN'!$G$18/12*(1+'Batt IN'!$F$30)</f>
        <v>1170</v>
      </c>
      <c r="AB20" s="33">
        <f>'Batt IN'!$G$19*'Batt IN'!$E$20*'Batt IN'!$G$20/12*(1+'Batt IN'!$F$30)</f>
        <v>150</v>
      </c>
      <c r="AC20" s="33">
        <f>'Batt IN'!$G$21*(1+'Batt IN'!$F$30)/12</f>
        <v>3500</v>
      </c>
      <c r="AD20" s="33">
        <f>'Batt IN'!$G$22*(1+'Batt IN'!$F$30)/12</f>
        <v>2500</v>
      </c>
      <c r="AE20" s="33">
        <f t="shared" si="4"/>
        <v>36250.116666666669</v>
      </c>
      <c r="AF20" s="33">
        <f>IF('PV IN'!$F$4="Battery Only",0,AE20*'Batt IN'!$E$29)</f>
        <v>30812.599166666667</v>
      </c>
      <c r="AG20" s="33">
        <f>PVCalcs!L20</f>
        <v>30812.599166666667</v>
      </c>
      <c r="AH20" s="33">
        <f t="shared" si="5"/>
        <v>5437.5175000000017</v>
      </c>
      <c r="AI20" s="33"/>
      <c r="AJ20" s="2">
        <f>IF(AND('Batt IN'!$D$53="Yes",$AL$1&gt;=1),IF($C20='Batt IN'!$H$54*12,-'Batt IN'!$F$54,0),0)</f>
        <v>0</v>
      </c>
      <c r="AK20" s="2">
        <f>IF(AND('Batt IN'!$D$53="Yes",$AL$1&gt;=2),IF($C20='Batt IN'!$H$55*12,-'Batt IN'!$F$55,0),0)</f>
        <v>0</v>
      </c>
      <c r="AL20" s="2">
        <f>IF(AND('Batt IN'!$D$53="Yes",$AL$1&gt;=3),IF($C20='Batt IN'!$H$56*12,-'Batt IN'!$F$56,0),0)</f>
        <v>0</v>
      </c>
      <c r="AM20" s="2">
        <f>IF(AND('Batt IN'!$D$53="Yes",$AL$1&gt;=4),IF($C20='Batt IN'!$H$57*12,-'Batt IN'!$F$57,0),0)</f>
        <v>0</v>
      </c>
      <c r="AN20" s="2">
        <f>IF(AND('Batt IN'!$D$53="Yes",$AL$1&gt;=5),IF($C20='Batt IN'!$H$58*12,-'Batt IN'!$F$58,0),0)</f>
        <v>0</v>
      </c>
      <c r="AO20" s="10">
        <f>IF(AND('Batt IN'!$D$44="YES",$C20&lt;='Batt IN'!$E$44*12),-'Batt IN'!$E$28*'Batt IN'!$E$42/12,0)</f>
        <v>0</v>
      </c>
      <c r="AP20" s="10">
        <f>IF(AND('Batt IN'!$D$46="YES",$C20&lt;='Batt IN'!$E$46*12),-'Batt IN'!$E$28*'Batt IN'!$E$45/12,0)</f>
        <v>0</v>
      </c>
      <c r="AR20" s="10">
        <f>BattLoan!M47</f>
        <v>0</v>
      </c>
      <c r="AS20" s="10">
        <f>'Batt IN'!$G$16*365/12*'Batt IN'!$E$16</f>
        <v>76.041666666666671</v>
      </c>
      <c r="AT20" s="10">
        <f>IF(AND('Batt IN'!$E$18&gt;0,'Batt IN'!$G$18&gt;0),'Batt IN'!$E$17*'Batt IN'!$G$17,0)</f>
        <v>119.44619999999999</v>
      </c>
      <c r="AU20" s="10">
        <f>IF(AND('Batt IN'!$E$20&gt;0,'Batt IN'!$G$20&gt;0),'Batt IN'!$E$19*'Batt IN'!$G$19,0)</f>
        <v>231</v>
      </c>
      <c r="AV20" s="10"/>
      <c r="AW20" s="10"/>
      <c r="AX20" s="10">
        <f>IF('Batt IN'!$E$11="Non-Taxable",Q20,0)</f>
        <v>11088.08</v>
      </c>
      <c r="AY20" s="10">
        <f>IF('Batt IN'!$E$11="Non-Taxable",'Batt IN'!$E$28/1000*'Batt IN'!$G$13*('Batt IN'!$E$13/12)*'Batt IN'!$E$12,0)</f>
        <v>244.42220833333334</v>
      </c>
      <c r="AZ20" s="10">
        <f>IF('Batt IN'!$E$11="Non-Taxable",$S20*'Batt IN'!$G$15*'Batt IN'!$E$28*'Batt IN'!$E$14/1000,0)</f>
        <v>475</v>
      </c>
      <c r="BA20" s="10">
        <f>IF('Batt IN'!$E$11="Non-Taxable",'Batt IN'!$E$21*'Batt IN'!$G$21/12,0)</f>
        <v>437.5</v>
      </c>
      <c r="BB20" s="10">
        <f>IF('Batt IN'!$E$11="Non-Taxable",'Batt IN'!$E$22*'Batt IN'!$G$22/12,0)</f>
        <v>1145.8333333333335</v>
      </c>
      <c r="BC20" s="10">
        <f>IF('Batt IN'!$E$11="Taxable",Q20,0)</f>
        <v>0</v>
      </c>
      <c r="BD20" s="10">
        <f>IF('Batt IN'!$E$11="Taxable",'Batt IN'!$E$28/1000*'Batt IN'!$G$13*('Batt IN'!$E$13/12)*'Batt IN'!$E$12,0)</f>
        <v>0</v>
      </c>
      <c r="BE20" s="10">
        <f>IF('Batt IN'!$E$11="Taxable",$S20*'Batt IN'!$G$15*'Batt IN'!$E$28*'Batt IN'!$E$14/1000,0)</f>
        <v>0</v>
      </c>
      <c r="BF20" s="10">
        <f>IF('Batt IN'!$E$11="Taxable",'Batt IN'!$E$21*'Batt IN'!$G$21/12,0)</f>
        <v>0</v>
      </c>
      <c r="BG20" s="10">
        <f>IF('Batt IN'!$E$11="Taxable",'Batt IN'!$E$22*'Batt IN'!$G$22/12,0)</f>
        <v>0</v>
      </c>
      <c r="BK20" s="10">
        <f>IF('Batt IN'!$N$18="Yes",-BattLoan!H48,-BattLoan!L48)</f>
        <v>0</v>
      </c>
      <c r="BL20" s="10">
        <f>IF('Batt IN'!$N$18="Yes",-BattLoan!F48,0)</f>
        <v>0</v>
      </c>
      <c r="BM20" s="10">
        <f>IF(AND('Batt IN'!$D$44="YES",$C20&lt;='Batt IN'!$E$44*12),0,-'Batt IN'!$E$28*'Batt IN'!$E$42/12)</f>
        <v>-83.333333333333329</v>
      </c>
      <c r="BN20" s="10">
        <f>IF(AND('Batt IN'!$D$46="YES",$C20&lt;='Batt IN'!$E$46*12),0,-'Batt IN'!$E$28*'Batt IN'!$E$45/12)</f>
        <v>-166.66666666666666</v>
      </c>
      <c r="BO20" s="2">
        <f>IF(AND('Batt IN'!$D$41="YES",BattCalcs!C20=ROUNDUP('Batt IN'!$H$41*12,)),-'Batt IN'!$E$41*'Batt IN'!$E$28,0)</f>
        <v>0</v>
      </c>
      <c r="BP20" s="2">
        <f>IF(AND('Batt IN'!$D$53="Yes",$AL$1&gt;=1),0,IF($C20='Batt IN'!$H$54*12,-'Batt IN'!$F$54,0))</f>
        <v>0</v>
      </c>
      <c r="BQ20" s="2">
        <f>IF(AND('Batt IN'!$D$53="Yes",$AL$1&gt;=2),0,IF($C20='Batt IN'!$H$55*12,-'Batt IN'!$F$55,0))</f>
        <v>0</v>
      </c>
      <c r="BR20" s="2">
        <f>IF(AND('Batt IN'!$D$53="Yes",$AL$1&gt;=3),0,IF($C20='Batt IN'!$H$56*12,-'Batt IN'!$F$56,0))</f>
        <v>0</v>
      </c>
      <c r="BS20" s="2">
        <f>IF(AND('Batt IN'!$D$53="Yes",$AL$1&gt;=4),0,IF($C20='Batt IN'!$H$57*12,-'Batt IN'!$F$57,0))</f>
        <v>0</v>
      </c>
      <c r="BT20" s="2">
        <f>IF(AND('Batt IN'!$D$53="Yes",$AL$1&gt;=5),0,IF($C20='Batt IN'!$H$58*12,-'Batt IN'!$F$58,0))</f>
        <v>0</v>
      </c>
      <c r="BU20" s="2">
        <f>-AH20*PVCalcs!F20</f>
        <v>-407.96729701454188</v>
      </c>
      <c r="BV20" s="2">
        <f>-'Batt IN'!$E$47</f>
        <v>-150</v>
      </c>
      <c r="BW20" s="2">
        <f>-'Batt IN'!$E$49</f>
        <v>-2250</v>
      </c>
      <c r="BX20" s="2">
        <f>IF('Batt IN'!$H$50="No",-(BC20*'Batt IN'!$E$50),-(BC20+BE20)*'Batt IN'!$E$50)</f>
        <v>0</v>
      </c>
      <c r="BY20" s="2">
        <f>IF(C20='Batt IN'!$H$43*12,-'Batt IN'!$E$43,0)</f>
        <v>0</v>
      </c>
      <c r="BZ20" s="38"/>
      <c r="CA20" s="10">
        <f t="shared" si="0"/>
        <v>13817.323408333334</v>
      </c>
      <c r="CB20" s="2">
        <f t="shared" si="6"/>
        <v>-3057.9672970145421</v>
      </c>
      <c r="CC20" s="45">
        <f t="shared" si="7"/>
        <v>10759.356111318792</v>
      </c>
      <c r="CD20" s="43"/>
      <c r="CE20" s="2">
        <f t="shared" si="8"/>
        <v>0</v>
      </c>
      <c r="CF20" s="2">
        <f t="shared" si="9"/>
        <v>-3057.9672970145421</v>
      </c>
      <c r="CG20" s="2"/>
      <c r="CH20" s="2">
        <f t="shared" si="10"/>
        <v>-3057.9672970145421</v>
      </c>
      <c r="CI20" s="45">
        <f>-CH20*'Batt IN'!$E$7</f>
        <v>642.17313237305382</v>
      </c>
      <c r="CJ20" s="48"/>
      <c r="CK20" s="45">
        <f>IF('Batt IN'!$F$4="PV Only",0,IF(C20&gt;'Batt IN'!$H$43*12,0,CC20+CI20))</f>
        <v>0</v>
      </c>
      <c r="CM20" s="10">
        <f t="shared" si="11"/>
        <v>0</v>
      </c>
      <c r="CN20" s="2">
        <f>CK20/(1+('Batt IN'!$G$8))^(C20)</f>
        <v>0</v>
      </c>
      <c r="CO20" s="2">
        <f>IF(C20&lt;='Batt IN'!$O$30*12,CN20+CO19,NA())</f>
        <v>0</v>
      </c>
      <c r="CQ20" s="2">
        <f>CK20/((1+('Batt IN'!$E$8/12))^BattCalcs!C20)</f>
        <v>0</v>
      </c>
      <c r="CS20" s="10">
        <f t="shared" si="12"/>
        <v>-3057.9672970145421</v>
      </c>
      <c r="CT20" s="10">
        <f t="shared" si="13"/>
        <v>0</v>
      </c>
      <c r="CU20" s="10">
        <f t="shared" si="14"/>
        <v>-3057.9672970145421</v>
      </c>
      <c r="CV20" s="10">
        <f t="shared" si="15"/>
        <v>-3057.9672970145421</v>
      </c>
      <c r="CW20" s="2">
        <f t="shared" si="1"/>
        <v>0</v>
      </c>
      <c r="CX20" s="2">
        <f>-(SUM(CV20:CW20)*'PV IN'!$E$8)</f>
        <v>642.17313237305382</v>
      </c>
      <c r="CY20" s="2">
        <f t="shared" si="16"/>
        <v>-2415.7941646414884</v>
      </c>
      <c r="CZ20" s="2">
        <f>IF(C20&lt;='Batt IN'!$H$43*12,CY20/(1+('PV IN'!$G$9))^(C20),0)</f>
        <v>-2263.6408836486116</v>
      </c>
      <c r="DA20" s="33">
        <f>IF(C20&lt;='Batt IN'!$H$43*12,AE20,0)</f>
        <v>36250.116666666669</v>
      </c>
    </row>
    <row r="21" spans="1:105" x14ac:dyDescent="0.25">
      <c r="A21">
        <f>IF(C21&lt;='Batt IN'!$H$43*12,C21,"")</f>
        <v>17</v>
      </c>
      <c r="C21">
        <v>17</v>
      </c>
      <c r="D21" s="21">
        <v>730</v>
      </c>
      <c r="E21" s="1">
        <f>1-'Batt IN'!$E$31</f>
        <v>2.0000000000000018E-2</v>
      </c>
      <c r="F21" s="12">
        <f>('Batt IN'!$E$33*365)/8760</f>
        <v>0</v>
      </c>
      <c r="G21" s="22">
        <f>'Batt IN'!$E$32/8760</f>
        <v>5.7077625570776253E-3</v>
      </c>
      <c r="H21" s="22">
        <f>'Batt IN'!$E$13/8760</f>
        <v>5.5936073059360729E-3</v>
      </c>
      <c r="I21" s="23">
        <f>IF(C21&lt;='Batt IN'!$G$14*12,'Batt IN'!$E$15/8760*'Batt IN'!$G$15,0)</f>
        <v>6.8493150684931503E-3</v>
      </c>
      <c r="J21" s="12">
        <f>Z21/'Batt IN'!$E$27/730</f>
        <v>2.4999999999999996E-3</v>
      </c>
      <c r="K21" s="23">
        <f>AA21/'Batt IN'!$E$27/730</f>
        <v>1.6027397260273972E-3</v>
      </c>
      <c r="L21" s="23">
        <f>AB21/'Batt IN'!$E$27/730</f>
        <v>2.0547945205479451E-4</v>
      </c>
      <c r="M21" s="23">
        <f>AC21/'Batt IN'!$E$27/730</f>
        <v>4.7945205479452057E-3</v>
      </c>
      <c r="N21" s="23">
        <f>AD21/'Batt IN'!$E$27/730</f>
        <v>3.4246575342465752E-3</v>
      </c>
      <c r="O21" s="12">
        <f t="shared" si="2"/>
        <v>5.0678082191780847E-2</v>
      </c>
      <c r="P21" s="21">
        <f t="shared" si="3"/>
        <v>693.005</v>
      </c>
      <c r="Q21" s="2">
        <f>IF('Batt IN'!$E$27*'Batt IN'!$E$24&lt;='Batt IN'!$E$28,(('Batt IN'!$E$23*'Batt IN'!$E$27*'Batt IN'!$E$24)/1000)*P21,(('Batt IN'!$E$23*'Batt IN'!$E$28*'Batt IN'!$E$24)/1000)*P21)</f>
        <v>11088.08</v>
      </c>
      <c r="R21" s="2"/>
      <c r="S21" s="77">
        <f>IF(C21&lt;='Batt IN'!$G$14*12,'Batt IN'!$E$15/12,0)</f>
        <v>8.3333333333333339</v>
      </c>
      <c r="T21" s="77"/>
      <c r="U21" s="80">
        <f>'Batt IN'!$E$28*('Batt IN'!$G$24/24)*730*(1-O21)</f>
        <v>80850.583333333328</v>
      </c>
      <c r="V21" s="78">
        <f>U21*'Batt IN'!$F$30</f>
        <v>16170.116666666667</v>
      </c>
      <c r="W21" s="78">
        <f>'Batt IN'!$E$28*'Batt IN'!$G$32*('Batt IN'!$E$32/12)*(1+'Batt IN'!$F$30)</f>
        <v>1750.0000000000002</v>
      </c>
      <c r="X21" s="78">
        <f>'Batt IN'!$E$28*'Batt IN'!$G$13*('Batt IN'!$E$13/12)*(1+'Batt IN'!$F$30)</f>
        <v>3184.9999999999995</v>
      </c>
      <c r="Y21" s="33">
        <f>S21*'Batt IN'!$G$15*'Batt IN'!$E$28*(1+'Batt IN'!$F$30)</f>
        <v>6000</v>
      </c>
      <c r="Z21" s="33">
        <f>'Batt IN'!$G$16*365/12*(1+'Batt IN'!$F$30)</f>
        <v>1824.9999999999998</v>
      </c>
      <c r="AA21" s="33">
        <f>'Batt IN'!$G$17*'Batt IN'!$E$18*'Batt IN'!$G$18/12*(1+'Batt IN'!$F$30)</f>
        <v>1170</v>
      </c>
      <c r="AB21" s="33">
        <f>'Batt IN'!$G$19*'Batt IN'!$E$20*'Batt IN'!$G$20/12*(1+'Batt IN'!$F$30)</f>
        <v>150</v>
      </c>
      <c r="AC21" s="33">
        <f>'Batt IN'!$G$21*(1+'Batt IN'!$F$30)/12</f>
        <v>3500</v>
      </c>
      <c r="AD21" s="33">
        <f>'Batt IN'!$G$22*(1+'Batt IN'!$F$30)/12</f>
        <v>2500</v>
      </c>
      <c r="AE21" s="33">
        <f t="shared" si="4"/>
        <v>36250.116666666669</v>
      </c>
      <c r="AF21" s="33">
        <f>IF('PV IN'!$F$4="Battery Only",0,AE21*'Batt IN'!$E$29)</f>
        <v>30812.599166666667</v>
      </c>
      <c r="AG21" s="33">
        <f>PVCalcs!L21</f>
        <v>30812.599166666667</v>
      </c>
      <c r="AH21" s="33">
        <f t="shared" si="5"/>
        <v>5437.5175000000017</v>
      </c>
      <c r="AI21" s="33"/>
      <c r="AJ21" s="2">
        <f>IF(AND('Batt IN'!$D$53="Yes",$AL$1&gt;=1),IF($C21='Batt IN'!$H$54*12,-'Batt IN'!$F$54,0),0)</f>
        <v>0</v>
      </c>
      <c r="AK21" s="2">
        <f>IF(AND('Batt IN'!$D$53="Yes",$AL$1&gt;=2),IF($C21='Batt IN'!$H$55*12,-'Batt IN'!$F$55,0),0)</f>
        <v>0</v>
      </c>
      <c r="AL21" s="2">
        <f>IF(AND('Batt IN'!$D$53="Yes",$AL$1&gt;=3),IF($C21='Batt IN'!$H$56*12,-'Batt IN'!$F$56,0),0)</f>
        <v>0</v>
      </c>
      <c r="AM21" s="2">
        <f>IF(AND('Batt IN'!$D$53="Yes",$AL$1&gt;=4),IF($C21='Batt IN'!$H$57*12,-'Batt IN'!$F$57,0),0)</f>
        <v>0</v>
      </c>
      <c r="AN21" s="2">
        <f>IF(AND('Batt IN'!$D$53="Yes",$AL$1&gt;=5),IF($C21='Batt IN'!$H$58*12,-'Batt IN'!$F$58,0),0)</f>
        <v>0</v>
      </c>
      <c r="AO21" s="10">
        <f>IF(AND('Batt IN'!$D$44="YES",$C21&lt;='Batt IN'!$E$44*12),-'Batt IN'!$E$28*'Batt IN'!$E$42/12,0)</f>
        <v>0</v>
      </c>
      <c r="AP21" s="10">
        <f>IF(AND('Batt IN'!$D$46="YES",$C21&lt;='Batt IN'!$E$46*12),-'Batt IN'!$E$28*'Batt IN'!$E$45/12,0)</f>
        <v>0</v>
      </c>
      <c r="AR21" s="10">
        <f>BattLoan!M48</f>
        <v>0</v>
      </c>
      <c r="AS21" s="10">
        <f>'Batt IN'!$G$16*365/12*'Batt IN'!$E$16</f>
        <v>76.041666666666671</v>
      </c>
      <c r="AT21" s="10">
        <f>IF(AND('Batt IN'!$E$18&gt;0,'Batt IN'!$G$18&gt;0),'Batt IN'!$E$17*'Batt IN'!$G$17,0)</f>
        <v>119.44619999999999</v>
      </c>
      <c r="AU21" s="10">
        <f>IF(AND('Batt IN'!$E$20&gt;0,'Batt IN'!$G$20&gt;0),'Batt IN'!$E$19*'Batt IN'!$G$19,0)</f>
        <v>231</v>
      </c>
      <c r="AV21" s="10"/>
      <c r="AW21" s="10"/>
      <c r="AX21" s="10">
        <f>IF('Batt IN'!$E$11="Non-Taxable",Q21,0)</f>
        <v>11088.08</v>
      </c>
      <c r="AY21" s="10">
        <f>IF('Batt IN'!$E$11="Non-Taxable",'Batt IN'!$E$28/1000*'Batt IN'!$G$13*('Batt IN'!$E$13/12)*'Batt IN'!$E$12,0)</f>
        <v>244.42220833333334</v>
      </c>
      <c r="AZ21" s="10">
        <f>IF('Batt IN'!$E$11="Non-Taxable",$S21*'Batt IN'!$G$15*'Batt IN'!$E$28*'Batt IN'!$E$14/1000,0)</f>
        <v>475</v>
      </c>
      <c r="BA21" s="10">
        <f>IF('Batt IN'!$E$11="Non-Taxable",'Batt IN'!$E$21*'Batt IN'!$G$21/12,0)</f>
        <v>437.5</v>
      </c>
      <c r="BB21" s="10">
        <f>IF('Batt IN'!$E$11="Non-Taxable",'Batt IN'!$E$22*'Batt IN'!$G$22/12,0)</f>
        <v>1145.8333333333335</v>
      </c>
      <c r="BC21" s="10">
        <f>IF('Batt IN'!$E$11="Taxable",Q21,0)</f>
        <v>0</v>
      </c>
      <c r="BD21" s="10">
        <f>IF('Batt IN'!$E$11="Taxable",'Batt IN'!$E$28/1000*'Batt IN'!$G$13*('Batt IN'!$E$13/12)*'Batt IN'!$E$12,0)</f>
        <v>0</v>
      </c>
      <c r="BE21" s="10">
        <f>IF('Batt IN'!$E$11="Taxable",$S21*'Batt IN'!$G$15*'Batt IN'!$E$28*'Batt IN'!$E$14/1000,0)</f>
        <v>0</v>
      </c>
      <c r="BF21" s="10">
        <f>IF('Batt IN'!$E$11="Taxable",'Batt IN'!$E$21*'Batt IN'!$G$21/12,0)</f>
        <v>0</v>
      </c>
      <c r="BG21" s="10">
        <f>IF('Batt IN'!$E$11="Taxable",'Batt IN'!$E$22*'Batt IN'!$G$22/12,0)</f>
        <v>0</v>
      </c>
      <c r="BK21" s="10">
        <f>IF('Batt IN'!$N$18="Yes",-BattLoan!H49,-BattLoan!L49)</f>
        <v>0</v>
      </c>
      <c r="BL21" s="10">
        <f>IF('Batt IN'!$N$18="Yes",-BattLoan!F49,0)</f>
        <v>0</v>
      </c>
      <c r="BM21" s="10">
        <f>IF(AND('Batt IN'!$D$44="YES",$C21&lt;='Batt IN'!$E$44*12),0,-'Batt IN'!$E$28*'Batt IN'!$E$42/12)</f>
        <v>-83.333333333333329</v>
      </c>
      <c r="BN21" s="10">
        <f>IF(AND('Batt IN'!$D$46="YES",$C21&lt;='Batt IN'!$E$46*12),0,-'Batt IN'!$E$28*'Batt IN'!$E$45/12)</f>
        <v>-166.66666666666666</v>
      </c>
      <c r="BO21" s="2">
        <f>IF(AND('Batt IN'!$D$41="YES",BattCalcs!C21=ROUNDUP('Batt IN'!$H$41*12,)),-'Batt IN'!$E$41*'Batt IN'!$E$28,0)</f>
        <v>0</v>
      </c>
      <c r="BP21" s="2">
        <f>IF(AND('Batt IN'!$D$53="Yes",$AL$1&gt;=1),0,IF($C21='Batt IN'!$H$54*12,-'Batt IN'!$F$54,0))</f>
        <v>0</v>
      </c>
      <c r="BQ21" s="2">
        <f>IF(AND('Batt IN'!$D$53="Yes",$AL$1&gt;=2),0,IF($C21='Batt IN'!$H$55*12,-'Batt IN'!$F$55,0))</f>
        <v>0</v>
      </c>
      <c r="BR21" s="2">
        <f>IF(AND('Batt IN'!$D$53="Yes",$AL$1&gt;=3),0,IF($C21='Batt IN'!$H$56*12,-'Batt IN'!$F$56,0))</f>
        <v>0</v>
      </c>
      <c r="BS21" s="2">
        <f>IF(AND('Batt IN'!$D$53="Yes",$AL$1&gt;=4),0,IF($C21='Batt IN'!$H$57*12,-'Batt IN'!$F$57,0))</f>
        <v>0</v>
      </c>
      <c r="BT21" s="2">
        <f>IF(AND('Batt IN'!$D$53="Yes",$AL$1&gt;=5),0,IF($C21='Batt IN'!$H$58*12,-'Batt IN'!$F$58,0))</f>
        <v>0</v>
      </c>
      <c r="BU21" s="2">
        <f>-AH21*PVCalcs!F21</f>
        <v>-407.96729701454188</v>
      </c>
      <c r="BV21" s="2">
        <f>-'Batt IN'!$E$47</f>
        <v>-150</v>
      </c>
      <c r="BW21" s="2">
        <f>-'Batt IN'!$E$49</f>
        <v>-2250</v>
      </c>
      <c r="BX21" s="2">
        <f>IF('Batt IN'!$H$50="No",-(BC21*'Batt IN'!$E$50),-(BC21+BE21)*'Batt IN'!$E$50)</f>
        <v>0</v>
      </c>
      <c r="BY21" s="2">
        <f>IF(C21='Batt IN'!$H$43*12,-'Batt IN'!$E$43,0)</f>
        <v>0</v>
      </c>
      <c r="BZ21" s="38"/>
      <c r="CA21" s="10">
        <f t="shared" si="0"/>
        <v>13817.323408333334</v>
      </c>
      <c r="CB21" s="2">
        <f t="shared" si="6"/>
        <v>-3057.9672970145421</v>
      </c>
      <c r="CC21" s="45">
        <f t="shared" si="7"/>
        <v>10759.356111318792</v>
      </c>
      <c r="CD21" s="43"/>
      <c r="CE21" s="2">
        <f t="shared" si="8"/>
        <v>0</v>
      </c>
      <c r="CF21" s="2">
        <f t="shared" si="9"/>
        <v>-3057.9672970145421</v>
      </c>
      <c r="CG21" s="2"/>
      <c r="CH21" s="2">
        <f t="shared" si="10"/>
        <v>-3057.9672970145421</v>
      </c>
      <c r="CI21" s="45">
        <f>-CH21*'Batt IN'!$E$7</f>
        <v>642.17313237305382</v>
      </c>
      <c r="CJ21" s="48"/>
      <c r="CK21" s="45">
        <f>IF('Batt IN'!$F$4="PV Only",0,IF(C21&gt;'Batt IN'!$H$43*12,0,CC21+CI21))</f>
        <v>0</v>
      </c>
      <c r="CM21" s="10">
        <f t="shared" si="11"/>
        <v>0</v>
      </c>
      <c r="CN21" s="2">
        <f>CK21/(1+('Batt IN'!$G$8))^(C21)</f>
        <v>0</v>
      </c>
      <c r="CO21" s="2">
        <f>IF(C21&lt;='Batt IN'!$O$30*12,CN21+CO20,NA())</f>
        <v>0</v>
      </c>
      <c r="CQ21" s="2">
        <f>CK21/((1+('Batt IN'!$E$8/12))^BattCalcs!C21)</f>
        <v>0</v>
      </c>
      <c r="CS21" s="10">
        <f t="shared" si="12"/>
        <v>-3057.9672970145421</v>
      </c>
      <c r="CT21" s="10">
        <f t="shared" si="13"/>
        <v>0</v>
      </c>
      <c r="CU21" s="10">
        <f t="shared" si="14"/>
        <v>-3057.9672970145421</v>
      </c>
      <c r="CV21" s="10">
        <f t="shared" si="15"/>
        <v>-3057.9672970145421</v>
      </c>
      <c r="CW21" s="2">
        <f t="shared" si="1"/>
        <v>0</v>
      </c>
      <c r="CX21" s="2">
        <f>-(SUM(CV21:CW21)*'PV IN'!$E$8)</f>
        <v>642.17313237305382</v>
      </c>
      <c r="CY21" s="2">
        <f t="shared" si="16"/>
        <v>-2415.7941646414884</v>
      </c>
      <c r="CZ21" s="2">
        <f>IF(C21&lt;='Batt IN'!$H$43*12,CY21/(1+('PV IN'!$G$9))^(C21),0)</f>
        <v>-2254.4559510392951</v>
      </c>
      <c r="DA21" s="33">
        <f>IF(C21&lt;='Batt IN'!$H$43*12,AE21,0)</f>
        <v>36250.116666666669</v>
      </c>
    </row>
    <row r="22" spans="1:105" x14ac:dyDescent="0.25">
      <c r="A22">
        <f>IF(C22&lt;='Batt IN'!$H$43*12,C22,"")</f>
        <v>18</v>
      </c>
      <c r="C22">
        <v>18</v>
      </c>
      <c r="D22" s="21">
        <v>730</v>
      </c>
      <c r="E22" s="1">
        <f>1-'Batt IN'!$E$31</f>
        <v>2.0000000000000018E-2</v>
      </c>
      <c r="F22" s="12">
        <f>('Batt IN'!$E$33*365)/8760</f>
        <v>0</v>
      </c>
      <c r="G22" s="22">
        <f>'Batt IN'!$E$32/8760</f>
        <v>5.7077625570776253E-3</v>
      </c>
      <c r="H22" s="22">
        <f>'Batt IN'!$E$13/8760</f>
        <v>5.5936073059360729E-3</v>
      </c>
      <c r="I22" s="23">
        <f>IF(C22&lt;='Batt IN'!$G$14*12,'Batt IN'!$E$15/8760*'Batt IN'!$G$15,0)</f>
        <v>6.8493150684931503E-3</v>
      </c>
      <c r="J22" s="12">
        <f>Z22/'Batt IN'!$E$27/730</f>
        <v>2.4999999999999996E-3</v>
      </c>
      <c r="K22" s="23">
        <f>AA22/'Batt IN'!$E$27/730</f>
        <v>1.6027397260273972E-3</v>
      </c>
      <c r="L22" s="23">
        <f>AB22/'Batt IN'!$E$27/730</f>
        <v>2.0547945205479451E-4</v>
      </c>
      <c r="M22" s="23">
        <f>AC22/'Batt IN'!$E$27/730</f>
        <v>4.7945205479452057E-3</v>
      </c>
      <c r="N22" s="23">
        <f>AD22/'Batt IN'!$E$27/730</f>
        <v>3.4246575342465752E-3</v>
      </c>
      <c r="O22" s="12">
        <f t="shared" si="2"/>
        <v>5.0678082191780847E-2</v>
      </c>
      <c r="P22" s="21">
        <f t="shared" si="3"/>
        <v>693.005</v>
      </c>
      <c r="Q22" s="2">
        <f>IF('Batt IN'!$E$27*'Batt IN'!$E$24&lt;='Batt IN'!$E$28,(('Batt IN'!$E$23*'Batt IN'!$E$27*'Batt IN'!$E$24)/1000)*P22,(('Batt IN'!$E$23*'Batt IN'!$E$28*'Batt IN'!$E$24)/1000)*P22)</f>
        <v>11088.08</v>
      </c>
      <c r="R22" s="2"/>
      <c r="S22" s="77">
        <f>IF(C22&lt;='Batt IN'!$G$14*12,'Batt IN'!$E$15/12,0)</f>
        <v>8.3333333333333339</v>
      </c>
      <c r="T22" s="77"/>
      <c r="U22" s="80">
        <f>'Batt IN'!$E$28*('Batt IN'!$G$24/24)*730*(1-O22)</f>
        <v>80850.583333333328</v>
      </c>
      <c r="V22" s="78">
        <f>U22*'Batt IN'!$F$30</f>
        <v>16170.116666666667</v>
      </c>
      <c r="W22" s="78">
        <f>'Batt IN'!$E$28*'Batt IN'!$G$32*('Batt IN'!$E$32/12)*(1+'Batt IN'!$F$30)</f>
        <v>1750.0000000000002</v>
      </c>
      <c r="X22" s="78">
        <f>'Batt IN'!$E$28*'Batt IN'!$G$13*('Batt IN'!$E$13/12)*(1+'Batt IN'!$F$30)</f>
        <v>3184.9999999999995</v>
      </c>
      <c r="Y22" s="33">
        <f>S22*'Batt IN'!$G$15*'Batt IN'!$E$28*(1+'Batt IN'!$F$30)</f>
        <v>6000</v>
      </c>
      <c r="Z22" s="33">
        <f>'Batt IN'!$G$16*365/12*(1+'Batt IN'!$F$30)</f>
        <v>1824.9999999999998</v>
      </c>
      <c r="AA22" s="33">
        <f>'Batt IN'!$G$17*'Batt IN'!$E$18*'Batt IN'!$G$18/12*(1+'Batt IN'!$F$30)</f>
        <v>1170</v>
      </c>
      <c r="AB22" s="33">
        <f>'Batt IN'!$G$19*'Batt IN'!$E$20*'Batt IN'!$G$20/12*(1+'Batt IN'!$F$30)</f>
        <v>150</v>
      </c>
      <c r="AC22" s="33">
        <f>'Batt IN'!$G$21*(1+'Batt IN'!$F$30)/12</f>
        <v>3500</v>
      </c>
      <c r="AD22" s="33">
        <f>'Batt IN'!$G$22*(1+'Batt IN'!$F$30)/12</f>
        <v>2500</v>
      </c>
      <c r="AE22" s="33">
        <f t="shared" si="4"/>
        <v>36250.116666666669</v>
      </c>
      <c r="AF22" s="33">
        <f>IF('PV IN'!$F$4="Battery Only",0,AE22*'Batt IN'!$E$29)</f>
        <v>30812.599166666667</v>
      </c>
      <c r="AG22" s="33">
        <f>PVCalcs!L22</f>
        <v>30812.599166666667</v>
      </c>
      <c r="AH22" s="33">
        <f t="shared" si="5"/>
        <v>5437.5175000000017</v>
      </c>
      <c r="AI22" s="33"/>
      <c r="AJ22" s="2">
        <f>IF(AND('Batt IN'!$D$53="Yes",$AL$1&gt;=1),IF($C22='Batt IN'!$H$54*12,-'Batt IN'!$F$54,0),0)</f>
        <v>0</v>
      </c>
      <c r="AK22" s="2">
        <f>IF(AND('Batt IN'!$D$53="Yes",$AL$1&gt;=2),IF($C22='Batt IN'!$H$55*12,-'Batt IN'!$F$55,0),0)</f>
        <v>0</v>
      </c>
      <c r="AL22" s="2">
        <f>IF(AND('Batt IN'!$D$53="Yes",$AL$1&gt;=3),IF($C22='Batt IN'!$H$56*12,-'Batt IN'!$F$56,0),0)</f>
        <v>0</v>
      </c>
      <c r="AM22" s="2">
        <f>IF(AND('Batt IN'!$D$53="Yes",$AL$1&gt;=4),IF($C22='Batt IN'!$H$57*12,-'Batt IN'!$F$57,0),0)</f>
        <v>0</v>
      </c>
      <c r="AN22" s="2">
        <f>IF(AND('Batt IN'!$D$53="Yes",$AL$1&gt;=5),IF($C22='Batt IN'!$H$58*12,-'Batt IN'!$F$58,0),0)</f>
        <v>0</v>
      </c>
      <c r="AO22" s="10">
        <f>IF(AND('Batt IN'!$D$44="YES",$C22&lt;='Batt IN'!$E$44*12),-'Batt IN'!$E$28*'Batt IN'!$E$42/12,0)</f>
        <v>0</v>
      </c>
      <c r="AP22" s="10">
        <f>IF(AND('Batt IN'!$D$46="YES",$C22&lt;='Batt IN'!$E$46*12),-'Batt IN'!$E$28*'Batt IN'!$E$45/12,0)</f>
        <v>0</v>
      </c>
      <c r="AR22" s="10">
        <f>BattLoan!M49</f>
        <v>0</v>
      </c>
      <c r="AS22" s="10">
        <f>'Batt IN'!$G$16*365/12*'Batt IN'!$E$16</f>
        <v>76.041666666666671</v>
      </c>
      <c r="AT22" s="10">
        <f>IF(AND('Batt IN'!$E$18&gt;0,'Batt IN'!$G$18&gt;0),'Batt IN'!$E$17*'Batt IN'!$G$17,0)</f>
        <v>119.44619999999999</v>
      </c>
      <c r="AU22" s="10">
        <f>IF(AND('Batt IN'!$E$20&gt;0,'Batt IN'!$G$20&gt;0),'Batt IN'!$E$19*'Batt IN'!$G$19,0)</f>
        <v>231</v>
      </c>
      <c r="AV22" s="10"/>
      <c r="AW22" s="10"/>
      <c r="AX22" s="10">
        <f>IF('Batt IN'!$E$11="Non-Taxable",Q22,0)</f>
        <v>11088.08</v>
      </c>
      <c r="AY22" s="10">
        <f>IF('Batt IN'!$E$11="Non-Taxable",'Batt IN'!$E$28/1000*'Batt IN'!$G$13*('Batt IN'!$E$13/12)*'Batt IN'!$E$12,0)</f>
        <v>244.42220833333334</v>
      </c>
      <c r="AZ22" s="10">
        <f>IF('Batt IN'!$E$11="Non-Taxable",$S22*'Batt IN'!$G$15*'Batt IN'!$E$28*'Batt IN'!$E$14/1000,0)</f>
        <v>475</v>
      </c>
      <c r="BA22" s="10">
        <f>IF('Batt IN'!$E$11="Non-Taxable",'Batt IN'!$E$21*'Batt IN'!$G$21/12,0)</f>
        <v>437.5</v>
      </c>
      <c r="BB22" s="10">
        <f>IF('Batt IN'!$E$11="Non-Taxable",'Batt IN'!$E$22*'Batt IN'!$G$22/12,0)</f>
        <v>1145.8333333333335</v>
      </c>
      <c r="BC22" s="10">
        <f>IF('Batt IN'!$E$11="Taxable",Q22,0)</f>
        <v>0</v>
      </c>
      <c r="BD22" s="10">
        <f>IF('Batt IN'!$E$11="Taxable",'Batt IN'!$E$28/1000*'Batt IN'!$G$13*('Batt IN'!$E$13/12)*'Batt IN'!$E$12,0)</f>
        <v>0</v>
      </c>
      <c r="BE22" s="10">
        <f>IF('Batt IN'!$E$11="Taxable",$S22*'Batt IN'!$G$15*'Batt IN'!$E$28*'Batt IN'!$E$14/1000,0)</f>
        <v>0</v>
      </c>
      <c r="BF22" s="10">
        <f>IF('Batt IN'!$E$11="Taxable",'Batt IN'!$E$21*'Batt IN'!$G$21/12,0)</f>
        <v>0</v>
      </c>
      <c r="BG22" s="10">
        <f>IF('Batt IN'!$E$11="Taxable",'Batt IN'!$E$22*'Batt IN'!$G$22/12,0)</f>
        <v>0</v>
      </c>
      <c r="BK22" s="10">
        <f>IF('Batt IN'!$N$18="Yes",-BattLoan!H50,-BattLoan!L50)</f>
        <v>0</v>
      </c>
      <c r="BL22" s="10">
        <f>IF('Batt IN'!$N$18="Yes",-BattLoan!F50,0)</f>
        <v>0</v>
      </c>
      <c r="BM22" s="10">
        <f>IF(AND('Batt IN'!$D$44="YES",$C22&lt;='Batt IN'!$E$44*12),0,-'Batt IN'!$E$28*'Batt IN'!$E$42/12)</f>
        <v>-83.333333333333329</v>
      </c>
      <c r="BN22" s="10">
        <f>IF(AND('Batt IN'!$D$46="YES",$C22&lt;='Batt IN'!$E$46*12),0,-'Batt IN'!$E$28*'Batt IN'!$E$45/12)</f>
        <v>-166.66666666666666</v>
      </c>
      <c r="BO22" s="2">
        <f>IF(AND('Batt IN'!$D$41="YES",BattCalcs!C22=ROUNDUP('Batt IN'!$H$41*12,)),-'Batt IN'!$E$41*'Batt IN'!$E$28,0)</f>
        <v>0</v>
      </c>
      <c r="BP22" s="2">
        <f>IF(AND('Batt IN'!$D$53="Yes",$AL$1&gt;=1),0,IF($C22='Batt IN'!$H$54*12,-'Batt IN'!$F$54,0))</f>
        <v>0</v>
      </c>
      <c r="BQ22" s="2">
        <f>IF(AND('Batt IN'!$D$53="Yes",$AL$1&gt;=2),0,IF($C22='Batt IN'!$H$55*12,-'Batt IN'!$F$55,0))</f>
        <v>0</v>
      </c>
      <c r="BR22" s="2">
        <f>IF(AND('Batt IN'!$D$53="Yes",$AL$1&gt;=3),0,IF($C22='Batt IN'!$H$56*12,-'Batt IN'!$F$56,0))</f>
        <v>0</v>
      </c>
      <c r="BS22" s="2">
        <f>IF(AND('Batt IN'!$D$53="Yes",$AL$1&gt;=4),0,IF($C22='Batt IN'!$H$57*12,-'Batt IN'!$F$57,0))</f>
        <v>0</v>
      </c>
      <c r="BT22" s="2">
        <f>IF(AND('Batt IN'!$D$53="Yes",$AL$1&gt;=5),0,IF($C22='Batt IN'!$H$58*12,-'Batt IN'!$F$58,0))</f>
        <v>0</v>
      </c>
      <c r="BU22" s="2">
        <f>-AH22*PVCalcs!F22</f>
        <v>-407.96729701454188</v>
      </c>
      <c r="BV22" s="2">
        <f>-'Batt IN'!$E$47</f>
        <v>-150</v>
      </c>
      <c r="BW22" s="2">
        <f>-'Batt IN'!$E$49</f>
        <v>-2250</v>
      </c>
      <c r="BX22" s="2">
        <f>IF('Batt IN'!$H$50="No",-(BC22*'Batt IN'!$E$50),-(BC22+BE22)*'Batt IN'!$E$50)</f>
        <v>0</v>
      </c>
      <c r="BY22" s="2">
        <f>IF(C22='Batt IN'!$H$43*12,-'Batt IN'!$E$43,0)</f>
        <v>0</v>
      </c>
      <c r="BZ22" s="38"/>
      <c r="CA22" s="10">
        <f t="shared" si="0"/>
        <v>13817.323408333334</v>
      </c>
      <c r="CB22" s="2">
        <f t="shared" si="6"/>
        <v>-3057.9672970145421</v>
      </c>
      <c r="CC22" s="45">
        <f t="shared" si="7"/>
        <v>10759.356111318792</v>
      </c>
      <c r="CD22" s="43"/>
      <c r="CE22" s="2">
        <f t="shared" si="8"/>
        <v>0</v>
      </c>
      <c r="CF22" s="2">
        <f t="shared" si="9"/>
        <v>-3057.9672970145421</v>
      </c>
      <c r="CG22" s="2"/>
      <c r="CH22" s="2">
        <f t="shared" si="10"/>
        <v>-3057.9672970145421</v>
      </c>
      <c r="CI22" s="45">
        <f>-CH22*'Batt IN'!$E$7</f>
        <v>642.17313237305382</v>
      </c>
      <c r="CJ22" s="48"/>
      <c r="CK22" s="45">
        <f>IF('Batt IN'!$F$4="PV Only",0,IF(C22&gt;'Batt IN'!$H$43*12,0,CC22+CI22))</f>
        <v>0</v>
      </c>
      <c r="CM22" s="10">
        <f t="shared" si="11"/>
        <v>0</v>
      </c>
      <c r="CN22" s="2">
        <f>CK22/(1+('Batt IN'!$G$8))^(C22)</f>
        <v>0</v>
      </c>
      <c r="CO22" s="2">
        <f>IF(C22&lt;='Batt IN'!$O$30*12,CN22+CO21,NA())</f>
        <v>0</v>
      </c>
      <c r="CQ22" s="2">
        <f>CK22/((1+('Batt IN'!$E$8/12))^BattCalcs!C22)</f>
        <v>0</v>
      </c>
      <c r="CS22" s="10">
        <f t="shared" si="12"/>
        <v>-3057.9672970145421</v>
      </c>
      <c r="CT22" s="10">
        <f t="shared" si="13"/>
        <v>0</v>
      </c>
      <c r="CU22" s="10">
        <f t="shared" si="14"/>
        <v>-3057.9672970145421</v>
      </c>
      <c r="CV22" s="10">
        <f t="shared" si="15"/>
        <v>-3057.9672970145421</v>
      </c>
      <c r="CW22" s="2">
        <f t="shared" si="1"/>
        <v>0</v>
      </c>
      <c r="CX22" s="2">
        <f>-(SUM(CV22:CW22)*'PV IN'!$E$8)</f>
        <v>642.17313237305382</v>
      </c>
      <c r="CY22" s="2">
        <f t="shared" si="16"/>
        <v>-2415.7941646414884</v>
      </c>
      <c r="CZ22" s="2">
        <f>IF(C22&lt;='Batt IN'!$H$43*12,CY22/(1+('PV IN'!$G$9))^(C22),0)</f>
        <v>-2245.3082871450147</v>
      </c>
      <c r="DA22" s="33">
        <f>IF(C22&lt;='Batt IN'!$H$43*12,AE22,0)</f>
        <v>36250.116666666669</v>
      </c>
    </row>
    <row r="23" spans="1:105" x14ac:dyDescent="0.25">
      <c r="A23">
        <f>IF(C23&lt;='Batt IN'!$H$43*12,C23,"")</f>
        <v>19</v>
      </c>
      <c r="C23">
        <v>19</v>
      </c>
      <c r="D23" s="21">
        <v>730</v>
      </c>
      <c r="E23" s="1">
        <f>1-'Batt IN'!$E$31</f>
        <v>2.0000000000000018E-2</v>
      </c>
      <c r="F23" s="12">
        <f>('Batt IN'!$E$33*365)/8760</f>
        <v>0</v>
      </c>
      <c r="G23" s="22">
        <f>'Batt IN'!$E$32/8760</f>
        <v>5.7077625570776253E-3</v>
      </c>
      <c r="H23" s="22">
        <f>'Batt IN'!$E$13/8760</f>
        <v>5.5936073059360729E-3</v>
      </c>
      <c r="I23" s="23">
        <f>IF(C23&lt;='Batt IN'!$G$14*12,'Batt IN'!$E$15/8760*'Batt IN'!$G$15,0)</f>
        <v>6.8493150684931503E-3</v>
      </c>
      <c r="J23" s="12">
        <f>Z23/'Batt IN'!$E$27/730</f>
        <v>2.4999999999999996E-3</v>
      </c>
      <c r="K23" s="23">
        <f>AA23/'Batt IN'!$E$27/730</f>
        <v>1.6027397260273972E-3</v>
      </c>
      <c r="L23" s="23">
        <f>AB23/'Batt IN'!$E$27/730</f>
        <v>2.0547945205479451E-4</v>
      </c>
      <c r="M23" s="23">
        <f>AC23/'Batt IN'!$E$27/730</f>
        <v>4.7945205479452057E-3</v>
      </c>
      <c r="N23" s="23">
        <f>AD23/'Batt IN'!$E$27/730</f>
        <v>3.4246575342465752E-3</v>
      </c>
      <c r="O23" s="12">
        <f t="shared" si="2"/>
        <v>5.0678082191780847E-2</v>
      </c>
      <c r="P23" s="21">
        <f t="shared" si="3"/>
        <v>693.005</v>
      </c>
      <c r="Q23" s="2">
        <f>IF('Batt IN'!$E$27*'Batt IN'!$E$24&lt;='Batt IN'!$E$28,(('Batt IN'!$E$23*'Batt IN'!$E$27*'Batt IN'!$E$24)/1000)*P23,(('Batt IN'!$E$23*'Batt IN'!$E$28*'Batt IN'!$E$24)/1000)*P23)</f>
        <v>11088.08</v>
      </c>
      <c r="R23" s="2"/>
      <c r="S23" s="77">
        <f>IF(C23&lt;='Batt IN'!$G$14*12,'Batt IN'!$E$15/12,0)</f>
        <v>8.3333333333333339</v>
      </c>
      <c r="T23" s="77"/>
      <c r="U23" s="80">
        <f>'Batt IN'!$E$28*('Batt IN'!$G$24/24)*730*(1-O23)</f>
        <v>80850.583333333328</v>
      </c>
      <c r="V23" s="78">
        <f>U23*'Batt IN'!$F$30</f>
        <v>16170.116666666667</v>
      </c>
      <c r="W23" s="78">
        <f>'Batt IN'!$E$28*'Batt IN'!$G$32*('Batt IN'!$E$32/12)*(1+'Batt IN'!$F$30)</f>
        <v>1750.0000000000002</v>
      </c>
      <c r="X23" s="78">
        <f>'Batt IN'!$E$28*'Batt IN'!$G$13*('Batt IN'!$E$13/12)*(1+'Batt IN'!$F$30)</f>
        <v>3184.9999999999995</v>
      </c>
      <c r="Y23" s="33">
        <f>S23*'Batt IN'!$G$15*'Batt IN'!$E$28*(1+'Batt IN'!$F$30)</f>
        <v>6000</v>
      </c>
      <c r="Z23" s="33">
        <f>'Batt IN'!$G$16*365/12*(1+'Batt IN'!$F$30)</f>
        <v>1824.9999999999998</v>
      </c>
      <c r="AA23" s="33">
        <f>'Batt IN'!$G$17*'Batt IN'!$E$18*'Batt IN'!$G$18/12*(1+'Batt IN'!$F$30)</f>
        <v>1170</v>
      </c>
      <c r="AB23" s="33">
        <f>'Batt IN'!$G$19*'Batt IN'!$E$20*'Batt IN'!$G$20/12*(1+'Batt IN'!$F$30)</f>
        <v>150</v>
      </c>
      <c r="AC23" s="33">
        <f>'Batt IN'!$G$21*(1+'Batt IN'!$F$30)/12</f>
        <v>3500</v>
      </c>
      <c r="AD23" s="33">
        <f>'Batt IN'!$G$22*(1+'Batt IN'!$F$30)/12</f>
        <v>2500</v>
      </c>
      <c r="AE23" s="33">
        <f t="shared" si="4"/>
        <v>36250.116666666669</v>
      </c>
      <c r="AF23" s="33">
        <f>IF('PV IN'!$F$4="Battery Only",0,AE23*'Batt IN'!$E$29)</f>
        <v>30812.599166666667</v>
      </c>
      <c r="AG23" s="33">
        <f>PVCalcs!L23</f>
        <v>30812.599166666667</v>
      </c>
      <c r="AH23" s="33">
        <f t="shared" si="5"/>
        <v>5437.5175000000017</v>
      </c>
      <c r="AI23" s="33"/>
      <c r="AJ23" s="2">
        <f>IF(AND('Batt IN'!$D$53="Yes",$AL$1&gt;=1),IF($C23='Batt IN'!$H$54*12,-'Batt IN'!$F$54,0),0)</f>
        <v>0</v>
      </c>
      <c r="AK23" s="2">
        <f>IF(AND('Batt IN'!$D$53="Yes",$AL$1&gt;=2),IF($C23='Batt IN'!$H$55*12,-'Batt IN'!$F$55,0),0)</f>
        <v>0</v>
      </c>
      <c r="AL23" s="2">
        <f>IF(AND('Batt IN'!$D$53="Yes",$AL$1&gt;=3),IF($C23='Batt IN'!$H$56*12,-'Batt IN'!$F$56,0),0)</f>
        <v>0</v>
      </c>
      <c r="AM23" s="2">
        <f>IF(AND('Batt IN'!$D$53="Yes",$AL$1&gt;=4),IF($C23='Batt IN'!$H$57*12,-'Batt IN'!$F$57,0),0)</f>
        <v>0</v>
      </c>
      <c r="AN23" s="2">
        <f>IF(AND('Batt IN'!$D$53="Yes",$AL$1&gt;=5),IF($C23='Batt IN'!$H$58*12,-'Batt IN'!$F$58,0),0)</f>
        <v>0</v>
      </c>
      <c r="AO23" s="10">
        <f>IF(AND('Batt IN'!$D$44="YES",$C23&lt;='Batt IN'!$E$44*12),-'Batt IN'!$E$28*'Batt IN'!$E$42/12,0)</f>
        <v>0</v>
      </c>
      <c r="AP23" s="10">
        <f>IF(AND('Batt IN'!$D$46="YES",$C23&lt;='Batt IN'!$E$46*12),-'Batt IN'!$E$28*'Batt IN'!$E$45/12,0)</f>
        <v>0</v>
      </c>
      <c r="AR23" s="10">
        <f>BattLoan!M50</f>
        <v>0</v>
      </c>
      <c r="AS23" s="10">
        <f>'Batt IN'!$G$16*365/12*'Batt IN'!$E$16</f>
        <v>76.041666666666671</v>
      </c>
      <c r="AT23" s="10">
        <f>IF(AND('Batt IN'!$E$18&gt;0,'Batt IN'!$G$18&gt;0),'Batt IN'!$E$17*'Batt IN'!$G$17,0)</f>
        <v>119.44619999999999</v>
      </c>
      <c r="AU23" s="10">
        <f>IF(AND('Batt IN'!$E$20&gt;0,'Batt IN'!$G$20&gt;0),'Batt IN'!$E$19*'Batt IN'!$G$19,0)</f>
        <v>231</v>
      </c>
      <c r="AV23" s="10"/>
      <c r="AW23" s="10"/>
      <c r="AX23" s="10">
        <f>IF('Batt IN'!$E$11="Non-Taxable",Q23,0)</f>
        <v>11088.08</v>
      </c>
      <c r="AY23" s="10">
        <f>IF('Batt IN'!$E$11="Non-Taxable",'Batt IN'!$E$28/1000*'Batt IN'!$G$13*('Batt IN'!$E$13/12)*'Batt IN'!$E$12,0)</f>
        <v>244.42220833333334</v>
      </c>
      <c r="AZ23" s="10">
        <f>IF('Batt IN'!$E$11="Non-Taxable",$S23*'Batt IN'!$G$15*'Batt IN'!$E$28*'Batt IN'!$E$14/1000,0)</f>
        <v>475</v>
      </c>
      <c r="BA23" s="10">
        <f>IF('Batt IN'!$E$11="Non-Taxable",'Batt IN'!$E$21*'Batt IN'!$G$21/12,0)</f>
        <v>437.5</v>
      </c>
      <c r="BB23" s="10">
        <f>IF('Batt IN'!$E$11="Non-Taxable",'Batt IN'!$E$22*'Batt IN'!$G$22/12,0)</f>
        <v>1145.8333333333335</v>
      </c>
      <c r="BC23" s="10">
        <f>IF('Batt IN'!$E$11="Taxable",Q23,0)</f>
        <v>0</v>
      </c>
      <c r="BD23" s="10">
        <f>IF('Batt IN'!$E$11="Taxable",'Batt IN'!$E$28/1000*'Batt IN'!$G$13*('Batt IN'!$E$13/12)*'Batt IN'!$E$12,0)</f>
        <v>0</v>
      </c>
      <c r="BE23" s="10">
        <f>IF('Batt IN'!$E$11="Taxable",$S23*'Batt IN'!$G$15*'Batt IN'!$E$28*'Batt IN'!$E$14/1000,0)</f>
        <v>0</v>
      </c>
      <c r="BF23" s="10">
        <f>IF('Batt IN'!$E$11="Taxable",'Batt IN'!$E$21*'Batt IN'!$G$21/12,0)</f>
        <v>0</v>
      </c>
      <c r="BG23" s="10">
        <f>IF('Batt IN'!$E$11="Taxable",'Batt IN'!$E$22*'Batt IN'!$G$22/12,0)</f>
        <v>0</v>
      </c>
      <c r="BK23" s="10">
        <f>IF('Batt IN'!$N$18="Yes",-BattLoan!H51,-BattLoan!L51)</f>
        <v>0</v>
      </c>
      <c r="BL23" s="10">
        <f>IF('Batt IN'!$N$18="Yes",-BattLoan!F51,0)</f>
        <v>0</v>
      </c>
      <c r="BM23" s="10">
        <f>IF(AND('Batt IN'!$D$44="YES",$C23&lt;='Batt IN'!$E$44*12),0,-'Batt IN'!$E$28*'Batt IN'!$E$42/12)</f>
        <v>-83.333333333333329</v>
      </c>
      <c r="BN23" s="10">
        <f>IF(AND('Batt IN'!$D$46="YES",$C23&lt;='Batt IN'!$E$46*12),0,-'Batt IN'!$E$28*'Batt IN'!$E$45/12)</f>
        <v>-166.66666666666666</v>
      </c>
      <c r="BO23" s="2">
        <f>IF(AND('Batt IN'!$D$41="YES",BattCalcs!C23=ROUNDUP('Batt IN'!$H$41*12,)),-'Batt IN'!$E$41*'Batt IN'!$E$28,0)</f>
        <v>0</v>
      </c>
      <c r="BP23" s="2">
        <f>IF(AND('Batt IN'!$D$53="Yes",$AL$1&gt;=1),0,IF($C23='Batt IN'!$H$54*12,-'Batt IN'!$F$54,0))</f>
        <v>0</v>
      </c>
      <c r="BQ23" s="2">
        <f>IF(AND('Batt IN'!$D$53="Yes",$AL$1&gt;=2),0,IF($C23='Batt IN'!$H$55*12,-'Batt IN'!$F$55,0))</f>
        <v>0</v>
      </c>
      <c r="BR23" s="2">
        <f>IF(AND('Batt IN'!$D$53="Yes",$AL$1&gt;=3),0,IF($C23='Batt IN'!$H$56*12,-'Batt IN'!$F$56,0))</f>
        <v>0</v>
      </c>
      <c r="BS23" s="2">
        <f>IF(AND('Batt IN'!$D$53="Yes",$AL$1&gt;=4),0,IF($C23='Batt IN'!$H$57*12,-'Batt IN'!$F$57,0))</f>
        <v>0</v>
      </c>
      <c r="BT23" s="2">
        <f>IF(AND('Batt IN'!$D$53="Yes",$AL$1&gt;=5),0,IF($C23='Batt IN'!$H$58*12,-'Batt IN'!$F$58,0))</f>
        <v>0</v>
      </c>
      <c r="BU23" s="2">
        <f>-AH23*PVCalcs!F23</f>
        <v>-407.96729701454188</v>
      </c>
      <c r="BV23" s="2">
        <f>-'Batt IN'!$E$47</f>
        <v>-150</v>
      </c>
      <c r="BW23" s="2">
        <f>-'Batt IN'!$E$49</f>
        <v>-2250</v>
      </c>
      <c r="BX23" s="2">
        <f>IF('Batt IN'!$H$50="No",-(BC23*'Batt IN'!$E$50),-(BC23+BE23)*'Batt IN'!$E$50)</f>
        <v>0</v>
      </c>
      <c r="BY23" s="2">
        <f>IF(C23='Batt IN'!$H$43*12,-'Batt IN'!$E$43,0)</f>
        <v>0</v>
      </c>
      <c r="BZ23" s="38"/>
      <c r="CA23" s="10">
        <f t="shared" si="0"/>
        <v>13817.323408333334</v>
      </c>
      <c r="CB23" s="2">
        <f t="shared" si="6"/>
        <v>-3057.9672970145421</v>
      </c>
      <c r="CC23" s="45">
        <f t="shared" si="7"/>
        <v>10759.356111318792</v>
      </c>
      <c r="CD23" s="43"/>
      <c r="CE23" s="2">
        <f t="shared" si="8"/>
        <v>0</v>
      </c>
      <c r="CF23" s="2">
        <f t="shared" si="9"/>
        <v>-3057.9672970145421</v>
      </c>
      <c r="CG23" s="2"/>
      <c r="CH23" s="2">
        <f t="shared" si="10"/>
        <v>-3057.9672970145421</v>
      </c>
      <c r="CI23" s="45">
        <f>-CH23*'Batt IN'!$E$7</f>
        <v>642.17313237305382</v>
      </c>
      <c r="CJ23" s="48"/>
      <c r="CK23" s="45">
        <f>IF('Batt IN'!$F$4="PV Only",0,IF(C23&gt;'Batt IN'!$H$43*12,0,CC23+CI23))</f>
        <v>0</v>
      </c>
      <c r="CM23" s="10">
        <f t="shared" si="11"/>
        <v>0</v>
      </c>
      <c r="CN23" s="2">
        <f>CK23/(1+('Batt IN'!$G$8))^(C23)</f>
        <v>0</v>
      </c>
      <c r="CO23" s="2">
        <f>IF(C23&lt;='Batt IN'!$O$30*12,CN23+CO22,NA())</f>
        <v>0</v>
      </c>
      <c r="CQ23" s="2">
        <f>CK23/((1+('Batt IN'!$E$8/12))^BattCalcs!C23)</f>
        <v>0</v>
      </c>
      <c r="CS23" s="10">
        <f t="shared" si="12"/>
        <v>-3057.9672970145421</v>
      </c>
      <c r="CT23" s="10">
        <f t="shared" si="13"/>
        <v>0</v>
      </c>
      <c r="CU23" s="10">
        <f t="shared" si="14"/>
        <v>-3057.9672970145421</v>
      </c>
      <c r="CV23" s="10">
        <f t="shared" si="15"/>
        <v>-3057.9672970145421</v>
      </c>
      <c r="CW23" s="2">
        <f t="shared" si="1"/>
        <v>0</v>
      </c>
      <c r="CX23" s="2">
        <f>-(SUM(CV23:CW23)*'PV IN'!$E$8)</f>
        <v>642.17313237305382</v>
      </c>
      <c r="CY23" s="2">
        <f t="shared" si="16"/>
        <v>-2415.7941646414884</v>
      </c>
      <c r="CZ23" s="2">
        <f>IF(C23&lt;='Batt IN'!$H$43*12,CY23/(1+('PV IN'!$G$9))^(C23),0)</f>
        <v>-2236.1977407445065</v>
      </c>
      <c r="DA23" s="33">
        <f>IF(C23&lt;='Batt IN'!$H$43*12,AE23,0)</f>
        <v>36250.116666666669</v>
      </c>
    </row>
    <row r="24" spans="1:105" x14ac:dyDescent="0.25">
      <c r="A24">
        <f>IF(C24&lt;='Batt IN'!$H$43*12,C24,"")</f>
        <v>20</v>
      </c>
      <c r="C24">
        <v>20</v>
      </c>
      <c r="D24" s="21">
        <v>730</v>
      </c>
      <c r="E24" s="1">
        <f>1-'Batt IN'!$E$31</f>
        <v>2.0000000000000018E-2</v>
      </c>
      <c r="F24" s="12">
        <f>('Batt IN'!$E$33*365)/8760</f>
        <v>0</v>
      </c>
      <c r="G24" s="22">
        <f>'Batt IN'!$E$32/8760</f>
        <v>5.7077625570776253E-3</v>
      </c>
      <c r="H24" s="22">
        <f>'Batt IN'!$E$13/8760</f>
        <v>5.5936073059360729E-3</v>
      </c>
      <c r="I24" s="23">
        <f>IF(C24&lt;='Batt IN'!$G$14*12,'Batt IN'!$E$15/8760*'Batt IN'!$G$15,0)</f>
        <v>6.8493150684931503E-3</v>
      </c>
      <c r="J24" s="12">
        <f>Z24/'Batt IN'!$E$27/730</f>
        <v>2.4999999999999996E-3</v>
      </c>
      <c r="K24" s="23">
        <f>AA24/'Batt IN'!$E$27/730</f>
        <v>1.6027397260273972E-3</v>
      </c>
      <c r="L24" s="23">
        <f>AB24/'Batt IN'!$E$27/730</f>
        <v>2.0547945205479451E-4</v>
      </c>
      <c r="M24" s="23">
        <f>AC24/'Batt IN'!$E$27/730</f>
        <v>4.7945205479452057E-3</v>
      </c>
      <c r="N24" s="23">
        <f>AD24/'Batt IN'!$E$27/730</f>
        <v>3.4246575342465752E-3</v>
      </c>
      <c r="O24" s="12">
        <f t="shared" si="2"/>
        <v>5.0678082191780847E-2</v>
      </c>
      <c r="P24" s="21">
        <f t="shared" si="3"/>
        <v>693.005</v>
      </c>
      <c r="Q24" s="2">
        <f>IF('Batt IN'!$E$27*'Batt IN'!$E$24&lt;='Batt IN'!$E$28,(('Batt IN'!$E$23*'Batt IN'!$E$27*'Batt IN'!$E$24)/1000)*P24,(('Batt IN'!$E$23*'Batt IN'!$E$28*'Batt IN'!$E$24)/1000)*P24)</f>
        <v>11088.08</v>
      </c>
      <c r="R24" s="2"/>
      <c r="S24" s="77">
        <f>IF(C24&lt;='Batt IN'!$G$14*12,'Batt IN'!$E$15/12,0)</f>
        <v>8.3333333333333339</v>
      </c>
      <c r="T24" s="77"/>
      <c r="U24" s="80">
        <f>'Batt IN'!$E$28*('Batt IN'!$G$24/24)*730*(1-O24)</f>
        <v>80850.583333333328</v>
      </c>
      <c r="V24" s="78">
        <f>U24*'Batt IN'!$F$30</f>
        <v>16170.116666666667</v>
      </c>
      <c r="W24" s="78">
        <f>'Batt IN'!$E$28*'Batt IN'!$G$32*('Batt IN'!$E$32/12)*(1+'Batt IN'!$F$30)</f>
        <v>1750.0000000000002</v>
      </c>
      <c r="X24" s="78">
        <f>'Batt IN'!$E$28*'Batt IN'!$G$13*('Batt IN'!$E$13/12)*(1+'Batt IN'!$F$30)</f>
        <v>3184.9999999999995</v>
      </c>
      <c r="Y24" s="33">
        <f>S24*'Batt IN'!$G$15*'Batt IN'!$E$28*(1+'Batt IN'!$F$30)</f>
        <v>6000</v>
      </c>
      <c r="Z24" s="33">
        <f>'Batt IN'!$G$16*365/12*(1+'Batt IN'!$F$30)</f>
        <v>1824.9999999999998</v>
      </c>
      <c r="AA24" s="33">
        <f>'Batt IN'!$G$17*'Batt IN'!$E$18*'Batt IN'!$G$18/12*(1+'Batt IN'!$F$30)</f>
        <v>1170</v>
      </c>
      <c r="AB24" s="33">
        <f>'Batt IN'!$G$19*'Batt IN'!$E$20*'Batt IN'!$G$20/12*(1+'Batt IN'!$F$30)</f>
        <v>150</v>
      </c>
      <c r="AC24" s="33">
        <f>'Batt IN'!$G$21*(1+'Batt IN'!$F$30)/12</f>
        <v>3500</v>
      </c>
      <c r="AD24" s="33">
        <f>'Batt IN'!$G$22*(1+'Batt IN'!$F$30)/12</f>
        <v>2500</v>
      </c>
      <c r="AE24" s="33">
        <f t="shared" si="4"/>
        <v>36250.116666666669</v>
      </c>
      <c r="AF24" s="33">
        <f>IF('PV IN'!$F$4="Battery Only",0,AE24*'Batt IN'!$E$29)</f>
        <v>30812.599166666667</v>
      </c>
      <c r="AG24" s="33">
        <f>PVCalcs!L24</f>
        <v>30812.599166666667</v>
      </c>
      <c r="AH24" s="33">
        <f t="shared" si="5"/>
        <v>5437.5175000000017</v>
      </c>
      <c r="AI24" s="33"/>
      <c r="AJ24" s="2">
        <f>IF(AND('Batt IN'!$D$53="Yes",$AL$1&gt;=1),IF($C24='Batt IN'!$H$54*12,-'Batt IN'!$F$54,0),0)</f>
        <v>0</v>
      </c>
      <c r="AK24" s="2">
        <f>IF(AND('Batt IN'!$D$53="Yes",$AL$1&gt;=2),IF($C24='Batt IN'!$H$55*12,-'Batt IN'!$F$55,0),0)</f>
        <v>0</v>
      </c>
      <c r="AL24" s="2">
        <f>IF(AND('Batt IN'!$D$53="Yes",$AL$1&gt;=3),IF($C24='Batt IN'!$H$56*12,-'Batt IN'!$F$56,0),0)</f>
        <v>0</v>
      </c>
      <c r="AM24" s="2">
        <f>IF(AND('Batt IN'!$D$53="Yes",$AL$1&gt;=4),IF($C24='Batt IN'!$H$57*12,-'Batt IN'!$F$57,0),0)</f>
        <v>0</v>
      </c>
      <c r="AN24" s="2">
        <f>IF(AND('Batt IN'!$D$53="Yes",$AL$1&gt;=5),IF($C24='Batt IN'!$H$58*12,-'Batt IN'!$F$58,0),0)</f>
        <v>0</v>
      </c>
      <c r="AO24" s="10">
        <f>IF(AND('Batt IN'!$D$44="YES",$C24&lt;='Batt IN'!$E$44*12),-'Batt IN'!$E$28*'Batt IN'!$E$42/12,0)</f>
        <v>0</v>
      </c>
      <c r="AP24" s="10">
        <f>IF(AND('Batt IN'!$D$46="YES",$C24&lt;='Batt IN'!$E$46*12),-'Batt IN'!$E$28*'Batt IN'!$E$45/12,0)</f>
        <v>0</v>
      </c>
      <c r="AR24" s="10">
        <f>BattLoan!M51</f>
        <v>0</v>
      </c>
      <c r="AS24" s="10">
        <f>'Batt IN'!$G$16*365/12*'Batt IN'!$E$16</f>
        <v>76.041666666666671</v>
      </c>
      <c r="AT24" s="10">
        <f>IF(AND('Batt IN'!$E$18&gt;0,'Batt IN'!$G$18&gt;0),'Batt IN'!$E$17*'Batt IN'!$G$17,0)</f>
        <v>119.44619999999999</v>
      </c>
      <c r="AU24" s="10">
        <f>IF(AND('Batt IN'!$E$20&gt;0,'Batt IN'!$G$20&gt;0),'Batt IN'!$E$19*'Batt IN'!$G$19,0)</f>
        <v>231</v>
      </c>
      <c r="AV24" s="10"/>
      <c r="AW24" s="10"/>
      <c r="AX24" s="10">
        <f>IF('Batt IN'!$E$11="Non-Taxable",Q24,0)</f>
        <v>11088.08</v>
      </c>
      <c r="AY24" s="10">
        <f>IF('Batt IN'!$E$11="Non-Taxable",'Batt IN'!$E$28/1000*'Batt IN'!$G$13*('Batt IN'!$E$13/12)*'Batt IN'!$E$12,0)</f>
        <v>244.42220833333334</v>
      </c>
      <c r="AZ24" s="10">
        <f>IF('Batt IN'!$E$11="Non-Taxable",$S24*'Batt IN'!$G$15*'Batt IN'!$E$28*'Batt IN'!$E$14/1000,0)</f>
        <v>475</v>
      </c>
      <c r="BA24" s="10">
        <f>IF('Batt IN'!$E$11="Non-Taxable",'Batt IN'!$E$21*'Batt IN'!$G$21/12,0)</f>
        <v>437.5</v>
      </c>
      <c r="BB24" s="10">
        <f>IF('Batt IN'!$E$11="Non-Taxable",'Batt IN'!$E$22*'Batt IN'!$G$22/12,0)</f>
        <v>1145.8333333333335</v>
      </c>
      <c r="BC24" s="10">
        <f>IF('Batt IN'!$E$11="Taxable",Q24,0)</f>
        <v>0</v>
      </c>
      <c r="BD24" s="10">
        <f>IF('Batt IN'!$E$11="Taxable",'Batt IN'!$E$28/1000*'Batt IN'!$G$13*('Batt IN'!$E$13/12)*'Batt IN'!$E$12,0)</f>
        <v>0</v>
      </c>
      <c r="BE24" s="10">
        <f>IF('Batt IN'!$E$11="Taxable",$S24*'Batt IN'!$G$15*'Batt IN'!$E$28*'Batt IN'!$E$14/1000,0)</f>
        <v>0</v>
      </c>
      <c r="BF24" s="10">
        <f>IF('Batt IN'!$E$11="Taxable",'Batt IN'!$E$21*'Batt IN'!$G$21/12,0)</f>
        <v>0</v>
      </c>
      <c r="BG24" s="10">
        <f>IF('Batt IN'!$E$11="Taxable",'Batt IN'!$E$22*'Batt IN'!$G$22/12,0)</f>
        <v>0</v>
      </c>
      <c r="BK24" s="10">
        <f>IF('Batt IN'!$N$18="Yes",-BattLoan!H52,-BattLoan!L52)</f>
        <v>0</v>
      </c>
      <c r="BL24" s="10">
        <f>IF('Batt IN'!$N$18="Yes",-BattLoan!F52,0)</f>
        <v>0</v>
      </c>
      <c r="BM24" s="10">
        <f>IF(AND('Batt IN'!$D$44="YES",$C24&lt;='Batt IN'!$E$44*12),0,-'Batt IN'!$E$28*'Batt IN'!$E$42/12)</f>
        <v>-83.333333333333329</v>
      </c>
      <c r="BN24" s="10">
        <f>IF(AND('Batt IN'!$D$46="YES",$C24&lt;='Batt IN'!$E$46*12),0,-'Batt IN'!$E$28*'Batt IN'!$E$45/12)</f>
        <v>-166.66666666666666</v>
      </c>
      <c r="BO24" s="2">
        <f>IF(AND('Batt IN'!$D$41="YES",BattCalcs!C24=ROUNDUP('Batt IN'!$H$41*12,)),-'Batt IN'!$E$41*'Batt IN'!$E$28,0)</f>
        <v>0</v>
      </c>
      <c r="BP24" s="2">
        <f>IF(AND('Batt IN'!$D$53="Yes",$AL$1&gt;=1),0,IF($C24='Batt IN'!$H$54*12,-'Batt IN'!$F$54,0))</f>
        <v>0</v>
      </c>
      <c r="BQ24" s="2">
        <f>IF(AND('Batt IN'!$D$53="Yes",$AL$1&gt;=2),0,IF($C24='Batt IN'!$H$55*12,-'Batt IN'!$F$55,0))</f>
        <v>0</v>
      </c>
      <c r="BR24" s="2">
        <f>IF(AND('Batt IN'!$D$53="Yes",$AL$1&gt;=3),0,IF($C24='Batt IN'!$H$56*12,-'Batt IN'!$F$56,0))</f>
        <v>0</v>
      </c>
      <c r="BS24" s="2">
        <f>IF(AND('Batt IN'!$D$53="Yes",$AL$1&gt;=4),0,IF($C24='Batt IN'!$H$57*12,-'Batt IN'!$F$57,0))</f>
        <v>0</v>
      </c>
      <c r="BT24" s="2">
        <f>IF(AND('Batt IN'!$D$53="Yes",$AL$1&gt;=5),0,IF($C24='Batt IN'!$H$58*12,-'Batt IN'!$F$58,0))</f>
        <v>0</v>
      </c>
      <c r="BU24" s="2">
        <f>-AH24*PVCalcs!F24</f>
        <v>-407.96729701454188</v>
      </c>
      <c r="BV24" s="2">
        <f>-'Batt IN'!$E$47</f>
        <v>-150</v>
      </c>
      <c r="BW24" s="2">
        <f>-'Batt IN'!$E$49</f>
        <v>-2250</v>
      </c>
      <c r="BX24" s="2">
        <f>IF('Batt IN'!$H$50="No",-(BC24*'Batt IN'!$E$50),-(BC24+BE24)*'Batt IN'!$E$50)</f>
        <v>0</v>
      </c>
      <c r="BY24" s="2">
        <f>IF(C24='Batt IN'!$H$43*12,-'Batt IN'!$E$43,0)</f>
        <v>0</v>
      </c>
      <c r="BZ24" s="38"/>
      <c r="CA24" s="10">
        <f t="shared" si="0"/>
        <v>13817.323408333334</v>
      </c>
      <c r="CB24" s="2">
        <f t="shared" si="6"/>
        <v>-3057.9672970145421</v>
      </c>
      <c r="CC24" s="45">
        <f t="shared" si="7"/>
        <v>10759.356111318792</v>
      </c>
      <c r="CD24" s="43"/>
      <c r="CE24" s="2">
        <f t="shared" si="8"/>
        <v>0</v>
      </c>
      <c r="CF24" s="2">
        <f t="shared" si="9"/>
        <v>-3057.9672970145421</v>
      </c>
      <c r="CG24" s="2"/>
      <c r="CH24" s="2">
        <f t="shared" si="10"/>
        <v>-3057.9672970145421</v>
      </c>
      <c r="CI24" s="45">
        <f>-CH24*'Batt IN'!$E$7</f>
        <v>642.17313237305382</v>
      </c>
      <c r="CJ24" s="48"/>
      <c r="CK24" s="45">
        <f>IF('Batt IN'!$F$4="PV Only",0,IF(C24&gt;'Batt IN'!$H$43*12,0,CC24+CI24))</f>
        <v>0</v>
      </c>
      <c r="CM24" s="10">
        <f t="shared" si="11"/>
        <v>0</v>
      </c>
      <c r="CN24" s="2">
        <f>CK24/(1+('Batt IN'!$G$8))^(C24)</f>
        <v>0</v>
      </c>
      <c r="CO24" s="2">
        <f>IF(C24&lt;='Batt IN'!$O$30*12,CN24+CO23,NA())</f>
        <v>0</v>
      </c>
      <c r="CQ24" s="2">
        <f>CK24/((1+('Batt IN'!$E$8/12))^BattCalcs!C24)</f>
        <v>0</v>
      </c>
      <c r="CS24" s="10">
        <f t="shared" si="12"/>
        <v>-3057.9672970145421</v>
      </c>
      <c r="CT24" s="10">
        <f t="shared" si="13"/>
        <v>0</v>
      </c>
      <c r="CU24" s="10">
        <f t="shared" si="14"/>
        <v>-3057.9672970145421</v>
      </c>
      <c r="CV24" s="10">
        <f t="shared" si="15"/>
        <v>-3057.9672970145421</v>
      </c>
      <c r="CW24" s="2">
        <f t="shared" si="1"/>
        <v>0</v>
      </c>
      <c r="CX24" s="2">
        <f>-(SUM(CV24:CW24)*'PV IN'!$E$8)</f>
        <v>642.17313237305382</v>
      </c>
      <c r="CY24" s="2">
        <f t="shared" si="16"/>
        <v>-2415.7941646414884</v>
      </c>
      <c r="CZ24" s="2">
        <f>IF(C24&lt;='Batt IN'!$H$43*12,CY24/(1+('PV IN'!$G$9))^(C24),0)</f>
        <v>-2227.1241612301014</v>
      </c>
      <c r="DA24" s="33">
        <f>IF(C24&lt;='Batt IN'!$H$43*12,AE24,0)</f>
        <v>36250.116666666669</v>
      </c>
    </row>
    <row r="25" spans="1:105" x14ac:dyDescent="0.25">
      <c r="A25">
        <f>IF(C25&lt;='Batt IN'!$H$43*12,C25,"")</f>
        <v>21</v>
      </c>
      <c r="C25">
        <v>21</v>
      </c>
      <c r="D25" s="21">
        <v>730</v>
      </c>
      <c r="E25" s="1">
        <f>1-'Batt IN'!$E$31</f>
        <v>2.0000000000000018E-2</v>
      </c>
      <c r="F25" s="12">
        <f>('Batt IN'!$E$33*365)/8760</f>
        <v>0</v>
      </c>
      <c r="G25" s="22">
        <f>'Batt IN'!$E$32/8760</f>
        <v>5.7077625570776253E-3</v>
      </c>
      <c r="H25" s="22">
        <f>'Batt IN'!$E$13/8760</f>
        <v>5.5936073059360729E-3</v>
      </c>
      <c r="I25" s="23">
        <f>IF(C25&lt;='Batt IN'!$G$14*12,'Batt IN'!$E$15/8760*'Batt IN'!$G$15,0)</f>
        <v>6.8493150684931503E-3</v>
      </c>
      <c r="J25" s="12">
        <f>Z25/'Batt IN'!$E$27/730</f>
        <v>2.4999999999999996E-3</v>
      </c>
      <c r="K25" s="23">
        <f>AA25/'Batt IN'!$E$27/730</f>
        <v>1.6027397260273972E-3</v>
      </c>
      <c r="L25" s="23">
        <f>AB25/'Batt IN'!$E$27/730</f>
        <v>2.0547945205479451E-4</v>
      </c>
      <c r="M25" s="23">
        <f>AC25/'Batt IN'!$E$27/730</f>
        <v>4.7945205479452057E-3</v>
      </c>
      <c r="N25" s="23">
        <f>AD25/'Batt IN'!$E$27/730</f>
        <v>3.4246575342465752E-3</v>
      </c>
      <c r="O25" s="12">
        <f t="shared" si="2"/>
        <v>5.0678082191780847E-2</v>
      </c>
      <c r="P25" s="21">
        <f t="shared" si="3"/>
        <v>693.005</v>
      </c>
      <c r="Q25" s="2">
        <f>IF('Batt IN'!$E$27*'Batt IN'!$E$24&lt;='Batt IN'!$E$28,(('Batt IN'!$E$23*'Batt IN'!$E$27*'Batt IN'!$E$24)/1000)*P25,(('Batt IN'!$E$23*'Batt IN'!$E$28*'Batt IN'!$E$24)/1000)*P25)</f>
        <v>11088.08</v>
      </c>
      <c r="R25" s="2"/>
      <c r="S25" s="77">
        <f>IF(C25&lt;='Batt IN'!$G$14*12,'Batt IN'!$E$15/12,0)</f>
        <v>8.3333333333333339</v>
      </c>
      <c r="T25" s="77"/>
      <c r="U25" s="80">
        <f>'Batt IN'!$E$28*('Batt IN'!$G$24/24)*730*(1-O25)</f>
        <v>80850.583333333328</v>
      </c>
      <c r="V25" s="78">
        <f>U25*'Batt IN'!$F$30</f>
        <v>16170.116666666667</v>
      </c>
      <c r="W25" s="78">
        <f>'Batt IN'!$E$28*'Batt IN'!$G$32*('Batt IN'!$E$32/12)*(1+'Batt IN'!$F$30)</f>
        <v>1750.0000000000002</v>
      </c>
      <c r="X25" s="78">
        <f>'Batt IN'!$E$28*'Batt IN'!$G$13*('Batt IN'!$E$13/12)*(1+'Batt IN'!$F$30)</f>
        <v>3184.9999999999995</v>
      </c>
      <c r="Y25" s="33">
        <f>S25*'Batt IN'!$G$15*'Batt IN'!$E$28*(1+'Batt IN'!$F$30)</f>
        <v>6000</v>
      </c>
      <c r="Z25" s="33">
        <f>'Batt IN'!$G$16*365/12*(1+'Batt IN'!$F$30)</f>
        <v>1824.9999999999998</v>
      </c>
      <c r="AA25" s="33">
        <f>'Batt IN'!$G$17*'Batt IN'!$E$18*'Batt IN'!$G$18/12*(1+'Batt IN'!$F$30)</f>
        <v>1170</v>
      </c>
      <c r="AB25" s="33">
        <f>'Batt IN'!$G$19*'Batt IN'!$E$20*'Batt IN'!$G$20/12*(1+'Batt IN'!$F$30)</f>
        <v>150</v>
      </c>
      <c r="AC25" s="33">
        <f>'Batt IN'!$G$21*(1+'Batt IN'!$F$30)/12</f>
        <v>3500</v>
      </c>
      <c r="AD25" s="33">
        <f>'Batt IN'!$G$22*(1+'Batt IN'!$F$30)/12</f>
        <v>2500</v>
      </c>
      <c r="AE25" s="33">
        <f t="shared" si="4"/>
        <v>36250.116666666669</v>
      </c>
      <c r="AF25" s="33">
        <f>IF('PV IN'!$F$4="Battery Only",0,AE25*'Batt IN'!$E$29)</f>
        <v>30812.599166666667</v>
      </c>
      <c r="AG25" s="33">
        <f>PVCalcs!L25</f>
        <v>30812.599166666667</v>
      </c>
      <c r="AH25" s="33">
        <f t="shared" si="5"/>
        <v>5437.5175000000017</v>
      </c>
      <c r="AI25" s="33"/>
      <c r="AJ25" s="2">
        <f>IF(AND('Batt IN'!$D$53="Yes",$AL$1&gt;=1),IF($C25='Batt IN'!$H$54*12,-'Batt IN'!$F$54,0),0)</f>
        <v>0</v>
      </c>
      <c r="AK25" s="2">
        <f>IF(AND('Batt IN'!$D$53="Yes",$AL$1&gt;=2),IF($C25='Batt IN'!$H$55*12,-'Batt IN'!$F$55,0),0)</f>
        <v>0</v>
      </c>
      <c r="AL25" s="2">
        <f>IF(AND('Batt IN'!$D$53="Yes",$AL$1&gt;=3),IF($C25='Batt IN'!$H$56*12,-'Batt IN'!$F$56,0),0)</f>
        <v>0</v>
      </c>
      <c r="AM25" s="2">
        <f>IF(AND('Batt IN'!$D$53="Yes",$AL$1&gt;=4),IF($C25='Batt IN'!$H$57*12,-'Batt IN'!$F$57,0),0)</f>
        <v>0</v>
      </c>
      <c r="AN25" s="2">
        <f>IF(AND('Batt IN'!$D$53="Yes",$AL$1&gt;=5),IF($C25='Batt IN'!$H$58*12,-'Batt IN'!$F$58,0),0)</f>
        <v>0</v>
      </c>
      <c r="AO25" s="10">
        <f>IF(AND('Batt IN'!$D$44="YES",$C25&lt;='Batt IN'!$E$44*12),-'Batt IN'!$E$28*'Batt IN'!$E$42/12,0)</f>
        <v>0</v>
      </c>
      <c r="AP25" s="10">
        <f>IF(AND('Batt IN'!$D$46="YES",$C25&lt;='Batt IN'!$E$46*12),-'Batt IN'!$E$28*'Batt IN'!$E$45/12,0)</f>
        <v>0</v>
      </c>
      <c r="AR25" s="10">
        <f>BattLoan!M52</f>
        <v>0</v>
      </c>
      <c r="AS25" s="10">
        <f>'Batt IN'!$G$16*365/12*'Batt IN'!$E$16</f>
        <v>76.041666666666671</v>
      </c>
      <c r="AT25" s="10">
        <f>IF(AND('Batt IN'!$E$18&gt;0,'Batt IN'!$G$18&gt;0),'Batt IN'!$E$17*'Batt IN'!$G$17,0)</f>
        <v>119.44619999999999</v>
      </c>
      <c r="AU25" s="10">
        <f>IF(AND('Batt IN'!$E$20&gt;0,'Batt IN'!$G$20&gt;0),'Batt IN'!$E$19*'Batt IN'!$G$19,0)</f>
        <v>231</v>
      </c>
      <c r="AV25" s="10"/>
      <c r="AW25" s="10"/>
      <c r="AX25" s="10">
        <f>IF('Batt IN'!$E$11="Non-Taxable",Q25,0)</f>
        <v>11088.08</v>
      </c>
      <c r="AY25" s="10">
        <f>IF('Batt IN'!$E$11="Non-Taxable",'Batt IN'!$E$28/1000*'Batt IN'!$G$13*('Batt IN'!$E$13/12)*'Batt IN'!$E$12,0)</f>
        <v>244.42220833333334</v>
      </c>
      <c r="AZ25" s="10">
        <f>IF('Batt IN'!$E$11="Non-Taxable",$S25*'Batt IN'!$G$15*'Batt IN'!$E$28*'Batt IN'!$E$14/1000,0)</f>
        <v>475</v>
      </c>
      <c r="BA25" s="10">
        <f>IF('Batt IN'!$E$11="Non-Taxable",'Batt IN'!$E$21*'Batt IN'!$G$21/12,0)</f>
        <v>437.5</v>
      </c>
      <c r="BB25" s="10">
        <f>IF('Batt IN'!$E$11="Non-Taxable",'Batt IN'!$E$22*'Batt IN'!$G$22/12,0)</f>
        <v>1145.8333333333335</v>
      </c>
      <c r="BC25" s="10">
        <f>IF('Batt IN'!$E$11="Taxable",Q25,0)</f>
        <v>0</v>
      </c>
      <c r="BD25" s="10">
        <f>IF('Batt IN'!$E$11="Taxable",'Batt IN'!$E$28/1000*'Batt IN'!$G$13*('Batt IN'!$E$13/12)*'Batt IN'!$E$12,0)</f>
        <v>0</v>
      </c>
      <c r="BE25" s="10">
        <f>IF('Batt IN'!$E$11="Taxable",$S25*'Batt IN'!$G$15*'Batt IN'!$E$28*'Batt IN'!$E$14/1000,0)</f>
        <v>0</v>
      </c>
      <c r="BF25" s="10">
        <f>IF('Batt IN'!$E$11="Taxable",'Batt IN'!$E$21*'Batt IN'!$G$21/12,0)</f>
        <v>0</v>
      </c>
      <c r="BG25" s="10">
        <f>IF('Batt IN'!$E$11="Taxable",'Batt IN'!$E$22*'Batt IN'!$G$22/12,0)</f>
        <v>0</v>
      </c>
      <c r="BK25" s="10">
        <f>IF('Batt IN'!$N$18="Yes",-BattLoan!H53,-BattLoan!L53)</f>
        <v>0</v>
      </c>
      <c r="BL25" s="10">
        <f>IF('Batt IN'!$N$18="Yes",-BattLoan!F53,0)</f>
        <v>0</v>
      </c>
      <c r="BM25" s="10">
        <f>IF(AND('Batt IN'!$D$44="YES",$C25&lt;='Batt IN'!$E$44*12),0,-'Batt IN'!$E$28*'Batt IN'!$E$42/12)</f>
        <v>-83.333333333333329</v>
      </c>
      <c r="BN25" s="10">
        <f>IF(AND('Batt IN'!$D$46="YES",$C25&lt;='Batt IN'!$E$46*12),0,-'Batt IN'!$E$28*'Batt IN'!$E$45/12)</f>
        <v>-166.66666666666666</v>
      </c>
      <c r="BO25" s="2">
        <f>IF(AND('Batt IN'!$D$41="YES",BattCalcs!C25=ROUNDUP('Batt IN'!$H$41*12,)),-'Batt IN'!$E$41*'Batt IN'!$E$28,0)</f>
        <v>0</v>
      </c>
      <c r="BP25" s="2">
        <f>IF(AND('Batt IN'!$D$53="Yes",$AL$1&gt;=1),0,IF($C25='Batt IN'!$H$54*12,-'Batt IN'!$F$54,0))</f>
        <v>0</v>
      </c>
      <c r="BQ25" s="2">
        <f>IF(AND('Batt IN'!$D$53="Yes",$AL$1&gt;=2),0,IF($C25='Batt IN'!$H$55*12,-'Batt IN'!$F$55,0))</f>
        <v>0</v>
      </c>
      <c r="BR25" s="2">
        <f>IF(AND('Batt IN'!$D$53="Yes",$AL$1&gt;=3),0,IF($C25='Batt IN'!$H$56*12,-'Batt IN'!$F$56,0))</f>
        <v>0</v>
      </c>
      <c r="BS25" s="2">
        <f>IF(AND('Batt IN'!$D$53="Yes",$AL$1&gt;=4),0,IF($C25='Batt IN'!$H$57*12,-'Batt IN'!$F$57,0))</f>
        <v>0</v>
      </c>
      <c r="BT25" s="2">
        <f>IF(AND('Batt IN'!$D$53="Yes",$AL$1&gt;=5),0,IF($C25='Batt IN'!$H$58*12,-'Batt IN'!$F$58,0))</f>
        <v>0</v>
      </c>
      <c r="BU25" s="2">
        <f>-AH25*PVCalcs!F25</f>
        <v>-407.96729701454188</v>
      </c>
      <c r="BV25" s="2">
        <f>-'Batt IN'!$E$47</f>
        <v>-150</v>
      </c>
      <c r="BW25" s="2">
        <f>-'Batt IN'!$E$49</f>
        <v>-2250</v>
      </c>
      <c r="BX25" s="2">
        <f>IF('Batt IN'!$H$50="No",-(BC25*'Batt IN'!$E$50),-(BC25+BE25)*'Batt IN'!$E$50)</f>
        <v>0</v>
      </c>
      <c r="BY25" s="2">
        <f>IF(C25='Batt IN'!$H$43*12,-'Batt IN'!$E$43,0)</f>
        <v>0</v>
      </c>
      <c r="BZ25" s="38"/>
      <c r="CA25" s="10">
        <f t="shared" si="0"/>
        <v>13817.323408333334</v>
      </c>
      <c r="CB25" s="2">
        <f t="shared" si="6"/>
        <v>-3057.9672970145421</v>
      </c>
      <c r="CC25" s="45">
        <f t="shared" si="7"/>
        <v>10759.356111318792</v>
      </c>
      <c r="CD25" s="43"/>
      <c r="CE25" s="2">
        <f t="shared" si="8"/>
        <v>0</v>
      </c>
      <c r="CF25" s="2">
        <f t="shared" si="9"/>
        <v>-3057.9672970145421</v>
      </c>
      <c r="CG25" s="2"/>
      <c r="CH25" s="2">
        <f t="shared" si="10"/>
        <v>-3057.9672970145421</v>
      </c>
      <c r="CI25" s="45">
        <f>-CH25*'Batt IN'!$E$7</f>
        <v>642.17313237305382</v>
      </c>
      <c r="CJ25" s="48"/>
      <c r="CK25" s="45">
        <f>IF('Batt IN'!$F$4="PV Only",0,IF(C25&gt;'Batt IN'!$H$43*12,0,CC25+CI25))</f>
        <v>0</v>
      </c>
      <c r="CM25" s="10">
        <f t="shared" si="11"/>
        <v>0</v>
      </c>
      <c r="CN25" s="2">
        <f>CK25/(1+('Batt IN'!$G$8))^(C25)</f>
        <v>0</v>
      </c>
      <c r="CO25" s="2">
        <f>IF(C25&lt;='Batt IN'!$O$30*12,CN25+CO24,NA())</f>
        <v>0</v>
      </c>
      <c r="CQ25" s="2">
        <f>CK25/((1+('Batt IN'!$E$8/12))^BattCalcs!C25)</f>
        <v>0</v>
      </c>
      <c r="CS25" s="10">
        <f t="shared" si="12"/>
        <v>-3057.9672970145421</v>
      </c>
      <c r="CT25" s="10">
        <f t="shared" si="13"/>
        <v>0</v>
      </c>
      <c r="CU25" s="10">
        <f t="shared" si="14"/>
        <v>-3057.9672970145421</v>
      </c>
      <c r="CV25" s="10">
        <f t="shared" si="15"/>
        <v>-3057.9672970145421</v>
      </c>
      <c r="CW25" s="2">
        <f t="shared" si="1"/>
        <v>0</v>
      </c>
      <c r="CX25" s="2">
        <f>-(SUM(CV25:CW25)*'PV IN'!$E$8)</f>
        <v>642.17313237305382</v>
      </c>
      <c r="CY25" s="2">
        <f t="shared" si="16"/>
        <v>-2415.7941646414884</v>
      </c>
      <c r="CZ25" s="2">
        <f>IF(C25&lt;='Batt IN'!$H$43*12,CY25/(1+('PV IN'!$G$9))^(C25),0)</f>
        <v>-2218.0873986052329</v>
      </c>
      <c r="DA25" s="33">
        <f>IF(C25&lt;='Batt IN'!$H$43*12,AE25,0)</f>
        <v>36250.116666666669</v>
      </c>
    </row>
    <row r="26" spans="1:105" x14ac:dyDescent="0.25">
      <c r="A26">
        <f>IF(C26&lt;='Batt IN'!$H$43*12,C26,"")</f>
        <v>22</v>
      </c>
      <c r="C26">
        <v>22</v>
      </c>
      <c r="D26" s="21">
        <v>730</v>
      </c>
      <c r="E26" s="1">
        <f>1-'Batt IN'!$E$31</f>
        <v>2.0000000000000018E-2</v>
      </c>
      <c r="F26" s="12">
        <f>('Batt IN'!$E$33*365)/8760</f>
        <v>0</v>
      </c>
      <c r="G26" s="22">
        <f>'Batt IN'!$E$32/8760</f>
        <v>5.7077625570776253E-3</v>
      </c>
      <c r="H26" s="22">
        <f>'Batt IN'!$E$13/8760</f>
        <v>5.5936073059360729E-3</v>
      </c>
      <c r="I26" s="23">
        <f>IF(C26&lt;='Batt IN'!$G$14*12,'Batt IN'!$E$15/8760*'Batt IN'!$G$15,0)</f>
        <v>6.8493150684931503E-3</v>
      </c>
      <c r="J26" s="12">
        <f>Z26/'Batt IN'!$E$27/730</f>
        <v>2.4999999999999996E-3</v>
      </c>
      <c r="K26" s="23">
        <f>AA26/'Batt IN'!$E$27/730</f>
        <v>1.6027397260273972E-3</v>
      </c>
      <c r="L26" s="23">
        <f>AB26/'Batt IN'!$E$27/730</f>
        <v>2.0547945205479451E-4</v>
      </c>
      <c r="M26" s="23">
        <f>AC26/'Batt IN'!$E$27/730</f>
        <v>4.7945205479452057E-3</v>
      </c>
      <c r="N26" s="23">
        <f>AD26/'Batt IN'!$E$27/730</f>
        <v>3.4246575342465752E-3</v>
      </c>
      <c r="O26" s="12">
        <f t="shared" si="2"/>
        <v>5.0678082191780847E-2</v>
      </c>
      <c r="P26" s="21">
        <f t="shared" si="3"/>
        <v>693.005</v>
      </c>
      <c r="Q26" s="2">
        <f>IF('Batt IN'!$E$27*'Batt IN'!$E$24&lt;='Batt IN'!$E$28,(('Batt IN'!$E$23*'Batt IN'!$E$27*'Batt IN'!$E$24)/1000)*P26,(('Batt IN'!$E$23*'Batt IN'!$E$28*'Batt IN'!$E$24)/1000)*P26)</f>
        <v>11088.08</v>
      </c>
      <c r="R26" s="2"/>
      <c r="S26" s="77">
        <f>IF(C26&lt;='Batt IN'!$G$14*12,'Batt IN'!$E$15/12,0)</f>
        <v>8.3333333333333339</v>
      </c>
      <c r="T26" s="77"/>
      <c r="U26" s="80">
        <f>'Batt IN'!$E$28*('Batt IN'!$G$24/24)*730*(1-O26)</f>
        <v>80850.583333333328</v>
      </c>
      <c r="V26" s="78">
        <f>U26*'Batt IN'!$F$30</f>
        <v>16170.116666666667</v>
      </c>
      <c r="W26" s="78">
        <f>'Batt IN'!$E$28*'Batt IN'!$G$32*('Batt IN'!$E$32/12)*(1+'Batt IN'!$F$30)</f>
        <v>1750.0000000000002</v>
      </c>
      <c r="X26" s="78">
        <f>'Batt IN'!$E$28*'Batt IN'!$G$13*('Batt IN'!$E$13/12)*(1+'Batt IN'!$F$30)</f>
        <v>3184.9999999999995</v>
      </c>
      <c r="Y26" s="33">
        <f>S26*'Batt IN'!$G$15*'Batt IN'!$E$28*(1+'Batt IN'!$F$30)</f>
        <v>6000</v>
      </c>
      <c r="Z26" s="33">
        <f>'Batt IN'!$G$16*365/12*(1+'Batt IN'!$F$30)</f>
        <v>1824.9999999999998</v>
      </c>
      <c r="AA26" s="33">
        <f>'Batt IN'!$G$17*'Batt IN'!$E$18*'Batt IN'!$G$18/12*(1+'Batt IN'!$F$30)</f>
        <v>1170</v>
      </c>
      <c r="AB26" s="33">
        <f>'Batt IN'!$G$19*'Batt IN'!$E$20*'Batt IN'!$G$20/12*(1+'Batt IN'!$F$30)</f>
        <v>150</v>
      </c>
      <c r="AC26" s="33">
        <f>'Batt IN'!$G$21*(1+'Batt IN'!$F$30)/12</f>
        <v>3500</v>
      </c>
      <c r="AD26" s="33">
        <f>'Batt IN'!$G$22*(1+'Batt IN'!$F$30)/12</f>
        <v>2500</v>
      </c>
      <c r="AE26" s="33">
        <f t="shared" si="4"/>
        <v>36250.116666666669</v>
      </c>
      <c r="AF26" s="33">
        <f>IF('PV IN'!$F$4="Battery Only",0,AE26*'Batt IN'!$E$29)</f>
        <v>30812.599166666667</v>
      </c>
      <c r="AG26" s="33">
        <f>PVCalcs!L26</f>
        <v>30812.599166666667</v>
      </c>
      <c r="AH26" s="33">
        <f t="shared" si="5"/>
        <v>5437.5175000000017</v>
      </c>
      <c r="AI26" s="33"/>
      <c r="AJ26" s="2">
        <f>IF(AND('Batt IN'!$D$53="Yes",$AL$1&gt;=1),IF($C26='Batt IN'!$H$54*12,-'Batt IN'!$F$54,0),0)</f>
        <v>0</v>
      </c>
      <c r="AK26" s="2">
        <f>IF(AND('Batt IN'!$D$53="Yes",$AL$1&gt;=2),IF($C26='Batt IN'!$H$55*12,-'Batt IN'!$F$55,0),0)</f>
        <v>0</v>
      </c>
      <c r="AL26" s="2">
        <f>IF(AND('Batt IN'!$D$53="Yes",$AL$1&gt;=3),IF($C26='Batt IN'!$H$56*12,-'Batt IN'!$F$56,0),0)</f>
        <v>0</v>
      </c>
      <c r="AM26" s="2">
        <f>IF(AND('Batt IN'!$D$53="Yes",$AL$1&gt;=4),IF($C26='Batt IN'!$H$57*12,-'Batt IN'!$F$57,0),0)</f>
        <v>0</v>
      </c>
      <c r="AN26" s="2">
        <f>IF(AND('Batt IN'!$D$53="Yes",$AL$1&gt;=5),IF($C26='Batt IN'!$H$58*12,-'Batt IN'!$F$58,0),0)</f>
        <v>0</v>
      </c>
      <c r="AO26" s="10">
        <f>IF(AND('Batt IN'!$D$44="YES",$C26&lt;='Batt IN'!$E$44*12),-'Batt IN'!$E$28*'Batt IN'!$E$42/12,0)</f>
        <v>0</v>
      </c>
      <c r="AP26" s="10">
        <f>IF(AND('Batt IN'!$D$46="YES",$C26&lt;='Batt IN'!$E$46*12),-'Batt IN'!$E$28*'Batt IN'!$E$45/12,0)</f>
        <v>0</v>
      </c>
      <c r="AR26" s="10">
        <f>BattLoan!M53</f>
        <v>0</v>
      </c>
      <c r="AS26" s="10">
        <f>'Batt IN'!$G$16*365/12*'Batt IN'!$E$16</f>
        <v>76.041666666666671</v>
      </c>
      <c r="AT26" s="10">
        <f>IF(AND('Batt IN'!$E$18&gt;0,'Batt IN'!$G$18&gt;0),'Batt IN'!$E$17*'Batt IN'!$G$17,0)</f>
        <v>119.44619999999999</v>
      </c>
      <c r="AU26" s="10">
        <f>IF(AND('Batt IN'!$E$20&gt;0,'Batt IN'!$G$20&gt;0),'Batt IN'!$E$19*'Batt IN'!$G$19,0)</f>
        <v>231</v>
      </c>
      <c r="AV26" s="10"/>
      <c r="AW26" s="10"/>
      <c r="AX26" s="10">
        <f>IF('Batt IN'!$E$11="Non-Taxable",Q26,0)</f>
        <v>11088.08</v>
      </c>
      <c r="AY26" s="10">
        <f>IF('Batt IN'!$E$11="Non-Taxable",'Batt IN'!$E$28/1000*'Batt IN'!$G$13*('Batt IN'!$E$13/12)*'Batt IN'!$E$12,0)</f>
        <v>244.42220833333334</v>
      </c>
      <c r="AZ26" s="10">
        <f>IF('Batt IN'!$E$11="Non-Taxable",$S26*'Batt IN'!$G$15*'Batt IN'!$E$28*'Batt IN'!$E$14/1000,0)</f>
        <v>475</v>
      </c>
      <c r="BA26" s="10">
        <f>IF('Batt IN'!$E$11="Non-Taxable",'Batt IN'!$E$21*'Batt IN'!$G$21/12,0)</f>
        <v>437.5</v>
      </c>
      <c r="BB26" s="10">
        <f>IF('Batt IN'!$E$11="Non-Taxable",'Batt IN'!$E$22*'Batt IN'!$G$22/12,0)</f>
        <v>1145.8333333333335</v>
      </c>
      <c r="BC26" s="10">
        <f>IF('Batt IN'!$E$11="Taxable",Q26,0)</f>
        <v>0</v>
      </c>
      <c r="BD26" s="10">
        <f>IF('Batt IN'!$E$11="Taxable",'Batt IN'!$E$28/1000*'Batt IN'!$G$13*('Batt IN'!$E$13/12)*'Batt IN'!$E$12,0)</f>
        <v>0</v>
      </c>
      <c r="BE26" s="10">
        <f>IF('Batt IN'!$E$11="Taxable",$S26*'Batt IN'!$G$15*'Batt IN'!$E$28*'Batt IN'!$E$14/1000,0)</f>
        <v>0</v>
      </c>
      <c r="BF26" s="10">
        <f>IF('Batt IN'!$E$11="Taxable",'Batt IN'!$E$21*'Batt IN'!$G$21/12,0)</f>
        <v>0</v>
      </c>
      <c r="BG26" s="10">
        <f>IF('Batt IN'!$E$11="Taxable",'Batt IN'!$E$22*'Batt IN'!$G$22/12,0)</f>
        <v>0</v>
      </c>
      <c r="BK26" s="10">
        <f>IF('Batt IN'!$N$18="Yes",-BattLoan!H54,-BattLoan!L54)</f>
        <v>0</v>
      </c>
      <c r="BL26" s="10">
        <f>IF('Batt IN'!$N$18="Yes",-BattLoan!F54,0)</f>
        <v>0</v>
      </c>
      <c r="BM26" s="10">
        <f>IF(AND('Batt IN'!$D$44="YES",$C26&lt;='Batt IN'!$E$44*12),0,-'Batt IN'!$E$28*'Batt IN'!$E$42/12)</f>
        <v>-83.333333333333329</v>
      </c>
      <c r="BN26" s="10">
        <f>IF(AND('Batt IN'!$D$46="YES",$C26&lt;='Batt IN'!$E$46*12),0,-'Batt IN'!$E$28*'Batt IN'!$E$45/12)</f>
        <v>-166.66666666666666</v>
      </c>
      <c r="BO26" s="2">
        <f>IF(AND('Batt IN'!$D$41="YES",BattCalcs!C26=ROUNDUP('Batt IN'!$H$41*12,)),-'Batt IN'!$E$41*'Batt IN'!$E$28,0)</f>
        <v>0</v>
      </c>
      <c r="BP26" s="2">
        <f>IF(AND('Batt IN'!$D$53="Yes",$AL$1&gt;=1),0,IF($C26='Batt IN'!$H$54*12,-'Batt IN'!$F$54,0))</f>
        <v>0</v>
      </c>
      <c r="BQ26" s="2">
        <f>IF(AND('Batt IN'!$D$53="Yes",$AL$1&gt;=2),0,IF($C26='Batt IN'!$H$55*12,-'Batt IN'!$F$55,0))</f>
        <v>0</v>
      </c>
      <c r="BR26" s="2">
        <f>IF(AND('Batt IN'!$D$53="Yes",$AL$1&gt;=3),0,IF($C26='Batt IN'!$H$56*12,-'Batt IN'!$F$56,0))</f>
        <v>0</v>
      </c>
      <c r="BS26" s="2">
        <f>IF(AND('Batt IN'!$D$53="Yes",$AL$1&gt;=4),0,IF($C26='Batt IN'!$H$57*12,-'Batt IN'!$F$57,0))</f>
        <v>0</v>
      </c>
      <c r="BT26" s="2">
        <f>IF(AND('Batt IN'!$D$53="Yes",$AL$1&gt;=5),0,IF($C26='Batt IN'!$H$58*12,-'Batt IN'!$F$58,0))</f>
        <v>0</v>
      </c>
      <c r="BU26" s="2">
        <f>-AH26*PVCalcs!F26</f>
        <v>-407.96729701454188</v>
      </c>
      <c r="BV26" s="2">
        <f>-'Batt IN'!$E$47</f>
        <v>-150</v>
      </c>
      <c r="BW26" s="2">
        <f>-'Batt IN'!$E$49</f>
        <v>-2250</v>
      </c>
      <c r="BX26" s="2">
        <f>IF('Batt IN'!$H$50="No",-(BC26*'Batt IN'!$E$50),-(BC26+BE26)*'Batt IN'!$E$50)</f>
        <v>0</v>
      </c>
      <c r="BY26" s="2">
        <f>IF(C26='Batt IN'!$H$43*12,-'Batt IN'!$E$43,0)</f>
        <v>0</v>
      </c>
      <c r="BZ26" s="38"/>
      <c r="CA26" s="10">
        <f t="shared" si="0"/>
        <v>13817.323408333334</v>
      </c>
      <c r="CB26" s="2">
        <f t="shared" si="6"/>
        <v>-3057.9672970145421</v>
      </c>
      <c r="CC26" s="45">
        <f t="shared" si="7"/>
        <v>10759.356111318792</v>
      </c>
      <c r="CD26" s="43"/>
      <c r="CE26" s="2">
        <f t="shared" si="8"/>
        <v>0</v>
      </c>
      <c r="CF26" s="2">
        <f t="shared" si="9"/>
        <v>-3057.9672970145421</v>
      </c>
      <c r="CG26" s="2"/>
      <c r="CH26" s="2">
        <f t="shared" si="10"/>
        <v>-3057.9672970145421</v>
      </c>
      <c r="CI26" s="45">
        <f>-CH26*'Batt IN'!$E$7</f>
        <v>642.17313237305382</v>
      </c>
      <c r="CJ26" s="48"/>
      <c r="CK26" s="45">
        <f>IF('Batt IN'!$F$4="PV Only",0,IF(C26&gt;'Batt IN'!$H$43*12,0,CC26+CI26))</f>
        <v>0</v>
      </c>
      <c r="CM26" s="10">
        <f t="shared" si="11"/>
        <v>0</v>
      </c>
      <c r="CN26" s="2">
        <f>CK26/(1+('Batt IN'!$G$8))^(C26)</f>
        <v>0</v>
      </c>
      <c r="CO26" s="2">
        <f>IF(C26&lt;='Batt IN'!$O$30*12,CN26+CO25,NA())</f>
        <v>0</v>
      </c>
      <c r="CQ26" s="2">
        <f>CK26/((1+('Batt IN'!$E$8/12))^BattCalcs!C26)</f>
        <v>0</v>
      </c>
      <c r="CS26" s="10">
        <f t="shared" si="12"/>
        <v>-3057.9672970145421</v>
      </c>
      <c r="CT26" s="10">
        <f t="shared" si="13"/>
        <v>0</v>
      </c>
      <c r="CU26" s="10">
        <f t="shared" si="14"/>
        <v>-3057.9672970145421</v>
      </c>
      <c r="CV26" s="10">
        <f t="shared" si="15"/>
        <v>-3057.9672970145421</v>
      </c>
      <c r="CW26" s="2">
        <f t="shared" si="1"/>
        <v>0</v>
      </c>
      <c r="CX26" s="2">
        <f>-(SUM(CV26:CW26)*'PV IN'!$E$8)</f>
        <v>642.17313237305382</v>
      </c>
      <c r="CY26" s="2">
        <f t="shared" si="16"/>
        <v>-2415.7941646414884</v>
      </c>
      <c r="CZ26" s="2">
        <f>IF(C26&lt;='Batt IN'!$H$43*12,CY26/(1+('PV IN'!$G$9))^(C26),0)</f>
        <v>-2209.0873034819615</v>
      </c>
      <c r="DA26" s="33">
        <f>IF(C26&lt;='Batt IN'!$H$43*12,AE26,0)</f>
        <v>36250.116666666669</v>
      </c>
    </row>
    <row r="27" spans="1:105" x14ac:dyDescent="0.25">
      <c r="A27">
        <f>IF(C27&lt;='Batt IN'!$H$43*12,C27,"")</f>
        <v>23</v>
      </c>
      <c r="C27">
        <v>23</v>
      </c>
      <c r="D27" s="21">
        <v>730</v>
      </c>
      <c r="E27" s="1">
        <f>1-'Batt IN'!$E$31</f>
        <v>2.0000000000000018E-2</v>
      </c>
      <c r="F27" s="12">
        <f>('Batt IN'!$E$33*365)/8760</f>
        <v>0</v>
      </c>
      <c r="G27" s="22">
        <f>'Batt IN'!$E$32/8760</f>
        <v>5.7077625570776253E-3</v>
      </c>
      <c r="H27" s="22">
        <f>'Batt IN'!$E$13/8760</f>
        <v>5.5936073059360729E-3</v>
      </c>
      <c r="I27" s="23">
        <f>IF(C27&lt;='Batt IN'!$G$14*12,'Batt IN'!$E$15/8760*'Batt IN'!$G$15,0)</f>
        <v>6.8493150684931503E-3</v>
      </c>
      <c r="J27" s="12">
        <f>Z27/'Batt IN'!$E$27/730</f>
        <v>2.4999999999999996E-3</v>
      </c>
      <c r="K27" s="23">
        <f>AA27/'Batt IN'!$E$27/730</f>
        <v>1.6027397260273972E-3</v>
      </c>
      <c r="L27" s="23">
        <f>AB27/'Batt IN'!$E$27/730</f>
        <v>2.0547945205479451E-4</v>
      </c>
      <c r="M27" s="23">
        <f>AC27/'Batt IN'!$E$27/730</f>
        <v>4.7945205479452057E-3</v>
      </c>
      <c r="N27" s="23">
        <f>AD27/'Batt IN'!$E$27/730</f>
        <v>3.4246575342465752E-3</v>
      </c>
      <c r="O27" s="12">
        <f t="shared" si="2"/>
        <v>5.0678082191780847E-2</v>
      </c>
      <c r="P27" s="21">
        <f t="shared" si="3"/>
        <v>693.005</v>
      </c>
      <c r="Q27" s="2">
        <f>IF('Batt IN'!$E$27*'Batt IN'!$E$24&lt;='Batt IN'!$E$28,(('Batt IN'!$E$23*'Batt IN'!$E$27*'Batt IN'!$E$24)/1000)*P27,(('Batt IN'!$E$23*'Batt IN'!$E$28*'Batt IN'!$E$24)/1000)*P27)</f>
        <v>11088.08</v>
      </c>
      <c r="R27" s="2"/>
      <c r="S27" s="77">
        <f>IF(C27&lt;='Batt IN'!$G$14*12,'Batt IN'!$E$15/12,0)</f>
        <v>8.3333333333333339</v>
      </c>
      <c r="T27" s="77"/>
      <c r="U27" s="80">
        <f>'Batt IN'!$E$28*('Batt IN'!$G$24/24)*730*(1-O27)</f>
        <v>80850.583333333328</v>
      </c>
      <c r="V27" s="78">
        <f>U27*'Batt IN'!$F$30</f>
        <v>16170.116666666667</v>
      </c>
      <c r="W27" s="78">
        <f>'Batt IN'!$E$28*'Batt IN'!$G$32*('Batt IN'!$E$32/12)*(1+'Batt IN'!$F$30)</f>
        <v>1750.0000000000002</v>
      </c>
      <c r="X27" s="78">
        <f>'Batt IN'!$E$28*'Batt IN'!$G$13*('Batt IN'!$E$13/12)*(1+'Batt IN'!$F$30)</f>
        <v>3184.9999999999995</v>
      </c>
      <c r="Y27" s="33">
        <f>S27*'Batt IN'!$G$15*'Batt IN'!$E$28*(1+'Batt IN'!$F$30)</f>
        <v>6000</v>
      </c>
      <c r="Z27" s="33">
        <f>'Batt IN'!$G$16*365/12*(1+'Batt IN'!$F$30)</f>
        <v>1824.9999999999998</v>
      </c>
      <c r="AA27" s="33">
        <f>'Batt IN'!$G$17*'Batt IN'!$E$18*'Batt IN'!$G$18/12*(1+'Batt IN'!$F$30)</f>
        <v>1170</v>
      </c>
      <c r="AB27" s="33">
        <f>'Batt IN'!$G$19*'Batt IN'!$E$20*'Batt IN'!$G$20/12*(1+'Batt IN'!$F$30)</f>
        <v>150</v>
      </c>
      <c r="AC27" s="33">
        <f>'Batt IN'!$G$21*(1+'Batt IN'!$F$30)/12</f>
        <v>3500</v>
      </c>
      <c r="AD27" s="33">
        <f>'Batt IN'!$G$22*(1+'Batt IN'!$F$30)/12</f>
        <v>2500</v>
      </c>
      <c r="AE27" s="33">
        <f t="shared" si="4"/>
        <v>36250.116666666669</v>
      </c>
      <c r="AF27" s="33">
        <f>IF('PV IN'!$F$4="Battery Only",0,AE27*'Batt IN'!$E$29)</f>
        <v>30812.599166666667</v>
      </c>
      <c r="AG27" s="33">
        <f>PVCalcs!L27</f>
        <v>30812.599166666667</v>
      </c>
      <c r="AH27" s="33">
        <f t="shared" si="5"/>
        <v>5437.5175000000017</v>
      </c>
      <c r="AI27" s="33"/>
      <c r="AJ27" s="2">
        <f>IF(AND('Batt IN'!$D$53="Yes",$AL$1&gt;=1),IF($C27='Batt IN'!$H$54*12,-'Batt IN'!$F$54,0),0)</f>
        <v>0</v>
      </c>
      <c r="AK27" s="2">
        <f>IF(AND('Batt IN'!$D$53="Yes",$AL$1&gt;=2),IF($C27='Batt IN'!$H$55*12,-'Batt IN'!$F$55,0),0)</f>
        <v>0</v>
      </c>
      <c r="AL27" s="2">
        <f>IF(AND('Batt IN'!$D$53="Yes",$AL$1&gt;=3),IF($C27='Batt IN'!$H$56*12,-'Batt IN'!$F$56,0),0)</f>
        <v>0</v>
      </c>
      <c r="AM27" s="2">
        <f>IF(AND('Batt IN'!$D$53="Yes",$AL$1&gt;=4),IF($C27='Batt IN'!$H$57*12,-'Batt IN'!$F$57,0),0)</f>
        <v>0</v>
      </c>
      <c r="AN27" s="2">
        <f>IF(AND('Batt IN'!$D$53="Yes",$AL$1&gt;=5),IF($C27='Batt IN'!$H$58*12,-'Batt IN'!$F$58,0),0)</f>
        <v>0</v>
      </c>
      <c r="AO27" s="10">
        <f>IF(AND('Batt IN'!$D$44="YES",$C27&lt;='Batt IN'!$E$44*12),-'Batt IN'!$E$28*'Batt IN'!$E$42/12,0)</f>
        <v>0</v>
      </c>
      <c r="AP27" s="10">
        <f>IF(AND('Batt IN'!$D$46="YES",$C27&lt;='Batt IN'!$E$46*12),-'Batt IN'!$E$28*'Batt IN'!$E$45/12,0)</f>
        <v>0</v>
      </c>
      <c r="AR27" s="10">
        <f>BattLoan!M54</f>
        <v>0</v>
      </c>
      <c r="AS27" s="10">
        <f>'Batt IN'!$G$16*365/12*'Batt IN'!$E$16</f>
        <v>76.041666666666671</v>
      </c>
      <c r="AT27" s="10">
        <f>IF(AND('Batt IN'!$E$18&gt;0,'Batt IN'!$G$18&gt;0),'Batt IN'!$E$17*'Batt IN'!$G$17,0)</f>
        <v>119.44619999999999</v>
      </c>
      <c r="AU27" s="10">
        <f>IF(AND('Batt IN'!$E$20&gt;0,'Batt IN'!$G$20&gt;0),'Batt IN'!$E$19*'Batt IN'!$G$19,0)</f>
        <v>231</v>
      </c>
      <c r="AV27" s="10"/>
      <c r="AW27" s="10"/>
      <c r="AX27" s="10">
        <f>IF('Batt IN'!$E$11="Non-Taxable",Q27,0)</f>
        <v>11088.08</v>
      </c>
      <c r="AY27" s="10">
        <f>IF('Batt IN'!$E$11="Non-Taxable",'Batt IN'!$E$28/1000*'Batt IN'!$G$13*('Batt IN'!$E$13/12)*'Batt IN'!$E$12,0)</f>
        <v>244.42220833333334</v>
      </c>
      <c r="AZ27" s="10">
        <f>IF('Batt IN'!$E$11="Non-Taxable",$S27*'Batt IN'!$G$15*'Batt IN'!$E$28*'Batt IN'!$E$14/1000,0)</f>
        <v>475</v>
      </c>
      <c r="BA27" s="10">
        <f>IF('Batt IN'!$E$11="Non-Taxable",'Batt IN'!$E$21*'Batt IN'!$G$21/12,0)</f>
        <v>437.5</v>
      </c>
      <c r="BB27" s="10">
        <f>IF('Batt IN'!$E$11="Non-Taxable",'Batt IN'!$E$22*'Batt IN'!$G$22/12,0)</f>
        <v>1145.8333333333335</v>
      </c>
      <c r="BC27" s="10">
        <f>IF('Batt IN'!$E$11="Taxable",Q27,0)</f>
        <v>0</v>
      </c>
      <c r="BD27" s="10">
        <f>IF('Batt IN'!$E$11="Taxable",'Batt IN'!$E$28/1000*'Batt IN'!$G$13*('Batt IN'!$E$13/12)*'Batt IN'!$E$12,0)</f>
        <v>0</v>
      </c>
      <c r="BE27" s="10">
        <f>IF('Batt IN'!$E$11="Taxable",$S27*'Batt IN'!$G$15*'Batt IN'!$E$28*'Batt IN'!$E$14/1000,0)</f>
        <v>0</v>
      </c>
      <c r="BF27" s="10">
        <f>IF('Batt IN'!$E$11="Taxable",'Batt IN'!$E$21*'Batt IN'!$G$21/12,0)</f>
        <v>0</v>
      </c>
      <c r="BG27" s="10">
        <f>IF('Batt IN'!$E$11="Taxable",'Batt IN'!$E$22*'Batt IN'!$G$22/12,0)</f>
        <v>0</v>
      </c>
      <c r="BK27" s="10">
        <f>IF('Batt IN'!$N$18="Yes",-BattLoan!H55,-BattLoan!L55)</f>
        <v>0</v>
      </c>
      <c r="BL27" s="10">
        <f>IF('Batt IN'!$N$18="Yes",-BattLoan!F55,0)</f>
        <v>0</v>
      </c>
      <c r="BM27" s="10">
        <f>IF(AND('Batt IN'!$D$44="YES",$C27&lt;='Batt IN'!$E$44*12),0,-'Batt IN'!$E$28*'Batt IN'!$E$42/12)</f>
        <v>-83.333333333333329</v>
      </c>
      <c r="BN27" s="10">
        <f>IF(AND('Batt IN'!$D$46="YES",$C27&lt;='Batt IN'!$E$46*12),0,-'Batt IN'!$E$28*'Batt IN'!$E$45/12)</f>
        <v>-166.66666666666666</v>
      </c>
      <c r="BO27" s="2">
        <f>IF(AND('Batt IN'!$D$41="YES",BattCalcs!C27=ROUNDUP('Batt IN'!$H$41*12,)),-'Batt IN'!$E$41*'Batt IN'!$E$28,0)</f>
        <v>0</v>
      </c>
      <c r="BP27" s="2">
        <f>IF(AND('Batt IN'!$D$53="Yes",$AL$1&gt;=1),0,IF($C27='Batt IN'!$H$54*12,-'Batt IN'!$F$54,0))</f>
        <v>0</v>
      </c>
      <c r="BQ27" s="2">
        <f>IF(AND('Batt IN'!$D$53="Yes",$AL$1&gt;=2),0,IF($C27='Batt IN'!$H$55*12,-'Batt IN'!$F$55,0))</f>
        <v>0</v>
      </c>
      <c r="BR27" s="2">
        <f>IF(AND('Batt IN'!$D$53="Yes",$AL$1&gt;=3),0,IF($C27='Batt IN'!$H$56*12,-'Batt IN'!$F$56,0))</f>
        <v>0</v>
      </c>
      <c r="BS27" s="2">
        <f>IF(AND('Batt IN'!$D$53="Yes",$AL$1&gt;=4),0,IF($C27='Batt IN'!$H$57*12,-'Batt IN'!$F$57,0))</f>
        <v>0</v>
      </c>
      <c r="BT27" s="2">
        <f>IF(AND('Batt IN'!$D$53="Yes",$AL$1&gt;=5),0,IF($C27='Batt IN'!$H$58*12,-'Batt IN'!$F$58,0))</f>
        <v>0</v>
      </c>
      <c r="BU27" s="2">
        <f>-AH27*PVCalcs!F27</f>
        <v>-407.96729701454188</v>
      </c>
      <c r="BV27" s="2">
        <f>-'Batt IN'!$E$47</f>
        <v>-150</v>
      </c>
      <c r="BW27" s="2">
        <f>-'Batt IN'!$E$49</f>
        <v>-2250</v>
      </c>
      <c r="BX27" s="2">
        <f>IF('Batt IN'!$H$50="No",-(BC27*'Batt IN'!$E$50),-(BC27+BE27)*'Batt IN'!$E$50)</f>
        <v>0</v>
      </c>
      <c r="BY27" s="2">
        <f>IF(C27='Batt IN'!$H$43*12,-'Batt IN'!$E$43,0)</f>
        <v>0</v>
      </c>
      <c r="BZ27" s="38"/>
      <c r="CA27" s="10">
        <f t="shared" si="0"/>
        <v>13817.323408333334</v>
      </c>
      <c r="CB27" s="2">
        <f t="shared" si="6"/>
        <v>-3057.9672970145421</v>
      </c>
      <c r="CC27" s="45">
        <f t="shared" si="7"/>
        <v>10759.356111318792</v>
      </c>
      <c r="CD27" s="43"/>
      <c r="CE27" s="2">
        <f t="shared" si="8"/>
        <v>0</v>
      </c>
      <c r="CF27" s="2">
        <f t="shared" si="9"/>
        <v>-3057.9672970145421</v>
      </c>
      <c r="CG27" s="2"/>
      <c r="CH27" s="2">
        <f t="shared" si="10"/>
        <v>-3057.9672970145421</v>
      </c>
      <c r="CI27" s="45">
        <f>-CH27*'Batt IN'!$E$7</f>
        <v>642.17313237305382</v>
      </c>
      <c r="CJ27" s="48"/>
      <c r="CK27" s="45">
        <f>IF('Batt IN'!$F$4="PV Only",0,IF(C27&gt;'Batt IN'!$H$43*12,0,CC27+CI27))</f>
        <v>0</v>
      </c>
      <c r="CM27" s="10">
        <f t="shared" si="11"/>
        <v>0</v>
      </c>
      <c r="CN27" s="2">
        <f>CK27/(1+('Batt IN'!$G$8))^(C27)</f>
        <v>0</v>
      </c>
      <c r="CO27" s="2">
        <f>IF(C27&lt;='Batt IN'!$O$30*12,CN27+CO26,NA())</f>
        <v>0</v>
      </c>
      <c r="CQ27" s="2">
        <f>CK27/((1+('Batt IN'!$E$8/12))^BattCalcs!C27)</f>
        <v>0</v>
      </c>
      <c r="CS27" s="10">
        <f t="shared" si="12"/>
        <v>-3057.9672970145421</v>
      </c>
      <c r="CT27" s="10">
        <f t="shared" si="13"/>
        <v>0</v>
      </c>
      <c r="CU27" s="10">
        <f t="shared" si="14"/>
        <v>-3057.9672970145421</v>
      </c>
      <c r="CV27" s="10">
        <f t="shared" si="15"/>
        <v>-3057.9672970145421</v>
      </c>
      <c r="CW27" s="2">
        <f t="shared" si="1"/>
        <v>0</v>
      </c>
      <c r="CX27" s="2">
        <f>-(SUM(CV27:CW27)*'PV IN'!$E$8)</f>
        <v>642.17313237305382</v>
      </c>
      <c r="CY27" s="2">
        <f t="shared" si="16"/>
        <v>-2415.7941646414884</v>
      </c>
      <c r="CZ27" s="2">
        <f>IF(C27&lt;='Batt IN'!$H$43*12,CY27/(1+('PV IN'!$G$9))^(C27),0)</f>
        <v>-2200.1237270785018</v>
      </c>
      <c r="DA27" s="33">
        <f>IF(C27&lt;='Batt IN'!$H$43*12,AE27,0)</f>
        <v>36250.116666666669</v>
      </c>
    </row>
    <row r="28" spans="1:105" x14ac:dyDescent="0.25">
      <c r="A28">
        <f>IF(C28&lt;='Batt IN'!$H$43*12,C28,"")</f>
        <v>24</v>
      </c>
      <c r="B28">
        <v>2</v>
      </c>
      <c r="C28">
        <v>24</v>
      </c>
      <c r="D28" s="21">
        <v>730</v>
      </c>
      <c r="E28" s="1">
        <f>1-'Batt IN'!$E$31</f>
        <v>2.0000000000000018E-2</v>
      </c>
      <c r="F28" s="12">
        <f>('Batt IN'!$E$33*365)/8760</f>
        <v>0</v>
      </c>
      <c r="G28" s="22">
        <f>'Batt IN'!$E$32/8760</f>
        <v>5.7077625570776253E-3</v>
      </c>
      <c r="H28" s="22">
        <f>'Batt IN'!$E$13/8760</f>
        <v>5.5936073059360729E-3</v>
      </c>
      <c r="I28" s="23">
        <f>IF(C28&lt;='Batt IN'!$G$14*12,'Batt IN'!$E$15/8760*'Batt IN'!$G$15,0)</f>
        <v>6.8493150684931503E-3</v>
      </c>
      <c r="J28" s="12">
        <f>Z28/'Batt IN'!$E$27/730</f>
        <v>2.4999999999999996E-3</v>
      </c>
      <c r="K28" s="23">
        <f>AA28/'Batt IN'!$E$27/730</f>
        <v>1.6027397260273972E-3</v>
      </c>
      <c r="L28" s="23">
        <f>AB28/'Batt IN'!$E$27/730</f>
        <v>2.0547945205479451E-4</v>
      </c>
      <c r="M28" s="23">
        <f>AC28/'Batt IN'!$E$27/730</f>
        <v>4.7945205479452057E-3</v>
      </c>
      <c r="N28" s="23">
        <f>AD28/'Batt IN'!$E$27/730</f>
        <v>3.4246575342465752E-3</v>
      </c>
      <c r="O28" s="12">
        <f t="shared" si="2"/>
        <v>5.0678082191780847E-2</v>
      </c>
      <c r="P28" s="21">
        <f t="shared" si="3"/>
        <v>693.005</v>
      </c>
      <c r="Q28" s="2">
        <f>IF('Batt IN'!$E$27*'Batt IN'!$E$24&lt;='Batt IN'!$E$28,(('Batt IN'!$E$23*'Batt IN'!$E$27*'Batt IN'!$E$24)/1000)*P28,(('Batt IN'!$E$23*'Batt IN'!$E$28*'Batt IN'!$E$24)/1000)*P28)</f>
        <v>11088.08</v>
      </c>
      <c r="R28" s="2"/>
      <c r="S28" s="77">
        <f>IF(C28&lt;='Batt IN'!$G$14*12,'Batt IN'!$E$15/12,0)</f>
        <v>8.3333333333333339</v>
      </c>
      <c r="T28" s="77"/>
      <c r="U28" s="80">
        <f>'Batt IN'!$E$28*('Batt IN'!$G$24/24)*730*(1-O28)</f>
        <v>80850.583333333328</v>
      </c>
      <c r="V28" s="78">
        <f>U28*'Batt IN'!$F$30</f>
        <v>16170.116666666667</v>
      </c>
      <c r="W28" s="78">
        <f>'Batt IN'!$E$28*'Batt IN'!$G$32*('Batt IN'!$E$32/12)*(1+'Batt IN'!$F$30)</f>
        <v>1750.0000000000002</v>
      </c>
      <c r="X28" s="78">
        <f>'Batt IN'!$E$28*'Batt IN'!$G$13*('Batt IN'!$E$13/12)*(1+'Batt IN'!$F$30)</f>
        <v>3184.9999999999995</v>
      </c>
      <c r="Y28" s="33">
        <f>S28*'Batt IN'!$G$15*'Batt IN'!$E$28*(1+'Batt IN'!$F$30)</f>
        <v>6000</v>
      </c>
      <c r="Z28" s="33">
        <f>'Batt IN'!$G$16*365/12*(1+'Batt IN'!$F$30)</f>
        <v>1824.9999999999998</v>
      </c>
      <c r="AA28" s="33">
        <f>'Batt IN'!$G$17*'Batt IN'!$E$18*'Batt IN'!$G$18/12*(1+'Batt IN'!$F$30)</f>
        <v>1170</v>
      </c>
      <c r="AB28" s="33">
        <f>'Batt IN'!$G$19*'Batt IN'!$E$20*'Batt IN'!$G$20/12*(1+'Batt IN'!$F$30)</f>
        <v>150</v>
      </c>
      <c r="AC28" s="33">
        <f>'Batt IN'!$G$21*(1+'Batt IN'!$F$30)/12</f>
        <v>3500</v>
      </c>
      <c r="AD28" s="33">
        <f>'Batt IN'!$G$22*(1+'Batt IN'!$F$30)/12</f>
        <v>2500</v>
      </c>
      <c r="AE28" s="33">
        <f t="shared" si="4"/>
        <v>36250.116666666669</v>
      </c>
      <c r="AF28" s="33">
        <f>IF('PV IN'!$F$4="Battery Only",0,AE28*'Batt IN'!$E$29)</f>
        <v>30812.599166666667</v>
      </c>
      <c r="AG28" s="33">
        <f>PVCalcs!L28</f>
        <v>30812.599166666667</v>
      </c>
      <c r="AH28" s="33">
        <f t="shared" si="5"/>
        <v>5437.5175000000017</v>
      </c>
      <c r="AI28" s="33"/>
      <c r="AJ28" s="2">
        <f>IF(AND('Batt IN'!$D$53="Yes",$AL$1&gt;=1),IF($C28='Batt IN'!$H$54*12,-'Batt IN'!$F$54,0),0)</f>
        <v>0</v>
      </c>
      <c r="AK28" s="2">
        <f>IF(AND('Batt IN'!$D$53="Yes",$AL$1&gt;=2),IF($C28='Batt IN'!$H$55*12,-'Batt IN'!$F$55,0),0)</f>
        <v>0</v>
      </c>
      <c r="AL28" s="2">
        <f>IF(AND('Batt IN'!$D$53="Yes",$AL$1&gt;=3),IF($C28='Batt IN'!$H$56*12,-'Batt IN'!$F$56,0),0)</f>
        <v>0</v>
      </c>
      <c r="AM28" s="2">
        <f>IF(AND('Batt IN'!$D$53="Yes",$AL$1&gt;=4),IF($C28='Batt IN'!$H$57*12,-'Batt IN'!$F$57,0),0)</f>
        <v>0</v>
      </c>
      <c r="AN28" s="2">
        <f>IF(AND('Batt IN'!$D$53="Yes",$AL$1&gt;=5),IF($C28='Batt IN'!$H$58*12,-'Batt IN'!$F$58,0),0)</f>
        <v>0</v>
      </c>
      <c r="AO28" s="10">
        <f>IF(AND('Batt IN'!$D$44="YES",$C28&lt;='Batt IN'!$E$44*12),-'Batt IN'!$E$28*'Batt IN'!$E$42/12,0)</f>
        <v>0</v>
      </c>
      <c r="AP28" s="10">
        <f>IF(AND('Batt IN'!$D$46="YES",$C28&lt;='Batt IN'!$E$46*12),-'Batt IN'!$E$28*'Batt IN'!$E$45/12,0)</f>
        <v>0</v>
      </c>
      <c r="AR28" s="10">
        <f>BattLoan!M55</f>
        <v>0</v>
      </c>
      <c r="AS28" s="10">
        <f>'Batt IN'!$G$16*365/12*'Batt IN'!$E$16</f>
        <v>76.041666666666671</v>
      </c>
      <c r="AT28" s="10">
        <f>IF(AND('Batt IN'!$E$18&gt;0,'Batt IN'!$G$18&gt;0),'Batt IN'!$E$17*'Batt IN'!$G$17,0)</f>
        <v>119.44619999999999</v>
      </c>
      <c r="AU28" s="10">
        <f>IF(AND('Batt IN'!$E$20&gt;0,'Batt IN'!$G$20&gt;0),'Batt IN'!$E$19*'Batt IN'!$G$19,0)</f>
        <v>231</v>
      </c>
      <c r="AX28" s="10">
        <f>IF('Batt IN'!$E$11="Non-Taxable",Q28,0)</f>
        <v>11088.08</v>
      </c>
      <c r="AY28" s="10">
        <f>IF('Batt IN'!$E$11="Non-Taxable",'Batt IN'!$E$28/1000*'Batt IN'!$G$13*('Batt IN'!$E$13/12)*'Batt IN'!$E$12,0)</f>
        <v>244.42220833333334</v>
      </c>
      <c r="AZ28" s="10">
        <f>IF('Batt IN'!$E$11="Non-Taxable",$S28*'Batt IN'!$G$15*'Batt IN'!$E$28*'Batt IN'!$E$14/1000,0)</f>
        <v>475</v>
      </c>
      <c r="BA28" s="10">
        <f>IF('Batt IN'!$E$11="Non-Taxable",'Batt IN'!$E$21*'Batt IN'!$G$21/12,0)</f>
        <v>437.5</v>
      </c>
      <c r="BB28" s="10">
        <f>IF('Batt IN'!$E$11="Non-Taxable",'Batt IN'!$E$22*'Batt IN'!$G$22/12,0)</f>
        <v>1145.8333333333335</v>
      </c>
      <c r="BC28" s="10">
        <f>IF('Batt IN'!$E$11="Taxable",Q28,0)</f>
        <v>0</v>
      </c>
      <c r="BD28" s="10">
        <f>IF('Batt IN'!$E$11="Taxable",'Batt IN'!$E$28/1000*'Batt IN'!$G$13*('Batt IN'!$E$13/12)*'Batt IN'!$E$12,0)</f>
        <v>0</v>
      </c>
      <c r="BE28" s="10">
        <f>IF('Batt IN'!$E$11="Taxable",$S28*'Batt IN'!$G$15*'Batt IN'!$E$28*'Batt IN'!$E$14/1000,0)</f>
        <v>0</v>
      </c>
      <c r="BF28" s="10">
        <f>IF('Batt IN'!$E$11="Taxable",'Batt IN'!$E$21*'Batt IN'!$G$21/12,0)</f>
        <v>0</v>
      </c>
      <c r="BG28" s="10">
        <f>IF('Batt IN'!$E$11="Taxable",'Batt IN'!$E$22*'Batt IN'!$G$22/12,0)</f>
        <v>0</v>
      </c>
      <c r="BK28" s="10">
        <f>IF('Batt IN'!$N$18="Yes",-BattLoan!H56,-BattLoan!L56)</f>
        <v>0</v>
      </c>
      <c r="BL28" s="10">
        <f>IF('Batt IN'!$N$18="Yes",-BattLoan!F56,0)</f>
        <v>0</v>
      </c>
      <c r="BM28" s="10">
        <f>IF(AND('Batt IN'!$D$44="YES",$C28&lt;='Batt IN'!$E$44*12),0,-'Batt IN'!$E$28*'Batt IN'!$E$42/12)</f>
        <v>-83.333333333333329</v>
      </c>
      <c r="BN28" s="10">
        <f>IF(AND('Batt IN'!$D$46="YES",$C28&lt;='Batt IN'!$E$46*12),0,-'Batt IN'!$E$28*'Batt IN'!$E$45/12)</f>
        <v>-166.66666666666666</v>
      </c>
      <c r="BO28" s="2">
        <f>IF(AND('Batt IN'!$D$41="YES",BattCalcs!C28=ROUNDUP('Batt IN'!$H$41*12,)),-'Batt IN'!$E$41*'Batt IN'!$E$28,0)</f>
        <v>0</v>
      </c>
      <c r="BP28" s="2">
        <f>IF(AND('Batt IN'!$D$53="Yes",$AL$1&gt;=1),0,IF($C28='Batt IN'!$H$54*12,-'Batt IN'!$F$54,0))</f>
        <v>0</v>
      </c>
      <c r="BQ28" s="2">
        <f>IF(AND('Batt IN'!$D$53="Yes",$AL$1&gt;=2),0,IF($C28='Batt IN'!$H$55*12,-'Batt IN'!$F$55,0))</f>
        <v>0</v>
      </c>
      <c r="BR28" s="2">
        <f>IF(AND('Batt IN'!$D$53="Yes",$AL$1&gt;=3),0,IF($C28='Batt IN'!$H$56*12,-'Batt IN'!$F$56,0))</f>
        <v>0</v>
      </c>
      <c r="BS28" s="2">
        <f>IF(AND('Batt IN'!$D$53="Yes",$AL$1&gt;=4),0,IF($C28='Batt IN'!$H$57*12,-'Batt IN'!$F$57,0))</f>
        <v>0</v>
      </c>
      <c r="BT28" s="2">
        <f>IF(AND('Batt IN'!$D$53="Yes",$AL$1&gt;=5),0,IF($C28='Batt IN'!$H$58*12,-'Batt IN'!$F$58,0))</f>
        <v>0</v>
      </c>
      <c r="BU28" s="2">
        <f>-AH28*PVCalcs!F28</f>
        <v>-407.96729701454188</v>
      </c>
      <c r="BV28" s="2">
        <f>-'Batt IN'!$E$47</f>
        <v>-150</v>
      </c>
      <c r="BW28" s="2">
        <f>-'Batt IN'!$E$49</f>
        <v>-2250</v>
      </c>
      <c r="BX28" s="2">
        <f>IF('Batt IN'!$H$50="No",-(BC28*'Batt IN'!$E$50),-(BC28+BE28)*'Batt IN'!$E$50)</f>
        <v>0</v>
      </c>
      <c r="BY28" s="2">
        <f>IF(C28='Batt IN'!$H$43*12,-'Batt IN'!$E$43,0)</f>
        <v>0</v>
      </c>
      <c r="BZ28" s="38"/>
      <c r="CA28" s="10">
        <f t="shared" si="0"/>
        <v>13817.323408333334</v>
      </c>
      <c r="CB28" s="2">
        <f t="shared" si="6"/>
        <v>-3057.9672970145421</v>
      </c>
      <c r="CC28" s="45">
        <f t="shared" si="7"/>
        <v>10759.356111318792</v>
      </c>
      <c r="CD28" s="43"/>
      <c r="CE28" s="2">
        <f t="shared" si="8"/>
        <v>0</v>
      </c>
      <c r="CF28" s="2">
        <f t="shared" si="9"/>
        <v>-3057.9672970145421</v>
      </c>
      <c r="CG28" s="2">
        <f>-Depr.!F21</f>
        <v>0</v>
      </c>
      <c r="CH28" s="2">
        <f t="shared" si="10"/>
        <v>-3057.9672970145421</v>
      </c>
      <c r="CI28" s="45">
        <f>-CH28*'Batt IN'!$E$7</f>
        <v>642.17313237305382</v>
      </c>
      <c r="CJ28" s="48"/>
      <c r="CK28" s="45">
        <f>IF('Batt IN'!$F$4="PV Only",0,IF(C28&gt;'Batt IN'!$H$43*12,0,CC28+CI28))</f>
        <v>0</v>
      </c>
      <c r="CM28" s="10">
        <f t="shared" si="11"/>
        <v>0</v>
      </c>
      <c r="CN28" s="2">
        <f>CK28/(1+('Batt IN'!$G$8))^(C28)</f>
        <v>0</v>
      </c>
      <c r="CO28" s="2">
        <f>IF(C28&lt;='Batt IN'!$O$30*12,CN28+CO27,NA())</f>
        <v>0</v>
      </c>
      <c r="CQ28" s="2">
        <f>CK28/((1+('Batt IN'!$E$8/12))^BattCalcs!C28)</f>
        <v>0</v>
      </c>
      <c r="CS28" s="10">
        <f t="shared" si="12"/>
        <v>-3057.9672970145421</v>
      </c>
      <c r="CT28" s="10">
        <f t="shared" si="13"/>
        <v>0</v>
      </c>
      <c r="CU28" s="10">
        <f t="shared" si="14"/>
        <v>-3057.9672970145421</v>
      </c>
      <c r="CV28" s="10">
        <f t="shared" si="15"/>
        <v>-3057.9672970145421</v>
      </c>
      <c r="CW28" s="2">
        <f t="shared" si="1"/>
        <v>0</v>
      </c>
      <c r="CX28" s="2">
        <f>-(SUM(CV28:CW28)*'PV IN'!$E$8)</f>
        <v>642.17313237305382</v>
      </c>
      <c r="CY28" s="2">
        <f t="shared" si="16"/>
        <v>-2415.7941646414884</v>
      </c>
      <c r="CZ28" s="2">
        <f>IF(C28&lt;='Batt IN'!$H$43*12,CY28/(1+('PV IN'!$G$9))^(C28),0)</f>
        <v>-2191.1965212167647</v>
      </c>
      <c r="DA28" s="33">
        <f>IF(C28&lt;='Batt IN'!$H$43*12,AE28,0)</f>
        <v>36250.116666666669</v>
      </c>
    </row>
    <row r="29" spans="1:105" x14ac:dyDescent="0.25">
      <c r="A29">
        <f>IF(C29&lt;='Batt IN'!$H$43*12,C29,"")</f>
        <v>25</v>
      </c>
      <c r="C29">
        <v>25</v>
      </c>
      <c r="D29" s="21">
        <v>730</v>
      </c>
      <c r="E29" s="1">
        <f>1-'Batt IN'!$E$31</f>
        <v>2.0000000000000018E-2</v>
      </c>
      <c r="F29" s="12">
        <f>('Batt IN'!$E$33*365)/8760</f>
        <v>0</v>
      </c>
      <c r="G29" s="22">
        <f>'Batt IN'!$E$32/8760</f>
        <v>5.7077625570776253E-3</v>
      </c>
      <c r="H29" s="22">
        <f>'Batt IN'!$E$13/8760</f>
        <v>5.5936073059360729E-3</v>
      </c>
      <c r="I29" s="23">
        <f>IF(C29&lt;='Batt IN'!$G$14*12,'Batt IN'!$E$15/8760*'Batt IN'!$G$15,0)</f>
        <v>6.8493150684931503E-3</v>
      </c>
      <c r="J29" s="12">
        <f>Z29/'Batt IN'!$E$27/730</f>
        <v>2.4999999999999996E-3</v>
      </c>
      <c r="K29" s="23">
        <f>AA29/'Batt IN'!$E$27/730</f>
        <v>1.6027397260273972E-3</v>
      </c>
      <c r="L29" s="23">
        <f>AB29/'Batt IN'!$E$27/730</f>
        <v>2.0547945205479451E-4</v>
      </c>
      <c r="M29" s="23">
        <f>AC29/'Batt IN'!$E$27/730</f>
        <v>4.7945205479452057E-3</v>
      </c>
      <c r="N29" s="23">
        <f>AD29/'Batt IN'!$E$27/730</f>
        <v>3.4246575342465752E-3</v>
      </c>
      <c r="O29" s="12">
        <f t="shared" si="2"/>
        <v>5.0678082191780847E-2</v>
      </c>
      <c r="P29" s="21">
        <f t="shared" si="3"/>
        <v>693.005</v>
      </c>
      <c r="Q29" s="2">
        <f>IF('Batt IN'!$E$27*'Batt IN'!$E$24&lt;='Batt IN'!$E$28,(('Batt IN'!$E$23*'Batt IN'!$E$27*'Batt IN'!$E$24)/1000)*P29,(('Batt IN'!$E$23*'Batt IN'!$E$28*'Batt IN'!$E$24)/1000)*P29)</f>
        <v>11088.08</v>
      </c>
      <c r="R29" s="2"/>
      <c r="S29" s="77">
        <f>IF(C29&lt;='Batt IN'!$G$14*12,'Batt IN'!$E$15/12,0)</f>
        <v>8.3333333333333339</v>
      </c>
      <c r="T29" s="77"/>
      <c r="U29" s="80">
        <f>'Batt IN'!$E$28*('Batt IN'!$G$24/24)*730*(1-O29)</f>
        <v>80850.583333333328</v>
      </c>
      <c r="V29" s="78">
        <f>U29*'Batt IN'!$F$30</f>
        <v>16170.116666666667</v>
      </c>
      <c r="W29" s="78">
        <f>'Batt IN'!$E$28*'Batt IN'!$G$32*('Batt IN'!$E$32/12)*(1+'Batt IN'!$F$30)</f>
        <v>1750.0000000000002</v>
      </c>
      <c r="X29" s="78">
        <f>'Batt IN'!$E$28*'Batt IN'!$G$13*('Batt IN'!$E$13/12)*(1+'Batt IN'!$F$30)</f>
        <v>3184.9999999999995</v>
      </c>
      <c r="Y29" s="33">
        <f>S29*'Batt IN'!$G$15*'Batt IN'!$E$28*(1+'Batt IN'!$F$30)</f>
        <v>6000</v>
      </c>
      <c r="Z29" s="33">
        <f>'Batt IN'!$G$16*365/12*(1+'Batt IN'!$F$30)</f>
        <v>1824.9999999999998</v>
      </c>
      <c r="AA29" s="33">
        <f>'Batt IN'!$G$17*'Batt IN'!$E$18*'Batt IN'!$G$18/12*(1+'Batt IN'!$F$30)</f>
        <v>1170</v>
      </c>
      <c r="AB29" s="33">
        <f>'Batt IN'!$G$19*'Batt IN'!$E$20*'Batt IN'!$G$20/12*(1+'Batt IN'!$F$30)</f>
        <v>150</v>
      </c>
      <c r="AC29" s="33">
        <f>'Batt IN'!$G$21*(1+'Batt IN'!$F$30)/12</f>
        <v>3500</v>
      </c>
      <c r="AD29" s="33">
        <f>'Batt IN'!$G$22*(1+'Batt IN'!$F$30)/12</f>
        <v>2500</v>
      </c>
      <c r="AE29" s="33">
        <f t="shared" si="4"/>
        <v>36250.116666666669</v>
      </c>
      <c r="AF29" s="33">
        <f>IF('PV IN'!$F$4="Battery Only",0,AE29*'Batt IN'!$E$29)</f>
        <v>30812.599166666667</v>
      </c>
      <c r="AG29" s="33">
        <f>PVCalcs!L29</f>
        <v>30812.599166666667</v>
      </c>
      <c r="AH29" s="33">
        <f t="shared" si="5"/>
        <v>5437.5175000000017</v>
      </c>
      <c r="AI29" s="33"/>
      <c r="AJ29" s="2">
        <f>IF(AND('Batt IN'!$D$53="Yes",$AL$1&gt;=1),IF($C29='Batt IN'!$H$54*12,-'Batt IN'!$F$54,0),0)</f>
        <v>0</v>
      </c>
      <c r="AK29" s="2">
        <f>IF(AND('Batt IN'!$D$53="Yes",$AL$1&gt;=2),IF($C29='Batt IN'!$H$55*12,-'Batt IN'!$F$55,0),0)</f>
        <v>0</v>
      </c>
      <c r="AL29" s="2">
        <f>IF(AND('Batt IN'!$D$53="Yes",$AL$1&gt;=3),IF($C29='Batt IN'!$H$56*12,-'Batt IN'!$F$56,0),0)</f>
        <v>0</v>
      </c>
      <c r="AM29" s="2">
        <f>IF(AND('Batt IN'!$D$53="Yes",$AL$1&gt;=4),IF($C29='Batt IN'!$H$57*12,-'Batt IN'!$F$57,0),0)</f>
        <v>0</v>
      </c>
      <c r="AN29" s="2">
        <f>IF(AND('Batt IN'!$D$53="Yes",$AL$1&gt;=5),IF($C29='Batt IN'!$H$58*12,-'Batt IN'!$F$58,0),0)</f>
        <v>0</v>
      </c>
      <c r="AO29" s="10">
        <f>IF(AND('Batt IN'!$D$44="YES",$C29&lt;='Batt IN'!$E$44*12),-'Batt IN'!$E$28*'Batt IN'!$E$42/12,0)</f>
        <v>0</v>
      </c>
      <c r="AP29" s="10">
        <f>IF(AND('Batt IN'!$D$46="YES",$C29&lt;='Batt IN'!$E$46*12),-'Batt IN'!$E$28*'Batt IN'!$E$45/12,0)</f>
        <v>0</v>
      </c>
      <c r="AR29" s="10">
        <f>BattLoan!M56</f>
        <v>0</v>
      </c>
      <c r="AS29" s="10">
        <f>'Batt IN'!$G$16*365/12*'Batt IN'!$E$16</f>
        <v>76.041666666666671</v>
      </c>
      <c r="AT29" s="10">
        <f>IF(AND('Batt IN'!$E$18&gt;0,'Batt IN'!$G$18&gt;0),'Batt IN'!$E$17*'Batt IN'!$G$17,0)</f>
        <v>119.44619999999999</v>
      </c>
      <c r="AU29" s="10">
        <f>IF(AND('Batt IN'!$E$20&gt;0,'Batt IN'!$G$20&gt;0),'Batt IN'!$E$19*'Batt IN'!$G$19,0)</f>
        <v>231</v>
      </c>
      <c r="AV29" s="10"/>
      <c r="AW29" s="10"/>
      <c r="AX29" s="10">
        <f>IF('Batt IN'!$E$11="Non-Taxable",Q29,0)</f>
        <v>11088.08</v>
      </c>
      <c r="AY29" s="10">
        <f>IF('Batt IN'!$E$11="Non-Taxable",'Batt IN'!$E$28/1000*'Batt IN'!$G$13*('Batt IN'!$E$13/12)*'Batt IN'!$E$12,0)</f>
        <v>244.42220833333334</v>
      </c>
      <c r="AZ29" s="10">
        <f>IF('Batt IN'!$E$11="Non-Taxable",$S29*'Batt IN'!$G$15*'Batt IN'!$E$28*'Batt IN'!$E$14/1000,0)</f>
        <v>475</v>
      </c>
      <c r="BA29" s="10">
        <f>IF('Batt IN'!$E$11="Non-Taxable",'Batt IN'!$E$21*'Batt IN'!$G$21/12,0)</f>
        <v>437.5</v>
      </c>
      <c r="BB29" s="10">
        <f>IF('Batt IN'!$E$11="Non-Taxable",'Batt IN'!$E$22*'Batt IN'!$G$22/12,0)</f>
        <v>1145.8333333333335</v>
      </c>
      <c r="BC29" s="10">
        <f>IF('Batt IN'!$E$11="Taxable",Q29,0)</f>
        <v>0</v>
      </c>
      <c r="BD29" s="10">
        <f>IF('Batt IN'!$E$11="Taxable",'Batt IN'!$E$28/1000*'Batt IN'!$G$13*('Batt IN'!$E$13/12)*'Batt IN'!$E$12,0)</f>
        <v>0</v>
      </c>
      <c r="BE29" s="10">
        <f>IF('Batt IN'!$E$11="Taxable",$S29*'Batt IN'!$G$15*'Batt IN'!$E$28*'Batt IN'!$E$14/1000,0)</f>
        <v>0</v>
      </c>
      <c r="BF29" s="10">
        <f>IF('Batt IN'!$E$11="Taxable",'Batt IN'!$E$21*'Batt IN'!$G$21/12,0)</f>
        <v>0</v>
      </c>
      <c r="BG29" s="10">
        <f>IF('Batt IN'!$E$11="Taxable",'Batt IN'!$E$22*'Batt IN'!$G$22/12,0)</f>
        <v>0</v>
      </c>
      <c r="BK29" s="10">
        <f>IF('Batt IN'!$N$18="Yes",-BattLoan!H57,-BattLoan!L57)</f>
        <v>0</v>
      </c>
      <c r="BL29" s="10">
        <f>IF('Batt IN'!$N$18="Yes",-BattLoan!F57,0)</f>
        <v>0</v>
      </c>
      <c r="BM29" s="10">
        <f>IF(AND('Batt IN'!$D$44="YES",$C29&lt;='Batt IN'!$E$44*12),0,-'Batt IN'!$E$28*'Batt IN'!$E$42/12)</f>
        <v>-83.333333333333329</v>
      </c>
      <c r="BN29" s="10">
        <f>IF(AND('Batt IN'!$D$46="YES",$C29&lt;='Batt IN'!$E$46*12),0,-'Batt IN'!$E$28*'Batt IN'!$E$45/12)</f>
        <v>-166.66666666666666</v>
      </c>
      <c r="BO29" s="2">
        <f>IF(AND('Batt IN'!$D$41="YES",BattCalcs!C29=ROUNDUP('Batt IN'!$H$41*12,)),-'Batt IN'!$E$41*'Batt IN'!$E$28,0)</f>
        <v>0</v>
      </c>
      <c r="BP29" s="2">
        <f>IF(AND('Batt IN'!$D$53="Yes",$AL$1&gt;=1),0,IF($C29='Batt IN'!$H$54*12,-'Batt IN'!$F$54,0))</f>
        <v>0</v>
      </c>
      <c r="BQ29" s="2">
        <f>IF(AND('Batt IN'!$D$53="Yes",$AL$1&gt;=2),0,IF($C29='Batt IN'!$H$55*12,-'Batt IN'!$F$55,0))</f>
        <v>0</v>
      </c>
      <c r="BR29" s="2">
        <f>IF(AND('Batt IN'!$D$53="Yes",$AL$1&gt;=3),0,IF($C29='Batt IN'!$H$56*12,-'Batt IN'!$F$56,0))</f>
        <v>0</v>
      </c>
      <c r="BS29" s="2">
        <f>IF(AND('Batt IN'!$D$53="Yes",$AL$1&gt;=4),0,IF($C29='Batt IN'!$H$57*12,-'Batt IN'!$F$57,0))</f>
        <v>0</v>
      </c>
      <c r="BT29" s="2">
        <f>IF(AND('Batt IN'!$D$53="Yes",$AL$1&gt;=5),0,IF($C29='Batt IN'!$H$58*12,-'Batt IN'!$F$58,0))</f>
        <v>0</v>
      </c>
      <c r="BU29" s="2">
        <f>-AH29*PVCalcs!F29</f>
        <v>-408.50813537637038</v>
      </c>
      <c r="BV29" s="2">
        <f>-'Batt IN'!$E$47</f>
        <v>-150</v>
      </c>
      <c r="BW29" s="2">
        <f>-'Batt IN'!$E$49</f>
        <v>-2250</v>
      </c>
      <c r="BX29" s="2">
        <f>IF('Batt IN'!$H$50="No",-(BC29*'Batt IN'!$E$50),-(BC29+BE29)*'Batt IN'!$E$50)</f>
        <v>0</v>
      </c>
      <c r="BY29" s="2">
        <f>IF(C29='Batt IN'!$H$43*12,-'Batt IN'!$E$43,0)</f>
        <v>0</v>
      </c>
      <c r="BZ29" s="38"/>
      <c r="CA29" s="10">
        <f t="shared" si="0"/>
        <v>13817.323408333334</v>
      </c>
      <c r="CB29" s="2">
        <f t="shared" si="6"/>
        <v>-3058.5081353763703</v>
      </c>
      <c r="CC29" s="45">
        <f t="shared" si="7"/>
        <v>10758.815272956963</v>
      </c>
      <c r="CD29" s="43"/>
      <c r="CE29" s="2">
        <f t="shared" si="8"/>
        <v>0</v>
      </c>
      <c r="CF29" s="2">
        <f t="shared" si="9"/>
        <v>-3058.5081353763703</v>
      </c>
      <c r="CG29" s="2"/>
      <c r="CH29" s="2">
        <f t="shared" si="10"/>
        <v>-3058.5081353763703</v>
      </c>
      <c r="CI29" s="45">
        <f>-CH29*'Batt IN'!$E$7</f>
        <v>642.28670842903773</v>
      </c>
      <c r="CJ29" s="48"/>
      <c r="CK29" s="45">
        <f>IF('Batt IN'!$F$4="PV Only",0,IF(C29&gt;'Batt IN'!$H$43*12,0,CC29+CI29))</f>
        <v>0</v>
      </c>
      <c r="CM29" s="10">
        <f t="shared" si="11"/>
        <v>0</v>
      </c>
      <c r="CN29" s="2">
        <f>CK29/(1+('Batt IN'!$G$8))^(C29)</f>
        <v>0</v>
      </c>
      <c r="CO29" s="2">
        <f>IF(C29&lt;='Batt IN'!$O$30*12,CN29+CO28,NA())</f>
        <v>0</v>
      </c>
      <c r="CQ29" s="2">
        <f>CK29/((1+('Batt IN'!$E$8/12))^BattCalcs!C29)</f>
        <v>0</v>
      </c>
      <c r="CS29" s="10">
        <f t="shared" si="12"/>
        <v>-3058.5081353763703</v>
      </c>
      <c r="CT29" s="10">
        <f t="shared" si="13"/>
        <v>0</v>
      </c>
      <c r="CU29" s="10">
        <f t="shared" si="14"/>
        <v>-3058.5081353763703</v>
      </c>
      <c r="CV29" s="10">
        <f t="shared" si="15"/>
        <v>-3058.5081353763703</v>
      </c>
      <c r="CW29" s="2">
        <f t="shared" si="1"/>
        <v>0</v>
      </c>
      <c r="CX29" s="2">
        <f>-(SUM(CV29:CW29)*'PV IN'!$E$8)</f>
        <v>642.28670842903773</v>
      </c>
      <c r="CY29" s="2">
        <f t="shared" si="16"/>
        <v>-2416.2214269473325</v>
      </c>
      <c r="CZ29" s="2">
        <f>IF(C29&lt;='Batt IN'!$H$43*12,CY29/(1+('PV IN'!$G$9))^(C29),0)</f>
        <v>-2182.6915053488897</v>
      </c>
      <c r="DA29" s="33">
        <f>IF(C29&lt;='Batt IN'!$H$43*12,AE29,0)</f>
        <v>36250.116666666669</v>
      </c>
    </row>
    <row r="30" spans="1:105" x14ac:dyDescent="0.25">
      <c r="A30">
        <f>IF(C30&lt;='Batt IN'!$H$43*12,C30,"")</f>
        <v>26</v>
      </c>
      <c r="C30">
        <v>26</v>
      </c>
      <c r="D30" s="21">
        <v>730</v>
      </c>
      <c r="E30" s="1">
        <f>1-'Batt IN'!$E$31</f>
        <v>2.0000000000000018E-2</v>
      </c>
      <c r="F30" s="12">
        <f>('Batt IN'!$E$33*365)/8760</f>
        <v>0</v>
      </c>
      <c r="G30" s="22">
        <f>'Batt IN'!$E$32/8760</f>
        <v>5.7077625570776253E-3</v>
      </c>
      <c r="H30" s="22">
        <f>'Batt IN'!$E$13/8760</f>
        <v>5.5936073059360729E-3</v>
      </c>
      <c r="I30" s="23">
        <f>IF(C30&lt;='Batt IN'!$G$14*12,'Batt IN'!$E$15/8760*'Batt IN'!$G$15,0)</f>
        <v>6.8493150684931503E-3</v>
      </c>
      <c r="J30" s="12">
        <f>Z30/'Batt IN'!$E$27/730</f>
        <v>2.4999999999999996E-3</v>
      </c>
      <c r="K30" s="23">
        <f>AA30/'Batt IN'!$E$27/730</f>
        <v>1.6027397260273972E-3</v>
      </c>
      <c r="L30" s="23">
        <f>AB30/'Batt IN'!$E$27/730</f>
        <v>2.0547945205479451E-4</v>
      </c>
      <c r="M30" s="23">
        <f>AC30/'Batt IN'!$E$27/730</f>
        <v>4.7945205479452057E-3</v>
      </c>
      <c r="N30" s="23">
        <f>AD30/'Batt IN'!$E$27/730</f>
        <v>3.4246575342465752E-3</v>
      </c>
      <c r="O30" s="12">
        <f t="shared" si="2"/>
        <v>5.0678082191780847E-2</v>
      </c>
      <c r="P30" s="21">
        <f t="shared" si="3"/>
        <v>693.005</v>
      </c>
      <c r="Q30" s="2">
        <f>IF('Batt IN'!$E$27*'Batt IN'!$E$24&lt;='Batt IN'!$E$28,(('Batt IN'!$E$23*'Batt IN'!$E$27*'Batt IN'!$E$24)/1000)*P30,(('Batt IN'!$E$23*'Batt IN'!$E$28*'Batt IN'!$E$24)/1000)*P30)</f>
        <v>11088.08</v>
      </c>
      <c r="R30" s="2"/>
      <c r="S30" s="77">
        <f>IF(C30&lt;='Batt IN'!$G$14*12,'Batt IN'!$E$15/12,0)</f>
        <v>8.3333333333333339</v>
      </c>
      <c r="T30" s="77"/>
      <c r="U30" s="80">
        <f>'Batt IN'!$E$28*('Batt IN'!$G$24/24)*730*(1-O30)</f>
        <v>80850.583333333328</v>
      </c>
      <c r="V30" s="78">
        <f>U30*'Batt IN'!$F$30</f>
        <v>16170.116666666667</v>
      </c>
      <c r="W30" s="78">
        <f>'Batt IN'!$E$28*'Batt IN'!$G$32*('Batt IN'!$E$32/12)*(1+'Batt IN'!$F$30)</f>
        <v>1750.0000000000002</v>
      </c>
      <c r="X30" s="78">
        <f>'Batt IN'!$E$28*'Batt IN'!$G$13*('Batt IN'!$E$13/12)*(1+'Batt IN'!$F$30)</f>
        <v>3184.9999999999995</v>
      </c>
      <c r="Y30" s="33">
        <f>S30*'Batt IN'!$G$15*'Batt IN'!$E$28*(1+'Batt IN'!$F$30)</f>
        <v>6000</v>
      </c>
      <c r="Z30" s="33">
        <f>'Batt IN'!$G$16*365/12*(1+'Batt IN'!$F$30)</f>
        <v>1824.9999999999998</v>
      </c>
      <c r="AA30" s="33">
        <f>'Batt IN'!$G$17*'Batt IN'!$E$18*'Batt IN'!$G$18/12*(1+'Batt IN'!$F$30)</f>
        <v>1170</v>
      </c>
      <c r="AB30" s="33">
        <f>'Batt IN'!$G$19*'Batt IN'!$E$20*'Batt IN'!$G$20/12*(1+'Batt IN'!$F$30)</f>
        <v>150</v>
      </c>
      <c r="AC30" s="33">
        <f>'Batt IN'!$G$21*(1+'Batt IN'!$F$30)/12</f>
        <v>3500</v>
      </c>
      <c r="AD30" s="33">
        <f>'Batt IN'!$G$22*(1+'Batt IN'!$F$30)/12</f>
        <v>2500</v>
      </c>
      <c r="AE30" s="33">
        <f t="shared" si="4"/>
        <v>36250.116666666669</v>
      </c>
      <c r="AF30" s="33">
        <f>IF('PV IN'!$F$4="Battery Only",0,AE30*'Batt IN'!$E$29)</f>
        <v>30812.599166666667</v>
      </c>
      <c r="AG30" s="33">
        <f>PVCalcs!L30</f>
        <v>30812.599166666667</v>
      </c>
      <c r="AH30" s="33">
        <f t="shared" si="5"/>
        <v>5437.5175000000017</v>
      </c>
      <c r="AI30" s="33"/>
      <c r="AJ30" s="2">
        <f>IF(AND('Batt IN'!$D$53="Yes",$AL$1&gt;=1),IF($C30='Batt IN'!$H$54*12,-'Batt IN'!$F$54,0),0)</f>
        <v>0</v>
      </c>
      <c r="AK30" s="2">
        <f>IF(AND('Batt IN'!$D$53="Yes",$AL$1&gt;=2),IF($C30='Batt IN'!$H$55*12,-'Batt IN'!$F$55,0),0)</f>
        <v>0</v>
      </c>
      <c r="AL30" s="2">
        <f>IF(AND('Batt IN'!$D$53="Yes",$AL$1&gt;=3),IF($C30='Batt IN'!$H$56*12,-'Batt IN'!$F$56,0),0)</f>
        <v>0</v>
      </c>
      <c r="AM30" s="2">
        <f>IF(AND('Batt IN'!$D$53="Yes",$AL$1&gt;=4),IF($C30='Batt IN'!$H$57*12,-'Batt IN'!$F$57,0),0)</f>
        <v>0</v>
      </c>
      <c r="AN30" s="2">
        <f>IF(AND('Batt IN'!$D$53="Yes",$AL$1&gt;=5),IF($C30='Batt IN'!$H$58*12,-'Batt IN'!$F$58,0),0)</f>
        <v>0</v>
      </c>
      <c r="AO30" s="10">
        <f>IF(AND('Batt IN'!$D$44="YES",$C30&lt;='Batt IN'!$E$44*12),-'Batt IN'!$E$28*'Batt IN'!$E$42/12,0)</f>
        <v>0</v>
      </c>
      <c r="AP30" s="10">
        <f>IF(AND('Batt IN'!$D$46="YES",$C30&lt;='Batt IN'!$E$46*12),-'Batt IN'!$E$28*'Batt IN'!$E$45/12,0)</f>
        <v>0</v>
      </c>
      <c r="AR30" s="10">
        <f>BattLoan!M57</f>
        <v>0</v>
      </c>
      <c r="AS30" s="10">
        <f>'Batt IN'!$G$16*365/12*'Batt IN'!$E$16</f>
        <v>76.041666666666671</v>
      </c>
      <c r="AT30" s="10">
        <f>IF(AND('Batt IN'!$E$18&gt;0,'Batt IN'!$G$18&gt;0),'Batt IN'!$E$17*'Batt IN'!$G$17,0)</f>
        <v>119.44619999999999</v>
      </c>
      <c r="AU30" s="10">
        <f>IF(AND('Batt IN'!$E$20&gt;0,'Batt IN'!$G$20&gt;0),'Batt IN'!$E$19*'Batt IN'!$G$19,0)</f>
        <v>231</v>
      </c>
      <c r="AV30" s="10"/>
      <c r="AW30" s="10"/>
      <c r="AX30" s="10">
        <f>IF('Batt IN'!$E$11="Non-Taxable",Q30,0)</f>
        <v>11088.08</v>
      </c>
      <c r="AY30" s="10">
        <f>IF('Batt IN'!$E$11="Non-Taxable",'Batt IN'!$E$28/1000*'Batt IN'!$G$13*('Batt IN'!$E$13/12)*'Batt IN'!$E$12,0)</f>
        <v>244.42220833333334</v>
      </c>
      <c r="AZ30" s="10">
        <f>IF('Batt IN'!$E$11="Non-Taxable",$S30*'Batt IN'!$G$15*'Batt IN'!$E$28*'Batt IN'!$E$14/1000,0)</f>
        <v>475</v>
      </c>
      <c r="BA30" s="10">
        <f>IF('Batt IN'!$E$11="Non-Taxable",'Batt IN'!$E$21*'Batt IN'!$G$21/12,0)</f>
        <v>437.5</v>
      </c>
      <c r="BB30" s="10">
        <f>IF('Batt IN'!$E$11="Non-Taxable",'Batt IN'!$E$22*'Batt IN'!$G$22/12,0)</f>
        <v>1145.8333333333335</v>
      </c>
      <c r="BC30" s="10">
        <f>IF('Batt IN'!$E$11="Taxable",Q30,0)</f>
        <v>0</v>
      </c>
      <c r="BD30" s="10">
        <f>IF('Batt IN'!$E$11="Taxable",'Batt IN'!$E$28/1000*'Batt IN'!$G$13*('Batt IN'!$E$13/12)*'Batt IN'!$E$12,0)</f>
        <v>0</v>
      </c>
      <c r="BE30" s="10">
        <f>IF('Batt IN'!$E$11="Taxable",$S30*'Batt IN'!$G$15*'Batt IN'!$E$28*'Batt IN'!$E$14/1000,0)</f>
        <v>0</v>
      </c>
      <c r="BF30" s="10">
        <f>IF('Batt IN'!$E$11="Taxable",'Batt IN'!$E$21*'Batt IN'!$G$21/12,0)</f>
        <v>0</v>
      </c>
      <c r="BG30" s="10">
        <f>IF('Batt IN'!$E$11="Taxable",'Batt IN'!$E$22*'Batt IN'!$G$22/12,0)</f>
        <v>0</v>
      </c>
      <c r="BK30" s="10">
        <f>IF('Batt IN'!$N$18="Yes",-BattLoan!H58,-BattLoan!L58)</f>
        <v>0</v>
      </c>
      <c r="BL30" s="10">
        <f>IF('Batt IN'!$N$18="Yes",-BattLoan!F58,0)</f>
        <v>0</v>
      </c>
      <c r="BM30" s="10">
        <f>IF(AND('Batt IN'!$D$44="YES",$C30&lt;='Batt IN'!$E$44*12),0,-'Batt IN'!$E$28*'Batt IN'!$E$42/12)</f>
        <v>-83.333333333333329</v>
      </c>
      <c r="BN30" s="10">
        <f>IF(AND('Batt IN'!$D$46="YES",$C30&lt;='Batt IN'!$E$46*12),0,-'Batt IN'!$E$28*'Batt IN'!$E$45/12)</f>
        <v>-166.66666666666666</v>
      </c>
      <c r="BO30" s="2">
        <f>IF(AND('Batt IN'!$D$41="YES",BattCalcs!C30=ROUNDUP('Batt IN'!$H$41*12,)),-'Batt IN'!$E$41*'Batt IN'!$E$28,0)</f>
        <v>0</v>
      </c>
      <c r="BP30" s="2">
        <f>IF(AND('Batt IN'!$D$53="Yes",$AL$1&gt;=1),0,IF($C30='Batt IN'!$H$54*12,-'Batt IN'!$F$54,0))</f>
        <v>0</v>
      </c>
      <c r="BQ30" s="2">
        <f>IF(AND('Batt IN'!$D$53="Yes",$AL$1&gt;=2),0,IF($C30='Batt IN'!$H$55*12,-'Batt IN'!$F$55,0))</f>
        <v>0</v>
      </c>
      <c r="BR30" s="2">
        <f>IF(AND('Batt IN'!$D$53="Yes",$AL$1&gt;=3),0,IF($C30='Batt IN'!$H$56*12,-'Batt IN'!$F$56,0))</f>
        <v>0</v>
      </c>
      <c r="BS30" s="2">
        <f>IF(AND('Batt IN'!$D$53="Yes",$AL$1&gt;=4),0,IF($C30='Batt IN'!$H$57*12,-'Batt IN'!$F$57,0))</f>
        <v>0</v>
      </c>
      <c r="BT30" s="2">
        <f>IF(AND('Batt IN'!$D$53="Yes",$AL$1&gt;=5),0,IF($C30='Batt IN'!$H$58*12,-'Batt IN'!$F$58,0))</f>
        <v>0</v>
      </c>
      <c r="BU30" s="2">
        <f>-AH30*PVCalcs!F30</f>
        <v>-408.50813537637038</v>
      </c>
      <c r="BV30" s="2">
        <f>-'Batt IN'!$E$47</f>
        <v>-150</v>
      </c>
      <c r="BW30" s="2">
        <f>-'Batt IN'!$E$49</f>
        <v>-2250</v>
      </c>
      <c r="BX30" s="2">
        <f>IF('Batt IN'!$H$50="No",-(BC30*'Batt IN'!$E$50),-(BC30+BE30)*'Batt IN'!$E$50)</f>
        <v>0</v>
      </c>
      <c r="BY30" s="2">
        <f>IF(C30='Batt IN'!$H$43*12,-'Batt IN'!$E$43,0)</f>
        <v>0</v>
      </c>
      <c r="BZ30" s="38"/>
      <c r="CA30" s="10">
        <f t="shared" si="0"/>
        <v>13817.323408333334</v>
      </c>
      <c r="CB30" s="2">
        <f t="shared" si="6"/>
        <v>-3058.5081353763703</v>
      </c>
      <c r="CC30" s="45">
        <f t="shared" si="7"/>
        <v>10758.815272956963</v>
      </c>
      <c r="CD30" s="43"/>
      <c r="CE30" s="2">
        <f t="shared" si="8"/>
        <v>0</v>
      </c>
      <c r="CF30" s="2">
        <f t="shared" si="9"/>
        <v>-3058.5081353763703</v>
      </c>
      <c r="CG30" s="2"/>
      <c r="CH30" s="2">
        <f t="shared" si="10"/>
        <v>-3058.5081353763703</v>
      </c>
      <c r="CI30" s="45">
        <f>-CH30*'Batt IN'!$E$7</f>
        <v>642.28670842903773</v>
      </c>
      <c r="CJ30" s="48"/>
      <c r="CK30" s="45">
        <f>IF('Batt IN'!$F$4="PV Only",0,IF(C30&gt;'Batt IN'!$H$43*12,0,CC30+CI30))</f>
        <v>0</v>
      </c>
      <c r="CM30" s="10">
        <f t="shared" si="11"/>
        <v>0</v>
      </c>
      <c r="CN30" s="2">
        <f>CK30/(1+('Batt IN'!$G$8))^(C30)</f>
        <v>0</v>
      </c>
      <c r="CO30" s="2">
        <f>IF(C30&lt;='Batt IN'!$O$30*12,CN30+CO29,NA())</f>
        <v>0</v>
      </c>
      <c r="CQ30" s="2">
        <f>CK30/((1+('Batt IN'!$E$8/12))^BattCalcs!C30)</f>
        <v>0</v>
      </c>
      <c r="CS30" s="10">
        <f t="shared" si="12"/>
        <v>-3058.5081353763703</v>
      </c>
      <c r="CT30" s="10">
        <f t="shared" si="13"/>
        <v>0</v>
      </c>
      <c r="CU30" s="10">
        <f t="shared" si="14"/>
        <v>-3058.5081353763703</v>
      </c>
      <c r="CV30" s="10">
        <f t="shared" si="15"/>
        <v>-3058.5081353763703</v>
      </c>
      <c r="CW30" s="2">
        <f t="shared" si="1"/>
        <v>0</v>
      </c>
      <c r="CX30" s="2">
        <f>-(SUM(CV30:CW30)*'PV IN'!$E$8)</f>
        <v>642.28670842903773</v>
      </c>
      <c r="CY30" s="2">
        <f t="shared" si="16"/>
        <v>-2416.2214269473325</v>
      </c>
      <c r="CZ30" s="2">
        <f>IF(C30&lt;='Batt IN'!$H$43*12,CY30/(1+('PV IN'!$G$9))^(C30),0)</f>
        <v>-2173.8350323418977</v>
      </c>
      <c r="DA30" s="33">
        <f>IF(C30&lt;='Batt IN'!$H$43*12,AE30,0)</f>
        <v>36250.116666666669</v>
      </c>
    </row>
    <row r="31" spans="1:105" x14ac:dyDescent="0.25">
      <c r="A31">
        <f>IF(C31&lt;='Batt IN'!$H$43*12,C31,"")</f>
        <v>27</v>
      </c>
      <c r="C31">
        <v>27</v>
      </c>
      <c r="D31" s="21">
        <v>730</v>
      </c>
      <c r="E31" s="1">
        <f>1-'Batt IN'!$E$31</f>
        <v>2.0000000000000018E-2</v>
      </c>
      <c r="F31" s="12">
        <f>('Batt IN'!$E$33*365)/8760</f>
        <v>0</v>
      </c>
      <c r="G31" s="22">
        <f>'Batt IN'!$E$32/8760</f>
        <v>5.7077625570776253E-3</v>
      </c>
      <c r="H31" s="22">
        <f>'Batt IN'!$E$13/8760</f>
        <v>5.5936073059360729E-3</v>
      </c>
      <c r="I31" s="23">
        <f>IF(C31&lt;='Batt IN'!$G$14*12,'Batt IN'!$E$15/8760*'Batt IN'!$G$15,0)</f>
        <v>6.8493150684931503E-3</v>
      </c>
      <c r="J31" s="12">
        <f>Z31/'Batt IN'!$E$27/730</f>
        <v>2.4999999999999996E-3</v>
      </c>
      <c r="K31" s="23">
        <f>AA31/'Batt IN'!$E$27/730</f>
        <v>1.6027397260273972E-3</v>
      </c>
      <c r="L31" s="23">
        <f>AB31/'Batt IN'!$E$27/730</f>
        <v>2.0547945205479451E-4</v>
      </c>
      <c r="M31" s="23">
        <f>AC31/'Batt IN'!$E$27/730</f>
        <v>4.7945205479452057E-3</v>
      </c>
      <c r="N31" s="23">
        <f>AD31/'Batt IN'!$E$27/730</f>
        <v>3.4246575342465752E-3</v>
      </c>
      <c r="O31" s="12">
        <f t="shared" si="2"/>
        <v>5.0678082191780847E-2</v>
      </c>
      <c r="P31" s="21">
        <f t="shared" si="3"/>
        <v>693.005</v>
      </c>
      <c r="Q31" s="2">
        <f>IF('Batt IN'!$E$27*'Batt IN'!$E$24&lt;='Batt IN'!$E$28,(('Batt IN'!$E$23*'Batt IN'!$E$27*'Batt IN'!$E$24)/1000)*P31,(('Batt IN'!$E$23*'Batt IN'!$E$28*'Batt IN'!$E$24)/1000)*P31)</f>
        <v>11088.08</v>
      </c>
      <c r="R31" s="2"/>
      <c r="S31" s="77">
        <f>IF(C31&lt;='Batt IN'!$G$14*12,'Batt IN'!$E$15/12,0)</f>
        <v>8.3333333333333339</v>
      </c>
      <c r="T31" s="77"/>
      <c r="U31" s="80">
        <f>'Batt IN'!$E$28*('Batt IN'!$G$24/24)*730*(1-O31)</f>
        <v>80850.583333333328</v>
      </c>
      <c r="V31" s="78">
        <f>U31*'Batt IN'!$F$30</f>
        <v>16170.116666666667</v>
      </c>
      <c r="W31" s="78">
        <f>'Batt IN'!$E$28*'Batt IN'!$G$32*('Batt IN'!$E$32/12)*(1+'Batt IN'!$F$30)</f>
        <v>1750.0000000000002</v>
      </c>
      <c r="X31" s="78">
        <f>'Batt IN'!$E$28*'Batt IN'!$G$13*('Batt IN'!$E$13/12)*(1+'Batt IN'!$F$30)</f>
        <v>3184.9999999999995</v>
      </c>
      <c r="Y31" s="33">
        <f>S31*'Batt IN'!$G$15*'Batt IN'!$E$28*(1+'Batt IN'!$F$30)</f>
        <v>6000</v>
      </c>
      <c r="Z31" s="33">
        <f>'Batt IN'!$G$16*365/12*(1+'Batt IN'!$F$30)</f>
        <v>1824.9999999999998</v>
      </c>
      <c r="AA31" s="33">
        <f>'Batt IN'!$G$17*'Batt IN'!$E$18*'Batt IN'!$G$18/12*(1+'Batt IN'!$F$30)</f>
        <v>1170</v>
      </c>
      <c r="AB31" s="33">
        <f>'Batt IN'!$G$19*'Batt IN'!$E$20*'Batt IN'!$G$20/12*(1+'Batt IN'!$F$30)</f>
        <v>150</v>
      </c>
      <c r="AC31" s="33">
        <f>'Batt IN'!$G$21*(1+'Batt IN'!$F$30)/12</f>
        <v>3500</v>
      </c>
      <c r="AD31" s="33">
        <f>'Batt IN'!$G$22*(1+'Batt IN'!$F$30)/12</f>
        <v>2500</v>
      </c>
      <c r="AE31" s="33">
        <f t="shared" si="4"/>
        <v>36250.116666666669</v>
      </c>
      <c r="AF31" s="33">
        <f>IF('PV IN'!$F$4="Battery Only",0,AE31*'Batt IN'!$E$29)</f>
        <v>30812.599166666667</v>
      </c>
      <c r="AG31" s="33">
        <f>PVCalcs!L31</f>
        <v>30812.599166666667</v>
      </c>
      <c r="AH31" s="33">
        <f t="shared" si="5"/>
        <v>5437.5175000000017</v>
      </c>
      <c r="AI31" s="33"/>
      <c r="AJ31" s="2">
        <f>IF(AND('Batt IN'!$D$53="Yes",$AL$1&gt;=1),IF($C31='Batt IN'!$H$54*12,-'Batt IN'!$F$54,0),0)</f>
        <v>0</v>
      </c>
      <c r="AK31" s="2">
        <f>IF(AND('Batt IN'!$D$53="Yes",$AL$1&gt;=2),IF($C31='Batt IN'!$H$55*12,-'Batt IN'!$F$55,0),0)</f>
        <v>0</v>
      </c>
      <c r="AL31" s="2">
        <f>IF(AND('Batt IN'!$D$53="Yes",$AL$1&gt;=3),IF($C31='Batt IN'!$H$56*12,-'Batt IN'!$F$56,0),0)</f>
        <v>0</v>
      </c>
      <c r="AM31" s="2">
        <f>IF(AND('Batt IN'!$D$53="Yes",$AL$1&gt;=4),IF($C31='Batt IN'!$H$57*12,-'Batt IN'!$F$57,0),0)</f>
        <v>0</v>
      </c>
      <c r="AN31" s="2">
        <f>IF(AND('Batt IN'!$D$53="Yes",$AL$1&gt;=5),IF($C31='Batt IN'!$H$58*12,-'Batt IN'!$F$58,0),0)</f>
        <v>0</v>
      </c>
      <c r="AO31" s="10">
        <f>IF(AND('Batt IN'!$D$44="YES",$C31&lt;='Batt IN'!$E$44*12),-'Batt IN'!$E$28*'Batt IN'!$E$42/12,0)</f>
        <v>0</v>
      </c>
      <c r="AP31" s="10">
        <f>IF(AND('Batt IN'!$D$46="YES",$C31&lt;='Batt IN'!$E$46*12),-'Batt IN'!$E$28*'Batt IN'!$E$45/12,0)</f>
        <v>0</v>
      </c>
      <c r="AR31" s="10">
        <f>BattLoan!M58</f>
        <v>0</v>
      </c>
      <c r="AS31" s="10">
        <f>'Batt IN'!$G$16*365/12*'Batt IN'!$E$16</f>
        <v>76.041666666666671</v>
      </c>
      <c r="AT31" s="10">
        <f>IF(AND('Batt IN'!$E$18&gt;0,'Batt IN'!$G$18&gt;0),'Batt IN'!$E$17*'Batt IN'!$G$17,0)</f>
        <v>119.44619999999999</v>
      </c>
      <c r="AU31" s="10">
        <f>IF(AND('Batt IN'!$E$20&gt;0,'Batt IN'!$G$20&gt;0),'Batt IN'!$E$19*'Batt IN'!$G$19,0)</f>
        <v>231</v>
      </c>
      <c r="AV31" s="10"/>
      <c r="AW31" s="10"/>
      <c r="AX31" s="10">
        <f>IF('Batt IN'!$E$11="Non-Taxable",Q31,0)</f>
        <v>11088.08</v>
      </c>
      <c r="AY31" s="10">
        <f>IF('Batt IN'!$E$11="Non-Taxable",'Batt IN'!$E$28/1000*'Batt IN'!$G$13*('Batt IN'!$E$13/12)*'Batt IN'!$E$12,0)</f>
        <v>244.42220833333334</v>
      </c>
      <c r="AZ31" s="10">
        <f>IF('Batt IN'!$E$11="Non-Taxable",$S31*'Batt IN'!$G$15*'Batt IN'!$E$28*'Batt IN'!$E$14/1000,0)</f>
        <v>475</v>
      </c>
      <c r="BA31" s="10">
        <f>IF('Batt IN'!$E$11="Non-Taxable",'Batt IN'!$E$21*'Batt IN'!$G$21/12,0)</f>
        <v>437.5</v>
      </c>
      <c r="BB31" s="10">
        <f>IF('Batt IN'!$E$11="Non-Taxable",'Batt IN'!$E$22*'Batt IN'!$G$22/12,0)</f>
        <v>1145.8333333333335</v>
      </c>
      <c r="BC31" s="10">
        <f>IF('Batt IN'!$E$11="Taxable",Q31,0)</f>
        <v>0</v>
      </c>
      <c r="BD31" s="10">
        <f>IF('Batt IN'!$E$11="Taxable",'Batt IN'!$E$28/1000*'Batt IN'!$G$13*('Batt IN'!$E$13/12)*'Batt IN'!$E$12,0)</f>
        <v>0</v>
      </c>
      <c r="BE31" s="10">
        <f>IF('Batt IN'!$E$11="Taxable",$S31*'Batt IN'!$G$15*'Batt IN'!$E$28*'Batt IN'!$E$14/1000,0)</f>
        <v>0</v>
      </c>
      <c r="BF31" s="10">
        <f>IF('Batt IN'!$E$11="Taxable",'Batt IN'!$E$21*'Batt IN'!$G$21/12,0)</f>
        <v>0</v>
      </c>
      <c r="BG31" s="10">
        <f>IF('Batt IN'!$E$11="Taxable",'Batt IN'!$E$22*'Batt IN'!$G$22/12,0)</f>
        <v>0</v>
      </c>
      <c r="BK31" s="10">
        <f>IF('Batt IN'!$N$18="Yes",-BattLoan!H59,-BattLoan!L59)</f>
        <v>0</v>
      </c>
      <c r="BL31" s="10">
        <f>IF('Batt IN'!$N$18="Yes",-BattLoan!F59,0)</f>
        <v>0</v>
      </c>
      <c r="BM31" s="10">
        <f>IF(AND('Batt IN'!$D$44="YES",$C31&lt;='Batt IN'!$E$44*12),0,-'Batt IN'!$E$28*'Batt IN'!$E$42/12)</f>
        <v>-83.333333333333329</v>
      </c>
      <c r="BN31" s="10">
        <f>IF(AND('Batt IN'!$D$46="YES",$C31&lt;='Batt IN'!$E$46*12),0,-'Batt IN'!$E$28*'Batt IN'!$E$45/12)</f>
        <v>-166.66666666666666</v>
      </c>
      <c r="BO31" s="2">
        <f>IF(AND('Batt IN'!$D$41="YES",BattCalcs!C31=ROUNDUP('Batt IN'!$H$41*12,)),-'Batt IN'!$E$41*'Batt IN'!$E$28,0)</f>
        <v>0</v>
      </c>
      <c r="BP31" s="2">
        <f>IF(AND('Batt IN'!$D$53="Yes",$AL$1&gt;=1),0,IF($C31='Batt IN'!$H$54*12,-'Batt IN'!$F$54,0))</f>
        <v>0</v>
      </c>
      <c r="BQ31" s="2">
        <f>IF(AND('Batt IN'!$D$53="Yes",$AL$1&gt;=2),0,IF($C31='Batt IN'!$H$55*12,-'Batt IN'!$F$55,0))</f>
        <v>0</v>
      </c>
      <c r="BR31" s="2">
        <f>IF(AND('Batt IN'!$D$53="Yes",$AL$1&gt;=3),0,IF($C31='Batt IN'!$H$56*12,-'Batt IN'!$F$56,0))</f>
        <v>0</v>
      </c>
      <c r="BS31" s="2">
        <f>IF(AND('Batt IN'!$D$53="Yes",$AL$1&gt;=4),0,IF($C31='Batt IN'!$H$57*12,-'Batt IN'!$F$57,0))</f>
        <v>0</v>
      </c>
      <c r="BT31" s="2">
        <f>IF(AND('Batt IN'!$D$53="Yes",$AL$1&gt;=5),0,IF($C31='Batt IN'!$H$58*12,-'Batt IN'!$F$58,0))</f>
        <v>0</v>
      </c>
      <c r="BU31" s="2">
        <f>-AH31*PVCalcs!F31</f>
        <v>-408.50813537637038</v>
      </c>
      <c r="BV31" s="2">
        <f>-'Batt IN'!$E$47</f>
        <v>-150</v>
      </c>
      <c r="BW31" s="2">
        <f>-'Batt IN'!$E$49</f>
        <v>-2250</v>
      </c>
      <c r="BX31" s="2">
        <f>IF('Batt IN'!$H$50="No",-(BC31*'Batt IN'!$E$50),-(BC31+BE31)*'Batt IN'!$E$50)</f>
        <v>0</v>
      </c>
      <c r="BY31" s="2">
        <f>IF(C31='Batt IN'!$H$43*12,-'Batt IN'!$E$43,0)</f>
        <v>0</v>
      </c>
      <c r="BZ31" s="38"/>
      <c r="CA31" s="10">
        <f t="shared" si="0"/>
        <v>13817.323408333334</v>
      </c>
      <c r="CB31" s="2">
        <f t="shared" si="6"/>
        <v>-3058.5081353763703</v>
      </c>
      <c r="CC31" s="45">
        <f t="shared" si="7"/>
        <v>10758.815272956963</v>
      </c>
      <c r="CD31" s="43"/>
      <c r="CE31" s="2">
        <f t="shared" si="8"/>
        <v>0</v>
      </c>
      <c r="CF31" s="2">
        <f t="shared" si="9"/>
        <v>-3058.5081353763703</v>
      </c>
      <c r="CG31" s="2"/>
      <c r="CH31" s="2">
        <f t="shared" si="10"/>
        <v>-3058.5081353763703</v>
      </c>
      <c r="CI31" s="45">
        <f>-CH31*'Batt IN'!$E$7</f>
        <v>642.28670842903773</v>
      </c>
      <c r="CJ31" s="48"/>
      <c r="CK31" s="45">
        <f>IF('Batt IN'!$F$4="PV Only",0,IF(C31&gt;'Batt IN'!$H$43*12,0,CC31+CI31))</f>
        <v>0</v>
      </c>
      <c r="CM31" s="10">
        <f t="shared" si="11"/>
        <v>0</v>
      </c>
      <c r="CN31" s="2">
        <f>CK31/(1+('Batt IN'!$G$8))^(C31)</f>
        <v>0</v>
      </c>
      <c r="CO31" s="2">
        <f>IF(C31&lt;='Batt IN'!$O$30*12,CN31+CO30,NA())</f>
        <v>0</v>
      </c>
      <c r="CQ31" s="2">
        <f>CK31/((1+('Batt IN'!$E$8/12))^BattCalcs!C31)</f>
        <v>0</v>
      </c>
      <c r="CS31" s="10">
        <f t="shared" si="12"/>
        <v>-3058.5081353763703</v>
      </c>
      <c r="CT31" s="10">
        <f t="shared" si="13"/>
        <v>0</v>
      </c>
      <c r="CU31" s="10">
        <f t="shared" si="14"/>
        <v>-3058.5081353763703</v>
      </c>
      <c r="CV31" s="10">
        <f t="shared" si="15"/>
        <v>-3058.5081353763703</v>
      </c>
      <c r="CW31" s="2">
        <f t="shared" si="1"/>
        <v>0</v>
      </c>
      <c r="CX31" s="2">
        <f>-(SUM(CV31:CW31)*'PV IN'!$E$8)</f>
        <v>642.28670842903773</v>
      </c>
      <c r="CY31" s="2">
        <f t="shared" si="16"/>
        <v>-2416.2214269473325</v>
      </c>
      <c r="CZ31" s="2">
        <f>IF(C31&lt;='Batt IN'!$H$43*12,CY31/(1+('PV IN'!$G$9))^(C31),0)</f>
        <v>-2165.0144952946744</v>
      </c>
      <c r="DA31" s="33">
        <f>IF(C31&lt;='Batt IN'!$H$43*12,AE31,0)</f>
        <v>36250.116666666669</v>
      </c>
    </row>
    <row r="32" spans="1:105" x14ac:dyDescent="0.25">
      <c r="A32">
        <f>IF(C32&lt;='Batt IN'!$H$43*12,C32,"")</f>
        <v>28</v>
      </c>
      <c r="C32">
        <v>28</v>
      </c>
      <c r="D32" s="21">
        <v>730</v>
      </c>
      <c r="E32" s="1">
        <f>1-'Batt IN'!$E$31</f>
        <v>2.0000000000000018E-2</v>
      </c>
      <c r="F32" s="12">
        <f>('Batt IN'!$E$33*365)/8760</f>
        <v>0</v>
      </c>
      <c r="G32" s="22">
        <f>'Batt IN'!$E$32/8760</f>
        <v>5.7077625570776253E-3</v>
      </c>
      <c r="H32" s="22">
        <f>'Batt IN'!$E$13/8760</f>
        <v>5.5936073059360729E-3</v>
      </c>
      <c r="I32" s="23">
        <f>IF(C32&lt;='Batt IN'!$G$14*12,'Batt IN'!$E$15/8760*'Batt IN'!$G$15,0)</f>
        <v>6.8493150684931503E-3</v>
      </c>
      <c r="J32" s="12">
        <f>Z32/'Batt IN'!$E$27/730</f>
        <v>2.4999999999999996E-3</v>
      </c>
      <c r="K32" s="23">
        <f>AA32/'Batt IN'!$E$27/730</f>
        <v>1.6027397260273972E-3</v>
      </c>
      <c r="L32" s="23">
        <f>AB32/'Batt IN'!$E$27/730</f>
        <v>2.0547945205479451E-4</v>
      </c>
      <c r="M32" s="23">
        <f>AC32/'Batt IN'!$E$27/730</f>
        <v>4.7945205479452057E-3</v>
      </c>
      <c r="N32" s="23">
        <f>AD32/'Batt IN'!$E$27/730</f>
        <v>3.4246575342465752E-3</v>
      </c>
      <c r="O32" s="12">
        <f t="shared" si="2"/>
        <v>5.0678082191780847E-2</v>
      </c>
      <c r="P32" s="21">
        <f t="shared" si="3"/>
        <v>693.005</v>
      </c>
      <c r="Q32" s="2">
        <f>IF('Batt IN'!$E$27*'Batt IN'!$E$24&lt;='Batt IN'!$E$28,(('Batt IN'!$E$23*'Batt IN'!$E$27*'Batt IN'!$E$24)/1000)*P32,(('Batt IN'!$E$23*'Batt IN'!$E$28*'Batt IN'!$E$24)/1000)*P32)</f>
        <v>11088.08</v>
      </c>
      <c r="R32" s="2"/>
      <c r="S32" s="77">
        <f>IF(C32&lt;='Batt IN'!$G$14*12,'Batt IN'!$E$15/12,0)</f>
        <v>8.3333333333333339</v>
      </c>
      <c r="T32" s="77"/>
      <c r="U32" s="80">
        <f>'Batt IN'!$E$28*('Batt IN'!$G$24/24)*730*(1-O32)</f>
        <v>80850.583333333328</v>
      </c>
      <c r="V32" s="78">
        <f>U32*'Batt IN'!$F$30</f>
        <v>16170.116666666667</v>
      </c>
      <c r="W32" s="78">
        <f>'Batt IN'!$E$28*'Batt IN'!$G$32*('Batt IN'!$E$32/12)*(1+'Batt IN'!$F$30)</f>
        <v>1750.0000000000002</v>
      </c>
      <c r="X32" s="78">
        <f>'Batt IN'!$E$28*'Batt IN'!$G$13*('Batt IN'!$E$13/12)*(1+'Batt IN'!$F$30)</f>
        <v>3184.9999999999995</v>
      </c>
      <c r="Y32" s="33">
        <f>S32*'Batt IN'!$G$15*'Batt IN'!$E$28*(1+'Batt IN'!$F$30)</f>
        <v>6000</v>
      </c>
      <c r="Z32" s="33">
        <f>'Batt IN'!$G$16*365/12*(1+'Batt IN'!$F$30)</f>
        <v>1824.9999999999998</v>
      </c>
      <c r="AA32" s="33">
        <f>'Batt IN'!$G$17*'Batt IN'!$E$18*'Batt IN'!$G$18/12*(1+'Batt IN'!$F$30)</f>
        <v>1170</v>
      </c>
      <c r="AB32" s="33">
        <f>'Batt IN'!$G$19*'Batt IN'!$E$20*'Batt IN'!$G$20/12*(1+'Batt IN'!$F$30)</f>
        <v>150</v>
      </c>
      <c r="AC32" s="33">
        <f>'Batt IN'!$G$21*(1+'Batt IN'!$F$30)/12</f>
        <v>3500</v>
      </c>
      <c r="AD32" s="33">
        <f>'Batt IN'!$G$22*(1+'Batt IN'!$F$30)/12</f>
        <v>2500</v>
      </c>
      <c r="AE32" s="33">
        <f t="shared" si="4"/>
        <v>36250.116666666669</v>
      </c>
      <c r="AF32" s="33">
        <f>IF('PV IN'!$F$4="Battery Only",0,AE32*'Batt IN'!$E$29)</f>
        <v>30812.599166666667</v>
      </c>
      <c r="AG32" s="33">
        <f>PVCalcs!L32</f>
        <v>30812.599166666667</v>
      </c>
      <c r="AH32" s="33">
        <f t="shared" si="5"/>
        <v>5437.5175000000017</v>
      </c>
      <c r="AI32" s="33"/>
      <c r="AJ32" s="2">
        <f>IF(AND('Batt IN'!$D$53="Yes",$AL$1&gt;=1),IF($C32='Batt IN'!$H$54*12,-'Batt IN'!$F$54,0),0)</f>
        <v>0</v>
      </c>
      <c r="AK32" s="2">
        <f>IF(AND('Batt IN'!$D$53="Yes",$AL$1&gt;=2),IF($C32='Batt IN'!$H$55*12,-'Batt IN'!$F$55,0),0)</f>
        <v>0</v>
      </c>
      <c r="AL32" s="2">
        <f>IF(AND('Batt IN'!$D$53="Yes",$AL$1&gt;=3),IF($C32='Batt IN'!$H$56*12,-'Batt IN'!$F$56,0),0)</f>
        <v>0</v>
      </c>
      <c r="AM32" s="2">
        <f>IF(AND('Batt IN'!$D$53="Yes",$AL$1&gt;=4),IF($C32='Batt IN'!$H$57*12,-'Batt IN'!$F$57,0),0)</f>
        <v>0</v>
      </c>
      <c r="AN32" s="2">
        <f>IF(AND('Batt IN'!$D$53="Yes",$AL$1&gt;=5),IF($C32='Batt IN'!$H$58*12,-'Batt IN'!$F$58,0),0)</f>
        <v>0</v>
      </c>
      <c r="AO32" s="10">
        <f>IF(AND('Batt IN'!$D$44="YES",$C32&lt;='Batt IN'!$E$44*12),-'Batt IN'!$E$28*'Batt IN'!$E$42/12,0)</f>
        <v>0</v>
      </c>
      <c r="AP32" s="10">
        <f>IF(AND('Batt IN'!$D$46="YES",$C32&lt;='Batt IN'!$E$46*12),-'Batt IN'!$E$28*'Batt IN'!$E$45/12,0)</f>
        <v>0</v>
      </c>
      <c r="AR32" s="10">
        <f>BattLoan!M59</f>
        <v>0</v>
      </c>
      <c r="AS32" s="10">
        <f>'Batt IN'!$G$16*365/12*'Batt IN'!$E$16</f>
        <v>76.041666666666671</v>
      </c>
      <c r="AT32" s="10">
        <f>IF(AND('Batt IN'!$E$18&gt;0,'Batt IN'!$G$18&gt;0),'Batt IN'!$E$17*'Batt IN'!$G$17,0)</f>
        <v>119.44619999999999</v>
      </c>
      <c r="AU32" s="10">
        <f>IF(AND('Batt IN'!$E$20&gt;0,'Batt IN'!$G$20&gt;0),'Batt IN'!$E$19*'Batt IN'!$G$19,0)</f>
        <v>231</v>
      </c>
      <c r="AV32" s="10"/>
      <c r="AW32" s="10"/>
      <c r="AX32" s="10">
        <f>IF('Batt IN'!$E$11="Non-Taxable",Q32,0)</f>
        <v>11088.08</v>
      </c>
      <c r="AY32" s="10">
        <f>IF('Batt IN'!$E$11="Non-Taxable",'Batt IN'!$E$28/1000*'Batt IN'!$G$13*('Batt IN'!$E$13/12)*'Batt IN'!$E$12,0)</f>
        <v>244.42220833333334</v>
      </c>
      <c r="AZ32" s="10">
        <f>IF('Batt IN'!$E$11="Non-Taxable",$S32*'Batt IN'!$G$15*'Batt IN'!$E$28*'Batt IN'!$E$14/1000,0)</f>
        <v>475</v>
      </c>
      <c r="BA32" s="10">
        <f>IF('Batt IN'!$E$11="Non-Taxable",'Batt IN'!$E$21*'Batt IN'!$G$21/12,0)</f>
        <v>437.5</v>
      </c>
      <c r="BB32" s="10">
        <f>IF('Batt IN'!$E$11="Non-Taxable",'Batt IN'!$E$22*'Batt IN'!$G$22/12,0)</f>
        <v>1145.8333333333335</v>
      </c>
      <c r="BC32" s="10">
        <f>IF('Batt IN'!$E$11="Taxable",Q32,0)</f>
        <v>0</v>
      </c>
      <c r="BD32" s="10">
        <f>IF('Batt IN'!$E$11="Taxable",'Batt IN'!$E$28/1000*'Batt IN'!$G$13*('Batt IN'!$E$13/12)*'Batt IN'!$E$12,0)</f>
        <v>0</v>
      </c>
      <c r="BE32" s="10">
        <f>IF('Batt IN'!$E$11="Taxable",$S32*'Batt IN'!$G$15*'Batt IN'!$E$28*'Batt IN'!$E$14/1000,0)</f>
        <v>0</v>
      </c>
      <c r="BF32" s="10">
        <f>IF('Batt IN'!$E$11="Taxable",'Batt IN'!$E$21*'Batt IN'!$G$21/12,0)</f>
        <v>0</v>
      </c>
      <c r="BG32" s="10">
        <f>IF('Batt IN'!$E$11="Taxable",'Batt IN'!$E$22*'Batt IN'!$G$22/12,0)</f>
        <v>0</v>
      </c>
      <c r="BK32" s="10">
        <f>IF('Batt IN'!$N$18="Yes",-BattLoan!H60,-BattLoan!L60)</f>
        <v>0</v>
      </c>
      <c r="BL32" s="10">
        <f>IF('Batt IN'!$N$18="Yes",-BattLoan!F60,0)</f>
        <v>0</v>
      </c>
      <c r="BM32" s="10">
        <f>IF(AND('Batt IN'!$D$44="YES",$C32&lt;='Batt IN'!$E$44*12),0,-'Batt IN'!$E$28*'Batt IN'!$E$42/12)</f>
        <v>-83.333333333333329</v>
      </c>
      <c r="BN32" s="10">
        <f>IF(AND('Batt IN'!$D$46="YES",$C32&lt;='Batt IN'!$E$46*12),0,-'Batt IN'!$E$28*'Batt IN'!$E$45/12)</f>
        <v>-166.66666666666666</v>
      </c>
      <c r="BO32" s="2">
        <f>IF(AND('Batt IN'!$D$41="YES",BattCalcs!C32=ROUNDUP('Batt IN'!$H$41*12,)),-'Batt IN'!$E$41*'Batt IN'!$E$28,0)</f>
        <v>0</v>
      </c>
      <c r="BP32" s="2">
        <f>IF(AND('Batt IN'!$D$53="Yes",$AL$1&gt;=1),0,IF($C32='Batt IN'!$H$54*12,-'Batt IN'!$F$54,0))</f>
        <v>0</v>
      </c>
      <c r="BQ32" s="2">
        <f>IF(AND('Batt IN'!$D$53="Yes",$AL$1&gt;=2),0,IF($C32='Batt IN'!$H$55*12,-'Batt IN'!$F$55,0))</f>
        <v>0</v>
      </c>
      <c r="BR32" s="2">
        <f>IF(AND('Batt IN'!$D$53="Yes",$AL$1&gt;=3),0,IF($C32='Batt IN'!$H$56*12,-'Batt IN'!$F$56,0))</f>
        <v>0</v>
      </c>
      <c r="BS32" s="2">
        <f>IF(AND('Batt IN'!$D$53="Yes",$AL$1&gt;=4),0,IF($C32='Batt IN'!$H$57*12,-'Batt IN'!$F$57,0))</f>
        <v>0</v>
      </c>
      <c r="BT32" s="2">
        <f>IF(AND('Batt IN'!$D$53="Yes",$AL$1&gt;=5),0,IF($C32='Batt IN'!$H$58*12,-'Batt IN'!$F$58,0))</f>
        <v>0</v>
      </c>
      <c r="BU32" s="2">
        <f>-AH32*PVCalcs!F32</f>
        <v>-408.50813537637038</v>
      </c>
      <c r="BV32" s="2">
        <f>-'Batt IN'!$E$47</f>
        <v>-150</v>
      </c>
      <c r="BW32" s="2">
        <f>-'Batt IN'!$E$49</f>
        <v>-2250</v>
      </c>
      <c r="BX32" s="2">
        <f>IF('Batt IN'!$H$50="No",-(BC32*'Batt IN'!$E$50),-(BC32+BE32)*'Batt IN'!$E$50)</f>
        <v>0</v>
      </c>
      <c r="BY32" s="2">
        <f>IF(C32='Batt IN'!$H$43*12,-'Batt IN'!$E$43,0)</f>
        <v>0</v>
      </c>
      <c r="BZ32" s="38"/>
      <c r="CA32" s="10">
        <f t="shared" si="0"/>
        <v>13817.323408333334</v>
      </c>
      <c r="CB32" s="2">
        <f t="shared" si="6"/>
        <v>-3058.5081353763703</v>
      </c>
      <c r="CC32" s="45">
        <f t="shared" si="7"/>
        <v>10758.815272956963</v>
      </c>
      <c r="CD32" s="43"/>
      <c r="CE32" s="2">
        <f t="shared" si="8"/>
        <v>0</v>
      </c>
      <c r="CF32" s="2">
        <f t="shared" si="9"/>
        <v>-3058.5081353763703</v>
      </c>
      <c r="CG32" s="2"/>
      <c r="CH32" s="2">
        <f t="shared" si="10"/>
        <v>-3058.5081353763703</v>
      </c>
      <c r="CI32" s="45">
        <f>-CH32*'Batt IN'!$E$7</f>
        <v>642.28670842903773</v>
      </c>
      <c r="CJ32" s="48"/>
      <c r="CK32" s="45">
        <f>IF('Batt IN'!$F$4="PV Only",0,IF(C32&gt;'Batt IN'!$H$43*12,0,CC32+CI32))</f>
        <v>0</v>
      </c>
      <c r="CM32" s="10">
        <f t="shared" si="11"/>
        <v>0</v>
      </c>
      <c r="CN32" s="2">
        <f>CK32/(1+('Batt IN'!$G$8))^(C32)</f>
        <v>0</v>
      </c>
      <c r="CO32" s="2">
        <f>IF(C32&lt;='Batt IN'!$O$30*12,CN32+CO31,NA())</f>
        <v>0</v>
      </c>
      <c r="CQ32" s="2">
        <f>CK32/((1+('Batt IN'!$E$8/12))^BattCalcs!C32)</f>
        <v>0</v>
      </c>
      <c r="CS32" s="10">
        <f t="shared" si="12"/>
        <v>-3058.5081353763703</v>
      </c>
      <c r="CT32" s="10">
        <f t="shared" si="13"/>
        <v>0</v>
      </c>
      <c r="CU32" s="10">
        <f t="shared" si="14"/>
        <v>-3058.5081353763703</v>
      </c>
      <c r="CV32" s="10">
        <f t="shared" si="15"/>
        <v>-3058.5081353763703</v>
      </c>
      <c r="CW32" s="2">
        <f t="shared" si="1"/>
        <v>0</v>
      </c>
      <c r="CX32" s="2">
        <f>-(SUM(CV32:CW32)*'PV IN'!$E$8)</f>
        <v>642.28670842903773</v>
      </c>
      <c r="CY32" s="2">
        <f t="shared" si="16"/>
        <v>-2416.2214269473325</v>
      </c>
      <c r="CZ32" s="2">
        <f>IF(C32&lt;='Batt IN'!$H$43*12,CY32/(1+('PV IN'!$G$9))^(C32),0)</f>
        <v>-2156.2297483937332</v>
      </c>
      <c r="DA32" s="33">
        <f>IF(C32&lt;='Batt IN'!$H$43*12,AE32,0)</f>
        <v>36250.116666666669</v>
      </c>
    </row>
    <row r="33" spans="1:105" x14ac:dyDescent="0.25">
      <c r="A33">
        <f>IF(C33&lt;='Batt IN'!$H$43*12,C33,"")</f>
        <v>29</v>
      </c>
      <c r="C33">
        <v>29</v>
      </c>
      <c r="D33" s="21">
        <v>730</v>
      </c>
      <c r="E33" s="1">
        <f>1-'Batt IN'!$E$31</f>
        <v>2.0000000000000018E-2</v>
      </c>
      <c r="F33" s="12">
        <f>('Batt IN'!$E$33*365)/8760</f>
        <v>0</v>
      </c>
      <c r="G33" s="22">
        <f>'Batt IN'!$E$32/8760</f>
        <v>5.7077625570776253E-3</v>
      </c>
      <c r="H33" s="22">
        <f>'Batt IN'!$E$13/8760</f>
        <v>5.5936073059360729E-3</v>
      </c>
      <c r="I33" s="23">
        <f>IF(C33&lt;='Batt IN'!$G$14*12,'Batt IN'!$E$15/8760*'Batt IN'!$G$15,0)</f>
        <v>6.8493150684931503E-3</v>
      </c>
      <c r="J33" s="12">
        <f>Z33/'Batt IN'!$E$27/730</f>
        <v>2.4999999999999996E-3</v>
      </c>
      <c r="K33" s="23">
        <f>AA33/'Batt IN'!$E$27/730</f>
        <v>1.6027397260273972E-3</v>
      </c>
      <c r="L33" s="23">
        <f>AB33/'Batt IN'!$E$27/730</f>
        <v>2.0547945205479451E-4</v>
      </c>
      <c r="M33" s="23">
        <f>AC33/'Batt IN'!$E$27/730</f>
        <v>4.7945205479452057E-3</v>
      </c>
      <c r="N33" s="23">
        <f>AD33/'Batt IN'!$E$27/730</f>
        <v>3.4246575342465752E-3</v>
      </c>
      <c r="O33" s="12">
        <f t="shared" si="2"/>
        <v>5.0678082191780847E-2</v>
      </c>
      <c r="P33" s="21">
        <f t="shared" si="3"/>
        <v>693.005</v>
      </c>
      <c r="Q33" s="2">
        <f>IF('Batt IN'!$E$27*'Batt IN'!$E$24&lt;='Batt IN'!$E$28,(('Batt IN'!$E$23*'Batt IN'!$E$27*'Batt IN'!$E$24)/1000)*P33,(('Batt IN'!$E$23*'Batt IN'!$E$28*'Batt IN'!$E$24)/1000)*P33)</f>
        <v>11088.08</v>
      </c>
      <c r="R33" s="2"/>
      <c r="S33" s="77">
        <f>IF(C33&lt;='Batt IN'!$G$14*12,'Batt IN'!$E$15/12,0)</f>
        <v>8.3333333333333339</v>
      </c>
      <c r="T33" s="77"/>
      <c r="U33" s="80">
        <f>'Batt IN'!$E$28*('Batt IN'!$G$24/24)*730*(1-O33)</f>
        <v>80850.583333333328</v>
      </c>
      <c r="V33" s="78">
        <f>U33*'Batt IN'!$F$30</f>
        <v>16170.116666666667</v>
      </c>
      <c r="W33" s="78">
        <f>'Batt IN'!$E$28*'Batt IN'!$G$32*('Batt IN'!$E$32/12)*(1+'Batt IN'!$F$30)</f>
        <v>1750.0000000000002</v>
      </c>
      <c r="X33" s="78">
        <f>'Batt IN'!$E$28*'Batt IN'!$G$13*('Batt IN'!$E$13/12)*(1+'Batt IN'!$F$30)</f>
        <v>3184.9999999999995</v>
      </c>
      <c r="Y33" s="33">
        <f>S33*'Batt IN'!$G$15*'Batt IN'!$E$28*(1+'Batt IN'!$F$30)</f>
        <v>6000</v>
      </c>
      <c r="Z33" s="33">
        <f>'Batt IN'!$G$16*365/12*(1+'Batt IN'!$F$30)</f>
        <v>1824.9999999999998</v>
      </c>
      <c r="AA33" s="33">
        <f>'Batt IN'!$G$17*'Batt IN'!$E$18*'Batt IN'!$G$18/12*(1+'Batt IN'!$F$30)</f>
        <v>1170</v>
      </c>
      <c r="AB33" s="33">
        <f>'Batt IN'!$G$19*'Batt IN'!$E$20*'Batt IN'!$G$20/12*(1+'Batt IN'!$F$30)</f>
        <v>150</v>
      </c>
      <c r="AC33" s="33">
        <f>'Batt IN'!$G$21*(1+'Batt IN'!$F$30)/12</f>
        <v>3500</v>
      </c>
      <c r="AD33" s="33">
        <f>'Batt IN'!$G$22*(1+'Batt IN'!$F$30)/12</f>
        <v>2500</v>
      </c>
      <c r="AE33" s="33">
        <f t="shared" si="4"/>
        <v>36250.116666666669</v>
      </c>
      <c r="AF33" s="33">
        <f>IF('PV IN'!$F$4="Battery Only",0,AE33*'Batt IN'!$E$29)</f>
        <v>30812.599166666667</v>
      </c>
      <c r="AG33" s="33">
        <f>PVCalcs!L33</f>
        <v>30812.599166666667</v>
      </c>
      <c r="AH33" s="33">
        <f t="shared" si="5"/>
        <v>5437.5175000000017</v>
      </c>
      <c r="AI33" s="33"/>
      <c r="AJ33" s="2">
        <f>IF(AND('Batt IN'!$D$53="Yes",$AL$1&gt;=1),IF($C33='Batt IN'!$H$54*12,-'Batt IN'!$F$54,0),0)</f>
        <v>0</v>
      </c>
      <c r="AK33" s="2">
        <f>IF(AND('Batt IN'!$D$53="Yes",$AL$1&gt;=2),IF($C33='Batt IN'!$H$55*12,-'Batt IN'!$F$55,0),0)</f>
        <v>0</v>
      </c>
      <c r="AL33" s="2">
        <f>IF(AND('Batt IN'!$D$53="Yes",$AL$1&gt;=3),IF($C33='Batt IN'!$H$56*12,-'Batt IN'!$F$56,0),0)</f>
        <v>0</v>
      </c>
      <c r="AM33" s="2">
        <f>IF(AND('Batt IN'!$D$53="Yes",$AL$1&gt;=4),IF($C33='Batt IN'!$H$57*12,-'Batt IN'!$F$57,0),0)</f>
        <v>0</v>
      </c>
      <c r="AN33" s="2">
        <f>IF(AND('Batt IN'!$D$53="Yes",$AL$1&gt;=5),IF($C33='Batt IN'!$H$58*12,-'Batt IN'!$F$58,0),0)</f>
        <v>0</v>
      </c>
      <c r="AO33" s="10">
        <f>IF(AND('Batt IN'!$D$44="YES",$C33&lt;='Batt IN'!$E$44*12),-'Batt IN'!$E$28*'Batt IN'!$E$42/12,0)</f>
        <v>0</v>
      </c>
      <c r="AP33" s="10">
        <f>IF(AND('Batt IN'!$D$46="YES",$C33&lt;='Batt IN'!$E$46*12),-'Batt IN'!$E$28*'Batt IN'!$E$45/12,0)</f>
        <v>0</v>
      </c>
      <c r="AR33" s="10">
        <f>BattLoan!M60</f>
        <v>0</v>
      </c>
      <c r="AS33" s="10">
        <f>'Batt IN'!$G$16*365/12*'Batt IN'!$E$16</f>
        <v>76.041666666666671</v>
      </c>
      <c r="AT33" s="10">
        <f>IF(AND('Batt IN'!$E$18&gt;0,'Batt IN'!$G$18&gt;0),'Batt IN'!$E$17*'Batt IN'!$G$17,0)</f>
        <v>119.44619999999999</v>
      </c>
      <c r="AU33" s="10">
        <f>IF(AND('Batt IN'!$E$20&gt;0,'Batt IN'!$G$20&gt;0),'Batt IN'!$E$19*'Batt IN'!$G$19,0)</f>
        <v>231</v>
      </c>
      <c r="AV33" s="10"/>
      <c r="AW33" s="10"/>
      <c r="AX33" s="10">
        <f>IF('Batt IN'!$E$11="Non-Taxable",Q33,0)</f>
        <v>11088.08</v>
      </c>
      <c r="AY33" s="10">
        <f>IF('Batt IN'!$E$11="Non-Taxable",'Batt IN'!$E$28/1000*'Batt IN'!$G$13*('Batt IN'!$E$13/12)*'Batt IN'!$E$12,0)</f>
        <v>244.42220833333334</v>
      </c>
      <c r="AZ33" s="10">
        <f>IF('Batt IN'!$E$11="Non-Taxable",$S33*'Batt IN'!$G$15*'Batt IN'!$E$28*'Batt IN'!$E$14/1000,0)</f>
        <v>475</v>
      </c>
      <c r="BA33" s="10">
        <f>IF('Batt IN'!$E$11="Non-Taxable",'Batt IN'!$E$21*'Batt IN'!$G$21/12,0)</f>
        <v>437.5</v>
      </c>
      <c r="BB33" s="10">
        <f>IF('Batt IN'!$E$11="Non-Taxable",'Batt IN'!$E$22*'Batt IN'!$G$22/12,0)</f>
        <v>1145.8333333333335</v>
      </c>
      <c r="BC33" s="10">
        <f>IF('Batt IN'!$E$11="Taxable",Q33,0)</f>
        <v>0</v>
      </c>
      <c r="BD33" s="10">
        <f>IF('Batt IN'!$E$11="Taxable",'Batt IN'!$E$28/1000*'Batt IN'!$G$13*('Batt IN'!$E$13/12)*'Batt IN'!$E$12,0)</f>
        <v>0</v>
      </c>
      <c r="BE33" s="10">
        <f>IF('Batt IN'!$E$11="Taxable",$S33*'Batt IN'!$G$15*'Batt IN'!$E$28*'Batt IN'!$E$14/1000,0)</f>
        <v>0</v>
      </c>
      <c r="BF33" s="10">
        <f>IF('Batt IN'!$E$11="Taxable",'Batt IN'!$E$21*'Batt IN'!$G$21/12,0)</f>
        <v>0</v>
      </c>
      <c r="BG33" s="10">
        <f>IF('Batt IN'!$E$11="Taxable",'Batt IN'!$E$22*'Batt IN'!$G$22/12,0)</f>
        <v>0</v>
      </c>
      <c r="BK33" s="10">
        <f>IF('Batt IN'!$N$18="Yes",-BattLoan!H61,-BattLoan!L61)</f>
        <v>0</v>
      </c>
      <c r="BL33" s="10">
        <f>IF('Batt IN'!$N$18="Yes",-BattLoan!F61,0)</f>
        <v>0</v>
      </c>
      <c r="BM33" s="10">
        <f>IF(AND('Batt IN'!$D$44="YES",$C33&lt;='Batt IN'!$E$44*12),0,-'Batt IN'!$E$28*'Batt IN'!$E$42/12)</f>
        <v>-83.333333333333329</v>
      </c>
      <c r="BN33" s="10">
        <f>IF(AND('Batt IN'!$D$46="YES",$C33&lt;='Batt IN'!$E$46*12),0,-'Batt IN'!$E$28*'Batt IN'!$E$45/12)</f>
        <v>-166.66666666666666</v>
      </c>
      <c r="BO33" s="2">
        <f>IF(AND('Batt IN'!$D$41="YES",BattCalcs!C33=ROUNDUP('Batt IN'!$H$41*12,)),-'Batt IN'!$E$41*'Batt IN'!$E$28,0)</f>
        <v>0</v>
      </c>
      <c r="BP33" s="2">
        <f>IF(AND('Batt IN'!$D$53="Yes",$AL$1&gt;=1),0,IF($C33='Batt IN'!$H$54*12,-'Batt IN'!$F$54,0))</f>
        <v>0</v>
      </c>
      <c r="BQ33" s="2">
        <f>IF(AND('Batt IN'!$D$53="Yes",$AL$1&gt;=2),0,IF($C33='Batt IN'!$H$55*12,-'Batt IN'!$F$55,0))</f>
        <v>0</v>
      </c>
      <c r="BR33" s="2">
        <f>IF(AND('Batt IN'!$D$53="Yes",$AL$1&gt;=3),0,IF($C33='Batt IN'!$H$56*12,-'Batt IN'!$F$56,0))</f>
        <v>0</v>
      </c>
      <c r="BS33" s="2">
        <f>IF(AND('Batt IN'!$D$53="Yes",$AL$1&gt;=4),0,IF($C33='Batt IN'!$H$57*12,-'Batt IN'!$F$57,0))</f>
        <v>0</v>
      </c>
      <c r="BT33" s="2">
        <f>IF(AND('Batt IN'!$D$53="Yes",$AL$1&gt;=5),0,IF($C33='Batt IN'!$H$58*12,-'Batt IN'!$F$58,0))</f>
        <v>0</v>
      </c>
      <c r="BU33" s="2">
        <f>-AH33*PVCalcs!F33</f>
        <v>-408.50813537637038</v>
      </c>
      <c r="BV33" s="2">
        <f>-'Batt IN'!$E$47</f>
        <v>-150</v>
      </c>
      <c r="BW33" s="2">
        <f>-'Batt IN'!$E$49</f>
        <v>-2250</v>
      </c>
      <c r="BX33" s="2">
        <f>IF('Batt IN'!$H$50="No",-(BC33*'Batt IN'!$E$50),-(BC33+BE33)*'Batt IN'!$E$50)</f>
        <v>0</v>
      </c>
      <c r="BY33" s="2">
        <f>IF(C33='Batt IN'!$H$43*12,-'Batt IN'!$E$43,0)</f>
        <v>0</v>
      </c>
      <c r="BZ33" s="38"/>
      <c r="CA33" s="10">
        <f t="shared" si="0"/>
        <v>13817.323408333334</v>
      </c>
      <c r="CB33" s="2">
        <f t="shared" si="6"/>
        <v>-3058.5081353763703</v>
      </c>
      <c r="CC33" s="45">
        <f t="shared" si="7"/>
        <v>10758.815272956963</v>
      </c>
      <c r="CD33" s="43"/>
      <c r="CE33" s="2">
        <f t="shared" si="8"/>
        <v>0</v>
      </c>
      <c r="CF33" s="2">
        <f t="shared" si="9"/>
        <v>-3058.5081353763703</v>
      </c>
      <c r="CG33" s="2"/>
      <c r="CH33" s="2">
        <f t="shared" si="10"/>
        <v>-3058.5081353763703</v>
      </c>
      <c r="CI33" s="45">
        <f>-CH33*'Batt IN'!$E$7</f>
        <v>642.28670842903773</v>
      </c>
      <c r="CJ33" s="48"/>
      <c r="CK33" s="45">
        <f>IF('Batt IN'!$F$4="PV Only",0,IF(C33&gt;'Batt IN'!$H$43*12,0,CC33+CI33))</f>
        <v>0</v>
      </c>
      <c r="CM33" s="10">
        <f t="shared" si="11"/>
        <v>0</v>
      </c>
      <c r="CN33" s="2">
        <f>CK33/(1+('Batt IN'!$G$8))^(C33)</f>
        <v>0</v>
      </c>
      <c r="CO33" s="2">
        <f>IF(C33&lt;='Batt IN'!$O$30*12,CN33+CO32,NA())</f>
        <v>0</v>
      </c>
      <c r="CQ33" s="2">
        <f>CK33/((1+('Batt IN'!$E$8/12))^BattCalcs!C33)</f>
        <v>0</v>
      </c>
      <c r="CS33" s="10">
        <f t="shared" si="12"/>
        <v>-3058.5081353763703</v>
      </c>
      <c r="CT33" s="10">
        <f t="shared" si="13"/>
        <v>0</v>
      </c>
      <c r="CU33" s="10">
        <f t="shared" si="14"/>
        <v>-3058.5081353763703</v>
      </c>
      <c r="CV33" s="10">
        <f t="shared" si="15"/>
        <v>-3058.5081353763703</v>
      </c>
      <c r="CW33" s="2">
        <f t="shared" si="1"/>
        <v>0</v>
      </c>
      <c r="CX33" s="2">
        <f>-(SUM(CV33:CW33)*'PV IN'!$E$8)</f>
        <v>642.28670842903773</v>
      </c>
      <c r="CY33" s="2">
        <f t="shared" si="16"/>
        <v>-2416.2214269473325</v>
      </c>
      <c r="CZ33" s="2">
        <f>IF(C33&lt;='Batt IN'!$H$43*12,CY33/(1+('PV IN'!$G$9))^(C33),0)</f>
        <v>-2147.4806464172398</v>
      </c>
      <c r="DA33" s="33">
        <f>IF(C33&lt;='Batt IN'!$H$43*12,AE33,0)</f>
        <v>36250.116666666669</v>
      </c>
    </row>
    <row r="34" spans="1:105" x14ac:dyDescent="0.25">
      <c r="A34">
        <f>IF(C34&lt;='Batt IN'!$H$43*12,C34,"")</f>
        <v>30</v>
      </c>
      <c r="C34">
        <v>30</v>
      </c>
      <c r="D34" s="21">
        <v>730</v>
      </c>
      <c r="E34" s="1">
        <f>1-'Batt IN'!$E$31</f>
        <v>2.0000000000000018E-2</v>
      </c>
      <c r="F34" s="12">
        <f>('Batt IN'!$E$33*365)/8760</f>
        <v>0</v>
      </c>
      <c r="G34" s="22">
        <f>'Batt IN'!$E$32/8760</f>
        <v>5.7077625570776253E-3</v>
      </c>
      <c r="H34" s="22">
        <f>'Batt IN'!$E$13/8760</f>
        <v>5.5936073059360729E-3</v>
      </c>
      <c r="I34" s="23">
        <f>IF(C34&lt;='Batt IN'!$G$14*12,'Batt IN'!$E$15/8760*'Batt IN'!$G$15,0)</f>
        <v>6.8493150684931503E-3</v>
      </c>
      <c r="J34" s="12">
        <f>Z34/'Batt IN'!$E$27/730</f>
        <v>2.4999999999999996E-3</v>
      </c>
      <c r="K34" s="23">
        <f>AA34/'Batt IN'!$E$27/730</f>
        <v>1.6027397260273972E-3</v>
      </c>
      <c r="L34" s="23">
        <f>AB34/'Batt IN'!$E$27/730</f>
        <v>2.0547945205479451E-4</v>
      </c>
      <c r="M34" s="23">
        <f>AC34/'Batt IN'!$E$27/730</f>
        <v>4.7945205479452057E-3</v>
      </c>
      <c r="N34" s="23">
        <f>AD34/'Batt IN'!$E$27/730</f>
        <v>3.4246575342465752E-3</v>
      </c>
      <c r="O34" s="12">
        <f t="shared" si="2"/>
        <v>5.0678082191780847E-2</v>
      </c>
      <c r="P34" s="21">
        <f t="shared" si="3"/>
        <v>693.005</v>
      </c>
      <c r="Q34" s="2">
        <f>IF('Batt IN'!$E$27*'Batt IN'!$E$24&lt;='Batt IN'!$E$28,(('Batt IN'!$E$23*'Batt IN'!$E$27*'Batt IN'!$E$24)/1000)*P34,(('Batt IN'!$E$23*'Batt IN'!$E$28*'Batt IN'!$E$24)/1000)*P34)</f>
        <v>11088.08</v>
      </c>
      <c r="R34" s="2"/>
      <c r="S34" s="77">
        <f>IF(C34&lt;='Batt IN'!$G$14*12,'Batt IN'!$E$15/12,0)</f>
        <v>8.3333333333333339</v>
      </c>
      <c r="T34" s="77"/>
      <c r="U34" s="80">
        <f>'Batt IN'!$E$28*('Batt IN'!$G$24/24)*730*(1-O34)</f>
        <v>80850.583333333328</v>
      </c>
      <c r="V34" s="78">
        <f>U34*'Batt IN'!$F$30</f>
        <v>16170.116666666667</v>
      </c>
      <c r="W34" s="78">
        <f>'Batt IN'!$E$28*'Batt IN'!$G$32*('Batt IN'!$E$32/12)*(1+'Batt IN'!$F$30)</f>
        <v>1750.0000000000002</v>
      </c>
      <c r="X34" s="78">
        <f>'Batt IN'!$E$28*'Batt IN'!$G$13*('Batt IN'!$E$13/12)*(1+'Batt IN'!$F$30)</f>
        <v>3184.9999999999995</v>
      </c>
      <c r="Y34" s="33">
        <f>S34*'Batt IN'!$G$15*'Batt IN'!$E$28*(1+'Batt IN'!$F$30)</f>
        <v>6000</v>
      </c>
      <c r="Z34" s="33">
        <f>'Batt IN'!$G$16*365/12*(1+'Batt IN'!$F$30)</f>
        <v>1824.9999999999998</v>
      </c>
      <c r="AA34" s="33">
        <f>'Batt IN'!$G$17*'Batt IN'!$E$18*'Batt IN'!$G$18/12*(1+'Batt IN'!$F$30)</f>
        <v>1170</v>
      </c>
      <c r="AB34" s="33">
        <f>'Batt IN'!$G$19*'Batt IN'!$E$20*'Batt IN'!$G$20/12*(1+'Batt IN'!$F$30)</f>
        <v>150</v>
      </c>
      <c r="AC34" s="33">
        <f>'Batt IN'!$G$21*(1+'Batt IN'!$F$30)/12</f>
        <v>3500</v>
      </c>
      <c r="AD34" s="33">
        <f>'Batt IN'!$G$22*(1+'Batt IN'!$F$30)/12</f>
        <v>2500</v>
      </c>
      <c r="AE34" s="33">
        <f t="shared" si="4"/>
        <v>36250.116666666669</v>
      </c>
      <c r="AF34" s="33">
        <f>IF('PV IN'!$F$4="Battery Only",0,AE34*'Batt IN'!$E$29)</f>
        <v>30812.599166666667</v>
      </c>
      <c r="AG34" s="33">
        <f>PVCalcs!L34</f>
        <v>30812.599166666667</v>
      </c>
      <c r="AH34" s="33">
        <f t="shared" si="5"/>
        <v>5437.5175000000017</v>
      </c>
      <c r="AI34" s="33"/>
      <c r="AJ34" s="2">
        <f>IF(AND('Batt IN'!$D$53="Yes",$AL$1&gt;=1),IF($C34='Batt IN'!$H$54*12,-'Batt IN'!$F$54,0),0)</f>
        <v>0</v>
      </c>
      <c r="AK34" s="2">
        <f>IF(AND('Batt IN'!$D$53="Yes",$AL$1&gt;=2),IF($C34='Batt IN'!$H$55*12,-'Batt IN'!$F$55,0),0)</f>
        <v>0</v>
      </c>
      <c r="AL34" s="2">
        <f>IF(AND('Batt IN'!$D$53="Yes",$AL$1&gt;=3),IF($C34='Batt IN'!$H$56*12,-'Batt IN'!$F$56,0),0)</f>
        <v>0</v>
      </c>
      <c r="AM34" s="2">
        <f>IF(AND('Batt IN'!$D$53="Yes",$AL$1&gt;=4),IF($C34='Batt IN'!$H$57*12,-'Batt IN'!$F$57,0),0)</f>
        <v>0</v>
      </c>
      <c r="AN34" s="2">
        <f>IF(AND('Batt IN'!$D$53="Yes",$AL$1&gt;=5),IF($C34='Batt IN'!$H$58*12,-'Batt IN'!$F$58,0),0)</f>
        <v>0</v>
      </c>
      <c r="AO34" s="10">
        <f>IF(AND('Batt IN'!$D$44="YES",$C34&lt;='Batt IN'!$E$44*12),-'Batt IN'!$E$28*'Batt IN'!$E$42/12,0)</f>
        <v>0</v>
      </c>
      <c r="AP34" s="10">
        <f>IF(AND('Batt IN'!$D$46="YES",$C34&lt;='Batt IN'!$E$46*12),-'Batt IN'!$E$28*'Batt IN'!$E$45/12,0)</f>
        <v>0</v>
      </c>
      <c r="AR34" s="10">
        <f>BattLoan!M61</f>
        <v>0</v>
      </c>
      <c r="AS34" s="10">
        <f>'Batt IN'!$G$16*365/12*'Batt IN'!$E$16</f>
        <v>76.041666666666671</v>
      </c>
      <c r="AT34" s="10">
        <f>IF(AND('Batt IN'!$E$18&gt;0,'Batt IN'!$G$18&gt;0),'Batt IN'!$E$17*'Batt IN'!$G$17,0)</f>
        <v>119.44619999999999</v>
      </c>
      <c r="AU34" s="10">
        <f>IF(AND('Batt IN'!$E$20&gt;0,'Batt IN'!$G$20&gt;0),'Batt IN'!$E$19*'Batt IN'!$G$19,0)</f>
        <v>231</v>
      </c>
      <c r="AV34" s="10"/>
      <c r="AW34" s="10"/>
      <c r="AX34" s="10">
        <f>IF('Batt IN'!$E$11="Non-Taxable",Q34,0)</f>
        <v>11088.08</v>
      </c>
      <c r="AY34" s="10">
        <f>IF('Batt IN'!$E$11="Non-Taxable",'Batt IN'!$E$28/1000*'Batt IN'!$G$13*('Batt IN'!$E$13/12)*'Batt IN'!$E$12,0)</f>
        <v>244.42220833333334</v>
      </c>
      <c r="AZ34" s="10">
        <f>IF('Batt IN'!$E$11="Non-Taxable",$S34*'Batt IN'!$G$15*'Batt IN'!$E$28*'Batt IN'!$E$14/1000,0)</f>
        <v>475</v>
      </c>
      <c r="BA34" s="10">
        <f>IF('Batt IN'!$E$11="Non-Taxable",'Batt IN'!$E$21*'Batt IN'!$G$21/12,0)</f>
        <v>437.5</v>
      </c>
      <c r="BB34" s="10">
        <f>IF('Batt IN'!$E$11="Non-Taxable",'Batt IN'!$E$22*'Batt IN'!$G$22/12,0)</f>
        <v>1145.8333333333335</v>
      </c>
      <c r="BC34" s="10">
        <f>IF('Batt IN'!$E$11="Taxable",Q34,0)</f>
        <v>0</v>
      </c>
      <c r="BD34" s="10">
        <f>IF('Batt IN'!$E$11="Taxable",'Batt IN'!$E$28/1000*'Batt IN'!$G$13*('Batt IN'!$E$13/12)*'Batt IN'!$E$12,0)</f>
        <v>0</v>
      </c>
      <c r="BE34" s="10">
        <f>IF('Batt IN'!$E$11="Taxable",$S34*'Batt IN'!$G$15*'Batt IN'!$E$28*'Batt IN'!$E$14/1000,0)</f>
        <v>0</v>
      </c>
      <c r="BF34" s="10">
        <f>IF('Batt IN'!$E$11="Taxable",'Batt IN'!$E$21*'Batt IN'!$G$21/12,0)</f>
        <v>0</v>
      </c>
      <c r="BG34" s="10">
        <f>IF('Batt IN'!$E$11="Taxable",'Batt IN'!$E$22*'Batt IN'!$G$22/12,0)</f>
        <v>0</v>
      </c>
      <c r="BK34" s="10">
        <f>IF('Batt IN'!$N$18="Yes",-BattLoan!H62,-BattLoan!L62)</f>
        <v>0</v>
      </c>
      <c r="BL34" s="10">
        <f>IF('Batt IN'!$N$18="Yes",-BattLoan!F62,0)</f>
        <v>0</v>
      </c>
      <c r="BM34" s="10">
        <f>IF(AND('Batt IN'!$D$44="YES",$C34&lt;='Batt IN'!$E$44*12),0,-'Batt IN'!$E$28*'Batt IN'!$E$42/12)</f>
        <v>-83.333333333333329</v>
      </c>
      <c r="BN34" s="10">
        <f>IF(AND('Batt IN'!$D$46="YES",$C34&lt;='Batt IN'!$E$46*12),0,-'Batt IN'!$E$28*'Batt IN'!$E$45/12)</f>
        <v>-166.66666666666666</v>
      </c>
      <c r="BO34" s="2">
        <f>IF(AND('Batt IN'!$D$41="YES",BattCalcs!C34=ROUNDUP('Batt IN'!$H$41*12,)),-'Batt IN'!$E$41*'Batt IN'!$E$28,0)</f>
        <v>0</v>
      </c>
      <c r="BP34" s="2">
        <f>IF(AND('Batt IN'!$D$53="Yes",$AL$1&gt;=1),0,IF($C34='Batt IN'!$H$54*12,-'Batt IN'!$F$54,0))</f>
        <v>0</v>
      </c>
      <c r="BQ34" s="2">
        <f>IF(AND('Batt IN'!$D$53="Yes",$AL$1&gt;=2),0,IF($C34='Batt IN'!$H$55*12,-'Batt IN'!$F$55,0))</f>
        <v>0</v>
      </c>
      <c r="BR34" s="2">
        <f>IF(AND('Batt IN'!$D$53="Yes",$AL$1&gt;=3),0,IF($C34='Batt IN'!$H$56*12,-'Batt IN'!$F$56,0))</f>
        <v>0</v>
      </c>
      <c r="BS34" s="2">
        <f>IF(AND('Batt IN'!$D$53="Yes",$AL$1&gt;=4),0,IF($C34='Batt IN'!$H$57*12,-'Batt IN'!$F$57,0))</f>
        <v>0</v>
      </c>
      <c r="BT34" s="2">
        <f>IF(AND('Batt IN'!$D$53="Yes",$AL$1&gt;=5),0,IF($C34='Batt IN'!$H$58*12,-'Batt IN'!$F$58,0))</f>
        <v>0</v>
      </c>
      <c r="BU34" s="2">
        <f>-AH34*PVCalcs!F34</f>
        <v>-408.50813537637038</v>
      </c>
      <c r="BV34" s="2">
        <f>-'Batt IN'!$E$47</f>
        <v>-150</v>
      </c>
      <c r="BW34" s="2">
        <f>-'Batt IN'!$E$49</f>
        <v>-2250</v>
      </c>
      <c r="BX34" s="2">
        <f>IF('Batt IN'!$H$50="No",-(BC34*'Batt IN'!$E$50),-(BC34+BE34)*'Batt IN'!$E$50)</f>
        <v>0</v>
      </c>
      <c r="BY34" s="2">
        <f>IF(C34='Batt IN'!$H$43*12,-'Batt IN'!$E$43,0)</f>
        <v>0</v>
      </c>
      <c r="BZ34" s="38"/>
      <c r="CA34" s="10">
        <f t="shared" si="0"/>
        <v>13817.323408333334</v>
      </c>
      <c r="CB34" s="2">
        <f t="shared" si="6"/>
        <v>-3058.5081353763703</v>
      </c>
      <c r="CC34" s="45">
        <f t="shared" si="7"/>
        <v>10758.815272956963</v>
      </c>
      <c r="CD34" s="43"/>
      <c r="CE34" s="2">
        <f t="shared" si="8"/>
        <v>0</v>
      </c>
      <c r="CF34" s="2">
        <f t="shared" si="9"/>
        <v>-3058.5081353763703</v>
      </c>
      <c r="CG34" s="2"/>
      <c r="CH34" s="2">
        <f t="shared" si="10"/>
        <v>-3058.5081353763703</v>
      </c>
      <c r="CI34" s="45">
        <f>-CH34*'Batt IN'!$E$7</f>
        <v>642.28670842903773</v>
      </c>
      <c r="CJ34" s="48"/>
      <c r="CK34" s="45">
        <f>IF('Batt IN'!$F$4="PV Only",0,IF(C34&gt;'Batt IN'!$H$43*12,0,CC34+CI34))</f>
        <v>0</v>
      </c>
      <c r="CM34" s="10">
        <f t="shared" si="11"/>
        <v>0</v>
      </c>
      <c r="CN34" s="2">
        <f>CK34/(1+('Batt IN'!$G$8))^(C34)</f>
        <v>0</v>
      </c>
      <c r="CO34" s="2">
        <f>IF(C34&lt;='Batt IN'!$O$30*12,CN34+CO33,NA())</f>
        <v>0</v>
      </c>
      <c r="CQ34" s="2">
        <f>CK34/((1+('Batt IN'!$E$8/12))^BattCalcs!C34)</f>
        <v>0</v>
      </c>
      <c r="CS34" s="10">
        <f t="shared" si="12"/>
        <v>-3058.5081353763703</v>
      </c>
      <c r="CT34" s="10">
        <f t="shared" si="13"/>
        <v>0</v>
      </c>
      <c r="CU34" s="10">
        <f t="shared" si="14"/>
        <v>-3058.5081353763703</v>
      </c>
      <c r="CV34" s="10">
        <f t="shared" si="15"/>
        <v>-3058.5081353763703</v>
      </c>
      <c r="CW34" s="2">
        <f t="shared" si="1"/>
        <v>0</v>
      </c>
      <c r="CX34" s="2">
        <f>-(SUM(CV34:CW34)*'PV IN'!$E$8)</f>
        <v>642.28670842903773</v>
      </c>
      <c r="CY34" s="2">
        <f t="shared" si="16"/>
        <v>-2416.2214269473325</v>
      </c>
      <c r="CZ34" s="2">
        <f>IF(C34&lt;='Batt IN'!$H$43*12,CY34/(1+('PV IN'!$G$9))^(C34),0)</f>
        <v>-2138.7670447326118</v>
      </c>
      <c r="DA34" s="33">
        <f>IF(C34&lt;='Batt IN'!$H$43*12,AE34,0)</f>
        <v>36250.116666666669</v>
      </c>
    </row>
    <row r="35" spans="1:105" x14ac:dyDescent="0.25">
      <c r="A35">
        <f>IF(C35&lt;='Batt IN'!$H$43*12,C35,"")</f>
        <v>31</v>
      </c>
      <c r="C35">
        <v>31</v>
      </c>
      <c r="D35" s="21">
        <v>730</v>
      </c>
      <c r="E35" s="1">
        <f>1-'Batt IN'!$E$31</f>
        <v>2.0000000000000018E-2</v>
      </c>
      <c r="F35" s="12">
        <f>('Batt IN'!$E$33*365)/8760</f>
        <v>0</v>
      </c>
      <c r="G35" s="22">
        <f>'Batt IN'!$E$32/8760</f>
        <v>5.7077625570776253E-3</v>
      </c>
      <c r="H35" s="22">
        <f>'Batt IN'!$E$13/8760</f>
        <v>5.5936073059360729E-3</v>
      </c>
      <c r="I35" s="23">
        <f>IF(C35&lt;='Batt IN'!$G$14*12,'Batt IN'!$E$15/8760*'Batt IN'!$G$15,0)</f>
        <v>6.8493150684931503E-3</v>
      </c>
      <c r="J35" s="12">
        <f>Z35/'Batt IN'!$E$27/730</f>
        <v>2.4999999999999996E-3</v>
      </c>
      <c r="K35" s="23">
        <f>AA35/'Batt IN'!$E$27/730</f>
        <v>1.6027397260273972E-3</v>
      </c>
      <c r="L35" s="23">
        <f>AB35/'Batt IN'!$E$27/730</f>
        <v>2.0547945205479451E-4</v>
      </c>
      <c r="M35" s="23">
        <f>AC35/'Batt IN'!$E$27/730</f>
        <v>4.7945205479452057E-3</v>
      </c>
      <c r="N35" s="23">
        <f>AD35/'Batt IN'!$E$27/730</f>
        <v>3.4246575342465752E-3</v>
      </c>
      <c r="O35" s="12">
        <f t="shared" si="2"/>
        <v>5.0678082191780847E-2</v>
      </c>
      <c r="P35" s="21">
        <f t="shared" si="3"/>
        <v>693.005</v>
      </c>
      <c r="Q35" s="2">
        <f>IF('Batt IN'!$E$27*'Batt IN'!$E$24&lt;='Batt IN'!$E$28,(('Batt IN'!$E$23*'Batt IN'!$E$27*'Batt IN'!$E$24)/1000)*P35,(('Batt IN'!$E$23*'Batt IN'!$E$28*'Batt IN'!$E$24)/1000)*P35)</f>
        <v>11088.08</v>
      </c>
      <c r="R35" s="2"/>
      <c r="S35" s="77">
        <f>IF(C35&lt;='Batt IN'!$G$14*12,'Batt IN'!$E$15/12,0)</f>
        <v>8.3333333333333339</v>
      </c>
      <c r="T35" s="77"/>
      <c r="U35" s="80">
        <f>'Batt IN'!$E$28*('Batt IN'!$G$24/24)*730*(1-O35)</f>
        <v>80850.583333333328</v>
      </c>
      <c r="V35" s="78">
        <f>U35*'Batt IN'!$F$30</f>
        <v>16170.116666666667</v>
      </c>
      <c r="W35" s="78">
        <f>'Batt IN'!$E$28*'Batt IN'!$G$32*('Batt IN'!$E$32/12)*(1+'Batt IN'!$F$30)</f>
        <v>1750.0000000000002</v>
      </c>
      <c r="X35" s="78">
        <f>'Batt IN'!$E$28*'Batt IN'!$G$13*('Batt IN'!$E$13/12)*(1+'Batt IN'!$F$30)</f>
        <v>3184.9999999999995</v>
      </c>
      <c r="Y35" s="33">
        <f>S35*'Batt IN'!$G$15*'Batt IN'!$E$28*(1+'Batt IN'!$F$30)</f>
        <v>6000</v>
      </c>
      <c r="Z35" s="33">
        <f>'Batt IN'!$G$16*365/12*(1+'Batt IN'!$F$30)</f>
        <v>1824.9999999999998</v>
      </c>
      <c r="AA35" s="33">
        <f>'Batt IN'!$G$17*'Batt IN'!$E$18*'Batt IN'!$G$18/12*(1+'Batt IN'!$F$30)</f>
        <v>1170</v>
      </c>
      <c r="AB35" s="33">
        <f>'Batt IN'!$G$19*'Batt IN'!$E$20*'Batt IN'!$G$20/12*(1+'Batt IN'!$F$30)</f>
        <v>150</v>
      </c>
      <c r="AC35" s="33">
        <f>'Batt IN'!$G$21*(1+'Batt IN'!$F$30)/12</f>
        <v>3500</v>
      </c>
      <c r="AD35" s="33">
        <f>'Batt IN'!$G$22*(1+'Batt IN'!$F$30)/12</f>
        <v>2500</v>
      </c>
      <c r="AE35" s="33">
        <f t="shared" si="4"/>
        <v>36250.116666666669</v>
      </c>
      <c r="AF35" s="33">
        <f>IF('PV IN'!$F$4="Battery Only",0,AE35*'Batt IN'!$E$29)</f>
        <v>30812.599166666667</v>
      </c>
      <c r="AG35" s="33">
        <f>PVCalcs!L35</f>
        <v>30812.599166666667</v>
      </c>
      <c r="AH35" s="33">
        <f t="shared" si="5"/>
        <v>5437.5175000000017</v>
      </c>
      <c r="AI35" s="33"/>
      <c r="AJ35" s="2">
        <f>IF(AND('Batt IN'!$D$53="Yes",$AL$1&gt;=1),IF($C35='Batt IN'!$H$54*12,-'Batt IN'!$F$54,0),0)</f>
        <v>0</v>
      </c>
      <c r="AK35" s="2">
        <f>IF(AND('Batt IN'!$D$53="Yes",$AL$1&gt;=2),IF($C35='Batt IN'!$H$55*12,-'Batt IN'!$F$55,0),0)</f>
        <v>0</v>
      </c>
      <c r="AL35" s="2">
        <f>IF(AND('Batt IN'!$D$53="Yes",$AL$1&gt;=3),IF($C35='Batt IN'!$H$56*12,-'Batt IN'!$F$56,0),0)</f>
        <v>0</v>
      </c>
      <c r="AM35" s="2">
        <f>IF(AND('Batt IN'!$D$53="Yes",$AL$1&gt;=4),IF($C35='Batt IN'!$H$57*12,-'Batt IN'!$F$57,0),0)</f>
        <v>0</v>
      </c>
      <c r="AN35" s="2">
        <f>IF(AND('Batt IN'!$D$53="Yes",$AL$1&gt;=5),IF($C35='Batt IN'!$H$58*12,-'Batt IN'!$F$58,0),0)</f>
        <v>0</v>
      </c>
      <c r="AO35" s="10">
        <f>IF(AND('Batt IN'!$D$44="YES",$C35&lt;='Batt IN'!$E$44*12),-'Batt IN'!$E$28*'Batt IN'!$E$42/12,0)</f>
        <v>0</v>
      </c>
      <c r="AP35" s="10">
        <f>IF(AND('Batt IN'!$D$46="YES",$C35&lt;='Batt IN'!$E$46*12),-'Batt IN'!$E$28*'Batt IN'!$E$45/12,0)</f>
        <v>0</v>
      </c>
      <c r="AR35" s="10">
        <f>BattLoan!M62</f>
        <v>0</v>
      </c>
      <c r="AS35" s="10">
        <f>'Batt IN'!$G$16*365/12*'Batt IN'!$E$16</f>
        <v>76.041666666666671</v>
      </c>
      <c r="AT35" s="10">
        <f>IF(AND('Batt IN'!$E$18&gt;0,'Batt IN'!$G$18&gt;0),'Batt IN'!$E$17*'Batt IN'!$G$17,0)</f>
        <v>119.44619999999999</v>
      </c>
      <c r="AU35" s="10">
        <f>IF(AND('Batt IN'!$E$20&gt;0,'Batt IN'!$G$20&gt;0),'Batt IN'!$E$19*'Batt IN'!$G$19,0)</f>
        <v>231</v>
      </c>
      <c r="AV35" s="10"/>
      <c r="AW35" s="10"/>
      <c r="AX35" s="10">
        <f>IF('Batt IN'!$E$11="Non-Taxable",Q35,0)</f>
        <v>11088.08</v>
      </c>
      <c r="AY35" s="10">
        <f>IF('Batt IN'!$E$11="Non-Taxable",'Batt IN'!$E$28/1000*'Batt IN'!$G$13*('Batt IN'!$E$13/12)*'Batt IN'!$E$12,0)</f>
        <v>244.42220833333334</v>
      </c>
      <c r="AZ35" s="10">
        <f>IF('Batt IN'!$E$11="Non-Taxable",$S35*'Batt IN'!$G$15*'Batt IN'!$E$28*'Batt IN'!$E$14/1000,0)</f>
        <v>475</v>
      </c>
      <c r="BA35" s="10">
        <f>IF('Batt IN'!$E$11="Non-Taxable",'Batt IN'!$E$21*'Batt IN'!$G$21/12,0)</f>
        <v>437.5</v>
      </c>
      <c r="BB35" s="10">
        <f>IF('Batt IN'!$E$11="Non-Taxable",'Batt IN'!$E$22*'Batt IN'!$G$22/12,0)</f>
        <v>1145.8333333333335</v>
      </c>
      <c r="BC35" s="10">
        <f>IF('Batt IN'!$E$11="Taxable",Q35,0)</f>
        <v>0</v>
      </c>
      <c r="BD35" s="10">
        <f>IF('Batt IN'!$E$11="Taxable",'Batt IN'!$E$28/1000*'Batt IN'!$G$13*('Batt IN'!$E$13/12)*'Batt IN'!$E$12,0)</f>
        <v>0</v>
      </c>
      <c r="BE35" s="10">
        <f>IF('Batt IN'!$E$11="Taxable",$S35*'Batt IN'!$G$15*'Batt IN'!$E$28*'Batt IN'!$E$14/1000,0)</f>
        <v>0</v>
      </c>
      <c r="BF35" s="10">
        <f>IF('Batt IN'!$E$11="Taxable",'Batt IN'!$E$21*'Batt IN'!$G$21/12,0)</f>
        <v>0</v>
      </c>
      <c r="BG35" s="10">
        <f>IF('Batt IN'!$E$11="Taxable",'Batt IN'!$E$22*'Batt IN'!$G$22/12,0)</f>
        <v>0</v>
      </c>
      <c r="BK35" s="10">
        <f>IF('Batt IN'!$N$18="Yes",-BattLoan!H63,-BattLoan!L63)</f>
        <v>0</v>
      </c>
      <c r="BL35" s="10">
        <f>IF('Batt IN'!$N$18="Yes",-BattLoan!F63,0)</f>
        <v>0</v>
      </c>
      <c r="BM35" s="10">
        <f>IF(AND('Batt IN'!$D$44="YES",$C35&lt;='Batt IN'!$E$44*12),0,-'Batt IN'!$E$28*'Batt IN'!$E$42/12)</f>
        <v>-83.333333333333329</v>
      </c>
      <c r="BN35" s="10">
        <f>IF(AND('Batt IN'!$D$46="YES",$C35&lt;='Batt IN'!$E$46*12),0,-'Batt IN'!$E$28*'Batt IN'!$E$45/12)</f>
        <v>-166.66666666666666</v>
      </c>
      <c r="BO35" s="2">
        <f>IF(AND('Batt IN'!$D$41="YES",BattCalcs!C35=ROUNDUP('Batt IN'!$H$41*12,)),-'Batt IN'!$E$41*'Batt IN'!$E$28,0)</f>
        <v>0</v>
      </c>
      <c r="BP35" s="2">
        <f>IF(AND('Batt IN'!$D$53="Yes",$AL$1&gt;=1),0,IF($C35='Batt IN'!$H$54*12,-'Batt IN'!$F$54,0))</f>
        <v>0</v>
      </c>
      <c r="BQ35" s="2">
        <f>IF(AND('Batt IN'!$D$53="Yes",$AL$1&gt;=2),0,IF($C35='Batt IN'!$H$55*12,-'Batt IN'!$F$55,0))</f>
        <v>0</v>
      </c>
      <c r="BR35" s="2">
        <f>IF(AND('Batt IN'!$D$53="Yes",$AL$1&gt;=3),0,IF($C35='Batt IN'!$H$56*12,-'Batt IN'!$F$56,0))</f>
        <v>0</v>
      </c>
      <c r="BS35" s="2">
        <f>IF(AND('Batt IN'!$D$53="Yes",$AL$1&gt;=4),0,IF($C35='Batt IN'!$H$57*12,-'Batt IN'!$F$57,0))</f>
        <v>0</v>
      </c>
      <c r="BT35" s="2">
        <f>IF(AND('Batt IN'!$D$53="Yes",$AL$1&gt;=5),0,IF($C35='Batt IN'!$H$58*12,-'Batt IN'!$F$58,0))</f>
        <v>0</v>
      </c>
      <c r="BU35" s="2">
        <f>-AH35*PVCalcs!F35</f>
        <v>-408.50813537637038</v>
      </c>
      <c r="BV35" s="2">
        <f>-'Batt IN'!$E$47</f>
        <v>-150</v>
      </c>
      <c r="BW35" s="2">
        <f>-'Batt IN'!$E$49</f>
        <v>-2250</v>
      </c>
      <c r="BX35" s="2">
        <f>IF('Batt IN'!$H$50="No",-(BC35*'Batt IN'!$E$50),-(BC35+BE35)*'Batt IN'!$E$50)</f>
        <v>0</v>
      </c>
      <c r="BY35" s="2">
        <f>IF(C35='Batt IN'!$H$43*12,-'Batt IN'!$E$43,0)</f>
        <v>0</v>
      </c>
      <c r="BZ35" s="38"/>
      <c r="CA35" s="10">
        <f t="shared" si="0"/>
        <v>13817.323408333334</v>
      </c>
      <c r="CB35" s="2">
        <f t="shared" si="6"/>
        <v>-3058.5081353763703</v>
      </c>
      <c r="CC35" s="45">
        <f t="shared" si="7"/>
        <v>10758.815272956963</v>
      </c>
      <c r="CD35" s="43"/>
      <c r="CE35" s="2">
        <f t="shared" si="8"/>
        <v>0</v>
      </c>
      <c r="CF35" s="2">
        <f t="shared" si="9"/>
        <v>-3058.5081353763703</v>
      </c>
      <c r="CG35" s="2"/>
      <c r="CH35" s="2">
        <f t="shared" si="10"/>
        <v>-3058.5081353763703</v>
      </c>
      <c r="CI35" s="45">
        <f>-CH35*'Batt IN'!$E$7</f>
        <v>642.28670842903773</v>
      </c>
      <c r="CJ35" s="48"/>
      <c r="CK35" s="45">
        <f>IF('Batt IN'!$F$4="PV Only",0,IF(C35&gt;'Batt IN'!$H$43*12,0,CC35+CI35))</f>
        <v>0</v>
      </c>
      <c r="CM35" s="10">
        <f t="shared" si="11"/>
        <v>0</v>
      </c>
      <c r="CN35" s="2">
        <f>CK35/(1+('Batt IN'!$G$8))^(C35)</f>
        <v>0</v>
      </c>
      <c r="CO35" s="2">
        <f>IF(C35&lt;='Batt IN'!$O$30*12,CN35+CO34,NA())</f>
        <v>0</v>
      </c>
      <c r="CQ35" s="2">
        <f>CK35/((1+('Batt IN'!$E$8/12))^BattCalcs!C35)</f>
        <v>0</v>
      </c>
      <c r="CS35" s="10">
        <f t="shared" si="12"/>
        <v>-3058.5081353763703</v>
      </c>
      <c r="CT35" s="10">
        <f t="shared" si="13"/>
        <v>0</v>
      </c>
      <c r="CU35" s="10">
        <f t="shared" si="14"/>
        <v>-3058.5081353763703</v>
      </c>
      <c r="CV35" s="10">
        <f t="shared" si="15"/>
        <v>-3058.5081353763703</v>
      </c>
      <c r="CW35" s="2">
        <f t="shared" si="1"/>
        <v>0</v>
      </c>
      <c r="CX35" s="2">
        <f>-(SUM(CV35:CW35)*'PV IN'!$E$8)</f>
        <v>642.28670842903773</v>
      </c>
      <c r="CY35" s="2">
        <f t="shared" si="16"/>
        <v>-2416.2214269473325</v>
      </c>
      <c r="CZ35" s="2">
        <f>IF(C35&lt;='Batt IN'!$H$43*12,CY35/(1+('PV IN'!$G$9))^(C35),0)</f>
        <v>-2130.0887992941243</v>
      </c>
      <c r="DA35" s="33">
        <f>IF(C35&lt;='Batt IN'!$H$43*12,AE35,0)</f>
        <v>36250.116666666669</v>
      </c>
    </row>
    <row r="36" spans="1:105" x14ac:dyDescent="0.25">
      <c r="A36">
        <f>IF(C36&lt;='Batt IN'!$H$43*12,C36,"")</f>
        <v>32</v>
      </c>
      <c r="C36">
        <v>32</v>
      </c>
      <c r="D36" s="21">
        <v>730</v>
      </c>
      <c r="E36" s="1">
        <f>1-'Batt IN'!$E$31</f>
        <v>2.0000000000000018E-2</v>
      </c>
      <c r="F36" s="12">
        <f>('Batt IN'!$E$33*365)/8760</f>
        <v>0</v>
      </c>
      <c r="G36" s="22">
        <f>'Batt IN'!$E$32/8760</f>
        <v>5.7077625570776253E-3</v>
      </c>
      <c r="H36" s="22">
        <f>'Batt IN'!$E$13/8760</f>
        <v>5.5936073059360729E-3</v>
      </c>
      <c r="I36" s="23">
        <f>IF(C36&lt;='Batt IN'!$G$14*12,'Batt IN'!$E$15/8760*'Batt IN'!$G$15,0)</f>
        <v>6.8493150684931503E-3</v>
      </c>
      <c r="J36" s="12">
        <f>Z36/'Batt IN'!$E$27/730</f>
        <v>2.4999999999999996E-3</v>
      </c>
      <c r="K36" s="23">
        <f>AA36/'Batt IN'!$E$27/730</f>
        <v>1.6027397260273972E-3</v>
      </c>
      <c r="L36" s="23">
        <f>AB36/'Batt IN'!$E$27/730</f>
        <v>2.0547945205479451E-4</v>
      </c>
      <c r="M36" s="23">
        <f>AC36/'Batt IN'!$E$27/730</f>
        <v>4.7945205479452057E-3</v>
      </c>
      <c r="N36" s="23">
        <f>AD36/'Batt IN'!$E$27/730</f>
        <v>3.4246575342465752E-3</v>
      </c>
      <c r="O36" s="12">
        <f t="shared" si="2"/>
        <v>5.0678082191780847E-2</v>
      </c>
      <c r="P36" s="21">
        <f t="shared" si="3"/>
        <v>693.005</v>
      </c>
      <c r="Q36" s="2">
        <f>IF('Batt IN'!$E$27*'Batt IN'!$E$24&lt;='Batt IN'!$E$28,(('Batt IN'!$E$23*'Batt IN'!$E$27*'Batt IN'!$E$24)/1000)*P36,(('Batt IN'!$E$23*'Batt IN'!$E$28*'Batt IN'!$E$24)/1000)*P36)</f>
        <v>11088.08</v>
      </c>
      <c r="R36" s="2"/>
      <c r="S36" s="77">
        <f>IF(C36&lt;='Batt IN'!$G$14*12,'Batt IN'!$E$15/12,0)</f>
        <v>8.3333333333333339</v>
      </c>
      <c r="T36" s="77"/>
      <c r="U36" s="80">
        <f>'Batt IN'!$E$28*('Batt IN'!$G$24/24)*730*(1-O36)</f>
        <v>80850.583333333328</v>
      </c>
      <c r="V36" s="78">
        <f>U36*'Batt IN'!$F$30</f>
        <v>16170.116666666667</v>
      </c>
      <c r="W36" s="78">
        <f>'Batt IN'!$E$28*'Batt IN'!$G$32*('Batt IN'!$E$32/12)*(1+'Batt IN'!$F$30)</f>
        <v>1750.0000000000002</v>
      </c>
      <c r="X36" s="78">
        <f>'Batt IN'!$E$28*'Batt IN'!$G$13*('Batt IN'!$E$13/12)*(1+'Batt IN'!$F$30)</f>
        <v>3184.9999999999995</v>
      </c>
      <c r="Y36" s="33">
        <f>S36*'Batt IN'!$G$15*'Batt IN'!$E$28*(1+'Batt IN'!$F$30)</f>
        <v>6000</v>
      </c>
      <c r="Z36" s="33">
        <f>'Batt IN'!$G$16*365/12*(1+'Batt IN'!$F$30)</f>
        <v>1824.9999999999998</v>
      </c>
      <c r="AA36" s="33">
        <f>'Batt IN'!$G$17*'Batt IN'!$E$18*'Batt IN'!$G$18/12*(1+'Batt IN'!$F$30)</f>
        <v>1170</v>
      </c>
      <c r="AB36" s="33">
        <f>'Batt IN'!$G$19*'Batt IN'!$E$20*'Batt IN'!$G$20/12*(1+'Batt IN'!$F$30)</f>
        <v>150</v>
      </c>
      <c r="AC36" s="33">
        <f>'Batt IN'!$G$21*(1+'Batt IN'!$F$30)/12</f>
        <v>3500</v>
      </c>
      <c r="AD36" s="33">
        <f>'Batt IN'!$G$22*(1+'Batt IN'!$F$30)/12</f>
        <v>2500</v>
      </c>
      <c r="AE36" s="33">
        <f t="shared" si="4"/>
        <v>36250.116666666669</v>
      </c>
      <c r="AF36" s="33">
        <f>IF('PV IN'!$F$4="Battery Only",0,AE36*'Batt IN'!$E$29)</f>
        <v>30812.599166666667</v>
      </c>
      <c r="AG36" s="33">
        <f>PVCalcs!L36</f>
        <v>30812.599166666667</v>
      </c>
      <c r="AH36" s="33">
        <f t="shared" si="5"/>
        <v>5437.5175000000017</v>
      </c>
      <c r="AI36" s="33"/>
      <c r="AJ36" s="2">
        <f>IF(AND('Batt IN'!$D$53="Yes",$AL$1&gt;=1),IF($C36='Batt IN'!$H$54*12,-'Batt IN'!$F$54,0),0)</f>
        <v>0</v>
      </c>
      <c r="AK36" s="2">
        <f>IF(AND('Batt IN'!$D$53="Yes",$AL$1&gt;=2),IF($C36='Batt IN'!$H$55*12,-'Batt IN'!$F$55,0),0)</f>
        <v>0</v>
      </c>
      <c r="AL36" s="2">
        <f>IF(AND('Batt IN'!$D$53="Yes",$AL$1&gt;=3),IF($C36='Batt IN'!$H$56*12,-'Batt IN'!$F$56,0),0)</f>
        <v>0</v>
      </c>
      <c r="AM36" s="2">
        <f>IF(AND('Batt IN'!$D$53="Yes",$AL$1&gt;=4),IF($C36='Batt IN'!$H$57*12,-'Batt IN'!$F$57,0),0)</f>
        <v>0</v>
      </c>
      <c r="AN36" s="2">
        <f>IF(AND('Batt IN'!$D$53="Yes",$AL$1&gt;=5),IF($C36='Batt IN'!$H$58*12,-'Batt IN'!$F$58,0),0)</f>
        <v>0</v>
      </c>
      <c r="AO36" s="10">
        <f>IF(AND('Batt IN'!$D$44="YES",$C36&lt;='Batt IN'!$E$44*12),-'Batt IN'!$E$28*'Batt IN'!$E$42/12,0)</f>
        <v>0</v>
      </c>
      <c r="AP36" s="10">
        <f>IF(AND('Batt IN'!$D$46="YES",$C36&lt;='Batt IN'!$E$46*12),-'Batt IN'!$E$28*'Batt IN'!$E$45/12,0)</f>
        <v>0</v>
      </c>
      <c r="AR36" s="10">
        <f>BattLoan!M63</f>
        <v>0</v>
      </c>
      <c r="AS36" s="10">
        <f>'Batt IN'!$G$16*365/12*'Batt IN'!$E$16</f>
        <v>76.041666666666671</v>
      </c>
      <c r="AT36" s="10">
        <f>IF(AND('Batt IN'!$E$18&gt;0,'Batt IN'!$G$18&gt;0),'Batt IN'!$E$17*'Batt IN'!$G$17,0)</f>
        <v>119.44619999999999</v>
      </c>
      <c r="AU36" s="10">
        <f>IF(AND('Batt IN'!$E$20&gt;0,'Batt IN'!$G$20&gt;0),'Batt IN'!$E$19*'Batt IN'!$G$19,0)</f>
        <v>231</v>
      </c>
      <c r="AV36" s="10"/>
      <c r="AW36" s="10"/>
      <c r="AX36" s="10">
        <f>IF('Batt IN'!$E$11="Non-Taxable",Q36,0)</f>
        <v>11088.08</v>
      </c>
      <c r="AY36" s="10">
        <f>IF('Batt IN'!$E$11="Non-Taxable",'Batt IN'!$E$28/1000*'Batt IN'!$G$13*('Batt IN'!$E$13/12)*'Batt IN'!$E$12,0)</f>
        <v>244.42220833333334</v>
      </c>
      <c r="AZ36" s="10">
        <f>IF('Batt IN'!$E$11="Non-Taxable",$S36*'Batt IN'!$G$15*'Batt IN'!$E$28*'Batt IN'!$E$14/1000,0)</f>
        <v>475</v>
      </c>
      <c r="BA36" s="10">
        <f>IF('Batt IN'!$E$11="Non-Taxable",'Batt IN'!$E$21*'Batt IN'!$G$21/12,0)</f>
        <v>437.5</v>
      </c>
      <c r="BB36" s="10">
        <f>IF('Batt IN'!$E$11="Non-Taxable",'Batt IN'!$E$22*'Batt IN'!$G$22/12,0)</f>
        <v>1145.8333333333335</v>
      </c>
      <c r="BC36" s="10">
        <f>IF('Batt IN'!$E$11="Taxable",Q36,0)</f>
        <v>0</v>
      </c>
      <c r="BD36" s="10">
        <f>IF('Batt IN'!$E$11="Taxable",'Batt IN'!$E$28/1000*'Batt IN'!$G$13*('Batt IN'!$E$13/12)*'Batt IN'!$E$12,0)</f>
        <v>0</v>
      </c>
      <c r="BE36" s="10">
        <f>IF('Batt IN'!$E$11="Taxable",$S36*'Batt IN'!$G$15*'Batt IN'!$E$28*'Batt IN'!$E$14/1000,0)</f>
        <v>0</v>
      </c>
      <c r="BF36" s="10">
        <f>IF('Batt IN'!$E$11="Taxable",'Batt IN'!$E$21*'Batt IN'!$G$21/12,0)</f>
        <v>0</v>
      </c>
      <c r="BG36" s="10">
        <f>IF('Batt IN'!$E$11="Taxable",'Batt IN'!$E$22*'Batt IN'!$G$22/12,0)</f>
        <v>0</v>
      </c>
      <c r="BK36" s="10">
        <f>IF('Batt IN'!$N$18="Yes",-BattLoan!H64,-BattLoan!L64)</f>
        <v>0</v>
      </c>
      <c r="BL36" s="10">
        <f>IF('Batt IN'!$N$18="Yes",-BattLoan!F64,0)</f>
        <v>0</v>
      </c>
      <c r="BM36" s="10">
        <f>IF(AND('Batt IN'!$D$44="YES",$C36&lt;='Batt IN'!$E$44*12),0,-'Batt IN'!$E$28*'Batt IN'!$E$42/12)</f>
        <v>-83.333333333333329</v>
      </c>
      <c r="BN36" s="10">
        <f>IF(AND('Batt IN'!$D$46="YES",$C36&lt;='Batt IN'!$E$46*12),0,-'Batt IN'!$E$28*'Batt IN'!$E$45/12)</f>
        <v>-166.66666666666666</v>
      </c>
      <c r="BO36" s="2">
        <f>IF(AND('Batt IN'!$D$41="YES",BattCalcs!C36=ROUNDUP('Batt IN'!$H$41*12,)),-'Batt IN'!$E$41*'Batt IN'!$E$28,0)</f>
        <v>0</v>
      </c>
      <c r="BP36" s="2">
        <f>IF(AND('Batt IN'!$D$53="Yes",$AL$1&gt;=1),0,IF($C36='Batt IN'!$H$54*12,-'Batt IN'!$F$54,0))</f>
        <v>0</v>
      </c>
      <c r="BQ36" s="2">
        <f>IF(AND('Batt IN'!$D$53="Yes",$AL$1&gt;=2),0,IF($C36='Batt IN'!$H$55*12,-'Batt IN'!$F$55,0))</f>
        <v>0</v>
      </c>
      <c r="BR36" s="2">
        <f>IF(AND('Batt IN'!$D$53="Yes",$AL$1&gt;=3),0,IF($C36='Batt IN'!$H$56*12,-'Batt IN'!$F$56,0))</f>
        <v>0</v>
      </c>
      <c r="BS36" s="2">
        <f>IF(AND('Batt IN'!$D$53="Yes",$AL$1&gt;=4),0,IF($C36='Batt IN'!$H$57*12,-'Batt IN'!$F$57,0))</f>
        <v>0</v>
      </c>
      <c r="BT36" s="2">
        <f>IF(AND('Batt IN'!$D$53="Yes",$AL$1&gt;=5),0,IF($C36='Batt IN'!$H$58*12,-'Batt IN'!$F$58,0))</f>
        <v>0</v>
      </c>
      <c r="BU36" s="2">
        <f>-AH36*PVCalcs!F36</f>
        <v>-408.50813537637038</v>
      </c>
      <c r="BV36" s="2">
        <f>-'Batt IN'!$E$47</f>
        <v>-150</v>
      </c>
      <c r="BW36" s="2">
        <f>-'Batt IN'!$E$49</f>
        <v>-2250</v>
      </c>
      <c r="BX36" s="2">
        <f>IF('Batt IN'!$H$50="No",-(BC36*'Batt IN'!$E$50),-(BC36+BE36)*'Batt IN'!$E$50)</f>
        <v>0</v>
      </c>
      <c r="BY36" s="2">
        <f>IF(C36='Batt IN'!$H$43*12,-'Batt IN'!$E$43,0)</f>
        <v>0</v>
      </c>
      <c r="BZ36" s="38"/>
      <c r="CA36" s="10">
        <f t="shared" si="0"/>
        <v>13817.323408333334</v>
      </c>
      <c r="CB36" s="2">
        <f t="shared" si="6"/>
        <v>-3058.5081353763703</v>
      </c>
      <c r="CC36" s="45">
        <f t="shared" si="7"/>
        <v>10758.815272956963</v>
      </c>
      <c r="CD36" s="43"/>
      <c r="CE36" s="2">
        <f t="shared" si="8"/>
        <v>0</v>
      </c>
      <c r="CF36" s="2">
        <f t="shared" si="9"/>
        <v>-3058.5081353763703</v>
      </c>
      <c r="CG36" s="2"/>
      <c r="CH36" s="2">
        <f t="shared" si="10"/>
        <v>-3058.5081353763703</v>
      </c>
      <c r="CI36" s="45">
        <f>-CH36*'Batt IN'!$E$7</f>
        <v>642.28670842903773</v>
      </c>
      <c r="CJ36" s="48"/>
      <c r="CK36" s="45">
        <f>IF('Batt IN'!$F$4="PV Only",0,IF(C36&gt;'Batt IN'!$H$43*12,0,CC36+CI36))</f>
        <v>0</v>
      </c>
      <c r="CM36" s="10">
        <f t="shared" si="11"/>
        <v>0</v>
      </c>
      <c r="CN36" s="2">
        <f>CK36/(1+('Batt IN'!$G$8))^(C36)</f>
        <v>0</v>
      </c>
      <c r="CO36" s="2">
        <f>IF(C36&lt;='Batt IN'!$O$30*12,CN36+CO35,NA())</f>
        <v>0</v>
      </c>
      <c r="CQ36" s="2">
        <f>CK36/((1+('Batt IN'!$E$8/12))^BattCalcs!C36)</f>
        <v>0</v>
      </c>
      <c r="CS36" s="10">
        <f t="shared" si="12"/>
        <v>-3058.5081353763703</v>
      </c>
      <c r="CT36" s="10">
        <f t="shared" si="13"/>
        <v>0</v>
      </c>
      <c r="CU36" s="10">
        <f t="shared" si="14"/>
        <v>-3058.5081353763703</v>
      </c>
      <c r="CV36" s="10">
        <f t="shared" si="15"/>
        <v>-3058.5081353763703</v>
      </c>
      <c r="CW36" s="2">
        <f t="shared" si="1"/>
        <v>0</v>
      </c>
      <c r="CX36" s="2">
        <f>-(SUM(CV36:CW36)*'PV IN'!$E$8)</f>
        <v>642.28670842903773</v>
      </c>
      <c r="CY36" s="2">
        <f t="shared" si="16"/>
        <v>-2416.2214269473325</v>
      </c>
      <c r="CZ36" s="2">
        <f>IF(C36&lt;='Batt IN'!$H$43*12,CY36/(1+('PV IN'!$G$9))^(C36),0)</f>
        <v>-2121.4457666405337</v>
      </c>
      <c r="DA36" s="33">
        <f>IF(C36&lt;='Batt IN'!$H$43*12,AE36,0)</f>
        <v>36250.116666666669</v>
      </c>
    </row>
    <row r="37" spans="1:105" x14ac:dyDescent="0.25">
      <c r="A37">
        <f>IF(C37&lt;='Batt IN'!$H$43*12,C37,"")</f>
        <v>33</v>
      </c>
      <c r="C37">
        <v>33</v>
      </c>
      <c r="D37" s="21">
        <v>730</v>
      </c>
      <c r="E37" s="1">
        <f>1-'Batt IN'!$E$31</f>
        <v>2.0000000000000018E-2</v>
      </c>
      <c r="F37" s="12">
        <f>('Batt IN'!$E$33*365)/8760</f>
        <v>0</v>
      </c>
      <c r="G37" s="22">
        <f>'Batt IN'!$E$32/8760</f>
        <v>5.7077625570776253E-3</v>
      </c>
      <c r="H37" s="22">
        <f>'Batt IN'!$E$13/8760</f>
        <v>5.5936073059360729E-3</v>
      </c>
      <c r="I37" s="23">
        <f>IF(C37&lt;='Batt IN'!$G$14*12,'Batt IN'!$E$15/8760*'Batt IN'!$G$15,0)</f>
        <v>6.8493150684931503E-3</v>
      </c>
      <c r="J37" s="12">
        <f>Z37/'Batt IN'!$E$27/730</f>
        <v>2.4999999999999996E-3</v>
      </c>
      <c r="K37" s="23">
        <f>AA37/'Batt IN'!$E$27/730</f>
        <v>1.6027397260273972E-3</v>
      </c>
      <c r="L37" s="23">
        <f>AB37/'Batt IN'!$E$27/730</f>
        <v>2.0547945205479451E-4</v>
      </c>
      <c r="M37" s="23">
        <f>AC37/'Batt IN'!$E$27/730</f>
        <v>4.7945205479452057E-3</v>
      </c>
      <c r="N37" s="23">
        <f>AD37/'Batt IN'!$E$27/730</f>
        <v>3.4246575342465752E-3</v>
      </c>
      <c r="O37" s="12">
        <f t="shared" si="2"/>
        <v>5.0678082191780847E-2</v>
      </c>
      <c r="P37" s="21">
        <f t="shared" si="3"/>
        <v>693.005</v>
      </c>
      <c r="Q37" s="2">
        <f>IF('Batt IN'!$E$27*'Batt IN'!$E$24&lt;='Batt IN'!$E$28,(('Batt IN'!$E$23*'Batt IN'!$E$27*'Batt IN'!$E$24)/1000)*P37,(('Batt IN'!$E$23*'Batt IN'!$E$28*'Batt IN'!$E$24)/1000)*P37)</f>
        <v>11088.08</v>
      </c>
      <c r="R37" s="2"/>
      <c r="S37" s="77">
        <f>IF(C37&lt;='Batt IN'!$G$14*12,'Batt IN'!$E$15/12,0)</f>
        <v>8.3333333333333339</v>
      </c>
      <c r="T37" s="77"/>
      <c r="U37" s="80">
        <f>'Batt IN'!$E$28*('Batt IN'!$G$24/24)*730*(1-O37)</f>
        <v>80850.583333333328</v>
      </c>
      <c r="V37" s="78">
        <f>U37*'Batt IN'!$F$30</f>
        <v>16170.116666666667</v>
      </c>
      <c r="W37" s="78">
        <f>'Batt IN'!$E$28*'Batt IN'!$G$32*('Batt IN'!$E$32/12)*(1+'Batt IN'!$F$30)</f>
        <v>1750.0000000000002</v>
      </c>
      <c r="X37" s="78">
        <f>'Batt IN'!$E$28*'Batt IN'!$G$13*('Batt IN'!$E$13/12)*(1+'Batt IN'!$F$30)</f>
        <v>3184.9999999999995</v>
      </c>
      <c r="Y37" s="33">
        <f>S37*'Batt IN'!$G$15*'Batt IN'!$E$28*(1+'Batt IN'!$F$30)</f>
        <v>6000</v>
      </c>
      <c r="Z37" s="33">
        <f>'Batt IN'!$G$16*365/12*(1+'Batt IN'!$F$30)</f>
        <v>1824.9999999999998</v>
      </c>
      <c r="AA37" s="33">
        <f>'Batt IN'!$G$17*'Batt IN'!$E$18*'Batt IN'!$G$18/12*(1+'Batt IN'!$F$30)</f>
        <v>1170</v>
      </c>
      <c r="AB37" s="33">
        <f>'Batt IN'!$G$19*'Batt IN'!$E$20*'Batt IN'!$G$20/12*(1+'Batt IN'!$F$30)</f>
        <v>150</v>
      </c>
      <c r="AC37" s="33">
        <f>'Batt IN'!$G$21*(1+'Batt IN'!$F$30)/12</f>
        <v>3500</v>
      </c>
      <c r="AD37" s="33">
        <f>'Batt IN'!$G$22*(1+'Batt IN'!$F$30)/12</f>
        <v>2500</v>
      </c>
      <c r="AE37" s="33">
        <f t="shared" si="4"/>
        <v>36250.116666666669</v>
      </c>
      <c r="AF37" s="33">
        <f>IF('PV IN'!$F$4="Battery Only",0,AE37*'Batt IN'!$E$29)</f>
        <v>30812.599166666667</v>
      </c>
      <c r="AG37" s="33">
        <f>PVCalcs!L37</f>
        <v>30812.599166666667</v>
      </c>
      <c r="AH37" s="33">
        <f t="shared" si="5"/>
        <v>5437.5175000000017</v>
      </c>
      <c r="AI37" s="33"/>
      <c r="AJ37" s="2">
        <f>IF(AND('Batt IN'!$D$53="Yes",$AL$1&gt;=1),IF($C37='Batt IN'!$H$54*12,-'Batt IN'!$F$54,0),0)</f>
        <v>0</v>
      </c>
      <c r="AK37" s="2">
        <f>IF(AND('Batt IN'!$D$53="Yes",$AL$1&gt;=2),IF($C37='Batt IN'!$H$55*12,-'Batt IN'!$F$55,0),0)</f>
        <v>0</v>
      </c>
      <c r="AL37" s="2">
        <f>IF(AND('Batt IN'!$D$53="Yes",$AL$1&gt;=3),IF($C37='Batt IN'!$H$56*12,-'Batt IN'!$F$56,0),0)</f>
        <v>0</v>
      </c>
      <c r="AM37" s="2">
        <f>IF(AND('Batt IN'!$D$53="Yes",$AL$1&gt;=4),IF($C37='Batt IN'!$H$57*12,-'Batt IN'!$F$57,0),0)</f>
        <v>0</v>
      </c>
      <c r="AN37" s="2">
        <f>IF(AND('Batt IN'!$D$53="Yes",$AL$1&gt;=5),IF($C37='Batt IN'!$H$58*12,-'Batt IN'!$F$58,0),0)</f>
        <v>0</v>
      </c>
      <c r="AO37" s="10">
        <f>IF(AND('Batt IN'!$D$44="YES",$C37&lt;='Batt IN'!$E$44*12),-'Batt IN'!$E$28*'Batt IN'!$E$42/12,0)</f>
        <v>0</v>
      </c>
      <c r="AP37" s="10">
        <f>IF(AND('Batt IN'!$D$46="YES",$C37&lt;='Batt IN'!$E$46*12),-'Batt IN'!$E$28*'Batt IN'!$E$45/12,0)</f>
        <v>0</v>
      </c>
      <c r="AR37" s="10">
        <f>BattLoan!M64</f>
        <v>0</v>
      </c>
      <c r="AS37" s="10">
        <f>'Batt IN'!$G$16*365/12*'Batt IN'!$E$16</f>
        <v>76.041666666666671</v>
      </c>
      <c r="AT37" s="10">
        <f>IF(AND('Batt IN'!$E$18&gt;0,'Batt IN'!$G$18&gt;0),'Batt IN'!$E$17*'Batt IN'!$G$17,0)</f>
        <v>119.44619999999999</v>
      </c>
      <c r="AU37" s="10">
        <f>IF(AND('Batt IN'!$E$20&gt;0,'Batt IN'!$G$20&gt;0),'Batt IN'!$E$19*'Batt IN'!$G$19,0)</f>
        <v>231</v>
      </c>
      <c r="AV37" s="10"/>
      <c r="AW37" s="10"/>
      <c r="AX37" s="10">
        <f>IF('Batt IN'!$E$11="Non-Taxable",Q37,0)</f>
        <v>11088.08</v>
      </c>
      <c r="AY37" s="10">
        <f>IF('Batt IN'!$E$11="Non-Taxable",'Batt IN'!$E$28/1000*'Batt IN'!$G$13*('Batt IN'!$E$13/12)*'Batt IN'!$E$12,0)</f>
        <v>244.42220833333334</v>
      </c>
      <c r="AZ37" s="10">
        <f>IF('Batt IN'!$E$11="Non-Taxable",$S37*'Batt IN'!$G$15*'Batt IN'!$E$28*'Batt IN'!$E$14/1000,0)</f>
        <v>475</v>
      </c>
      <c r="BA37" s="10">
        <f>IF('Batt IN'!$E$11="Non-Taxable",'Batt IN'!$E$21*'Batt IN'!$G$21/12,0)</f>
        <v>437.5</v>
      </c>
      <c r="BB37" s="10">
        <f>IF('Batt IN'!$E$11="Non-Taxable",'Batt IN'!$E$22*'Batt IN'!$G$22/12,0)</f>
        <v>1145.8333333333335</v>
      </c>
      <c r="BC37" s="10">
        <f>IF('Batt IN'!$E$11="Taxable",Q37,0)</f>
        <v>0</v>
      </c>
      <c r="BD37" s="10">
        <f>IF('Batt IN'!$E$11="Taxable",'Batt IN'!$E$28/1000*'Batt IN'!$G$13*('Batt IN'!$E$13/12)*'Batt IN'!$E$12,0)</f>
        <v>0</v>
      </c>
      <c r="BE37" s="10">
        <f>IF('Batt IN'!$E$11="Taxable",$S37*'Batt IN'!$G$15*'Batt IN'!$E$28*'Batt IN'!$E$14/1000,0)</f>
        <v>0</v>
      </c>
      <c r="BF37" s="10">
        <f>IF('Batt IN'!$E$11="Taxable",'Batt IN'!$E$21*'Batt IN'!$G$21/12,0)</f>
        <v>0</v>
      </c>
      <c r="BG37" s="10">
        <f>IF('Batt IN'!$E$11="Taxable",'Batt IN'!$E$22*'Batt IN'!$G$22/12,0)</f>
        <v>0</v>
      </c>
      <c r="BK37" s="10">
        <f>IF('Batt IN'!$N$18="Yes",-BattLoan!H65,-BattLoan!L65)</f>
        <v>0</v>
      </c>
      <c r="BL37" s="10">
        <f>IF('Batt IN'!$N$18="Yes",-BattLoan!F65,0)</f>
        <v>0</v>
      </c>
      <c r="BM37" s="10">
        <f>IF(AND('Batt IN'!$D$44="YES",$C37&lt;='Batt IN'!$E$44*12),0,-'Batt IN'!$E$28*'Batt IN'!$E$42/12)</f>
        <v>-83.333333333333329</v>
      </c>
      <c r="BN37" s="10">
        <f>IF(AND('Batt IN'!$D$46="YES",$C37&lt;='Batt IN'!$E$46*12),0,-'Batt IN'!$E$28*'Batt IN'!$E$45/12)</f>
        <v>-166.66666666666666</v>
      </c>
      <c r="BO37" s="2">
        <f>IF(AND('Batt IN'!$D$41="YES",BattCalcs!C37=ROUNDUP('Batt IN'!$H$41*12,)),-'Batt IN'!$E$41*'Batt IN'!$E$28,0)</f>
        <v>0</v>
      </c>
      <c r="BP37" s="2">
        <f>IF(AND('Batt IN'!$D$53="Yes",$AL$1&gt;=1),0,IF($C37='Batt IN'!$H$54*12,-'Batt IN'!$F$54,0))</f>
        <v>0</v>
      </c>
      <c r="BQ37" s="2">
        <f>IF(AND('Batt IN'!$D$53="Yes",$AL$1&gt;=2),0,IF($C37='Batt IN'!$H$55*12,-'Batt IN'!$F$55,0))</f>
        <v>0</v>
      </c>
      <c r="BR37" s="2">
        <f>IF(AND('Batt IN'!$D$53="Yes",$AL$1&gt;=3),0,IF($C37='Batt IN'!$H$56*12,-'Batt IN'!$F$56,0))</f>
        <v>0</v>
      </c>
      <c r="BS37" s="2">
        <f>IF(AND('Batt IN'!$D$53="Yes",$AL$1&gt;=4),0,IF($C37='Batt IN'!$H$57*12,-'Batt IN'!$F$57,0))</f>
        <v>0</v>
      </c>
      <c r="BT37" s="2">
        <f>IF(AND('Batt IN'!$D$53="Yes",$AL$1&gt;=5),0,IF($C37='Batt IN'!$H$58*12,-'Batt IN'!$F$58,0))</f>
        <v>0</v>
      </c>
      <c r="BU37" s="2">
        <f>-AH37*PVCalcs!F37</f>
        <v>-408.50813537637038</v>
      </c>
      <c r="BV37" s="2">
        <f>-'Batt IN'!$E$47</f>
        <v>-150</v>
      </c>
      <c r="BW37" s="2">
        <f>-'Batt IN'!$E$49</f>
        <v>-2250</v>
      </c>
      <c r="BX37" s="2">
        <f>IF('Batt IN'!$H$50="No",-(BC37*'Batt IN'!$E$50),-(BC37+BE37)*'Batt IN'!$E$50)</f>
        <v>0</v>
      </c>
      <c r="BY37" s="2">
        <f>IF(C37='Batt IN'!$H$43*12,-'Batt IN'!$E$43,0)</f>
        <v>0</v>
      </c>
      <c r="BZ37" s="38"/>
      <c r="CA37" s="10">
        <f t="shared" si="0"/>
        <v>13817.323408333334</v>
      </c>
      <c r="CB37" s="2">
        <f t="shared" si="6"/>
        <v>-3058.5081353763703</v>
      </c>
      <c r="CC37" s="45">
        <f t="shared" si="7"/>
        <v>10758.815272956963</v>
      </c>
      <c r="CD37" s="43"/>
      <c r="CE37" s="2">
        <f t="shared" si="8"/>
        <v>0</v>
      </c>
      <c r="CF37" s="2">
        <f t="shared" si="9"/>
        <v>-3058.5081353763703</v>
      </c>
      <c r="CG37" s="2"/>
      <c r="CH37" s="2">
        <f t="shared" si="10"/>
        <v>-3058.5081353763703</v>
      </c>
      <c r="CI37" s="45">
        <f>-CH37*'Batt IN'!$E$7</f>
        <v>642.28670842903773</v>
      </c>
      <c r="CJ37" s="48"/>
      <c r="CK37" s="45">
        <f>IF('Batt IN'!$F$4="PV Only",0,IF(C37&gt;'Batt IN'!$H$43*12,0,CC37+CI37))</f>
        <v>0</v>
      </c>
      <c r="CM37" s="10">
        <f t="shared" si="11"/>
        <v>0</v>
      </c>
      <c r="CN37" s="2">
        <f>CK37/(1+('Batt IN'!$G$8))^(C37)</f>
        <v>0</v>
      </c>
      <c r="CO37" s="2">
        <f>IF(C37&lt;='Batt IN'!$O$30*12,CN37+CO36,NA())</f>
        <v>0</v>
      </c>
      <c r="CQ37" s="2">
        <f>CK37/((1+('Batt IN'!$E$8/12))^BattCalcs!C37)</f>
        <v>0</v>
      </c>
      <c r="CS37" s="10">
        <f t="shared" si="12"/>
        <v>-3058.5081353763703</v>
      </c>
      <c r="CT37" s="10">
        <f t="shared" si="13"/>
        <v>0</v>
      </c>
      <c r="CU37" s="10">
        <f t="shared" si="14"/>
        <v>-3058.5081353763703</v>
      </c>
      <c r="CV37" s="10">
        <f t="shared" si="15"/>
        <v>-3058.5081353763703</v>
      </c>
      <c r="CW37" s="2">
        <f t="shared" si="1"/>
        <v>0</v>
      </c>
      <c r="CX37" s="2">
        <f>-(SUM(CV37:CW37)*'PV IN'!$E$8)</f>
        <v>642.28670842903773</v>
      </c>
      <c r="CY37" s="2">
        <f t="shared" si="16"/>
        <v>-2416.2214269473325</v>
      </c>
      <c r="CZ37" s="2">
        <f>IF(C37&lt;='Batt IN'!$H$43*12,CY37/(1+('PV IN'!$G$9))^(C37),0)</f>
        <v>-2112.8378038927031</v>
      </c>
      <c r="DA37" s="33">
        <f>IF(C37&lt;='Batt IN'!$H$43*12,AE37,0)</f>
        <v>36250.116666666669</v>
      </c>
    </row>
    <row r="38" spans="1:105" x14ac:dyDescent="0.25">
      <c r="A38">
        <f>IF(C38&lt;='Batt IN'!$H$43*12,C38,"")</f>
        <v>34</v>
      </c>
      <c r="C38">
        <v>34</v>
      </c>
      <c r="D38" s="21">
        <v>730</v>
      </c>
      <c r="E38" s="1">
        <f>1-'Batt IN'!$E$31</f>
        <v>2.0000000000000018E-2</v>
      </c>
      <c r="F38" s="12">
        <f>('Batt IN'!$E$33*365)/8760</f>
        <v>0</v>
      </c>
      <c r="G38" s="22">
        <f>'Batt IN'!$E$32/8760</f>
        <v>5.7077625570776253E-3</v>
      </c>
      <c r="H38" s="22">
        <f>'Batt IN'!$E$13/8760</f>
        <v>5.5936073059360729E-3</v>
      </c>
      <c r="I38" s="23">
        <f>IF(C38&lt;='Batt IN'!$G$14*12,'Batt IN'!$E$15/8760*'Batt IN'!$G$15,0)</f>
        <v>6.8493150684931503E-3</v>
      </c>
      <c r="J38" s="12">
        <f>Z38/'Batt IN'!$E$27/730</f>
        <v>2.4999999999999996E-3</v>
      </c>
      <c r="K38" s="23">
        <f>AA38/'Batt IN'!$E$27/730</f>
        <v>1.6027397260273972E-3</v>
      </c>
      <c r="L38" s="23">
        <f>AB38/'Batt IN'!$E$27/730</f>
        <v>2.0547945205479451E-4</v>
      </c>
      <c r="M38" s="23">
        <f>AC38/'Batt IN'!$E$27/730</f>
        <v>4.7945205479452057E-3</v>
      </c>
      <c r="N38" s="23">
        <f>AD38/'Batt IN'!$E$27/730</f>
        <v>3.4246575342465752E-3</v>
      </c>
      <c r="O38" s="12">
        <f t="shared" si="2"/>
        <v>5.0678082191780847E-2</v>
      </c>
      <c r="P38" s="21">
        <f t="shared" si="3"/>
        <v>693.005</v>
      </c>
      <c r="Q38" s="2">
        <f>IF('Batt IN'!$E$27*'Batt IN'!$E$24&lt;='Batt IN'!$E$28,(('Batt IN'!$E$23*'Batt IN'!$E$27*'Batt IN'!$E$24)/1000)*P38,(('Batt IN'!$E$23*'Batt IN'!$E$28*'Batt IN'!$E$24)/1000)*P38)</f>
        <v>11088.08</v>
      </c>
      <c r="R38" s="2"/>
      <c r="S38" s="77">
        <f>IF(C38&lt;='Batt IN'!$G$14*12,'Batt IN'!$E$15/12,0)</f>
        <v>8.3333333333333339</v>
      </c>
      <c r="T38" s="77"/>
      <c r="U38" s="80">
        <f>'Batt IN'!$E$28*('Batt IN'!$G$24/24)*730*(1-O38)</f>
        <v>80850.583333333328</v>
      </c>
      <c r="V38" s="78">
        <f>U38*'Batt IN'!$F$30</f>
        <v>16170.116666666667</v>
      </c>
      <c r="W38" s="78">
        <f>'Batt IN'!$E$28*'Batt IN'!$G$32*('Batt IN'!$E$32/12)*(1+'Batt IN'!$F$30)</f>
        <v>1750.0000000000002</v>
      </c>
      <c r="X38" s="78">
        <f>'Batt IN'!$E$28*'Batt IN'!$G$13*('Batt IN'!$E$13/12)*(1+'Batt IN'!$F$30)</f>
        <v>3184.9999999999995</v>
      </c>
      <c r="Y38" s="33">
        <f>S38*'Batt IN'!$G$15*'Batt IN'!$E$28*(1+'Batt IN'!$F$30)</f>
        <v>6000</v>
      </c>
      <c r="Z38" s="33">
        <f>'Batt IN'!$G$16*365/12*(1+'Batt IN'!$F$30)</f>
        <v>1824.9999999999998</v>
      </c>
      <c r="AA38" s="33">
        <f>'Batt IN'!$G$17*'Batt IN'!$E$18*'Batt IN'!$G$18/12*(1+'Batt IN'!$F$30)</f>
        <v>1170</v>
      </c>
      <c r="AB38" s="33">
        <f>'Batt IN'!$G$19*'Batt IN'!$E$20*'Batt IN'!$G$20/12*(1+'Batt IN'!$F$30)</f>
        <v>150</v>
      </c>
      <c r="AC38" s="33">
        <f>'Batt IN'!$G$21*(1+'Batt IN'!$F$30)/12</f>
        <v>3500</v>
      </c>
      <c r="AD38" s="33">
        <f>'Batt IN'!$G$22*(1+'Batt IN'!$F$30)/12</f>
        <v>2500</v>
      </c>
      <c r="AE38" s="33">
        <f t="shared" si="4"/>
        <v>36250.116666666669</v>
      </c>
      <c r="AF38" s="33">
        <f>IF('PV IN'!$F$4="Battery Only",0,AE38*'Batt IN'!$E$29)</f>
        <v>30812.599166666667</v>
      </c>
      <c r="AG38" s="33">
        <f>PVCalcs!L38</f>
        <v>30812.599166666667</v>
      </c>
      <c r="AH38" s="33">
        <f t="shared" si="5"/>
        <v>5437.5175000000017</v>
      </c>
      <c r="AI38" s="33"/>
      <c r="AJ38" s="2">
        <f>IF(AND('Batt IN'!$D$53="Yes",$AL$1&gt;=1),IF($C38='Batt IN'!$H$54*12,-'Batt IN'!$F$54,0),0)</f>
        <v>0</v>
      </c>
      <c r="AK38" s="2">
        <f>IF(AND('Batt IN'!$D$53="Yes",$AL$1&gt;=2),IF($C38='Batt IN'!$H$55*12,-'Batt IN'!$F$55,0),0)</f>
        <v>0</v>
      </c>
      <c r="AL38" s="2">
        <f>IF(AND('Batt IN'!$D$53="Yes",$AL$1&gt;=3),IF($C38='Batt IN'!$H$56*12,-'Batt IN'!$F$56,0),0)</f>
        <v>0</v>
      </c>
      <c r="AM38" s="2">
        <f>IF(AND('Batt IN'!$D$53="Yes",$AL$1&gt;=4),IF($C38='Batt IN'!$H$57*12,-'Batt IN'!$F$57,0),0)</f>
        <v>0</v>
      </c>
      <c r="AN38" s="2">
        <f>IF(AND('Batt IN'!$D$53="Yes",$AL$1&gt;=5),IF($C38='Batt IN'!$H$58*12,-'Batt IN'!$F$58,0),0)</f>
        <v>0</v>
      </c>
      <c r="AO38" s="10">
        <f>IF(AND('Batt IN'!$D$44="YES",$C38&lt;='Batt IN'!$E$44*12),-'Batt IN'!$E$28*'Batt IN'!$E$42/12,0)</f>
        <v>0</v>
      </c>
      <c r="AP38" s="10">
        <f>IF(AND('Batt IN'!$D$46="YES",$C38&lt;='Batt IN'!$E$46*12),-'Batt IN'!$E$28*'Batt IN'!$E$45/12,0)</f>
        <v>0</v>
      </c>
      <c r="AR38" s="10">
        <f>BattLoan!M65</f>
        <v>0</v>
      </c>
      <c r="AS38" s="10">
        <f>'Batt IN'!$G$16*365/12*'Batt IN'!$E$16</f>
        <v>76.041666666666671</v>
      </c>
      <c r="AT38" s="10">
        <f>IF(AND('Batt IN'!$E$18&gt;0,'Batt IN'!$G$18&gt;0),'Batt IN'!$E$17*'Batt IN'!$G$17,0)</f>
        <v>119.44619999999999</v>
      </c>
      <c r="AU38" s="10">
        <f>IF(AND('Batt IN'!$E$20&gt;0,'Batt IN'!$G$20&gt;0),'Batt IN'!$E$19*'Batt IN'!$G$19,0)</f>
        <v>231</v>
      </c>
      <c r="AV38" s="10"/>
      <c r="AW38" s="10"/>
      <c r="AX38" s="10">
        <f>IF('Batt IN'!$E$11="Non-Taxable",Q38,0)</f>
        <v>11088.08</v>
      </c>
      <c r="AY38" s="10">
        <f>IF('Batt IN'!$E$11="Non-Taxable",'Batt IN'!$E$28/1000*'Batt IN'!$G$13*('Batt IN'!$E$13/12)*'Batt IN'!$E$12,0)</f>
        <v>244.42220833333334</v>
      </c>
      <c r="AZ38" s="10">
        <f>IF('Batt IN'!$E$11="Non-Taxable",$S38*'Batt IN'!$G$15*'Batt IN'!$E$28*'Batt IN'!$E$14/1000,0)</f>
        <v>475</v>
      </c>
      <c r="BA38" s="10">
        <f>IF('Batt IN'!$E$11="Non-Taxable",'Batt IN'!$E$21*'Batt IN'!$G$21/12,0)</f>
        <v>437.5</v>
      </c>
      <c r="BB38" s="10">
        <f>IF('Batt IN'!$E$11="Non-Taxable",'Batt IN'!$E$22*'Batt IN'!$G$22/12,0)</f>
        <v>1145.8333333333335</v>
      </c>
      <c r="BC38" s="10">
        <f>IF('Batt IN'!$E$11="Taxable",Q38,0)</f>
        <v>0</v>
      </c>
      <c r="BD38" s="10">
        <f>IF('Batt IN'!$E$11="Taxable",'Batt IN'!$E$28/1000*'Batt IN'!$G$13*('Batt IN'!$E$13/12)*'Batt IN'!$E$12,0)</f>
        <v>0</v>
      </c>
      <c r="BE38" s="10">
        <f>IF('Batt IN'!$E$11="Taxable",$S38*'Batt IN'!$G$15*'Batt IN'!$E$28*'Batt IN'!$E$14/1000,0)</f>
        <v>0</v>
      </c>
      <c r="BF38" s="10">
        <f>IF('Batt IN'!$E$11="Taxable",'Batt IN'!$E$21*'Batt IN'!$G$21/12,0)</f>
        <v>0</v>
      </c>
      <c r="BG38" s="10">
        <f>IF('Batt IN'!$E$11="Taxable",'Batt IN'!$E$22*'Batt IN'!$G$22/12,0)</f>
        <v>0</v>
      </c>
      <c r="BK38" s="10">
        <f>IF('Batt IN'!$N$18="Yes",-BattLoan!H66,-BattLoan!L66)</f>
        <v>0</v>
      </c>
      <c r="BL38" s="10">
        <f>IF('Batt IN'!$N$18="Yes",-BattLoan!F66,0)</f>
        <v>0</v>
      </c>
      <c r="BM38" s="10">
        <f>IF(AND('Batt IN'!$D$44="YES",$C38&lt;='Batt IN'!$E$44*12),0,-'Batt IN'!$E$28*'Batt IN'!$E$42/12)</f>
        <v>-83.333333333333329</v>
      </c>
      <c r="BN38" s="10">
        <f>IF(AND('Batt IN'!$D$46="YES",$C38&lt;='Batt IN'!$E$46*12),0,-'Batt IN'!$E$28*'Batt IN'!$E$45/12)</f>
        <v>-166.66666666666666</v>
      </c>
      <c r="BO38" s="2">
        <f>IF(AND('Batt IN'!$D$41="YES",BattCalcs!C38=ROUNDUP('Batt IN'!$H$41*12,)),-'Batt IN'!$E$41*'Batt IN'!$E$28,0)</f>
        <v>0</v>
      </c>
      <c r="BP38" s="2">
        <f>IF(AND('Batt IN'!$D$53="Yes",$AL$1&gt;=1),0,IF($C38='Batt IN'!$H$54*12,-'Batt IN'!$F$54,0))</f>
        <v>0</v>
      </c>
      <c r="BQ38" s="2">
        <f>IF(AND('Batt IN'!$D$53="Yes",$AL$1&gt;=2),0,IF($C38='Batt IN'!$H$55*12,-'Batt IN'!$F$55,0))</f>
        <v>0</v>
      </c>
      <c r="BR38" s="2">
        <f>IF(AND('Batt IN'!$D$53="Yes",$AL$1&gt;=3),0,IF($C38='Batt IN'!$H$56*12,-'Batt IN'!$F$56,0))</f>
        <v>0</v>
      </c>
      <c r="BS38" s="2">
        <f>IF(AND('Batt IN'!$D$53="Yes",$AL$1&gt;=4),0,IF($C38='Batt IN'!$H$57*12,-'Batt IN'!$F$57,0))</f>
        <v>0</v>
      </c>
      <c r="BT38" s="2">
        <f>IF(AND('Batt IN'!$D$53="Yes",$AL$1&gt;=5),0,IF($C38='Batt IN'!$H$58*12,-'Batt IN'!$F$58,0))</f>
        <v>0</v>
      </c>
      <c r="BU38" s="2">
        <f>-AH38*PVCalcs!F38</f>
        <v>-408.50813537637038</v>
      </c>
      <c r="BV38" s="2">
        <f>-'Batt IN'!$E$47</f>
        <v>-150</v>
      </c>
      <c r="BW38" s="2">
        <f>-'Batt IN'!$E$49</f>
        <v>-2250</v>
      </c>
      <c r="BX38" s="2">
        <f>IF('Batt IN'!$H$50="No",-(BC38*'Batt IN'!$E$50),-(BC38+BE38)*'Batt IN'!$E$50)</f>
        <v>0</v>
      </c>
      <c r="BY38" s="2">
        <f>IF(C38='Batt IN'!$H$43*12,-'Batt IN'!$E$43,0)</f>
        <v>0</v>
      </c>
      <c r="BZ38" s="38"/>
      <c r="CA38" s="10">
        <f t="shared" si="0"/>
        <v>13817.323408333334</v>
      </c>
      <c r="CB38" s="2">
        <f t="shared" si="6"/>
        <v>-3058.5081353763703</v>
      </c>
      <c r="CC38" s="45">
        <f t="shared" si="7"/>
        <v>10758.815272956963</v>
      </c>
      <c r="CD38" s="43"/>
      <c r="CE38" s="2">
        <f t="shared" si="8"/>
        <v>0</v>
      </c>
      <c r="CF38" s="2">
        <f t="shared" si="9"/>
        <v>-3058.5081353763703</v>
      </c>
      <c r="CG38" s="2"/>
      <c r="CH38" s="2">
        <f t="shared" si="10"/>
        <v>-3058.5081353763703</v>
      </c>
      <c r="CI38" s="45">
        <f>-CH38*'Batt IN'!$E$7</f>
        <v>642.28670842903773</v>
      </c>
      <c r="CJ38" s="48"/>
      <c r="CK38" s="45">
        <f>IF('Batt IN'!$F$4="PV Only",0,IF(C38&gt;'Batt IN'!$H$43*12,0,CC38+CI38))</f>
        <v>0</v>
      </c>
      <c r="CM38" s="10">
        <f t="shared" si="11"/>
        <v>0</v>
      </c>
      <c r="CN38" s="2">
        <f>CK38/(1+('Batt IN'!$G$8))^(C38)</f>
        <v>0</v>
      </c>
      <c r="CO38" s="2">
        <f>IF(C38&lt;='Batt IN'!$O$30*12,CN38+CO37,NA())</f>
        <v>0</v>
      </c>
      <c r="CQ38" s="2">
        <f>CK38/((1+('Batt IN'!$E$8/12))^BattCalcs!C38)</f>
        <v>0</v>
      </c>
      <c r="CS38" s="10">
        <f t="shared" si="12"/>
        <v>-3058.5081353763703</v>
      </c>
      <c r="CT38" s="10">
        <f t="shared" si="13"/>
        <v>0</v>
      </c>
      <c r="CU38" s="10">
        <f t="shared" si="14"/>
        <v>-3058.5081353763703</v>
      </c>
      <c r="CV38" s="10">
        <f t="shared" si="15"/>
        <v>-3058.5081353763703</v>
      </c>
      <c r="CW38" s="2">
        <f t="shared" si="1"/>
        <v>0</v>
      </c>
      <c r="CX38" s="2">
        <f>-(SUM(CV38:CW38)*'PV IN'!$E$8)</f>
        <v>642.28670842903773</v>
      </c>
      <c r="CY38" s="2">
        <f t="shared" si="16"/>
        <v>-2416.2214269473325</v>
      </c>
      <c r="CZ38" s="2">
        <f>IF(C38&lt;='Batt IN'!$H$43*12,CY38/(1+('PV IN'!$G$9))^(C38),0)</f>
        <v>-2104.2647687512399</v>
      </c>
      <c r="DA38" s="33">
        <f>IF(C38&lt;='Batt IN'!$H$43*12,AE38,0)</f>
        <v>36250.116666666669</v>
      </c>
    </row>
    <row r="39" spans="1:105" x14ac:dyDescent="0.25">
      <c r="A39">
        <f>IF(C39&lt;='Batt IN'!$H$43*12,C39,"")</f>
        <v>35</v>
      </c>
      <c r="C39">
        <v>35</v>
      </c>
      <c r="D39" s="21">
        <v>730</v>
      </c>
      <c r="E39" s="1">
        <f>1-'Batt IN'!$E$31</f>
        <v>2.0000000000000018E-2</v>
      </c>
      <c r="F39" s="12">
        <f>('Batt IN'!$E$33*365)/8760</f>
        <v>0</v>
      </c>
      <c r="G39" s="22">
        <f>'Batt IN'!$E$32/8760</f>
        <v>5.7077625570776253E-3</v>
      </c>
      <c r="H39" s="22">
        <f>'Batt IN'!$E$13/8760</f>
        <v>5.5936073059360729E-3</v>
      </c>
      <c r="I39" s="23">
        <f>IF(C39&lt;='Batt IN'!$G$14*12,'Batt IN'!$E$15/8760*'Batt IN'!$G$15,0)</f>
        <v>6.8493150684931503E-3</v>
      </c>
      <c r="J39" s="12">
        <f>Z39/'Batt IN'!$E$27/730</f>
        <v>2.4999999999999996E-3</v>
      </c>
      <c r="K39" s="23">
        <f>AA39/'Batt IN'!$E$27/730</f>
        <v>1.6027397260273972E-3</v>
      </c>
      <c r="L39" s="23">
        <f>AB39/'Batt IN'!$E$27/730</f>
        <v>2.0547945205479451E-4</v>
      </c>
      <c r="M39" s="23">
        <f>AC39/'Batt IN'!$E$27/730</f>
        <v>4.7945205479452057E-3</v>
      </c>
      <c r="N39" s="23">
        <f>AD39/'Batt IN'!$E$27/730</f>
        <v>3.4246575342465752E-3</v>
      </c>
      <c r="O39" s="12">
        <f t="shared" si="2"/>
        <v>5.0678082191780847E-2</v>
      </c>
      <c r="P39" s="21">
        <f t="shared" si="3"/>
        <v>693.005</v>
      </c>
      <c r="Q39" s="2">
        <f>IF('Batt IN'!$E$27*'Batt IN'!$E$24&lt;='Batt IN'!$E$28,(('Batt IN'!$E$23*'Batt IN'!$E$27*'Batt IN'!$E$24)/1000)*P39,(('Batt IN'!$E$23*'Batt IN'!$E$28*'Batt IN'!$E$24)/1000)*P39)</f>
        <v>11088.08</v>
      </c>
      <c r="R39" s="2"/>
      <c r="S39" s="77">
        <f>IF(C39&lt;='Batt IN'!$G$14*12,'Batt IN'!$E$15/12,0)</f>
        <v>8.3333333333333339</v>
      </c>
      <c r="T39" s="77"/>
      <c r="U39" s="80">
        <f>'Batt IN'!$E$28*('Batt IN'!$G$24/24)*730*(1-O39)</f>
        <v>80850.583333333328</v>
      </c>
      <c r="V39" s="78">
        <f>U39*'Batt IN'!$F$30</f>
        <v>16170.116666666667</v>
      </c>
      <c r="W39" s="78">
        <f>'Batt IN'!$E$28*'Batt IN'!$G$32*('Batt IN'!$E$32/12)*(1+'Batt IN'!$F$30)</f>
        <v>1750.0000000000002</v>
      </c>
      <c r="X39" s="78">
        <f>'Batt IN'!$E$28*'Batt IN'!$G$13*('Batt IN'!$E$13/12)*(1+'Batt IN'!$F$30)</f>
        <v>3184.9999999999995</v>
      </c>
      <c r="Y39" s="33">
        <f>S39*'Batt IN'!$G$15*'Batt IN'!$E$28*(1+'Batt IN'!$F$30)</f>
        <v>6000</v>
      </c>
      <c r="Z39" s="33">
        <f>'Batt IN'!$G$16*365/12*(1+'Batt IN'!$F$30)</f>
        <v>1824.9999999999998</v>
      </c>
      <c r="AA39" s="33">
        <f>'Batt IN'!$G$17*'Batt IN'!$E$18*'Batt IN'!$G$18/12*(1+'Batt IN'!$F$30)</f>
        <v>1170</v>
      </c>
      <c r="AB39" s="33">
        <f>'Batt IN'!$G$19*'Batt IN'!$E$20*'Batt IN'!$G$20/12*(1+'Batt IN'!$F$30)</f>
        <v>150</v>
      </c>
      <c r="AC39" s="33">
        <f>'Batt IN'!$G$21*(1+'Batt IN'!$F$30)/12</f>
        <v>3500</v>
      </c>
      <c r="AD39" s="33">
        <f>'Batt IN'!$G$22*(1+'Batt IN'!$F$30)/12</f>
        <v>2500</v>
      </c>
      <c r="AE39" s="33">
        <f t="shared" si="4"/>
        <v>36250.116666666669</v>
      </c>
      <c r="AF39" s="33">
        <f>IF('PV IN'!$F$4="Battery Only",0,AE39*'Batt IN'!$E$29)</f>
        <v>30812.599166666667</v>
      </c>
      <c r="AG39" s="33">
        <f>PVCalcs!L39</f>
        <v>30812.599166666667</v>
      </c>
      <c r="AH39" s="33">
        <f t="shared" si="5"/>
        <v>5437.5175000000017</v>
      </c>
      <c r="AI39" s="33"/>
      <c r="AJ39" s="2">
        <f>IF(AND('Batt IN'!$D$53="Yes",$AL$1&gt;=1),IF($C39='Batt IN'!$H$54*12,-'Batt IN'!$F$54,0),0)</f>
        <v>0</v>
      </c>
      <c r="AK39" s="2">
        <f>IF(AND('Batt IN'!$D$53="Yes",$AL$1&gt;=2),IF($C39='Batt IN'!$H$55*12,-'Batt IN'!$F$55,0),0)</f>
        <v>0</v>
      </c>
      <c r="AL39" s="2">
        <f>IF(AND('Batt IN'!$D$53="Yes",$AL$1&gt;=3),IF($C39='Batt IN'!$H$56*12,-'Batt IN'!$F$56,0),0)</f>
        <v>0</v>
      </c>
      <c r="AM39" s="2">
        <f>IF(AND('Batt IN'!$D$53="Yes",$AL$1&gt;=4),IF($C39='Batt IN'!$H$57*12,-'Batt IN'!$F$57,0),0)</f>
        <v>0</v>
      </c>
      <c r="AN39" s="2">
        <f>IF(AND('Batt IN'!$D$53="Yes",$AL$1&gt;=5),IF($C39='Batt IN'!$H$58*12,-'Batt IN'!$F$58,0),0)</f>
        <v>0</v>
      </c>
      <c r="AO39" s="10">
        <f>IF(AND('Batt IN'!$D$44="YES",$C39&lt;='Batt IN'!$E$44*12),-'Batt IN'!$E$28*'Batt IN'!$E$42/12,0)</f>
        <v>0</v>
      </c>
      <c r="AP39" s="10">
        <f>IF(AND('Batt IN'!$D$46="YES",$C39&lt;='Batt IN'!$E$46*12),-'Batt IN'!$E$28*'Batt IN'!$E$45/12,0)</f>
        <v>0</v>
      </c>
      <c r="AR39" s="10">
        <f>BattLoan!M66</f>
        <v>0</v>
      </c>
      <c r="AS39" s="10">
        <f>'Batt IN'!$G$16*365/12*'Batt IN'!$E$16</f>
        <v>76.041666666666671</v>
      </c>
      <c r="AT39" s="10">
        <f>IF(AND('Batt IN'!$E$18&gt;0,'Batt IN'!$G$18&gt;0),'Batt IN'!$E$17*'Batt IN'!$G$17,0)</f>
        <v>119.44619999999999</v>
      </c>
      <c r="AU39" s="10">
        <f>IF(AND('Batt IN'!$E$20&gt;0,'Batt IN'!$G$20&gt;0),'Batt IN'!$E$19*'Batt IN'!$G$19,0)</f>
        <v>231</v>
      </c>
      <c r="AV39" s="10"/>
      <c r="AW39" s="10"/>
      <c r="AX39" s="10">
        <f>IF('Batt IN'!$E$11="Non-Taxable",Q39,0)</f>
        <v>11088.08</v>
      </c>
      <c r="AY39" s="10">
        <f>IF('Batt IN'!$E$11="Non-Taxable",'Batt IN'!$E$28/1000*'Batt IN'!$G$13*('Batt IN'!$E$13/12)*'Batt IN'!$E$12,0)</f>
        <v>244.42220833333334</v>
      </c>
      <c r="AZ39" s="10">
        <f>IF('Batt IN'!$E$11="Non-Taxable",$S39*'Batt IN'!$G$15*'Batt IN'!$E$28*'Batt IN'!$E$14/1000,0)</f>
        <v>475</v>
      </c>
      <c r="BA39" s="10">
        <f>IF('Batt IN'!$E$11="Non-Taxable",'Batt IN'!$E$21*'Batt IN'!$G$21/12,0)</f>
        <v>437.5</v>
      </c>
      <c r="BB39" s="10">
        <f>IF('Batt IN'!$E$11="Non-Taxable",'Batt IN'!$E$22*'Batt IN'!$G$22/12,0)</f>
        <v>1145.8333333333335</v>
      </c>
      <c r="BC39" s="10">
        <f>IF('Batt IN'!$E$11="Taxable",Q39,0)</f>
        <v>0</v>
      </c>
      <c r="BD39" s="10">
        <f>IF('Batt IN'!$E$11="Taxable",'Batt IN'!$E$28/1000*'Batt IN'!$G$13*('Batt IN'!$E$13/12)*'Batt IN'!$E$12,0)</f>
        <v>0</v>
      </c>
      <c r="BE39" s="10">
        <f>IF('Batt IN'!$E$11="Taxable",$S39*'Batt IN'!$G$15*'Batt IN'!$E$28*'Batt IN'!$E$14/1000,0)</f>
        <v>0</v>
      </c>
      <c r="BF39" s="10">
        <f>IF('Batt IN'!$E$11="Taxable",'Batt IN'!$E$21*'Batt IN'!$G$21/12,0)</f>
        <v>0</v>
      </c>
      <c r="BG39" s="10">
        <f>IF('Batt IN'!$E$11="Taxable",'Batt IN'!$E$22*'Batt IN'!$G$22/12,0)</f>
        <v>0</v>
      </c>
      <c r="BK39" s="10">
        <f>IF('Batt IN'!$N$18="Yes",-BattLoan!H67,-BattLoan!L67)</f>
        <v>0</v>
      </c>
      <c r="BL39" s="10">
        <f>IF('Batt IN'!$N$18="Yes",-BattLoan!F67,0)</f>
        <v>0</v>
      </c>
      <c r="BM39" s="10">
        <f>IF(AND('Batt IN'!$D$44="YES",$C39&lt;='Batt IN'!$E$44*12),0,-'Batt IN'!$E$28*'Batt IN'!$E$42/12)</f>
        <v>-83.333333333333329</v>
      </c>
      <c r="BN39" s="10">
        <f>IF(AND('Batt IN'!$D$46="YES",$C39&lt;='Batt IN'!$E$46*12),0,-'Batt IN'!$E$28*'Batt IN'!$E$45/12)</f>
        <v>-166.66666666666666</v>
      </c>
      <c r="BO39" s="2">
        <f>IF(AND('Batt IN'!$D$41="YES",BattCalcs!C39=ROUNDUP('Batt IN'!$H$41*12,)),-'Batt IN'!$E$41*'Batt IN'!$E$28,0)</f>
        <v>0</v>
      </c>
      <c r="BP39" s="2">
        <f>IF(AND('Batt IN'!$D$53="Yes",$AL$1&gt;=1),0,IF($C39='Batt IN'!$H$54*12,-'Batt IN'!$F$54,0))</f>
        <v>0</v>
      </c>
      <c r="BQ39" s="2">
        <f>IF(AND('Batt IN'!$D$53="Yes",$AL$1&gt;=2),0,IF($C39='Batt IN'!$H$55*12,-'Batt IN'!$F$55,0))</f>
        <v>0</v>
      </c>
      <c r="BR39" s="2">
        <f>IF(AND('Batt IN'!$D$53="Yes",$AL$1&gt;=3),0,IF($C39='Batt IN'!$H$56*12,-'Batt IN'!$F$56,0))</f>
        <v>0</v>
      </c>
      <c r="BS39" s="2">
        <f>IF(AND('Batt IN'!$D$53="Yes",$AL$1&gt;=4),0,IF($C39='Batt IN'!$H$57*12,-'Batt IN'!$F$57,0))</f>
        <v>0</v>
      </c>
      <c r="BT39" s="2">
        <f>IF(AND('Batt IN'!$D$53="Yes",$AL$1&gt;=5),0,IF($C39='Batt IN'!$H$58*12,-'Batt IN'!$F$58,0))</f>
        <v>0</v>
      </c>
      <c r="BU39" s="2">
        <f>-AH39*PVCalcs!F39</f>
        <v>-408.50813537637038</v>
      </c>
      <c r="BV39" s="2">
        <f>-'Batt IN'!$E$47</f>
        <v>-150</v>
      </c>
      <c r="BW39" s="2">
        <f>-'Batt IN'!$E$49</f>
        <v>-2250</v>
      </c>
      <c r="BX39" s="2">
        <f>IF('Batt IN'!$H$50="No",-(BC39*'Batt IN'!$E$50),-(BC39+BE39)*'Batt IN'!$E$50)</f>
        <v>0</v>
      </c>
      <c r="BY39" s="2">
        <f>IF(C39='Batt IN'!$H$43*12,-'Batt IN'!$E$43,0)</f>
        <v>0</v>
      </c>
      <c r="BZ39" s="38"/>
      <c r="CA39" s="10">
        <f t="shared" si="0"/>
        <v>13817.323408333334</v>
      </c>
      <c r="CB39" s="2">
        <f t="shared" si="6"/>
        <v>-3058.5081353763703</v>
      </c>
      <c r="CC39" s="45">
        <f t="shared" si="7"/>
        <v>10758.815272956963</v>
      </c>
      <c r="CD39" s="43"/>
      <c r="CE39" s="2">
        <f t="shared" si="8"/>
        <v>0</v>
      </c>
      <c r="CF39" s="2">
        <f t="shared" si="9"/>
        <v>-3058.5081353763703</v>
      </c>
      <c r="CG39" s="2"/>
      <c r="CH39" s="2">
        <f t="shared" si="10"/>
        <v>-3058.5081353763703</v>
      </c>
      <c r="CI39" s="45">
        <f>-CH39*'Batt IN'!$E$7</f>
        <v>642.28670842903773</v>
      </c>
      <c r="CJ39" s="48"/>
      <c r="CK39" s="45">
        <f>IF('Batt IN'!$F$4="PV Only",0,IF(C39&gt;'Batt IN'!$H$43*12,0,CC39+CI39))</f>
        <v>0</v>
      </c>
      <c r="CM39" s="10">
        <f t="shared" si="11"/>
        <v>0</v>
      </c>
      <c r="CN39" s="2">
        <f>CK39/(1+('Batt IN'!$G$8))^(C39)</f>
        <v>0</v>
      </c>
      <c r="CO39" s="2">
        <f>IF(C39&lt;='Batt IN'!$O$30*12,CN39+CO38,NA())</f>
        <v>0</v>
      </c>
      <c r="CQ39" s="2">
        <f>CK39/((1+('Batt IN'!$E$8/12))^BattCalcs!C39)</f>
        <v>0</v>
      </c>
      <c r="CS39" s="10">
        <f t="shared" si="12"/>
        <v>-3058.5081353763703</v>
      </c>
      <c r="CT39" s="10">
        <f t="shared" si="13"/>
        <v>0</v>
      </c>
      <c r="CU39" s="10">
        <f t="shared" si="14"/>
        <v>-3058.5081353763703</v>
      </c>
      <c r="CV39" s="10">
        <f t="shared" si="15"/>
        <v>-3058.5081353763703</v>
      </c>
      <c r="CW39" s="2">
        <f t="shared" si="1"/>
        <v>0</v>
      </c>
      <c r="CX39" s="2">
        <f>-(SUM(CV39:CW39)*'PV IN'!$E$8)</f>
        <v>642.28670842903773</v>
      </c>
      <c r="CY39" s="2">
        <f t="shared" si="16"/>
        <v>-2416.2214269473325</v>
      </c>
      <c r="CZ39" s="2">
        <f>IF(C39&lt;='Batt IN'!$H$43*12,CY39/(1+('PV IN'!$G$9))^(C39),0)</f>
        <v>-2095.7265194941465</v>
      </c>
      <c r="DA39" s="33">
        <f>IF(C39&lt;='Batt IN'!$H$43*12,AE39,0)</f>
        <v>36250.116666666669</v>
      </c>
    </row>
    <row r="40" spans="1:105" x14ac:dyDescent="0.25">
      <c r="A40">
        <f>IF(C40&lt;='Batt IN'!$H$43*12,C40,"")</f>
        <v>36</v>
      </c>
      <c r="B40">
        <v>3</v>
      </c>
      <c r="C40">
        <v>36</v>
      </c>
      <c r="D40" s="21">
        <v>730</v>
      </c>
      <c r="E40" s="1">
        <f>1-'Batt IN'!$E$31</f>
        <v>2.0000000000000018E-2</v>
      </c>
      <c r="F40" s="12">
        <f>('Batt IN'!$E$33*365)/8760</f>
        <v>0</v>
      </c>
      <c r="G40" s="22">
        <f>'Batt IN'!$E$32/8760</f>
        <v>5.7077625570776253E-3</v>
      </c>
      <c r="H40" s="22">
        <f>'Batt IN'!$E$13/8760</f>
        <v>5.5936073059360729E-3</v>
      </c>
      <c r="I40" s="23">
        <f>IF(C40&lt;='Batt IN'!$G$14*12,'Batt IN'!$E$15/8760*'Batt IN'!$G$15,0)</f>
        <v>6.8493150684931503E-3</v>
      </c>
      <c r="J40" s="12">
        <f>Z40/'Batt IN'!$E$27/730</f>
        <v>2.4999999999999996E-3</v>
      </c>
      <c r="K40" s="23">
        <f>AA40/'Batt IN'!$E$27/730</f>
        <v>1.6027397260273972E-3</v>
      </c>
      <c r="L40" s="23">
        <f>AB40/'Batt IN'!$E$27/730</f>
        <v>2.0547945205479451E-4</v>
      </c>
      <c r="M40" s="23">
        <f>AC40/'Batt IN'!$E$27/730</f>
        <v>4.7945205479452057E-3</v>
      </c>
      <c r="N40" s="23">
        <f>AD40/'Batt IN'!$E$27/730</f>
        <v>3.4246575342465752E-3</v>
      </c>
      <c r="O40" s="12">
        <f t="shared" si="2"/>
        <v>5.0678082191780847E-2</v>
      </c>
      <c r="P40" s="21">
        <f t="shared" si="3"/>
        <v>693.005</v>
      </c>
      <c r="Q40" s="2">
        <f>IF('Batt IN'!$E$27*'Batt IN'!$E$24&lt;='Batt IN'!$E$28,(('Batt IN'!$E$23*'Batt IN'!$E$27*'Batt IN'!$E$24)/1000)*P40,(('Batt IN'!$E$23*'Batt IN'!$E$28*'Batt IN'!$E$24)/1000)*P40)</f>
        <v>11088.08</v>
      </c>
      <c r="R40" s="2"/>
      <c r="S40" s="77">
        <f>IF(C40&lt;='Batt IN'!$G$14*12,'Batt IN'!$E$15/12,0)</f>
        <v>8.3333333333333339</v>
      </c>
      <c r="T40" s="77"/>
      <c r="U40" s="80">
        <f>'Batt IN'!$E$28*('Batt IN'!$G$24/24)*730*(1-O40)</f>
        <v>80850.583333333328</v>
      </c>
      <c r="V40" s="78">
        <f>U40*'Batt IN'!$F$30</f>
        <v>16170.116666666667</v>
      </c>
      <c r="W40" s="78">
        <f>'Batt IN'!$E$28*'Batt IN'!$G$32*('Batt IN'!$E$32/12)*(1+'Batt IN'!$F$30)</f>
        <v>1750.0000000000002</v>
      </c>
      <c r="X40" s="78">
        <f>'Batt IN'!$E$28*'Batt IN'!$G$13*('Batt IN'!$E$13/12)*(1+'Batt IN'!$F$30)</f>
        <v>3184.9999999999995</v>
      </c>
      <c r="Y40" s="33">
        <f>S40*'Batt IN'!$G$15*'Batt IN'!$E$28*(1+'Batt IN'!$F$30)</f>
        <v>6000</v>
      </c>
      <c r="Z40" s="33">
        <f>'Batt IN'!$G$16*365/12*(1+'Batt IN'!$F$30)</f>
        <v>1824.9999999999998</v>
      </c>
      <c r="AA40" s="33">
        <f>'Batt IN'!$G$17*'Batt IN'!$E$18*'Batt IN'!$G$18/12*(1+'Batt IN'!$F$30)</f>
        <v>1170</v>
      </c>
      <c r="AB40" s="33">
        <f>'Batt IN'!$G$19*'Batt IN'!$E$20*'Batt IN'!$G$20/12*(1+'Batt IN'!$F$30)</f>
        <v>150</v>
      </c>
      <c r="AC40" s="33">
        <f>'Batt IN'!$G$21*(1+'Batt IN'!$F$30)/12</f>
        <v>3500</v>
      </c>
      <c r="AD40" s="33">
        <f>'Batt IN'!$G$22*(1+'Batt IN'!$F$30)/12</f>
        <v>2500</v>
      </c>
      <c r="AE40" s="33">
        <f t="shared" si="4"/>
        <v>36250.116666666669</v>
      </c>
      <c r="AF40" s="33">
        <f>IF('PV IN'!$F$4="Battery Only",0,AE40*'Batt IN'!$E$29)</f>
        <v>30812.599166666667</v>
      </c>
      <c r="AG40" s="33">
        <f>PVCalcs!L40</f>
        <v>30812.599166666667</v>
      </c>
      <c r="AH40" s="33">
        <f t="shared" si="5"/>
        <v>5437.5175000000017</v>
      </c>
      <c r="AI40" s="33"/>
      <c r="AJ40" s="2">
        <f>IF(AND('Batt IN'!$D$53="Yes",$AL$1&gt;=1),IF($C40='Batt IN'!$H$54*12,-'Batt IN'!$F$54,0),0)</f>
        <v>0</v>
      </c>
      <c r="AK40" s="2">
        <f>IF(AND('Batt IN'!$D$53="Yes",$AL$1&gt;=2),IF($C40='Batt IN'!$H$55*12,-'Batt IN'!$F$55,0),0)</f>
        <v>0</v>
      </c>
      <c r="AL40" s="2">
        <f>IF(AND('Batt IN'!$D$53="Yes",$AL$1&gt;=3),IF($C40='Batt IN'!$H$56*12,-'Batt IN'!$F$56,0),0)</f>
        <v>0</v>
      </c>
      <c r="AM40" s="2">
        <f>IF(AND('Batt IN'!$D$53="Yes",$AL$1&gt;=4),IF($C40='Batt IN'!$H$57*12,-'Batt IN'!$F$57,0),0)</f>
        <v>0</v>
      </c>
      <c r="AN40" s="2">
        <f>IF(AND('Batt IN'!$D$53="Yes",$AL$1&gt;=5),IF($C40='Batt IN'!$H$58*12,-'Batt IN'!$F$58,0),0)</f>
        <v>0</v>
      </c>
      <c r="AO40" s="10">
        <f>IF(AND('Batt IN'!$D$44="YES",$C40&lt;='Batt IN'!$E$44*12),-'Batt IN'!$E$28*'Batt IN'!$E$42/12,0)</f>
        <v>0</v>
      </c>
      <c r="AP40" s="10">
        <f>IF(AND('Batt IN'!$D$46="YES",$C40&lt;='Batt IN'!$E$46*12),-'Batt IN'!$E$28*'Batt IN'!$E$45/12,0)</f>
        <v>0</v>
      </c>
      <c r="AR40" s="10">
        <f>BattLoan!M67</f>
        <v>0</v>
      </c>
      <c r="AS40" s="10">
        <f>'Batt IN'!$G$16*365/12*'Batt IN'!$E$16</f>
        <v>76.041666666666671</v>
      </c>
      <c r="AT40" s="10">
        <f>IF(AND('Batt IN'!$E$18&gt;0,'Batt IN'!$G$18&gt;0),'Batt IN'!$E$17*'Batt IN'!$G$17,0)</f>
        <v>119.44619999999999</v>
      </c>
      <c r="AU40" s="10">
        <f>IF(AND('Batt IN'!$E$20&gt;0,'Batt IN'!$G$20&gt;0),'Batt IN'!$E$19*'Batt IN'!$G$19,0)</f>
        <v>231</v>
      </c>
      <c r="AX40" s="10">
        <f>IF('Batt IN'!$E$11="Non-Taxable",Q40,0)</f>
        <v>11088.08</v>
      </c>
      <c r="AY40" s="10">
        <f>IF('Batt IN'!$E$11="Non-Taxable",'Batt IN'!$E$28/1000*'Batt IN'!$G$13*('Batt IN'!$E$13/12)*'Batt IN'!$E$12,0)</f>
        <v>244.42220833333334</v>
      </c>
      <c r="AZ40" s="10">
        <f>IF('Batt IN'!$E$11="Non-Taxable",$S40*'Batt IN'!$G$15*'Batt IN'!$E$28*'Batt IN'!$E$14/1000,0)</f>
        <v>475</v>
      </c>
      <c r="BA40" s="10">
        <f>IF('Batt IN'!$E$11="Non-Taxable",'Batt IN'!$E$21*'Batt IN'!$G$21/12,0)</f>
        <v>437.5</v>
      </c>
      <c r="BB40" s="10">
        <f>IF('Batt IN'!$E$11="Non-Taxable",'Batt IN'!$E$22*'Batt IN'!$G$22/12,0)</f>
        <v>1145.8333333333335</v>
      </c>
      <c r="BC40" s="10">
        <f>IF('Batt IN'!$E$11="Taxable",Q40,0)</f>
        <v>0</v>
      </c>
      <c r="BD40" s="10">
        <f>IF('Batt IN'!$E$11="Taxable",'Batt IN'!$E$28/1000*'Batt IN'!$G$13*('Batt IN'!$E$13/12)*'Batt IN'!$E$12,0)</f>
        <v>0</v>
      </c>
      <c r="BE40" s="10">
        <f>IF('Batt IN'!$E$11="Taxable",$S40*'Batt IN'!$G$15*'Batt IN'!$E$28*'Batt IN'!$E$14/1000,0)</f>
        <v>0</v>
      </c>
      <c r="BF40" s="10">
        <f>IF('Batt IN'!$E$11="Taxable",'Batt IN'!$E$21*'Batt IN'!$G$21/12,0)</f>
        <v>0</v>
      </c>
      <c r="BG40" s="10">
        <f>IF('Batt IN'!$E$11="Taxable",'Batt IN'!$E$22*'Batt IN'!$G$22/12,0)</f>
        <v>0</v>
      </c>
      <c r="BK40" s="10">
        <f>IF('Batt IN'!$N$18="Yes",-BattLoan!H68,-BattLoan!L68)</f>
        <v>0</v>
      </c>
      <c r="BL40" s="10">
        <f>IF('Batt IN'!$N$18="Yes",-BattLoan!F68,0)</f>
        <v>0</v>
      </c>
      <c r="BM40" s="10">
        <f>IF(AND('Batt IN'!$D$44="YES",$C40&lt;='Batt IN'!$E$44*12),0,-'Batt IN'!$E$28*'Batt IN'!$E$42/12)</f>
        <v>-83.333333333333329</v>
      </c>
      <c r="BN40" s="10">
        <f>IF(AND('Batt IN'!$D$46="YES",$C40&lt;='Batt IN'!$E$46*12),0,-'Batt IN'!$E$28*'Batt IN'!$E$45/12)</f>
        <v>-166.66666666666666</v>
      </c>
      <c r="BO40" s="2">
        <f>IF(AND('Batt IN'!$D$41="YES",BattCalcs!C40=ROUNDUP('Batt IN'!$H$41*12,)),-'Batt IN'!$E$41*'Batt IN'!$E$28,0)</f>
        <v>0</v>
      </c>
      <c r="BP40" s="2">
        <f>IF(AND('Batt IN'!$D$53="Yes",$AL$1&gt;=1),0,IF($C40='Batt IN'!$H$54*12,-'Batt IN'!$F$54,0))</f>
        <v>0</v>
      </c>
      <c r="BQ40" s="2">
        <f>IF(AND('Batt IN'!$D$53="Yes",$AL$1&gt;=2),0,IF($C40='Batt IN'!$H$55*12,-'Batt IN'!$F$55,0))</f>
        <v>0</v>
      </c>
      <c r="BR40" s="2">
        <f>IF(AND('Batt IN'!$D$53="Yes",$AL$1&gt;=3),0,IF($C40='Batt IN'!$H$56*12,-'Batt IN'!$F$56,0))</f>
        <v>0</v>
      </c>
      <c r="BS40" s="2">
        <f>IF(AND('Batt IN'!$D$53="Yes",$AL$1&gt;=4),0,IF($C40='Batt IN'!$H$57*12,-'Batt IN'!$F$57,0))</f>
        <v>0</v>
      </c>
      <c r="BT40" s="2">
        <f>IF(AND('Batt IN'!$D$53="Yes",$AL$1&gt;=5),0,IF($C40='Batt IN'!$H$58*12,-'Batt IN'!$F$58,0))</f>
        <v>0</v>
      </c>
      <c r="BU40" s="2">
        <f>-AH40*PVCalcs!F40</f>
        <v>-408.50813537637038</v>
      </c>
      <c r="BV40" s="2">
        <f>-'Batt IN'!$E$47</f>
        <v>-150</v>
      </c>
      <c r="BW40" s="2">
        <f>-'Batt IN'!$E$49</f>
        <v>-2250</v>
      </c>
      <c r="BX40" s="2">
        <f>IF('Batt IN'!$H$50="No",-(BC40*'Batt IN'!$E$50),-(BC40+BE40)*'Batt IN'!$E$50)</f>
        <v>0</v>
      </c>
      <c r="BY40" s="2">
        <f>IF(C40='Batt IN'!$H$43*12,-'Batt IN'!$E$43,0)</f>
        <v>0</v>
      </c>
      <c r="BZ40" s="38"/>
      <c r="CA40" s="10">
        <f t="shared" si="0"/>
        <v>13817.323408333334</v>
      </c>
      <c r="CB40" s="2">
        <f t="shared" si="6"/>
        <v>-3058.5081353763703</v>
      </c>
      <c r="CC40" s="45">
        <f t="shared" si="7"/>
        <v>10758.815272956963</v>
      </c>
      <c r="CD40" s="43"/>
      <c r="CE40" s="2">
        <f t="shared" si="8"/>
        <v>0</v>
      </c>
      <c r="CF40" s="2">
        <f t="shared" si="9"/>
        <v>-3058.5081353763703</v>
      </c>
      <c r="CG40" s="2">
        <f>-Depr.!F22</f>
        <v>0</v>
      </c>
      <c r="CH40" s="2">
        <f t="shared" si="10"/>
        <v>-3058.5081353763703</v>
      </c>
      <c r="CI40" s="45">
        <f>-CH40*'Batt IN'!$E$7</f>
        <v>642.28670842903773</v>
      </c>
      <c r="CJ40" s="48"/>
      <c r="CK40" s="45">
        <f>IF('Batt IN'!$F$4="PV Only",0,IF(C40&gt;'Batt IN'!$H$43*12,0,CC40+CI40))</f>
        <v>0</v>
      </c>
      <c r="CM40" s="10">
        <f t="shared" si="11"/>
        <v>0</v>
      </c>
      <c r="CN40" s="2">
        <f>CK40/(1+('Batt IN'!$G$8))^(C40)</f>
        <v>0</v>
      </c>
      <c r="CO40" s="2">
        <f>IF(C40&lt;='Batt IN'!$O$30*12,CN40+CO39,NA())</f>
        <v>0</v>
      </c>
      <c r="CQ40" s="2">
        <f>CK40/((1+('Batt IN'!$E$8/12))^BattCalcs!C40)</f>
        <v>0</v>
      </c>
      <c r="CS40" s="10">
        <f t="shared" si="12"/>
        <v>-3058.5081353763703</v>
      </c>
      <c r="CT40" s="10">
        <f t="shared" si="13"/>
        <v>0</v>
      </c>
      <c r="CU40" s="10">
        <f t="shared" si="14"/>
        <v>-3058.5081353763703</v>
      </c>
      <c r="CV40" s="10">
        <f t="shared" si="15"/>
        <v>-3058.5081353763703</v>
      </c>
      <c r="CW40" s="2">
        <f t="shared" si="1"/>
        <v>0</v>
      </c>
      <c r="CX40" s="2">
        <f>-(SUM(CV40:CW40)*'PV IN'!$E$8)</f>
        <v>642.28670842903773</v>
      </c>
      <c r="CY40" s="2">
        <f t="shared" si="16"/>
        <v>-2416.2214269473325</v>
      </c>
      <c r="CZ40" s="2">
        <f>IF(C40&lt;='Batt IN'!$H$43*12,CY40/(1+('PV IN'!$G$9))^(C40),0)</f>
        <v>-2087.222914974473</v>
      </c>
      <c r="DA40" s="33">
        <f>IF(C40&lt;='Batt IN'!$H$43*12,AE40,0)</f>
        <v>36250.116666666669</v>
      </c>
    </row>
    <row r="41" spans="1:105" x14ac:dyDescent="0.25">
      <c r="A41">
        <f>IF(C41&lt;='Batt IN'!$H$43*12,C41,"")</f>
        <v>37</v>
      </c>
      <c r="C41">
        <v>37</v>
      </c>
      <c r="D41" s="21">
        <v>730</v>
      </c>
      <c r="E41" s="1">
        <f>1-'Batt IN'!$E$31</f>
        <v>2.0000000000000018E-2</v>
      </c>
      <c r="F41" s="12">
        <f>('Batt IN'!$E$33*365)/8760</f>
        <v>0</v>
      </c>
      <c r="G41" s="22">
        <f>'Batt IN'!$E$32/8760</f>
        <v>5.7077625570776253E-3</v>
      </c>
      <c r="H41" s="22">
        <f>'Batt IN'!$E$13/8760</f>
        <v>5.5936073059360729E-3</v>
      </c>
      <c r="I41" s="23">
        <f>IF(C41&lt;='Batt IN'!$G$14*12,'Batt IN'!$E$15/8760*'Batt IN'!$G$15,0)</f>
        <v>0</v>
      </c>
      <c r="J41" s="12">
        <f>Z41/'Batt IN'!$E$27/730</f>
        <v>2.4999999999999996E-3</v>
      </c>
      <c r="K41" s="23">
        <f>AA41/'Batt IN'!$E$27/730</f>
        <v>1.6027397260273972E-3</v>
      </c>
      <c r="L41" s="23">
        <f>AB41/'Batt IN'!$E$27/730</f>
        <v>2.0547945205479451E-4</v>
      </c>
      <c r="M41" s="23">
        <f>AC41/'Batt IN'!$E$27/730</f>
        <v>4.7945205479452057E-3</v>
      </c>
      <c r="N41" s="23">
        <f>AD41/'Batt IN'!$E$27/730</f>
        <v>3.4246575342465752E-3</v>
      </c>
      <c r="O41" s="12">
        <f t="shared" si="2"/>
        <v>4.3828767123287697E-2</v>
      </c>
      <c r="P41" s="21">
        <f t="shared" si="3"/>
        <v>698.005</v>
      </c>
      <c r="Q41" s="2">
        <f>IF('Batt IN'!$E$27*'Batt IN'!$E$24&lt;='Batt IN'!$E$28,(('Batt IN'!$E$23*'Batt IN'!$E$27*'Batt IN'!$E$24)/1000)*P41,(('Batt IN'!$E$23*'Batt IN'!$E$28*'Batt IN'!$E$24)/1000)*P41)</f>
        <v>11168.08</v>
      </c>
      <c r="R41" s="2"/>
      <c r="S41" s="77">
        <f>IF(C41&lt;='Batt IN'!$G$14*12,'Batt IN'!$E$15/12,0)</f>
        <v>0</v>
      </c>
      <c r="T41" s="77"/>
      <c r="U41" s="80">
        <f>'Batt IN'!$E$28*('Batt IN'!$G$24/24)*730*(1-O41)</f>
        <v>81433.916666666657</v>
      </c>
      <c r="V41" s="78">
        <f>U41*'Batt IN'!$F$30</f>
        <v>16286.783333333333</v>
      </c>
      <c r="W41" s="78">
        <f>'Batt IN'!$E$28*'Batt IN'!$G$32*('Batt IN'!$E$32/12)*(1+'Batt IN'!$F$30)</f>
        <v>1750.0000000000002</v>
      </c>
      <c r="X41" s="78">
        <f>'Batt IN'!$E$28*'Batt IN'!$G$13*('Batt IN'!$E$13/12)*(1+'Batt IN'!$F$30)</f>
        <v>3184.9999999999995</v>
      </c>
      <c r="Y41" s="33">
        <f>S41*'Batt IN'!$G$15*'Batt IN'!$E$28*(1+'Batt IN'!$F$30)</f>
        <v>0</v>
      </c>
      <c r="Z41" s="33">
        <f>'Batt IN'!$G$16*365/12*(1+'Batt IN'!$F$30)</f>
        <v>1824.9999999999998</v>
      </c>
      <c r="AA41" s="33">
        <f>'Batt IN'!$G$17*'Batt IN'!$E$18*'Batt IN'!$G$18/12*(1+'Batt IN'!$F$30)</f>
        <v>1170</v>
      </c>
      <c r="AB41" s="33">
        <f>'Batt IN'!$G$19*'Batt IN'!$E$20*'Batt IN'!$G$20/12*(1+'Batt IN'!$F$30)</f>
        <v>150</v>
      </c>
      <c r="AC41" s="33">
        <f>'Batt IN'!$G$21*(1+'Batt IN'!$F$30)/12</f>
        <v>3500</v>
      </c>
      <c r="AD41" s="33">
        <f>'Batt IN'!$G$22*(1+'Batt IN'!$F$30)/12</f>
        <v>2500</v>
      </c>
      <c r="AE41" s="33">
        <f t="shared" si="4"/>
        <v>30366.783333333333</v>
      </c>
      <c r="AF41" s="33">
        <f>IF('PV IN'!$F$4="Battery Only",0,AE41*'Batt IN'!$E$29)</f>
        <v>25811.765833333331</v>
      </c>
      <c r="AG41" s="33">
        <f>PVCalcs!L41</f>
        <v>25811.765833333331</v>
      </c>
      <c r="AH41" s="33">
        <f t="shared" si="5"/>
        <v>4555.0175000000017</v>
      </c>
      <c r="AI41" s="33"/>
      <c r="AJ41" s="2">
        <f>IF(AND('Batt IN'!$D$53="Yes",$AL$1&gt;=1),IF($C41='Batt IN'!$H$54*12,-'Batt IN'!$F$54,0),0)</f>
        <v>0</v>
      </c>
      <c r="AK41" s="2">
        <f>IF(AND('Batt IN'!$D$53="Yes",$AL$1&gt;=2),IF($C41='Batt IN'!$H$55*12,-'Batt IN'!$F$55,0),0)</f>
        <v>0</v>
      </c>
      <c r="AL41" s="2">
        <f>IF(AND('Batt IN'!$D$53="Yes",$AL$1&gt;=3),IF($C41='Batt IN'!$H$56*12,-'Batt IN'!$F$56,0),0)</f>
        <v>0</v>
      </c>
      <c r="AM41" s="2">
        <f>IF(AND('Batt IN'!$D$53="Yes",$AL$1&gt;=4),IF($C41='Batt IN'!$H$57*12,-'Batt IN'!$F$57,0),0)</f>
        <v>0</v>
      </c>
      <c r="AN41" s="2">
        <f>IF(AND('Batt IN'!$D$53="Yes",$AL$1&gt;=5),IF($C41='Batt IN'!$H$58*12,-'Batt IN'!$F$58,0),0)</f>
        <v>0</v>
      </c>
      <c r="AO41" s="10">
        <f>IF(AND('Batt IN'!$D$44="YES",$C41&lt;='Batt IN'!$E$44*12),-'Batt IN'!$E$28*'Batt IN'!$E$42/12,0)</f>
        <v>0</v>
      </c>
      <c r="AP41" s="10">
        <f>IF(AND('Batt IN'!$D$46="YES",$C41&lt;='Batt IN'!$E$46*12),-'Batt IN'!$E$28*'Batt IN'!$E$45/12,0)</f>
        <v>0</v>
      </c>
      <c r="AR41" s="10">
        <f>BattLoan!M68</f>
        <v>0</v>
      </c>
      <c r="AS41" s="10">
        <f>'Batt IN'!$G$16*365/12*'Batt IN'!$E$16</f>
        <v>76.041666666666671</v>
      </c>
      <c r="AT41" s="10">
        <f>IF(AND('Batt IN'!$E$18&gt;0,'Batt IN'!$G$18&gt;0),'Batt IN'!$E$17*'Batt IN'!$G$17,0)</f>
        <v>119.44619999999999</v>
      </c>
      <c r="AU41" s="10">
        <f>IF(AND('Batt IN'!$E$20&gt;0,'Batt IN'!$G$20&gt;0),'Batt IN'!$E$19*'Batt IN'!$G$19,0)</f>
        <v>231</v>
      </c>
      <c r="AV41" s="10"/>
      <c r="AW41" s="10"/>
      <c r="AX41" s="10">
        <f>IF('Batt IN'!$E$11="Non-Taxable",Q41,0)</f>
        <v>11168.08</v>
      </c>
      <c r="AY41" s="10">
        <f>IF('Batt IN'!$E$11="Non-Taxable",'Batt IN'!$E$28/1000*'Batt IN'!$G$13*('Batt IN'!$E$13/12)*'Batt IN'!$E$12,0)</f>
        <v>244.42220833333334</v>
      </c>
      <c r="AZ41" s="10">
        <f>IF('Batt IN'!$E$11="Non-Taxable",$S41*'Batt IN'!$G$15*'Batt IN'!$E$28*'Batt IN'!$E$14/1000,0)</f>
        <v>0</v>
      </c>
      <c r="BA41" s="10">
        <f>IF('Batt IN'!$E$11="Non-Taxable",'Batt IN'!$E$21*'Batt IN'!$G$21/12,0)</f>
        <v>437.5</v>
      </c>
      <c r="BB41" s="10">
        <f>IF('Batt IN'!$E$11="Non-Taxable",'Batt IN'!$E$22*'Batt IN'!$G$22/12,0)</f>
        <v>1145.8333333333335</v>
      </c>
      <c r="BC41" s="10">
        <f>IF('Batt IN'!$E$11="Taxable",Q41,0)</f>
        <v>0</v>
      </c>
      <c r="BD41" s="10">
        <f>IF('Batt IN'!$E$11="Taxable",'Batt IN'!$E$28/1000*'Batt IN'!$G$13*('Batt IN'!$E$13/12)*'Batt IN'!$E$12,0)</f>
        <v>0</v>
      </c>
      <c r="BE41" s="10">
        <f>IF('Batt IN'!$E$11="Taxable",$S41*'Batt IN'!$G$15*'Batt IN'!$E$28*'Batt IN'!$E$14/1000,0)</f>
        <v>0</v>
      </c>
      <c r="BF41" s="10">
        <f>IF('Batt IN'!$E$11="Taxable",'Batt IN'!$E$21*'Batt IN'!$G$21/12,0)</f>
        <v>0</v>
      </c>
      <c r="BG41" s="10">
        <f>IF('Batt IN'!$E$11="Taxable",'Batt IN'!$E$22*'Batt IN'!$G$22/12,0)</f>
        <v>0</v>
      </c>
      <c r="BK41" s="10">
        <f>IF('Batt IN'!$N$18="Yes",-BattLoan!H69,-BattLoan!L69)</f>
        <v>0</v>
      </c>
      <c r="BL41" s="10">
        <f>IF('Batt IN'!$N$18="Yes",-BattLoan!F69,0)</f>
        <v>0</v>
      </c>
      <c r="BM41" s="10">
        <f>IF(AND('Batt IN'!$D$44="YES",$C41&lt;='Batt IN'!$E$44*12),0,-'Batt IN'!$E$28*'Batt IN'!$E$42/12)</f>
        <v>-83.333333333333329</v>
      </c>
      <c r="BN41" s="10">
        <f>IF(AND('Batt IN'!$D$46="YES",$C41&lt;='Batt IN'!$E$46*12),0,-'Batt IN'!$E$28*'Batt IN'!$E$45/12)</f>
        <v>-166.66666666666666</v>
      </c>
      <c r="BO41" s="2">
        <f>IF(AND('Batt IN'!$D$41="YES",BattCalcs!C41=ROUNDUP('Batt IN'!$H$41*12,)),-'Batt IN'!$E$41*'Batt IN'!$E$28,0)</f>
        <v>0</v>
      </c>
      <c r="BP41" s="2">
        <f>IF(AND('Batt IN'!$D$53="Yes",$AL$1&gt;=1),0,IF($C41='Batt IN'!$H$54*12,-'Batt IN'!$F$54,0))</f>
        <v>0</v>
      </c>
      <c r="BQ41" s="2">
        <f>IF(AND('Batt IN'!$D$53="Yes",$AL$1&gt;=2),0,IF($C41='Batt IN'!$H$55*12,-'Batt IN'!$F$55,0))</f>
        <v>0</v>
      </c>
      <c r="BR41" s="2">
        <f>IF(AND('Batt IN'!$D$53="Yes",$AL$1&gt;=3),0,IF($C41='Batt IN'!$H$56*12,-'Batt IN'!$F$56,0))</f>
        <v>0</v>
      </c>
      <c r="BS41" s="2">
        <f>IF(AND('Batt IN'!$D$53="Yes",$AL$1&gt;=4),0,IF($C41='Batt IN'!$H$57*12,-'Batt IN'!$F$57,0))</f>
        <v>0</v>
      </c>
      <c r="BT41" s="2">
        <f>IF(AND('Batt IN'!$D$53="Yes",$AL$1&gt;=5),0,IF($C41='Batt IN'!$H$58*12,-'Batt IN'!$F$58,0))</f>
        <v>0</v>
      </c>
      <c r="BU41" s="2">
        <f>-AH41*PVCalcs!F41</f>
        <v>-345.62614623867859</v>
      </c>
      <c r="BV41" s="2">
        <f>-'Batt IN'!$E$47</f>
        <v>-150</v>
      </c>
      <c r="BW41" s="2">
        <f>-'Batt IN'!$E$49</f>
        <v>-2250</v>
      </c>
      <c r="BX41" s="2">
        <f>IF('Batt IN'!$H$50="No",-(BC41*'Batt IN'!$E$50),-(BC41+BE41)*'Batt IN'!$E$50)</f>
        <v>0</v>
      </c>
      <c r="BY41" s="2">
        <f>IF(C41='Batt IN'!$H$43*12,-'Batt IN'!$E$43,0)</f>
        <v>0</v>
      </c>
      <c r="BZ41" s="38"/>
      <c r="CA41" s="10">
        <f t="shared" si="0"/>
        <v>13422.323408333334</v>
      </c>
      <c r="CB41" s="2">
        <f t="shared" si="6"/>
        <v>-2995.6261462386783</v>
      </c>
      <c r="CC41" s="45">
        <f t="shared" si="7"/>
        <v>10426.697262094654</v>
      </c>
      <c r="CD41" s="43"/>
      <c r="CE41" s="2">
        <f t="shared" si="8"/>
        <v>0</v>
      </c>
      <c r="CF41" s="2">
        <f t="shared" si="9"/>
        <v>-2995.6261462386783</v>
      </c>
      <c r="CG41" s="2"/>
      <c r="CH41" s="2">
        <f t="shared" si="10"/>
        <v>-2995.6261462386783</v>
      </c>
      <c r="CI41" s="45">
        <f>-CH41*'Batt IN'!$E$7</f>
        <v>629.08149071012247</v>
      </c>
      <c r="CJ41" s="48"/>
      <c r="CK41" s="45">
        <f>IF('Batt IN'!$F$4="PV Only",0,IF(C41&gt;'Batt IN'!$H$43*12,0,CC41+CI41))</f>
        <v>0</v>
      </c>
      <c r="CM41" s="10">
        <f t="shared" si="11"/>
        <v>0</v>
      </c>
      <c r="CN41" s="2">
        <f>CK41/(1+('Batt IN'!$G$8))^(C41)</f>
        <v>0</v>
      </c>
      <c r="CO41" s="2">
        <f>IF(C41&lt;='Batt IN'!$O$30*12,CN41+CO40,NA())</f>
        <v>0</v>
      </c>
      <c r="CQ41" s="2">
        <f>CK41/((1+('Batt IN'!$E$8/12))^BattCalcs!C41)</f>
        <v>0</v>
      </c>
      <c r="CS41" s="10">
        <f t="shared" si="12"/>
        <v>-2995.6261462386783</v>
      </c>
      <c r="CT41" s="10">
        <f t="shared" si="13"/>
        <v>0</v>
      </c>
      <c r="CU41" s="10">
        <f t="shared" si="14"/>
        <v>-2995.6261462386783</v>
      </c>
      <c r="CV41" s="10">
        <f t="shared" si="15"/>
        <v>-2995.6261462386783</v>
      </c>
      <c r="CW41" s="2">
        <f t="shared" si="1"/>
        <v>0</v>
      </c>
      <c r="CX41" s="2">
        <f>-(SUM(CV41:CW41)*'PV IN'!$E$8)</f>
        <v>629.08149071012247</v>
      </c>
      <c r="CY41" s="2">
        <f t="shared" si="16"/>
        <v>-2366.5446555285557</v>
      </c>
      <c r="CZ41" s="2">
        <f>IF(C41&lt;='Batt IN'!$H$43*12,CY41/(1+('PV IN'!$G$9))^(C41),0)</f>
        <v>-2036.0152737984267</v>
      </c>
      <c r="DA41" s="33">
        <f>IF(C41&lt;='Batt IN'!$H$43*12,AE41,0)</f>
        <v>30366.783333333333</v>
      </c>
    </row>
    <row r="42" spans="1:105" x14ac:dyDescent="0.25">
      <c r="A42">
        <f>IF(C42&lt;='Batt IN'!$H$43*12,C42,"")</f>
        <v>38</v>
      </c>
      <c r="C42">
        <v>38</v>
      </c>
      <c r="D42" s="21">
        <v>730</v>
      </c>
      <c r="E42" s="1">
        <f>1-'Batt IN'!$E$31</f>
        <v>2.0000000000000018E-2</v>
      </c>
      <c r="F42" s="12">
        <f>('Batt IN'!$E$33*365)/8760</f>
        <v>0</v>
      </c>
      <c r="G42" s="22">
        <f>'Batt IN'!$E$32/8760</f>
        <v>5.7077625570776253E-3</v>
      </c>
      <c r="H42" s="22">
        <f>'Batt IN'!$E$13/8760</f>
        <v>5.5936073059360729E-3</v>
      </c>
      <c r="I42" s="23">
        <f>IF(C42&lt;='Batt IN'!$G$14*12,'Batt IN'!$E$15/8760*'Batt IN'!$G$15,0)</f>
        <v>0</v>
      </c>
      <c r="J42" s="12">
        <f>Z42/'Batt IN'!$E$27/730</f>
        <v>2.4999999999999996E-3</v>
      </c>
      <c r="K42" s="23">
        <f>AA42/'Batt IN'!$E$27/730</f>
        <v>1.6027397260273972E-3</v>
      </c>
      <c r="L42" s="23">
        <f>AB42/'Batt IN'!$E$27/730</f>
        <v>2.0547945205479451E-4</v>
      </c>
      <c r="M42" s="23">
        <f>AC42/'Batt IN'!$E$27/730</f>
        <v>4.7945205479452057E-3</v>
      </c>
      <c r="N42" s="23">
        <f>AD42/'Batt IN'!$E$27/730</f>
        <v>3.4246575342465752E-3</v>
      </c>
      <c r="O42" s="12">
        <f t="shared" si="2"/>
        <v>4.3828767123287697E-2</v>
      </c>
      <c r="P42" s="21">
        <f t="shared" si="3"/>
        <v>698.005</v>
      </c>
      <c r="Q42" s="2">
        <f>IF('Batt IN'!$E$27*'Batt IN'!$E$24&lt;='Batt IN'!$E$28,(('Batt IN'!$E$23*'Batt IN'!$E$27*'Batt IN'!$E$24)/1000)*P42,(('Batt IN'!$E$23*'Batt IN'!$E$28*'Batt IN'!$E$24)/1000)*P42)</f>
        <v>11168.08</v>
      </c>
      <c r="R42" s="2"/>
      <c r="S42" s="77">
        <f>IF(C42&lt;='Batt IN'!$G$14*12,'Batt IN'!$E$15/12,0)</f>
        <v>0</v>
      </c>
      <c r="T42" s="77"/>
      <c r="U42" s="80">
        <f>'Batt IN'!$E$28*('Batt IN'!$G$24/24)*730*(1-O42)</f>
        <v>81433.916666666657</v>
      </c>
      <c r="V42" s="78">
        <f>U42*'Batt IN'!$F$30</f>
        <v>16286.783333333333</v>
      </c>
      <c r="W42" s="78">
        <f>'Batt IN'!$E$28*'Batt IN'!$G$32*('Batt IN'!$E$32/12)*(1+'Batt IN'!$F$30)</f>
        <v>1750.0000000000002</v>
      </c>
      <c r="X42" s="78">
        <f>'Batt IN'!$E$28*'Batt IN'!$G$13*('Batt IN'!$E$13/12)*(1+'Batt IN'!$F$30)</f>
        <v>3184.9999999999995</v>
      </c>
      <c r="Y42" s="33">
        <f>S42*'Batt IN'!$G$15*'Batt IN'!$E$28*(1+'Batt IN'!$F$30)</f>
        <v>0</v>
      </c>
      <c r="Z42" s="33">
        <f>'Batt IN'!$G$16*365/12*(1+'Batt IN'!$F$30)</f>
        <v>1824.9999999999998</v>
      </c>
      <c r="AA42" s="33">
        <f>'Batt IN'!$G$17*'Batt IN'!$E$18*'Batt IN'!$G$18/12*(1+'Batt IN'!$F$30)</f>
        <v>1170</v>
      </c>
      <c r="AB42" s="33">
        <f>'Batt IN'!$G$19*'Batt IN'!$E$20*'Batt IN'!$G$20/12*(1+'Batt IN'!$F$30)</f>
        <v>150</v>
      </c>
      <c r="AC42" s="33">
        <f>'Batt IN'!$G$21*(1+'Batt IN'!$F$30)/12</f>
        <v>3500</v>
      </c>
      <c r="AD42" s="33">
        <f>'Batt IN'!$G$22*(1+'Batt IN'!$F$30)/12</f>
        <v>2500</v>
      </c>
      <c r="AE42" s="33">
        <f t="shared" si="4"/>
        <v>30366.783333333333</v>
      </c>
      <c r="AF42" s="33">
        <f>IF('PV IN'!$F$4="Battery Only",0,AE42*'Batt IN'!$E$29)</f>
        <v>25811.765833333331</v>
      </c>
      <c r="AG42" s="33">
        <f>PVCalcs!L42</f>
        <v>25811.765833333331</v>
      </c>
      <c r="AH42" s="33">
        <f t="shared" si="5"/>
        <v>4555.0175000000017</v>
      </c>
      <c r="AI42" s="33"/>
      <c r="AJ42" s="2">
        <f>IF(AND('Batt IN'!$D$53="Yes",$AL$1&gt;=1),IF($C42='Batt IN'!$H$54*12,-'Batt IN'!$F$54,0),0)</f>
        <v>0</v>
      </c>
      <c r="AK42" s="2">
        <f>IF(AND('Batt IN'!$D$53="Yes",$AL$1&gt;=2),IF($C42='Batt IN'!$H$55*12,-'Batt IN'!$F$55,0),0)</f>
        <v>0</v>
      </c>
      <c r="AL42" s="2">
        <f>IF(AND('Batt IN'!$D$53="Yes",$AL$1&gt;=3),IF($C42='Batt IN'!$H$56*12,-'Batt IN'!$F$56,0),0)</f>
        <v>0</v>
      </c>
      <c r="AM42" s="2">
        <f>IF(AND('Batt IN'!$D$53="Yes",$AL$1&gt;=4),IF($C42='Batt IN'!$H$57*12,-'Batt IN'!$F$57,0),0)</f>
        <v>0</v>
      </c>
      <c r="AN42" s="2">
        <f>IF(AND('Batt IN'!$D$53="Yes",$AL$1&gt;=5),IF($C42='Batt IN'!$H$58*12,-'Batt IN'!$F$58,0),0)</f>
        <v>0</v>
      </c>
      <c r="AO42" s="10">
        <f>IF(AND('Batt IN'!$D$44="YES",$C42&lt;='Batt IN'!$E$44*12),-'Batt IN'!$E$28*'Batt IN'!$E$42/12,0)</f>
        <v>0</v>
      </c>
      <c r="AP42" s="10">
        <f>IF(AND('Batt IN'!$D$46="YES",$C42&lt;='Batt IN'!$E$46*12),-'Batt IN'!$E$28*'Batt IN'!$E$45/12,0)</f>
        <v>0</v>
      </c>
      <c r="AR42" s="10">
        <f>BattLoan!M69</f>
        <v>0</v>
      </c>
      <c r="AS42" s="10">
        <f>'Batt IN'!$G$16*365/12*'Batt IN'!$E$16</f>
        <v>76.041666666666671</v>
      </c>
      <c r="AT42" s="10">
        <f>IF(AND('Batt IN'!$E$18&gt;0,'Batt IN'!$G$18&gt;0),'Batt IN'!$E$17*'Batt IN'!$G$17,0)</f>
        <v>119.44619999999999</v>
      </c>
      <c r="AU42" s="10">
        <f>IF(AND('Batt IN'!$E$20&gt;0,'Batt IN'!$G$20&gt;0),'Batt IN'!$E$19*'Batt IN'!$G$19,0)</f>
        <v>231</v>
      </c>
      <c r="AV42" s="10"/>
      <c r="AW42" s="10"/>
      <c r="AX42" s="10">
        <f>IF('Batt IN'!$E$11="Non-Taxable",Q42,0)</f>
        <v>11168.08</v>
      </c>
      <c r="AY42" s="10">
        <f>IF('Batt IN'!$E$11="Non-Taxable",'Batt IN'!$E$28/1000*'Batt IN'!$G$13*('Batt IN'!$E$13/12)*'Batt IN'!$E$12,0)</f>
        <v>244.42220833333334</v>
      </c>
      <c r="AZ42" s="10">
        <f>IF('Batt IN'!$E$11="Non-Taxable",$S42*'Batt IN'!$G$15*'Batt IN'!$E$28*'Batt IN'!$E$14/1000,0)</f>
        <v>0</v>
      </c>
      <c r="BA42" s="10">
        <f>IF('Batt IN'!$E$11="Non-Taxable",'Batt IN'!$E$21*'Batt IN'!$G$21/12,0)</f>
        <v>437.5</v>
      </c>
      <c r="BB42" s="10">
        <f>IF('Batt IN'!$E$11="Non-Taxable",'Batt IN'!$E$22*'Batt IN'!$G$22/12,0)</f>
        <v>1145.8333333333335</v>
      </c>
      <c r="BC42" s="10">
        <f>IF('Batt IN'!$E$11="Taxable",Q42,0)</f>
        <v>0</v>
      </c>
      <c r="BD42" s="10">
        <f>IF('Batt IN'!$E$11="Taxable",'Batt IN'!$E$28/1000*'Batt IN'!$G$13*('Batt IN'!$E$13/12)*'Batt IN'!$E$12,0)</f>
        <v>0</v>
      </c>
      <c r="BE42" s="10">
        <f>IF('Batt IN'!$E$11="Taxable",$S42*'Batt IN'!$G$15*'Batt IN'!$E$28*'Batt IN'!$E$14/1000,0)</f>
        <v>0</v>
      </c>
      <c r="BF42" s="10">
        <f>IF('Batt IN'!$E$11="Taxable",'Batt IN'!$E$21*'Batt IN'!$G$21/12,0)</f>
        <v>0</v>
      </c>
      <c r="BG42" s="10">
        <f>IF('Batt IN'!$E$11="Taxable",'Batt IN'!$E$22*'Batt IN'!$G$22/12,0)</f>
        <v>0</v>
      </c>
      <c r="BK42" s="10">
        <f>IF('Batt IN'!$N$18="Yes",-BattLoan!H70,-BattLoan!L70)</f>
        <v>0</v>
      </c>
      <c r="BL42" s="10">
        <f>IF('Batt IN'!$N$18="Yes",-BattLoan!F70,0)</f>
        <v>0</v>
      </c>
      <c r="BM42" s="10">
        <f>IF(AND('Batt IN'!$D$44="YES",$C42&lt;='Batt IN'!$E$44*12),0,-'Batt IN'!$E$28*'Batt IN'!$E$42/12)</f>
        <v>-83.333333333333329</v>
      </c>
      <c r="BN42" s="10">
        <f>IF(AND('Batt IN'!$D$46="YES",$C42&lt;='Batt IN'!$E$46*12),0,-'Batt IN'!$E$28*'Batt IN'!$E$45/12)</f>
        <v>-166.66666666666666</v>
      </c>
      <c r="BO42" s="2">
        <f>IF(AND('Batt IN'!$D$41="YES",BattCalcs!C42=ROUNDUP('Batt IN'!$H$41*12,)),-'Batt IN'!$E$41*'Batt IN'!$E$28,0)</f>
        <v>0</v>
      </c>
      <c r="BP42" s="2">
        <f>IF(AND('Batt IN'!$D$53="Yes",$AL$1&gt;=1),0,IF($C42='Batt IN'!$H$54*12,-'Batt IN'!$F$54,0))</f>
        <v>0</v>
      </c>
      <c r="BQ42" s="2">
        <f>IF(AND('Batt IN'!$D$53="Yes",$AL$1&gt;=2),0,IF($C42='Batt IN'!$H$55*12,-'Batt IN'!$F$55,0))</f>
        <v>0</v>
      </c>
      <c r="BR42" s="2">
        <f>IF(AND('Batt IN'!$D$53="Yes",$AL$1&gt;=3),0,IF($C42='Batt IN'!$H$56*12,-'Batt IN'!$F$56,0))</f>
        <v>0</v>
      </c>
      <c r="BS42" s="2">
        <f>IF(AND('Batt IN'!$D$53="Yes",$AL$1&gt;=4),0,IF($C42='Batt IN'!$H$57*12,-'Batt IN'!$F$57,0))</f>
        <v>0</v>
      </c>
      <c r="BT42" s="2">
        <f>IF(AND('Batt IN'!$D$53="Yes",$AL$1&gt;=5),0,IF($C42='Batt IN'!$H$58*12,-'Batt IN'!$F$58,0))</f>
        <v>0</v>
      </c>
      <c r="BU42" s="2">
        <f>-AH42*PVCalcs!F42</f>
        <v>-345.62614623867859</v>
      </c>
      <c r="BV42" s="2">
        <f>-'Batt IN'!$E$47</f>
        <v>-150</v>
      </c>
      <c r="BW42" s="2">
        <f>-'Batt IN'!$E$49</f>
        <v>-2250</v>
      </c>
      <c r="BX42" s="2">
        <f>IF('Batt IN'!$H$50="No",-(BC42*'Batt IN'!$E$50),-(BC42+BE42)*'Batt IN'!$E$50)</f>
        <v>0</v>
      </c>
      <c r="BY42" s="2">
        <f>IF(C42='Batt IN'!$H$43*12,-'Batt IN'!$E$43,0)</f>
        <v>0</v>
      </c>
      <c r="BZ42" s="38"/>
      <c r="CA42" s="10">
        <f t="shared" si="0"/>
        <v>13422.323408333334</v>
      </c>
      <c r="CB42" s="2">
        <f t="shared" si="6"/>
        <v>-2995.6261462386783</v>
      </c>
      <c r="CC42" s="45">
        <f t="shared" si="7"/>
        <v>10426.697262094654</v>
      </c>
      <c r="CD42" s="43"/>
      <c r="CE42" s="2">
        <f t="shared" si="8"/>
        <v>0</v>
      </c>
      <c r="CF42" s="2">
        <f t="shared" si="9"/>
        <v>-2995.6261462386783</v>
      </c>
      <c r="CG42" s="2"/>
      <c r="CH42" s="2">
        <f t="shared" si="10"/>
        <v>-2995.6261462386783</v>
      </c>
      <c r="CI42" s="45">
        <f>-CH42*'Batt IN'!$E$7</f>
        <v>629.08149071012247</v>
      </c>
      <c r="CJ42" s="48"/>
      <c r="CK42" s="45">
        <f>IF('Batt IN'!$F$4="PV Only",0,IF(C42&gt;'Batt IN'!$H$43*12,0,CC42+CI42))</f>
        <v>0</v>
      </c>
      <c r="CM42" s="10">
        <f t="shared" si="11"/>
        <v>0</v>
      </c>
      <c r="CN42" s="2">
        <f>CK42/(1+('Batt IN'!$G$8))^(C42)</f>
        <v>0</v>
      </c>
      <c r="CO42" s="2">
        <f>IF(C42&lt;='Batt IN'!$O$30*12,CN42+CO41,NA())</f>
        <v>0</v>
      </c>
      <c r="CQ42" s="2">
        <f>CK42/((1+('Batt IN'!$E$8/12))^BattCalcs!C42)</f>
        <v>0</v>
      </c>
      <c r="CS42" s="10">
        <f t="shared" si="12"/>
        <v>-2995.6261462386783</v>
      </c>
      <c r="CT42" s="10">
        <f t="shared" si="13"/>
        <v>0</v>
      </c>
      <c r="CU42" s="10">
        <f t="shared" si="14"/>
        <v>-2995.6261462386783</v>
      </c>
      <c r="CV42" s="10">
        <f t="shared" si="15"/>
        <v>-2995.6261462386783</v>
      </c>
      <c r="CW42" s="2">
        <f t="shared" si="1"/>
        <v>0</v>
      </c>
      <c r="CX42" s="2">
        <f>-(SUM(CV42:CW42)*'PV IN'!$E$8)</f>
        <v>629.08149071012247</v>
      </c>
      <c r="CY42" s="2">
        <f t="shared" si="16"/>
        <v>-2366.5446555285557</v>
      </c>
      <c r="CZ42" s="2">
        <f>IF(C42&lt;='Batt IN'!$H$43*12,CY42/(1+('PV IN'!$G$9))^(C42),0)</f>
        <v>-2027.7539531903467</v>
      </c>
      <c r="DA42" s="33">
        <f>IF(C42&lt;='Batt IN'!$H$43*12,AE42,0)</f>
        <v>30366.783333333333</v>
      </c>
    </row>
    <row r="43" spans="1:105" x14ac:dyDescent="0.25">
      <c r="A43">
        <f>IF(C43&lt;='Batt IN'!$H$43*12,C43,"")</f>
        <v>39</v>
      </c>
      <c r="C43">
        <v>39</v>
      </c>
      <c r="D43" s="21">
        <v>730</v>
      </c>
      <c r="E43" s="1">
        <f>1-'Batt IN'!$E$31</f>
        <v>2.0000000000000018E-2</v>
      </c>
      <c r="F43" s="12">
        <f>('Batt IN'!$E$33*365)/8760</f>
        <v>0</v>
      </c>
      <c r="G43" s="22">
        <f>'Batt IN'!$E$32/8760</f>
        <v>5.7077625570776253E-3</v>
      </c>
      <c r="H43" s="22">
        <f>'Batt IN'!$E$13/8760</f>
        <v>5.5936073059360729E-3</v>
      </c>
      <c r="I43" s="23">
        <f>IF(C43&lt;='Batt IN'!$G$14*12,'Batt IN'!$E$15/8760*'Batt IN'!$G$15,0)</f>
        <v>0</v>
      </c>
      <c r="J43" s="12">
        <f>Z43/'Batt IN'!$E$27/730</f>
        <v>2.4999999999999996E-3</v>
      </c>
      <c r="K43" s="23">
        <f>AA43/'Batt IN'!$E$27/730</f>
        <v>1.6027397260273972E-3</v>
      </c>
      <c r="L43" s="23">
        <f>AB43/'Batt IN'!$E$27/730</f>
        <v>2.0547945205479451E-4</v>
      </c>
      <c r="M43" s="23">
        <f>AC43/'Batt IN'!$E$27/730</f>
        <v>4.7945205479452057E-3</v>
      </c>
      <c r="N43" s="23">
        <f>AD43/'Batt IN'!$E$27/730</f>
        <v>3.4246575342465752E-3</v>
      </c>
      <c r="O43" s="12">
        <f t="shared" si="2"/>
        <v>4.3828767123287697E-2</v>
      </c>
      <c r="P43" s="21">
        <f t="shared" si="3"/>
        <v>698.005</v>
      </c>
      <c r="Q43" s="2">
        <f>IF('Batt IN'!$E$27*'Batt IN'!$E$24&lt;='Batt IN'!$E$28,(('Batt IN'!$E$23*'Batt IN'!$E$27*'Batt IN'!$E$24)/1000)*P43,(('Batt IN'!$E$23*'Batt IN'!$E$28*'Batt IN'!$E$24)/1000)*P43)</f>
        <v>11168.08</v>
      </c>
      <c r="R43" s="2"/>
      <c r="S43" s="77">
        <f>IF(C43&lt;='Batt IN'!$G$14*12,'Batt IN'!$E$15/12,0)</f>
        <v>0</v>
      </c>
      <c r="T43" s="77"/>
      <c r="U43" s="80">
        <f>'Batt IN'!$E$28*('Batt IN'!$G$24/24)*730*(1-O43)</f>
        <v>81433.916666666657</v>
      </c>
      <c r="V43" s="78">
        <f>U43*'Batt IN'!$F$30</f>
        <v>16286.783333333333</v>
      </c>
      <c r="W43" s="78">
        <f>'Batt IN'!$E$28*'Batt IN'!$G$32*('Batt IN'!$E$32/12)*(1+'Batt IN'!$F$30)</f>
        <v>1750.0000000000002</v>
      </c>
      <c r="X43" s="78">
        <f>'Batt IN'!$E$28*'Batt IN'!$G$13*('Batt IN'!$E$13/12)*(1+'Batt IN'!$F$30)</f>
        <v>3184.9999999999995</v>
      </c>
      <c r="Y43" s="33">
        <f>S43*'Batt IN'!$G$15*'Batt IN'!$E$28*(1+'Batt IN'!$F$30)</f>
        <v>0</v>
      </c>
      <c r="Z43" s="33">
        <f>'Batt IN'!$G$16*365/12*(1+'Batt IN'!$F$30)</f>
        <v>1824.9999999999998</v>
      </c>
      <c r="AA43" s="33">
        <f>'Batt IN'!$G$17*'Batt IN'!$E$18*'Batt IN'!$G$18/12*(1+'Batt IN'!$F$30)</f>
        <v>1170</v>
      </c>
      <c r="AB43" s="33">
        <f>'Batt IN'!$G$19*'Batt IN'!$E$20*'Batt IN'!$G$20/12*(1+'Batt IN'!$F$30)</f>
        <v>150</v>
      </c>
      <c r="AC43" s="33">
        <f>'Batt IN'!$G$21*(1+'Batt IN'!$F$30)/12</f>
        <v>3500</v>
      </c>
      <c r="AD43" s="33">
        <f>'Batt IN'!$G$22*(1+'Batt IN'!$F$30)/12</f>
        <v>2500</v>
      </c>
      <c r="AE43" s="33">
        <f t="shared" si="4"/>
        <v>30366.783333333333</v>
      </c>
      <c r="AF43" s="33">
        <f>IF('PV IN'!$F$4="Battery Only",0,AE43*'Batt IN'!$E$29)</f>
        <v>25811.765833333331</v>
      </c>
      <c r="AG43" s="33">
        <f>PVCalcs!L43</f>
        <v>25811.765833333331</v>
      </c>
      <c r="AH43" s="33">
        <f t="shared" si="5"/>
        <v>4555.0175000000017</v>
      </c>
      <c r="AI43" s="33"/>
      <c r="AJ43" s="2">
        <f>IF(AND('Batt IN'!$D$53="Yes",$AL$1&gt;=1),IF($C43='Batt IN'!$H$54*12,-'Batt IN'!$F$54,0),0)</f>
        <v>0</v>
      </c>
      <c r="AK43" s="2">
        <f>IF(AND('Batt IN'!$D$53="Yes",$AL$1&gt;=2),IF($C43='Batt IN'!$H$55*12,-'Batt IN'!$F$55,0),0)</f>
        <v>0</v>
      </c>
      <c r="AL43" s="2">
        <f>IF(AND('Batt IN'!$D$53="Yes",$AL$1&gt;=3),IF($C43='Batt IN'!$H$56*12,-'Batt IN'!$F$56,0),0)</f>
        <v>0</v>
      </c>
      <c r="AM43" s="2">
        <f>IF(AND('Batt IN'!$D$53="Yes",$AL$1&gt;=4),IF($C43='Batt IN'!$H$57*12,-'Batt IN'!$F$57,0),0)</f>
        <v>0</v>
      </c>
      <c r="AN43" s="2">
        <f>IF(AND('Batt IN'!$D$53="Yes",$AL$1&gt;=5),IF($C43='Batt IN'!$H$58*12,-'Batt IN'!$F$58,0),0)</f>
        <v>0</v>
      </c>
      <c r="AO43" s="10">
        <f>IF(AND('Batt IN'!$D$44="YES",$C43&lt;='Batt IN'!$E$44*12),-'Batt IN'!$E$28*'Batt IN'!$E$42/12,0)</f>
        <v>0</v>
      </c>
      <c r="AP43" s="10">
        <f>IF(AND('Batt IN'!$D$46="YES",$C43&lt;='Batt IN'!$E$46*12),-'Batt IN'!$E$28*'Batt IN'!$E$45/12,0)</f>
        <v>0</v>
      </c>
      <c r="AR43" s="10">
        <f>BattLoan!M70</f>
        <v>0</v>
      </c>
      <c r="AS43" s="10">
        <f>'Batt IN'!$G$16*365/12*'Batt IN'!$E$16</f>
        <v>76.041666666666671</v>
      </c>
      <c r="AT43" s="10">
        <f>IF(AND('Batt IN'!$E$18&gt;0,'Batt IN'!$G$18&gt;0),'Batt IN'!$E$17*'Batt IN'!$G$17,0)</f>
        <v>119.44619999999999</v>
      </c>
      <c r="AU43" s="10">
        <f>IF(AND('Batt IN'!$E$20&gt;0,'Batt IN'!$G$20&gt;0),'Batt IN'!$E$19*'Batt IN'!$G$19,0)</f>
        <v>231</v>
      </c>
      <c r="AV43" s="10"/>
      <c r="AW43" s="10"/>
      <c r="AX43" s="10">
        <f>IF('Batt IN'!$E$11="Non-Taxable",Q43,0)</f>
        <v>11168.08</v>
      </c>
      <c r="AY43" s="10">
        <f>IF('Batt IN'!$E$11="Non-Taxable",'Batt IN'!$E$28/1000*'Batt IN'!$G$13*('Batt IN'!$E$13/12)*'Batt IN'!$E$12,0)</f>
        <v>244.42220833333334</v>
      </c>
      <c r="AZ43" s="10">
        <f>IF('Batt IN'!$E$11="Non-Taxable",$S43*'Batt IN'!$G$15*'Batt IN'!$E$28*'Batt IN'!$E$14/1000,0)</f>
        <v>0</v>
      </c>
      <c r="BA43" s="10">
        <f>IF('Batt IN'!$E$11="Non-Taxable",'Batt IN'!$E$21*'Batt IN'!$G$21/12,0)</f>
        <v>437.5</v>
      </c>
      <c r="BB43" s="10">
        <f>IF('Batt IN'!$E$11="Non-Taxable",'Batt IN'!$E$22*'Batt IN'!$G$22/12,0)</f>
        <v>1145.8333333333335</v>
      </c>
      <c r="BC43" s="10">
        <f>IF('Batt IN'!$E$11="Taxable",Q43,0)</f>
        <v>0</v>
      </c>
      <c r="BD43" s="10">
        <f>IF('Batt IN'!$E$11="Taxable",'Batt IN'!$E$28/1000*'Batt IN'!$G$13*('Batt IN'!$E$13/12)*'Batt IN'!$E$12,0)</f>
        <v>0</v>
      </c>
      <c r="BE43" s="10">
        <f>IF('Batt IN'!$E$11="Taxable",$S43*'Batt IN'!$G$15*'Batt IN'!$E$28*'Batt IN'!$E$14/1000,0)</f>
        <v>0</v>
      </c>
      <c r="BF43" s="10">
        <f>IF('Batt IN'!$E$11="Taxable",'Batt IN'!$E$21*'Batt IN'!$G$21/12,0)</f>
        <v>0</v>
      </c>
      <c r="BG43" s="10">
        <f>IF('Batt IN'!$E$11="Taxable",'Batt IN'!$E$22*'Batt IN'!$G$22/12,0)</f>
        <v>0</v>
      </c>
      <c r="BK43" s="10">
        <f>IF('Batt IN'!$N$18="Yes",-BattLoan!H71,-BattLoan!L71)</f>
        <v>0</v>
      </c>
      <c r="BL43" s="10">
        <f>IF('Batt IN'!$N$18="Yes",-BattLoan!F71,0)</f>
        <v>0</v>
      </c>
      <c r="BM43" s="10">
        <f>IF(AND('Batt IN'!$D$44="YES",$C43&lt;='Batt IN'!$E$44*12),0,-'Batt IN'!$E$28*'Batt IN'!$E$42/12)</f>
        <v>-83.333333333333329</v>
      </c>
      <c r="BN43" s="10">
        <f>IF(AND('Batt IN'!$D$46="YES",$C43&lt;='Batt IN'!$E$46*12),0,-'Batt IN'!$E$28*'Batt IN'!$E$45/12)</f>
        <v>-166.66666666666666</v>
      </c>
      <c r="BO43" s="2">
        <f>IF(AND('Batt IN'!$D$41="YES",BattCalcs!C43=ROUNDUP('Batt IN'!$H$41*12,)),-'Batt IN'!$E$41*'Batt IN'!$E$28,0)</f>
        <v>0</v>
      </c>
      <c r="BP43" s="2">
        <f>IF(AND('Batt IN'!$D$53="Yes",$AL$1&gt;=1),0,IF($C43='Batt IN'!$H$54*12,-'Batt IN'!$F$54,0))</f>
        <v>0</v>
      </c>
      <c r="BQ43" s="2">
        <f>IF(AND('Batt IN'!$D$53="Yes",$AL$1&gt;=2),0,IF($C43='Batt IN'!$H$55*12,-'Batt IN'!$F$55,0))</f>
        <v>0</v>
      </c>
      <c r="BR43" s="2">
        <f>IF(AND('Batt IN'!$D$53="Yes",$AL$1&gt;=3),0,IF($C43='Batt IN'!$H$56*12,-'Batt IN'!$F$56,0))</f>
        <v>0</v>
      </c>
      <c r="BS43" s="2">
        <f>IF(AND('Batt IN'!$D$53="Yes",$AL$1&gt;=4),0,IF($C43='Batt IN'!$H$57*12,-'Batt IN'!$F$57,0))</f>
        <v>0</v>
      </c>
      <c r="BT43" s="2">
        <f>IF(AND('Batt IN'!$D$53="Yes",$AL$1&gt;=5),0,IF($C43='Batt IN'!$H$58*12,-'Batt IN'!$F$58,0))</f>
        <v>0</v>
      </c>
      <c r="BU43" s="2">
        <f>-AH43*PVCalcs!F43</f>
        <v>-345.62614623867859</v>
      </c>
      <c r="BV43" s="2">
        <f>-'Batt IN'!$E$47</f>
        <v>-150</v>
      </c>
      <c r="BW43" s="2">
        <f>-'Batt IN'!$E$49</f>
        <v>-2250</v>
      </c>
      <c r="BX43" s="2">
        <f>IF('Batt IN'!$H$50="No",-(BC43*'Batt IN'!$E$50),-(BC43+BE43)*'Batt IN'!$E$50)</f>
        <v>0</v>
      </c>
      <c r="BY43" s="2">
        <f>IF(C43='Batt IN'!$H$43*12,-'Batt IN'!$E$43,0)</f>
        <v>0</v>
      </c>
      <c r="BZ43" s="38"/>
      <c r="CA43" s="10">
        <f t="shared" si="0"/>
        <v>13422.323408333334</v>
      </c>
      <c r="CB43" s="2">
        <f t="shared" si="6"/>
        <v>-2995.6261462386783</v>
      </c>
      <c r="CC43" s="45">
        <f t="shared" si="7"/>
        <v>10426.697262094654</v>
      </c>
      <c r="CD43" s="43"/>
      <c r="CE43" s="2">
        <f t="shared" si="8"/>
        <v>0</v>
      </c>
      <c r="CF43" s="2">
        <f t="shared" si="9"/>
        <v>-2995.6261462386783</v>
      </c>
      <c r="CG43" s="2"/>
      <c r="CH43" s="2">
        <f t="shared" si="10"/>
        <v>-2995.6261462386783</v>
      </c>
      <c r="CI43" s="45">
        <f>-CH43*'Batt IN'!$E$7</f>
        <v>629.08149071012247</v>
      </c>
      <c r="CJ43" s="48"/>
      <c r="CK43" s="45">
        <f>IF('Batt IN'!$F$4="PV Only",0,IF(C43&gt;'Batt IN'!$H$43*12,0,CC43+CI43))</f>
        <v>0</v>
      </c>
      <c r="CM43" s="10">
        <f t="shared" si="11"/>
        <v>0</v>
      </c>
      <c r="CN43" s="2">
        <f>CK43/(1+('Batt IN'!$G$8))^(C43)</f>
        <v>0</v>
      </c>
      <c r="CO43" s="2">
        <f>IF(C43&lt;='Batt IN'!$O$30*12,CN43+CO42,NA())</f>
        <v>0</v>
      </c>
      <c r="CQ43" s="2">
        <f>CK43/((1+('Batt IN'!$E$8/12))^BattCalcs!C43)</f>
        <v>0</v>
      </c>
      <c r="CS43" s="10">
        <f t="shared" si="12"/>
        <v>-2995.6261462386783</v>
      </c>
      <c r="CT43" s="10">
        <f t="shared" si="13"/>
        <v>0</v>
      </c>
      <c r="CU43" s="10">
        <f t="shared" si="14"/>
        <v>-2995.6261462386783</v>
      </c>
      <c r="CV43" s="10">
        <f t="shared" si="15"/>
        <v>-2995.6261462386783</v>
      </c>
      <c r="CW43" s="2">
        <f t="shared" si="1"/>
        <v>0</v>
      </c>
      <c r="CX43" s="2">
        <f>-(SUM(CV43:CW43)*'PV IN'!$E$8)</f>
        <v>629.08149071012247</v>
      </c>
      <c r="CY43" s="2">
        <f t="shared" si="16"/>
        <v>-2366.5446555285557</v>
      </c>
      <c r="CZ43" s="2">
        <f>IF(C43&lt;='Batt IN'!$H$43*12,CY43/(1+('PV IN'!$G$9))^(C43),0)</f>
        <v>-2019.5261536560367</v>
      </c>
      <c r="DA43" s="33">
        <f>IF(C43&lt;='Batt IN'!$H$43*12,AE43,0)</f>
        <v>30366.783333333333</v>
      </c>
    </row>
    <row r="44" spans="1:105" x14ac:dyDescent="0.25">
      <c r="A44">
        <f>IF(C44&lt;='Batt IN'!$H$43*12,C44,"")</f>
        <v>40</v>
      </c>
      <c r="C44">
        <v>40</v>
      </c>
      <c r="D44" s="21">
        <v>730</v>
      </c>
      <c r="E44" s="1">
        <f>1-'Batt IN'!$E$31</f>
        <v>2.0000000000000018E-2</v>
      </c>
      <c r="F44" s="12">
        <f>('Batt IN'!$E$33*365)/8760</f>
        <v>0</v>
      </c>
      <c r="G44" s="22">
        <f>'Batt IN'!$E$32/8760</f>
        <v>5.7077625570776253E-3</v>
      </c>
      <c r="H44" s="22">
        <f>'Batt IN'!$E$13/8760</f>
        <v>5.5936073059360729E-3</v>
      </c>
      <c r="I44" s="23">
        <f>IF(C44&lt;='Batt IN'!$G$14*12,'Batt IN'!$E$15/8760*'Batt IN'!$G$15,0)</f>
        <v>0</v>
      </c>
      <c r="J44" s="12">
        <f>Z44/'Batt IN'!$E$27/730</f>
        <v>2.4999999999999996E-3</v>
      </c>
      <c r="K44" s="23">
        <f>AA44/'Batt IN'!$E$27/730</f>
        <v>1.6027397260273972E-3</v>
      </c>
      <c r="L44" s="23">
        <f>AB44/'Batt IN'!$E$27/730</f>
        <v>2.0547945205479451E-4</v>
      </c>
      <c r="M44" s="23">
        <f>AC44/'Batt IN'!$E$27/730</f>
        <v>4.7945205479452057E-3</v>
      </c>
      <c r="N44" s="23">
        <f>AD44/'Batt IN'!$E$27/730</f>
        <v>3.4246575342465752E-3</v>
      </c>
      <c r="O44" s="12">
        <f t="shared" si="2"/>
        <v>4.3828767123287697E-2</v>
      </c>
      <c r="P44" s="21">
        <f t="shared" si="3"/>
        <v>698.005</v>
      </c>
      <c r="Q44" s="2">
        <f>IF('Batt IN'!$E$27*'Batt IN'!$E$24&lt;='Batt IN'!$E$28,(('Batt IN'!$E$23*'Batt IN'!$E$27*'Batt IN'!$E$24)/1000)*P44,(('Batt IN'!$E$23*'Batt IN'!$E$28*'Batt IN'!$E$24)/1000)*P44)</f>
        <v>11168.08</v>
      </c>
      <c r="R44" s="2"/>
      <c r="S44" s="77">
        <f>IF(C44&lt;='Batt IN'!$G$14*12,'Batt IN'!$E$15/12,0)</f>
        <v>0</v>
      </c>
      <c r="T44" s="77"/>
      <c r="U44" s="80">
        <f>'Batt IN'!$E$28*('Batt IN'!$G$24/24)*730*(1-O44)</f>
        <v>81433.916666666657</v>
      </c>
      <c r="V44" s="78">
        <f>U44*'Batt IN'!$F$30</f>
        <v>16286.783333333333</v>
      </c>
      <c r="W44" s="78">
        <f>'Batt IN'!$E$28*'Batt IN'!$G$32*('Batt IN'!$E$32/12)*(1+'Batt IN'!$F$30)</f>
        <v>1750.0000000000002</v>
      </c>
      <c r="X44" s="78">
        <f>'Batt IN'!$E$28*'Batt IN'!$G$13*('Batt IN'!$E$13/12)*(1+'Batt IN'!$F$30)</f>
        <v>3184.9999999999995</v>
      </c>
      <c r="Y44" s="33">
        <f>S44*'Batt IN'!$G$15*'Batt IN'!$E$28*(1+'Batt IN'!$F$30)</f>
        <v>0</v>
      </c>
      <c r="Z44" s="33">
        <f>'Batt IN'!$G$16*365/12*(1+'Batt IN'!$F$30)</f>
        <v>1824.9999999999998</v>
      </c>
      <c r="AA44" s="33">
        <f>'Batt IN'!$G$17*'Batt IN'!$E$18*'Batt IN'!$G$18/12*(1+'Batt IN'!$F$30)</f>
        <v>1170</v>
      </c>
      <c r="AB44" s="33">
        <f>'Batt IN'!$G$19*'Batt IN'!$E$20*'Batt IN'!$G$20/12*(1+'Batt IN'!$F$30)</f>
        <v>150</v>
      </c>
      <c r="AC44" s="33">
        <f>'Batt IN'!$G$21*(1+'Batt IN'!$F$30)/12</f>
        <v>3500</v>
      </c>
      <c r="AD44" s="33">
        <f>'Batt IN'!$G$22*(1+'Batt IN'!$F$30)/12</f>
        <v>2500</v>
      </c>
      <c r="AE44" s="33">
        <f t="shared" si="4"/>
        <v>30366.783333333333</v>
      </c>
      <c r="AF44" s="33">
        <f>IF('PV IN'!$F$4="Battery Only",0,AE44*'Batt IN'!$E$29)</f>
        <v>25811.765833333331</v>
      </c>
      <c r="AG44" s="33">
        <f>PVCalcs!L44</f>
        <v>25811.765833333331</v>
      </c>
      <c r="AH44" s="33">
        <f t="shared" si="5"/>
        <v>4555.0175000000017</v>
      </c>
      <c r="AI44" s="33"/>
      <c r="AJ44" s="2">
        <f>IF(AND('Batt IN'!$D$53="Yes",$AL$1&gt;=1),IF($C44='Batt IN'!$H$54*12,-'Batt IN'!$F$54,0),0)</f>
        <v>0</v>
      </c>
      <c r="AK44" s="2">
        <f>IF(AND('Batt IN'!$D$53="Yes",$AL$1&gt;=2),IF($C44='Batt IN'!$H$55*12,-'Batt IN'!$F$55,0),0)</f>
        <v>0</v>
      </c>
      <c r="AL44" s="2">
        <f>IF(AND('Batt IN'!$D$53="Yes",$AL$1&gt;=3),IF($C44='Batt IN'!$H$56*12,-'Batt IN'!$F$56,0),0)</f>
        <v>0</v>
      </c>
      <c r="AM44" s="2">
        <f>IF(AND('Batt IN'!$D$53="Yes",$AL$1&gt;=4),IF($C44='Batt IN'!$H$57*12,-'Batt IN'!$F$57,0),0)</f>
        <v>0</v>
      </c>
      <c r="AN44" s="2">
        <f>IF(AND('Batt IN'!$D$53="Yes",$AL$1&gt;=5),IF($C44='Batt IN'!$H$58*12,-'Batt IN'!$F$58,0),0)</f>
        <v>0</v>
      </c>
      <c r="AO44" s="10">
        <f>IF(AND('Batt IN'!$D$44="YES",$C44&lt;='Batt IN'!$E$44*12),-'Batt IN'!$E$28*'Batt IN'!$E$42/12,0)</f>
        <v>0</v>
      </c>
      <c r="AP44" s="10">
        <f>IF(AND('Batt IN'!$D$46="YES",$C44&lt;='Batt IN'!$E$46*12),-'Batt IN'!$E$28*'Batt IN'!$E$45/12,0)</f>
        <v>0</v>
      </c>
      <c r="AR44" s="10">
        <f>BattLoan!M71</f>
        <v>0</v>
      </c>
      <c r="AS44" s="10">
        <f>'Batt IN'!$G$16*365/12*'Batt IN'!$E$16</f>
        <v>76.041666666666671</v>
      </c>
      <c r="AT44" s="10">
        <f>IF(AND('Batt IN'!$E$18&gt;0,'Batt IN'!$G$18&gt;0),'Batt IN'!$E$17*'Batt IN'!$G$17,0)</f>
        <v>119.44619999999999</v>
      </c>
      <c r="AU44" s="10">
        <f>IF(AND('Batt IN'!$E$20&gt;0,'Batt IN'!$G$20&gt;0),'Batt IN'!$E$19*'Batt IN'!$G$19,0)</f>
        <v>231</v>
      </c>
      <c r="AV44" s="10"/>
      <c r="AW44" s="10"/>
      <c r="AX44" s="10">
        <f>IF('Batt IN'!$E$11="Non-Taxable",Q44,0)</f>
        <v>11168.08</v>
      </c>
      <c r="AY44" s="10">
        <f>IF('Batt IN'!$E$11="Non-Taxable",'Batt IN'!$E$28/1000*'Batt IN'!$G$13*('Batt IN'!$E$13/12)*'Batt IN'!$E$12,0)</f>
        <v>244.42220833333334</v>
      </c>
      <c r="AZ44" s="10">
        <f>IF('Batt IN'!$E$11="Non-Taxable",$S44*'Batt IN'!$G$15*'Batt IN'!$E$28*'Batt IN'!$E$14/1000,0)</f>
        <v>0</v>
      </c>
      <c r="BA44" s="10">
        <f>IF('Batt IN'!$E$11="Non-Taxable",'Batt IN'!$E$21*'Batt IN'!$G$21/12,0)</f>
        <v>437.5</v>
      </c>
      <c r="BB44" s="10">
        <f>IF('Batt IN'!$E$11="Non-Taxable",'Batt IN'!$E$22*'Batt IN'!$G$22/12,0)</f>
        <v>1145.8333333333335</v>
      </c>
      <c r="BC44" s="10">
        <f>IF('Batt IN'!$E$11="Taxable",Q44,0)</f>
        <v>0</v>
      </c>
      <c r="BD44" s="10">
        <f>IF('Batt IN'!$E$11="Taxable",'Batt IN'!$E$28/1000*'Batt IN'!$G$13*('Batt IN'!$E$13/12)*'Batt IN'!$E$12,0)</f>
        <v>0</v>
      </c>
      <c r="BE44" s="10">
        <f>IF('Batt IN'!$E$11="Taxable",$S44*'Batt IN'!$G$15*'Batt IN'!$E$28*'Batt IN'!$E$14/1000,0)</f>
        <v>0</v>
      </c>
      <c r="BF44" s="10">
        <f>IF('Batt IN'!$E$11="Taxable",'Batt IN'!$E$21*'Batt IN'!$G$21/12,0)</f>
        <v>0</v>
      </c>
      <c r="BG44" s="10">
        <f>IF('Batt IN'!$E$11="Taxable",'Batt IN'!$E$22*'Batt IN'!$G$22/12,0)</f>
        <v>0</v>
      </c>
      <c r="BK44" s="10">
        <f>IF('Batt IN'!$N$18="Yes",-BattLoan!H72,-BattLoan!L72)</f>
        <v>0</v>
      </c>
      <c r="BL44" s="10">
        <f>IF('Batt IN'!$N$18="Yes",-BattLoan!F72,0)</f>
        <v>0</v>
      </c>
      <c r="BM44" s="10">
        <f>IF(AND('Batt IN'!$D$44="YES",$C44&lt;='Batt IN'!$E$44*12),0,-'Batt IN'!$E$28*'Batt IN'!$E$42/12)</f>
        <v>-83.333333333333329</v>
      </c>
      <c r="BN44" s="10">
        <f>IF(AND('Batt IN'!$D$46="YES",$C44&lt;='Batt IN'!$E$46*12),0,-'Batt IN'!$E$28*'Batt IN'!$E$45/12)</f>
        <v>-166.66666666666666</v>
      </c>
      <c r="BO44" s="2">
        <f>IF(AND('Batt IN'!$D$41="YES",BattCalcs!C44=ROUNDUP('Batt IN'!$H$41*12,)),-'Batt IN'!$E$41*'Batt IN'!$E$28,0)</f>
        <v>0</v>
      </c>
      <c r="BP44" s="2">
        <f>IF(AND('Batt IN'!$D$53="Yes",$AL$1&gt;=1),0,IF($C44='Batt IN'!$H$54*12,-'Batt IN'!$F$54,0))</f>
        <v>0</v>
      </c>
      <c r="BQ44" s="2">
        <f>IF(AND('Batt IN'!$D$53="Yes",$AL$1&gt;=2),0,IF($C44='Batt IN'!$H$55*12,-'Batt IN'!$F$55,0))</f>
        <v>0</v>
      </c>
      <c r="BR44" s="2">
        <f>IF(AND('Batt IN'!$D$53="Yes",$AL$1&gt;=3),0,IF($C44='Batt IN'!$H$56*12,-'Batt IN'!$F$56,0))</f>
        <v>0</v>
      </c>
      <c r="BS44" s="2">
        <f>IF(AND('Batt IN'!$D$53="Yes",$AL$1&gt;=4),0,IF($C44='Batt IN'!$H$57*12,-'Batt IN'!$F$57,0))</f>
        <v>0</v>
      </c>
      <c r="BT44" s="2">
        <f>IF(AND('Batt IN'!$D$53="Yes",$AL$1&gt;=5),0,IF($C44='Batt IN'!$H$58*12,-'Batt IN'!$F$58,0))</f>
        <v>0</v>
      </c>
      <c r="BU44" s="2">
        <f>-AH44*PVCalcs!F44</f>
        <v>-345.62614623867859</v>
      </c>
      <c r="BV44" s="2">
        <f>-'Batt IN'!$E$47</f>
        <v>-150</v>
      </c>
      <c r="BW44" s="2">
        <f>-'Batt IN'!$E$49</f>
        <v>-2250</v>
      </c>
      <c r="BX44" s="2">
        <f>IF('Batt IN'!$H$50="No",-(BC44*'Batt IN'!$E$50),-(BC44+BE44)*'Batt IN'!$E$50)</f>
        <v>0</v>
      </c>
      <c r="BY44" s="2">
        <f>IF(C44='Batt IN'!$H$43*12,-'Batt IN'!$E$43,0)</f>
        <v>0</v>
      </c>
      <c r="BZ44" s="38"/>
      <c r="CA44" s="10">
        <f t="shared" si="0"/>
        <v>13422.323408333334</v>
      </c>
      <c r="CB44" s="2">
        <f t="shared" si="6"/>
        <v>-2995.6261462386783</v>
      </c>
      <c r="CC44" s="45">
        <f t="shared" si="7"/>
        <v>10426.697262094654</v>
      </c>
      <c r="CD44" s="43"/>
      <c r="CE44" s="2">
        <f t="shared" si="8"/>
        <v>0</v>
      </c>
      <c r="CF44" s="2">
        <f t="shared" si="9"/>
        <v>-2995.6261462386783</v>
      </c>
      <c r="CG44" s="2"/>
      <c r="CH44" s="2">
        <f t="shared" si="10"/>
        <v>-2995.6261462386783</v>
      </c>
      <c r="CI44" s="45">
        <f>-CH44*'Batt IN'!$E$7</f>
        <v>629.08149071012247</v>
      </c>
      <c r="CJ44" s="48"/>
      <c r="CK44" s="45">
        <f>IF('Batt IN'!$F$4="PV Only",0,IF(C44&gt;'Batt IN'!$H$43*12,0,CC44+CI44))</f>
        <v>0</v>
      </c>
      <c r="CM44" s="10">
        <f t="shared" si="11"/>
        <v>0</v>
      </c>
      <c r="CN44" s="2">
        <f>CK44/(1+('Batt IN'!$G$8))^(C44)</f>
        <v>0</v>
      </c>
      <c r="CO44" s="2">
        <f>IF(C44&lt;='Batt IN'!$O$30*12,CN44+CO43,NA())</f>
        <v>0</v>
      </c>
      <c r="CQ44" s="2">
        <f>CK44/((1+('Batt IN'!$E$8/12))^BattCalcs!C44)</f>
        <v>0</v>
      </c>
      <c r="CS44" s="10">
        <f t="shared" si="12"/>
        <v>-2995.6261462386783</v>
      </c>
      <c r="CT44" s="10">
        <f t="shared" si="13"/>
        <v>0</v>
      </c>
      <c r="CU44" s="10">
        <f t="shared" si="14"/>
        <v>-2995.6261462386783</v>
      </c>
      <c r="CV44" s="10">
        <f t="shared" si="15"/>
        <v>-2995.6261462386783</v>
      </c>
      <c r="CW44" s="2">
        <f t="shared" si="1"/>
        <v>0</v>
      </c>
      <c r="CX44" s="2">
        <f>-(SUM(CV44:CW44)*'PV IN'!$E$8)</f>
        <v>629.08149071012247</v>
      </c>
      <c r="CY44" s="2">
        <f t="shared" si="16"/>
        <v>-2366.5446555285557</v>
      </c>
      <c r="CZ44" s="2">
        <f>IF(C44&lt;='Batt IN'!$H$43*12,CY44/(1+('PV IN'!$G$9))^(C44),0)</f>
        <v>-2011.331739180634</v>
      </c>
      <c r="DA44" s="33">
        <f>IF(C44&lt;='Batt IN'!$H$43*12,AE44,0)</f>
        <v>30366.783333333333</v>
      </c>
    </row>
    <row r="45" spans="1:105" x14ac:dyDescent="0.25">
      <c r="A45">
        <f>IF(C45&lt;='Batt IN'!$H$43*12,C45,"")</f>
        <v>41</v>
      </c>
      <c r="C45">
        <v>41</v>
      </c>
      <c r="D45" s="21">
        <v>730</v>
      </c>
      <c r="E45" s="1">
        <f>1-'Batt IN'!$E$31</f>
        <v>2.0000000000000018E-2</v>
      </c>
      <c r="F45" s="12">
        <f>('Batt IN'!$E$33*365)/8760</f>
        <v>0</v>
      </c>
      <c r="G45" s="22">
        <f>'Batt IN'!$E$32/8760</f>
        <v>5.7077625570776253E-3</v>
      </c>
      <c r="H45" s="22">
        <f>'Batt IN'!$E$13/8760</f>
        <v>5.5936073059360729E-3</v>
      </c>
      <c r="I45" s="23">
        <f>IF(C45&lt;='Batt IN'!$G$14*12,'Batt IN'!$E$15/8760*'Batt IN'!$G$15,0)</f>
        <v>0</v>
      </c>
      <c r="J45" s="12">
        <f>Z45/'Batt IN'!$E$27/730</f>
        <v>2.4999999999999996E-3</v>
      </c>
      <c r="K45" s="23">
        <f>AA45/'Batt IN'!$E$27/730</f>
        <v>1.6027397260273972E-3</v>
      </c>
      <c r="L45" s="23">
        <f>AB45/'Batt IN'!$E$27/730</f>
        <v>2.0547945205479451E-4</v>
      </c>
      <c r="M45" s="23">
        <f>AC45/'Batt IN'!$E$27/730</f>
        <v>4.7945205479452057E-3</v>
      </c>
      <c r="N45" s="23">
        <f>AD45/'Batt IN'!$E$27/730</f>
        <v>3.4246575342465752E-3</v>
      </c>
      <c r="O45" s="12">
        <f t="shared" si="2"/>
        <v>4.3828767123287697E-2</v>
      </c>
      <c r="P45" s="21">
        <f t="shared" si="3"/>
        <v>698.005</v>
      </c>
      <c r="Q45" s="2">
        <f>IF('Batt IN'!$E$27*'Batt IN'!$E$24&lt;='Batt IN'!$E$28,(('Batt IN'!$E$23*'Batt IN'!$E$27*'Batt IN'!$E$24)/1000)*P45,(('Batt IN'!$E$23*'Batt IN'!$E$28*'Batt IN'!$E$24)/1000)*P45)</f>
        <v>11168.08</v>
      </c>
      <c r="R45" s="2"/>
      <c r="S45" s="77">
        <f>IF(C45&lt;='Batt IN'!$G$14*12,'Batt IN'!$E$15/12,0)</f>
        <v>0</v>
      </c>
      <c r="T45" s="77"/>
      <c r="U45" s="80">
        <f>'Batt IN'!$E$28*('Batt IN'!$G$24/24)*730*(1-O45)</f>
        <v>81433.916666666657</v>
      </c>
      <c r="V45" s="78">
        <f>U45*'Batt IN'!$F$30</f>
        <v>16286.783333333333</v>
      </c>
      <c r="W45" s="78">
        <f>'Batt IN'!$E$28*'Batt IN'!$G$32*('Batt IN'!$E$32/12)*(1+'Batt IN'!$F$30)</f>
        <v>1750.0000000000002</v>
      </c>
      <c r="X45" s="78">
        <f>'Batt IN'!$E$28*'Batt IN'!$G$13*('Batt IN'!$E$13/12)*(1+'Batt IN'!$F$30)</f>
        <v>3184.9999999999995</v>
      </c>
      <c r="Y45" s="33">
        <f>S45*'Batt IN'!$G$15*'Batt IN'!$E$28*(1+'Batt IN'!$F$30)</f>
        <v>0</v>
      </c>
      <c r="Z45" s="33">
        <f>'Batt IN'!$G$16*365/12*(1+'Batt IN'!$F$30)</f>
        <v>1824.9999999999998</v>
      </c>
      <c r="AA45" s="33">
        <f>'Batt IN'!$G$17*'Batt IN'!$E$18*'Batt IN'!$G$18/12*(1+'Batt IN'!$F$30)</f>
        <v>1170</v>
      </c>
      <c r="AB45" s="33">
        <f>'Batt IN'!$G$19*'Batt IN'!$E$20*'Batt IN'!$G$20/12*(1+'Batt IN'!$F$30)</f>
        <v>150</v>
      </c>
      <c r="AC45" s="33">
        <f>'Batt IN'!$G$21*(1+'Batt IN'!$F$30)/12</f>
        <v>3500</v>
      </c>
      <c r="AD45" s="33">
        <f>'Batt IN'!$G$22*(1+'Batt IN'!$F$30)/12</f>
        <v>2500</v>
      </c>
      <c r="AE45" s="33">
        <f t="shared" si="4"/>
        <v>30366.783333333333</v>
      </c>
      <c r="AF45" s="33">
        <f>IF('PV IN'!$F$4="Battery Only",0,AE45*'Batt IN'!$E$29)</f>
        <v>25811.765833333331</v>
      </c>
      <c r="AG45" s="33">
        <f>PVCalcs!L45</f>
        <v>25811.765833333331</v>
      </c>
      <c r="AH45" s="33">
        <f t="shared" si="5"/>
        <v>4555.0175000000017</v>
      </c>
      <c r="AI45" s="33"/>
      <c r="AJ45" s="2">
        <f>IF(AND('Batt IN'!$D$53="Yes",$AL$1&gt;=1),IF($C45='Batt IN'!$H$54*12,-'Batt IN'!$F$54,0),0)</f>
        <v>0</v>
      </c>
      <c r="AK45" s="2">
        <f>IF(AND('Batt IN'!$D$53="Yes",$AL$1&gt;=2),IF($C45='Batt IN'!$H$55*12,-'Batt IN'!$F$55,0),0)</f>
        <v>0</v>
      </c>
      <c r="AL45" s="2">
        <f>IF(AND('Batt IN'!$D$53="Yes",$AL$1&gt;=3),IF($C45='Batt IN'!$H$56*12,-'Batt IN'!$F$56,0),0)</f>
        <v>0</v>
      </c>
      <c r="AM45" s="2">
        <f>IF(AND('Batt IN'!$D$53="Yes",$AL$1&gt;=4),IF($C45='Batt IN'!$H$57*12,-'Batt IN'!$F$57,0),0)</f>
        <v>0</v>
      </c>
      <c r="AN45" s="2">
        <f>IF(AND('Batt IN'!$D$53="Yes",$AL$1&gt;=5),IF($C45='Batt IN'!$H$58*12,-'Batt IN'!$F$58,0),0)</f>
        <v>0</v>
      </c>
      <c r="AO45" s="10">
        <f>IF(AND('Batt IN'!$D$44="YES",$C45&lt;='Batt IN'!$E$44*12),-'Batt IN'!$E$28*'Batt IN'!$E$42/12,0)</f>
        <v>0</v>
      </c>
      <c r="AP45" s="10">
        <f>IF(AND('Batt IN'!$D$46="YES",$C45&lt;='Batt IN'!$E$46*12),-'Batt IN'!$E$28*'Batt IN'!$E$45/12,0)</f>
        <v>0</v>
      </c>
      <c r="AR45" s="10">
        <f>BattLoan!M72</f>
        <v>0</v>
      </c>
      <c r="AS45" s="10">
        <f>'Batt IN'!$G$16*365/12*'Batt IN'!$E$16</f>
        <v>76.041666666666671</v>
      </c>
      <c r="AT45" s="10">
        <f>IF(AND('Batt IN'!$E$18&gt;0,'Batt IN'!$G$18&gt;0),'Batt IN'!$E$17*'Batt IN'!$G$17,0)</f>
        <v>119.44619999999999</v>
      </c>
      <c r="AU45" s="10">
        <f>IF(AND('Batt IN'!$E$20&gt;0,'Batt IN'!$G$20&gt;0),'Batt IN'!$E$19*'Batt IN'!$G$19,0)</f>
        <v>231</v>
      </c>
      <c r="AV45" s="10"/>
      <c r="AW45" s="10"/>
      <c r="AX45" s="10">
        <f>IF('Batt IN'!$E$11="Non-Taxable",Q45,0)</f>
        <v>11168.08</v>
      </c>
      <c r="AY45" s="10">
        <f>IF('Batt IN'!$E$11="Non-Taxable",'Batt IN'!$E$28/1000*'Batt IN'!$G$13*('Batt IN'!$E$13/12)*'Batt IN'!$E$12,0)</f>
        <v>244.42220833333334</v>
      </c>
      <c r="AZ45" s="10">
        <f>IF('Batt IN'!$E$11="Non-Taxable",$S45*'Batt IN'!$G$15*'Batt IN'!$E$28*'Batt IN'!$E$14/1000,0)</f>
        <v>0</v>
      </c>
      <c r="BA45" s="10">
        <f>IF('Batt IN'!$E$11="Non-Taxable",'Batt IN'!$E$21*'Batt IN'!$G$21/12,0)</f>
        <v>437.5</v>
      </c>
      <c r="BB45" s="10">
        <f>IF('Batt IN'!$E$11="Non-Taxable",'Batt IN'!$E$22*'Batt IN'!$G$22/12,0)</f>
        <v>1145.8333333333335</v>
      </c>
      <c r="BC45" s="10">
        <f>IF('Batt IN'!$E$11="Taxable",Q45,0)</f>
        <v>0</v>
      </c>
      <c r="BD45" s="10">
        <f>IF('Batt IN'!$E$11="Taxable",'Batt IN'!$E$28/1000*'Batt IN'!$G$13*('Batt IN'!$E$13/12)*'Batt IN'!$E$12,0)</f>
        <v>0</v>
      </c>
      <c r="BE45" s="10">
        <f>IF('Batt IN'!$E$11="Taxable",$S45*'Batt IN'!$G$15*'Batt IN'!$E$28*'Batt IN'!$E$14/1000,0)</f>
        <v>0</v>
      </c>
      <c r="BF45" s="10">
        <f>IF('Batt IN'!$E$11="Taxable",'Batt IN'!$E$21*'Batt IN'!$G$21/12,0)</f>
        <v>0</v>
      </c>
      <c r="BG45" s="10">
        <f>IF('Batt IN'!$E$11="Taxable",'Batt IN'!$E$22*'Batt IN'!$G$22/12,0)</f>
        <v>0</v>
      </c>
      <c r="BK45" s="10">
        <f>IF('Batt IN'!$N$18="Yes",-BattLoan!H73,-BattLoan!L73)</f>
        <v>0</v>
      </c>
      <c r="BL45" s="10">
        <f>IF('Batt IN'!$N$18="Yes",-BattLoan!F73,0)</f>
        <v>0</v>
      </c>
      <c r="BM45" s="10">
        <f>IF(AND('Batt IN'!$D$44="YES",$C45&lt;='Batt IN'!$E$44*12),0,-'Batt IN'!$E$28*'Batt IN'!$E$42/12)</f>
        <v>-83.333333333333329</v>
      </c>
      <c r="BN45" s="10">
        <f>IF(AND('Batt IN'!$D$46="YES",$C45&lt;='Batt IN'!$E$46*12),0,-'Batt IN'!$E$28*'Batt IN'!$E$45/12)</f>
        <v>-166.66666666666666</v>
      </c>
      <c r="BO45" s="2">
        <f>IF(AND('Batt IN'!$D$41="YES",BattCalcs!C45=ROUNDUP('Batt IN'!$H$41*12,)),-'Batt IN'!$E$41*'Batt IN'!$E$28,0)</f>
        <v>0</v>
      </c>
      <c r="BP45" s="2">
        <f>IF(AND('Batt IN'!$D$53="Yes",$AL$1&gt;=1),0,IF($C45='Batt IN'!$H$54*12,-'Batt IN'!$F$54,0))</f>
        <v>0</v>
      </c>
      <c r="BQ45" s="2">
        <f>IF(AND('Batt IN'!$D$53="Yes",$AL$1&gt;=2),0,IF($C45='Batt IN'!$H$55*12,-'Batt IN'!$F$55,0))</f>
        <v>0</v>
      </c>
      <c r="BR45" s="2">
        <f>IF(AND('Batt IN'!$D$53="Yes",$AL$1&gt;=3),0,IF($C45='Batt IN'!$H$56*12,-'Batt IN'!$F$56,0))</f>
        <v>0</v>
      </c>
      <c r="BS45" s="2">
        <f>IF(AND('Batt IN'!$D$53="Yes",$AL$1&gt;=4),0,IF($C45='Batt IN'!$H$57*12,-'Batt IN'!$F$57,0))</f>
        <v>0</v>
      </c>
      <c r="BT45" s="2">
        <f>IF(AND('Batt IN'!$D$53="Yes",$AL$1&gt;=5),0,IF($C45='Batt IN'!$H$58*12,-'Batt IN'!$F$58,0))</f>
        <v>0</v>
      </c>
      <c r="BU45" s="2">
        <f>-AH45*PVCalcs!F45</f>
        <v>-345.62614623867859</v>
      </c>
      <c r="BV45" s="2">
        <f>-'Batt IN'!$E$47</f>
        <v>-150</v>
      </c>
      <c r="BW45" s="2">
        <f>-'Batt IN'!$E$49</f>
        <v>-2250</v>
      </c>
      <c r="BX45" s="2">
        <f>IF('Batt IN'!$H$50="No",-(BC45*'Batt IN'!$E$50),-(BC45+BE45)*'Batt IN'!$E$50)</f>
        <v>0</v>
      </c>
      <c r="BY45" s="2">
        <f>IF(C45='Batt IN'!$H$43*12,-'Batt IN'!$E$43,0)</f>
        <v>0</v>
      </c>
      <c r="BZ45" s="38"/>
      <c r="CA45" s="10">
        <f t="shared" si="0"/>
        <v>13422.323408333334</v>
      </c>
      <c r="CB45" s="2">
        <f t="shared" si="6"/>
        <v>-2995.6261462386783</v>
      </c>
      <c r="CC45" s="45">
        <f t="shared" si="7"/>
        <v>10426.697262094654</v>
      </c>
      <c r="CD45" s="43"/>
      <c r="CE45" s="2">
        <f t="shared" si="8"/>
        <v>0</v>
      </c>
      <c r="CF45" s="2">
        <f t="shared" si="9"/>
        <v>-2995.6261462386783</v>
      </c>
      <c r="CG45" s="2"/>
      <c r="CH45" s="2">
        <f t="shared" si="10"/>
        <v>-2995.6261462386783</v>
      </c>
      <c r="CI45" s="45">
        <f>-CH45*'Batt IN'!$E$7</f>
        <v>629.08149071012247</v>
      </c>
      <c r="CJ45" s="48"/>
      <c r="CK45" s="45">
        <f>IF('Batt IN'!$F$4="PV Only",0,IF(C45&gt;'Batt IN'!$H$43*12,0,CC45+CI45))</f>
        <v>0</v>
      </c>
      <c r="CM45" s="10">
        <f t="shared" si="11"/>
        <v>0</v>
      </c>
      <c r="CN45" s="2">
        <f>CK45/(1+('Batt IN'!$G$8))^(C45)</f>
        <v>0</v>
      </c>
      <c r="CO45" s="2">
        <f>IF(C45&lt;='Batt IN'!$O$30*12,CN45+CO44,NA())</f>
        <v>0</v>
      </c>
      <c r="CQ45" s="2">
        <f>CK45/((1+('Batt IN'!$E$8/12))^BattCalcs!C45)</f>
        <v>0</v>
      </c>
      <c r="CS45" s="10">
        <f t="shared" si="12"/>
        <v>-2995.6261462386783</v>
      </c>
      <c r="CT45" s="10">
        <f t="shared" si="13"/>
        <v>0</v>
      </c>
      <c r="CU45" s="10">
        <f t="shared" si="14"/>
        <v>-2995.6261462386783</v>
      </c>
      <c r="CV45" s="10">
        <f t="shared" si="15"/>
        <v>-2995.6261462386783</v>
      </c>
      <c r="CW45" s="2">
        <f t="shared" si="1"/>
        <v>0</v>
      </c>
      <c r="CX45" s="2">
        <f>-(SUM(CV45:CW45)*'PV IN'!$E$8)</f>
        <v>629.08149071012247</v>
      </c>
      <c r="CY45" s="2">
        <f t="shared" si="16"/>
        <v>-2366.5446555285557</v>
      </c>
      <c r="CZ45" s="2">
        <f>IF(C45&lt;='Batt IN'!$H$43*12,CY45/(1+('PV IN'!$G$9))^(C45),0)</f>
        <v>-2003.1705743011687</v>
      </c>
      <c r="DA45" s="33">
        <f>IF(C45&lt;='Batt IN'!$H$43*12,AE45,0)</f>
        <v>30366.783333333333</v>
      </c>
    </row>
    <row r="46" spans="1:105" x14ac:dyDescent="0.25">
      <c r="A46">
        <f>IF(C46&lt;='Batt IN'!$H$43*12,C46,"")</f>
        <v>42</v>
      </c>
      <c r="C46">
        <v>42</v>
      </c>
      <c r="D46" s="21">
        <v>730</v>
      </c>
      <c r="E46" s="1">
        <f>1-'Batt IN'!$E$31</f>
        <v>2.0000000000000018E-2</v>
      </c>
      <c r="F46" s="12">
        <f>('Batt IN'!$E$33*365)/8760</f>
        <v>0</v>
      </c>
      <c r="G46" s="22">
        <f>'Batt IN'!$E$32/8760</f>
        <v>5.7077625570776253E-3</v>
      </c>
      <c r="H46" s="22">
        <f>'Batt IN'!$E$13/8760</f>
        <v>5.5936073059360729E-3</v>
      </c>
      <c r="I46" s="23">
        <f>IF(C46&lt;='Batt IN'!$G$14*12,'Batt IN'!$E$15/8760*'Batt IN'!$G$15,0)</f>
        <v>0</v>
      </c>
      <c r="J46" s="12">
        <f>Z46/'Batt IN'!$E$27/730</f>
        <v>2.4999999999999996E-3</v>
      </c>
      <c r="K46" s="23">
        <f>AA46/'Batt IN'!$E$27/730</f>
        <v>1.6027397260273972E-3</v>
      </c>
      <c r="L46" s="23">
        <f>AB46/'Batt IN'!$E$27/730</f>
        <v>2.0547945205479451E-4</v>
      </c>
      <c r="M46" s="23">
        <f>AC46/'Batt IN'!$E$27/730</f>
        <v>4.7945205479452057E-3</v>
      </c>
      <c r="N46" s="23">
        <f>AD46/'Batt IN'!$E$27/730</f>
        <v>3.4246575342465752E-3</v>
      </c>
      <c r="O46" s="12">
        <f t="shared" si="2"/>
        <v>4.3828767123287697E-2</v>
      </c>
      <c r="P46" s="21">
        <f t="shared" si="3"/>
        <v>698.005</v>
      </c>
      <c r="Q46" s="2">
        <f>IF('Batt IN'!$E$27*'Batt IN'!$E$24&lt;='Batt IN'!$E$28,(('Batt IN'!$E$23*'Batt IN'!$E$27*'Batt IN'!$E$24)/1000)*P46,(('Batt IN'!$E$23*'Batt IN'!$E$28*'Batt IN'!$E$24)/1000)*P46)</f>
        <v>11168.08</v>
      </c>
      <c r="R46" s="2"/>
      <c r="S46" s="77">
        <f>IF(C46&lt;='Batt IN'!$G$14*12,'Batt IN'!$E$15/12,0)</f>
        <v>0</v>
      </c>
      <c r="T46" s="77"/>
      <c r="U46" s="80">
        <f>'Batt IN'!$E$28*('Batt IN'!$G$24/24)*730*(1-O46)</f>
        <v>81433.916666666657</v>
      </c>
      <c r="V46" s="78">
        <f>U46*'Batt IN'!$F$30</f>
        <v>16286.783333333333</v>
      </c>
      <c r="W46" s="78">
        <f>'Batt IN'!$E$28*'Batt IN'!$G$32*('Batt IN'!$E$32/12)*(1+'Batt IN'!$F$30)</f>
        <v>1750.0000000000002</v>
      </c>
      <c r="X46" s="78">
        <f>'Batt IN'!$E$28*'Batt IN'!$G$13*('Batt IN'!$E$13/12)*(1+'Batt IN'!$F$30)</f>
        <v>3184.9999999999995</v>
      </c>
      <c r="Y46" s="33">
        <f>S46*'Batt IN'!$G$15*'Batt IN'!$E$28*(1+'Batt IN'!$F$30)</f>
        <v>0</v>
      </c>
      <c r="Z46" s="33">
        <f>'Batt IN'!$G$16*365/12*(1+'Batt IN'!$F$30)</f>
        <v>1824.9999999999998</v>
      </c>
      <c r="AA46" s="33">
        <f>'Batt IN'!$G$17*'Batt IN'!$E$18*'Batt IN'!$G$18/12*(1+'Batt IN'!$F$30)</f>
        <v>1170</v>
      </c>
      <c r="AB46" s="33">
        <f>'Batt IN'!$G$19*'Batt IN'!$E$20*'Batt IN'!$G$20/12*(1+'Batt IN'!$F$30)</f>
        <v>150</v>
      </c>
      <c r="AC46" s="33">
        <f>'Batt IN'!$G$21*(1+'Batt IN'!$F$30)/12</f>
        <v>3500</v>
      </c>
      <c r="AD46" s="33">
        <f>'Batt IN'!$G$22*(1+'Batt IN'!$F$30)/12</f>
        <v>2500</v>
      </c>
      <c r="AE46" s="33">
        <f t="shared" si="4"/>
        <v>30366.783333333333</v>
      </c>
      <c r="AF46" s="33">
        <f>IF('PV IN'!$F$4="Battery Only",0,AE46*'Batt IN'!$E$29)</f>
        <v>25811.765833333331</v>
      </c>
      <c r="AG46" s="33">
        <f>PVCalcs!L46</f>
        <v>25811.765833333331</v>
      </c>
      <c r="AH46" s="33">
        <f t="shared" si="5"/>
        <v>4555.0175000000017</v>
      </c>
      <c r="AI46" s="33"/>
      <c r="AJ46" s="2">
        <f>IF(AND('Batt IN'!$D$53="Yes",$AL$1&gt;=1),IF($C46='Batt IN'!$H$54*12,-'Batt IN'!$F$54,0),0)</f>
        <v>0</v>
      </c>
      <c r="AK46" s="2">
        <f>IF(AND('Batt IN'!$D$53="Yes",$AL$1&gt;=2),IF($C46='Batt IN'!$H$55*12,-'Batt IN'!$F$55,0),0)</f>
        <v>0</v>
      </c>
      <c r="AL46" s="2">
        <f>IF(AND('Batt IN'!$D$53="Yes",$AL$1&gt;=3),IF($C46='Batt IN'!$H$56*12,-'Batt IN'!$F$56,0),0)</f>
        <v>0</v>
      </c>
      <c r="AM46" s="2">
        <f>IF(AND('Batt IN'!$D$53="Yes",$AL$1&gt;=4),IF($C46='Batt IN'!$H$57*12,-'Batt IN'!$F$57,0),0)</f>
        <v>0</v>
      </c>
      <c r="AN46" s="2">
        <f>IF(AND('Batt IN'!$D$53="Yes",$AL$1&gt;=5),IF($C46='Batt IN'!$H$58*12,-'Batt IN'!$F$58,0),0)</f>
        <v>0</v>
      </c>
      <c r="AO46" s="10">
        <f>IF(AND('Batt IN'!$D$44="YES",$C46&lt;='Batt IN'!$E$44*12),-'Batt IN'!$E$28*'Batt IN'!$E$42/12,0)</f>
        <v>0</v>
      </c>
      <c r="AP46" s="10">
        <f>IF(AND('Batt IN'!$D$46="YES",$C46&lt;='Batt IN'!$E$46*12),-'Batt IN'!$E$28*'Batt IN'!$E$45/12,0)</f>
        <v>0</v>
      </c>
      <c r="AR46" s="10">
        <f>BattLoan!M73</f>
        <v>0</v>
      </c>
      <c r="AS46" s="10">
        <f>'Batt IN'!$G$16*365/12*'Batt IN'!$E$16</f>
        <v>76.041666666666671</v>
      </c>
      <c r="AT46" s="10">
        <f>IF(AND('Batt IN'!$E$18&gt;0,'Batt IN'!$G$18&gt;0),'Batt IN'!$E$17*'Batt IN'!$G$17,0)</f>
        <v>119.44619999999999</v>
      </c>
      <c r="AU46" s="10">
        <f>IF(AND('Batt IN'!$E$20&gt;0,'Batt IN'!$G$20&gt;0),'Batt IN'!$E$19*'Batt IN'!$G$19,0)</f>
        <v>231</v>
      </c>
      <c r="AV46" s="10"/>
      <c r="AW46" s="10"/>
      <c r="AX46" s="10">
        <f>IF('Batt IN'!$E$11="Non-Taxable",Q46,0)</f>
        <v>11168.08</v>
      </c>
      <c r="AY46" s="10">
        <f>IF('Batt IN'!$E$11="Non-Taxable",'Batt IN'!$E$28/1000*'Batt IN'!$G$13*('Batt IN'!$E$13/12)*'Batt IN'!$E$12,0)</f>
        <v>244.42220833333334</v>
      </c>
      <c r="AZ46" s="10">
        <f>IF('Batt IN'!$E$11="Non-Taxable",$S46*'Batt IN'!$G$15*'Batt IN'!$E$28*'Batt IN'!$E$14/1000,0)</f>
        <v>0</v>
      </c>
      <c r="BA46" s="10">
        <f>IF('Batt IN'!$E$11="Non-Taxable",'Batt IN'!$E$21*'Batt IN'!$G$21/12,0)</f>
        <v>437.5</v>
      </c>
      <c r="BB46" s="10">
        <f>IF('Batt IN'!$E$11="Non-Taxable",'Batt IN'!$E$22*'Batt IN'!$G$22/12,0)</f>
        <v>1145.8333333333335</v>
      </c>
      <c r="BC46" s="10">
        <f>IF('Batt IN'!$E$11="Taxable",Q46,0)</f>
        <v>0</v>
      </c>
      <c r="BD46" s="10">
        <f>IF('Batt IN'!$E$11="Taxable",'Batt IN'!$E$28/1000*'Batt IN'!$G$13*('Batt IN'!$E$13/12)*'Batt IN'!$E$12,0)</f>
        <v>0</v>
      </c>
      <c r="BE46" s="10">
        <f>IF('Batt IN'!$E$11="Taxable",$S46*'Batt IN'!$G$15*'Batt IN'!$E$28*'Batt IN'!$E$14/1000,0)</f>
        <v>0</v>
      </c>
      <c r="BF46" s="10">
        <f>IF('Batt IN'!$E$11="Taxable",'Batt IN'!$E$21*'Batt IN'!$G$21/12,0)</f>
        <v>0</v>
      </c>
      <c r="BG46" s="10">
        <f>IF('Batt IN'!$E$11="Taxable",'Batt IN'!$E$22*'Batt IN'!$G$22/12,0)</f>
        <v>0</v>
      </c>
      <c r="BK46" s="10">
        <f>IF('Batt IN'!$N$18="Yes",-BattLoan!H74,-BattLoan!L74)</f>
        <v>0</v>
      </c>
      <c r="BL46" s="10">
        <f>IF('Batt IN'!$N$18="Yes",-BattLoan!F74,0)</f>
        <v>0</v>
      </c>
      <c r="BM46" s="10">
        <f>IF(AND('Batt IN'!$D$44="YES",$C46&lt;='Batt IN'!$E$44*12),0,-'Batt IN'!$E$28*'Batt IN'!$E$42/12)</f>
        <v>-83.333333333333329</v>
      </c>
      <c r="BN46" s="10">
        <f>IF(AND('Batt IN'!$D$46="YES",$C46&lt;='Batt IN'!$E$46*12),0,-'Batt IN'!$E$28*'Batt IN'!$E$45/12)</f>
        <v>-166.66666666666666</v>
      </c>
      <c r="BO46" s="2">
        <f>IF(AND('Batt IN'!$D$41="YES",BattCalcs!C46=ROUNDUP('Batt IN'!$H$41*12,)),-'Batt IN'!$E$41*'Batt IN'!$E$28,0)</f>
        <v>0</v>
      </c>
      <c r="BP46" s="2">
        <f>IF(AND('Batt IN'!$D$53="Yes",$AL$1&gt;=1),0,IF($C46='Batt IN'!$H$54*12,-'Batt IN'!$F$54,0))</f>
        <v>0</v>
      </c>
      <c r="BQ46" s="2">
        <f>IF(AND('Batt IN'!$D$53="Yes",$AL$1&gt;=2),0,IF($C46='Batt IN'!$H$55*12,-'Batt IN'!$F$55,0))</f>
        <v>0</v>
      </c>
      <c r="BR46" s="2">
        <f>IF(AND('Batt IN'!$D$53="Yes",$AL$1&gt;=3),0,IF($C46='Batt IN'!$H$56*12,-'Batt IN'!$F$56,0))</f>
        <v>0</v>
      </c>
      <c r="BS46" s="2">
        <f>IF(AND('Batt IN'!$D$53="Yes",$AL$1&gt;=4),0,IF($C46='Batt IN'!$H$57*12,-'Batt IN'!$F$57,0))</f>
        <v>0</v>
      </c>
      <c r="BT46" s="2">
        <f>IF(AND('Batt IN'!$D$53="Yes",$AL$1&gt;=5),0,IF($C46='Batt IN'!$H$58*12,-'Batt IN'!$F$58,0))</f>
        <v>0</v>
      </c>
      <c r="BU46" s="2">
        <f>-AH46*PVCalcs!F46</f>
        <v>-345.62614623867859</v>
      </c>
      <c r="BV46" s="2">
        <f>-'Batt IN'!$E$47</f>
        <v>-150</v>
      </c>
      <c r="BW46" s="2">
        <f>-'Batt IN'!$E$49</f>
        <v>-2250</v>
      </c>
      <c r="BX46" s="2">
        <f>IF('Batt IN'!$H$50="No",-(BC46*'Batt IN'!$E$50),-(BC46+BE46)*'Batt IN'!$E$50)</f>
        <v>0</v>
      </c>
      <c r="BY46" s="2">
        <f>IF(C46='Batt IN'!$H$43*12,-'Batt IN'!$E$43,0)</f>
        <v>0</v>
      </c>
      <c r="BZ46" s="38"/>
      <c r="CA46" s="10">
        <f t="shared" si="0"/>
        <v>13422.323408333334</v>
      </c>
      <c r="CB46" s="2">
        <f t="shared" si="6"/>
        <v>-2995.6261462386783</v>
      </c>
      <c r="CC46" s="45">
        <f t="shared" si="7"/>
        <v>10426.697262094654</v>
      </c>
      <c r="CD46" s="43"/>
      <c r="CE46" s="2">
        <f t="shared" si="8"/>
        <v>0</v>
      </c>
      <c r="CF46" s="2">
        <f t="shared" si="9"/>
        <v>-2995.6261462386783</v>
      </c>
      <c r="CG46" s="2"/>
      <c r="CH46" s="2">
        <f t="shared" si="10"/>
        <v>-2995.6261462386783</v>
      </c>
      <c r="CI46" s="45">
        <f>-CH46*'Batt IN'!$E$7</f>
        <v>629.08149071012247</v>
      </c>
      <c r="CJ46" s="48"/>
      <c r="CK46" s="45">
        <f>IF('Batt IN'!$F$4="PV Only",0,IF(C46&gt;'Batt IN'!$H$43*12,0,CC46+CI46))</f>
        <v>0</v>
      </c>
      <c r="CM46" s="10">
        <f t="shared" si="11"/>
        <v>0</v>
      </c>
      <c r="CN46" s="2">
        <f>CK46/(1+('Batt IN'!$G$8))^(C46)</f>
        <v>0</v>
      </c>
      <c r="CO46" s="2">
        <f>IF(C46&lt;='Batt IN'!$O$30*12,CN46+CO45,NA())</f>
        <v>0</v>
      </c>
      <c r="CQ46" s="2">
        <f>CK46/((1+('Batt IN'!$E$8/12))^BattCalcs!C46)</f>
        <v>0</v>
      </c>
      <c r="CS46" s="10">
        <f t="shared" si="12"/>
        <v>-2995.6261462386783</v>
      </c>
      <c r="CT46" s="10">
        <f t="shared" si="13"/>
        <v>0</v>
      </c>
      <c r="CU46" s="10">
        <f t="shared" si="14"/>
        <v>-2995.6261462386783</v>
      </c>
      <c r="CV46" s="10">
        <f t="shared" si="15"/>
        <v>-2995.6261462386783</v>
      </c>
      <c r="CW46" s="2">
        <f t="shared" si="1"/>
        <v>0</v>
      </c>
      <c r="CX46" s="2">
        <f>-(SUM(CV46:CW46)*'PV IN'!$E$8)</f>
        <v>629.08149071012247</v>
      </c>
      <c r="CY46" s="2">
        <f t="shared" si="16"/>
        <v>-2366.5446555285557</v>
      </c>
      <c r="CZ46" s="2">
        <f>IF(C46&lt;='Batt IN'!$H$43*12,CY46/(1+('PV IN'!$G$9))^(C46),0)</f>
        <v>-1995.0425241043254</v>
      </c>
      <c r="DA46" s="33">
        <f>IF(C46&lt;='Batt IN'!$H$43*12,AE46,0)</f>
        <v>30366.783333333333</v>
      </c>
    </row>
    <row r="47" spans="1:105" x14ac:dyDescent="0.25">
      <c r="A47">
        <f>IF(C47&lt;='Batt IN'!$H$43*12,C47,"")</f>
        <v>43</v>
      </c>
      <c r="C47">
        <v>43</v>
      </c>
      <c r="D47" s="21">
        <v>730</v>
      </c>
      <c r="E47" s="1">
        <f>1-'Batt IN'!$E$31</f>
        <v>2.0000000000000018E-2</v>
      </c>
      <c r="F47" s="12">
        <f>('Batt IN'!$E$33*365)/8760</f>
        <v>0</v>
      </c>
      <c r="G47" s="22">
        <f>'Batt IN'!$E$32/8760</f>
        <v>5.7077625570776253E-3</v>
      </c>
      <c r="H47" s="22">
        <f>'Batt IN'!$E$13/8760</f>
        <v>5.5936073059360729E-3</v>
      </c>
      <c r="I47" s="23">
        <f>IF(C47&lt;='Batt IN'!$G$14*12,'Batt IN'!$E$15/8760*'Batt IN'!$G$15,0)</f>
        <v>0</v>
      </c>
      <c r="J47" s="12">
        <f>Z47/'Batt IN'!$E$27/730</f>
        <v>2.4999999999999996E-3</v>
      </c>
      <c r="K47" s="23">
        <f>AA47/'Batt IN'!$E$27/730</f>
        <v>1.6027397260273972E-3</v>
      </c>
      <c r="L47" s="23">
        <f>AB47/'Batt IN'!$E$27/730</f>
        <v>2.0547945205479451E-4</v>
      </c>
      <c r="M47" s="23">
        <f>AC47/'Batt IN'!$E$27/730</f>
        <v>4.7945205479452057E-3</v>
      </c>
      <c r="N47" s="23">
        <f>AD47/'Batt IN'!$E$27/730</f>
        <v>3.4246575342465752E-3</v>
      </c>
      <c r="O47" s="12">
        <f t="shared" si="2"/>
        <v>4.3828767123287697E-2</v>
      </c>
      <c r="P47" s="21">
        <f t="shared" si="3"/>
        <v>698.005</v>
      </c>
      <c r="Q47" s="2">
        <f>IF('Batt IN'!$E$27*'Batt IN'!$E$24&lt;='Batt IN'!$E$28,(('Batt IN'!$E$23*'Batt IN'!$E$27*'Batt IN'!$E$24)/1000)*P47,(('Batt IN'!$E$23*'Batt IN'!$E$28*'Batt IN'!$E$24)/1000)*P47)</f>
        <v>11168.08</v>
      </c>
      <c r="R47" s="2"/>
      <c r="S47" s="77">
        <f>IF(C47&lt;='Batt IN'!$G$14*12,'Batt IN'!$E$15/12,0)</f>
        <v>0</v>
      </c>
      <c r="T47" s="77"/>
      <c r="U47" s="80">
        <f>'Batt IN'!$E$28*('Batt IN'!$G$24/24)*730*(1-O47)</f>
        <v>81433.916666666657</v>
      </c>
      <c r="V47" s="78">
        <f>U47*'Batt IN'!$F$30</f>
        <v>16286.783333333333</v>
      </c>
      <c r="W47" s="78">
        <f>'Batt IN'!$E$28*'Batt IN'!$G$32*('Batt IN'!$E$32/12)*(1+'Batt IN'!$F$30)</f>
        <v>1750.0000000000002</v>
      </c>
      <c r="X47" s="78">
        <f>'Batt IN'!$E$28*'Batt IN'!$G$13*('Batt IN'!$E$13/12)*(1+'Batt IN'!$F$30)</f>
        <v>3184.9999999999995</v>
      </c>
      <c r="Y47" s="33">
        <f>S47*'Batt IN'!$G$15*'Batt IN'!$E$28*(1+'Batt IN'!$F$30)</f>
        <v>0</v>
      </c>
      <c r="Z47" s="33">
        <f>'Batt IN'!$G$16*365/12*(1+'Batt IN'!$F$30)</f>
        <v>1824.9999999999998</v>
      </c>
      <c r="AA47" s="33">
        <f>'Batt IN'!$G$17*'Batt IN'!$E$18*'Batt IN'!$G$18/12*(1+'Batt IN'!$F$30)</f>
        <v>1170</v>
      </c>
      <c r="AB47" s="33">
        <f>'Batt IN'!$G$19*'Batt IN'!$E$20*'Batt IN'!$G$20/12*(1+'Batt IN'!$F$30)</f>
        <v>150</v>
      </c>
      <c r="AC47" s="33">
        <f>'Batt IN'!$G$21*(1+'Batt IN'!$F$30)/12</f>
        <v>3500</v>
      </c>
      <c r="AD47" s="33">
        <f>'Batt IN'!$G$22*(1+'Batt IN'!$F$30)/12</f>
        <v>2500</v>
      </c>
      <c r="AE47" s="33">
        <f t="shared" si="4"/>
        <v>30366.783333333333</v>
      </c>
      <c r="AF47" s="33">
        <f>IF('PV IN'!$F$4="Battery Only",0,AE47*'Batt IN'!$E$29)</f>
        <v>25811.765833333331</v>
      </c>
      <c r="AG47" s="33">
        <f>PVCalcs!L47</f>
        <v>25811.765833333331</v>
      </c>
      <c r="AH47" s="33">
        <f t="shared" si="5"/>
        <v>4555.0175000000017</v>
      </c>
      <c r="AI47" s="33"/>
      <c r="AJ47" s="2">
        <f>IF(AND('Batt IN'!$D$53="Yes",$AL$1&gt;=1),IF($C47='Batt IN'!$H$54*12,-'Batt IN'!$F$54,0),0)</f>
        <v>0</v>
      </c>
      <c r="AK47" s="2">
        <f>IF(AND('Batt IN'!$D$53="Yes",$AL$1&gt;=2),IF($C47='Batt IN'!$H$55*12,-'Batt IN'!$F$55,0),0)</f>
        <v>0</v>
      </c>
      <c r="AL47" s="2">
        <f>IF(AND('Batt IN'!$D$53="Yes",$AL$1&gt;=3),IF($C47='Batt IN'!$H$56*12,-'Batt IN'!$F$56,0),0)</f>
        <v>0</v>
      </c>
      <c r="AM47" s="2">
        <f>IF(AND('Batt IN'!$D$53="Yes",$AL$1&gt;=4),IF($C47='Batt IN'!$H$57*12,-'Batt IN'!$F$57,0),0)</f>
        <v>0</v>
      </c>
      <c r="AN47" s="2">
        <f>IF(AND('Batt IN'!$D$53="Yes",$AL$1&gt;=5),IF($C47='Batt IN'!$H$58*12,-'Batt IN'!$F$58,0),0)</f>
        <v>0</v>
      </c>
      <c r="AO47" s="10">
        <f>IF(AND('Batt IN'!$D$44="YES",$C47&lt;='Batt IN'!$E$44*12),-'Batt IN'!$E$28*'Batt IN'!$E$42/12,0)</f>
        <v>0</v>
      </c>
      <c r="AP47" s="10">
        <f>IF(AND('Batt IN'!$D$46="YES",$C47&lt;='Batt IN'!$E$46*12),-'Batt IN'!$E$28*'Batt IN'!$E$45/12,0)</f>
        <v>0</v>
      </c>
      <c r="AR47" s="10">
        <f>BattLoan!M74</f>
        <v>0</v>
      </c>
      <c r="AS47" s="10">
        <f>'Batt IN'!$G$16*365/12*'Batt IN'!$E$16</f>
        <v>76.041666666666671</v>
      </c>
      <c r="AT47" s="10">
        <f>IF(AND('Batt IN'!$E$18&gt;0,'Batt IN'!$G$18&gt;0),'Batt IN'!$E$17*'Batt IN'!$G$17,0)</f>
        <v>119.44619999999999</v>
      </c>
      <c r="AU47" s="10">
        <f>IF(AND('Batt IN'!$E$20&gt;0,'Batt IN'!$G$20&gt;0),'Batt IN'!$E$19*'Batt IN'!$G$19,0)</f>
        <v>231</v>
      </c>
      <c r="AV47" s="10"/>
      <c r="AW47" s="10"/>
      <c r="AX47" s="10">
        <f>IF('Batt IN'!$E$11="Non-Taxable",Q47,0)</f>
        <v>11168.08</v>
      </c>
      <c r="AY47" s="10">
        <f>IF('Batt IN'!$E$11="Non-Taxable",'Batt IN'!$E$28/1000*'Batt IN'!$G$13*('Batt IN'!$E$13/12)*'Batt IN'!$E$12,0)</f>
        <v>244.42220833333334</v>
      </c>
      <c r="AZ47" s="10">
        <f>IF('Batt IN'!$E$11="Non-Taxable",$S47*'Batt IN'!$G$15*'Batt IN'!$E$28*'Batt IN'!$E$14/1000,0)</f>
        <v>0</v>
      </c>
      <c r="BA47" s="10">
        <f>IF('Batt IN'!$E$11="Non-Taxable",'Batt IN'!$E$21*'Batt IN'!$G$21/12,0)</f>
        <v>437.5</v>
      </c>
      <c r="BB47" s="10">
        <f>IF('Batt IN'!$E$11="Non-Taxable",'Batt IN'!$E$22*'Batt IN'!$G$22/12,0)</f>
        <v>1145.8333333333335</v>
      </c>
      <c r="BC47" s="10">
        <f>IF('Batt IN'!$E$11="Taxable",Q47,0)</f>
        <v>0</v>
      </c>
      <c r="BD47" s="10">
        <f>IF('Batt IN'!$E$11="Taxable",'Batt IN'!$E$28/1000*'Batt IN'!$G$13*('Batt IN'!$E$13/12)*'Batt IN'!$E$12,0)</f>
        <v>0</v>
      </c>
      <c r="BE47" s="10">
        <f>IF('Batt IN'!$E$11="Taxable",$S47*'Batt IN'!$G$15*'Batt IN'!$E$28*'Batt IN'!$E$14/1000,0)</f>
        <v>0</v>
      </c>
      <c r="BF47" s="10">
        <f>IF('Batt IN'!$E$11="Taxable",'Batt IN'!$E$21*'Batt IN'!$G$21/12,0)</f>
        <v>0</v>
      </c>
      <c r="BG47" s="10">
        <f>IF('Batt IN'!$E$11="Taxable",'Batt IN'!$E$22*'Batt IN'!$G$22/12,0)</f>
        <v>0</v>
      </c>
      <c r="BK47" s="10">
        <f>IF('Batt IN'!$N$18="Yes",-BattLoan!H75,-BattLoan!L75)</f>
        <v>0</v>
      </c>
      <c r="BL47" s="10">
        <f>IF('Batt IN'!$N$18="Yes",-BattLoan!F75,0)</f>
        <v>0</v>
      </c>
      <c r="BM47" s="10">
        <f>IF(AND('Batt IN'!$D$44="YES",$C47&lt;='Batt IN'!$E$44*12),0,-'Batt IN'!$E$28*'Batt IN'!$E$42/12)</f>
        <v>-83.333333333333329</v>
      </c>
      <c r="BN47" s="10">
        <f>IF(AND('Batt IN'!$D$46="YES",$C47&lt;='Batt IN'!$E$46*12),0,-'Batt IN'!$E$28*'Batt IN'!$E$45/12)</f>
        <v>-166.66666666666666</v>
      </c>
      <c r="BO47" s="2">
        <f>IF(AND('Batt IN'!$D$41="YES",BattCalcs!C47=ROUNDUP('Batt IN'!$H$41*12,)),-'Batt IN'!$E$41*'Batt IN'!$E$28,0)</f>
        <v>0</v>
      </c>
      <c r="BP47" s="2">
        <f>IF(AND('Batt IN'!$D$53="Yes",$AL$1&gt;=1),0,IF($C47='Batt IN'!$H$54*12,-'Batt IN'!$F$54,0))</f>
        <v>0</v>
      </c>
      <c r="BQ47" s="2">
        <f>IF(AND('Batt IN'!$D$53="Yes",$AL$1&gt;=2),0,IF($C47='Batt IN'!$H$55*12,-'Batt IN'!$F$55,0))</f>
        <v>0</v>
      </c>
      <c r="BR47" s="2">
        <f>IF(AND('Batt IN'!$D$53="Yes",$AL$1&gt;=3),0,IF($C47='Batt IN'!$H$56*12,-'Batt IN'!$F$56,0))</f>
        <v>0</v>
      </c>
      <c r="BS47" s="2">
        <f>IF(AND('Batt IN'!$D$53="Yes",$AL$1&gt;=4),0,IF($C47='Batt IN'!$H$57*12,-'Batt IN'!$F$57,0))</f>
        <v>0</v>
      </c>
      <c r="BT47" s="2">
        <f>IF(AND('Batt IN'!$D$53="Yes",$AL$1&gt;=5),0,IF($C47='Batt IN'!$H$58*12,-'Batt IN'!$F$58,0))</f>
        <v>0</v>
      </c>
      <c r="BU47" s="2">
        <f>-AH47*PVCalcs!F47</f>
        <v>-345.62614623867859</v>
      </c>
      <c r="BV47" s="2">
        <f>-'Batt IN'!$E$47</f>
        <v>-150</v>
      </c>
      <c r="BW47" s="2">
        <f>-'Batt IN'!$E$49</f>
        <v>-2250</v>
      </c>
      <c r="BX47" s="2">
        <f>IF('Batt IN'!$H$50="No",-(BC47*'Batt IN'!$E$50),-(BC47+BE47)*'Batt IN'!$E$50)</f>
        <v>0</v>
      </c>
      <c r="BY47" s="2">
        <f>IF(C47='Batt IN'!$H$43*12,-'Batt IN'!$E$43,0)</f>
        <v>0</v>
      </c>
      <c r="BZ47" s="38"/>
      <c r="CA47" s="10">
        <f t="shared" si="0"/>
        <v>13422.323408333334</v>
      </c>
      <c r="CB47" s="2">
        <f t="shared" si="6"/>
        <v>-2995.6261462386783</v>
      </c>
      <c r="CC47" s="45">
        <f t="shared" si="7"/>
        <v>10426.697262094654</v>
      </c>
      <c r="CD47" s="43"/>
      <c r="CE47" s="2">
        <f t="shared" si="8"/>
        <v>0</v>
      </c>
      <c r="CF47" s="2">
        <f t="shared" si="9"/>
        <v>-2995.6261462386783</v>
      </c>
      <c r="CG47" s="2"/>
      <c r="CH47" s="2">
        <f t="shared" si="10"/>
        <v>-2995.6261462386783</v>
      </c>
      <c r="CI47" s="45">
        <f>-CH47*'Batt IN'!$E$7</f>
        <v>629.08149071012247</v>
      </c>
      <c r="CJ47" s="48"/>
      <c r="CK47" s="45">
        <f>IF('Batt IN'!$F$4="PV Only",0,IF(C47&gt;'Batt IN'!$H$43*12,0,CC47+CI47))</f>
        <v>0</v>
      </c>
      <c r="CM47" s="10">
        <f t="shared" si="11"/>
        <v>0</v>
      </c>
      <c r="CN47" s="2">
        <f>CK47/(1+('Batt IN'!$G$8))^(C47)</f>
        <v>0</v>
      </c>
      <c r="CO47" s="2">
        <f>IF(C47&lt;='Batt IN'!$O$30*12,CN47+CO46,NA())</f>
        <v>0</v>
      </c>
      <c r="CQ47" s="2">
        <f>CK47/((1+('Batt IN'!$E$8/12))^BattCalcs!C47)</f>
        <v>0</v>
      </c>
      <c r="CS47" s="10">
        <f t="shared" si="12"/>
        <v>-2995.6261462386783</v>
      </c>
      <c r="CT47" s="10">
        <f t="shared" si="13"/>
        <v>0</v>
      </c>
      <c r="CU47" s="10">
        <f t="shared" si="14"/>
        <v>-2995.6261462386783</v>
      </c>
      <c r="CV47" s="10">
        <f t="shared" si="15"/>
        <v>-2995.6261462386783</v>
      </c>
      <c r="CW47" s="2">
        <f t="shared" si="1"/>
        <v>0</v>
      </c>
      <c r="CX47" s="2">
        <f>-(SUM(CV47:CW47)*'PV IN'!$E$8)</f>
        <v>629.08149071012247</v>
      </c>
      <c r="CY47" s="2">
        <f t="shared" si="16"/>
        <v>-2366.5446555285557</v>
      </c>
      <c r="CZ47" s="2">
        <f>IF(C47&lt;='Batt IN'!$H$43*12,CY47/(1+('PV IN'!$G$9))^(C47),0)</f>
        <v>-1986.947454224211</v>
      </c>
      <c r="DA47" s="33">
        <f>IF(C47&lt;='Batt IN'!$H$43*12,AE47,0)</f>
        <v>30366.783333333333</v>
      </c>
    </row>
    <row r="48" spans="1:105" x14ac:dyDescent="0.25">
      <c r="A48">
        <f>IF(C48&lt;='Batt IN'!$H$43*12,C48,"")</f>
        <v>44</v>
      </c>
      <c r="C48">
        <v>44</v>
      </c>
      <c r="D48" s="21">
        <v>730</v>
      </c>
      <c r="E48" s="1">
        <f>1-'Batt IN'!$E$31</f>
        <v>2.0000000000000018E-2</v>
      </c>
      <c r="F48" s="12">
        <f>('Batt IN'!$E$33*365)/8760</f>
        <v>0</v>
      </c>
      <c r="G48" s="22">
        <f>'Batt IN'!$E$32/8760</f>
        <v>5.7077625570776253E-3</v>
      </c>
      <c r="H48" s="22">
        <f>'Batt IN'!$E$13/8760</f>
        <v>5.5936073059360729E-3</v>
      </c>
      <c r="I48" s="23">
        <f>IF(C48&lt;='Batt IN'!$G$14*12,'Batt IN'!$E$15/8760*'Batt IN'!$G$15,0)</f>
        <v>0</v>
      </c>
      <c r="J48" s="12">
        <f>Z48/'Batt IN'!$E$27/730</f>
        <v>2.4999999999999996E-3</v>
      </c>
      <c r="K48" s="23">
        <f>AA48/'Batt IN'!$E$27/730</f>
        <v>1.6027397260273972E-3</v>
      </c>
      <c r="L48" s="23">
        <f>AB48/'Batt IN'!$E$27/730</f>
        <v>2.0547945205479451E-4</v>
      </c>
      <c r="M48" s="23">
        <f>AC48/'Batt IN'!$E$27/730</f>
        <v>4.7945205479452057E-3</v>
      </c>
      <c r="N48" s="23">
        <f>AD48/'Batt IN'!$E$27/730</f>
        <v>3.4246575342465752E-3</v>
      </c>
      <c r="O48" s="12">
        <f t="shared" si="2"/>
        <v>4.3828767123287697E-2</v>
      </c>
      <c r="P48" s="21">
        <f t="shared" si="3"/>
        <v>698.005</v>
      </c>
      <c r="Q48" s="2">
        <f>IF('Batt IN'!$E$27*'Batt IN'!$E$24&lt;='Batt IN'!$E$28,(('Batt IN'!$E$23*'Batt IN'!$E$27*'Batt IN'!$E$24)/1000)*P48,(('Batt IN'!$E$23*'Batt IN'!$E$28*'Batt IN'!$E$24)/1000)*P48)</f>
        <v>11168.08</v>
      </c>
      <c r="R48" s="2"/>
      <c r="S48" s="77">
        <f>IF(C48&lt;='Batt IN'!$G$14*12,'Batt IN'!$E$15/12,0)</f>
        <v>0</v>
      </c>
      <c r="T48" s="77"/>
      <c r="U48" s="80">
        <f>'Batt IN'!$E$28*('Batt IN'!$G$24/24)*730*(1-O48)</f>
        <v>81433.916666666657</v>
      </c>
      <c r="V48" s="78">
        <f>U48*'Batt IN'!$F$30</f>
        <v>16286.783333333333</v>
      </c>
      <c r="W48" s="78">
        <f>'Batt IN'!$E$28*'Batt IN'!$G$32*('Batt IN'!$E$32/12)*(1+'Batt IN'!$F$30)</f>
        <v>1750.0000000000002</v>
      </c>
      <c r="X48" s="78">
        <f>'Batt IN'!$E$28*'Batt IN'!$G$13*('Batt IN'!$E$13/12)*(1+'Batt IN'!$F$30)</f>
        <v>3184.9999999999995</v>
      </c>
      <c r="Y48" s="33">
        <f>S48*'Batt IN'!$G$15*'Batt IN'!$E$28*(1+'Batt IN'!$F$30)</f>
        <v>0</v>
      </c>
      <c r="Z48" s="33">
        <f>'Batt IN'!$G$16*365/12*(1+'Batt IN'!$F$30)</f>
        <v>1824.9999999999998</v>
      </c>
      <c r="AA48" s="33">
        <f>'Batt IN'!$G$17*'Batt IN'!$E$18*'Batt IN'!$G$18/12*(1+'Batt IN'!$F$30)</f>
        <v>1170</v>
      </c>
      <c r="AB48" s="33">
        <f>'Batt IN'!$G$19*'Batt IN'!$E$20*'Batt IN'!$G$20/12*(1+'Batt IN'!$F$30)</f>
        <v>150</v>
      </c>
      <c r="AC48" s="33">
        <f>'Batt IN'!$G$21*(1+'Batt IN'!$F$30)/12</f>
        <v>3500</v>
      </c>
      <c r="AD48" s="33">
        <f>'Batt IN'!$G$22*(1+'Batt IN'!$F$30)/12</f>
        <v>2500</v>
      </c>
      <c r="AE48" s="33">
        <f t="shared" si="4"/>
        <v>30366.783333333333</v>
      </c>
      <c r="AF48" s="33">
        <f>IF('PV IN'!$F$4="Battery Only",0,AE48*'Batt IN'!$E$29)</f>
        <v>25811.765833333331</v>
      </c>
      <c r="AG48" s="33">
        <f>PVCalcs!L48</f>
        <v>25811.765833333331</v>
      </c>
      <c r="AH48" s="33">
        <f t="shared" si="5"/>
        <v>4555.0175000000017</v>
      </c>
      <c r="AI48" s="33"/>
      <c r="AJ48" s="2">
        <f>IF(AND('Batt IN'!$D$53="Yes",$AL$1&gt;=1),IF($C48='Batt IN'!$H$54*12,-'Batt IN'!$F$54,0),0)</f>
        <v>0</v>
      </c>
      <c r="AK48" s="2">
        <f>IF(AND('Batt IN'!$D$53="Yes",$AL$1&gt;=2),IF($C48='Batt IN'!$H$55*12,-'Batt IN'!$F$55,0),0)</f>
        <v>0</v>
      </c>
      <c r="AL48" s="2">
        <f>IF(AND('Batt IN'!$D$53="Yes",$AL$1&gt;=3),IF($C48='Batt IN'!$H$56*12,-'Batt IN'!$F$56,0),0)</f>
        <v>0</v>
      </c>
      <c r="AM48" s="2">
        <f>IF(AND('Batt IN'!$D$53="Yes",$AL$1&gt;=4),IF($C48='Batt IN'!$H$57*12,-'Batt IN'!$F$57,0),0)</f>
        <v>0</v>
      </c>
      <c r="AN48" s="2">
        <f>IF(AND('Batt IN'!$D$53="Yes",$AL$1&gt;=5),IF($C48='Batt IN'!$H$58*12,-'Batt IN'!$F$58,0),0)</f>
        <v>0</v>
      </c>
      <c r="AO48" s="10">
        <f>IF(AND('Batt IN'!$D$44="YES",$C48&lt;='Batt IN'!$E$44*12),-'Batt IN'!$E$28*'Batt IN'!$E$42/12,0)</f>
        <v>0</v>
      </c>
      <c r="AP48" s="10">
        <f>IF(AND('Batt IN'!$D$46="YES",$C48&lt;='Batt IN'!$E$46*12),-'Batt IN'!$E$28*'Batt IN'!$E$45/12,0)</f>
        <v>0</v>
      </c>
      <c r="AR48" s="10">
        <f>BattLoan!M75</f>
        <v>0</v>
      </c>
      <c r="AS48" s="10">
        <f>'Batt IN'!$G$16*365/12*'Batt IN'!$E$16</f>
        <v>76.041666666666671</v>
      </c>
      <c r="AT48" s="10">
        <f>IF(AND('Batt IN'!$E$18&gt;0,'Batt IN'!$G$18&gt;0),'Batt IN'!$E$17*'Batt IN'!$G$17,0)</f>
        <v>119.44619999999999</v>
      </c>
      <c r="AU48" s="10">
        <f>IF(AND('Batt IN'!$E$20&gt;0,'Batt IN'!$G$20&gt;0),'Batt IN'!$E$19*'Batt IN'!$G$19,0)</f>
        <v>231</v>
      </c>
      <c r="AV48" s="10"/>
      <c r="AW48" s="10"/>
      <c r="AX48" s="10">
        <f>IF('Batt IN'!$E$11="Non-Taxable",Q48,0)</f>
        <v>11168.08</v>
      </c>
      <c r="AY48" s="10">
        <f>IF('Batt IN'!$E$11="Non-Taxable",'Batt IN'!$E$28/1000*'Batt IN'!$G$13*('Batt IN'!$E$13/12)*'Batt IN'!$E$12,0)</f>
        <v>244.42220833333334</v>
      </c>
      <c r="AZ48" s="10">
        <f>IF('Batt IN'!$E$11="Non-Taxable",$S48*'Batt IN'!$G$15*'Batt IN'!$E$28*'Batt IN'!$E$14/1000,0)</f>
        <v>0</v>
      </c>
      <c r="BA48" s="10">
        <f>IF('Batt IN'!$E$11="Non-Taxable",'Batt IN'!$E$21*'Batt IN'!$G$21/12,0)</f>
        <v>437.5</v>
      </c>
      <c r="BB48" s="10">
        <f>IF('Batt IN'!$E$11="Non-Taxable",'Batt IN'!$E$22*'Batt IN'!$G$22/12,0)</f>
        <v>1145.8333333333335</v>
      </c>
      <c r="BC48" s="10">
        <f>IF('Batt IN'!$E$11="Taxable",Q48,0)</f>
        <v>0</v>
      </c>
      <c r="BD48" s="10">
        <f>IF('Batt IN'!$E$11="Taxable",'Batt IN'!$E$28/1000*'Batt IN'!$G$13*('Batt IN'!$E$13/12)*'Batt IN'!$E$12,0)</f>
        <v>0</v>
      </c>
      <c r="BE48" s="10">
        <f>IF('Batt IN'!$E$11="Taxable",$S48*'Batt IN'!$G$15*'Batt IN'!$E$28*'Batt IN'!$E$14/1000,0)</f>
        <v>0</v>
      </c>
      <c r="BF48" s="10">
        <f>IF('Batt IN'!$E$11="Taxable",'Batt IN'!$E$21*'Batt IN'!$G$21/12,0)</f>
        <v>0</v>
      </c>
      <c r="BG48" s="10">
        <f>IF('Batt IN'!$E$11="Taxable",'Batt IN'!$E$22*'Batt IN'!$G$22/12,0)</f>
        <v>0</v>
      </c>
      <c r="BK48" s="10">
        <f>IF('Batt IN'!$N$18="Yes",-BattLoan!H76,-BattLoan!L76)</f>
        <v>0</v>
      </c>
      <c r="BL48" s="10">
        <f>IF('Batt IN'!$N$18="Yes",-BattLoan!F76,0)</f>
        <v>0</v>
      </c>
      <c r="BM48" s="10">
        <f>IF(AND('Batt IN'!$D$44="YES",$C48&lt;='Batt IN'!$E$44*12),0,-'Batt IN'!$E$28*'Batt IN'!$E$42/12)</f>
        <v>-83.333333333333329</v>
      </c>
      <c r="BN48" s="10">
        <f>IF(AND('Batt IN'!$D$46="YES",$C48&lt;='Batt IN'!$E$46*12),0,-'Batt IN'!$E$28*'Batt IN'!$E$45/12)</f>
        <v>-166.66666666666666</v>
      </c>
      <c r="BO48" s="2">
        <f>IF(AND('Batt IN'!$D$41="YES",BattCalcs!C48=ROUNDUP('Batt IN'!$H$41*12,)),-'Batt IN'!$E$41*'Batt IN'!$E$28,0)</f>
        <v>0</v>
      </c>
      <c r="BP48" s="2">
        <f>IF(AND('Batt IN'!$D$53="Yes",$AL$1&gt;=1),0,IF($C48='Batt IN'!$H$54*12,-'Batt IN'!$F$54,0))</f>
        <v>0</v>
      </c>
      <c r="BQ48" s="2">
        <f>IF(AND('Batt IN'!$D$53="Yes",$AL$1&gt;=2),0,IF($C48='Batt IN'!$H$55*12,-'Batt IN'!$F$55,0))</f>
        <v>0</v>
      </c>
      <c r="BR48" s="2">
        <f>IF(AND('Batt IN'!$D$53="Yes",$AL$1&gt;=3),0,IF($C48='Batt IN'!$H$56*12,-'Batt IN'!$F$56,0))</f>
        <v>0</v>
      </c>
      <c r="BS48" s="2">
        <f>IF(AND('Batt IN'!$D$53="Yes",$AL$1&gt;=4),0,IF($C48='Batt IN'!$H$57*12,-'Batt IN'!$F$57,0))</f>
        <v>0</v>
      </c>
      <c r="BT48" s="2">
        <f>IF(AND('Batt IN'!$D$53="Yes",$AL$1&gt;=5),0,IF($C48='Batt IN'!$H$58*12,-'Batt IN'!$F$58,0))</f>
        <v>0</v>
      </c>
      <c r="BU48" s="2">
        <f>-AH48*PVCalcs!F48</f>
        <v>-345.62614623867859</v>
      </c>
      <c r="BV48" s="2">
        <f>-'Batt IN'!$E$47</f>
        <v>-150</v>
      </c>
      <c r="BW48" s="2">
        <f>-'Batt IN'!$E$49</f>
        <v>-2250</v>
      </c>
      <c r="BX48" s="2">
        <f>IF('Batt IN'!$H$50="No",-(BC48*'Batt IN'!$E$50),-(BC48+BE48)*'Batt IN'!$E$50)</f>
        <v>0</v>
      </c>
      <c r="BY48" s="2">
        <f>IF(C48='Batt IN'!$H$43*12,-'Batt IN'!$E$43,0)</f>
        <v>0</v>
      </c>
      <c r="BZ48" s="38"/>
      <c r="CA48" s="10">
        <f t="shared" si="0"/>
        <v>13422.323408333334</v>
      </c>
      <c r="CB48" s="2">
        <f t="shared" si="6"/>
        <v>-2995.6261462386783</v>
      </c>
      <c r="CC48" s="45">
        <f t="shared" si="7"/>
        <v>10426.697262094654</v>
      </c>
      <c r="CD48" s="43"/>
      <c r="CE48" s="2">
        <f t="shared" si="8"/>
        <v>0</v>
      </c>
      <c r="CF48" s="2">
        <f t="shared" si="9"/>
        <v>-2995.6261462386783</v>
      </c>
      <c r="CG48" s="2"/>
      <c r="CH48" s="2">
        <f t="shared" si="10"/>
        <v>-2995.6261462386783</v>
      </c>
      <c r="CI48" s="45">
        <f>-CH48*'Batt IN'!$E$7</f>
        <v>629.08149071012247</v>
      </c>
      <c r="CJ48" s="48"/>
      <c r="CK48" s="45">
        <f>IF('Batt IN'!$F$4="PV Only",0,IF(C48&gt;'Batt IN'!$H$43*12,0,CC48+CI48))</f>
        <v>0</v>
      </c>
      <c r="CM48" s="10">
        <f t="shared" si="11"/>
        <v>0</v>
      </c>
      <c r="CN48" s="2">
        <f>CK48/(1+('Batt IN'!$G$8))^(C48)</f>
        <v>0</v>
      </c>
      <c r="CO48" s="2">
        <f>IF(C48&lt;='Batt IN'!$O$30*12,CN48+CO47,NA())</f>
        <v>0</v>
      </c>
      <c r="CQ48" s="2">
        <f>CK48/((1+('Batt IN'!$E$8/12))^BattCalcs!C48)</f>
        <v>0</v>
      </c>
      <c r="CS48" s="10">
        <f t="shared" si="12"/>
        <v>-2995.6261462386783</v>
      </c>
      <c r="CT48" s="10">
        <f t="shared" si="13"/>
        <v>0</v>
      </c>
      <c r="CU48" s="10">
        <f t="shared" si="14"/>
        <v>-2995.6261462386783</v>
      </c>
      <c r="CV48" s="10">
        <f t="shared" si="15"/>
        <v>-2995.6261462386783</v>
      </c>
      <c r="CW48" s="2">
        <f t="shared" si="1"/>
        <v>0</v>
      </c>
      <c r="CX48" s="2">
        <f>-(SUM(CV48:CW48)*'PV IN'!$E$8)</f>
        <v>629.08149071012247</v>
      </c>
      <c r="CY48" s="2">
        <f t="shared" si="16"/>
        <v>-2366.5446555285557</v>
      </c>
      <c r="CZ48" s="2">
        <f>IF(C48&lt;='Batt IN'!$H$43*12,CY48/(1+('PV IN'!$G$9))^(C48),0)</f>
        <v>-1978.8852308401349</v>
      </c>
      <c r="DA48" s="33">
        <f>IF(C48&lt;='Batt IN'!$H$43*12,AE48,0)</f>
        <v>30366.783333333333</v>
      </c>
    </row>
    <row r="49" spans="1:105" x14ac:dyDescent="0.25">
      <c r="A49">
        <f>IF(C49&lt;='Batt IN'!$H$43*12,C49,"")</f>
        <v>45</v>
      </c>
      <c r="C49">
        <v>45</v>
      </c>
      <c r="D49" s="21">
        <v>730</v>
      </c>
      <c r="E49" s="1">
        <f>1-'Batt IN'!$E$31</f>
        <v>2.0000000000000018E-2</v>
      </c>
      <c r="F49" s="12">
        <f>('Batt IN'!$E$33*365)/8760</f>
        <v>0</v>
      </c>
      <c r="G49" s="22">
        <f>'Batt IN'!$E$32/8760</f>
        <v>5.7077625570776253E-3</v>
      </c>
      <c r="H49" s="22">
        <f>'Batt IN'!$E$13/8760</f>
        <v>5.5936073059360729E-3</v>
      </c>
      <c r="I49" s="23">
        <f>IF(C49&lt;='Batt IN'!$G$14*12,'Batt IN'!$E$15/8760*'Batt IN'!$G$15,0)</f>
        <v>0</v>
      </c>
      <c r="J49" s="12">
        <f>Z49/'Batt IN'!$E$27/730</f>
        <v>2.4999999999999996E-3</v>
      </c>
      <c r="K49" s="23">
        <f>AA49/'Batt IN'!$E$27/730</f>
        <v>1.6027397260273972E-3</v>
      </c>
      <c r="L49" s="23">
        <f>AB49/'Batt IN'!$E$27/730</f>
        <v>2.0547945205479451E-4</v>
      </c>
      <c r="M49" s="23">
        <f>AC49/'Batt IN'!$E$27/730</f>
        <v>4.7945205479452057E-3</v>
      </c>
      <c r="N49" s="23">
        <f>AD49/'Batt IN'!$E$27/730</f>
        <v>3.4246575342465752E-3</v>
      </c>
      <c r="O49" s="12">
        <f t="shared" si="2"/>
        <v>4.3828767123287697E-2</v>
      </c>
      <c r="P49" s="21">
        <f t="shared" si="3"/>
        <v>698.005</v>
      </c>
      <c r="Q49" s="2">
        <f>IF('Batt IN'!$E$27*'Batt IN'!$E$24&lt;='Batt IN'!$E$28,(('Batt IN'!$E$23*'Batt IN'!$E$27*'Batt IN'!$E$24)/1000)*P49,(('Batt IN'!$E$23*'Batt IN'!$E$28*'Batt IN'!$E$24)/1000)*P49)</f>
        <v>11168.08</v>
      </c>
      <c r="R49" s="2"/>
      <c r="S49" s="77">
        <f>IF(C49&lt;='Batt IN'!$G$14*12,'Batt IN'!$E$15/12,0)</f>
        <v>0</v>
      </c>
      <c r="T49" s="77"/>
      <c r="U49" s="80">
        <f>'Batt IN'!$E$28*('Batt IN'!$G$24/24)*730*(1-O49)</f>
        <v>81433.916666666657</v>
      </c>
      <c r="V49" s="78">
        <f>U49*'Batt IN'!$F$30</f>
        <v>16286.783333333333</v>
      </c>
      <c r="W49" s="78">
        <f>'Batt IN'!$E$28*'Batt IN'!$G$32*('Batt IN'!$E$32/12)*(1+'Batt IN'!$F$30)</f>
        <v>1750.0000000000002</v>
      </c>
      <c r="X49" s="78">
        <f>'Batt IN'!$E$28*'Batt IN'!$G$13*('Batt IN'!$E$13/12)*(1+'Batt IN'!$F$30)</f>
        <v>3184.9999999999995</v>
      </c>
      <c r="Y49" s="33">
        <f>S49*'Batt IN'!$G$15*'Batt IN'!$E$28*(1+'Batt IN'!$F$30)</f>
        <v>0</v>
      </c>
      <c r="Z49" s="33">
        <f>'Batt IN'!$G$16*365/12*(1+'Batt IN'!$F$30)</f>
        <v>1824.9999999999998</v>
      </c>
      <c r="AA49" s="33">
        <f>'Batt IN'!$G$17*'Batt IN'!$E$18*'Batt IN'!$G$18/12*(1+'Batt IN'!$F$30)</f>
        <v>1170</v>
      </c>
      <c r="AB49" s="33">
        <f>'Batt IN'!$G$19*'Batt IN'!$E$20*'Batt IN'!$G$20/12*(1+'Batt IN'!$F$30)</f>
        <v>150</v>
      </c>
      <c r="AC49" s="33">
        <f>'Batt IN'!$G$21*(1+'Batt IN'!$F$30)/12</f>
        <v>3500</v>
      </c>
      <c r="AD49" s="33">
        <f>'Batt IN'!$G$22*(1+'Batt IN'!$F$30)/12</f>
        <v>2500</v>
      </c>
      <c r="AE49" s="33">
        <f t="shared" si="4"/>
        <v>30366.783333333333</v>
      </c>
      <c r="AF49" s="33">
        <f>IF('PV IN'!$F$4="Battery Only",0,AE49*'Batt IN'!$E$29)</f>
        <v>25811.765833333331</v>
      </c>
      <c r="AG49" s="33">
        <f>PVCalcs!L49</f>
        <v>25811.765833333331</v>
      </c>
      <c r="AH49" s="33">
        <f t="shared" si="5"/>
        <v>4555.0175000000017</v>
      </c>
      <c r="AI49" s="33"/>
      <c r="AJ49" s="2">
        <f>IF(AND('Batt IN'!$D$53="Yes",$AL$1&gt;=1),IF($C49='Batt IN'!$H$54*12,-'Batt IN'!$F$54,0),0)</f>
        <v>0</v>
      </c>
      <c r="AK49" s="2">
        <f>IF(AND('Batt IN'!$D$53="Yes",$AL$1&gt;=2),IF($C49='Batt IN'!$H$55*12,-'Batt IN'!$F$55,0),0)</f>
        <v>0</v>
      </c>
      <c r="AL49" s="2">
        <f>IF(AND('Batt IN'!$D$53="Yes",$AL$1&gt;=3),IF($C49='Batt IN'!$H$56*12,-'Batt IN'!$F$56,0),0)</f>
        <v>0</v>
      </c>
      <c r="AM49" s="2">
        <f>IF(AND('Batt IN'!$D$53="Yes",$AL$1&gt;=4),IF($C49='Batt IN'!$H$57*12,-'Batt IN'!$F$57,0),0)</f>
        <v>0</v>
      </c>
      <c r="AN49" s="2">
        <f>IF(AND('Batt IN'!$D$53="Yes",$AL$1&gt;=5),IF($C49='Batt IN'!$H$58*12,-'Batt IN'!$F$58,0),0)</f>
        <v>0</v>
      </c>
      <c r="AO49" s="10">
        <f>IF(AND('Batt IN'!$D$44="YES",$C49&lt;='Batt IN'!$E$44*12),-'Batt IN'!$E$28*'Batt IN'!$E$42/12,0)</f>
        <v>0</v>
      </c>
      <c r="AP49" s="10">
        <f>IF(AND('Batt IN'!$D$46="YES",$C49&lt;='Batt IN'!$E$46*12),-'Batt IN'!$E$28*'Batt IN'!$E$45/12,0)</f>
        <v>0</v>
      </c>
      <c r="AR49" s="10">
        <f>BattLoan!M76</f>
        <v>0</v>
      </c>
      <c r="AS49" s="10">
        <f>'Batt IN'!$G$16*365/12*'Batt IN'!$E$16</f>
        <v>76.041666666666671</v>
      </c>
      <c r="AT49" s="10">
        <f>IF(AND('Batt IN'!$E$18&gt;0,'Batt IN'!$G$18&gt;0),'Batt IN'!$E$17*'Batt IN'!$G$17,0)</f>
        <v>119.44619999999999</v>
      </c>
      <c r="AU49" s="10">
        <f>IF(AND('Batt IN'!$E$20&gt;0,'Batt IN'!$G$20&gt;0),'Batt IN'!$E$19*'Batt IN'!$G$19,0)</f>
        <v>231</v>
      </c>
      <c r="AV49" s="10"/>
      <c r="AW49" s="10"/>
      <c r="AX49" s="10">
        <f>IF('Batt IN'!$E$11="Non-Taxable",Q49,0)</f>
        <v>11168.08</v>
      </c>
      <c r="AY49" s="10">
        <f>IF('Batt IN'!$E$11="Non-Taxable",'Batt IN'!$E$28/1000*'Batt IN'!$G$13*('Batt IN'!$E$13/12)*'Batt IN'!$E$12,0)</f>
        <v>244.42220833333334</v>
      </c>
      <c r="AZ49" s="10">
        <f>IF('Batt IN'!$E$11="Non-Taxable",$S49*'Batt IN'!$G$15*'Batt IN'!$E$28*'Batt IN'!$E$14/1000,0)</f>
        <v>0</v>
      </c>
      <c r="BA49" s="10">
        <f>IF('Batt IN'!$E$11="Non-Taxable",'Batt IN'!$E$21*'Batt IN'!$G$21/12,0)</f>
        <v>437.5</v>
      </c>
      <c r="BB49" s="10">
        <f>IF('Batt IN'!$E$11="Non-Taxable",'Batt IN'!$E$22*'Batt IN'!$G$22/12,0)</f>
        <v>1145.8333333333335</v>
      </c>
      <c r="BC49" s="10">
        <f>IF('Batt IN'!$E$11="Taxable",Q49,0)</f>
        <v>0</v>
      </c>
      <c r="BD49" s="10">
        <f>IF('Batt IN'!$E$11="Taxable",'Batt IN'!$E$28/1000*'Batt IN'!$G$13*('Batt IN'!$E$13/12)*'Batt IN'!$E$12,0)</f>
        <v>0</v>
      </c>
      <c r="BE49" s="10">
        <f>IF('Batt IN'!$E$11="Taxable",$S49*'Batt IN'!$G$15*'Batt IN'!$E$28*'Batt IN'!$E$14/1000,0)</f>
        <v>0</v>
      </c>
      <c r="BF49" s="10">
        <f>IF('Batt IN'!$E$11="Taxable",'Batt IN'!$E$21*'Batt IN'!$G$21/12,0)</f>
        <v>0</v>
      </c>
      <c r="BG49" s="10">
        <f>IF('Batt IN'!$E$11="Taxable",'Batt IN'!$E$22*'Batt IN'!$G$22/12,0)</f>
        <v>0</v>
      </c>
      <c r="BK49" s="10">
        <f>IF('Batt IN'!$N$18="Yes",-BattLoan!H77,-BattLoan!L77)</f>
        <v>0</v>
      </c>
      <c r="BL49" s="10">
        <f>IF('Batt IN'!$N$18="Yes",-BattLoan!F77,0)</f>
        <v>0</v>
      </c>
      <c r="BM49" s="10">
        <f>IF(AND('Batt IN'!$D$44="YES",$C49&lt;='Batt IN'!$E$44*12),0,-'Batt IN'!$E$28*'Batt IN'!$E$42/12)</f>
        <v>-83.333333333333329</v>
      </c>
      <c r="BN49" s="10">
        <f>IF(AND('Batt IN'!$D$46="YES",$C49&lt;='Batt IN'!$E$46*12),0,-'Batt IN'!$E$28*'Batt IN'!$E$45/12)</f>
        <v>-166.66666666666666</v>
      </c>
      <c r="BO49" s="2">
        <f>IF(AND('Batt IN'!$D$41="YES",BattCalcs!C49=ROUNDUP('Batt IN'!$H$41*12,)),-'Batt IN'!$E$41*'Batt IN'!$E$28,0)</f>
        <v>0</v>
      </c>
      <c r="BP49" s="2">
        <f>IF(AND('Batt IN'!$D$53="Yes",$AL$1&gt;=1),0,IF($C49='Batt IN'!$H$54*12,-'Batt IN'!$F$54,0))</f>
        <v>0</v>
      </c>
      <c r="BQ49" s="2">
        <f>IF(AND('Batt IN'!$D$53="Yes",$AL$1&gt;=2),0,IF($C49='Batt IN'!$H$55*12,-'Batt IN'!$F$55,0))</f>
        <v>0</v>
      </c>
      <c r="BR49" s="2">
        <f>IF(AND('Batt IN'!$D$53="Yes",$AL$1&gt;=3),0,IF($C49='Batt IN'!$H$56*12,-'Batt IN'!$F$56,0))</f>
        <v>0</v>
      </c>
      <c r="BS49" s="2">
        <f>IF(AND('Batt IN'!$D$53="Yes",$AL$1&gt;=4),0,IF($C49='Batt IN'!$H$57*12,-'Batt IN'!$F$57,0))</f>
        <v>0</v>
      </c>
      <c r="BT49" s="2">
        <f>IF(AND('Batt IN'!$D$53="Yes",$AL$1&gt;=5),0,IF($C49='Batt IN'!$H$58*12,-'Batt IN'!$F$58,0))</f>
        <v>0</v>
      </c>
      <c r="BU49" s="2">
        <f>-AH49*PVCalcs!F49</f>
        <v>-345.62614623867859</v>
      </c>
      <c r="BV49" s="2">
        <f>-'Batt IN'!$E$47</f>
        <v>-150</v>
      </c>
      <c r="BW49" s="2">
        <f>-'Batt IN'!$E$49</f>
        <v>-2250</v>
      </c>
      <c r="BX49" s="2">
        <f>IF('Batt IN'!$H$50="No",-(BC49*'Batt IN'!$E$50),-(BC49+BE49)*'Batt IN'!$E$50)</f>
        <v>0</v>
      </c>
      <c r="BY49" s="2">
        <f>IF(C49='Batt IN'!$H$43*12,-'Batt IN'!$E$43,0)</f>
        <v>0</v>
      </c>
      <c r="BZ49" s="38"/>
      <c r="CA49" s="10">
        <f t="shared" si="0"/>
        <v>13422.323408333334</v>
      </c>
      <c r="CB49" s="2">
        <f t="shared" si="6"/>
        <v>-2995.6261462386783</v>
      </c>
      <c r="CC49" s="45">
        <f t="shared" si="7"/>
        <v>10426.697262094654</v>
      </c>
      <c r="CD49" s="43"/>
      <c r="CE49" s="2">
        <f t="shared" si="8"/>
        <v>0</v>
      </c>
      <c r="CF49" s="2">
        <f t="shared" si="9"/>
        <v>-2995.6261462386783</v>
      </c>
      <c r="CG49" s="2"/>
      <c r="CH49" s="2">
        <f t="shared" si="10"/>
        <v>-2995.6261462386783</v>
      </c>
      <c r="CI49" s="45">
        <f>-CH49*'Batt IN'!$E$7</f>
        <v>629.08149071012247</v>
      </c>
      <c r="CJ49" s="48"/>
      <c r="CK49" s="45">
        <f>IF('Batt IN'!$F$4="PV Only",0,IF(C49&gt;'Batt IN'!$H$43*12,0,CC49+CI49))</f>
        <v>0</v>
      </c>
      <c r="CM49" s="10">
        <f t="shared" si="11"/>
        <v>0</v>
      </c>
      <c r="CN49" s="2">
        <f>CK49/(1+('Batt IN'!$G$8))^(C49)</f>
        <v>0</v>
      </c>
      <c r="CO49" s="2">
        <f>IF(C49&lt;='Batt IN'!$O$30*12,CN49+CO48,NA())</f>
        <v>0</v>
      </c>
      <c r="CQ49" s="2">
        <f>CK49/((1+('Batt IN'!$E$8/12))^BattCalcs!C49)</f>
        <v>0</v>
      </c>
      <c r="CS49" s="10">
        <f t="shared" si="12"/>
        <v>-2995.6261462386783</v>
      </c>
      <c r="CT49" s="10">
        <f t="shared" si="13"/>
        <v>0</v>
      </c>
      <c r="CU49" s="10">
        <f t="shared" si="14"/>
        <v>-2995.6261462386783</v>
      </c>
      <c r="CV49" s="10">
        <f t="shared" si="15"/>
        <v>-2995.6261462386783</v>
      </c>
      <c r="CW49" s="2">
        <f t="shared" si="1"/>
        <v>0</v>
      </c>
      <c r="CX49" s="2">
        <f>-(SUM(CV49:CW49)*'PV IN'!$E$8)</f>
        <v>629.08149071012247</v>
      </c>
      <c r="CY49" s="2">
        <f t="shared" si="16"/>
        <v>-2366.5446555285557</v>
      </c>
      <c r="CZ49" s="2">
        <f>IF(C49&lt;='Batt IN'!$H$43*12,CY49/(1+('PV IN'!$G$9))^(C49),0)</f>
        <v>-1970.8557206743958</v>
      </c>
      <c r="DA49" s="33">
        <f>IF(C49&lt;='Batt IN'!$H$43*12,AE49,0)</f>
        <v>30366.783333333333</v>
      </c>
    </row>
    <row r="50" spans="1:105" x14ac:dyDescent="0.25">
      <c r="A50">
        <f>IF(C50&lt;='Batt IN'!$H$43*12,C50,"")</f>
        <v>46</v>
      </c>
      <c r="C50">
        <v>46</v>
      </c>
      <c r="D50" s="21">
        <v>730</v>
      </c>
      <c r="E50" s="1">
        <f>1-'Batt IN'!$E$31</f>
        <v>2.0000000000000018E-2</v>
      </c>
      <c r="F50" s="12">
        <f>('Batt IN'!$E$33*365)/8760</f>
        <v>0</v>
      </c>
      <c r="G50" s="22">
        <f>'Batt IN'!$E$32/8760</f>
        <v>5.7077625570776253E-3</v>
      </c>
      <c r="H50" s="22">
        <f>'Batt IN'!$E$13/8760</f>
        <v>5.5936073059360729E-3</v>
      </c>
      <c r="I50" s="23">
        <f>IF(C50&lt;='Batt IN'!$G$14*12,'Batt IN'!$E$15/8760*'Batt IN'!$G$15,0)</f>
        <v>0</v>
      </c>
      <c r="J50" s="12">
        <f>Z50/'Batt IN'!$E$27/730</f>
        <v>2.4999999999999996E-3</v>
      </c>
      <c r="K50" s="23">
        <f>AA50/'Batt IN'!$E$27/730</f>
        <v>1.6027397260273972E-3</v>
      </c>
      <c r="L50" s="23">
        <f>AB50/'Batt IN'!$E$27/730</f>
        <v>2.0547945205479451E-4</v>
      </c>
      <c r="M50" s="23">
        <f>AC50/'Batt IN'!$E$27/730</f>
        <v>4.7945205479452057E-3</v>
      </c>
      <c r="N50" s="23">
        <f>AD50/'Batt IN'!$E$27/730</f>
        <v>3.4246575342465752E-3</v>
      </c>
      <c r="O50" s="12">
        <f t="shared" si="2"/>
        <v>4.3828767123287697E-2</v>
      </c>
      <c r="P50" s="21">
        <f t="shared" si="3"/>
        <v>698.005</v>
      </c>
      <c r="Q50" s="2">
        <f>IF('Batt IN'!$E$27*'Batt IN'!$E$24&lt;='Batt IN'!$E$28,(('Batt IN'!$E$23*'Batt IN'!$E$27*'Batt IN'!$E$24)/1000)*P50,(('Batt IN'!$E$23*'Batt IN'!$E$28*'Batt IN'!$E$24)/1000)*P50)</f>
        <v>11168.08</v>
      </c>
      <c r="R50" s="2"/>
      <c r="S50" s="77">
        <f>IF(C50&lt;='Batt IN'!$G$14*12,'Batt IN'!$E$15/12,0)</f>
        <v>0</v>
      </c>
      <c r="T50" s="77"/>
      <c r="U50" s="80">
        <f>'Batt IN'!$E$28*('Batt IN'!$G$24/24)*730*(1-O50)</f>
        <v>81433.916666666657</v>
      </c>
      <c r="V50" s="78">
        <f>U50*'Batt IN'!$F$30</f>
        <v>16286.783333333333</v>
      </c>
      <c r="W50" s="78">
        <f>'Batt IN'!$E$28*'Batt IN'!$G$32*('Batt IN'!$E$32/12)*(1+'Batt IN'!$F$30)</f>
        <v>1750.0000000000002</v>
      </c>
      <c r="X50" s="78">
        <f>'Batt IN'!$E$28*'Batt IN'!$G$13*('Batt IN'!$E$13/12)*(1+'Batt IN'!$F$30)</f>
        <v>3184.9999999999995</v>
      </c>
      <c r="Y50" s="33">
        <f>S50*'Batt IN'!$G$15*'Batt IN'!$E$28*(1+'Batt IN'!$F$30)</f>
        <v>0</v>
      </c>
      <c r="Z50" s="33">
        <f>'Batt IN'!$G$16*365/12*(1+'Batt IN'!$F$30)</f>
        <v>1824.9999999999998</v>
      </c>
      <c r="AA50" s="33">
        <f>'Batt IN'!$G$17*'Batt IN'!$E$18*'Batt IN'!$G$18/12*(1+'Batt IN'!$F$30)</f>
        <v>1170</v>
      </c>
      <c r="AB50" s="33">
        <f>'Batt IN'!$G$19*'Batt IN'!$E$20*'Batt IN'!$G$20/12*(1+'Batt IN'!$F$30)</f>
        <v>150</v>
      </c>
      <c r="AC50" s="33">
        <f>'Batt IN'!$G$21*(1+'Batt IN'!$F$30)/12</f>
        <v>3500</v>
      </c>
      <c r="AD50" s="33">
        <f>'Batt IN'!$G$22*(1+'Batt IN'!$F$30)/12</f>
        <v>2500</v>
      </c>
      <c r="AE50" s="33">
        <f t="shared" si="4"/>
        <v>30366.783333333333</v>
      </c>
      <c r="AF50" s="33">
        <f>IF('PV IN'!$F$4="Battery Only",0,AE50*'Batt IN'!$E$29)</f>
        <v>25811.765833333331</v>
      </c>
      <c r="AG50" s="33">
        <f>PVCalcs!L50</f>
        <v>25811.765833333331</v>
      </c>
      <c r="AH50" s="33">
        <f t="shared" si="5"/>
        <v>4555.0175000000017</v>
      </c>
      <c r="AI50" s="33"/>
      <c r="AJ50" s="2">
        <f>IF(AND('Batt IN'!$D$53="Yes",$AL$1&gt;=1),IF($C50='Batt IN'!$H$54*12,-'Batt IN'!$F$54,0),0)</f>
        <v>0</v>
      </c>
      <c r="AK50" s="2">
        <f>IF(AND('Batt IN'!$D$53="Yes",$AL$1&gt;=2),IF($C50='Batt IN'!$H$55*12,-'Batt IN'!$F$55,0),0)</f>
        <v>0</v>
      </c>
      <c r="AL50" s="2">
        <f>IF(AND('Batt IN'!$D$53="Yes",$AL$1&gt;=3),IF($C50='Batt IN'!$H$56*12,-'Batt IN'!$F$56,0),0)</f>
        <v>0</v>
      </c>
      <c r="AM50" s="2">
        <f>IF(AND('Batt IN'!$D$53="Yes",$AL$1&gt;=4),IF($C50='Batt IN'!$H$57*12,-'Batt IN'!$F$57,0),0)</f>
        <v>0</v>
      </c>
      <c r="AN50" s="2">
        <f>IF(AND('Batt IN'!$D$53="Yes",$AL$1&gt;=5),IF($C50='Batt IN'!$H$58*12,-'Batt IN'!$F$58,0),0)</f>
        <v>0</v>
      </c>
      <c r="AO50" s="10">
        <f>IF(AND('Batt IN'!$D$44="YES",$C50&lt;='Batt IN'!$E$44*12),-'Batt IN'!$E$28*'Batt IN'!$E$42/12,0)</f>
        <v>0</v>
      </c>
      <c r="AP50" s="10">
        <f>IF(AND('Batt IN'!$D$46="YES",$C50&lt;='Batt IN'!$E$46*12),-'Batt IN'!$E$28*'Batt IN'!$E$45/12,0)</f>
        <v>0</v>
      </c>
      <c r="AR50" s="10">
        <f>BattLoan!M77</f>
        <v>0</v>
      </c>
      <c r="AS50" s="10">
        <f>'Batt IN'!$G$16*365/12*'Batt IN'!$E$16</f>
        <v>76.041666666666671</v>
      </c>
      <c r="AT50" s="10">
        <f>IF(AND('Batt IN'!$E$18&gt;0,'Batt IN'!$G$18&gt;0),'Batt IN'!$E$17*'Batt IN'!$G$17,0)</f>
        <v>119.44619999999999</v>
      </c>
      <c r="AU50" s="10">
        <f>IF(AND('Batt IN'!$E$20&gt;0,'Batt IN'!$G$20&gt;0),'Batt IN'!$E$19*'Batt IN'!$G$19,0)</f>
        <v>231</v>
      </c>
      <c r="AV50" s="10"/>
      <c r="AW50" s="10"/>
      <c r="AX50" s="10">
        <f>IF('Batt IN'!$E$11="Non-Taxable",Q50,0)</f>
        <v>11168.08</v>
      </c>
      <c r="AY50" s="10">
        <f>IF('Batt IN'!$E$11="Non-Taxable",'Batt IN'!$E$28/1000*'Batt IN'!$G$13*('Batt IN'!$E$13/12)*'Batt IN'!$E$12,0)</f>
        <v>244.42220833333334</v>
      </c>
      <c r="AZ50" s="10">
        <f>IF('Batt IN'!$E$11="Non-Taxable",$S50*'Batt IN'!$G$15*'Batt IN'!$E$28*'Batt IN'!$E$14/1000,0)</f>
        <v>0</v>
      </c>
      <c r="BA50" s="10">
        <f>IF('Batt IN'!$E$11="Non-Taxable",'Batt IN'!$E$21*'Batt IN'!$G$21/12,0)</f>
        <v>437.5</v>
      </c>
      <c r="BB50" s="10">
        <f>IF('Batt IN'!$E$11="Non-Taxable",'Batt IN'!$E$22*'Batt IN'!$G$22/12,0)</f>
        <v>1145.8333333333335</v>
      </c>
      <c r="BC50" s="10">
        <f>IF('Batt IN'!$E$11="Taxable",Q50,0)</f>
        <v>0</v>
      </c>
      <c r="BD50" s="10">
        <f>IF('Batt IN'!$E$11="Taxable",'Batt IN'!$E$28/1000*'Batt IN'!$G$13*('Batt IN'!$E$13/12)*'Batt IN'!$E$12,0)</f>
        <v>0</v>
      </c>
      <c r="BE50" s="10">
        <f>IF('Batt IN'!$E$11="Taxable",$S50*'Batt IN'!$G$15*'Batt IN'!$E$28*'Batt IN'!$E$14/1000,0)</f>
        <v>0</v>
      </c>
      <c r="BF50" s="10">
        <f>IF('Batt IN'!$E$11="Taxable",'Batt IN'!$E$21*'Batt IN'!$G$21/12,0)</f>
        <v>0</v>
      </c>
      <c r="BG50" s="10">
        <f>IF('Batt IN'!$E$11="Taxable",'Batt IN'!$E$22*'Batt IN'!$G$22/12,0)</f>
        <v>0</v>
      </c>
      <c r="BK50" s="10">
        <f>IF('Batt IN'!$N$18="Yes",-BattLoan!H78,-BattLoan!L78)</f>
        <v>0</v>
      </c>
      <c r="BL50" s="10">
        <f>IF('Batt IN'!$N$18="Yes",-BattLoan!F78,0)</f>
        <v>0</v>
      </c>
      <c r="BM50" s="10">
        <f>IF(AND('Batt IN'!$D$44="YES",$C50&lt;='Batt IN'!$E$44*12),0,-'Batt IN'!$E$28*'Batt IN'!$E$42/12)</f>
        <v>-83.333333333333329</v>
      </c>
      <c r="BN50" s="10">
        <f>IF(AND('Batt IN'!$D$46="YES",$C50&lt;='Batt IN'!$E$46*12),0,-'Batt IN'!$E$28*'Batt IN'!$E$45/12)</f>
        <v>-166.66666666666666</v>
      </c>
      <c r="BO50" s="2">
        <f>IF(AND('Batt IN'!$D$41="YES",BattCalcs!C50=ROUNDUP('Batt IN'!$H$41*12,)),-'Batt IN'!$E$41*'Batt IN'!$E$28,0)</f>
        <v>0</v>
      </c>
      <c r="BP50" s="2">
        <f>IF(AND('Batt IN'!$D$53="Yes",$AL$1&gt;=1),0,IF($C50='Batt IN'!$H$54*12,-'Batt IN'!$F$54,0))</f>
        <v>0</v>
      </c>
      <c r="BQ50" s="2">
        <f>IF(AND('Batt IN'!$D$53="Yes",$AL$1&gt;=2),0,IF($C50='Batt IN'!$H$55*12,-'Batt IN'!$F$55,0))</f>
        <v>0</v>
      </c>
      <c r="BR50" s="2">
        <f>IF(AND('Batt IN'!$D$53="Yes",$AL$1&gt;=3),0,IF($C50='Batt IN'!$H$56*12,-'Batt IN'!$F$56,0))</f>
        <v>0</v>
      </c>
      <c r="BS50" s="2">
        <f>IF(AND('Batt IN'!$D$53="Yes",$AL$1&gt;=4),0,IF($C50='Batt IN'!$H$57*12,-'Batt IN'!$F$57,0))</f>
        <v>0</v>
      </c>
      <c r="BT50" s="2">
        <f>IF(AND('Batt IN'!$D$53="Yes",$AL$1&gt;=5),0,IF($C50='Batt IN'!$H$58*12,-'Batt IN'!$F$58,0))</f>
        <v>0</v>
      </c>
      <c r="BU50" s="2">
        <f>-AH50*PVCalcs!F50</f>
        <v>-345.62614623867859</v>
      </c>
      <c r="BV50" s="2">
        <f>-'Batt IN'!$E$47</f>
        <v>-150</v>
      </c>
      <c r="BW50" s="2">
        <f>-'Batt IN'!$E$49</f>
        <v>-2250</v>
      </c>
      <c r="BX50" s="2">
        <f>IF('Batt IN'!$H$50="No",-(BC50*'Batt IN'!$E$50),-(BC50+BE50)*'Batt IN'!$E$50)</f>
        <v>0</v>
      </c>
      <c r="BY50" s="2">
        <f>IF(C50='Batt IN'!$H$43*12,-'Batt IN'!$E$43,0)</f>
        <v>0</v>
      </c>
      <c r="BZ50" s="38"/>
      <c r="CA50" s="10">
        <f t="shared" si="0"/>
        <v>13422.323408333334</v>
      </c>
      <c r="CB50" s="2">
        <f t="shared" si="6"/>
        <v>-2995.6261462386783</v>
      </c>
      <c r="CC50" s="45">
        <f t="shared" si="7"/>
        <v>10426.697262094654</v>
      </c>
      <c r="CD50" s="43"/>
      <c r="CE50" s="2">
        <f t="shared" si="8"/>
        <v>0</v>
      </c>
      <c r="CF50" s="2">
        <f t="shared" si="9"/>
        <v>-2995.6261462386783</v>
      </c>
      <c r="CG50" s="2"/>
      <c r="CH50" s="2">
        <f t="shared" si="10"/>
        <v>-2995.6261462386783</v>
      </c>
      <c r="CI50" s="45">
        <f>-CH50*'Batt IN'!$E$7</f>
        <v>629.08149071012247</v>
      </c>
      <c r="CJ50" s="48"/>
      <c r="CK50" s="45">
        <f>IF('Batt IN'!$F$4="PV Only",0,IF(C50&gt;'Batt IN'!$H$43*12,0,CC50+CI50))</f>
        <v>0</v>
      </c>
      <c r="CM50" s="10">
        <f t="shared" si="11"/>
        <v>0</v>
      </c>
      <c r="CN50" s="2">
        <f>CK50/(1+('Batt IN'!$G$8))^(C50)</f>
        <v>0</v>
      </c>
      <c r="CO50" s="2">
        <f>IF(C50&lt;='Batt IN'!$O$30*12,CN50+CO49,NA())</f>
        <v>0</v>
      </c>
      <c r="CQ50" s="2">
        <f>CK50/((1+('Batt IN'!$E$8/12))^BattCalcs!C50)</f>
        <v>0</v>
      </c>
      <c r="CS50" s="10">
        <f t="shared" si="12"/>
        <v>-2995.6261462386783</v>
      </c>
      <c r="CT50" s="10">
        <f t="shared" si="13"/>
        <v>0</v>
      </c>
      <c r="CU50" s="10">
        <f t="shared" si="14"/>
        <v>-2995.6261462386783</v>
      </c>
      <c r="CV50" s="10">
        <f t="shared" si="15"/>
        <v>-2995.6261462386783</v>
      </c>
      <c r="CW50" s="2">
        <f t="shared" si="1"/>
        <v>0</v>
      </c>
      <c r="CX50" s="2">
        <f>-(SUM(CV50:CW50)*'PV IN'!$E$8)</f>
        <v>629.08149071012247</v>
      </c>
      <c r="CY50" s="2">
        <f t="shared" si="16"/>
        <v>-2366.5446555285557</v>
      </c>
      <c r="CZ50" s="2">
        <f>IF(C50&lt;='Batt IN'!$H$43*12,CY50/(1+('PV IN'!$G$9))^(C50),0)</f>
        <v>-1962.8587909900798</v>
      </c>
      <c r="DA50" s="33">
        <f>IF(C50&lt;='Batt IN'!$H$43*12,AE50,0)</f>
        <v>30366.783333333333</v>
      </c>
    </row>
    <row r="51" spans="1:105" x14ac:dyDescent="0.25">
      <c r="A51">
        <f>IF(C51&lt;='Batt IN'!$H$43*12,C51,"")</f>
        <v>47</v>
      </c>
      <c r="C51">
        <v>47</v>
      </c>
      <c r="D51" s="21">
        <v>730</v>
      </c>
      <c r="E51" s="1">
        <f>1-'Batt IN'!$E$31</f>
        <v>2.0000000000000018E-2</v>
      </c>
      <c r="F51" s="12">
        <f>('Batt IN'!$E$33*365)/8760</f>
        <v>0</v>
      </c>
      <c r="G51" s="22">
        <f>'Batt IN'!$E$32/8760</f>
        <v>5.7077625570776253E-3</v>
      </c>
      <c r="H51" s="22">
        <f>'Batt IN'!$E$13/8760</f>
        <v>5.5936073059360729E-3</v>
      </c>
      <c r="I51" s="23">
        <f>IF(C51&lt;='Batt IN'!$G$14*12,'Batt IN'!$E$15/8760*'Batt IN'!$G$15,0)</f>
        <v>0</v>
      </c>
      <c r="J51" s="12">
        <f>Z51/'Batt IN'!$E$27/730</f>
        <v>2.4999999999999996E-3</v>
      </c>
      <c r="K51" s="23">
        <f>AA51/'Batt IN'!$E$27/730</f>
        <v>1.6027397260273972E-3</v>
      </c>
      <c r="L51" s="23">
        <f>AB51/'Batt IN'!$E$27/730</f>
        <v>2.0547945205479451E-4</v>
      </c>
      <c r="M51" s="23">
        <f>AC51/'Batt IN'!$E$27/730</f>
        <v>4.7945205479452057E-3</v>
      </c>
      <c r="N51" s="23">
        <f>AD51/'Batt IN'!$E$27/730</f>
        <v>3.4246575342465752E-3</v>
      </c>
      <c r="O51" s="12">
        <f t="shared" si="2"/>
        <v>4.3828767123287697E-2</v>
      </c>
      <c r="P51" s="21">
        <f t="shared" si="3"/>
        <v>698.005</v>
      </c>
      <c r="Q51" s="2">
        <f>IF('Batt IN'!$E$27*'Batt IN'!$E$24&lt;='Batt IN'!$E$28,(('Batt IN'!$E$23*'Batt IN'!$E$27*'Batt IN'!$E$24)/1000)*P51,(('Batt IN'!$E$23*'Batt IN'!$E$28*'Batt IN'!$E$24)/1000)*P51)</f>
        <v>11168.08</v>
      </c>
      <c r="R51" s="2"/>
      <c r="S51" s="77">
        <f>IF(C51&lt;='Batt IN'!$G$14*12,'Batt IN'!$E$15/12,0)</f>
        <v>0</v>
      </c>
      <c r="T51" s="77"/>
      <c r="U51" s="80">
        <f>'Batt IN'!$E$28*('Batt IN'!$G$24/24)*730*(1-O51)</f>
        <v>81433.916666666657</v>
      </c>
      <c r="V51" s="78">
        <f>U51*'Batt IN'!$F$30</f>
        <v>16286.783333333333</v>
      </c>
      <c r="W51" s="78">
        <f>'Batt IN'!$E$28*'Batt IN'!$G$32*('Batt IN'!$E$32/12)*(1+'Batt IN'!$F$30)</f>
        <v>1750.0000000000002</v>
      </c>
      <c r="X51" s="78">
        <f>'Batt IN'!$E$28*'Batt IN'!$G$13*('Batt IN'!$E$13/12)*(1+'Batt IN'!$F$30)</f>
        <v>3184.9999999999995</v>
      </c>
      <c r="Y51" s="33">
        <f>S51*'Batt IN'!$G$15*'Batt IN'!$E$28*(1+'Batt IN'!$F$30)</f>
        <v>0</v>
      </c>
      <c r="Z51" s="33">
        <f>'Batt IN'!$G$16*365/12*(1+'Batt IN'!$F$30)</f>
        <v>1824.9999999999998</v>
      </c>
      <c r="AA51" s="33">
        <f>'Batt IN'!$G$17*'Batt IN'!$E$18*'Batt IN'!$G$18/12*(1+'Batt IN'!$F$30)</f>
        <v>1170</v>
      </c>
      <c r="AB51" s="33">
        <f>'Batt IN'!$G$19*'Batt IN'!$E$20*'Batt IN'!$G$20/12*(1+'Batt IN'!$F$30)</f>
        <v>150</v>
      </c>
      <c r="AC51" s="33">
        <f>'Batt IN'!$G$21*(1+'Batt IN'!$F$30)/12</f>
        <v>3500</v>
      </c>
      <c r="AD51" s="33">
        <f>'Batt IN'!$G$22*(1+'Batt IN'!$F$30)/12</f>
        <v>2500</v>
      </c>
      <c r="AE51" s="33">
        <f t="shared" si="4"/>
        <v>30366.783333333333</v>
      </c>
      <c r="AF51" s="33">
        <f>IF('PV IN'!$F$4="Battery Only",0,AE51*'Batt IN'!$E$29)</f>
        <v>25811.765833333331</v>
      </c>
      <c r="AG51" s="33">
        <f>PVCalcs!L51</f>
        <v>25811.765833333331</v>
      </c>
      <c r="AH51" s="33">
        <f t="shared" si="5"/>
        <v>4555.0175000000017</v>
      </c>
      <c r="AI51" s="33"/>
      <c r="AJ51" s="2">
        <f>IF(AND('Batt IN'!$D$53="Yes",$AL$1&gt;=1),IF($C51='Batt IN'!$H$54*12,-'Batt IN'!$F$54,0),0)</f>
        <v>0</v>
      </c>
      <c r="AK51" s="2">
        <f>IF(AND('Batt IN'!$D$53="Yes",$AL$1&gt;=2),IF($C51='Batt IN'!$H$55*12,-'Batt IN'!$F$55,0),0)</f>
        <v>0</v>
      </c>
      <c r="AL51" s="2">
        <f>IF(AND('Batt IN'!$D$53="Yes",$AL$1&gt;=3),IF($C51='Batt IN'!$H$56*12,-'Batt IN'!$F$56,0),0)</f>
        <v>0</v>
      </c>
      <c r="AM51" s="2">
        <f>IF(AND('Batt IN'!$D$53="Yes",$AL$1&gt;=4),IF($C51='Batt IN'!$H$57*12,-'Batt IN'!$F$57,0),0)</f>
        <v>0</v>
      </c>
      <c r="AN51" s="2">
        <f>IF(AND('Batt IN'!$D$53="Yes",$AL$1&gt;=5),IF($C51='Batt IN'!$H$58*12,-'Batt IN'!$F$58,0),0)</f>
        <v>0</v>
      </c>
      <c r="AO51" s="10">
        <f>IF(AND('Batt IN'!$D$44="YES",$C51&lt;='Batt IN'!$E$44*12),-'Batt IN'!$E$28*'Batt IN'!$E$42/12,0)</f>
        <v>0</v>
      </c>
      <c r="AP51" s="10">
        <f>IF(AND('Batt IN'!$D$46="YES",$C51&lt;='Batt IN'!$E$46*12),-'Batt IN'!$E$28*'Batt IN'!$E$45/12,0)</f>
        <v>0</v>
      </c>
      <c r="AR51" s="10">
        <f>BattLoan!M78</f>
        <v>0</v>
      </c>
      <c r="AS51" s="10">
        <f>'Batt IN'!$G$16*365/12*'Batt IN'!$E$16</f>
        <v>76.041666666666671</v>
      </c>
      <c r="AT51" s="10">
        <f>IF(AND('Batt IN'!$E$18&gt;0,'Batt IN'!$G$18&gt;0),'Batt IN'!$E$17*'Batt IN'!$G$17,0)</f>
        <v>119.44619999999999</v>
      </c>
      <c r="AU51" s="10">
        <f>IF(AND('Batt IN'!$E$20&gt;0,'Batt IN'!$G$20&gt;0),'Batt IN'!$E$19*'Batt IN'!$G$19,0)</f>
        <v>231</v>
      </c>
      <c r="AV51" s="10"/>
      <c r="AW51" s="10"/>
      <c r="AX51" s="10">
        <f>IF('Batt IN'!$E$11="Non-Taxable",Q51,0)</f>
        <v>11168.08</v>
      </c>
      <c r="AY51" s="10">
        <f>IF('Batt IN'!$E$11="Non-Taxable",'Batt IN'!$E$28/1000*'Batt IN'!$G$13*('Batt IN'!$E$13/12)*'Batt IN'!$E$12,0)</f>
        <v>244.42220833333334</v>
      </c>
      <c r="AZ51" s="10">
        <f>IF('Batt IN'!$E$11="Non-Taxable",$S51*'Batt IN'!$G$15*'Batt IN'!$E$28*'Batt IN'!$E$14/1000,0)</f>
        <v>0</v>
      </c>
      <c r="BA51" s="10">
        <f>IF('Batt IN'!$E$11="Non-Taxable",'Batt IN'!$E$21*'Batt IN'!$G$21/12,0)</f>
        <v>437.5</v>
      </c>
      <c r="BB51" s="10">
        <f>IF('Batt IN'!$E$11="Non-Taxable",'Batt IN'!$E$22*'Batt IN'!$G$22/12,0)</f>
        <v>1145.8333333333335</v>
      </c>
      <c r="BC51" s="10">
        <f>IF('Batt IN'!$E$11="Taxable",Q51,0)</f>
        <v>0</v>
      </c>
      <c r="BD51" s="10">
        <f>IF('Batt IN'!$E$11="Taxable",'Batt IN'!$E$28/1000*'Batt IN'!$G$13*('Batt IN'!$E$13/12)*'Batt IN'!$E$12,0)</f>
        <v>0</v>
      </c>
      <c r="BE51" s="10">
        <f>IF('Batt IN'!$E$11="Taxable",$S51*'Batt IN'!$G$15*'Batt IN'!$E$28*'Batt IN'!$E$14/1000,0)</f>
        <v>0</v>
      </c>
      <c r="BF51" s="10">
        <f>IF('Batt IN'!$E$11="Taxable",'Batt IN'!$E$21*'Batt IN'!$G$21/12,0)</f>
        <v>0</v>
      </c>
      <c r="BG51" s="10">
        <f>IF('Batt IN'!$E$11="Taxable",'Batt IN'!$E$22*'Batt IN'!$G$22/12,0)</f>
        <v>0</v>
      </c>
      <c r="BK51" s="10">
        <f>IF('Batt IN'!$N$18="Yes",-BattLoan!H79,-BattLoan!L79)</f>
        <v>0</v>
      </c>
      <c r="BL51" s="10">
        <f>IF('Batt IN'!$N$18="Yes",-BattLoan!F79,0)</f>
        <v>0</v>
      </c>
      <c r="BM51" s="10">
        <f>IF(AND('Batt IN'!$D$44="YES",$C51&lt;='Batt IN'!$E$44*12),0,-'Batt IN'!$E$28*'Batt IN'!$E$42/12)</f>
        <v>-83.333333333333329</v>
      </c>
      <c r="BN51" s="10">
        <f>IF(AND('Batt IN'!$D$46="YES",$C51&lt;='Batt IN'!$E$46*12),0,-'Batt IN'!$E$28*'Batt IN'!$E$45/12)</f>
        <v>-166.66666666666666</v>
      </c>
      <c r="BO51" s="2">
        <f>IF(AND('Batt IN'!$D$41="YES",BattCalcs!C51=ROUNDUP('Batt IN'!$H$41*12,)),-'Batt IN'!$E$41*'Batt IN'!$E$28,0)</f>
        <v>0</v>
      </c>
      <c r="BP51" s="2">
        <f>IF(AND('Batt IN'!$D$53="Yes",$AL$1&gt;=1),0,IF($C51='Batt IN'!$H$54*12,-'Batt IN'!$F$54,0))</f>
        <v>0</v>
      </c>
      <c r="BQ51" s="2">
        <f>IF(AND('Batt IN'!$D$53="Yes",$AL$1&gt;=2),0,IF($C51='Batt IN'!$H$55*12,-'Batt IN'!$F$55,0))</f>
        <v>0</v>
      </c>
      <c r="BR51" s="2">
        <f>IF(AND('Batt IN'!$D$53="Yes",$AL$1&gt;=3),0,IF($C51='Batt IN'!$H$56*12,-'Batt IN'!$F$56,0))</f>
        <v>0</v>
      </c>
      <c r="BS51" s="2">
        <f>IF(AND('Batt IN'!$D$53="Yes",$AL$1&gt;=4),0,IF($C51='Batt IN'!$H$57*12,-'Batt IN'!$F$57,0))</f>
        <v>0</v>
      </c>
      <c r="BT51" s="2">
        <f>IF(AND('Batt IN'!$D$53="Yes",$AL$1&gt;=5),0,IF($C51='Batt IN'!$H$58*12,-'Batt IN'!$F$58,0))</f>
        <v>0</v>
      </c>
      <c r="BU51" s="2">
        <f>-AH51*PVCalcs!F51</f>
        <v>-345.62614623867859</v>
      </c>
      <c r="BV51" s="2">
        <f>-'Batt IN'!$E$47</f>
        <v>-150</v>
      </c>
      <c r="BW51" s="2">
        <f>-'Batt IN'!$E$49</f>
        <v>-2250</v>
      </c>
      <c r="BX51" s="2">
        <f>IF('Batt IN'!$H$50="No",-(BC51*'Batt IN'!$E$50),-(BC51+BE51)*'Batt IN'!$E$50)</f>
        <v>0</v>
      </c>
      <c r="BY51" s="2">
        <f>IF(C51='Batt IN'!$H$43*12,-'Batt IN'!$E$43,0)</f>
        <v>0</v>
      </c>
      <c r="BZ51" s="38"/>
      <c r="CA51" s="10">
        <f t="shared" si="0"/>
        <v>13422.323408333334</v>
      </c>
      <c r="CB51" s="2">
        <f t="shared" si="6"/>
        <v>-2995.6261462386783</v>
      </c>
      <c r="CC51" s="45">
        <f t="shared" si="7"/>
        <v>10426.697262094654</v>
      </c>
      <c r="CD51" s="43"/>
      <c r="CE51" s="2">
        <f t="shared" si="8"/>
        <v>0</v>
      </c>
      <c r="CF51" s="2">
        <f t="shared" si="9"/>
        <v>-2995.6261462386783</v>
      </c>
      <c r="CG51" s="2"/>
      <c r="CH51" s="2">
        <f t="shared" si="10"/>
        <v>-2995.6261462386783</v>
      </c>
      <c r="CI51" s="45">
        <f>-CH51*'Batt IN'!$E$7</f>
        <v>629.08149071012247</v>
      </c>
      <c r="CJ51" s="48"/>
      <c r="CK51" s="45">
        <f>IF('Batt IN'!$F$4="PV Only",0,IF(C51&gt;'Batt IN'!$H$43*12,0,CC51+CI51))</f>
        <v>0</v>
      </c>
      <c r="CM51" s="10">
        <f t="shared" si="11"/>
        <v>0</v>
      </c>
      <c r="CN51" s="2">
        <f>CK51/(1+('Batt IN'!$G$8))^(C51)</f>
        <v>0</v>
      </c>
      <c r="CO51" s="2">
        <f>IF(C51&lt;='Batt IN'!$O$30*12,CN51+CO50,NA())</f>
        <v>0</v>
      </c>
      <c r="CQ51" s="2">
        <f>CK51/((1+('Batt IN'!$E$8/12))^BattCalcs!C51)</f>
        <v>0</v>
      </c>
      <c r="CS51" s="10">
        <f t="shared" si="12"/>
        <v>-2995.6261462386783</v>
      </c>
      <c r="CT51" s="10">
        <f t="shared" si="13"/>
        <v>0</v>
      </c>
      <c r="CU51" s="10">
        <f t="shared" si="14"/>
        <v>-2995.6261462386783</v>
      </c>
      <c r="CV51" s="10">
        <f t="shared" si="15"/>
        <v>-2995.6261462386783</v>
      </c>
      <c r="CW51" s="2">
        <f t="shared" si="1"/>
        <v>0</v>
      </c>
      <c r="CX51" s="2">
        <f>-(SUM(CV51:CW51)*'PV IN'!$E$8)</f>
        <v>629.08149071012247</v>
      </c>
      <c r="CY51" s="2">
        <f t="shared" si="16"/>
        <v>-2366.5446555285557</v>
      </c>
      <c r="CZ51" s="2">
        <f>IF(C51&lt;='Batt IN'!$H$43*12,CY51/(1+('PV IN'!$G$9))^(C51),0)</f>
        <v>-1954.8943095888649</v>
      </c>
      <c r="DA51" s="33">
        <f>IF(C51&lt;='Batt IN'!$H$43*12,AE51,0)</f>
        <v>30366.783333333333</v>
      </c>
    </row>
    <row r="52" spans="1:105" x14ac:dyDescent="0.25">
      <c r="A52">
        <f>IF(C52&lt;='Batt IN'!$H$43*12,C52,"")</f>
        <v>48</v>
      </c>
      <c r="B52">
        <v>4</v>
      </c>
      <c r="C52">
        <v>48</v>
      </c>
      <c r="D52" s="21">
        <v>730</v>
      </c>
      <c r="E52" s="1">
        <f>1-'Batt IN'!$E$31</f>
        <v>2.0000000000000018E-2</v>
      </c>
      <c r="F52" s="12">
        <f>('Batt IN'!$E$33*365)/8760</f>
        <v>0</v>
      </c>
      <c r="G52" s="22">
        <f>'Batt IN'!$E$32/8760</f>
        <v>5.7077625570776253E-3</v>
      </c>
      <c r="H52" s="22">
        <f>'Batt IN'!$E$13/8760</f>
        <v>5.5936073059360729E-3</v>
      </c>
      <c r="I52" s="23">
        <f>IF(C52&lt;='Batt IN'!$G$14*12,'Batt IN'!$E$15/8760*'Batt IN'!$G$15,0)</f>
        <v>0</v>
      </c>
      <c r="J52" s="12">
        <f>Z52/'Batt IN'!$E$27/730</f>
        <v>2.4999999999999996E-3</v>
      </c>
      <c r="K52" s="23">
        <f>AA52/'Batt IN'!$E$27/730</f>
        <v>1.6027397260273972E-3</v>
      </c>
      <c r="L52" s="23">
        <f>AB52/'Batt IN'!$E$27/730</f>
        <v>2.0547945205479451E-4</v>
      </c>
      <c r="M52" s="23">
        <f>AC52/'Batt IN'!$E$27/730</f>
        <v>4.7945205479452057E-3</v>
      </c>
      <c r="N52" s="23">
        <f>AD52/'Batt IN'!$E$27/730</f>
        <v>3.4246575342465752E-3</v>
      </c>
      <c r="O52" s="12">
        <f t="shared" si="2"/>
        <v>4.3828767123287697E-2</v>
      </c>
      <c r="P52" s="21">
        <f t="shared" si="3"/>
        <v>698.005</v>
      </c>
      <c r="Q52" s="2">
        <f>IF('Batt IN'!$E$27*'Batt IN'!$E$24&lt;='Batt IN'!$E$28,(('Batt IN'!$E$23*'Batt IN'!$E$27*'Batt IN'!$E$24)/1000)*P52,(('Batt IN'!$E$23*'Batt IN'!$E$28*'Batt IN'!$E$24)/1000)*P52)</f>
        <v>11168.08</v>
      </c>
      <c r="R52" s="2"/>
      <c r="S52" s="77">
        <f>IF(C52&lt;='Batt IN'!$G$14*12,'Batt IN'!$E$15/12,0)</f>
        <v>0</v>
      </c>
      <c r="T52" s="77"/>
      <c r="U52" s="80">
        <f>'Batt IN'!$E$28*('Batt IN'!$G$24/24)*730*(1-O52)</f>
        <v>81433.916666666657</v>
      </c>
      <c r="V52" s="78">
        <f>U52*'Batt IN'!$F$30</f>
        <v>16286.783333333333</v>
      </c>
      <c r="W52" s="78">
        <f>'Batt IN'!$E$28*'Batt IN'!$G$32*('Batt IN'!$E$32/12)*(1+'Batt IN'!$F$30)</f>
        <v>1750.0000000000002</v>
      </c>
      <c r="X52" s="78">
        <f>'Batt IN'!$E$28*'Batt IN'!$G$13*('Batt IN'!$E$13/12)*(1+'Batt IN'!$F$30)</f>
        <v>3184.9999999999995</v>
      </c>
      <c r="Y52" s="33">
        <f>S52*'Batt IN'!$G$15*'Batt IN'!$E$28*(1+'Batt IN'!$F$30)</f>
        <v>0</v>
      </c>
      <c r="Z52" s="33">
        <f>'Batt IN'!$G$16*365/12*(1+'Batt IN'!$F$30)</f>
        <v>1824.9999999999998</v>
      </c>
      <c r="AA52" s="33">
        <f>'Batt IN'!$G$17*'Batt IN'!$E$18*'Batt IN'!$G$18/12*(1+'Batt IN'!$F$30)</f>
        <v>1170</v>
      </c>
      <c r="AB52" s="33">
        <f>'Batt IN'!$G$19*'Batt IN'!$E$20*'Batt IN'!$G$20/12*(1+'Batt IN'!$F$30)</f>
        <v>150</v>
      </c>
      <c r="AC52" s="33">
        <f>'Batt IN'!$G$21*(1+'Batt IN'!$F$30)/12</f>
        <v>3500</v>
      </c>
      <c r="AD52" s="33">
        <f>'Batt IN'!$G$22*(1+'Batt IN'!$F$30)/12</f>
        <v>2500</v>
      </c>
      <c r="AE52" s="33">
        <f t="shared" si="4"/>
        <v>30366.783333333333</v>
      </c>
      <c r="AF52" s="33">
        <f>IF('PV IN'!$F$4="Battery Only",0,AE52*'Batt IN'!$E$29)</f>
        <v>25811.765833333331</v>
      </c>
      <c r="AG52" s="33">
        <f>PVCalcs!L52</f>
        <v>25811.765833333331</v>
      </c>
      <c r="AH52" s="33">
        <f t="shared" si="5"/>
        <v>4555.0175000000017</v>
      </c>
      <c r="AI52" s="33"/>
      <c r="AJ52" s="2">
        <f>IF(AND('Batt IN'!$D$53="Yes",$AL$1&gt;=1),IF($C52='Batt IN'!$H$54*12,-'Batt IN'!$F$54,0),0)</f>
        <v>0</v>
      </c>
      <c r="AK52" s="2">
        <f>IF(AND('Batt IN'!$D$53="Yes",$AL$1&gt;=2),IF($C52='Batt IN'!$H$55*12,-'Batt IN'!$F$55,0),0)</f>
        <v>0</v>
      </c>
      <c r="AL52" s="2">
        <f>IF(AND('Batt IN'!$D$53="Yes",$AL$1&gt;=3),IF($C52='Batt IN'!$H$56*12,-'Batt IN'!$F$56,0),0)</f>
        <v>0</v>
      </c>
      <c r="AM52" s="2">
        <f>IF(AND('Batt IN'!$D$53="Yes",$AL$1&gt;=4),IF($C52='Batt IN'!$H$57*12,-'Batt IN'!$F$57,0),0)</f>
        <v>0</v>
      </c>
      <c r="AN52" s="2">
        <f>IF(AND('Batt IN'!$D$53="Yes",$AL$1&gt;=5),IF($C52='Batt IN'!$H$58*12,-'Batt IN'!$F$58,0),0)</f>
        <v>0</v>
      </c>
      <c r="AO52" s="10">
        <f>IF(AND('Batt IN'!$D$44="YES",$C52&lt;='Batt IN'!$E$44*12),-'Batt IN'!$E$28*'Batt IN'!$E$42/12,0)</f>
        <v>0</v>
      </c>
      <c r="AP52" s="10">
        <f>IF(AND('Batt IN'!$D$46="YES",$C52&lt;='Batt IN'!$E$46*12),-'Batt IN'!$E$28*'Batt IN'!$E$45/12,0)</f>
        <v>0</v>
      </c>
      <c r="AR52" s="10">
        <f>BattLoan!M79</f>
        <v>0</v>
      </c>
      <c r="AS52" s="10">
        <f>'Batt IN'!$G$16*365/12*'Batt IN'!$E$16</f>
        <v>76.041666666666671</v>
      </c>
      <c r="AT52" s="10">
        <f>IF(AND('Batt IN'!$E$18&gt;0,'Batt IN'!$G$18&gt;0),'Batt IN'!$E$17*'Batt IN'!$G$17,0)</f>
        <v>119.44619999999999</v>
      </c>
      <c r="AU52" s="10">
        <f>IF(AND('Batt IN'!$E$20&gt;0,'Batt IN'!$G$20&gt;0),'Batt IN'!$E$19*'Batt IN'!$G$19,0)</f>
        <v>231</v>
      </c>
      <c r="AX52" s="10">
        <f>IF('Batt IN'!$E$11="Non-Taxable",Q52,0)</f>
        <v>11168.08</v>
      </c>
      <c r="AY52" s="10">
        <f>IF('Batt IN'!$E$11="Non-Taxable",'Batt IN'!$E$28/1000*'Batt IN'!$G$13*('Batt IN'!$E$13/12)*'Batt IN'!$E$12,0)</f>
        <v>244.42220833333334</v>
      </c>
      <c r="AZ52" s="10">
        <f>IF('Batt IN'!$E$11="Non-Taxable",$S52*'Batt IN'!$G$15*'Batt IN'!$E$28*'Batt IN'!$E$14/1000,0)</f>
        <v>0</v>
      </c>
      <c r="BA52" s="10">
        <f>IF('Batt IN'!$E$11="Non-Taxable",'Batt IN'!$E$21*'Batt IN'!$G$21/12,0)</f>
        <v>437.5</v>
      </c>
      <c r="BB52" s="10">
        <f>IF('Batt IN'!$E$11="Non-Taxable",'Batt IN'!$E$22*'Batt IN'!$G$22/12,0)</f>
        <v>1145.8333333333335</v>
      </c>
      <c r="BC52" s="10">
        <f>IF('Batt IN'!$E$11="Taxable",Q52,0)</f>
        <v>0</v>
      </c>
      <c r="BD52" s="10">
        <f>IF('Batt IN'!$E$11="Taxable",'Batt IN'!$E$28/1000*'Batt IN'!$G$13*('Batt IN'!$E$13/12)*'Batt IN'!$E$12,0)</f>
        <v>0</v>
      </c>
      <c r="BE52" s="10">
        <f>IF('Batt IN'!$E$11="Taxable",$S52*'Batt IN'!$G$15*'Batt IN'!$E$28*'Batt IN'!$E$14/1000,0)</f>
        <v>0</v>
      </c>
      <c r="BF52" s="10">
        <f>IF('Batt IN'!$E$11="Taxable",'Batt IN'!$E$21*'Batt IN'!$G$21/12,0)</f>
        <v>0</v>
      </c>
      <c r="BG52" s="10">
        <f>IF('Batt IN'!$E$11="Taxable",'Batt IN'!$E$22*'Batt IN'!$G$22/12,0)</f>
        <v>0</v>
      </c>
      <c r="BK52" s="10">
        <f>IF('Batt IN'!$N$18="Yes",-BattLoan!H80,-BattLoan!L80)</f>
        <v>0</v>
      </c>
      <c r="BL52" s="10">
        <f>IF('Batt IN'!$N$18="Yes",-BattLoan!F80,0)</f>
        <v>0</v>
      </c>
      <c r="BM52" s="10">
        <f>IF(AND('Batt IN'!$D$44="YES",$C52&lt;='Batt IN'!$E$44*12),0,-'Batt IN'!$E$28*'Batt IN'!$E$42/12)</f>
        <v>-83.333333333333329</v>
      </c>
      <c r="BN52" s="10">
        <f>IF(AND('Batt IN'!$D$46="YES",$C52&lt;='Batt IN'!$E$46*12),0,-'Batt IN'!$E$28*'Batt IN'!$E$45/12)</f>
        <v>-166.66666666666666</v>
      </c>
      <c r="BO52" s="2">
        <f>IF(AND('Batt IN'!$D$41="YES",BattCalcs!C52=ROUNDUP('Batt IN'!$H$41*12,)),-'Batt IN'!$E$41*'Batt IN'!$E$28,0)</f>
        <v>0</v>
      </c>
      <c r="BP52" s="2">
        <f>IF(AND('Batt IN'!$D$53="Yes",$AL$1&gt;=1),0,IF($C52='Batt IN'!$H$54*12,-'Batt IN'!$F$54,0))</f>
        <v>0</v>
      </c>
      <c r="BQ52" s="2">
        <f>IF(AND('Batt IN'!$D$53="Yes",$AL$1&gt;=2),0,IF($C52='Batt IN'!$H$55*12,-'Batt IN'!$F$55,0))</f>
        <v>0</v>
      </c>
      <c r="BR52" s="2">
        <f>IF(AND('Batt IN'!$D$53="Yes",$AL$1&gt;=3),0,IF($C52='Batt IN'!$H$56*12,-'Batt IN'!$F$56,0))</f>
        <v>0</v>
      </c>
      <c r="BS52" s="2">
        <f>IF(AND('Batt IN'!$D$53="Yes",$AL$1&gt;=4),0,IF($C52='Batt IN'!$H$57*12,-'Batt IN'!$F$57,0))</f>
        <v>0</v>
      </c>
      <c r="BT52" s="2">
        <f>IF(AND('Batt IN'!$D$53="Yes",$AL$1&gt;=5),0,IF($C52='Batt IN'!$H$58*12,-'Batt IN'!$F$58,0))</f>
        <v>0</v>
      </c>
      <c r="BU52" s="2">
        <f>-AH52*PVCalcs!F52</f>
        <v>-345.62614623867859</v>
      </c>
      <c r="BV52" s="2">
        <f>-'Batt IN'!$E$47</f>
        <v>-150</v>
      </c>
      <c r="BW52" s="2">
        <f>-'Batt IN'!$E$49</f>
        <v>-2250</v>
      </c>
      <c r="BX52" s="2">
        <f>IF('Batt IN'!$H$50="No",-(BC52*'Batt IN'!$E$50),-(BC52+BE52)*'Batt IN'!$E$50)</f>
        <v>0</v>
      </c>
      <c r="BY52" s="2">
        <f>IF(C52='Batt IN'!$H$43*12,-'Batt IN'!$E$43,0)</f>
        <v>0</v>
      </c>
      <c r="BZ52" s="38"/>
      <c r="CA52" s="10">
        <f t="shared" si="0"/>
        <v>13422.323408333334</v>
      </c>
      <c r="CB52" s="2">
        <f t="shared" si="6"/>
        <v>-2995.6261462386783</v>
      </c>
      <c r="CC52" s="45">
        <f t="shared" si="7"/>
        <v>10426.697262094654</v>
      </c>
      <c r="CD52" s="43"/>
      <c r="CE52" s="2">
        <f t="shared" si="8"/>
        <v>0</v>
      </c>
      <c r="CF52" s="2">
        <f t="shared" si="9"/>
        <v>-2995.6261462386783</v>
      </c>
      <c r="CG52" s="2">
        <f>-Depr.!F23</f>
        <v>0</v>
      </c>
      <c r="CH52" s="2">
        <f t="shared" si="10"/>
        <v>-2995.6261462386783</v>
      </c>
      <c r="CI52" s="45">
        <f>-CH52*'Batt IN'!$E$7</f>
        <v>629.08149071012247</v>
      </c>
      <c r="CJ52" s="48"/>
      <c r="CK52" s="45">
        <f>IF('Batt IN'!$F$4="PV Only",0,IF(C52&gt;'Batt IN'!$H$43*12,0,CC52+CI52))</f>
        <v>0</v>
      </c>
      <c r="CM52" s="10">
        <f t="shared" si="11"/>
        <v>0</v>
      </c>
      <c r="CN52" s="2">
        <f>CK52/(1+('Batt IN'!$G$8))^(C52)</f>
        <v>0</v>
      </c>
      <c r="CO52" s="2">
        <f>IF(C52&lt;='Batt IN'!$O$30*12,CN52+CO51,NA())</f>
        <v>0</v>
      </c>
      <c r="CQ52" s="2">
        <f>CK52/((1+('Batt IN'!$E$8/12))^BattCalcs!C52)</f>
        <v>0</v>
      </c>
      <c r="CS52" s="10">
        <f t="shared" si="12"/>
        <v>-2995.6261462386783</v>
      </c>
      <c r="CT52" s="10">
        <f t="shared" si="13"/>
        <v>0</v>
      </c>
      <c r="CU52" s="10">
        <f t="shared" si="14"/>
        <v>-2995.6261462386783</v>
      </c>
      <c r="CV52" s="10">
        <f t="shared" si="15"/>
        <v>-2995.6261462386783</v>
      </c>
      <c r="CW52" s="2">
        <f t="shared" si="1"/>
        <v>0</v>
      </c>
      <c r="CX52" s="2">
        <f>-(SUM(CV52:CW52)*'PV IN'!$E$8)</f>
        <v>629.08149071012247</v>
      </c>
      <c r="CY52" s="2">
        <f t="shared" si="16"/>
        <v>-2366.5446555285557</v>
      </c>
      <c r="CZ52" s="2">
        <f>IF(C52&lt;='Batt IN'!$H$43*12,CY52/(1+('PV IN'!$G$9))^(C52),0)</f>
        <v>-1946.9621448088358</v>
      </c>
      <c r="DA52" s="33">
        <f>IF(C52&lt;='Batt IN'!$H$43*12,AE52,0)</f>
        <v>30366.783333333333</v>
      </c>
    </row>
    <row r="53" spans="1:105" x14ac:dyDescent="0.25">
      <c r="A53">
        <f>IF(C53&lt;='Batt IN'!$H$43*12,C53,"")</f>
        <v>49</v>
      </c>
      <c r="C53">
        <v>49</v>
      </c>
      <c r="D53" s="21">
        <v>730</v>
      </c>
      <c r="E53" s="1">
        <f>1-'Batt IN'!$E$31</f>
        <v>2.0000000000000018E-2</v>
      </c>
      <c r="F53" s="12">
        <f>('Batt IN'!$E$33*365)/8760</f>
        <v>0</v>
      </c>
      <c r="G53" s="22">
        <f>'Batt IN'!$E$32/8760</f>
        <v>5.7077625570776253E-3</v>
      </c>
      <c r="H53" s="22">
        <f>'Batt IN'!$E$13/8760</f>
        <v>5.5936073059360729E-3</v>
      </c>
      <c r="I53" s="23">
        <f>IF(C53&lt;='Batt IN'!$G$14*12,'Batt IN'!$E$15/8760*'Batt IN'!$G$15,0)</f>
        <v>0</v>
      </c>
      <c r="J53" s="12">
        <f>Z53/'Batt IN'!$E$27/730</f>
        <v>2.4999999999999996E-3</v>
      </c>
      <c r="K53" s="23">
        <f>AA53/'Batt IN'!$E$27/730</f>
        <v>1.6027397260273972E-3</v>
      </c>
      <c r="L53" s="23">
        <f>AB53/'Batt IN'!$E$27/730</f>
        <v>2.0547945205479451E-4</v>
      </c>
      <c r="M53" s="23">
        <f>AC53/'Batt IN'!$E$27/730</f>
        <v>4.7945205479452057E-3</v>
      </c>
      <c r="N53" s="23">
        <f>AD53/'Batt IN'!$E$27/730</f>
        <v>3.4246575342465752E-3</v>
      </c>
      <c r="O53" s="12">
        <f t="shared" si="2"/>
        <v>4.3828767123287697E-2</v>
      </c>
      <c r="P53" s="21">
        <f t="shared" si="3"/>
        <v>698.005</v>
      </c>
      <c r="Q53" s="2">
        <f>IF('Batt IN'!$E$27*'Batt IN'!$E$24&lt;='Batt IN'!$E$28,(('Batt IN'!$E$23*'Batt IN'!$E$27*'Batt IN'!$E$24)/1000)*P53,(('Batt IN'!$E$23*'Batt IN'!$E$28*'Batt IN'!$E$24)/1000)*P53)</f>
        <v>11168.08</v>
      </c>
      <c r="R53" s="2"/>
      <c r="S53" s="77">
        <f>IF(C53&lt;='Batt IN'!$G$14*12,'Batt IN'!$E$15/12,0)</f>
        <v>0</v>
      </c>
      <c r="T53" s="77"/>
      <c r="U53" s="80">
        <f>'Batt IN'!$E$28*('Batt IN'!$G$24/24)*730*(1-O53)</f>
        <v>81433.916666666657</v>
      </c>
      <c r="V53" s="78">
        <f>U53*'Batt IN'!$F$30</f>
        <v>16286.783333333333</v>
      </c>
      <c r="W53" s="78">
        <f>'Batt IN'!$E$28*'Batt IN'!$G$32*('Batt IN'!$E$32/12)*(1+'Batt IN'!$F$30)</f>
        <v>1750.0000000000002</v>
      </c>
      <c r="X53" s="78">
        <f>'Batt IN'!$E$28*'Batt IN'!$G$13*('Batt IN'!$E$13/12)*(1+'Batt IN'!$F$30)</f>
        <v>3184.9999999999995</v>
      </c>
      <c r="Y53" s="33">
        <f>S53*'Batt IN'!$G$15*'Batt IN'!$E$28*(1+'Batt IN'!$F$30)</f>
        <v>0</v>
      </c>
      <c r="Z53" s="33">
        <f>'Batt IN'!$G$16*365/12*(1+'Batt IN'!$F$30)</f>
        <v>1824.9999999999998</v>
      </c>
      <c r="AA53" s="33">
        <f>'Batt IN'!$G$17*'Batt IN'!$E$18*'Batt IN'!$G$18/12*(1+'Batt IN'!$F$30)</f>
        <v>1170</v>
      </c>
      <c r="AB53" s="33">
        <f>'Batt IN'!$G$19*'Batt IN'!$E$20*'Batt IN'!$G$20/12*(1+'Batt IN'!$F$30)</f>
        <v>150</v>
      </c>
      <c r="AC53" s="33">
        <f>'Batt IN'!$G$21*(1+'Batt IN'!$F$30)/12</f>
        <v>3500</v>
      </c>
      <c r="AD53" s="33">
        <f>'Batt IN'!$G$22*(1+'Batt IN'!$F$30)/12</f>
        <v>2500</v>
      </c>
      <c r="AE53" s="33">
        <f t="shared" si="4"/>
        <v>30366.783333333333</v>
      </c>
      <c r="AF53" s="33">
        <f>IF('PV IN'!$F$4="Battery Only",0,AE53*'Batt IN'!$E$29)</f>
        <v>25811.765833333331</v>
      </c>
      <c r="AG53" s="33">
        <f>PVCalcs!L53</f>
        <v>25811.765833333331</v>
      </c>
      <c r="AH53" s="33">
        <f t="shared" si="5"/>
        <v>4555.0175000000017</v>
      </c>
      <c r="AI53" s="33"/>
      <c r="AJ53" s="2">
        <f>IF(AND('Batt IN'!$D$53="Yes",$AL$1&gt;=1),IF($C53='Batt IN'!$H$54*12,-'Batt IN'!$F$54,0),0)</f>
        <v>0</v>
      </c>
      <c r="AK53" s="2">
        <f>IF(AND('Batt IN'!$D$53="Yes",$AL$1&gt;=2),IF($C53='Batt IN'!$H$55*12,-'Batt IN'!$F$55,0),0)</f>
        <v>0</v>
      </c>
      <c r="AL53" s="2">
        <f>IF(AND('Batt IN'!$D$53="Yes",$AL$1&gt;=3),IF($C53='Batt IN'!$H$56*12,-'Batt IN'!$F$56,0),0)</f>
        <v>0</v>
      </c>
      <c r="AM53" s="2">
        <f>IF(AND('Batt IN'!$D$53="Yes",$AL$1&gt;=4),IF($C53='Batt IN'!$H$57*12,-'Batt IN'!$F$57,0),0)</f>
        <v>0</v>
      </c>
      <c r="AN53" s="2">
        <f>IF(AND('Batt IN'!$D$53="Yes",$AL$1&gt;=5),IF($C53='Batt IN'!$H$58*12,-'Batt IN'!$F$58,0),0)</f>
        <v>0</v>
      </c>
      <c r="AO53" s="10">
        <f>IF(AND('Batt IN'!$D$44="YES",$C53&lt;='Batt IN'!$E$44*12),-'Batt IN'!$E$28*'Batt IN'!$E$42/12,0)</f>
        <v>0</v>
      </c>
      <c r="AP53" s="10">
        <f>IF(AND('Batt IN'!$D$46="YES",$C53&lt;='Batt IN'!$E$46*12),-'Batt IN'!$E$28*'Batt IN'!$E$45/12,0)</f>
        <v>0</v>
      </c>
      <c r="AR53" s="10">
        <f>BattLoan!M80</f>
        <v>0</v>
      </c>
      <c r="AS53" s="10">
        <f>'Batt IN'!$G$16*365/12*'Batt IN'!$E$16</f>
        <v>76.041666666666671</v>
      </c>
      <c r="AT53" s="10">
        <f>IF(AND('Batt IN'!$E$18&gt;0,'Batt IN'!$G$18&gt;0),'Batt IN'!$E$17*'Batt IN'!$G$17,0)</f>
        <v>119.44619999999999</v>
      </c>
      <c r="AU53" s="10">
        <f>IF(AND('Batt IN'!$E$20&gt;0,'Batt IN'!$G$20&gt;0),'Batt IN'!$E$19*'Batt IN'!$G$19,0)</f>
        <v>231</v>
      </c>
      <c r="AV53" s="10"/>
      <c r="AW53" s="10"/>
      <c r="AX53" s="10">
        <f>IF('Batt IN'!$E$11="Non-Taxable",Q53,0)</f>
        <v>11168.08</v>
      </c>
      <c r="AY53" s="10">
        <f>IF('Batt IN'!$E$11="Non-Taxable",'Batt IN'!$E$28/1000*'Batt IN'!$G$13*('Batt IN'!$E$13/12)*'Batt IN'!$E$12,0)</f>
        <v>244.42220833333334</v>
      </c>
      <c r="AZ53" s="10">
        <f>IF('Batt IN'!$E$11="Non-Taxable",$S53*'Batt IN'!$G$15*'Batt IN'!$E$28*'Batt IN'!$E$14/1000,0)</f>
        <v>0</v>
      </c>
      <c r="BA53" s="10">
        <f>IF('Batt IN'!$E$11="Non-Taxable",'Batt IN'!$E$21*'Batt IN'!$G$21/12,0)</f>
        <v>437.5</v>
      </c>
      <c r="BB53" s="10">
        <f>IF('Batt IN'!$E$11="Non-Taxable",'Batt IN'!$E$22*'Batt IN'!$G$22/12,0)</f>
        <v>1145.8333333333335</v>
      </c>
      <c r="BC53" s="10">
        <f>IF('Batt IN'!$E$11="Taxable",Q53,0)</f>
        <v>0</v>
      </c>
      <c r="BD53" s="10">
        <f>IF('Batt IN'!$E$11="Taxable",'Batt IN'!$E$28/1000*'Batt IN'!$G$13*('Batt IN'!$E$13/12)*'Batt IN'!$E$12,0)</f>
        <v>0</v>
      </c>
      <c r="BE53" s="10">
        <f>IF('Batt IN'!$E$11="Taxable",$S53*'Batt IN'!$G$15*'Batt IN'!$E$28*'Batt IN'!$E$14/1000,0)</f>
        <v>0</v>
      </c>
      <c r="BF53" s="10">
        <f>IF('Batt IN'!$E$11="Taxable",'Batt IN'!$E$21*'Batt IN'!$G$21/12,0)</f>
        <v>0</v>
      </c>
      <c r="BG53" s="10">
        <f>IF('Batt IN'!$E$11="Taxable",'Batt IN'!$E$22*'Batt IN'!$G$22/12,0)</f>
        <v>0</v>
      </c>
      <c r="BK53" s="10">
        <f>IF('Batt IN'!$N$18="Yes",-BattLoan!H81,-BattLoan!L81)</f>
        <v>0</v>
      </c>
      <c r="BL53" s="10">
        <f>IF('Batt IN'!$N$18="Yes",-BattLoan!F81,0)</f>
        <v>0</v>
      </c>
      <c r="BM53" s="10">
        <f>IF(AND('Batt IN'!$D$44="YES",$C53&lt;='Batt IN'!$E$44*12),0,-'Batt IN'!$E$28*'Batt IN'!$E$42/12)</f>
        <v>-83.333333333333329</v>
      </c>
      <c r="BN53" s="10">
        <f>IF(AND('Batt IN'!$D$46="YES",$C53&lt;='Batt IN'!$E$46*12),0,-'Batt IN'!$E$28*'Batt IN'!$E$45/12)</f>
        <v>-166.66666666666666</v>
      </c>
      <c r="BO53" s="2">
        <f>IF(AND('Batt IN'!$D$41="YES",BattCalcs!C53=ROUNDUP('Batt IN'!$H$41*12,)),-'Batt IN'!$E$41*'Batt IN'!$E$28,0)</f>
        <v>0</v>
      </c>
      <c r="BP53" s="2">
        <f>IF(AND('Batt IN'!$D$53="Yes",$AL$1&gt;=1),0,IF($C53='Batt IN'!$H$54*12,-'Batt IN'!$F$54,0))</f>
        <v>0</v>
      </c>
      <c r="BQ53" s="2">
        <f>IF(AND('Batt IN'!$D$53="Yes",$AL$1&gt;=2),0,IF($C53='Batt IN'!$H$55*12,-'Batt IN'!$F$55,0))</f>
        <v>0</v>
      </c>
      <c r="BR53" s="2">
        <f>IF(AND('Batt IN'!$D$53="Yes",$AL$1&gt;=3),0,IF($C53='Batt IN'!$H$56*12,-'Batt IN'!$F$56,0))</f>
        <v>0</v>
      </c>
      <c r="BS53" s="2">
        <f>IF(AND('Batt IN'!$D$53="Yes",$AL$1&gt;=4),0,IF($C53='Batt IN'!$H$57*12,-'Batt IN'!$F$57,0))</f>
        <v>0</v>
      </c>
      <c r="BT53" s="2">
        <f>IF(AND('Batt IN'!$D$53="Yes",$AL$1&gt;=5),0,IF($C53='Batt IN'!$H$58*12,-'Batt IN'!$F$58,0))</f>
        <v>0</v>
      </c>
      <c r="BU53" s="2">
        <f>-AH53*PVCalcs!F53</f>
        <v>-345.95524826378846</v>
      </c>
      <c r="BV53" s="2">
        <f>-'Batt IN'!$E$47</f>
        <v>-150</v>
      </c>
      <c r="BW53" s="2">
        <f>-'Batt IN'!$E$49</f>
        <v>-2250</v>
      </c>
      <c r="BX53" s="2">
        <f>IF('Batt IN'!$H$50="No",-(BC53*'Batt IN'!$E$50),-(BC53+BE53)*'Batt IN'!$E$50)</f>
        <v>0</v>
      </c>
      <c r="BY53" s="2">
        <f>IF(C53='Batt IN'!$H$43*12,-'Batt IN'!$E$43,0)</f>
        <v>0</v>
      </c>
      <c r="BZ53" s="38"/>
      <c r="CA53" s="10">
        <f t="shared" si="0"/>
        <v>13422.323408333334</v>
      </c>
      <c r="CB53" s="2">
        <f t="shared" si="6"/>
        <v>-2995.9552482637882</v>
      </c>
      <c r="CC53" s="45">
        <f t="shared" si="7"/>
        <v>10426.368160069545</v>
      </c>
      <c r="CD53" s="43"/>
      <c r="CE53" s="2">
        <f t="shared" si="8"/>
        <v>0</v>
      </c>
      <c r="CF53" s="2">
        <f t="shared" si="9"/>
        <v>-2995.9552482637882</v>
      </c>
      <c r="CG53" s="2"/>
      <c r="CH53" s="2">
        <f t="shared" si="10"/>
        <v>-2995.9552482637882</v>
      </c>
      <c r="CI53" s="45">
        <f>-CH53*'Batt IN'!$E$7</f>
        <v>629.1506021353955</v>
      </c>
      <c r="CJ53" s="48"/>
      <c r="CK53" s="45">
        <f>IF('Batt IN'!$F$4="PV Only",0,IF(C53&gt;'Batt IN'!$H$43*12,0,CC53+CI53))</f>
        <v>0</v>
      </c>
      <c r="CM53" s="10">
        <f t="shared" si="11"/>
        <v>0</v>
      </c>
      <c r="CN53" s="2">
        <f>CK53/(1+('Batt IN'!$G$8))^(C53)</f>
        <v>0</v>
      </c>
      <c r="CO53" s="2">
        <f>IF(C53&lt;='Batt IN'!$O$30*12,CN53+CO52,NA())</f>
        <v>0</v>
      </c>
      <c r="CQ53" s="2">
        <f>CK53/((1+('Batt IN'!$E$8/12))^BattCalcs!C53)</f>
        <v>0</v>
      </c>
      <c r="CS53" s="10">
        <f t="shared" si="12"/>
        <v>-2995.9552482637882</v>
      </c>
      <c r="CT53" s="10">
        <f t="shared" si="13"/>
        <v>0</v>
      </c>
      <c r="CU53" s="10">
        <f t="shared" si="14"/>
        <v>-2995.9552482637882</v>
      </c>
      <c r="CV53" s="10">
        <f t="shared" si="15"/>
        <v>-2995.9552482637882</v>
      </c>
      <c r="CW53" s="2">
        <f t="shared" si="1"/>
        <v>0</v>
      </c>
      <c r="CX53" s="2">
        <f>-(SUM(CV53:CW53)*'PV IN'!$E$8)</f>
        <v>629.1506021353955</v>
      </c>
      <c r="CY53" s="2">
        <f t="shared" si="16"/>
        <v>-2366.804646128393</v>
      </c>
      <c r="CZ53" s="2">
        <f>IF(C53&lt;='Batt IN'!$H$43*12,CY53/(1+('PV IN'!$G$9))^(C53),0)</f>
        <v>-1939.2751925338036</v>
      </c>
      <c r="DA53" s="33">
        <f>IF(C53&lt;='Batt IN'!$H$43*12,AE53,0)</f>
        <v>30366.783333333333</v>
      </c>
    </row>
    <row r="54" spans="1:105" x14ac:dyDescent="0.25">
      <c r="A54">
        <f>IF(C54&lt;='Batt IN'!$H$43*12,C54,"")</f>
        <v>50</v>
      </c>
      <c r="C54">
        <v>50</v>
      </c>
      <c r="D54" s="21">
        <v>730</v>
      </c>
      <c r="E54" s="1">
        <f>1-'Batt IN'!$E$31</f>
        <v>2.0000000000000018E-2</v>
      </c>
      <c r="F54" s="12">
        <f>('Batt IN'!$E$33*365)/8760</f>
        <v>0</v>
      </c>
      <c r="G54" s="22">
        <f>'Batt IN'!$E$32/8760</f>
        <v>5.7077625570776253E-3</v>
      </c>
      <c r="H54" s="22">
        <f>'Batt IN'!$E$13/8760</f>
        <v>5.5936073059360729E-3</v>
      </c>
      <c r="I54" s="23">
        <f>IF(C54&lt;='Batt IN'!$G$14*12,'Batt IN'!$E$15/8760*'Batt IN'!$G$15,0)</f>
        <v>0</v>
      </c>
      <c r="J54" s="12">
        <f>Z54/'Batt IN'!$E$27/730</f>
        <v>2.4999999999999996E-3</v>
      </c>
      <c r="K54" s="23">
        <f>AA54/'Batt IN'!$E$27/730</f>
        <v>1.6027397260273972E-3</v>
      </c>
      <c r="L54" s="23">
        <f>AB54/'Batt IN'!$E$27/730</f>
        <v>2.0547945205479451E-4</v>
      </c>
      <c r="M54" s="23">
        <f>AC54/'Batt IN'!$E$27/730</f>
        <v>4.7945205479452057E-3</v>
      </c>
      <c r="N54" s="23">
        <f>AD54/'Batt IN'!$E$27/730</f>
        <v>3.4246575342465752E-3</v>
      </c>
      <c r="O54" s="12">
        <f t="shared" si="2"/>
        <v>4.3828767123287697E-2</v>
      </c>
      <c r="P54" s="21">
        <f t="shared" si="3"/>
        <v>698.005</v>
      </c>
      <c r="Q54" s="2">
        <f>IF('Batt IN'!$E$27*'Batt IN'!$E$24&lt;='Batt IN'!$E$28,(('Batt IN'!$E$23*'Batt IN'!$E$27*'Batt IN'!$E$24)/1000)*P54,(('Batt IN'!$E$23*'Batt IN'!$E$28*'Batt IN'!$E$24)/1000)*P54)</f>
        <v>11168.08</v>
      </c>
      <c r="R54" s="2"/>
      <c r="S54" s="77">
        <f>IF(C54&lt;='Batt IN'!$G$14*12,'Batt IN'!$E$15/12,0)</f>
        <v>0</v>
      </c>
      <c r="T54" s="77"/>
      <c r="U54" s="80">
        <f>'Batt IN'!$E$28*('Batt IN'!$G$24/24)*730*(1-O54)</f>
        <v>81433.916666666657</v>
      </c>
      <c r="V54" s="78">
        <f>U54*'Batt IN'!$F$30</f>
        <v>16286.783333333333</v>
      </c>
      <c r="W54" s="78">
        <f>'Batt IN'!$E$28*'Batt IN'!$G$32*('Batt IN'!$E$32/12)*(1+'Batt IN'!$F$30)</f>
        <v>1750.0000000000002</v>
      </c>
      <c r="X54" s="78">
        <f>'Batt IN'!$E$28*'Batt IN'!$G$13*('Batt IN'!$E$13/12)*(1+'Batt IN'!$F$30)</f>
        <v>3184.9999999999995</v>
      </c>
      <c r="Y54" s="33">
        <f>S54*'Batt IN'!$G$15*'Batt IN'!$E$28*(1+'Batt IN'!$F$30)</f>
        <v>0</v>
      </c>
      <c r="Z54" s="33">
        <f>'Batt IN'!$G$16*365/12*(1+'Batt IN'!$F$30)</f>
        <v>1824.9999999999998</v>
      </c>
      <c r="AA54" s="33">
        <f>'Batt IN'!$G$17*'Batt IN'!$E$18*'Batt IN'!$G$18/12*(1+'Batt IN'!$F$30)</f>
        <v>1170</v>
      </c>
      <c r="AB54" s="33">
        <f>'Batt IN'!$G$19*'Batt IN'!$E$20*'Batt IN'!$G$20/12*(1+'Batt IN'!$F$30)</f>
        <v>150</v>
      </c>
      <c r="AC54" s="33">
        <f>'Batt IN'!$G$21*(1+'Batt IN'!$F$30)/12</f>
        <v>3500</v>
      </c>
      <c r="AD54" s="33">
        <f>'Batt IN'!$G$22*(1+'Batt IN'!$F$30)/12</f>
        <v>2500</v>
      </c>
      <c r="AE54" s="33">
        <f t="shared" si="4"/>
        <v>30366.783333333333</v>
      </c>
      <c r="AF54" s="33">
        <f>IF('PV IN'!$F$4="Battery Only",0,AE54*'Batt IN'!$E$29)</f>
        <v>25811.765833333331</v>
      </c>
      <c r="AG54" s="33">
        <f>PVCalcs!L54</f>
        <v>25811.765833333331</v>
      </c>
      <c r="AH54" s="33">
        <f t="shared" si="5"/>
        <v>4555.0175000000017</v>
      </c>
      <c r="AI54" s="33"/>
      <c r="AJ54" s="2">
        <f>IF(AND('Batt IN'!$D$53="Yes",$AL$1&gt;=1),IF($C54='Batt IN'!$H$54*12,-'Batt IN'!$F$54,0),0)</f>
        <v>0</v>
      </c>
      <c r="AK54" s="2">
        <f>IF(AND('Batt IN'!$D$53="Yes",$AL$1&gt;=2),IF($C54='Batt IN'!$H$55*12,-'Batt IN'!$F$55,0),0)</f>
        <v>0</v>
      </c>
      <c r="AL54" s="2">
        <f>IF(AND('Batt IN'!$D$53="Yes",$AL$1&gt;=3),IF($C54='Batt IN'!$H$56*12,-'Batt IN'!$F$56,0),0)</f>
        <v>0</v>
      </c>
      <c r="AM54" s="2">
        <f>IF(AND('Batt IN'!$D$53="Yes",$AL$1&gt;=4),IF($C54='Batt IN'!$H$57*12,-'Batt IN'!$F$57,0),0)</f>
        <v>0</v>
      </c>
      <c r="AN54" s="2">
        <f>IF(AND('Batt IN'!$D$53="Yes",$AL$1&gt;=5),IF($C54='Batt IN'!$H$58*12,-'Batt IN'!$F$58,0),0)</f>
        <v>0</v>
      </c>
      <c r="AO54" s="10">
        <f>IF(AND('Batt IN'!$D$44="YES",$C54&lt;='Batt IN'!$E$44*12),-'Batt IN'!$E$28*'Batt IN'!$E$42/12,0)</f>
        <v>0</v>
      </c>
      <c r="AP54" s="10">
        <f>IF(AND('Batt IN'!$D$46="YES",$C54&lt;='Batt IN'!$E$46*12),-'Batt IN'!$E$28*'Batt IN'!$E$45/12,0)</f>
        <v>0</v>
      </c>
      <c r="AR54" s="10">
        <f>BattLoan!M81</f>
        <v>0</v>
      </c>
      <c r="AS54" s="10">
        <f>'Batt IN'!$G$16*365/12*'Batt IN'!$E$16</f>
        <v>76.041666666666671</v>
      </c>
      <c r="AT54" s="10">
        <f>IF(AND('Batt IN'!$E$18&gt;0,'Batt IN'!$G$18&gt;0),'Batt IN'!$E$17*'Batt IN'!$G$17,0)</f>
        <v>119.44619999999999</v>
      </c>
      <c r="AU54" s="10">
        <f>IF(AND('Batt IN'!$E$20&gt;0,'Batt IN'!$G$20&gt;0),'Batt IN'!$E$19*'Batt IN'!$G$19,0)</f>
        <v>231</v>
      </c>
      <c r="AV54" s="10"/>
      <c r="AW54" s="10"/>
      <c r="AX54" s="10">
        <f>IF('Batt IN'!$E$11="Non-Taxable",Q54,0)</f>
        <v>11168.08</v>
      </c>
      <c r="AY54" s="10">
        <f>IF('Batt IN'!$E$11="Non-Taxable",'Batt IN'!$E$28/1000*'Batt IN'!$G$13*('Batt IN'!$E$13/12)*'Batt IN'!$E$12,0)</f>
        <v>244.42220833333334</v>
      </c>
      <c r="AZ54" s="10">
        <f>IF('Batt IN'!$E$11="Non-Taxable",$S54*'Batt IN'!$G$15*'Batt IN'!$E$28*'Batt IN'!$E$14/1000,0)</f>
        <v>0</v>
      </c>
      <c r="BA54" s="10">
        <f>IF('Batt IN'!$E$11="Non-Taxable",'Batt IN'!$E$21*'Batt IN'!$G$21/12,0)</f>
        <v>437.5</v>
      </c>
      <c r="BB54" s="10">
        <f>IF('Batt IN'!$E$11="Non-Taxable",'Batt IN'!$E$22*'Batt IN'!$G$22/12,0)</f>
        <v>1145.8333333333335</v>
      </c>
      <c r="BC54" s="10">
        <f>IF('Batt IN'!$E$11="Taxable",Q54,0)</f>
        <v>0</v>
      </c>
      <c r="BD54" s="10">
        <f>IF('Batt IN'!$E$11="Taxable",'Batt IN'!$E$28/1000*'Batt IN'!$G$13*('Batt IN'!$E$13/12)*'Batt IN'!$E$12,0)</f>
        <v>0</v>
      </c>
      <c r="BE54" s="10">
        <f>IF('Batt IN'!$E$11="Taxable",$S54*'Batt IN'!$G$15*'Batt IN'!$E$28*'Batt IN'!$E$14/1000,0)</f>
        <v>0</v>
      </c>
      <c r="BF54" s="10">
        <f>IF('Batt IN'!$E$11="Taxable",'Batt IN'!$E$21*'Batt IN'!$G$21/12,0)</f>
        <v>0</v>
      </c>
      <c r="BG54" s="10">
        <f>IF('Batt IN'!$E$11="Taxable",'Batt IN'!$E$22*'Batt IN'!$G$22/12,0)</f>
        <v>0</v>
      </c>
      <c r="BK54" s="10">
        <f>IF('Batt IN'!$N$18="Yes",-BattLoan!H82,-BattLoan!L82)</f>
        <v>0</v>
      </c>
      <c r="BL54" s="10">
        <f>IF('Batt IN'!$N$18="Yes",-BattLoan!F82,0)</f>
        <v>0</v>
      </c>
      <c r="BM54" s="10">
        <f>IF(AND('Batt IN'!$D$44="YES",$C54&lt;='Batt IN'!$E$44*12),0,-'Batt IN'!$E$28*'Batt IN'!$E$42/12)</f>
        <v>-83.333333333333329</v>
      </c>
      <c r="BN54" s="10">
        <f>IF(AND('Batt IN'!$D$46="YES",$C54&lt;='Batt IN'!$E$46*12),0,-'Batt IN'!$E$28*'Batt IN'!$E$45/12)</f>
        <v>-166.66666666666666</v>
      </c>
      <c r="BO54" s="2">
        <f>IF(AND('Batt IN'!$D$41="YES",BattCalcs!C54=ROUNDUP('Batt IN'!$H$41*12,)),-'Batt IN'!$E$41*'Batt IN'!$E$28,0)</f>
        <v>0</v>
      </c>
      <c r="BP54" s="2">
        <f>IF(AND('Batt IN'!$D$53="Yes",$AL$1&gt;=1),0,IF($C54='Batt IN'!$H$54*12,-'Batt IN'!$F$54,0))</f>
        <v>0</v>
      </c>
      <c r="BQ54" s="2">
        <f>IF(AND('Batt IN'!$D$53="Yes",$AL$1&gt;=2),0,IF($C54='Batt IN'!$H$55*12,-'Batt IN'!$F$55,0))</f>
        <v>0</v>
      </c>
      <c r="BR54" s="2">
        <f>IF(AND('Batt IN'!$D$53="Yes",$AL$1&gt;=3),0,IF($C54='Batt IN'!$H$56*12,-'Batt IN'!$F$56,0))</f>
        <v>0</v>
      </c>
      <c r="BS54" s="2">
        <f>IF(AND('Batt IN'!$D$53="Yes",$AL$1&gt;=4),0,IF($C54='Batt IN'!$H$57*12,-'Batt IN'!$F$57,0))</f>
        <v>0</v>
      </c>
      <c r="BT54" s="2">
        <f>IF(AND('Batt IN'!$D$53="Yes",$AL$1&gt;=5),0,IF($C54='Batt IN'!$H$58*12,-'Batt IN'!$F$58,0))</f>
        <v>0</v>
      </c>
      <c r="BU54" s="2">
        <f>-AH54*PVCalcs!F54</f>
        <v>-345.95524826378846</v>
      </c>
      <c r="BV54" s="2">
        <f>-'Batt IN'!$E$47</f>
        <v>-150</v>
      </c>
      <c r="BW54" s="2">
        <f>-'Batt IN'!$E$49</f>
        <v>-2250</v>
      </c>
      <c r="BX54" s="2">
        <f>IF('Batt IN'!$H$50="No",-(BC54*'Batt IN'!$E$50),-(BC54+BE54)*'Batt IN'!$E$50)</f>
        <v>0</v>
      </c>
      <c r="BY54" s="2">
        <f>IF(C54='Batt IN'!$H$43*12,-'Batt IN'!$E$43,0)</f>
        <v>0</v>
      </c>
      <c r="BZ54" s="38"/>
      <c r="CA54" s="10">
        <f t="shared" si="0"/>
        <v>13422.323408333334</v>
      </c>
      <c r="CB54" s="2">
        <f t="shared" si="6"/>
        <v>-2995.9552482637882</v>
      </c>
      <c r="CC54" s="45">
        <f t="shared" si="7"/>
        <v>10426.368160069545</v>
      </c>
      <c r="CD54" s="43"/>
      <c r="CE54" s="2">
        <f t="shared" si="8"/>
        <v>0</v>
      </c>
      <c r="CF54" s="2">
        <f t="shared" si="9"/>
        <v>-2995.9552482637882</v>
      </c>
      <c r="CG54" s="2"/>
      <c r="CH54" s="2">
        <f t="shared" si="10"/>
        <v>-2995.9552482637882</v>
      </c>
      <c r="CI54" s="45">
        <f>-CH54*'Batt IN'!$E$7</f>
        <v>629.1506021353955</v>
      </c>
      <c r="CJ54" s="48"/>
      <c r="CK54" s="45">
        <f>IF('Batt IN'!$F$4="PV Only",0,IF(C54&gt;'Batt IN'!$H$43*12,0,CC54+CI54))</f>
        <v>0</v>
      </c>
      <c r="CM54" s="10">
        <f t="shared" si="11"/>
        <v>0</v>
      </c>
      <c r="CN54" s="2">
        <f>CK54/(1+('Batt IN'!$G$8))^(C54)</f>
        <v>0</v>
      </c>
      <c r="CO54" s="2">
        <f>IF(C54&lt;='Batt IN'!$O$30*12,CN54+CO53,NA())</f>
        <v>0</v>
      </c>
      <c r="CQ54" s="2">
        <f>CK54/((1+('Batt IN'!$E$8/12))^BattCalcs!C54)</f>
        <v>0</v>
      </c>
      <c r="CS54" s="10">
        <f t="shared" si="12"/>
        <v>-2995.9552482637882</v>
      </c>
      <c r="CT54" s="10">
        <f t="shared" si="13"/>
        <v>0</v>
      </c>
      <c r="CU54" s="10">
        <f t="shared" si="14"/>
        <v>-2995.9552482637882</v>
      </c>
      <c r="CV54" s="10">
        <f t="shared" si="15"/>
        <v>-2995.9552482637882</v>
      </c>
      <c r="CW54" s="2">
        <f t="shared" si="1"/>
        <v>0</v>
      </c>
      <c r="CX54" s="2">
        <f>-(SUM(CV54:CW54)*'PV IN'!$E$8)</f>
        <v>629.1506021353955</v>
      </c>
      <c r="CY54" s="2">
        <f t="shared" si="16"/>
        <v>-2366.804646128393</v>
      </c>
      <c r="CZ54" s="2">
        <f>IF(C54&lt;='Batt IN'!$H$43*12,CY54/(1+('PV IN'!$G$9))^(C54),0)</f>
        <v>-1931.4064037683199</v>
      </c>
      <c r="DA54" s="33">
        <f>IF(C54&lt;='Batt IN'!$H$43*12,AE54,0)</f>
        <v>30366.783333333333</v>
      </c>
    </row>
    <row r="55" spans="1:105" x14ac:dyDescent="0.25">
      <c r="A55">
        <f>IF(C55&lt;='Batt IN'!$H$43*12,C55,"")</f>
        <v>51</v>
      </c>
      <c r="C55">
        <v>51</v>
      </c>
      <c r="D55" s="21">
        <v>730</v>
      </c>
      <c r="E55" s="1">
        <f>1-'Batt IN'!$E$31</f>
        <v>2.0000000000000018E-2</v>
      </c>
      <c r="F55" s="12">
        <f>('Batt IN'!$E$33*365)/8760</f>
        <v>0</v>
      </c>
      <c r="G55" s="22">
        <f>'Batt IN'!$E$32/8760</f>
        <v>5.7077625570776253E-3</v>
      </c>
      <c r="H55" s="22">
        <f>'Batt IN'!$E$13/8760</f>
        <v>5.5936073059360729E-3</v>
      </c>
      <c r="I55" s="23">
        <f>IF(C55&lt;='Batt IN'!$G$14*12,'Batt IN'!$E$15/8760*'Batt IN'!$G$15,0)</f>
        <v>0</v>
      </c>
      <c r="J55" s="12">
        <f>Z55/'Batt IN'!$E$27/730</f>
        <v>2.4999999999999996E-3</v>
      </c>
      <c r="K55" s="23">
        <f>AA55/'Batt IN'!$E$27/730</f>
        <v>1.6027397260273972E-3</v>
      </c>
      <c r="L55" s="23">
        <f>AB55/'Batt IN'!$E$27/730</f>
        <v>2.0547945205479451E-4</v>
      </c>
      <c r="M55" s="23">
        <f>AC55/'Batt IN'!$E$27/730</f>
        <v>4.7945205479452057E-3</v>
      </c>
      <c r="N55" s="23">
        <f>AD55/'Batt IN'!$E$27/730</f>
        <v>3.4246575342465752E-3</v>
      </c>
      <c r="O55" s="12">
        <f t="shared" si="2"/>
        <v>4.3828767123287697E-2</v>
      </c>
      <c r="P55" s="21">
        <f t="shared" si="3"/>
        <v>698.005</v>
      </c>
      <c r="Q55" s="2">
        <f>IF('Batt IN'!$E$27*'Batt IN'!$E$24&lt;='Batt IN'!$E$28,(('Batt IN'!$E$23*'Batt IN'!$E$27*'Batt IN'!$E$24)/1000)*P55,(('Batt IN'!$E$23*'Batt IN'!$E$28*'Batt IN'!$E$24)/1000)*P55)</f>
        <v>11168.08</v>
      </c>
      <c r="R55" s="2"/>
      <c r="S55" s="77">
        <f>IF(C55&lt;='Batt IN'!$G$14*12,'Batt IN'!$E$15/12,0)</f>
        <v>0</v>
      </c>
      <c r="T55" s="77"/>
      <c r="U55" s="80">
        <f>'Batt IN'!$E$28*('Batt IN'!$G$24/24)*730*(1-O55)</f>
        <v>81433.916666666657</v>
      </c>
      <c r="V55" s="78">
        <f>U55*'Batt IN'!$F$30</f>
        <v>16286.783333333333</v>
      </c>
      <c r="W55" s="78">
        <f>'Batt IN'!$E$28*'Batt IN'!$G$32*('Batt IN'!$E$32/12)*(1+'Batt IN'!$F$30)</f>
        <v>1750.0000000000002</v>
      </c>
      <c r="X55" s="78">
        <f>'Batt IN'!$E$28*'Batt IN'!$G$13*('Batt IN'!$E$13/12)*(1+'Batt IN'!$F$30)</f>
        <v>3184.9999999999995</v>
      </c>
      <c r="Y55" s="33">
        <f>S55*'Batt IN'!$G$15*'Batt IN'!$E$28*(1+'Batt IN'!$F$30)</f>
        <v>0</v>
      </c>
      <c r="Z55" s="33">
        <f>'Batt IN'!$G$16*365/12*(1+'Batt IN'!$F$30)</f>
        <v>1824.9999999999998</v>
      </c>
      <c r="AA55" s="33">
        <f>'Batt IN'!$G$17*'Batt IN'!$E$18*'Batt IN'!$G$18/12*(1+'Batt IN'!$F$30)</f>
        <v>1170</v>
      </c>
      <c r="AB55" s="33">
        <f>'Batt IN'!$G$19*'Batt IN'!$E$20*'Batt IN'!$G$20/12*(1+'Batt IN'!$F$30)</f>
        <v>150</v>
      </c>
      <c r="AC55" s="33">
        <f>'Batt IN'!$G$21*(1+'Batt IN'!$F$30)/12</f>
        <v>3500</v>
      </c>
      <c r="AD55" s="33">
        <f>'Batt IN'!$G$22*(1+'Batt IN'!$F$30)/12</f>
        <v>2500</v>
      </c>
      <c r="AE55" s="33">
        <f t="shared" si="4"/>
        <v>30366.783333333333</v>
      </c>
      <c r="AF55" s="33">
        <f>IF('PV IN'!$F$4="Battery Only",0,AE55*'Batt IN'!$E$29)</f>
        <v>25811.765833333331</v>
      </c>
      <c r="AG55" s="33">
        <f>PVCalcs!L55</f>
        <v>25811.765833333331</v>
      </c>
      <c r="AH55" s="33">
        <f t="shared" si="5"/>
        <v>4555.0175000000017</v>
      </c>
      <c r="AI55" s="33"/>
      <c r="AJ55" s="2">
        <f>IF(AND('Batt IN'!$D$53="Yes",$AL$1&gt;=1),IF($C55='Batt IN'!$H$54*12,-'Batt IN'!$F$54,0),0)</f>
        <v>0</v>
      </c>
      <c r="AK55" s="2">
        <f>IF(AND('Batt IN'!$D$53="Yes",$AL$1&gt;=2),IF($C55='Batt IN'!$H$55*12,-'Batt IN'!$F$55,0),0)</f>
        <v>0</v>
      </c>
      <c r="AL55" s="2">
        <f>IF(AND('Batt IN'!$D$53="Yes",$AL$1&gt;=3),IF($C55='Batt IN'!$H$56*12,-'Batt IN'!$F$56,0),0)</f>
        <v>0</v>
      </c>
      <c r="AM55" s="2">
        <f>IF(AND('Batt IN'!$D$53="Yes",$AL$1&gt;=4),IF($C55='Batt IN'!$H$57*12,-'Batt IN'!$F$57,0),0)</f>
        <v>0</v>
      </c>
      <c r="AN55" s="2">
        <f>IF(AND('Batt IN'!$D$53="Yes",$AL$1&gt;=5),IF($C55='Batt IN'!$H$58*12,-'Batt IN'!$F$58,0),0)</f>
        <v>0</v>
      </c>
      <c r="AO55" s="10">
        <f>IF(AND('Batt IN'!$D$44="YES",$C55&lt;='Batt IN'!$E$44*12),-'Batt IN'!$E$28*'Batt IN'!$E$42/12,0)</f>
        <v>0</v>
      </c>
      <c r="AP55" s="10">
        <f>IF(AND('Batt IN'!$D$46="YES",$C55&lt;='Batt IN'!$E$46*12),-'Batt IN'!$E$28*'Batt IN'!$E$45/12,0)</f>
        <v>0</v>
      </c>
      <c r="AR55" s="10">
        <f>BattLoan!M82</f>
        <v>0</v>
      </c>
      <c r="AS55" s="10">
        <f>'Batt IN'!$G$16*365/12*'Batt IN'!$E$16</f>
        <v>76.041666666666671</v>
      </c>
      <c r="AT55" s="10">
        <f>IF(AND('Batt IN'!$E$18&gt;0,'Batt IN'!$G$18&gt;0),'Batt IN'!$E$17*'Batt IN'!$G$17,0)</f>
        <v>119.44619999999999</v>
      </c>
      <c r="AU55" s="10">
        <f>IF(AND('Batt IN'!$E$20&gt;0,'Batt IN'!$G$20&gt;0),'Batt IN'!$E$19*'Batt IN'!$G$19,0)</f>
        <v>231</v>
      </c>
      <c r="AV55" s="10"/>
      <c r="AW55" s="10"/>
      <c r="AX55" s="10">
        <f>IF('Batt IN'!$E$11="Non-Taxable",Q55,0)</f>
        <v>11168.08</v>
      </c>
      <c r="AY55" s="10">
        <f>IF('Batt IN'!$E$11="Non-Taxable",'Batt IN'!$E$28/1000*'Batt IN'!$G$13*('Batt IN'!$E$13/12)*'Batt IN'!$E$12,0)</f>
        <v>244.42220833333334</v>
      </c>
      <c r="AZ55" s="10">
        <f>IF('Batt IN'!$E$11="Non-Taxable",$S55*'Batt IN'!$G$15*'Batt IN'!$E$28*'Batt IN'!$E$14/1000,0)</f>
        <v>0</v>
      </c>
      <c r="BA55" s="10">
        <f>IF('Batt IN'!$E$11="Non-Taxable",'Batt IN'!$E$21*'Batt IN'!$G$21/12,0)</f>
        <v>437.5</v>
      </c>
      <c r="BB55" s="10">
        <f>IF('Batt IN'!$E$11="Non-Taxable",'Batt IN'!$E$22*'Batt IN'!$G$22/12,0)</f>
        <v>1145.8333333333335</v>
      </c>
      <c r="BC55" s="10">
        <f>IF('Batt IN'!$E$11="Taxable",Q55,0)</f>
        <v>0</v>
      </c>
      <c r="BD55" s="10">
        <f>IF('Batt IN'!$E$11="Taxable",'Batt IN'!$E$28/1000*'Batt IN'!$G$13*('Batt IN'!$E$13/12)*'Batt IN'!$E$12,0)</f>
        <v>0</v>
      </c>
      <c r="BE55" s="10">
        <f>IF('Batt IN'!$E$11="Taxable",$S55*'Batt IN'!$G$15*'Batt IN'!$E$28*'Batt IN'!$E$14/1000,0)</f>
        <v>0</v>
      </c>
      <c r="BF55" s="10">
        <f>IF('Batt IN'!$E$11="Taxable",'Batt IN'!$E$21*'Batt IN'!$G$21/12,0)</f>
        <v>0</v>
      </c>
      <c r="BG55" s="10">
        <f>IF('Batt IN'!$E$11="Taxable",'Batt IN'!$E$22*'Batt IN'!$G$22/12,0)</f>
        <v>0</v>
      </c>
      <c r="BK55" s="10">
        <f>IF('Batt IN'!$N$18="Yes",-BattLoan!H83,-BattLoan!L83)</f>
        <v>0</v>
      </c>
      <c r="BL55" s="10">
        <f>IF('Batt IN'!$N$18="Yes",-BattLoan!F83,0)</f>
        <v>0</v>
      </c>
      <c r="BM55" s="10">
        <f>IF(AND('Batt IN'!$D$44="YES",$C55&lt;='Batt IN'!$E$44*12),0,-'Batt IN'!$E$28*'Batt IN'!$E$42/12)</f>
        <v>-83.333333333333329</v>
      </c>
      <c r="BN55" s="10">
        <f>IF(AND('Batt IN'!$D$46="YES",$C55&lt;='Batt IN'!$E$46*12),0,-'Batt IN'!$E$28*'Batt IN'!$E$45/12)</f>
        <v>-166.66666666666666</v>
      </c>
      <c r="BO55" s="2">
        <f>IF(AND('Batt IN'!$D$41="YES",BattCalcs!C55=ROUNDUP('Batt IN'!$H$41*12,)),-'Batt IN'!$E$41*'Batt IN'!$E$28,0)</f>
        <v>0</v>
      </c>
      <c r="BP55" s="2">
        <f>IF(AND('Batt IN'!$D$53="Yes",$AL$1&gt;=1),0,IF($C55='Batt IN'!$H$54*12,-'Batt IN'!$F$54,0))</f>
        <v>0</v>
      </c>
      <c r="BQ55" s="2">
        <f>IF(AND('Batt IN'!$D$53="Yes",$AL$1&gt;=2),0,IF($C55='Batt IN'!$H$55*12,-'Batt IN'!$F$55,0))</f>
        <v>0</v>
      </c>
      <c r="BR55" s="2">
        <f>IF(AND('Batt IN'!$D$53="Yes",$AL$1&gt;=3),0,IF($C55='Batt IN'!$H$56*12,-'Batt IN'!$F$56,0))</f>
        <v>0</v>
      </c>
      <c r="BS55" s="2">
        <f>IF(AND('Batt IN'!$D$53="Yes",$AL$1&gt;=4),0,IF($C55='Batt IN'!$H$57*12,-'Batt IN'!$F$57,0))</f>
        <v>0</v>
      </c>
      <c r="BT55" s="2">
        <f>IF(AND('Batt IN'!$D$53="Yes",$AL$1&gt;=5),0,IF($C55='Batt IN'!$H$58*12,-'Batt IN'!$F$58,0))</f>
        <v>0</v>
      </c>
      <c r="BU55" s="2">
        <f>-AH55*PVCalcs!F55</f>
        <v>-345.95524826378846</v>
      </c>
      <c r="BV55" s="2">
        <f>-'Batt IN'!$E$47</f>
        <v>-150</v>
      </c>
      <c r="BW55" s="2">
        <f>-'Batt IN'!$E$49</f>
        <v>-2250</v>
      </c>
      <c r="BX55" s="2">
        <f>IF('Batt IN'!$H$50="No",-(BC55*'Batt IN'!$E$50),-(BC55+BE55)*'Batt IN'!$E$50)</f>
        <v>0</v>
      </c>
      <c r="BY55" s="2">
        <f>IF(C55='Batt IN'!$H$43*12,-'Batt IN'!$E$43,0)</f>
        <v>0</v>
      </c>
      <c r="BZ55" s="38"/>
      <c r="CA55" s="10">
        <f t="shared" si="0"/>
        <v>13422.323408333334</v>
      </c>
      <c r="CB55" s="2">
        <f t="shared" si="6"/>
        <v>-2995.9552482637882</v>
      </c>
      <c r="CC55" s="45">
        <f t="shared" si="7"/>
        <v>10426.368160069545</v>
      </c>
      <c r="CD55" s="43"/>
      <c r="CE55" s="2">
        <f t="shared" si="8"/>
        <v>0</v>
      </c>
      <c r="CF55" s="2">
        <f t="shared" si="9"/>
        <v>-2995.9552482637882</v>
      </c>
      <c r="CG55" s="2"/>
      <c r="CH55" s="2">
        <f t="shared" si="10"/>
        <v>-2995.9552482637882</v>
      </c>
      <c r="CI55" s="45">
        <f>-CH55*'Batt IN'!$E$7</f>
        <v>629.1506021353955</v>
      </c>
      <c r="CJ55" s="48"/>
      <c r="CK55" s="45">
        <f>IF('Batt IN'!$F$4="PV Only",0,IF(C55&gt;'Batt IN'!$H$43*12,0,CC55+CI55))</f>
        <v>0</v>
      </c>
      <c r="CM55" s="10">
        <f t="shared" si="11"/>
        <v>0</v>
      </c>
      <c r="CN55" s="2">
        <f>CK55/(1+('Batt IN'!$G$8))^(C55)</f>
        <v>0</v>
      </c>
      <c r="CO55" s="2">
        <f>IF(C55&lt;='Batt IN'!$O$30*12,CN55+CO54,NA())</f>
        <v>0</v>
      </c>
      <c r="CQ55" s="2">
        <f>CK55/((1+('Batt IN'!$E$8/12))^BattCalcs!C55)</f>
        <v>0</v>
      </c>
      <c r="CS55" s="10">
        <f t="shared" si="12"/>
        <v>-2995.9552482637882</v>
      </c>
      <c r="CT55" s="10">
        <f t="shared" si="13"/>
        <v>0</v>
      </c>
      <c r="CU55" s="10">
        <f t="shared" si="14"/>
        <v>-2995.9552482637882</v>
      </c>
      <c r="CV55" s="10">
        <f t="shared" si="15"/>
        <v>-2995.9552482637882</v>
      </c>
      <c r="CW55" s="2">
        <f t="shared" si="1"/>
        <v>0</v>
      </c>
      <c r="CX55" s="2">
        <f>-(SUM(CV55:CW55)*'PV IN'!$E$8)</f>
        <v>629.1506021353955</v>
      </c>
      <c r="CY55" s="2">
        <f t="shared" si="16"/>
        <v>-2366.804646128393</v>
      </c>
      <c r="CZ55" s="2">
        <f>IF(C55&lt;='Batt IN'!$H$43*12,CY55/(1+('PV IN'!$G$9))^(C55),0)</f>
        <v>-1923.5695433422875</v>
      </c>
      <c r="DA55" s="33">
        <f>IF(C55&lt;='Batt IN'!$H$43*12,AE55,0)</f>
        <v>30366.783333333333</v>
      </c>
    </row>
    <row r="56" spans="1:105" x14ac:dyDescent="0.25">
      <c r="A56">
        <f>IF(C56&lt;='Batt IN'!$H$43*12,C56,"")</f>
        <v>52</v>
      </c>
      <c r="C56">
        <v>52</v>
      </c>
      <c r="D56" s="21">
        <v>730</v>
      </c>
      <c r="E56" s="1">
        <f>1-'Batt IN'!$E$31</f>
        <v>2.0000000000000018E-2</v>
      </c>
      <c r="F56" s="12">
        <f>('Batt IN'!$E$33*365)/8760</f>
        <v>0</v>
      </c>
      <c r="G56" s="22">
        <f>'Batt IN'!$E$32/8760</f>
        <v>5.7077625570776253E-3</v>
      </c>
      <c r="H56" s="22">
        <f>'Batt IN'!$E$13/8760</f>
        <v>5.5936073059360729E-3</v>
      </c>
      <c r="I56" s="23">
        <f>IF(C56&lt;='Batt IN'!$G$14*12,'Batt IN'!$E$15/8760*'Batt IN'!$G$15,0)</f>
        <v>0</v>
      </c>
      <c r="J56" s="12">
        <f>Z56/'Batt IN'!$E$27/730</f>
        <v>2.4999999999999996E-3</v>
      </c>
      <c r="K56" s="23">
        <f>AA56/'Batt IN'!$E$27/730</f>
        <v>1.6027397260273972E-3</v>
      </c>
      <c r="L56" s="23">
        <f>AB56/'Batt IN'!$E$27/730</f>
        <v>2.0547945205479451E-4</v>
      </c>
      <c r="M56" s="23">
        <f>AC56/'Batt IN'!$E$27/730</f>
        <v>4.7945205479452057E-3</v>
      </c>
      <c r="N56" s="23">
        <f>AD56/'Batt IN'!$E$27/730</f>
        <v>3.4246575342465752E-3</v>
      </c>
      <c r="O56" s="12">
        <f t="shared" si="2"/>
        <v>4.3828767123287697E-2</v>
      </c>
      <c r="P56" s="21">
        <f t="shared" si="3"/>
        <v>698.005</v>
      </c>
      <c r="Q56" s="2">
        <f>IF('Batt IN'!$E$27*'Batt IN'!$E$24&lt;='Batt IN'!$E$28,(('Batt IN'!$E$23*'Batt IN'!$E$27*'Batt IN'!$E$24)/1000)*P56,(('Batt IN'!$E$23*'Batt IN'!$E$28*'Batt IN'!$E$24)/1000)*P56)</f>
        <v>11168.08</v>
      </c>
      <c r="R56" s="2"/>
      <c r="S56" s="77">
        <f>IF(C56&lt;='Batt IN'!$G$14*12,'Batt IN'!$E$15/12,0)</f>
        <v>0</v>
      </c>
      <c r="T56" s="77"/>
      <c r="U56" s="80">
        <f>'Batt IN'!$E$28*('Batt IN'!$G$24/24)*730*(1-O56)</f>
        <v>81433.916666666657</v>
      </c>
      <c r="V56" s="78">
        <f>U56*'Batt IN'!$F$30</f>
        <v>16286.783333333333</v>
      </c>
      <c r="W56" s="78">
        <f>'Batt IN'!$E$28*'Batt IN'!$G$32*('Batt IN'!$E$32/12)*(1+'Batt IN'!$F$30)</f>
        <v>1750.0000000000002</v>
      </c>
      <c r="X56" s="78">
        <f>'Batt IN'!$E$28*'Batt IN'!$G$13*('Batt IN'!$E$13/12)*(1+'Batt IN'!$F$30)</f>
        <v>3184.9999999999995</v>
      </c>
      <c r="Y56" s="33">
        <f>S56*'Batt IN'!$G$15*'Batt IN'!$E$28*(1+'Batt IN'!$F$30)</f>
        <v>0</v>
      </c>
      <c r="Z56" s="33">
        <f>'Batt IN'!$G$16*365/12*(1+'Batt IN'!$F$30)</f>
        <v>1824.9999999999998</v>
      </c>
      <c r="AA56" s="33">
        <f>'Batt IN'!$G$17*'Batt IN'!$E$18*'Batt IN'!$G$18/12*(1+'Batt IN'!$F$30)</f>
        <v>1170</v>
      </c>
      <c r="AB56" s="33">
        <f>'Batt IN'!$G$19*'Batt IN'!$E$20*'Batt IN'!$G$20/12*(1+'Batt IN'!$F$30)</f>
        <v>150</v>
      </c>
      <c r="AC56" s="33">
        <f>'Batt IN'!$G$21*(1+'Batt IN'!$F$30)/12</f>
        <v>3500</v>
      </c>
      <c r="AD56" s="33">
        <f>'Batt IN'!$G$22*(1+'Batt IN'!$F$30)/12</f>
        <v>2500</v>
      </c>
      <c r="AE56" s="33">
        <f t="shared" si="4"/>
        <v>30366.783333333333</v>
      </c>
      <c r="AF56" s="33">
        <f>IF('PV IN'!$F$4="Battery Only",0,AE56*'Batt IN'!$E$29)</f>
        <v>25811.765833333331</v>
      </c>
      <c r="AG56" s="33">
        <f>PVCalcs!L56</f>
        <v>25811.765833333331</v>
      </c>
      <c r="AH56" s="33">
        <f t="shared" si="5"/>
        <v>4555.0175000000017</v>
      </c>
      <c r="AI56" s="33"/>
      <c r="AJ56" s="2">
        <f>IF(AND('Batt IN'!$D$53="Yes",$AL$1&gt;=1),IF($C56='Batt IN'!$H$54*12,-'Batt IN'!$F$54,0),0)</f>
        <v>0</v>
      </c>
      <c r="AK56" s="2">
        <f>IF(AND('Batt IN'!$D$53="Yes",$AL$1&gt;=2),IF($C56='Batt IN'!$H$55*12,-'Batt IN'!$F$55,0),0)</f>
        <v>0</v>
      </c>
      <c r="AL56" s="2">
        <f>IF(AND('Batt IN'!$D$53="Yes",$AL$1&gt;=3),IF($C56='Batt IN'!$H$56*12,-'Batt IN'!$F$56,0),0)</f>
        <v>0</v>
      </c>
      <c r="AM56" s="2">
        <f>IF(AND('Batt IN'!$D$53="Yes",$AL$1&gt;=4),IF($C56='Batt IN'!$H$57*12,-'Batt IN'!$F$57,0),0)</f>
        <v>0</v>
      </c>
      <c r="AN56" s="2">
        <f>IF(AND('Batt IN'!$D$53="Yes",$AL$1&gt;=5),IF($C56='Batt IN'!$H$58*12,-'Batt IN'!$F$58,0),0)</f>
        <v>0</v>
      </c>
      <c r="AO56" s="10">
        <f>IF(AND('Batt IN'!$D$44="YES",$C56&lt;='Batt IN'!$E$44*12),-'Batt IN'!$E$28*'Batt IN'!$E$42/12,0)</f>
        <v>0</v>
      </c>
      <c r="AP56" s="10">
        <f>IF(AND('Batt IN'!$D$46="YES",$C56&lt;='Batt IN'!$E$46*12),-'Batt IN'!$E$28*'Batt IN'!$E$45/12,0)</f>
        <v>0</v>
      </c>
      <c r="AR56" s="10">
        <f>BattLoan!M83</f>
        <v>0</v>
      </c>
      <c r="AS56" s="10">
        <f>'Batt IN'!$G$16*365/12*'Batt IN'!$E$16</f>
        <v>76.041666666666671</v>
      </c>
      <c r="AT56" s="10">
        <f>IF(AND('Batt IN'!$E$18&gt;0,'Batt IN'!$G$18&gt;0),'Batt IN'!$E$17*'Batt IN'!$G$17,0)</f>
        <v>119.44619999999999</v>
      </c>
      <c r="AU56" s="10">
        <f>IF(AND('Batt IN'!$E$20&gt;0,'Batt IN'!$G$20&gt;0),'Batt IN'!$E$19*'Batt IN'!$G$19,0)</f>
        <v>231</v>
      </c>
      <c r="AV56" s="10"/>
      <c r="AW56" s="10"/>
      <c r="AX56" s="10">
        <f>IF('Batt IN'!$E$11="Non-Taxable",Q56,0)</f>
        <v>11168.08</v>
      </c>
      <c r="AY56" s="10">
        <f>IF('Batt IN'!$E$11="Non-Taxable",'Batt IN'!$E$28/1000*'Batt IN'!$G$13*('Batt IN'!$E$13/12)*'Batt IN'!$E$12,0)</f>
        <v>244.42220833333334</v>
      </c>
      <c r="AZ56" s="10">
        <f>IF('Batt IN'!$E$11="Non-Taxable",$S56*'Batt IN'!$G$15*'Batt IN'!$E$28*'Batt IN'!$E$14/1000,0)</f>
        <v>0</v>
      </c>
      <c r="BA56" s="10">
        <f>IF('Batt IN'!$E$11="Non-Taxable",'Batt IN'!$E$21*'Batt IN'!$G$21/12,0)</f>
        <v>437.5</v>
      </c>
      <c r="BB56" s="10">
        <f>IF('Batt IN'!$E$11="Non-Taxable",'Batt IN'!$E$22*'Batt IN'!$G$22/12,0)</f>
        <v>1145.8333333333335</v>
      </c>
      <c r="BC56" s="10">
        <f>IF('Batt IN'!$E$11="Taxable",Q56,0)</f>
        <v>0</v>
      </c>
      <c r="BD56" s="10">
        <f>IF('Batt IN'!$E$11="Taxable",'Batt IN'!$E$28/1000*'Batt IN'!$G$13*('Batt IN'!$E$13/12)*'Batt IN'!$E$12,0)</f>
        <v>0</v>
      </c>
      <c r="BE56" s="10">
        <f>IF('Batt IN'!$E$11="Taxable",$S56*'Batt IN'!$G$15*'Batt IN'!$E$28*'Batt IN'!$E$14/1000,0)</f>
        <v>0</v>
      </c>
      <c r="BF56" s="10">
        <f>IF('Batt IN'!$E$11="Taxable",'Batt IN'!$E$21*'Batt IN'!$G$21/12,0)</f>
        <v>0</v>
      </c>
      <c r="BG56" s="10">
        <f>IF('Batt IN'!$E$11="Taxable",'Batt IN'!$E$22*'Batt IN'!$G$22/12,0)</f>
        <v>0</v>
      </c>
      <c r="BK56" s="10">
        <f>IF('Batt IN'!$N$18="Yes",-BattLoan!H84,-BattLoan!L84)</f>
        <v>0</v>
      </c>
      <c r="BL56" s="10">
        <f>IF('Batt IN'!$N$18="Yes",-BattLoan!F84,0)</f>
        <v>0</v>
      </c>
      <c r="BM56" s="10">
        <f>IF(AND('Batt IN'!$D$44="YES",$C56&lt;='Batt IN'!$E$44*12),0,-'Batt IN'!$E$28*'Batt IN'!$E$42/12)</f>
        <v>-83.333333333333329</v>
      </c>
      <c r="BN56" s="10">
        <f>IF(AND('Batt IN'!$D$46="YES",$C56&lt;='Batt IN'!$E$46*12),0,-'Batt IN'!$E$28*'Batt IN'!$E$45/12)</f>
        <v>-166.66666666666666</v>
      </c>
      <c r="BO56" s="2">
        <f>IF(AND('Batt IN'!$D$41="YES",BattCalcs!C56=ROUNDUP('Batt IN'!$H$41*12,)),-'Batt IN'!$E$41*'Batt IN'!$E$28,0)</f>
        <v>0</v>
      </c>
      <c r="BP56" s="2">
        <f>IF(AND('Batt IN'!$D$53="Yes",$AL$1&gt;=1),0,IF($C56='Batt IN'!$H$54*12,-'Batt IN'!$F$54,0))</f>
        <v>0</v>
      </c>
      <c r="BQ56" s="2">
        <f>IF(AND('Batt IN'!$D$53="Yes",$AL$1&gt;=2),0,IF($C56='Batt IN'!$H$55*12,-'Batt IN'!$F$55,0))</f>
        <v>0</v>
      </c>
      <c r="BR56" s="2">
        <f>IF(AND('Batt IN'!$D$53="Yes",$AL$1&gt;=3),0,IF($C56='Batt IN'!$H$56*12,-'Batt IN'!$F$56,0))</f>
        <v>0</v>
      </c>
      <c r="BS56" s="2">
        <f>IF(AND('Batt IN'!$D$53="Yes",$AL$1&gt;=4),0,IF($C56='Batt IN'!$H$57*12,-'Batt IN'!$F$57,0))</f>
        <v>0</v>
      </c>
      <c r="BT56" s="2">
        <f>IF(AND('Batt IN'!$D$53="Yes",$AL$1&gt;=5),0,IF($C56='Batt IN'!$H$58*12,-'Batt IN'!$F$58,0))</f>
        <v>0</v>
      </c>
      <c r="BU56" s="2">
        <f>-AH56*PVCalcs!F56</f>
        <v>-345.95524826378846</v>
      </c>
      <c r="BV56" s="2">
        <f>-'Batt IN'!$E$47</f>
        <v>-150</v>
      </c>
      <c r="BW56" s="2">
        <f>-'Batt IN'!$E$49</f>
        <v>-2250</v>
      </c>
      <c r="BX56" s="2">
        <f>IF('Batt IN'!$H$50="No",-(BC56*'Batt IN'!$E$50),-(BC56+BE56)*'Batt IN'!$E$50)</f>
        <v>0</v>
      </c>
      <c r="BY56" s="2">
        <f>IF(C56='Batt IN'!$H$43*12,-'Batt IN'!$E$43,0)</f>
        <v>0</v>
      </c>
      <c r="BZ56" s="38"/>
      <c r="CA56" s="10">
        <f t="shared" si="0"/>
        <v>13422.323408333334</v>
      </c>
      <c r="CB56" s="2">
        <f t="shared" si="6"/>
        <v>-2995.9552482637882</v>
      </c>
      <c r="CC56" s="45">
        <f t="shared" si="7"/>
        <v>10426.368160069545</v>
      </c>
      <c r="CD56" s="43"/>
      <c r="CE56" s="2">
        <f t="shared" si="8"/>
        <v>0</v>
      </c>
      <c r="CF56" s="2">
        <f t="shared" si="9"/>
        <v>-2995.9552482637882</v>
      </c>
      <c r="CG56" s="2"/>
      <c r="CH56" s="2">
        <f t="shared" si="10"/>
        <v>-2995.9552482637882</v>
      </c>
      <c r="CI56" s="45">
        <f>-CH56*'Batt IN'!$E$7</f>
        <v>629.1506021353955</v>
      </c>
      <c r="CJ56" s="48"/>
      <c r="CK56" s="45">
        <f>IF('Batt IN'!$F$4="PV Only",0,IF(C56&gt;'Batt IN'!$H$43*12,0,CC56+CI56))</f>
        <v>0</v>
      </c>
      <c r="CM56" s="10">
        <f t="shared" si="11"/>
        <v>0</v>
      </c>
      <c r="CN56" s="2">
        <f>CK56/(1+('Batt IN'!$G$8))^(C56)</f>
        <v>0</v>
      </c>
      <c r="CO56" s="2">
        <f>IF(C56&lt;='Batt IN'!$O$30*12,CN56+CO55,NA())</f>
        <v>0</v>
      </c>
      <c r="CQ56" s="2">
        <f>CK56/((1+('Batt IN'!$E$8/12))^BattCalcs!C56)</f>
        <v>0</v>
      </c>
      <c r="CS56" s="10">
        <f t="shared" si="12"/>
        <v>-2995.9552482637882</v>
      </c>
      <c r="CT56" s="10">
        <f t="shared" si="13"/>
        <v>0</v>
      </c>
      <c r="CU56" s="10">
        <f t="shared" si="14"/>
        <v>-2995.9552482637882</v>
      </c>
      <c r="CV56" s="10">
        <f t="shared" si="15"/>
        <v>-2995.9552482637882</v>
      </c>
      <c r="CW56" s="2">
        <f t="shared" si="1"/>
        <v>0</v>
      </c>
      <c r="CX56" s="2">
        <f>-(SUM(CV56:CW56)*'PV IN'!$E$8)</f>
        <v>629.1506021353955</v>
      </c>
      <c r="CY56" s="2">
        <f t="shared" si="16"/>
        <v>-2366.804646128393</v>
      </c>
      <c r="CZ56" s="2">
        <f>IF(C56&lt;='Batt IN'!$H$43*12,CY56/(1+('PV IN'!$G$9))^(C56),0)</f>
        <v>-1915.7644817035105</v>
      </c>
      <c r="DA56" s="33">
        <f>IF(C56&lt;='Batt IN'!$H$43*12,AE56,0)</f>
        <v>30366.783333333333</v>
      </c>
    </row>
    <row r="57" spans="1:105" x14ac:dyDescent="0.25">
      <c r="A57">
        <f>IF(C57&lt;='Batt IN'!$H$43*12,C57,"")</f>
        <v>53</v>
      </c>
      <c r="C57">
        <v>53</v>
      </c>
      <c r="D57" s="21">
        <v>730</v>
      </c>
      <c r="E57" s="1">
        <f>1-'Batt IN'!$E$31</f>
        <v>2.0000000000000018E-2</v>
      </c>
      <c r="F57" s="12">
        <f>('Batt IN'!$E$33*365)/8760</f>
        <v>0</v>
      </c>
      <c r="G57" s="22">
        <f>'Batt IN'!$E$32/8760</f>
        <v>5.7077625570776253E-3</v>
      </c>
      <c r="H57" s="22">
        <f>'Batt IN'!$E$13/8760</f>
        <v>5.5936073059360729E-3</v>
      </c>
      <c r="I57" s="23">
        <f>IF(C57&lt;='Batt IN'!$G$14*12,'Batt IN'!$E$15/8760*'Batt IN'!$G$15,0)</f>
        <v>0</v>
      </c>
      <c r="J57" s="12">
        <f>Z57/'Batt IN'!$E$27/730</f>
        <v>2.4999999999999996E-3</v>
      </c>
      <c r="K57" s="23">
        <f>AA57/'Batt IN'!$E$27/730</f>
        <v>1.6027397260273972E-3</v>
      </c>
      <c r="L57" s="23">
        <f>AB57/'Batt IN'!$E$27/730</f>
        <v>2.0547945205479451E-4</v>
      </c>
      <c r="M57" s="23">
        <f>AC57/'Batt IN'!$E$27/730</f>
        <v>4.7945205479452057E-3</v>
      </c>
      <c r="N57" s="23">
        <f>AD57/'Batt IN'!$E$27/730</f>
        <v>3.4246575342465752E-3</v>
      </c>
      <c r="O57" s="12">
        <f t="shared" si="2"/>
        <v>4.3828767123287697E-2</v>
      </c>
      <c r="P57" s="21">
        <f t="shared" si="3"/>
        <v>698.005</v>
      </c>
      <c r="Q57" s="2">
        <f>IF('Batt IN'!$E$27*'Batt IN'!$E$24&lt;='Batt IN'!$E$28,(('Batt IN'!$E$23*'Batt IN'!$E$27*'Batt IN'!$E$24)/1000)*P57,(('Batt IN'!$E$23*'Batt IN'!$E$28*'Batt IN'!$E$24)/1000)*P57)</f>
        <v>11168.08</v>
      </c>
      <c r="R57" s="2"/>
      <c r="S57" s="77">
        <f>IF(C57&lt;='Batt IN'!$G$14*12,'Batt IN'!$E$15/12,0)</f>
        <v>0</v>
      </c>
      <c r="T57" s="77"/>
      <c r="U57" s="80">
        <f>'Batt IN'!$E$28*('Batt IN'!$G$24/24)*730*(1-O57)</f>
        <v>81433.916666666657</v>
      </c>
      <c r="V57" s="78">
        <f>U57*'Batt IN'!$F$30</f>
        <v>16286.783333333333</v>
      </c>
      <c r="W57" s="78">
        <f>'Batt IN'!$E$28*'Batt IN'!$G$32*('Batt IN'!$E$32/12)*(1+'Batt IN'!$F$30)</f>
        <v>1750.0000000000002</v>
      </c>
      <c r="X57" s="78">
        <f>'Batt IN'!$E$28*'Batt IN'!$G$13*('Batt IN'!$E$13/12)*(1+'Batt IN'!$F$30)</f>
        <v>3184.9999999999995</v>
      </c>
      <c r="Y57" s="33">
        <f>S57*'Batt IN'!$G$15*'Batt IN'!$E$28*(1+'Batt IN'!$F$30)</f>
        <v>0</v>
      </c>
      <c r="Z57" s="33">
        <f>'Batt IN'!$G$16*365/12*(1+'Batt IN'!$F$30)</f>
        <v>1824.9999999999998</v>
      </c>
      <c r="AA57" s="33">
        <f>'Batt IN'!$G$17*'Batt IN'!$E$18*'Batt IN'!$G$18/12*(1+'Batt IN'!$F$30)</f>
        <v>1170</v>
      </c>
      <c r="AB57" s="33">
        <f>'Batt IN'!$G$19*'Batt IN'!$E$20*'Batt IN'!$G$20/12*(1+'Batt IN'!$F$30)</f>
        <v>150</v>
      </c>
      <c r="AC57" s="33">
        <f>'Batt IN'!$G$21*(1+'Batt IN'!$F$30)/12</f>
        <v>3500</v>
      </c>
      <c r="AD57" s="33">
        <f>'Batt IN'!$G$22*(1+'Batt IN'!$F$30)/12</f>
        <v>2500</v>
      </c>
      <c r="AE57" s="33">
        <f t="shared" si="4"/>
        <v>30366.783333333333</v>
      </c>
      <c r="AF57" s="33">
        <f>IF('PV IN'!$F$4="Battery Only",0,AE57*'Batt IN'!$E$29)</f>
        <v>25811.765833333331</v>
      </c>
      <c r="AG57" s="33">
        <f>PVCalcs!L57</f>
        <v>25811.765833333331</v>
      </c>
      <c r="AH57" s="33">
        <f t="shared" si="5"/>
        <v>4555.0175000000017</v>
      </c>
      <c r="AI57" s="33"/>
      <c r="AJ57" s="2">
        <f>IF(AND('Batt IN'!$D$53="Yes",$AL$1&gt;=1),IF($C57='Batt IN'!$H$54*12,-'Batt IN'!$F$54,0),0)</f>
        <v>0</v>
      </c>
      <c r="AK57" s="2">
        <f>IF(AND('Batt IN'!$D$53="Yes",$AL$1&gt;=2),IF($C57='Batt IN'!$H$55*12,-'Batt IN'!$F$55,0),0)</f>
        <v>0</v>
      </c>
      <c r="AL57" s="2">
        <f>IF(AND('Batt IN'!$D$53="Yes",$AL$1&gt;=3),IF($C57='Batt IN'!$H$56*12,-'Batt IN'!$F$56,0),0)</f>
        <v>0</v>
      </c>
      <c r="AM57" s="2">
        <f>IF(AND('Batt IN'!$D$53="Yes",$AL$1&gt;=4),IF($C57='Batt IN'!$H$57*12,-'Batt IN'!$F$57,0),0)</f>
        <v>0</v>
      </c>
      <c r="AN57" s="2">
        <f>IF(AND('Batt IN'!$D$53="Yes",$AL$1&gt;=5),IF($C57='Batt IN'!$H$58*12,-'Batt IN'!$F$58,0),0)</f>
        <v>0</v>
      </c>
      <c r="AO57" s="10">
        <f>IF(AND('Batt IN'!$D$44="YES",$C57&lt;='Batt IN'!$E$44*12),-'Batt IN'!$E$28*'Batt IN'!$E$42/12,0)</f>
        <v>0</v>
      </c>
      <c r="AP57" s="10">
        <f>IF(AND('Batt IN'!$D$46="YES",$C57&lt;='Batt IN'!$E$46*12),-'Batt IN'!$E$28*'Batt IN'!$E$45/12,0)</f>
        <v>0</v>
      </c>
      <c r="AR57" s="10">
        <f>BattLoan!M84</f>
        <v>0</v>
      </c>
      <c r="AS57" s="10">
        <f>'Batt IN'!$G$16*365/12*'Batt IN'!$E$16</f>
        <v>76.041666666666671</v>
      </c>
      <c r="AT57" s="10">
        <f>IF(AND('Batt IN'!$E$18&gt;0,'Batt IN'!$G$18&gt;0),'Batt IN'!$E$17*'Batt IN'!$G$17,0)</f>
        <v>119.44619999999999</v>
      </c>
      <c r="AU57" s="10">
        <f>IF(AND('Batt IN'!$E$20&gt;0,'Batt IN'!$G$20&gt;0),'Batt IN'!$E$19*'Batt IN'!$G$19,0)</f>
        <v>231</v>
      </c>
      <c r="AV57" s="10"/>
      <c r="AW57" s="10"/>
      <c r="AX57" s="10">
        <f>IF('Batt IN'!$E$11="Non-Taxable",Q57,0)</f>
        <v>11168.08</v>
      </c>
      <c r="AY57" s="10">
        <f>IF('Batt IN'!$E$11="Non-Taxable",'Batt IN'!$E$28/1000*'Batt IN'!$G$13*('Batt IN'!$E$13/12)*'Batt IN'!$E$12,0)</f>
        <v>244.42220833333334</v>
      </c>
      <c r="AZ57" s="10">
        <f>IF('Batt IN'!$E$11="Non-Taxable",$S57*'Batt IN'!$G$15*'Batt IN'!$E$28*'Batt IN'!$E$14/1000,0)</f>
        <v>0</v>
      </c>
      <c r="BA57" s="10">
        <f>IF('Batt IN'!$E$11="Non-Taxable",'Batt IN'!$E$21*'Batt IN'!$G$21/12,0)</f>
        <v>437.5</v>
      </c>
      <c r="BB57" s="10">
        <f>IF('Batt IN'!$E$11="Non-Taxable",'Batt IN'!$E$22*'Batt IN'!$G$22/12,0)</f>
        <v>1145.8333333333335</v>
      </c>
      <c r="BC57" s="10">
        <f>IF('Batt IN'!$E$11="Taxable",Q57,0)</f>
        <v>0</v>
      </c>
      <c r="BD57" s="10">
        <f>IF('Batt IN'!$E$11="Taxable",'Batt IN'!$E$28/1000*'Batt IN'!$G$13*('Batt IN'!$E$13/12)*'Batt IN'!$E$12,0)</f>
        <v>0</v>
      </c>
      <c r="BE57" s="10">
        <f>IF('Batt IN'!$E$11="Taxable",$S57*'Batt IN'!$G$15*'Batt IN'!$E$28*'Batt IN'!$E$14/1000,0)</f>
        <v>0</v>
      </c>
      <c r="BF57" s="10">
        <f>IF('Batt IN'!$E$11="Taxable",'Batt IN'!$E$21*'Batt IN'!$G$21/12,0)</f>
        <v>0</v>
      </c>
      <c r="BG57" s="10">
        <f>IF('Batt IN'!$E$11="Taxable",'Batt IN'!$E$22*'Batt IN'!$G$22/12,0)</f>
        <v>0</v>
      </c>
      <c r="BK57" s="10">
        <f>IF('Batt IN'!$N$18="Yes",-BattLoan!H85,-BattLoan!L85)</f>
        <v>0</v>
      </c>
      <c r="BL57" s="10">
        <f>IF('Batt IN'!$N$18="Yes",-BattLoan!F85,0)</f>
        <v>0</v>
      </c>
      <c r="BM57" s="10">
        <f>IF(AND('Batt IN'!$D$44="YES",$C57&lt;='Batt IN'!$E$44*12),0,-'Batt IN'!$E$28*'Batt IN'!$E$42/12)</f>
        <v>-83.333333333333329</v>
      </c>
      <c r="BN57" s="10">
        <f>IF(AND('Batt IN'!$D$46="YES",$C57&lt;='Batt IN'!$E$46*12),0,-'Batt IN'!$E$28*'Batt IN'!$E$45/12)</f>
        <v>-166.66666666666666</v>
      </c>
      <c r="BO57" s="2">
        <f>IF(AND('Batt IN'!$D$41="YES",BattCalcs!C57=ROUNDUP('Batt IN'!$H$41*12,)),-'Batt IN'!$E$41*'Batt IN'!$E$28,0)</f>
        <v>0</v>
      </c>
      <c r="BP57" s="2">
        <f>IF(AND('Batt IN'!$D$53="Yes",$AL$1&gt;=1),0,IF($C57='Batt IN'!$H$54*12,-'Batt IN'!$F$54,0))</f>
        <v>0</v>
      </c>
      <c r="BQ57" s="2">
        <f>IF(AND('Batt IN'!$D$53="Yes",$AL$1&gt;=2),0,IF($C57='Batt IN'!$H$55*12,-'Batt IN'!$F$55,0))</f>
        <v>0</v>
      </c>
      <c r="BR57" s="2">
        <f>IF(AND('Batt IN'!$D$53="Yes",$AL$1&gt;=3),0,IF($C57='Batt IN'!$H$56*12,-'Batt IN'!$F$56,0))</f>
        <v>0</v>
      </c>
      <c r="BS57" s="2">
        <f>IF(AND('Batt IN'!$D$53="Yes",$AL$1&gt;=4),0,IF($C57='Batt IN'!$H$57*12,-'Batt IN'!$F$57,0))</f>
        <v>0</v>
      </c>
      <c r="BT57" s="2">
        <f>IF(AND('Batt IN'!$D$53="Yes",$AL$1&gt;=5),0,IF($C57='Batt IN'!$H$58*12,-'Batt IN'!$F$58,0))</f>
        <v>0</v>
      </c>
      <c r="BU57" s="2">
        <f>-AH57*PVCalcs!F57</f>
        <v>-345.95524826378846</v>
      </c>
      <c r="BV57" s="2">
        <f>-'Batt IN'!$E$47</f>
        <v>-150</v>
      </c>
      <c r="BW57" s="2">
        <f>-'Batt IN'!$E$49</f>
        <v>-2250</v>
      </c>
      <c r="BX57" s="2">
        <f>IF('Batt IN'!$H$50="No",-(BC57*'Batt IN'!$E$50),-(BC57+BE57)*'Batt IN'!$E$50)</f>
        <v>0</v>
      </c>
      <c r="BY57" s="2">
        <f>IF(C57='Batt IN'!$H$43*12,-'Batt IN'!$E$43,0)</f>
        <v>0</v>
      </c>
      <c r="BZ57" s="38"/>
      <c r="CA57" s="10">
        <f t="shared" si="0"/>
        <v>13422.323408333334</v>
      </c>
      <c r="CB57" s="2">
        <f t="shared" si="6"/>
        <v>-2995.9552482637882</v>
      </c>
      <c r="CC57" s="45">
        <f t="shared" si="7"/>
        <v>10426.368160069545</v>
      </c>
      <c r="CD57" s="43"/>
      <c r="CE57" s="2">
        <f t="shared" si="8"/>
        <v>0</v>
      </c>
      <c r="CF57" s="2">
        <f t="shared" si="9"/>
        <v>-2995.9552482637882</v>
      </c>
      <c r="CG57" s="2"/>
      <c r="CH57" s="2">
        <f t="shared" si="10"/>
        <v>-2995.9552482637882</v>
      </c>
      <c r="CI57" s="45">
        <f>-CH57*'Batt IN'!$E$7</f>
        <v>629.1506021353955</v>
      </c>
      <c r="CJ57" s="48"/>
      <c r="CK57" s="45">
        <f>IF('Batt IN'!$F$4="PV Only",0,IF(C57&gt;'Batt IN'!$H$43*12,0,CC57+CI57))</f>
        <v>0</v>
      </c>
      <c r="CM57" s="10">
        <f t="shared" si="11"/>
        <v>0</v>
      </c>
      <c r="CN57" s="2">
        <f>CK57/(1+('Batt IN'!$G$8))^(C57)</f>
        <v>0</v>
      </c>
      <c r="CO57" s="2">
        <f>IF(C57&lt;='Batt IN'!$O$30*12,CN57+CO56,NA())</f>
        <v>0</v>
      </c>
      <c r="CQ57" s="2">
        <f>CK57/((1+('Batt IN'!$E$8/12))^BattCalcs!C57)</f>
        <v>0</v>
      </c>
      <c r="CS57" s="10">
        <f t="shared" si="12"/>
        <v>-2995.9552482637882</v>
      </c>
      <c r="CT57" s="10">
        <f t="shared" si="13"/>
        <v>0</v>
      </c>
      <c r="CU57" s="10">
        <f t="shared" si="14"/>
        <v>-2995.9552482637882</v>
      </c>
      <c r="CV57" s="10">
        <f t="shared" si="15"/>
        <v>-2995.9552482637882</v>
      </c>
      <c r="CW57" s="2">
        <f t="shared" si="1"/>
        <v>0</v>
      </c>
      <c r="CX57" s="2">
        <f>-(SUM(CV57:CW57)*'PV IN'!$E$8)</f>
        <v>629.1506021353955</v>
      </c>
      <c r="CY57" s="2">
        <f t="shared" si="16"/>
        <v>-2366.804646128393</v>
      </c>
      <c r="CZ57" s="2">
        <f>IF(C57&lt;='Batt IN'!$H$43*12,CY57/(1+('PV IN'!$G$9))^(C57),0)</f>
        <v>-1907.9910898254636</v>
      </c>
      <c r="DA57" s="33">
        <f>IF(C57&lt;='Batt IN'!$H$43*12,AE57,0)</f>
        <v>30366.783333333333</v>
      </c>
    </row>
    <row r="58" spans="1:105" x14ac:dyDescent="0.25">
      <c r="A58">
        <f>IF(C58&lt;='Batt IN'!$H$43*12,C58,"")</f>
        <v>54</v>
      </c>
      <c r="C58">
        <v>54</v>
      </c>
      <c r="D58" s="21">
        <v>730</v>
      </c>
      <c r="E58" s="1">
        <f>1-'Batt IN'!$E$31</f>
        <v>2.0000000000000018E-2</v>
      </c>
      <c r="F58" s="12">
        <f>('Batt IN'!$E$33*365)/8760</f>
        <v>0</v>
      </c>
      <c r="G58" s="22">
        <f>'Batt IN'!$E$32/8760</f>
        <v>5.7077625570776253E-3</v>
      </c>
      <c r="H58" s="22">
        <f>'Batt IN'!$E$13/8760</f>
        <v>5.5936073059360729E-3</v>
      </c>
      <c r="I58" s="23">
        <f>IF(C58&lt;='Batt IN'!$G$14*12,'Batt IN'!$E$15/8760*'Batt IN'!$G$15,0)</f>
        <v>0</v>
      </c>
      <c r="J58" s="12">
        <f>Z58/'Batt IN'!$E$27/730</f>
        <v>2.4999999999999996E-3</v>
      </c>
      <c r="K58" s="23">
        <f>AA58/'Batt IN'!$E$27/730</f>
        <v>1.6027397260273972E-3</v>
      </c>
      <c r="L58" s="23">
        <f>AB58/'Batt IN'!$E$27/730</f>
        <v>2.0547945205479451E-4</v>
      </c>
      <c r="M58" s="23">
        <f>AC58/'Batt IN'!$E$27/730</f>
        <v>4.7945205479452057E-3</v>
      </c>
      <c r="N58" s="23">
        <f>AD58/'Batt IN'!$E$27/730</f>
        <v>3.4246575342465752E-3</v>
      </c>
      <c r="O58" s="12">
        <f t="shared" si="2"/>
        <v>4.3828767123287697E-2</v>
      </c>
      <c r="P58" s="21">
        <f t="shared" si="3"/>
        <v>698.005</v>
      </c>
      <c r="Q58" s="2">
        <f>IF('Batt IN'!$E$27*'Batt IN'!$E$24&lt;='Batt IN'!$E$28,(('Batt IN'!$E$23*'Batt IN'!$E$27*'Batt IN'!$E$24)/1000)*P58,(('Batt IN'!$E$23*'Batt IN'!$E$28*'Batt IN'!$E$24)/1000)*P58)</f>
        <v>11168.08</v>
      </c>
      <c r="R58" s="2"/>
      <c r="S58" s="77">
        <f>IF(C58&lt;='Batt IN'!$G$14*12,'Batt IN'!$E$15/12,0)</f>
        <v>0</v>
      </c>
      <c r="T58" s="77"/>
      <c r="U58" s="80">
        <f>'Batt IN'!$E$28*('Batt IN'!$G$24/24)*730*(1-O58)</f>
        <v>81433.916666666657</v>
      </c>
      <c r="V58" s="78">
        <f>U58*'Batt IN'!$F$30</f>
        <v>16286.783333333333</v>
      </c>
      <c r="W58" s="78">
        <f>'Batt IN'!$E$28*'Batt IN'!$G$32*('Batt IN'!$E$32/12)*(1+'Batt IN'!$F$30)</f>
        <v>1750.0000000000002</v>
      </c>
      <c r="X58" s="78">
        <f>'Batt IN'!$E$28*'Batt IN'!$G$13*('Batt IN'!$E$13/12)*(1+'Batt IN'!$F$30)</f>
        <v>3184.9999999999995</v>
      </c>
      <c r="Y58" s="33">
        <f>S58*'Batt IN'!$G$15*'Batt IN'!$E$28*(1+'Batt IN'!$F$30)</f>
        <v>0</v>
      </c>
      <c r="Z58" s="33">
        <f>'Batt IN'!$G$16*365/12*(1+'Batt IN'!$F$30)</f>
        <v>1824.9999999999998</v>
      </c>
      <c r="AA58" s="33">
        <f>'Batt IN'!$G$17*'Batt IN'!$E$18*'Batt IN'!$G$18/12*(1+'Batt IN'!$F$30)</f>
        <v>1170</v>
      </c>
      <c r="AB58" s="33">
        <f>'Batt IN'!$G$19*'Batt IN'!$E$20*'Batt IN'!$G$20/12*(1+'Batt IN'!$F$30)</f>
        <v>150</v>
      </c>
      <c r="AC58" s="33">
        <f>'Batt IN'!$G$21*(1+'Batt IN'!$F$30)/12</f>
        <v>3500</v>
      </c>
      <c r="AD58" s="33">
        <f>'Batt IN'!$G$22*(1+'Batt IN'!$F$30)/12</f>
        <v>2500</v>
      </c>
      <c r="AE58" s="33">
        <f t="shared" si="4"/>
        <v>30366.783333333333</v>
      </c>
      <c r="AF58" s="33">
        <f>IF('PV IN'!$F$4="Battery Only",0,AE58*'Batt IN'!$E$29)</f>
        <v>25811.765833333331</v>
      </c>
      <c r="AG58" s="33">
        <f>PVCalcs!L58</f>
        <v>25811.765833333331</v>
      </c>
      <c r="AH58" s="33">
        <f t="shared" si="5"/>
        <v>4555.0175000000017</v>
      </c>
      <c r="AI58" s="33"/>
      <c r="AJ58" s="2">
        <f>IF(AND('Batt IN'!$D$53="Yes",$AL$1&gt;=1),IF($C58='Batt IN'!$H$54*12,-'Batt IN'!$F$54,0),0)</f>
        <v>0</v>
      </c>
      <c r="AK58" s="2">
        <f>IF(AND('Batt IN'!$D$53="Yes",$AL$1&gt;=2),IF($C58='Batt IN'!$H$55*12,-'Batt IN'!$F$55,0),0)</f>
        <v>0</v>
      </c>
      <c r="AL58" s="2">
        <f>IF(AND('Batt IN'!$D$53="Yes",$AL$1&gt;=3),IF($C58='Batt IN'!$H$56*12,-'Batt IN'!$F$56,0),0)</f>
        <v>0</v>
      </c>
      <c r="AM58" s="2">
        <f>IF(AND('Batt IN'!$D$53="Yes",$AL$1&gt;=4),IF($C58='Batt IN'!$H$57*12,-'Batt IN'!$F$57,0),0)</f>
        <v>0</v>
      </c>
      <c r="AN58" s="2">
        <f>IF(AND('Batt IN'!$D$53="Yes",$AL$1&gt;=5),IF($C58='Batt IN'!$H$58*12,-'Batt IN'!$F$58,0),0)</f>
        <v>0</v>
      </c>
      <c r="AO58" s="10">
        <f>IF(AND('Batt IN'!$D$44="YES",$C58&lt;='Batt IN'!$E$44*12),-'Batt IN'!$E$28*'Batt IN'!$E$42/12,0)</f>
        <v>0</v>
      </c>
      <c r="AP58" s="10">
        <f>IF(AND('Batt IN'!$D$46="YES",$C58&lt;='Batt IN'!$E$46*12),-'Batt IN'!$E$28*'Batt IN'!$E$45/12,0)</f>
        <v>0</v>
      </c>
      <c r="AR58" s="10">
        <f>BattLoan!M85</f>
        <v>0</v>
      </c>
      <c r="AS58" s="10">
        <f>'Batt IN'!$G$16*365/12*'Batt IN'!$E$16</f>
        <v>76.041666666666671</v>
      </c>
      <c r="AT58" s="10">
        <f>IF(AND('Batt IN'!$E$18&gt;0,'Batt IN'!$G$18&gt;0),'Batt IN'!$E$17*'Batt IN'!$G$17,0)</f>
        <v>119.44619999999999</v>
      </c>
      <c r="AU58" s="10">
        <f>IF(AND('Batt IN'!$E$20&gt;0,'Batt IN'!$G$20&gt;0),'Batt IN'!$E$19*'Batt IN'!$G$19,0)</f>
        <v>231</v>
      </c>
      <c r="AV58" s="10"/>
      <c r="AW58" s="10"/>
      <c r="AX58" s="10">
        <f>IF('Batt IN'!$E$11="Non-Taxable",Q58,0)</f>
        <v>11168.08</v>
      </c>
      <c r="AY58" s="10">
        <f>IF('Batt IN'!$E$11="Non-Taxable",'Batt IN'!$E$28/1000*'Batt IN'!$G$13*('Batt IN'!$E$13/12)*'Batt IN'!$E$12,0)</f>
        <v>244.42220833333334</v>
      </c>
      <c r="AZ58" s="10">
        <f>IF('Batt IN'!$E$11="Non-Taxable",$S58*'Batt IN'!$G$15*'Batt IN'!$E$28*'Batt IN'!$E$14/1000,0)</f>
        <v>0</v>
      </c>
      <c r="BA58" s="10">
        <f>IF('Batt IN'!$E$11="Non-Taxable",'Batt IN'!$E$21*'Batt IN'!$G$21/12,0)</f>
        <v>437.5</v>
      </c>
      <c r="BB58" s="10">
        <f>IF('Batt IN'!$E$11="Non-Taxable",'Batt IN'!$E$22*'Batt IN'!$G$22/12,0)</f>
        <v>1145.8333333333335</v>
      </c>
      <c r="BC58" s="10">
        <f>IF('Batt IN'!$E$11="Taxable",Q58,0)</f>
        <v>0</v>
      </c>
      <c r="BD58" s="10">
        <f>IF('Batt IN'!$E$11="Taxable",'Batt IN'!$E$28/1000*'Batt IN'!$G$13*('Batt IN'!$E$13/12)*'Batt IN'!$E$12,0)</f>
        <v>0</v>
      </c>
      <c r="BE58" s="10">
        <f>IF('Batt IN'!$E$11="Taxable",$S58*'Batt IN'!$G$15*'Batt IN'!$E$28*'Batt IN'!$E$14/1000,0)</f>
        <v>0</v>
      </c>
      <c r="BF58" s="10">
        <f>IF('Batt IN'!$E$11="Taxable",'Batt IN'!$E$21*'Batt IN'!$G$21/12,0)</f>
        <v>0</v>
      </c>
      <c r="BG58" s="10">
        <f>IF('Batt IN'!$E$11="Taxable",'Batt IN'!$E$22*'Batt IN'!$G$22/12,0)</f>
        <v>0</v>
      </c>
      <c r="BK58" s="10">
        <f>IF('Batt IN'!$N$18="Yes",-BattLoan!H86,-BattLoan!L86)</f>
        <v>0</v>
      </c>
      <c r="BL58" s="10">
        <f>IF('Batt IN'!$N$18="Yes",-BattLoan!F86,0)</f>
        <v>0</v>
      </c>
      <c r="BM58" s="10">
        <f>IF(AND('Batt IN'!$D$44="YES",$C58&lt;='Batt IN'!$E$44*12),0,-'Batt IN'!$E$28*'Batt IN'!$E$42/12)</f>
        <v>-83.333333333333329</v>
      </c>
      <c r="BN58" s="10">
        <f>IF(AND('Batt IN'!$D$46="YES",$C58&lt;='Batt IN'!$E$46*12),0,-'Batt IN'!$E$28*'Batt IN'!$E$45/12)</f>
        <v>-166.66666666666666</v>
      </c>
      <c r="BO58" s="2">
        <f>IF(AND('Batt IN'!$D$41="YES",BattCalcs!C58=ROUNDUP('Batt IN'!$H$41*12,)),-'Batt IN'!$E$41*'Batt IN'!$E$28,0)</f>
        <v>0</v>
      </c>
      <c r="BP58" s="2">
        <f>IF(AND('Batt IN'!$D$53="Yes",$AL$1&gt;=1),0,IF($C58='Batt IN'!$H$54*12,-'Batt IN'!$F$54,0))</f>
        <v>0</v>
      </c>
      <c r="BQ58" s="2">
        <f>IF(AND('Batt IN'!$D$53="Yes",$AL$1&gt;=2),0,IF($C58='Batt IN'!$H$55*12,-'Batt IN'!$F$55,0))</f>
        <v>0</v>
      </c>
      <c r="BR58" s="2">
        <f>IF(AND('Batt IN'!$D$53="Yes",$AL$1&gt;=3),0,IF($C58='Batt IN'!$H$56*12,-'Batt IN'!$F$56,0))</f>
        <v>0</v>
      </c>
      <c r="BS58" s="2">
        <f>IF(AND('Batt IN'!$D$53="Yes",$AL$1&gt;=4),0,IF($C58='Batt IN'!$H$57*12,-'Batt IN'!$F$57,0))</f>
        <v>0</v>
      </c>
      <c r="BT58" s="2">
        <f>IF(AND('Batt IN'!$D$53="Yes",$AL$1&gt;=5),0,IF($C58='Batt IN'!$H$58*12,-'Batt IN'!$F$58,0))</f>
        <v>0</v>
      </c>
      <c r="BU58" s="2">
        <f>-AH58*PVCalcs!F58</f>
        <v>-345.95524826378846</v>
      </c>
      <c r="BV58" s="2">
        <f>-'Batt IN'!$E$47</f>
        <v>-150</v>
      </c>
      <c r="BW58" s="2">
        <f>-'Batt IN'!$E$49</f>
        <v>-2250</v>
      </c>
      <c r="BX58" s="2">
        <f>IF('Batt IN'!$H$50="No",-(BC58*'Batt IN'!$E$50),-(BC58+BE58)*'Batt IN'!$E$50)</f>
        <v>0</v>
      </c>
      <c r="BY58" s="2">
        <f>IF(C58='Batt IN'!$H$43*12,-'Batt IN'!$E$43,0)</f>
        <v>0</v>
      </c>
      <c r="BZ58" s="38"/>
      <c r="CA58" s="10">
        <f t="shared" si="0"/>
        <v>13422.323408333334</v>
      </c>
      <c r="CB58" s="2">
        <f t="shared" si="6"/>
        <v>-2995.9552482637882</v>
      </c>
      <c r="CC58" s="45">
        <f t="shared" si="7"/>
        <v>10426.368160069545</v>
      </c>
      <c r="CD58" s="43"/>
      <c r="CE58" s="2">
        <f t="shared" si="8"/>
        <v>0</v>
      </c>
      <c r="CF58" s="2">
        <f t="shared" si="9"/>
        <v>-2995.9552482637882</v>
      </c>
      <c r="CG58" s="2"/>
      <c r="CH58" s="2">
        <f t="shared" si="10"/>
        <v>-2995.9552482637882</v>
      </c>
      <c r="CI58" s="45">
        <f>-CH58*'Batt IN'!$E$7</f>
        <v>629.1506021353955</v>
      </c>
      <c r="CJ58" s="48"/>
      <c r="CK58" s="45">
        <f>IF('Batt IN'!$F$4="PV Only",0,IF(C58&gt;'Batt IN'!$H$43*12,0,CC58+CI58))</f>
        <v>0</v>
      </c>
      <c r="CM58" s="10">
        <f t="shared" si="11"/>
        <v>0</v>
      </c>
      <c r="CN58" s="2">
        <f>CK58/(1+('Batt IN'!$G$8))^(C58)</f>
        <v>0</v>
      </c>
      <c r="CO58" s="2">
        <f>IF(C58&lt;='Batt IN'!$O$30*12,CN58+CO57,NA())</f>
        <v>0</v>
      </c>
      <c r="CQ58" s="2">
        <f>CK58/((1+('Batt IN'!$E$8/12))^BattCalcs!C58)</f>
        <v>0</v>
      </c>
      <c r="CS58" s="10">
        <f t="shared" si="12"/>
        <v>-2995.9552482637882</v>
      </c>
      <c r="CT58" s="10">
        <f t="shared" si="13"/>
        <v>0</v>
      </c>
      <c r="CU58" s="10">
        <f t="shared" si="14"/>
        <v>-2995.9552482637882</v>
      </c>
      <c r="CV58" s="10">
        <f t="shared" si="15"/>
        <v>-2995.9552482637882</v>
      </c>
      <c r="CW58" s="2">
        <f t="shared" si="1"/>
        <v>0</v>
      </c>
      <c r="CX58" s="2">
        <f>-(SUM(CV58:CW58)*'PV IN'!$E$8)</f>
        <v>629.1506021353955</v>
      </c>
      <c r="CY58" s="2">
        <f t="shared" si="16"/>
        <v>-2366.804646128393</v>
      </c>
      <c r="CZ58" s="2">
        <f>IF(C58&lt;='Batt IN'!$H$43*12,CY58/(1+('PV IN'!$G$9))^(C58),0)</f>
        <v>-1900.2492392051579</v>
      </c>
      <c r="DA58" s="33">
        <f>IF(C58&lt;='Batt IN'!$H$43*12,AE58,0)</f>
        <v>30366.783333333333</v>
      </c>
    </row>
    <row r="59" spans="1:105" x14ac:dyDescent="0.25">
      <c r="A59">
        <f>IF(C59&lt;='Batt IN'!$H$43*12,C59,"")</f>
        <v>55</v>
      </c>
      <c r="C59">
        <v>55</v>
      </c>
      <c r="D59" s="21">
        <v>730</v>
      </c>
      <c r="E59" s="1">
        <f>1-'Batt IN'!$E$31</f>
        <v>2.0000000000000018E-2</v>
      </c>
      <c r="F59" s="12">
        <f>('Batt IN'!$E$33*365)/8760</f>
        <v>0</v>
      </c>
      <c r="G59" s="22">
        <f>'Batt IN'!$E$32/8760</f>
        <v>5.7077625570776253E-3</v>
      </c>
      <c r="H59" s="22">
        <f>'Batt IN'!$E$13/8760</f>
        <v>5.5936073059360729E-3</v>
      </c>
      <c r="I59" s="23">
        <f>IF(C59&lt;='Batt IN'!$G$14*12,'Batt IN'!$E$15/8760*'Batt IN'!$G$15,0)</f>
        <v>0</v>
      </c>
      <c r="J59" s="12">
        <f>Z59/'Batt IN'!$E$27/730</f>
        <v>2.4999999999999996E-3</v>
      </c>
      <c r="K59" s="23">
        <f>AA59/'Batt IN'!$E$27/730</f>
        <v>1.6027397260273972E-3</v>
      </c>
      <c r="L59" s="23">
        <f>AB59/'Batt IN'!$E$27/730</f>
        <v>2.0547945205479451E-4</v>
      </c>
      <c r="M59" s="23">
        <f>AC59/'Batt IN'!$E$27/730</f>
        <v>4.7945205479452057E-3</v>
      </c>
      <c r="N59" s="23">
        <f>AD59/'Batt IN'!$E$27/730</f>
        <v>3.4246575342465752E-3</v>
      </c>
      <c r="O59" s="12">
        <f t="shared" si="2"/>
        <v>4.3828767123287697E-2</v>
      </c>
      <c r="P59" s="21">
        <f t="shared" si="3"/>
        <v>698.005</v>
      </c>
      <c r="Q59" s="2">
        <f>IF('Batt IN'!$E$27*'Batt IN'!$E$24&lt;='Batt IN'!$E$28,(('Batt IN'!$E$23*'Batt IN'!$E$27*'Batt IN'!$E$24)/1000)*P59,(('Batt IN'!$E$23*'Batt IN'!$E$28*'Batt IN'!$E$24)/1000)*P59)</f>
        <v>11168.08</v>
      </c>
      <c r="R59" s="2"/>
      <c r="S59" s="77">
        <f>IF(C59&lt;='Batt IN'!$G$14*12,'Batt IN'!$E$15/12,0)</f>
        <v>0</v>
      </c>
      <c r="T59" s="77"/>
      <c r="U59" s="80">
        <f>'Batt IN'!$E$28*('Batt IN'!$G$24/24)*730*(1-O59)</f>
        <v>81433.916666666657</v>
      </c>
      <c r="V59" s="78">
        <f>U59*'Batt IN'!$F$30</f>
        <v>16286.783333333333</v>
      </c>
      <c r="W59" s="78">
        <f>'Batt IN'!$E$28*'Batt IN'!$G$32*('Batt IN'!$E$32/12)*(1+'Batt IN'!$F$30)</f>
        <v>1750.0000000000002</v>
      </c>
      <c r="X59" s="78">
        <f>'Batt IN'!$E$28*'Batt IN'!$G$13*('Batt IN'!$E$13/12)*(1+'Batt IN'!$F$30)</f>
        <v>3184.9999999999995</v>
      </c>
      <c r="Y59" s="33">
        <f>S59*'Batt IN'!$G$15*'Batt IN'!$E$28*(1+'Batt IN'!$F$30)</f>
        <v>0</v>
      </c>
      <c r="Z59" s="33">
        <f>'Batt IN'!$G$16*365/12*(1+'Batt IN'!$F$30)</f>
        <v>1824.9999999999998</v>
      </c>
      <c r="AA59" s="33">
        <f>'Batt IN'!$G$17*'Batt IN'!$E$18*'Batt IN'!$G$18/12*(1+'Batt IN'!$F$30)</f>
        <v>1170</v>
      </c>
      <c r="AB59" s="33">
        <f>'Batt IN'!$G$19*'Batt IN'!$E$20*'Batt IN'!$G$20/12*(1+'Batt IN'!$F$30)</f>
        <v>150</v>
      </c>
      <c r="AC59" s="33">
        <f>'Batt IN'!$G$21*(1+'Batt IN'!$F$30)/12</f>
        <v>3500</v>
      </c>
      <c r="AD59" s="33">
        <f>'Batt IN'!$G$22*(1+'Batt IN'!$F$30)/12</f>
        <v>2500</v>
      </c>
      <c r="AE59" s="33">
        <f t="shared" si="4"/>
        <v>30366.783333333333</v>
      </c>
      <c r="AF59" s="33">
        <f>IF('PV IN'!$F$4="Battery Only",0,AE59*'Batt IN'!$E$29)</f>
        <v>25811.765833333331</v>
      </c>
      <c r="AG59" s="33">
        <f>PVCalcs!L59</f>
        <v>25811.765833333331</v>
      </c>
      <c r="AH59" s="33">
        <f t="shared" si="5"/>
        <v>4555.0175000000017</v>
      </c>
      <c r="AI59" s="33"/>
      <c r="AJ59" s="2">
        <f>IF(AND('Batt IN'!$D$53="Yes",$AL$1&gt;=1),IF($C59='Batt IN'!$H$54*12,-'Batt IN'!$F$54,0),0)</f>
        <v>0</v>
      </c>
      <c r="AK59" s="2">
        <f>IF(AND('Batt IN'!$D$53="Yes",$AL$1&gt;=2),IF($C59='Batt IN'!$H$55*12,-'Batt IN'!$F$55,0),0)</f>
        <v>0</v>
      </c>
      <c r="AL59" s="2">
        <f>IF(AND('Batt IN'!$D$53="Yes",$AL$1&gt;=3),IF($C59='Batt IN'!$H$56*12,-'Batt IN'!$F$56,0),0)</f>
        <v>0</v>
      </c>
      <c r="AM59" s="2">
        <f>IF(AND('Batt IN'!$D$53="Yes",$AL$1&gt;=4),IF($C59='Batt IN'!$H$57*12,-'Batt IN'!$F$57,0),0)</f>
        <v>0</v>
      </c>
      <c r="AN59" s="2">
        <f>IF(AND('Batt IN'!$D$53="Yes",$AL$1&gt;=5),IF($C59='Batt IN'!$H$58*12,-'Batt IN'!$F$58,0),0)</f>
        <v>0</v>
      </c>
      <c r="AO59" s="10">
        <f>IF(AND('Batt IN'!$D$44="YES",$C59&lt;='Batt IN'!$E$44*12),-'Batt IN'!$E$28*'Batt IN'!$E$42/12,0)</f>
        <v>0</v>
      </c>
      <c r="AP59" s="10">
        <f>IF(AND('Batt IN'!$D$46="YES",$C59&lt;='Batt IN'!$E$46*12),-'Batt IN'!$E$28*'Batt IN'!$E$45/12,0)</f>
        <v>0</v>
      </c>
      <c r="AR59" s="10">
        <f>BattLoan!M86</f>
        <v>0</v>
      </c>
      <c r="AS59" s="10">
        <f>'Batt IN'!$G$16*365/12*'Batt IN'!$E$16</f>
        <v>76.041666666666671</v>
      </c>
      <c r="AT59" s="10">
        <f>IF(AND('Batt IN'!$E$18&gt;0,'Batt IN'!$G$18&gt;0),'Batt IN'!$E$17*'Batt IN'!$G$17,0)</f>
        <v>119.44619999999999</v>
      </c>
      <c r="AU59" s="10">
        <f>IF(AND('Batt IN'!$E$20&gt;0,'Batt IN'!$G$20&gt;0),'Batt IN'!$E$19*'Batt IN'!$G$19,0)</f>
        <v>231</v>
      </c>
      <c r="AV59" s="10"/>
      <c r="AW59" s="10"/>
      <c r="AX59" s="10">
        <f>IF('Batt IN'!$E$11="Non-Taxable",Q59,0)</f>
        <v>11168.08</v>
      </c>
      <c r="AY59" s="10">
        <f>IF('Batt IN'!$E$11="Non-Taxable",'Batt IN'!$E$28/1000*'Batt IN'!$G$13*('Batt IN'!$E$13/12)*'Batt IN'!$E$12,0)</f>
        <v>244.42220833333334</v>
      </c>
      <c r="AZ59" s="10">
        <f>IF('Batt IN'!$E$11="Non-Taxable",$S59*'Batt IN'!$G$15*'Batt IN'!$E$28*'Batt IN'!$E$14/1000,0)</f>
        <v>0</v>
      </c>
      <c r="BA59" s="10">
        <f>IF('Batt IN'!$E$11="Non-Taxable",'Batt IN'!$E$21*'Batt IN'!$G$21/12,0)</f>
        <v>437.5</v>
      </c>
      <c r="BB59" s="10">
        <f>IF('Batt IN'!$E$11="Non-Taxable",'Batt IN'!$E$22*'Batt IN'!$G$22/12,0)</f>
        <v>1145.8333333333335</v>
      </c>
      <c r="BC59" s="10">
        <f>IF('Batt IN'!$E$11="Taxable",Q59,0)</f>
        <v>0</v>
      </c>
      <c r="BD59" s="10">
        <f>IF('Batt IN'!$E$11="Taxable",'Batt IN'!$E$28/1000*'Batt IN'!$G$13*('Batt IN'!$E$13/12)*'Batt IN'!$E$12,0)</f>
        <v>0</v>
      </c>
      <c r="BE59" s="10">
        <f>IF('Batt IN'!$E$11="Taxable",$S59*'Batt IN'!$G$15*'Batt IN'!$E$28*'Batt IN'!$E$14/1000,0)</f>
        <v>0</v>
      </c>
      <c r="BF59" s="10">
        <f>IF('Batt IN'!$E$11="Taxable",'Batt IN'!$E$21*'Batt IN'!$G$21/12,0)</f>
        <v>0</v>
      </c>
      <c r="BG59" s="10">
        <f>IF('Batt IN'!$E$11="Taxable",'Batt IN'!$E$22*'Batt IN'!$G$22/12,0)</f>
        <v>0</v>
      </c>
      <c r="BK59" s="10">
        <f>IF('Batt IN'!$N$18="Yes",-BattLoan!H87,-BattLoan!L87)</f>
        <v>0</v>
      </c>
      <c r="BL59" s="10">
        <f>IF('Batt IN'!$N$18="Yes",-BattLoan!F87,0)</f>
        <v>0</v>
      </c>
      <c r="BM59" s="10">
        <f>IF(AND('Batt IN'!$D$44="YES",$C59&lt;='Batt IN'!$E$44*12),0,-'Batt IN'!$E$28*'Batt IN'!$E$42/12)</f>
        <v>-83.333333333333329</v>
      </c>
      <c r="BN59" s="10">
        <f>IF(AND('Batt IN'!$D$46="YES",$C59&lt;='Batt IN'!$E$46*12),0,-'Batt IN'!$E$28*'Batt IN'!$E$45/12)</f>
        <v>-166.66666666666666</v>
      </c>
      <c r="BO59" s="2">
        <f>IF(AND('Batt IN'!$D$41="YES",BattCalcs!C59=ROUNDUP('Batt IN'!$H$41*12,)),-'Batt IN'!$E$41*'Batt IN'!$E$28,0)</f>
        <v>0</v>
      </c>
      <c r="BP59" s="2">
        <f>IF(AND('Batt IN'!$D$53="Yes",$AL$1&gt;=1),0,IF($C59='Batt IN'!$H$54*12,-'Batt IN'!$F$54,0))</f>
        <v>0</v>
      </c>
      <c r="BQ59" s="2">
        <f>IF(AND('Batt IN'!$D$53="Yes",$AL$1&gt;=2),0,IF($C59='Batt IN'!$H$55*12,-'Batt IN'!$F$55,0))</f>
        <v>0</v>
      </c>
      <c r="BR59" s="2">
        <f>IF(AND('Batt IN'!$D$53="Yes",$AL$1&gt;=3),0,IF($C59='Batt IN'!$H$56*12,-'Batt IN'!$F$56,0))</f>
        <v>0</v>
      </c>
      <c r="BS59" s="2">
        <f>IF(AND('Batt IN'!$D$53="Yes",$AL$1&gt;=4),0,IF($C59='Batt IN'!$H$57*12,-'Batt IN'!$F$57,0))</f>
        <v>0</v>
      </c>
      <c r="BT59" s="2">
        <f>IF(AND('Batt IN'!$D$53="Yes",$AL$1&gt;=5),0,IF($C59='Batt IN'!$H$58*12,-'Batt IN'!$F$58,0))</f>
        <v>0</v>
      </c>
      <c r="BU59" s="2">
        <f>-AH59*PVCalcs!F59</f>
        <v>-345.95524826378846</v>
      </c>
      <c r="BV59" s="2">
        <f>-'Batt IN'!$E$47</f>
        <v>-150</v>
      </c>
      <c r="BW59" s="2">
        <f>-'Batt IN'!$E$49</f>
        <v>-2250</v>
      </c>
      <c r="BX59" s="2">
        <f>IF('Batt IN'!$H$50="No",-(BC59*'Batt IN'!$E$50),-(BC59+BE59)*'Batt IN'!$E$50)</f>
        <v>0</v>
      </c>
      <c r="BY59" s="2">
        <f>IF(C59='Batt IN'!$H$43*12,-'Batt IN'!$E$43,0)</f>
        <v>0</v>
      </c>
      <c r="BZ59" s="38"/>
      <c r="CA59" s="10">
        <f t="shared" si="0"/>
        <v>13422.323408333334</v>
      </c>
      <c r="CB59" s="2">
        <f t="shared" si="6"/>
        <v>-2995.9552482637882</v>
      </c>
      <c r="CC59" s="45">
        <f t="shared" si="7"/>
        <v>10426.368160069545</v>
      </c>
      <c r="CD59" s="43"/>
      <c r="CE59" s="2">
        <f t="shared" si="8"/>
        <v>0</v>
      </c>
      <c r="CF59" s="2">
        <f t="shared" si="9"/>
        <v>-2995.9552482637882</v>
      </c>
      <c r="CG59" s="2"/>
      <c r="CH59" s="2">
        <f t="shared" si="10"/>
        <v>-2995.9552482637882</v>
      </c>
      <c r="CI59" s="45">
        <f>-CH59*'Batt IN'!$E$7</f>
        <v>629.1506021353955</v>
      </c>
      <c r="CJ59" s="48"/>
      <c r="CK59" s="45">
        <f>IF('Batt IN'!$F$4="PV Only",0,IF(C59&gt;'Batt IN'!$H$43*12,0,CC59+CI59))</f>
        <v>0</v>
      </c>
      <c r="CM59" s="10">
        <f t="shared" si="11"/>
        <v>0</v>
      </c>
      <c r="CN59" s="2">
        <f>CK59/(1+('Batt IN'!$G$8))^(C59)</f>
        <v>0</v>
      </c>
      <c r="CO59" s="2">
        <f>IF(C59&lt;='Batt IN'!$O$30*12,CN59+CO58,NA())</f>
        <v>0</v>
      </c>
      <c r="CQ59" s="2">
        <f>CK59/((1+('Batt IN'!$E$8/12))^BattCalcs!C59)</f>
        <v>0</v>
      </c>
      <c r="CS59" s="10">
        <f t="shared" si="12"/>
        <v>-2995.9552482637882</v>
      </c>
      <c r="CT59" s="10">
        <f t="shared" si="13"/>
        <v>0</v>
      </c>
      <c r="CU59" s="10">
        <f t="shared" si="14"/>
        <v>-2995.9552482637882</v>
      </c>
      <c r="CV59" s="10">
        <f t="shared" si="15"/>
        <v>-2995.9552482637882</v>
      </c>
      <c r="CW59" s="2">
        <f t="shared" si="1"/>
        <v>0</v>
      </c>
      <c r="CX59" s="2">
        <f>-(SUM(CV59:CW59)*'PV IN'!$E$8)</f>
        <v>629.1506021353955</v>
      </c>
      <c r="CY59" s="2">
        <f t="shared" si="16"/>
        <v>-2366.804646128393</v>
      </c>
      <c r="CZ59" s="2">
        <f>IF(C59&lt;='Batt IN'!$H$43*12,CY59/(1+('PV IN'!$G$9))^(C59),0)</f>
        <v>-1892.5388018610186</v>
      </c>
      <c r="DA59" s="33">
        <f>IF(C59&lt;='Batt IN'!$H$43*12,AE59,0)</f>
        <v>30366.783333333333</v>
      </c>
    </row>
    <row r="60" spans="1:105" x14ac:dyDescent="0.25">
      <c r="A60">
        <f>IF(C60&lt;='Batt IN'!$H$43*12,C60,"")</f>
        <v>56</v>
      </c>
      <c r="C60">
        <v>56</v>
      </c>
      <c r="D60" s="21">
        <v>730</v>
      </c>
      <c r="E60" s="1">
        <f>1-'Batt IN'!$E$31</f>
        <v>2.0000000000000018E-2</v>
      </c>
      <c r="F60" s="12">
        <f>('Batt IN'!$E$33*365)/8760</f>
        <v>0</v>
      </c>
      <c r="G60" s="22">
        <f>'Batt IN'!$E$32/8760</f>
        <v>5.7077625570776253E-3</v>
      </c>
      <c r="H60" s="22">
        <f>'Batt IN'!$E$13/8760</f>
        <v>5.5936073059360729E-3</v>
      </c>
      <c r="I60" s="23">
        <f>IF(C60&lt;='Batt IN'!$G$14*12,'Batt IN'!$E$15/8760*'Batt IN'!$G$15,0)</f>
        <v>0</v>
      </c>
      <c r="J60" s="12">
        <f>Z60/'Batt IN'!$E$27/730</f>
        <v>2.4999999999999996E-3</v>
      </c>
      <c r="K60" s="23">
        <f>AA60/'Batt IN'!$E$27/730</f>
        <v>1.6027397260273972E-3</v>
      </c>
      <c r="L60" s="23">
        <f>AB60/'Batt IN'!$E$27/730</f>
        <v>2.0547945205479451E-4</v>
      </c>
      <c r="M60" s="23">
        <f>AC60/'Batt IN'!$E$27/730</f>
        <v>4.7945205479452057E-3</v>
      </c>
      <c r="N60" s="23">
        <f>AD60/'Batt IN'!$E$27/730</f>
        <v>3.4246575342465752E-3</v>
      </c>
      <c r="O60" s="12">
        <f t="shared" si="2"/>
        <v>4.3828767123287697E-2</v>
      </c>
      <c r="P60" s="21">
        <f t="shared" si="3"/>
        <v>698.005</v>
      </c>
      <c r="Q60" s="2">
        <f>IF('Batt IN'!$E$27*'Batt IN'!$E$24&lt;='Batt IN'!$E$28,(('Batt IN'!$E$23*'Batt IN'!$E$27*'Batt IN'!$E$24)/1000)*P60,(('Batt IN'!$E$23*'Batt IN'!$E$28*'Batt IN'!$E$24)/1000)*P60)</f>
        <v>11168.08</v>
      </c>
      <c r="R60" s="2"/>
      <c r="S60" s="77">
        <f>IF(C60&lt;='Batt IN'!$G$14*12,'Batt IN'!$E$15/12,0)</f>
        <v>0</v>
      </c>
      <c r="T60" s="77"/>
      <c r="U60" s="80">
        <f>'Batt IN'!$E$28*('Batt IN'!$G$24/24)*730*(1-O60)</f>
        <v>81433.916666666657</v>
      </c>
      <c r="V60" s="78">
        <f>U60*'Batt IN'!$F$30</f>
        <v>16286.783333333333</v>
      </c>
      <c r="W60" s="78">
        <f>'Batt IN'!$E$28*'Batt IN'!$G$32*('Batt IN'!$E$32/12)*(1+'Batt IN'!$F$30)</f>
        <v>1750.0000000000002</v>
      </c>
      <c r="X60" s="78">
        <f>'Batt IN'!$E$28*'Batt IN'!$G$13*('Batt IN'!$E$13/12)*(1+'Batt IN'!$F$30)</f>
        <v>3184.9999999999995</v>
      </c>
      <c r="Y60" s="33">
        <f>S60*'Batt IN'!$G$15*'Batt IN'!$E$28*(1+'Batt IN'!$F$30)</f>
        <v>0</v>
      </c>
      <c r="Z60" s="33">
        <f>'Batt IN'!$G$16*365/12*(1+'Batt IN'!$F$30)</f>
        <v>1824.9999999999998</v>
      </c>
      <c r="AA60" s="33">
        <f>'Batt IN'!$G$17*'Batt IN'!$E$18*'Batt IN'!$G$18/12*(1+'Batt IN'!$F$30)</f>
        <v>1170</v>
      </c>
      <c r="AB60" s="33">
        <f>'Batt IN'!$G$19*'Batt IN'!$E$20*'Batt IN'!$G$20/12*(1+'Batt IN'!$F$30)</f>
        <v>150</v>
      </c>
      <c r="AC60" s="33">
        <f>'Batt IN'!$G$21*(1+'Batt IN'!$F$30)/12</f>
        <v>3500</v>
      </c>
      <c r="AD60" s="33">
        <f>'Batt IN'!$G$22*(1+'Batt IN'!$F$30)/12</f>
        <v>2500</v>
      </c>
      <c r="AE60" s="33">
        <f t="shared" si="4"/>
        <v>30366.783333333333</v>
      </c>
      <c r="AF60" s="33">
        <f>IF('PV IN'!$F$4="Battery Only",0,AE60*'Batt IN'!$E$29)</f>
        <v>25811.765833333331</v>
      </c>
      <c r="AG60" s="33">
        <f>PVCalcs!L60</f>
        <v>25811.765833333331</v>
      </c>
      <c r="AH60" s="33">
        <f t="shared" si="5"/>
        <v>4555.0175000000017</v>
      </c>
      <c r="AI60" s="33"/>
      <c r="AJ60" s="2">
        <f>IF(AND('Batt IN'!$D$53="Yes",$AL$1&gt;=1),IF($C60='Batt IN'!$H$54*12,-'Batt IN'!$F$54,0),0)</f>
        <v>0</v>
      </c>
      <c r="AK60" s="2">
        <f>IF(AND('Batt IN'!$D$53="Yes",$AL$1&gt;=2),IF($C60='Batt IN'!$H$55*12,-'Batt IN'!$F$55,0),0)</f>
        <v>0</v>
      </c>
      <c r="AL60" s="2">
        <f>IF(AND('Batt IN'!$D$53="Yes",$AL$1&gt;=3),IF($C60='Batt IN'!$H$56*12,-'Batt IN'!$F$56,0),0)</f>
        <v>0</v>
      </c>
      <c r="AM60" s="2">
        <f>IF(AND('Batt IN'!$D$53="Yes",$AL$1&gt;=4),IF($C60='Batt IN'!$H$57*12,-'Batt IN'!$F$57,0),0)</f>
        <v>0</v>
      </c>
      <c r="AN60" s="2">
        <f>IF(AND('Batt IN'!$D$53="Yes",$AL$1&gt;=5),IF($C60='Batt IN'!$H$58*12,-'Batt IN'!$F$58,0),0)</f>
        <v>0</v>
      </c>
      <c r="AO60" s="10">
        <f>IF(AND('Batt IN'!$D$44="YES",$C60&lt;='Batt IN'!$E$44*12),-'Batt IN'!$E$28*'Batt IN'!$E$42/12,0)</f>
        <v>0</v>
      </c>
      <c r="AP60" s="10">
        <f>IF(AND('Batt IN'!$D$46="YES",$C60&lt;='Batt IN'!$E$46*12),-'Batt IN'!$E$28*'Batt IN'!$E$45/12,0)</f>
        <v>0</v>
      </c>
      <c r="AR60" s="10">
        <f>BattLoan!M87</f>
        <v>0</v>
      </c>
      <c r="AS60" s="10">
        <f>'Batt IN'!$G$16*365/12*'Batt IN'!$E$16</f>
        <v>76.041666666666671</v>
      </c>
      <c r="AT60" s="10">
        <f>IF(AND('Batt IN'!$E$18&gt;0,'Batt IN'!$G$18&gt;0),'Batt IN'!$E$17*'Batt IN'!$G$17,0)</f>
        <v>119.44619999999999</v>
      </c>
      <c r="AU60" s="10">
        <f>IF(AND('Batt IN'!$E$20&gt;0,'Batt IN'!$G$20&gt;0),'Batt IN'!$E$19*'Batt IN'!$G$19,0)</f>
        <v>231</v>
      </c>
      <c r="AV60" s="10"/>
      <c r="AW60" s="10"/>
      <c r="AX60" s="10">
        <f>IF('Batt IN'!$E$11="Non-Taxable",Q60,0)</f>
        <v>11168.08</v>
      </c>
      <c r="AY60" s="10">
        <f>IF('Batt IN'!$E$11="Non-Taxable",'Batt IN'!$E$28/1000*'Batt IN'!$G$13*('Batt IN'!$E$13/12)*'Batt IN'!$E$12,0)</f>
        <v>244.42220833333334</v>
      </c>
      <c r="AZ60" s="10">
        <f>IF('Batt IN'!$E$11="Non-Taxable",$S60*'Batt IN'!$G$15*'Batt IN'!$E$28*'Batt IN'!$E$14/1000,0)</f>
        <v>0</v>
      </c>
      <c r="BA60" s="10">
        <f>IF('Batt IN'!$E$11="Non-Taxable",'Batt IN'!$E$21*'Batt IN'!$G$21/12,0)</f>
        <v>437.5</v>
      </c>
      <c r="BB60" s="10">
        <f>IF('Batt IN'!$E$11="Non-Taxable",'Batt IN'!$E$22*'Batt IN'!$G$22/12,0)</f>
        <v>1145.8333333333335</v>
      </c>
      <c r="BC60" s="10">
        <f>IF('Batt IN'!$E$11="Taxable",Q60,0)</f>
        <v>0</v>
      </c>
      <c r="BD60" s="10">
        <f>IF('Batt IN'!$E$11="Taxable",'Batt IN'!$E$28/1000*'Batt IN'!$G$13*('Batt IN'!$E$13/12)*'Batt IN'!$E$12,0)</f>
        <v>0</v>
      </c>
      <c r="BE60" s="10">
        <f>IF('Batt IN'!$E$11="Taxable",$S60*'Batt IN'!$G$15*'Batt IN'!$E$28*'Batt IN'!$E$14/1000,0)</f>
        <v>0</v>
      </c>
      <c r="BF60" s="10">
        <f>IF('Batt IN'!$E$11="Taxable",'Batt IN'!$E$21*'Batt IN'!$G$21/12,0)</f>
        <v>0</v>
      </c>
      <c r="BG60" s="10">
        <f>IF('Batt IN'!$E$11="Taxable",'Batt IN'!$E$22*'Batt IN'!$G$22/12,0)</f>
        <v>0</v>
      </c>
      <c r="BK60" s="10">
        <f>IF('Batt IN'!$N$18="Yes",-BattLoan!H88,-BattLoan!L88)</f>
        <v>0</v>
      </c>
      <c r="BL60" s="10">
        <f>IF('Batt IN'!$N$18="Yes",-BattLoan!F88,0)</f>
        <v>0</v>
      </c>
      <c r="BM60" s="10">
        <f>IF(AND('Batt IN'!$D$44="YES",$C60&lt;='Batt IN'!$E$44*12),0,-'Batt IN'!$E$28*'Batt IN'!$E$42/12)</f>
        <v>-83.333333333333329</v>
      </c>
      <c r="BN60" s="10">
        <f>IF(AND('Batt IN'!$D$46="YES",$C60&lt;='Batt IN'!$E$46*12),0,-'Batt IN'!$E$28*'Batt IN'!$E$45/12)</f>
        <v>-166.66666666666666</v>
      </c>
      <c r="BO60" s="2">
        <f>IF(AND('Batt IN'!$D$41="YES",BattCalcs!C60=ROUNDUP('Batt IN'!$H$41*12,)),-'Batt IN'!$E$41*'Batt IN'!$E$28,0)</f>
        <v>0</v>
      </c>
      <c r="BP60" s="2">
        <f>IF(AND('Batt IN'!$D$53="Yes",$AL$1&gt;=1),0,IF($C60='Batt IN'!$H$54*12,-'Batt IN'!$F$54,0))</f>
        <v>0</v>
      </c>
      <c r="BQ60" s="2">
        <f>IF(AND('Batt IN'!$D$53="Yes",$AL$1&gt;=2),0,IF($C60='Batt IN'!$H$55*12,-'Batt IN'!$F$55,0))</f>
        <v>0</v>
      </c>
      <c r="BR60" s="2">
        <f>IF(AND('Batt IN'!$D$53="Yes",$AL$1&gt;=3),0,IF($C60='Batt IN'!$H$56*12,-'Batt IN'!$F$56,0))</f>
        <v>0</v>
      </c>
      <c r="BS60" s="2">
        <f>IF(AND('Batt IN'!$D$53="Yes",$AL$1&gt;=4),0,IF($C60='Batt IN'!$H$57*12,-'Batt IN'!$F$57,0))</f>
        <v>0</v>
      </c>
      <c r="BT60" s="2">
        <f>IF(AND('Batt IN'!$D$53="Yes",$AL$1&gt;=5),0,IF($C60='Batt IN'!$H$58*12,-'Batt IN'!$F$58,0))</f>
        <v>0</v>
      </c>
      <c r="BU60" s="2">
        <f>-AH60*PVCalcs!F60</f>
        <v>-345.95524826378846</v>
      </c>
      <c r="BV60" s="2">
        <f>-'Batt IN'!$E$47</f>
        <v>-150</v>
      </c>
      <c r="BW60" s="2">
        <f>-'Batt IN'!$E$49</f>
        <v>-2250</v>
      </c>
      <c r="BX60" s="2">
        <f>IF('Batt IN'!$H$50="No",-(BC60*'Batt IN'!$E$50),-(BC60+BE60)*'Batt IN'!$E$50)</f>
        <v>0</v>
      </c>
      <c r="BY60" s="2">
        <f>IF(C60='Batt IN'!$H$43*12,-'Batt IN'!$E$43,0)</f>
        <v>0</v>
      </c>
      <c r="BZ60" s="38"/>
      <c r="CA60" s="10">
        <f t="shared" si="0"/>
        <v>13422.323408333334</v>
      </c>
      <c r="CB60" s="2">
        <f t="shared" si="6"/>
        <v>-2995.9552482637882</v>
      </c>
      <c r="CC60" s="45">
        <f t="shared" si="7"/>
        <v>10426.368160069545</v>
      </c>
      <c r="CD60" s="43"/>
      <c r="CE60" s="2">
        <f t="shared" si="8"/>
        <v>0</v>
      </c>
      <c r="CF60" s="2">
        <f t="shared" si="9"/>
        <v>-2995.9552482637882</v>
      </c>
      <c r="CG60" s="2"/>
      <c r="CH60" s="2">
        <f t="shared" si="10"/>
        <v>-2995.9552482637882</v>
      </c>
      <c r="CI60" s="45">
        <f>-CH60*'Batt IN'!$E$7</f>
        <v>629.1506021353955</v>
      </c>
      <c r="CJ60" s="48"/>
      <c r="CK60" s="45">
        <f>IF('Batt IN'!$F$4="PV Only",0,IF(C60&gt;'Batt IN'!$H$43*12,0,CC60+CI60))</f>
        <v>0</v>
      </c>
      <c r="CM60" s="10">
        <f t="shared" si="11"/>
        <v>0</v>
      </c>
      <c r="CN60" s="2">
        <f>CK60/(1+('Batt IN'!$G$8))^(C60)</f>
        <v>0</v>
      </c>
      <c r="CO60" s="2">
        <f>IF(C60&lt;='Batt IN'!$O$30*12,CN60+CO59,NA())</f>
        <v>0</v>
      </c>
      <c r="CQ60" s="2">
        <f>CK60/((1+('Batt IN'!$E$8/12))^BattCalcs!C60)</f>
        <v>0</v>
      </c>
      <c r="CS60" s="10">
        <f t="shared" si="12"/>
        <v>-2995.9552482637882</v>
      </c>
      <c r="CT60" s="10">
        <f t="shared" si="13"/>
        <v>0</v>
      </c>
      <c r="CU60" s="10">
        <f t="shared" si="14"/>
        <v>-2995.9552482637882</v>
      </c>
      <c r="CV60" s="10">
        <f t="shared" si="15"/>
        <v>-2995.9552482637882</v>
      </c>
      <c r="CW60" s="2">
        <f t="shared" si="1"/>
        <v>0</v>
      </c>
      <c r="CX60" s="2">
        <f>-(SUM(CV60:CW60)*'PV IN'!$E$8)</f>
        <v>629.1506021353955</v>
      </c>
      <c r="CY60" s="2">
        <f t="shared" si="16"/>
        <v>-2366.804646128393</v>
      </c>
      <c r="CZ60" s="2">
        <f>IF(C60&lt;='Batt IN'!$H$43*12,CY60/(1+('PV IN'!$G$9))^(C60),0)</f>
        <v>-1884.8596503307665</v>
      </c>
      <c r="DA60" s="33">
        <f>IF(C60&lt;='Batt IN'!$H$43*12,AE60,0)</f>
        <v>30366.783333333333</v>
      </c>
    </row>
    <row r="61" spans="1:105" x14ac:dyDescent="0.25">
      <c r="A61">
        <f>IF(C61&lt;='Batt IN'!$H$43*12,C61,"")</f>
        <v>57</v>
      </c>
      <c r="C61">
        <v>57</v>
      </c>
      <c r="D61" s="21">
        <v>730</v>
      </c>
      <c r="E61" s="1">
        <f>1-'Batt IN'!$E$31</f>
        <v>2.0000000000000018E-2</v>
      </c>
      <c r="F61" s="12">
        <f>('Batt IN'!$E$33*365)/8760</f>
        <v>0</v>
      </c>
      <c r="G61" s="22">
        <f>'Batt IN'!$E$32/8760</f>
        <v>5.7077625570776253E-3</v>
      </c>
      <c r="H61" s="22">
        <f>'Batt IN'!$E$13/8760</f>
        <v>5.5936073059360729E-3</v>
      </c>
      <c r="I61" s="23">
        <f>IF(C61&lt;='Batt IN'!$G$14*12,'Batt IN'!$E$15/8760*'Batt IN'!$G$15,0)</f>
        <v>0</v>
      </c>
      <c r="J61" s="12">
        <f>Z61/'Batt IN'!$E$27/730</f>
        <v>2.4999999999999996E-3</v>
      </c>
      <c r="K61" s="23">
        <f>AA61/'Batt IN'!$E$27/730</f>
        <v>1.6027397260273972E-3</v>
      </c>
      <c r="L61" s="23">
        <f>AB61/'Batt IN'!$E$27/730</f>
        <v>2.0547945205479451E-4</v>
      </c>
      <c r="M61" s="23">
        <f>AC61/'Batt IN'!$E$27/730</f>
        <v>4.7945205479452057E-3</v>
      </c>
      <c r="N61" s="23">
        <f>AD61/'Batt IN'!$E$27/730</f>
        <v>3.4246575342465752E-3</v>
      </c>
      <c r="O61" s="12">
        <f t="shared" si="2"/>
        <v>4.3828767123287697E-2</v>
      </c>
      <c r="P61" s="21">
        <f t="shared" si="3"/>
        <v>698.005</v>
      </c>
      <c r="Q61" s="2">
        <f>IF('Batt IN'!$E$27*'Batt IN'!$E$24&lt;='Batt IN'!$E$28,(('Batt IN'!$E$23*'Batt IN'!$E$27*'Batt IN'!$E$24)/1000)*P61,(('Batt IN'!$E$23*'Batt IN'!$E$28*'Batt IN'!$E$24)/1000)*P61)</f>
        <v>11168.08</v>
      </c>
      <c r="R61" s="2"/>
      <c r="S61" s="77">
        <f>IF(C61&lt;='Batt IN'!$G$14*12,'Batt IN'!$E$15/12,0)</f>
        <v>0</v>
      </c>
      <c r="T61" s="77"/>
      <c r="U61" s="80">
        <f>'Batt IN'!$E$28*('Batt IN'!$G$24/24)*730*(1-O61)</f>
        <v>81433.916666666657</v>
      </c>
      <c r="V61" s="78">
        <f>U61*'Batt IN'!$F$30</f>
        <v>16286.783333333333</v>
      </c>
      <c r="W61" s="78">
        <f>'Batt IN'!$E$28*'Batt IN'!$G$32*('Batt IN'!$E$32/12)*(1+'Batt IN'!$F$30)</f>
        <v>1750.0000000000002</v>
      </c>
      <c r="X61" s="78">
        <f>'Batt IN'!$E$28*'Batt IN'!$G$13*('Batt IN'!$E$13/12)*(1+'Batt IN'!$F$30)</f>
        <v>3184.9999999999995</v>
      </c>
      <c r="Y61" s="33">
        <f>S61*'Batt IN'!$G$15*'Batt IN'!$E$28*(1+'Batt IN'!$F$30)</f>
        <v>0</v>
      </c>
      <c r="Z61" s="33">
        <f>'Batt IN'!$G$16*365/12*(1+'Batt IN'!$F$30)</f>
        <v>1824.9999999999998</v>
      </c>
      <c r="AA61" s="33">
        <f>'Batt IN'!$G$17*'Batt IN'!$E$18*'Batt IN'!$G$18/12*(1+'Batt IN'!$F$30)</f>
        <v>1170</v>
      </c>
      <c r="AB61" s="33">
        <f>'Batt IN'!$G$19*'Batt IN'!$E$20*'Batt IN'!$G$20/12*(1+'Batt IN'!$F$30)</f>
        <v>150</v>
      </c>
      <c r="AC61" s="33">
        <f>'Batt IN'!$G$21*(1+'Batt IN'!$F$30)/12</f>
        <v>3500</v>
      </c>
      <c r="AD61" s="33">
        <f>'Batt IN'!$G$22*(1+'Batt IN'!$F$30)/12</f>
        <v>2500</v>
      </c>
      <c r="AE61" s="33">
        <f t="shared" si="4"/>
        <v>30366.783333333333</v>
      </c>
      <c r="AF61" s="33">
        <f>IF('PV IN'!$F$4="Battery Only",0,AE61*'Batt IN'!$E$29)</f>
        <v>25811.765833333331</v>
      </c>
      <c r="AG61" s="33">
        <f>PVCalcs!L61</f>
        <v>25811.765833333331</v>
      </c>
      <c r="AH61" s="33">
        <f t="shared" si="5"/>
        <v>4555.0175000000017</v>
      </c>
      <c r="AI61" s="33"/>
      <c r="AJ61" s="2">
        <f>IF(AND('Batt IN'!$D$53="Yes",$AL$1&gt;=1),IF($C61='Batt IN'!$H$54*12,-'Batt IN'!$F$54,0),0)</f>
        <v>0</v>
      </c>
      <c r="AK61" s="2">
        <f>IF(AND('Batt IN'!$D$53="Yes",$AL$1&gt;=2),IF($C61='Batt IN'!$H$55*12,-'Batt IN'!$F$55,0),0)</f>
        <v>0</v>
      </c>
      <c r="AL61" s="2">
        <f>IF(AND('Batt IN'!$D$53="Yes",$AL$1&gt;=3),IF($C61='Batt IN'!$H$56*12,-'Batt IN'!$F$56,0),0)</f>
        <v>0</v>
      </c>
      <c r="AM61" s="2">
        <f>IF(AND('Batt IN'!$D$53="Yes",$AL$1&gt;=4),IF($C61='Batt IN'!$H$57*12,-'Batt IN'!$F$57,0),0)</f>
        <v>0</v>
      </c>
      <c r="AN61" s="2">
        <f>IF(AND('Batt IN'!$D$53="Yes",$AL$1&gt;=5),IF($C61='Batt IN'!$H$58*12,-'Batt IN'!$F$58,0),0)</f>
        <v>0</v>
      </c>
      <c r="AO61" s="10">
        <f>IF(AND('Batt IN'!$D$44="YES",$C61&lt;='Batt IN'!$E$44*12),-'Batt IN'!$E$28*'Batt IN'!$E$42/12,0)</f>
        <v>0</v>
      </c>
      <c r="AP61" s="10">
        <f>IF(AND('Batt IN'!$D$46="YES",$C61&lt;='Batt IN'!$E$46*12),-'Batt IN'!$E$28*'Batt IN'!$E$45/12,0)</f>
        <v>0</v>
      </c>
      <c r="AR61" s="10">
        <f>BattLoan!M88</f>
        <v>0</v>
      </c>
      <c r="AS61" s="10">
        <f>'Batt IN'!$G$16*365/12*'Batt IN'!$E$16</f>
        <v>76.041666666666671</v>
      </c>
      <c r="AT61" s="10">
        <f>IF(AND('Batt IN'!$E$18&gt;0,'Batt IN'!$G$18&gt;0),'Batt IN'!$E$17*'Batt IN'!$G$17,0)</f>
        <v>119.44619999999999</v>
      </c>
      <c r="AU61" s="10">
        <f>IF(AND('Batt IN'!$E$20&gt;0,'Batt IN'!$G$20&gt;0),'Batt IN'!$E$19*'Batt IN'!$G$19,0)</f>
        <v>231</v>
      </c>
      <c r="AV61" s="10"/>
      <c r="AW61" s="10"/>
      <c r="AX61" s="10">
        <f>IF('Batt IN'!$E$11="Non-Taxable",Q61,0)</f>
        <v>11168.08</v>
      </c>
      <c r="AY61" s="10">
        <f>IF('Batt IN'!$E$11="Non-Taxable",'Batt IN'!$E$28/1000*'Batt IN'!$G$13*('Batt IN'!$E$13/12)*'Batt IN'!$E$12,0)</f>
        <v>244.42220833333334</v>
      </c>
      <c r="AZ61" s="10">
        <f>IF('Batt IN'!$E$11="Non-Taxable",$S61*'Batt IN'!$G$15*'Batt IN'!$E$28*'Batt IN'!$E$14/1000,0)</f>
        <v>0</v>
      </c>
      <c r="BA61" s="10">
        <f>IF('Batt IN'!$E$11="Non-Taxable",'Batt IN'!$E$21*'Batt IN'!$G$21/12,0)</f>
        <v>437.5</v>
      </c>
      <c r="BB61" s="10">
        <f>IF('Batt IN'!$E$11="Non-Taxable",'Batt IN'!$E$22*'Batt IN'!$G$22/12,0)</f>
        <v>1145.8333333333335</v>
      </c>
      <c r="BC61" s="10">
        <f>IF('Batt IN'!$E$11="Taxable",Q61,0)</f>
        <v>0</v>
      </c>
      <c r="BD61" s="10">
        <f>IF('Batt IN'!$E$11="Taxable",'Batt IN'!$E$28/1000*'Batt IN'!$G$13*('Batt IN'!$E$13/12)*'Batt IN'!$E$12,0)</f>
        <v>0</v>
      </c>
      <c r="BE61" s="10">
        <f>IF('Batt IN'!$E$11="Taxable",$S61*'Batt IN'!$G$15*'Batt IN'!$E$28*'Batt IN'!$E$14/1000,0)</f>
        <v>0</v>
      </c>
      <c r="BF61" s="10">
        <f>IF('Batt IN'!$E$11="Taxable",'Batt IN'!$E$21*'Batt IN'!$G$21/12,0)</f>
        <v>0</v>
      </c>
      <c r="BG61" s="10">
        <f>IF('Batt IN'!$E$11="Taxable",'Batt IN'!$E$22*'Batt IN'!$G$22/12,0)</f>
        <v>0</v>
      </c>
      <c r="BK61" s="10">
        <f>IF('Batt IN'!$N$18="Yes",-BattLoan!H89,-BattLoan!L89)</f>
        <v>0</v>
      </c>
      <c r="BL61" s="10">
        <f>IF('Batt IN'!$N$18="Yes",-BattLoan!F89,0)</f>
        <v>0</v>
      </c>
      <c r="BM61" s="10">
        <f>IF(AND('Batt IN'!$D$44="YES",$C61&lt;='Batt IN'!$E$44*12),0,-'Batt IN'!$E$28*'Batt IN'!$E$42/12)</f>
        <v>-83.333333333333329</v>
      </c>
      <c r="BN61" s="10">
        <f>IF(AND('Batt IN'!$D$46="YES",$C61&lt;='Batt IN'!$E$46*12),0,-'Batt IN'!$E$28*'Batt IN'!$E$45/12)</f>
        <v>-166.66666666666666</v>
      </c>
      <c r="BO61" s="2">
        <f>IF(AND('Batt IN'!$D$41="YES",BattCalcs!C61=ROUNDUP('Batt IN'!$H$41*12,)),-'Batt IN'!$E$41*'Batt IN'!$E$28,0)</f>
        <v>0</v>
      </c>
      <c r="BP61" s="2">
        <f>IF(AND('Batt IN'!$D$53="Yes",$AL$1&gt;=1),0,IF($C61='Batt IN'!$H$54*12,-'Batt IN'!$F$54,0))</f>
        <v>0</v>
      </c>
      <c r="BQ61" s="2">
        <f>IF(AND('Batt IN'!$D$53="Yes",$AL$1&gt;=2),0,IF($C61='Batt IN'!$H$55*12,-'Batt IN'!$F$55,0))</f>
        <v>0</v>
      </c>
      <c r="BR61" s="2">
        <f>IF(AND('Batt IN'!$D$53="Yes",$AL$1&gt;=3),0,IF($C61='Batt IN'!$H$56*12,-'Batt IN'!$F$56,0))</f>
        <v>0</v>
      </c>
      <c r="BS61" s="2">
        <f>IF(AND('Batt IN'!$D$53="Yes",$AL$1&gt;=4),0,IF($C61='Batt IN'!$H$57*12,-'Batt IN'!$F$57,0))</f>
        <v>0</v>
      </c>
      <c r="BT61" s="2">
        <f>IF(AND('Batt IN'!$D$53="Yes",$AL$1&gt;=5),0,IF($C61='Batt IN'!$H$58*12,-'Batt IN'!$F$58,0))</f>
        <v>0</v>
      </c>
      <c r="BU61" s="2">
        <f>-AH61*PVCalcs!F61</f>
        <v>-345.95524826378846</v>
      </c>
      <c r="BV61" s="2">
        <f>-'Batt IN'!$E$47</f>
        <v>-150</v>
      </c>
      <c r="BW61" s="2">
        <f>-'Batt IN'!$E$49</f>
        <v>-2250</v>
      </c>
      <c r="BX61" s="2">
        <f>IF('Batt IN'!$H$50="No",-(BC61*'Batt IN'!$E$50),-(BC61+BE61)*'Batt IN'!$E$50)</f>
        <v>0</v>
      </c>
      <c r="BY61" s="2">
        <f>IF(C61='Batt IN'!$H$43*12,-'Batt IN'!$E$43,0)</f>
        <v>0</v>
      </c>
      <c r="BZ61" s="38"/>
      <c r="CA61" s="10">
        <f t="shared" si="0"/>
        <v>13422.323408333334</v>
      </c>
      <c r="CB61" s="2">
        <f t="shared" si="6"/>
        <v>-2995.9552482637882</v>
      </c>
      <c r="CC61" s="45">
        <f t="shared" si="7"/>
        <v>10426.368160069545</v>
      </c>
      <c r="CD61" s="43"/>
      <c r="CE61" s="2">
        <f t="shared" si="8"/>
        <v>0</v>
      </c>
      <c r="CF61" s="2">
        <f t="shared" si="9"/>
        <v>-2995.9552482637882</v>
      </c>
      <c r="CG61" s="2"/>
      <c r="CH61" s="2">
        <f t="shared" si="10"/>
        <v>-2995.9552482637882</v>
      </c>
      <c r="CI61" s="45">
        <f>-CH61*'Batt IN'!$E$7</f>
        <v>629.1506021353955</v>
      </c>
      <c r="CJ61" s="48"/>
      <c r="CK61" s="45">
        <f>IF('Batt IN'!$F$4="PV Only",0,IF(C61&gt;'Batt IN'!$H$43*12,0,CC61+CI61))</f>
        <v>0</v>
      </c>
      <c r="CM61" s="10">
        <f t="shared" si="11"/>
        <v>0</v>
      </c>
      <c r="CN61" s="2">
        <f>CK61/(1+('Batt IN'!$G$8))^(C61)</f>
        <v>0</v>
      </c>
      <c r="CO61" s="2">
        <f>IF(C61&lt;='Batt IN'!$O$30*12,CN61+CO60,NA())</f>
        <v>0</v>
      </c>
      <c r="CQ61" s="2">
        <f>CK61/((1+('Batt IN'!$E$8/12))^BattCalcs!C61)</f>
        <v>0</v>
      </c>
      <c r="CS61" s="10">
        <f t="shared" si="12"/>
        <v>-2995.9552482637882</v>
      </c>
      <c r="CT61" s="10">
        <f t="shared" si="13"/>
        <v>0</v>
      </c>
      <c r="CU61" s="10">
        <f t="shared" si="14"/>
        <v>-2995.9552482637882</v>
      </c>
      <c r="CV61" s="10">
        <f t="shared" si="15"/>
        <v>-2995.9552482637882</v>
      </c>
      <c r="CW61" s="2">
        <f t="shared" si="1"/>
        <v>0</v>
      </c>
      <c r="CX61" s="2">
        <f>-(SUM(CV61:CW61)*'PV IN'!$E$8)</f>
        <v>629.1506021353955</v>
      </c>
      <c r="CY61" s="2">
        <f t="shared" si="16"/>
        <v>-2366.804646128393</v>
      </c>
      <c r="CZ61" s="2">
        <f>IF(C61&lt;='Batt IN'!$H$43*12,CY61/(1+('PV IN'!$G$9))^(C61),0)</f>
        <v>-1877.211657669314</v>
      </c>
      <c r="DA61" s="33">
        <f>IF(C61&lt;='Batt IN'!$H$43*12,AE61,0)</f>
        <v>30366.783333333333</v>
      </c>
    </row>
    <row r="62" spans="1:105" x14ac:dyDescent="0.25">
      <c r="A62">
        <f>IF(C62&lt;='Batt IN'!$H$43*12,C62,"")</f>
        <v>58</v>
      </c>
      <c r="C62">
        <v>58</v>
      </c>
      <c r="D62" s="21">
        <v>730</v>
      </c>
      <c r="E62" s="1">
        <f>1-'Batt IN'!$E$31</f>
        <v>2.0000000000000018E-2</v>
      </c>
      <c r="F62" s="12">
        <f>('Batt IN'!$E$33*365)/8760</f>
        <v>0</v>
      </c>
      <c r="G62" s="22">
        <f>'Batt IN'!$E$32/8760</f>
        <v>5.7077625570776253E-3</v>
      </c>
      <c r="H62" s="22">
        <f>'Batt IN'!$E$13/8760</f>
        <v>5.5936073059360729E-3</v>
      </c>
      <c r="I62" s="23">
        <f>IF(C62&lt;='Batt IN'!$G$14*12,'Batt IN'!$E$15/8760*'Batt IN'!$G$15,0)</f>
        <v>0</v>
      </c>
      <c r="J62" s="12">
        <f>Z62/'Batt IN'!$E$27/730</f>
        <v>2.4999999999999996E-3</v>
      </c>
      <c r="K62" s="23">
        <f>AA62/'Batt IN'!$E$27/730</f>
        <v>1.6027397260273972E-3</v>
      </c>
      <c r="L62" s="23">
        <f>AB62/'Batt IN'!$E$27/730</f>
        <v>2.0547945205479451E-4</v>
      </c>
      <c r="M62" s="23">
        <f>AC62/'Batt IN'!$E$27/730</f>
        <v>4.7945205479452057E-3</v>
      </c>
      <c r="N62" s="23">
        <f>AD62/'Batt IN'!$E$27/730</f>
        <v>3.4246575342465752E-3</v>
      </c>
      <c r="O62" s="12">
        <f t="shared" si="2"/>
        <v>4.3828767123287697E-2</v>
      </c>
      <c r="P62" s="21">
        <f t="shared" si="3"/>
        <v>698.005</v>
      </c>
      <c r="Q62" s="2">
        <f>IF('Batt IN'!$E$27*'Batt IN'!$E$24&lt;='Batt IN'!$E$28,(('Batt IN'!$E$23*'Batt IN'!$E$27*'Batt IN'!$E$24)/1000)*P62,(('Batt IN'!$E$23*'Batt IN'!$E$28*'Batt IN'!$E$24)/1000)*P62)</f>
        <v>11168.08</v>
      </c>
      <c r="R62" s="2"/>
      <c r="S62" s="77">
        <f>IF(C62&lt;='Batt IN'!$G$14*12,'Batt IN'!$E$15/12,0)</f>
        <v>0</v>
      </c>
      <c r="T62" s="77"/>
      <c r="U62" s="80">
        <f>'Batt IN'!$E$28*('Batt IN'!$G$24/24)*730*(1-O62)</f>
        <v>81433.916666666657</v>
      </c>
      <c r="V62" s="78">
        <f>U62*'Batt IN'!$F$30</f>
        <v>16286.783333333333</v>
      </c>
      <c r="W62" s="78">
        <f>'Batt IN'!$E$28*'Batt IN'!$G$32*('Batt IN'!$E$32/12)*(1+'Batt IN'!$F$30)</f>
        <v>1750.0000000000002</v>
      </c>
      <c r="X62" s="78">
        <f>'Batt IN'!$E$28*'Batt IN'!$G$13*('Batt IN'!$E$13/12)*(1+'Batt IN'!$F$30)</f>
        <v>3184.9999999999995</v>
      </c>
      <c r="Y62" s="33">
        <f>S62*'Batt IN'!$G$15*'Batt IN'!$E$28*(1+'Batt IN'!$F$30)</f>
        <v>0</v>
      </c>
      <c r="Z62" s="33">
        <f>'Batt IN'!$G$16*365/12*(1+'Batt IN'!$F$30)</f>
        <v>1824.9999999999998</v>
      </c>
      <c r="AA62" s="33">
        <f>'Batt IN'!$G$17*'Batt IN'!$E$18*'Batt IN'!$G$18/12*(1+'Batt IN'!$F$30)</f>
        <v>1170</v>
      </c>
      <c r="AB62" s="33">
        <f>'Batt IN'!$G$19*'Batt IN'!$E$20*'Batt IN'!$G$20/12*(1+'Batt IN'!$F$30)</f>
        <v>150</v>
      </c>
      <c r="AC62" s="33">
        <f>'Batt IN'!$G$21*(1+'Batt IN'!$F$30)/12</f>
        <v>3500</v>
      </c>
      <c r="AD62" s="33">
        <f>'Batt IN'!$G$22*(1+'Batt IN'!$F$30)/12</f>
        <v>2500</v>
      </c>
      <c r="AE62" s="33">
        <f t="shared" si="4"/>
        <v>30366.783333333333</v>
      </c>
      <c r="AF62" s="33">
        <f>IF('PV IN'!$F$4="Battery Only",0,AE62*'Batt IN'!$E$29)</f>
        <v>25811.765833333331</v>
      </c>
      <c r="AG62" s="33">
        <f>PVCalcs!L62</f>
        <v>25811.765833333331</v>
      </c>
      <c r="AH62" s="33">
        <f t="shared" si="5"/>
        <v>4555.0175000000017</v>
      </c>
      <c r="AI62" s="33"/>
      <c r="AJ62" s="2">
        <f>IF(AND('Batt IN'!$D$53="Yes",$AL$1&gt;=1),IF($C62='Batt IN'!$H$54*12,-'Batt IN'!$F$54,0),0)</f>
        <v>0</v>
      </c>
      <c r="AK62" s="2">
        <f>IF(AND('Batt IN'!$D$53="Yes",$AL$1&gt;=2),IF($C62='Batt IN'!$H$55*12,-'Batt IN'!$F$55,0),0)</f>
        <v>0</v>
      </c>
      <c r="AL62" s="2">
        <f>IF(AND('Batt IN'!$D$53="Yes",$AL$1&gt;=3),IF($C62='Batt IN'!$H$56*12,-'Batt IN'!$F$56,0),0)</f>
        <v>0</v>
      </c>
      <c r="AM62" s="2">
        <f>IF(AND('Batt IN'!$D$53="Yes",$AL$1&gt;=4),IF($C62='Batt IN'!$H$57*12,-'Batt IN'!$F$57,0),0)</f>
        <v>0</v>
      </c>
      <c r="AN62" s="2">
        <f>IF(AND('Batt IN'!$D$53="Yes",$AL$1&gt;=5),IF($C62='Batt IN'!$H$58*12,-'Batt IN'!$F$58,0),0)</f>
        <v>0</v>
      </c>
      <c r="AO62" s="10">
        <f>IF(AND('Batt IN'!$D$44="YES",$C62&lt;='Batt IN'!$E$44*12),-'Batt IN'!$E$28*'Batt IN'!$E$42/12,0)</f>
        <v>0</v>
      </c>
      <c r="AP62" s="10">
        <f>IF(AND('Batt IN'!$D$46="YES",$C62&lt;='Batt IN'!$E$46*12),-'Batt IN'!$E$28*'Batt IN'!$E$45/12,0)</f>
        <v>0</v>
      </c>
      <c r="AR62" s="10">
        <f>BattLoan!M89</f>
        <v>0</v>
      </c>
      <c r="AS62" s="10">
        <f>'Batt IN'!$G$16*365/12*'Batt IN'!$E$16</f>
        <v>76.041666666666671</v>
      </c>
      <c r="AT62" s="10">
        <f>IF(AND('Batt IN'!$E$18&gt;0,'Batt IN'!$G$18&gt;0),'Batt IN'!$E$17*'Batt IN'!$G$17,0)</f>
        <v>119.44619999999999</v>
      </c>
      <c r="AU62" s="10">
        <f>IF(AND('Batt IN'!$E$20&gt;0,'Batt IN'!$G$20&gt;0),'Batt IN'!$E$19*'Batt IN'!$G$19,0)</f>
        <v>231</v>
      </c>
      <c r="AV62" s="10"/>
      <c r="AW62" s="10"/>
      <c r="AX62" s="10">
        <f>IF('Batt IN'!$E$11="Non-Taxable",Q62,0)</f>
        <v>11168.08</v>
      </c>
      <c r="AY62" s="10">
        <f>IF('Batt IN'!$E$11="Non-Taxable",'Batt IN'!$E$28/1000*'Batt IN'!$G$13*('Batt IN'!$E$13/12)*'Batt IN'!$E$12,0)</f>
        <v>244.42220833333334</v>
      </c>
      <c r="AZ62" s="10">
        <f>IF('Batt IN'!$E$11="Non-Taxable",$S62*'Batt IN'!$G$15*'Batt IN'!$E$28*'Batt IN'!$E$14/1000,0)</f>
        <v>0</v>
      </c>
      <c r="BA62" s="10">
        <f>IF('Batt IN'!$E$11="Non-Taxable",'Batt IN'!$E$21*'Batt IN'!$G$21/12,0)</f>
        <v>437.5</v>
      </c>
      <c r="BB62" s="10">
        <f>IF('Batt IN'!$E$11="Non-Taxable",'Batt IN'!$E$22*'Batt IN'!$G$22/12,0)</f>
        <v>1145.8333333333335</v>
      </c>
      <c r="BC62" s="10">
        <f>IF('Batt IN'!$E$11="Taxable",Q62,0)</f>
        <v>0</v>
      </c>
      <c r="BD62" s="10">
        <f>IF('Batt IN'!$E$11="Taxable",'Batt IN'!$E$28/1000*'Batt IN'!$G$13*('Batt IN'!$E$13/12)*'Batt IN'!$E$12,0)</f>
        <v>0</v>
      </c>
      <c r="BE62" s="10">
        <f>IF('Batt IN'!$E$11="Taxable",$S62*'Batt IN'!$G$15*'Batt IN'!$E$28*'Batt IN'!$E$14/1000,0)</f>
        <v>0</v>
      </c>
      <c r="BF62" s="10">
        <f>IF('Batt IN'!$E$11="Taxable",'Batt IN'!$E$21*'Batt IN'!$G$21/12,0)</f>
        <v>0</v>
      </c>
      <c r="BG62" s="10">
        <f>IF('Batt IN'!$E$11="Taxable",'Batt IN'!$E$22*'Batt IN'!$G$22/12,0)</f>
        <v>0</v>
      </c>
      <c r="BK62" s="10">
        <f>IF('Batt IN'!$N$18="Yes",-BattLoan!H90,-BattLoan!L90)</f>
        <v>0</v>
      </c>
      <c r="BL62" s="10">
        <f>IF('Batt IN'!$N$18="Yes",-BattLoan!F90,0)</f>
        <v>0</v>
      </c>
      <c r="BM62" s="10">
        <f>IF(AND('Batt IN'!$D$44="YES",$C62&lt;='Batt IN'!$E$44*12),0,-'Batt IN'!$E$28*'Batt IN'!$E$42/12)</f>
        <v>-83.333333333333329</v>
      </c>
      <c r="BN62" s="10">
        <f>IF(AND('Batt IN'!$D$46="YES",$C62&lt;='Batt IN'!$E$46*12),0,-'Batt IN'!$E$28*'Batt IN'!$E$45/12)</f>
        <v>-166.66666666666666</v>
      </c>
      <c r="BO62" s="2">
        <f>IF(AND('Batt IN'!$D$41="YES",BattCalcs!C62=ROUNDUP('Batt IN'!$H$41*12,)),-'Batt IN'!$E$41*'Batt IN'!$E$28,0)</f>
        <v>0</v>
      </c>
      <c r="BP62" s="2">
        <f>IF(AND('Batt IN'!$D$53="Yes",$AL$1&gt;=1),0,IF($C62='Batt IN'!$H$54*12,-'Batt IN'!$F$54,0))</f>
        <v>0</v>
      </c>
      <c r="BQ62" s="2">
        <f>IF(AND('Batt IN'!$D$53="Yes",$AL$1&gt;=2),0,IF($C62='Batt IN'!$H$55*12,-'Batt IN'!$F$55,0))</f>
        <v>0</v>
      </c>
      <c r="BR62" s="2">
        <f>IF(AND('Batt IN'!$D$53="Yes",$AL$1&gt;=3),0,IF($C62='Batt IN'!$H$56*12,-'Batt IN'!$F$56,0))</f>
        <v>0</v>
      </c>
      <c r="BS62" s="2">
        <f>IF(AND('Batt IN'!$D$53="Yes",$AL$1&gt;=4),0,IF($C62='Batt IN'!$H$57*12,-'Batt IN'!$F$57,0))</f>
        <v>0</v>
      </c>
      <c r="BT62" s="2">
        <f>IF(AND('Batt IN'!$D$53="Yes",$AL$1&gt;=5),0,IF($C62='Batt IN'!$H$58*12,-'Batt IN'!$F$58,0))</f>
        <v>0</v>
      </c>
      <c r="BU62" s="2">
        <f>-AH62*PVCalcs!F62</f>
        <v>-345.95524826378846</v>
      </c>
      <c r="BV62" s="2">
        <f>-'Batt IN'!$E$47</f>
        <v>-150</v>
      </c>
      <c r="BW62" s="2">
        <f>-'Batt IN'!$E$49</f>
        <v>-2250</v>
      </c>
      <c r="BX62" s="2">
        <f>IF('Batt IN'!$H$50="No",-(BC62*'Batt IN'!$E$50),-(BC62+BE62)*'Batt IN'!$E$50)</f>
        <v>0</v>
      </c>
      <c r="BY62" s="2">
        <f>IF(C62='Batt IN'!$H$43*12,-'Batt IN'!$E$43,0)</f>
        <v>0</v>
      </c>
      <c r="BZ62" s="38"/>
      <c r="CA62" s="10">
        <f t="shared" si="0"/>
        <v>13422.323408333334</v>
      </c>
      <c r="CB62" s="2">
        <f t="shared" si="6"/>
        <v>-2995.9552482637882</v>
      </c>
      <c r="CC62" s="45">
        <f t="shared" si="7"/>
        <v>10426.368160069545</v>
      </c>
      <c r="CD62" s="43"/>
      <c r="CE62" s="2">
        <f t="shared" si="8"/>
        <v>0</v>
      </c>
      <c r="CF62" s="2">
        <f t="shared" si="9"/>
        <v>-2995.9552482637882</v>
      </c>
      <c r="CG62" s="2"/>
      <c r="CH62" s="2">
        <f t="shared" si="10"/>
        <v>-2995.9552482637882</v>
      </c>
      <c r="CI62" s="45">
        <f>-CH62*'Batt IN'!$E$7</f>
        <v>629.1506021353955</v>
      </c>
      <c r="CJ62" s="48"/>
      <c r="CK62" s="45">
        <f>IF('Batt IN'!$F$4="PV Only",0,IF(C62&gt;'Batt IN'!$H$43*12,0,CC62+CI62))</f>
        <v>0</v>
      </c>
      <c r="CM62" s="10">
        <f t="shared" si="11"/>
        <v>0</v>
      </c>
      <c r="CN62" s="2">
        <f>CK62/(1+('Batt IN'!$G$8))^(C62)</f>
        <v>0</v>
      </c>
      <c r="CO62" s="2">
        <f>IF(C62&lt;='Batt IN'!$O$30*12,CN62+CO61,NA())</f>
        <v>0</v>
      </c>
      <c r="CQ62" s="2">
        <f>CK62/((1+('Batt IN'!$E$8/12))^BattCalcs!C62)</f>
        <v>0</v>
      </c>
      <c r="CS62" s="10">
        <f t="shared" si="12"/>
        <v>-2995.9552482637882</v>
      </c>
      <c r="CT62" s="10">
        <f t="shared" si="13"/>
        <v>0</v>
      </c>
      <c r="CU62" s="10">
        <f t="shared" si="14"/>
        <v>-2995.9552482637882</v>
      </c>
      <c r="CV62" s="10">
        <f t="shared" si="15"/>
        <v>-2995.9552482637882</v>
      </c>
      <c r="CW62" s="2">
        <f t="shared" si="1"/>
        <v>0</v>
      </c>
      <c r="CX62" s="2">
        <f>-(SUM(CV62:CW62)*'PV IN'!$E$8)</f>
        <v>629.1506021353955</v>
      </c>
      <c r="CY62" s="2">
        <f t="shared" si="16"/>
        <v>-2366.804646128393</v>
      </c>
      <c r="CZ62" s="2">
        <f>IF(C62&lt;='Batt IN'!$H$43*12,CY62/(1+('PV IN'!$G$9))^(C62),0)</f>
        <v>-1869.5946974466638</v>
      </c>
      <c r="DA62" s="33">
        <f>IF(C62&lt;='Batt IN'!$H$43*12,AE62,0)</f>
        <v>30366.783333333333</v>
      </c>
    </row>
    <row r="63" spans="1:105" x14ac:dyDescent="0.25">
      <c r="A63">
        <f>IF(C63&lt;='Batt IN'!$H$43*12,C63,"")</f>
        <v>59</v>
      </c>
      <c r="C63">
        <v>59</v>
      </c>
      <c r="D63" s="21">
        <v>730</v>
      </c>
      <c r="E63" s="1">
        <f>1-'Batt IN'!$E$31</f>
        <v>2.0000000000000018E-2</v>
      </c>
      <c r="F63" s="12">
        <f>('Batt IN'!$E$33*365)/8760</f>
        <v>0</v>
      </c>
      <c r="G63" s="22">
        <f>'Batt IN'!$E$32/8760</f>
        <v>5.7077625570776253E-3</v>
      </c>
      <c r="H63" s="22">
        <f>'Batt IN'!$E$13/8760</f>
        <v>5.5936073059360729E-3</v>
      </c>
      <c r="I63" s="23">
        <f>IF(C63&lt;='Batt IN'!$G$14*12,'Batt IN'!$E$15/8760*'Batt IN'!$G$15,0)</f>
        <v>0</v>
      </c>
      <c r="J63" s="12">
        <f>Z63/'Batt IN'!$E$27/730</f>
        <v>2.4999999999999996E-3</v>
      </c>
      <c r="K63" s="23">
        <f>AA63/'Batt IN'!$E$27/730</f>
        <v>1.6027397260273972E-3</v>
      </c>
      <c r="L63" s="23">
        <f>AB63/'Batt IN'!$E$27/730</f>
        <v>2.0547945205479451E-4</v>
      </c>
      <c r="M63" s="23">
        <f>AC63/'Batt IN'!$E$27/730</f>
        <v>4.7945205479452057E-3</v>
      </c>
      <c r="N63" s="23">
        <f>AD63/'Batt IN'!$E$27/730</f>
        <v>3.4246575342465752E-3</v>
      </c>
      <c r="O63" s="12">
        <f t="shared" si="2"/>
        <v>4.3828767123287697E-2</v>
      </c>
      <c r="P63" s="21">
        <f t="shared" si="3"/>
        <v>698.005</v>
      </c>
      <c r="Q63" s="2">
        <f>IF('Batt IN'!$E$27*'Batt IN'!$E$24&lt;='Batt IN'!$E$28,(('Batt IN'!$E$23*'Batt IN'!$E$27*'Batt IN'!$E$24)/1000)*P63,(('Batt IN'!$E$23*'Batt IN'!$E$28*'Batt IN'!$E$24)/1000)*P63)</f>
        <v>11168.08</v>
      </c>
      <c r="R63" s="2"/>
      <c r="S63" s="77">
        <f>IF(C63&lt;='Batt IN'!$G$14*12,'Batt IN'!$E$15/12,0)</f>
        <v>0</v>
      </c>
      <c r="T63" s="77"/>
      <c r="U63" s="80">
        <f>'Batt IN'!$E$28*('Batt IN'!$G$24/24)*730*(1-O63)</f>
        <v>81433.916666666657</v>
      </c>
      <c r="V63" s="78">
        <f>U63*'Batt IN'!$F$30</f>
        <v>16286.783333333333</v>
      </c>
      <c r="W63" s="78">
        <f>'Batt IN'!$E$28*'Batt IN'!$G$32*('Batt IN'!$E$32/12)*(1+'Batt IN'!$F$30)</f>
        <v>1750.0000000000002</v>
      </c>
      <c r="X63" s="78">
        <f>'Batt IN'!$E$28*'Batt IN'!$G$13*('Batt IN'!$E$13/12)*(1+'Batt IN'!$F$30)</f>
        <v>3184.9999999999995</v>
      </c>
      <c r="Y63" s="33">
        <f>S63*'Batt IN'!$G$15*'Batt IN'!$E$28*(1+'Batt IN'!$F$30)</f>
        <v>0</v>
      </c>
      <c r="Z63" s="33">
        <f>'Batt IN'!$G$16*365/12*(1+'Batt IN'!$F$30)</f>
        <v>1824.9999999999998</v>
      </c>
      <c r="AA63" s="33">
        <f>'Batt IN'!$G$17*'Batt IN'!$E$18*'Batt IN'!$G$18/12*(1+'Batt IN'!$F$30)</f>
        <v>1170</v>
      </c>
      <c r="AB63" s="33">
        <f>'Batt IN'!$G$19*'Batt IN'!$E$20*'Batt IN'!$G$20/12*(1+'Batt IN'!$F$30)</f>
        <v>150</v>
      </c>
      <c r="AC63" s="33">
        <f>'Batt IN'!$G$21*(1+'Batt IN'!$F$30)/12</f>
        <v>3500</v>
      </c>
      <c r="AD63" s="33">
        <f>'Batt IN'!$G$22*(1+'Batt IN'!$F$30)/12</f>
        <v>2500</v>
      </c>
      <c r="AE63" s="33">
        <f t="shared" si="4"/>
        <v>30366.783333333333</v>
      </c>
      <c r="AF63" s="33">
        <f>IF('PV IN'!$F$4="Battery Only",0,AE63*'Batt IN'!$E$29)</f>
        <v>25811.765833333331</v>
      </c>
      <c r="AG63" s="33">
        <f>PVCalcs!L63</f>
        <v>25811.765833333331</v>
      </c>
      <c r="AH63" s="33">
        <f t="shared" si="5"/>
        <v>4555.0175000000017</v>
      </c>
      <c r="AI63" s="33"/>
      <c r="AJ63" s="2">
        <f>IF(AND('Batt IN'!$D$53="Yes",$AL$1&gt;=1),IF($C63='Batt IN'!$H$54*12,-'Batt IN'!$F$54,0),0)</f>
        <v>0</v>
      </c>
      <c r="AK63" s="2">
        <f>IF(AND('Batt IN'!$D$53="Yes",$AL$1&gt;=2),IF($C63='Batt IN'!$H$55*12,-'Batt IN'!$F$55,0),0)</f>
        <v>0</v>
      </c>
      <c r="AL63" s="2">
        <f>IF(AND('Batt IN'!$D$53="Yes",$AL$1&gt;=3),IF($C63='Batt IN'!$H$56*12,-'Batt IN'!$F$56,0),0)</f>
        <v>0</v>
      </c>
      <c r="AM63" s="2">
        <f>IF(AND('Batt IN'!$D$53="Yes",$AL$1&gt;=4),IF($C63='Batt IN'!$H$57*12,-'Batt IN'!$F$57,0),0)</f>
        <v>0</v>
      </c>
      <c r="AN63" s="2">
        <f>IF(AND('Batt IN'!$D$53="Yes",$AL$1&gt;=5),IF($C63='Batt IN'!$H$58*12,-'Batt IN'!$F$58,0),0)</f>
        <v>0</v>
      </c>
      <c r="AO63" s="10">
        <f>IF(AND('Batt IN'!$D$44="YES",$C63&lt;='Batt IN'!$E$44*12),-'Batt IN'!$E$28*'Batt IN'!$E$42/12,0)</f>
        <v>0</v>
      </c>
      <c r="AP63" s="10">
        <f>IF(AND('Batt IN'!$D$46="YES",$C63&lt;='Batt IN'!$E$46*12),-'Batt IN'!$E$28*'Batt IN'!$E$45/12,0)</f>
        <v>0</v>
      </c>
      <c r="AR63" s="10">
        <f>BattLoan!M90</f>
        <v>0</v>
      </c>
      <c r="AS63" s="10">
        <f>'Batt IN'!$G$16*365/12*'Batt IN'!$E$16</f>
        <v>76.041666666666671</v>
      </c>
      <c r="AT63" s="10">
        <f>IF(AND('Batt IN'!$E$18&gt;0,'Batt IN'!$G$18&gt;0),'Batt IN'!$E$17*'Batt IN'!$G$17,0)</f>
        <v>119.44619999999999</v>
      </c>
      <c r="AU63" s="10">
        <f>IF(AND('Batt IN'!$E$20&gt;0,'Batt IN'!$G$20&gt;0),'Batt IN'!$E$19*'Batt IN'!$G$19,0)</f>
        <v>231</v>
      </c>
      <c r="AV63" s="10"/>
      <c r="AW63" s="10"/>
      <c r="AX63" s="10">
        <f>IF('Batt IN'!$E$11="Non-Taxable",Q63,0)</f>
        <v>11168.08</v>
      </c>
      <c r="AY63" s="10">
        <f>IF('Batt IN'!$E$11="Non-Taxable",'Batt IN'!$E$28/1000*'Batt IN'!$G$13*('Batt IN'!$E$13/12)*'Batt IN'!$E$12,0)</f>
        <v>244.42220833333334</v>
      </c>
      <c r="AZ63" s="10">
        <f>IF('Batt IN'!$E$11="Non-Taxable",$S63*'Batt IN'!$G$15*'Batt IN'!$E$28*'Batt IN'!$E$14/1000,0)</f>
        <v>0</v>
      </c>
      <c r="BA63" s="10">
        <f>IF('Batt IN'!$E$11="Non-Taxable",'Batt IN'!$E$21*'Batt IN'!$G$21/12,0)</f>
        <v>437.5</v>
      </c>
      <c r="BB63" s="10">
        <f>IF('Batt IN'!$E$11="Non-Taxable",'Batt IN'!$E$22*'Batt IN'!$G$22/12,0)</f>
        <v>1145.8333333333335</v>
      </c>
      <c r="BC63" s="10">
        <f>IF('Batt IN'!$E$11="Taxable",Q63,0)</f>
        <v>0</v>
      </c>
      <c r="BD63" s="10">
        <f>IF('Batt IN'!$E$11="Taxable",'Batt IN'!$E$28/1000*'Batt IN'!$G$13*('Batt IN'!$E$13/12)*'Batt IN'!$E$12,0)</f>
        <v>0</v>
      </c>
      <c r="BE63" s="10">
        <f>IF('Batt IN'!$E$11="Taxable",$S63*'Batt IN'!$G$15*'Batt IN'!$E$28*'Batt IN'!$E$14/1000,0)</f>
        <v>0</v>
      </c>
      <c r="BF63" s="10">
        <f>IF('Batt IN'!$E$11="Taxable",'Batt IN'!$E$21*'Batt IN'!$G$21/12,0)</f>
        <v>0</v>
      </c>
      <c r="BG63" s="10">
        <f>IF('Batt IN'!$E$11="Taxable",'Batt IN'!$E$22*'Batt IN'!$G$22/12,0)</f>
        <v>0</v>
      </c>
      <c r="BK63" s="10">
        <f>IF('Batt IN'!$N$18="Yes",-BattLoan!H91,-BattLoan!L91)</f>
        <v>0</v>
      </c>
      <c r="BL63" s="10">
        <f>IF('Batt IN'!$N$18="Yes",-BattLoan!F91,0)</f>
        <v>0</v>
      </c>
      <c r="BM63" s="10">
        <f>IF(AND('Batt IN'!$D$44="YES",$C63&lt;='Batt IN'!$E$44*12),0,-'Batt IN'!$E$28*'Batt IN'!$E$42/12)</f>
        <v>-83.333333333333329</v>
      </c>
      <c r="BN63" s="10">
        <f>IF(AND('Batt IN'!$D$46="YES",$C63&lt;='Batt IN'!$E$46*12),0,-'Batt IN'!$E$28*'Batt IN'!$E$45/12)</f>
        <v>-166.66666666666666</v>
      </c>
      <c r="BO63" s="2">
        <f>IF(AND('Batt IN'!$D$41="YES",BattCalcs!C63=ROUNDUP('Batt IN'!$H$41*12,)),-'Batt IN'!$E$41*'Batt IN'!$E$28,0)</f>
        <v>0</v>
      </c>
      <c r="BP63" s="2">
        <f>IF(AND('Batt IN'!$D$53="Yes",$AL$1&gt;=1),0,IF($C63='Batt IN'!$H$54*12,-'Batt IN'!$F$54,0))</f>
        <v>0</v>
      </c>
      <c r="BQ63" s="2">
        <f>IF(AND('Batt IN'!$D$53="Yes",$AL$1&gt;=2),0,IF($C63='Batt IN'!$H$55*12,-'Batt IN'!$F$55,0))</f>
        <v>0</v>
      </c>
      <c r="BR63" s="2">
        <f>IF(AND('Batt IN'!$D$53="Yes",$AL$1&gt;=3),0,IF($C63='Batt IN'!$H$56*12,-'Batt IN'!$F$56,0))</f>
        <v>0</v>
      </c>
      <c r="BS63" s="2">
        <f>IF(AND('Batt IN'!$D$53="Yes",$AL$1&gt;=4),0,IF($C63='Batt IN'!$H$57*12,-'Batt IN'!$F$57,0))</f>
        <v>0</v>
      </c>
      <c r="BT63" s="2">
        <f>IF(AND('Batt IN'!$D$53="Yes",$AL$1&gt;=5),0,IF($C63='Batt IN'!$H$58*12,-'Batt IN'!$F$58,0))</f>
        <v>0</v>
      </c>
      <c r="BU63" s="2">
        <f>-AH63*PVCalcs!F63</f>
        <v>-345.95524826378846</v>
      </c>
      <c r="BV63" s="2">
        <f>-'Batt IN'!$E$47</f>
        <v>-150</v>
      </c>
      <c r="BW63" s="2">
        <f>-'Batt IN'!$E$49</f>
        <v>-2250</v>
      </c>
      <c r="BX63" s="2">
        <f>IF('Batt IN'!$H$50="No",-(BC63*'Batt IN'!$E$50),-(BC63+BE63)*'Batt IN'!$E$50)</f>
        <v>0</v>
      </c>
      <c r="BY63" s="2">
        <f>IF(C63='Batt IN'!$H$43*12,-'Batt IN'!$E$43,0)</f>
        <v>0</v>
      </c>
      <c r="BZ63" s="38"/>
      <c r="CA63" s="10">
        <f t="shared" si="0"/>
        <v>13422.323408333334</v>
      </c>
      <c r="CB63" s="2">
        <f t="shared" si="6"/>
        <v>-2995.9552482637882</v>
      </c>
      <c r="CC63" s="45">
        <f t="shared" si="7"/>
        <v>10426.368160069545</v>
      </c>
      <c r="CD63" s="43"/>
      <c r="CE63" s="2">
        <f t="shared" si="8"/>
        <v>0</v>
      </c>
      <c r="CF63" s="2">
        <f t="shared" si="9"/>
        <v>-2995.9552482637882</v>
      </c>
      <c r="CG63" s="2"/>
      <c r="CH63" s="2">
        <f t="shared" si="10"/>
        <v>-2995.9552482637882</v>
      </c>
      <c r="CI63" s="45">
        <f>-CH63*'Batt IN'!$E$7</f>
        <v>629.1506021353955</v>
      </c>
      <c r="CJ63" s="48"/>
      <c r="CK63" s="45">
        <f>IF('Batt IN'!$F$4="PV Only",0,IF(C63&gt;'Batt IN'!$H$43*12,0,CC63+CI63))</f>
        <v>0</v>
      </c>
      <c r="CM63" s="10">
        <f t="shared" si="11"/>
        <v>0</v>
      </c>
      <c r="CN63" s="2">
        <f>CK63/(1+('Batt IN'!$G$8))^(C63)</f>
        <v>0</v>
      </c>
      <c r="CO63" s="2">
        <f>IF(C63&lt;='Batt IN'!$O$30*12,CN63+CO62,NA())</f>
        <v>0</v>
      </c>
      <c r="CQ63" s="2">
        <f>CK63/((1+('Batt IN'!$E$8/12))^BattCalcs!C63)</f>
        <v>0</v>
      </c>
      <c r="CS63" s="10">
        <f t="shared" si="12"/>
        <v>-2995.9552482637882</v>
      </c>
      <c r="CT63" s="10">
        <f t="shared" si="13"/>
        <v>0</v>
      </c>
      <c r="CU63" s="10">
        <f t="shared" si="14"/>
        <v>-2995.9552482637882</v>
      </c>
      <c r="CV63" s="10">
        <f t="shared" si="15"/>
        <v>-2995.9552482637882</v>
      </c>
      <c r="CW63" s="2">
        <f t="shared" si="1"/>
        <v>0</v>
      </c>
      <c r="CX63" s="2">
        <f>-(SUM(CV63:CW63)*'PV IN'!$E$8)</f>
        <v>629.1506021353955</v>
      </c>
      <c r="CY63" s="2">
        <f t="shared" si="16"/>
        <v>-2366.804646128393</v>
      </c>
      <c r="CZ63" s="2">
        <f>IF(C63&lt;='Batt IN'!$H$43*12,CY63/(1+('PV IN'!$G$9))^(C63),0)</f>
        <v>-1862.0086437458199</v>
      </c>
      <c r="DA63" s="33">
        <f>IF(C63&lt;='Batt IN'!$H$43*12,AE63,0)</f>
        <v>30366.783333333333</v>
      </c>
    </row>
    <row r="64" spans="1:105" x14ac:dyDescent="0.25">
      <c r="A64">
        <f>IF(C64&lt;='Batt IN'!$H$43*12,C64,"")</f>
        <v>60</v>
      </c>
      <c r="B64">
        <v>5</v>
      </c>
      <c r="C64">
        <v>60</v>
      </c>
      <c r="D64" s="21">
        <v>730</v>
      </c>
      <c r="E64" s="1">
        <f>1-'Batt IN'!$E$31</f>
        <v>2.0000000000000018E-2</v>
      </c>
      <c r="F64" s="12">
        <f>('Batt IN'!$E$33*365)/8760</f>
        <v>0</v>
      </c>
      <c r="G64" s="22">
        <f>'Batt IN'!$E$32/8760</f>
        <v>5.7077625570776253E-3</v>
      </c>
      <c r="H64" s="22">
        <f>'Batt IN'!$E$13/8760</f>
        <v>5.5936073059360729E-3</v>
      </c>
      <c r="I64" s="23">
        <f>IF(C64&lt;='Batt IN'!$G$14*12,'Batt IN'!$E$15/8760*'Batt IN'!$G$15,0)</f>
        <v>0</v>
      </c>
      <c r="J64" s="12">
        <f>Z64/'Batt IN'!$E$27/730</f>
        <v>2.4999999999999996E-3</v>
      </c>
      <c r="K64" s="23">
        <f>AA64/'Batt IN'!$E$27/730</f>
        <v>1.6027397260273972E-3</v>
      </c>
      <c r="L64" s="23">
        <f>AB64/'Batt IN'!$E$27/730</f>
        <v>2.0547945205479451E-4</v>
      </c>
      <c r="M64" s="23">
        <f>AC64/'Batt IN'!$E$27/730</f>
        <v>4.7945205479452057E-3</v>
      </c>
      <c r="N64" s="23">
        <f>AD64/'Batt IN'!$E$27/730</f>
        <v>3.4246575342465752E-3</v>
      </c>
      <c r="O64" s="12">
        <f t="shared" si="2"/>
        <v>4.3828767123287697E-2</v>
      </c>
      <c r="P64" s="21">
        <f t="shared" si="3"/>
        <v>698.005</v>
      </c>
      <c r="Q64" s="2">
        <f>IF('Batt IN'!$E$27*'Batt IN'!$E$24&lt;='Batt IN'!$E$28,(('Batt IN'!$E$23*'Batt IN'!$E$27*'Batt IN'!$E$24)/1000)*P64,(('Batt IN'!$E$23*'Batt IN'!$E$28*'Batt IN'!$E$24)/1000)*P64)</f>
        <v>11168.08</v>
      </c>
      <c r="R64" s="2"/>
      <c r="S64" s="77">
        <f>IF(C64&lt;='Batt IN'!$G$14*12,'Batt IN'!$E$15/12,0)</f>
        <v>0</v>
      </c>
      <c r="T64" s="77"/>
      <c r="U64" s="80">
        <f>'Batt IN'!$E$28*('Batt IN'!$G$24/24)*730*(1-O64)</f>
        <v>81433.916666666657</v>
      </c>
      <c r="V64" s="78">
        <f>U64*'Batt IN'!$F$30</f>
        <v>16286.783333333333</v>
      </c>
      <c r="W64" s="78">
        <f>'Batt IN'!$E$28*'Batt IN'!$G$32*('Batt IN'!$E$32/12)*(1+'Batt IN'!$F$30)</f>
        <v>1750.0000000000002</v>
      </c>
      <c r="X64" s="78">
        <f>'Batt IN'!$E$28*'Batt IN'!$G$13*('Batt IN'!$E$13/12)*(1+'Batt IN'!$F$30)</f>
        <v>3184.9999999999995</v>
      </c>
      <c r="Y64" s="33">
        <f>S64*'Batt IN'!$G$15*'Batt IN'!$E$28*(1+'Batt IN'!$F$30)</f>
        <v>0</v>
      </c>
      <c r="Z64" s="33">
        <f>'Batt IN'!$G$16*365/12*(1+'Batt IN'!$F$30)</f>
        <v>1824.9999999999998</v>
      </c>
      <c r="AA64" s="33">
        <f>'Batt IN'!$G$17*'Batt IN'!$E$18*'Batt IN'!$G$18/12*(1+'Batt IN'!$F$30)</f>
        <v>1170</v>
      </c>
      <c r="AB64" s="33">
        <f>'Batt IN'!$G$19*'Batt IN'!$E$20*'Batt IN'!$G$20/12*(1+'Batt IN'!$F$30)</f>
        <v>150</v>
      </c>
      <c r="AC64" s="33">
        <f>'Batt IN'!$G$21*(1+'Batt IN'!$F$30)/12</f>
        <v>3500</v>
      </c>
      <c r="AD64" s="33">
        <f>'Batt IN'!$G$22*(1+'Batt IN'!$F$30)/12</f>
        <v>2500</v>
      </c>
      <c r="AE64" s="33">
        <f t="shared" si="4"/>
        <v>30366.783333333333</v>
      </c>
      <c r="AF64" s="33">
        <f>IF('PV IN'!$F$4="Battery Only",0,AE64*'Batt IN'!$E$29)</f>
        <v>25811.765833333331</v>
      </c>
      <c r="AG64" s="33">
        <f>PVCalcs!L64</f>
        <v>25811.765833333331</v>
      </c>
      <c r="AH64" s="33">
        <f t="shared" si="5"/>
        <v>4555.0175000000017</v>
      </c>
      <c r="AI64" s="33"/>
      <c r="AJ64" s="2">
        <f>IF(AND('Batt IN'!$D$53="Yes",$AL$1&gt;=1),IF($C64='Batt IN'!$H$54*12,-'Batt IN'!$F$54,0),0)</f>
        <v>0</v>
      </c>
      <c r="AK64" s="2">
        <f>IF(AND('Batt IN'!$D$53="Yes",$AL$1&gt;=2),IF($C64='Batt IN'!$H$55*12,-'Batt IN'!$F$55,0),0)</f>
        <v>0</v>
      </c>
      <c r="AL64" s="2">
        <f>IF(AND('Batt IN'!$D$53="Yes",$AL$1&gt;=3),IF($C64='Batt IN'!$H$56*12,-'Batt IN'!$F$56,0),0)</f>
        <v>0</v>
      </c>
      <c r="AM64" s="2">
        <f>IF(AND('Batt IN'!$D$53="Yes",$AL$1&gt;=4),IF($C64='Batt IN'!$H$57*12,-'Batt IN'!$F$57,0),0)</f>
        <v>0</v>
      </c>
      <c r="AN64" s="2">
        <f>IF(AND('Batt IN'!$D$53="Yes",$AL$1&gt;=5),IF($C64='Batt IN'!$H$58*12,-'Batt IN'!$F$58,0),0)</f>
        <v>0</v>
      </c>
      <c r="AO64" s="10">
        <f>IF(AND('Batt IN'!$D$44="YES",$C64&lt;='Batt IN'!$E$44*12),-'Batt IN'!$E$28*'Batt IN'!$E$42/12,0)</f>
        <v>0</v>
      </c>
      <c r="AP64" s="10">
        <f>IF(AND('Batt IN'!$D$46="YES",$C64&lt;='Batt IN'!$E$46*12),-'Batt IN'!$E$28*'Batt IN'!$E$45/12,0)</f>
        <v>0</v>
      </c>
      <c r="AR64" s="10">
        <f>BattLoan!M91</f>
        <v>0</v>
      </c>
      <c r="AS64" s="10">
        <f>'Batt IN'!$G$16*365/12*'Batt IN'!$E$16</f>
        <v>76.041666666666671</v>
      </c>
      <c r="AT64" s="10">
        <f>IF(AND('Batt IN'!$E$18&gt;0,'Batt IN'!$G$18&gt;0),'Batt IN'!$E$17*'Batt IN'!$G$17,0)</f>
        <v>119.44619999999999</v>
      </c>
      <c r="AU64" s="10">
        <f>IF(AND('Batt IN'!$E$20&gt;0,'Batt IN'!$G$20&gt;0),'Batt IN'!$E$19*'Batt IN'!$G$19,0)</f>
        <v>231</v>
      </c>
      <c r="AX64" s="10">
        <f>IF('Batt IN'!$E$11="Non-Taxable",Q64,0)</f>
        <v>11168.08</v>
      </c>
      <c r="AY64" s="10">
        <f>IF('Batt IN'!$E$11="Non-Taxable",'Batt IN'!$E$28/1000*'Batt IN'!$G$13*('Batt IN'!$E$13/12)*'Batt IN'!$E$12,0)</f>
        <v>244.42220833333334</v>
      </c>
      <c r="AZ64" s="10">
        <f>IF('Batt IN'!$E$11="Non-Taxable",$S64*'Batt IN'!$G$15*'Batt IN'!$E$28*'Batt IN'!$E$14/1000,0)</f>
        <v>0</v>
      </c>
      <c r="BA64" s="10">
        <f>IF('Batt IN'!$E$11="Non-Taxable",'Batt IN'!$E$21*'Batt IN'!$G$21/12,0)</f>
        <v>437.5</v>
      </c>
      <c r="BB64" s="10">
        <f>IF('Batt IN'!$E$11="Non-Taxable",'Batt IN'!$E$22*'Batt IN'!$G$22/12,0)</f>
        <v>1145.8333333333335</v>
      </c>
      <c r="BC64" s="10">
        <f>IF('Batt IN'!$E$11="Taxable",Q64,0)</f>
        <v>0</v>
      </c>
      <c r="BD64" s="10">
        <f>IF('Batt IN'!$E$11="Taxable",'Batt IN'!$E$28/1000*'Batt IN'!$G$13*('Batt IN'!$E$13/12)*'Batt IN'!$E$12,0)</f>
        <v>0</v>
      </c>
      <c r="BE64" s="10">
        <f>IF('Batt IN'!$E$11="Taxable",$S64*'Batt IN'!$G$15*'Batt IN'!$E$28*'Batt IN'!$E$14/1000,0)</f>
        <v>0</v>
      </c>
      <c r="BF64" s="10">
        <f>IF('Batt IN'!$E$11="Taxable",'Batt IN'!$E$21*'Batt IN'!$G$21/12,0)</f>
        <v>0</v>
      </c>
      <c r="BG64" s="10">
        <f>IF('Batt IN'!$E$11="Taxable",'Batt IN'!$E$22*'Batt IN'!$G$22/12,0)</f>
        <v>0</v>
      </c>
      <c r="BK64" s="10">
        <f>IF('Batt IN'!$N$18="Yes",-BattLoan!H92,-BattLoan!L92)</f>
        <v>0</v>
      </c>
      <c r="BL64" s="10">
        <f>IF('Batt IN'!$N$18="Yes",-BattLoan!F92,0)</f>
        <v>0</v>
      </c>
      <c r="BM64" s="10">
        <f>IF(AND('Batt IN'!$D$44="YES",$C64&lt;='Batt IN'!$E$44*12),0,-'Batt IN'!$E$28*'Batt IN'!$E$42/12)</f>
        <v>-83.333333333333329</v>
      </c>
      <c r="BN64" s="10">
        <f>IF(AND('Batt IN'!$D$46="YES",$C64&lt;='Batt IN'!$E$46*12),0,-'Batt IN'!$E$28*'Batt IN'!$E$45/12)</f>
        <v>-166.66666666666666</v>
      </c>
      <c r="BO64" s="2">
        <f>IF(AND('Batt IN'!$D$41="YES",BattCalcs!C64=ROUNDUP('Batt IN'!$H$41*12,)),-'Batt IN'!$E$41*'Batt IN'!$E$28,0)</f>
        <v>0</v>
      </c>
      <c r="BP64" s="2">
        <f>IF(AND('Batt IN'!$D$53="Yes",$AL$1&gt;=1),0,IF($C64='Batt IN'!$H$54*12,-'Batt IN'!$F$54,0))</f>
        <v>-60000</v>
      </c>
      <c r="BQ64" s="2">
        <f>IF(AND('Batt IN'!$D$53="Yes",$AL$1&gt;=2),0,IF($C64='Batt IN'!$H$55*12,-'Batt IN'!$F$55,0))</f>
        <v>0</v>
      </c>
      <c r="BR64" s="2">
        <f>IF(AND('Batt IN'!$D$53="Yes",$AL$1&gt;=3),0,IF($C64='Batt IN'!$H$56*12,-'Batt IN'!$F$56,0))</f>
        <v>0</v>
      </c>
      <c r="BS64" s="2">
        <f>IF(AND('Batt IN'!$D$53="Yes",$AL$1&gt;=4),0,IF($C64='Batt IN'!$H$57*12,-'Batt IN'!$F$57,0))</f>
        <v>0</v>
      </c>
      <c r="BT64" s="2">
        <f>IF(AND('Batt IN'!$D$53="Yes",$AL$1&gt;=5),0,IF($C64='Batt IN'!$H$58*12,-'Batt IN'!$F$58,0))</f>
        <v>0</v>
      </c>
      <c r="BU64" s="2">
        <f>-AH64*PVCalcs!F64</f>
        <v>-345.95524826378846</v>
      </c>
      <c r="BV64" s="2">
        <f>-'Batt IN'!$E$47</f>
        <v>-150</v>
      </c>
      <c r="BW64" s="2">
        <f>-'Batt IN'!$E$49</f>
        <v>-2250</v>
      </c>
      <c r="BX64" s="2">
        <f>IF('Batt IN'!$H$50="No",-(BC64*'Batt IN'!$E$50),-(BC64+BE64)*'Batt IN'!$E$50)</f>
        <v>0</v>
      </c>
      <c r="BY64" s="2">
        <f>IF(C64='Batt IN'!$H$43*12,-'Batt IN'!$E$43,0)</f>
        <v>0</v>
      </c>
      <c r="BZ64" s="38"/>
      <c r="CA64" s="10">
        <f t="shared" si="0"/>
        <v>13422.323408333334</v>
      </c>
      <c r="CB64" s="2">
        <f t="shared" si="6"/>
        <v>-62995.955248263788</v>
      </c>
      <c r="CC64" s="45">
        <f t="shared" si="7"/>
        <v>-49573.631839930458</v>
      </c>
      <c r="CD64" s="43"/>
      <c r="CE64" s="2">
        <f t="shared" si="8"/>
        <v>0</v>
      </c>
      <c r="CF64" s="2">
        <f t="shared" si="9"/>
        <v>-62995.955248263788</v>
      </c>
      <c r="CG64" s="2">
        <f>-Depr.!F24</f>
        <v>0</v>
      </c>
      <c r="CH64" s="2">
        <f t="shared" si="10"/>
        <v>-62995.955248263788</v>
      </c>
      <c r="CI64" s="45">
        <f>-CH64*'Batt IN'!$E$7</f>
        <v>13229.150602135394</v>
      </c>
      <c r="CJ64" s="48"/>
      <c r="CK64" s="45">
        <f>IF('Batt IN'!$F$4="PV Only",0,IF(C64&gt;'Batt IN'!$H$43*12,0,CC64+CI64))</f>
        <v>0</v>
      </c>
      <c r="CM64" s="10">
        <f t="shared" si="11"/>
        <v>0</v>
      </c>
      <c r="CN64" s="2">
        <f>CK64/(1+('Batt IN'!$G$8))^(C64)</f>
        <v>0</v>
      </c>
      <c r="CO64" s="2">
        <f>IF(C64&lt;='Batt IN'!$O$30*12,CN64+CO63,NA())</f>
        <v>0</v>
      </c>
      <c r="CQ64" s="2">
        <f>CK64/((1+('Batt IN'!$E$8/12))^BattCalcs!C64)</f>
        <v>0</v>
      </c>
      <c r="CS64" s="10">
        <f t="shared" si="12"/>
        <v>-62995.955248263788</v>
      </c>
      <c r="CT64" s="10">
        <f t="shared" si="13"/>
        <v>0</v>
      </c>
      <c r="CU64" s="10">
        <f t="shared" si="14"/>
        <v>-62995.955248263788</v>
      </c>
      <c r="CV64" s="10">
        <f t="shared" si="15"/>
        <v>-62995.955248263788</v>
      </c>
      <c r="CW64" s="2">
        <f t="shared" si="1"/>
        <v>0</v>
      </c>
      <c r="CX64" s="2">
        <f>-(SUM(CV64:CW64)*'PV IN'!$E$8)</f>
        <v>13229.150602135394</v>
      </c>
      <c r="CY64" s="2">
        <f t="shared" si="16"/>
        <v>-49766.804646128396</v>
      </c>
      <c r="CZ64" s="2">
        <f>IF(C64&lt;='Batt IN'!$H$43*12,CY64/(1+('PV IN'!$G$9))^(C64),0)</f>
        <v>-38993.593661765466</v>
      </c>
      <c r="DA64" s="33">
        <f>IF(C64&lt;='Batt IN'!$H$43*12,AE64,0)</f>
        <v>30366.783333333333</v>
      </c>
    </row>
    <row r="65" spans="1:105" x14ac:dyDescent="0.25">
      <c r="A65">
        <f>IF(C65&lt;='Batt IN'!$H$43*12,C65,"")</f>
        <v>61</v>
      </c>
      <c r="C65">
        <v>61</v>
      </c>
      <c r="D65" s="21">
        <v>730</v>
      </c>
      <c r="E65" s="1">
        <f>1-'Batt IN'!$E$31</f>
        <v>2.0000000000000018E-2</v>
      </c>
      <c r="F65" s="12">
        <f>('Batt IN'!$E$33*365)/8760</f>
        <v>0</v>
      </c>
      <c r="G65" s="22">
        <f>'Batt IN'!$E$32/8760</f>
        <v>5.7077625570776253E-3</v>
      </c>
      <c r="H65" s="22">
        <f>'Batt IN'!$E$13/8760</f>
        <v>5.5936073059360729E-3</v>
      </c>
      <c r="I65" s="23">
        <f>IF(C65&lt;='Batt IN'!$G$14*12,'Batt IN'!$E$15/8760*'Batt IN'!$G$15,0)</f>
        <v>0</v>
      </c>
      <c r="J65" s="12">
        <f>Z65/'Batt IN'!$E$27/730</f>
        <v>2.4999999999999996E-3</v>
      </c>
      <c r="K65" s="23">
        <f>AA65/'Batt IN'!$E$27/730</f>
        <v>1.6027397260273972E-3</v>
      </c>
      <c r="L65" s="23">
        <f>AB65/'Batt IN'!$E$27/730</f>
        <v>2.0547945205479451E-4</v>
      </c>
      <c r="M65" s="23">
        <f>AC65/'Batt IN'!$E$27/730</f>
        <v>4.7945205479452057E-3</v>
      </c>
      <c r="N65" s="23">
        <f>AD65/'Batt IN'!$E$27/730</f>
        <v>3.4246575342465752E-3</v>
      </c>
      <c r="O65" s="12">
        <f t="shared" si="2"/>
        <v>4.3828767123287697E-2</v>
      </c>
      <c r="P65" s="21">
        <f t="shared" si="3"/>
        <v>698.005</v>
      </c>
      <c r="Q65" s="2">
        <f>IF('Batt IN'!$E$27*'Batt IN'!$E$24&lt;='Batt IN'!$E$28,(('Batt IN'!$E$23*'Batt IN'!$E$27*'Batt IN'!$E$24)/1000)*P65,(('Batt IN'!$E$23*'Batt IN'!$E$28*'Batt IN'!$E$24)/1000)*P65)</f>
        <v>11168.08</v>
      </c>
      <c r="R65" s="2"/>
      <c r="S65" s="77">
        <f>IF(C65&lt;='Batt IN'!$G$14*12,'Batt IN'!$E$15/12,0)</f>
        <v>0</v>
      </c>
      <c r="T65" s="77"/>
      <c r="U65" s="80">
        <f>'Batt IN'!$E$28*('Batt IN'!$G$24/24)*730*(1-O65)</f>
        <v>81433.916666666657</v>
      </c>
      <c r="V65" s="78">
        <f>U65*'Batt IN'!$F$30</f>
        <v>16286.783333333333</v>
      </c>
      <c r="W65" s="78">
        <f>'Batt IN'!$E$28*'Batt IN'!$G$32*('Batt IN'!$E$32/12)*(1+'Batt IN'!$F$30)</f>
        <v>1750.0000000000002</v>
      </c>
      <c r="X65" s="78">
        <f>'Batt IN'!$E$28*'Batt IN'!$G$13*('Batt IN'!$E$13/12)*(1+'Batt IN'!$F$30)</f>
        <v>3184.9999999999995</v>
      </c>
      <c r="Y65" s="33">
        <f>S65*'Batt IN'!$G$15*'Batt IN'!$E$28*(1+'Batt IN'!$F$30)</f>
        <v>0</v>
      </c>
      <c r="Z65" s="33">
        <f>'Batt IN'!$G$16*365/12*(1+'Batt IN'!$F$30)</f>
        <v>1824.9999999999998</v>
      </c>
      <c r="AA65" s="33">
        <f>'Batt IN'!$G$17*'Batt IN'!$E$18*'Batt IN'!$G$18/12*(1+'Batt IN'!$F$30)</f>
        <v>1170</v>
      </c>
      <c r="AB65" s="33">
        <f>'Batt IN'!$G$19*'Batt IN'!$E$20*'Batt IN'!$G$20/12*(1+'Batt IN'!$F$30)</f>
        <v>150</v>
      </c>
      <c r="AC65" s="33">
        <f>'Batt IN'!$G$21*(1+'Batt IN'!$F$30)/12</f>
        <v>3500</v>
      </c>
      <c r="AD65" s="33">
        <f>'Batt IN'!$G$22*(1+'Batt IN'!$F$30)/12</f>
        <v>2500</v>
      </c>
      <c r="AE65" s="33">
        <f t="shared" si="4"/>
        <v>30366.783333333333</v>
      </c>
      <c r="AF65" s="33">
        <f>IF('PV IN'!$F$4="Battery Only",0,AE65*'Batt IN'!$E$29)</f>
        <v>25811.765833333331</v>
      </c>
      <c r="AG65" s="33">
        <f>PVCalcs!L65</f>
        <v>25811.765833333331</v>
      </c>
      <c r="AH65" s="33">
        <f t="shared" si="5"/>
        <v>4555.0175000000017</v>
      </c>
      <c r="AI65" s="33"/>
      <c r="AJ65" s="2">
        <f>IF(AND('Batt IN'!$D$53="Yes",$AL$1&gt;=1),IF($C65='Batt IN'!$H$54*12,-'Batt IN'!$F$54,0),0)</f>
        <v>0</v>
      </c>
      <c r="AK65" s="2">
        <f>IF(AND('Batt IN'!$D$53="Yes",$AL$1&gt;=2),IF($C65='Batt IN'!$H$55*12,-'Batt IN'!$F$55,0),0)</f>
        <v>0</v>
      </c>
      <c r="AL65" s="2">
        <f>IF(AND('Batt IN'!$D$53="Yes",$AL$1&gt;=3),IF($C65='Batt IN'!$H$56*12,-'Batt IN'!$F$56,0),0)</f>
        <v>0</v>
      </c>
      <c r="AM65" s="2">
        <f>IF(AND('Batt IN'!$D$53="Yes",$AL$1&gt;=4),IF($C65='Batt IN'!$H$57*12,-'Batt IN'!$F$57,0),0)</f>
        <v>0</v>
      </c>
      <c r="AN65" s="2">
        <f>IF(AND('Batt IN'!$D$53="Yes",$AL$1&gt;=5),IF($C65='Batt IN'!$H$58*12,-'Batt IN'!$F$58,0),0)</f>
        <v>0</v>
      </c>
      <c r="AO65" s="10">
        <f>IF(AND('Batt IN'!$D$44="YES",$C65&lt;='Batt IN'!$E$44*12),-'Batt IN'!$E$28*'Batt IN'!$E$42/12,0)</f>
        <v>0</v>
      </c>
      <c r="AP65" s="10">
        <f>IF(AND('Batt IN'!$D$46="YES",$C65&lt;='Batt IN'!$E$46*12),-'Batt IN'!$E$28*'Batt IN'!$E$45/12,0)</f>
        <v>0</v>
      </c>
      <c r="AR65" s="10">
        <f>BattLoan!M92</f>
        <v>0</v>
      </c>
      <c r="AS65" s="10">
        <f>'Batt IN'!$G$16*365/12*'Batt IN'!$E$16</f>
        <v>76.041666666666671</v>
      </c>
      <c r="AT65" s="10">
        <f>IF(AND('Batt IN'!$E$18&gt;0,'Batt IN'!$G$18&gt;0),'Batt IN'!$E$17*'Batt IN'!$G$17,0)</f>
        <v>119.44619999999999</v>
      </c>
      <c r="AU65" s="10">
        <f>IF(AND('Batt IN'!$E$20&gt;0,'Batt IN'!$G$20&gt;0),'Batt IN'!$E$19*'Batt IN'!$G$19,0)</f>
        <v>231</v>
      </c>
      <c r="AV65" s="10"/>
      <c r="AW65" s="10"/>
      <c r="AX65" s="10">
        <f>IF('Batt IN'!$E$11="Non-Taxable",Q65,0)</f>
        <v>11168.08</v>
      </c>
      <c r="AY65" s="10">
        <f>IF('Batt IN'!$E$11="Non-Taxable",'Batt IN'!$E$28/1000*'Batt IN'!$G$13*('Batt IN'!$E$13/12)*'Batt IN'!$E$12,0)</f>
        <v>244.42220833333334</v>
      </c>
      <c r="AZ65" s="10">
        <f>IF('Batt IN'!$E$11="Non-Taxable",$S65*'Batt IN'!$G$15*'Batt IN'!$E$28*'Batt IN'!$E$14/1000,0)</f>
        <v>0</v>
      </c>
      <c r="BA65" s="10">
        <f>IF('Batt IN'!$E$11="Non-Taxable",'Batt IN'!$E$21*'Batt IN'!$G$21/12,0)</f>
        <v>437.5</v>
      </c>
      <c r="BB65" s="10">
        <f>IF('Batt IN'!$E$11="Non-Taxable",'Batt IN'!$E$22*'Batt IN'!$G$22/12,0)</f>
        <v>1145.8333333333335</v>
      </c>
      <c r="BC65" s="10">
        <f>IF('Batt IN'!$E$11="Taxable",Q65,0)</f>
        <v>0</v>
      </c>
      <c r="BD65" s="10">
        <f>IF('Batt IN'!$E$11="Taxable",'Batt IN'!$E$28/1000*'Batt IN'!$G$13*('Batt IN'!$E$13/12)*'Batt IN'!$E$12,0)</f>
        <v>0</v>
      </c>
      <c r="BE65" s="10">
        <f>IF('Batt IN'!$E$11="Taxable",$S65*'Batt IN'!$G$15*'Batt IN'!$E$28*'Batt IN'!$E$14/1000,0)</f>
        <v>0</v>
      </c>
      <c r="BF65" s="10">
        <f>IF('Batt IN'!$E$11="Taxable",'Batt IN'!$E$21*'Batt IN'!$G$21/12,0)</f>
        <v>0</v>
      </c>
      <c r="BG65" s="10">
        <f>IF('Batt IN'!$E$11="Taxable",'Batt IN'!$E$22*'Batt IN'!$G$22/12,0)</f>
        <v>0</v>
      </c>
      <c r="BK65" s="10">
        <f>IF('Batt IN'!$N$18="Yes",-BattLoan!H93,-BattLoan!L93)</f>
        <v>0</v>
      </c>
      <c r="BL65" s="10">
        <f>IF('Batt IN'!$N$18="Yes",-BattLoan!F93,0)</f>
        <v>0</v>
      </c>
      <c r="BM65" s="10">
        <f>IF(AND('Batt IN'!$D$44="YES",$C65&lt;='Batt IN'!$E$44*12),0,-'Batt IN'!$E$28*'Batt IN'!$E$42/12)</f>
        <v>-83.333333333333329</v>
      </c>
      <c r="BN65" s="10">
        <f>IF(AND('Batt IN'!$D$46="YES",$C65&lt;='Batt IN'!$E$46*12),0,-'Batt IN'!$E$28*'Batt IN'!$E$45/12)</f>
        <v>-166.66666666666666</v>
      </c>
      <c r="BO65" s="2">
        <f>IF(AND('Batt IN'!$D$41="YES",BattCalcs!C65=ROUNDUP('Batt IN'!$H$41*12,)),-'Batt IN'!$E$41*'Batt IN'!$E$28,0)</f>
        <v>0</v>
      </c>
      <c r="BP65" s="2">
        <f>IF(AND('Batt IN'!$D$53="Yes",$AL$1&gt;=1),0,IF($C65='Batt IN'!$H$54*12,-'Batt IN'!$F$54,0))</f>
        <v>0</v>
      </c>
      <c r="BQ65" s="2">
        <f>IF(AND('Batt IN'!$D$53="Yes",$AL$1&gt;=2),0,IF($C65='Batt IN'!$H$55*12,-'Batt IN'!$F$55,0))</f>
        <v>0</v>
      </c>
      <c r="BR65" s="2">
        <f>IF(AND('Batt IN'!$D$53="Yes",$AL$1&gt;=3),0,IF($C65='Batt IN'!$H$56*12,-'Batt IN'!$F$56,0))</f>
        <v>0</v>
      </c>
      <c r="BS65" s="2">
        <f>IF(AND('Batt IN'!$D$53="Yes",$AL$1&gt;=4),0,IF($C65='Batt IN'!$H$57*12,-'Batt IN'!$F$57,0))</f>
        <v>0</v>
      </c>
      <c r="BT65" s="2">
        <f>IF(AND('Batt IN'!$D$53="Yes",$AL$1&gt;=5),0,IF($C65='Batt IN'!$H$58*12,-'Batt IN'!$F$58,0))</f>
        <v>0</v>
      </c>
      <c r="BU65" s="2">
        <f>-AH65*PVCalcs!F65</f>
        <v>-346.57900707845971</v>
      </c>
      <c r="BV65" s="2">
        <f>-'Batt IN'!$E$47</f>
        <v>-150</v>
      </c>
      <c r="BW65" s="2">
        <f>-'Batt IN'!$E$49</f>
        <v>-2250</v>
      </c>
      <c r="BX65" s="2">
        <f>IF('Batt IN'!$H$50="No",-(BC65*'Batt IN'!$E$50),-(BC65+BE65)*'Batt IN'!$E$50)</f>
        <v>0</v>
      </c>
      <c r="BY65" s="2">
        <f>IF(C65='Batt IN'!$H$43*12,-'Batt IN'!$E$43,0)</f>
        <v>0</v>
      </c>
      <c r="BZ65" s="38"/>
      <c r="CA65" s="10">
        <f t="shared" si="0"/>
        <v>13422.323408333334</v>
      </c>
      <c r="CB65" s="2">
        <f t="shared" si="6"/>
        <v>-2996.5790070784597</v>
      </c>
      <c r="CC65" s="45">
        <f t="shared" si="7"/>
        <v>10425.744401254873</v>
      </c>
      <c r="CD65" s="43"/>
      <c r="CE65" s="2">
        <f t="shared" si="8"/>
        <v>0</v>
      </c>
      <c r="CF65" s="2">
        <f t="shared" si="9"/>
        <v>-2996.5790070784597</v>
      </c>
      <c r="CG65" s="2"/>
      <c r="CH65" s="2">
        <f t="shared" si="10"/>
        <v>-2996.5790070784597</v>
      </c>
      <c r="CI65" s="45">
        <f>-CH65*'Batt IN'!$E$7</f>
        <v>629.28159148647649</v>
      </c>
      <c r="CJ65" s="48"/>
      <c r="CK65" s="45">
        <f>IF('Batt IN'!$F$4="PV Only",0,IF(C65&gt;'Batt IN'!$H$43*12,0,CC65+CI65))</f>
        <v>0</v>
      </c>
      <c r="CM65" s="10">
        <f t="shared" si="11"/>
        <v>0</v>
      </c>
      <c r="CN65" s="2">
        <f>CK65/(1+('Batt IN'!$G$8))^(C65)</f>
        <v>0</v>
      </c>
      <c r="CO65" s="2">
        <f>IF(C65&lt;='Batt IN'!$O$30*12,CN65+CO64,NA())</f>
        <v>0</v>
      </c>
      <c r="CQ65" s="2">
        <f>CK65/((1+('Batt IN'!$E$8/12))^BattCalcs!C65)</f>
        <v>0</v>
      </c>
      <c r="CS65" s="10">
        <f t="shared" si="12"/>
        <v>-2996.5790070784597</v>
      </c>
      <c r="CT65" s="10">
        <f t="shared" si="13"/>
        <v>0</v>
      </c>
      <c r="CU65" s="10">
        <f t="shared" si="14"/>
        <v>-2996.5790070784597</v>
      </c>
      <c r="CV65" s="10">
        <f t="shared" si="15"/>
        <v>-2996.5790070784597</v>
      </c>
      <c r="CW65" s="2">
        <f t="shared" si="1"/>
        <v>0</v>
      </c>
      <c r="CX65" s="2">
        <f>-(SUM(CV65:CW65)*'PV IN'!$E$8)</f>
        <v>629.28159148647649</v>
      </c>
      <c r="CY65" s="2">
        <f t="shared" si="16"/>
        <v>-2367.2974155919833</v>
      </c>
      <c r="CZ65" s="2">
        <f>IF(C65&lt;='Batt IN'!$H$43*12,CY65/(1+('PV IN'!$G$9))^(C65),0)</f>
        <v>-1847.3132859353877</v>
      </c>
      <c r="DA65" s="33">
        <f>IF(C65&lt;='Batt IN'!$H$43*12,AE65,0)</f>
        <v>30366.783333333333</v>
      </c>
    </row>
    <row r="66" spans="1:105" x14ac:dyDescent="0.25">
      <c r="A66">
        <f>IF(C66&lt;='Batt IN'!$H$43*12,C66,"")</f>
        <v>62</v>
      </c>
      <c r="C66">
        <v>62</v>
      </c>
      <c r="D66" s="21">
        <v>730</v>
      </c>
      <c r="E66" s="1">
        <f>1-'Batt IN'!$E$31</f>
        <v>2.0000000000000018E-2</v>
      </c>
      <c r="F66" s="12">
        <f>('Batt IN'!$E$33*365)/8760</f>
        <v>0</v>
      </c>
      <c r="G66" s="22">
        <f>'Batt IN'!$E$32/8760</f>
        <v>5.7077625570776253E-3</v>
      </c>
      <c r="H66" s="22">
        <f>'Batt IN'!$E$13/8760</f>
        <v>5.5936073059360729E-3</v>
      </c>
      <c r="I66" s="23">
        <f>IF(C66&lt;='Batt IN'!$G$14*12,'Batt IN'!$E$15/8760*'Batt IN'!$G$15,0)</f>
        <v>0</v>
      </c>
      <c r="J66" s="12">
        <f>Z66/'Batt IN'!$E$27/730</f>
        <v>2.4999999999999996E-3</v>
      </c>
      <c r="K66" s="23">
        <f>AA66/'Batt IN'!$E$27/730</f>
        <v>1.6027397260273972E-3</v>
      </c>
      <c r="L66" s="23">
        <f>AB66/'Batt IN'!$E$27/730</f>
        <v>2.0547945205479451E-4</v>
      </c>
      <c r="M66" s="23">
        <f>AC66/'Batt IN'!$E$27/730</f>
        <v>4.7945205479452057E-3</v>
      </c>
      <c r="N66" s="23">
        <f>AD66/'Batt IN'!$E$27/730</f>
        <v>3.4246575342465752E-3</v>
      </c>
      <c r="O66" s="12">
        <f t="shared" si="2"/>
        <v>4.3828767123287697E-2</v>
      </c>
      <c r="P66" s="21">
        <f t="shared" si="3"/>
        <v>698.005</v>
      </c>
      <c r="Q66" s="2">
        <f>IF('Batt IN'!$E$27*'Batt IN'!$E$24&lt;='Batt IN'!$E$28,(('Batt IN'!$E$23*'Batt IN'!$E$27*'Batt IN'!$E$24)/1000)*P66,(('Batt IN'!$E$23*'Batt IN'!$E$28*'Batt IN'!$E$24)/1000)*P66)</f>
        <v>11168.08</v>
      </c>
      <c r="R66" s="2"/>
      <c r="S66" s="77">
        <f>IF(C66&lt;='Batt IN'!$G$14*12,'Batt IN'!$E$15/12,0)</f>
        <v>0</v>
      </c>
      <c r="T66" s="77"/>
      <c r="U66" s="80">
        <f>'Batt IN'!$E$28*('Batt IN'!$G$24/24)*730*(1-O66)</f>
        <v>81433.916666666657</v>
      </c>
      <c r="V66" s="78">
        <f>U66*'Batt IN'!$F$30</f>
        <v>16286.783333333333</v>
      </c>
      <c r="W66" s="78">
        <f>'Batt IN'!$E$28*'Batt IN'!$G$32*('Batt IN'!$E$32/12)*(1+'Batt IN'!$F$30)</f>
        <v>1750.0000000000002</v>
      </c>
      <c r="X66" s="78">
        <f>'Batt IN'!$E$28*'Batt IN'!$G$13*('Batt IN'!$E$13/12)*(1+'Batt IN'!$F$30)</f>
        <v>3184.9999999999995</v>
      </c>
      <c r="Y66" s="33">
        <f>S66*'Batt IN'!$G$15*'Batt IN'!$E$28*(1+'Batt IN'!$F$30)</f>
        <v>0</v>
      </c>
      <c r="Z66" s="33">
        <f>'Batt IN'!$G$16*365/12*(1+'Batt IN'!$F$30)</f>
        <v>1824.9999999999998</v>
      </c>
      <c r="AA66" s="33">
        <f>'Batt IN'!$G$17*'Batt IN'!$E$18*'Batt IN'!$G$18/12*(1+'Batt IN'!$F$30)</f>
        <v>1170</v>
      </c>
      <c r="AB66" s="33">
        <f>'Batt IN'!$G$19*'Batt IN'!$E$20*'Batt IN'!$G$20/12*(1+'Batt IN'!$F$30)</f>
        <v>150</v>
      </c>
      <c r="AC66" s="33">
        <f>'Batt IN'!$G$21*(1+'Batt IN'!$F$30)/12</f>
        <v>3500</v>
      </c>
      <c r="AD66" s="33">
        <f>'Batt IN'!$G$22*(1+'Batt IN'!$F$30)/12</f>
        <v>2500</v>
      </c>
      <c r="AE66" s="33">
        <f t="shared" si="4"/>
        <v>30366.783333333333</v>
      </c>
      <c r="AF66" s="33">
        <f>IF('PV IN'!$F$4="Battery Only",0,AE66*'Batt IN'!$E$29)</f>
        <v>25811.765833333331</v>
      </c>
      <c r="AG66" s="33">
        <f>PVCalcs!L66</f>
        <v>25811.765833333331</v>
      </c>
      <c r="AH66" s="33">
        <f t="shared" si="5"/>
        <v>4555.0175000000017</v>
      </c>
      <c r="AI66" s="33"/>
      <c r="AJ66" s="2">
        <f>IF(AND('Batt IN'!$D$53="Yes",$AL$1&gt;=1),IF($C66='Batt IN'!$H$54*12,-'Batt IN'!$F$54,0),0)</f>
        <v>0</v>
      </c>
      <c r="AK66" s="2">
        <f>IF(AND('Batt IN'!$D$53="Yes",$AL$1&gt;=2),IF($C66='Batt IN'!$H$55*12,-'Batt IN'!$F$55,0),0)</f>
        <v>0</v>
      </c>
      <c r="AL66" s="2">
        <f>IF(AND('Batt IN'!$D$53="Yes",$AL$1&gt;=3),IF($C66='Batt IN'!$H$56*12,-'Batt IN'!$F$56,0),0)</f>
        <v>0</v>
      </c>
      <c r="AM66" s="2">
        <f>IF(AND('Batt IN'!$D$53="Yes",$AL$1&gt;=4),IF($C66='Batt IN'!$H$57*12,-'Batt IN'!$F$57,0),0)</f>
        <v>0</v>
      </c>
      <c r="AN66" s="2">
        <f>IF(AND('Batt IN'!$D$53="Yes",$AL$1&gt;=5),IF($C66='Batt IN'!$H$58*12,-'Batt IN'!$F$58,0),0)</f>
        <v>0</v>
      </c>
      <c r="AO66" s="10">
        <f>IF(AND('Batt IN'!$D$44="YES",$C66&lt;='Batt IN'!$E$44*12),-'Batt IN'!$E$28*'Batt IN'!$E$42/12,0)</f>
        <v>0</v>
      </c>
      <c r="AP66" s="10">
        <f>IF(AND('Batt IN'!$D$46="YES",$C66&lt;='Batt IN'!$E$46*12),-'Batt IN'!$E$28*'Batt IN'!$E$45/12,0)</f>
        <v>0</v>
      </c>
      <c r="AR66" s="10">
        <f>BattLoan!M93</f>
        <v>0</v>
      </c>
      <c r="AS66" s="10">
        <f>'Batt IN'!$G$16*365/12*'Batt IN'!$E$16</f>
        <v>76.041666666666671</v>
      </c>
      <c r="AT66" s="10">
        <f>IF(AND('Batt IN'!$E$18&gt;0,'Batt IN'!$G$18&gt;0),'Batt IN'!$E$17*'Batt IN'!$G$17,0)</f>
        <v>119.44619999999999</v>
      </c>
      <c r="AU66" s="10">
        <f>IF(AND('Batt IN'!$E$20&gt;0,'Batt IN'!$G$20&gt;0),'Batt IN'!$E$19*'Batt IN'!$G$19,0)</f>
        <v>231</v>
      </c>
      <c r="AV66" s="10"/>
      <c r="AW66" s="10"/>
      <c r="AX66" s="10">
        <f>IF('Batt IN'!$E$11="Non-Taxable",Q66,0)</f>
        <v>11168.08</v>
      </c>
      <c r="AY66" s="10">
        <f>IF('Batt IN'!$E$11="Non-Taxable",'Batt IN'!$E$28/1000*'Batt IN'!$G$13*('Batt IN'!$E$13/12)*'Batt IN'!$E$12,0)</f>
        <v>244.42220833333334</v>
      </c>
      <c r="AZ66" s="10">
        <f>IF('Batt IN'!$E$11="Non-Taxable",$S66*'Batt IN'!$G$15*'Batt IN'!$E$28*'Batt IN'!$E$14/1000,0)</f>
        <v>0</v>
      </c>
      <c r="BA66" s="10">
        <f>IF('Batt IN'!$E$11="Non-Taxable",'Batt IN'!$E$21*'Batt IN'!$G$21/12,0)</f>
        <v>437.5</v>
      </c>
      <c r="BB66" s="10">
        <f>IF('Batt IN'!$E$11="Non-Taxable",'Batt IN'!$E$22*'Batt IN'!$G$22/12,0)</f>
        <v>1145.8333333333335</v>
      </c>
      <c r="BC66" s="10">
        <f>IF('Batt IN'!$E$11="Taxable",Q66,0)</f>
        <v>0</v>
      </c>
      <c r="BD66" s="10">
        <f>IF('Batt IN'!$E$11="Taxable",'Batt IN'!$E$28/1000*'Batt IN'!$G$13*('Batt IN'!$E$13/12)*'Batt IN'!$E$12,0)</f>
        <v>0</v>
      </c>
      <c r="BE66" s="10">
        <f>IF('Batt IN'!$E$11="Taxable",$S66*'Batt IN'!$G$15*'Batt IN'!$E$28*'Batt IN'!$E$14/1000,0)</f>
        <v>0</v>
      </c>
      <c r="BF66" s="10">
        <f>IF('Batt IN'!$E$11="Taxable",'Batt IN'!$E$21*'Batt IN'!$G$21/12,0)</f>
        <v>0</v>
      </c>
      <c r="BG66" s="10">
        <f>IF('Batt IN'!$E$11="Taxable",'Batt IN'!$E$22*'Batt IN'!$G$22/12,0)</f>
        <v>0</v>
      </c>
      <c r="BK66" s="10">
        <f>IF('Batt IN'!$N$18="Yes",-BattLoan!H94,-BattLoan!L94)</f>
        <v>0</v>
      </c>
      <c r="BL66" s="10">
        <f>IF('Batt IN'!$N$18="Yes",-BattLoan!F94,0)</f>
        <v>0</v>
      </c>
      <c r="BM66" s="10">
        <f>IF(AND('Batt IN'!$D$44="YES",$C66&lt;='Batt IN'!$E$44*12),0,-'Batt IN'!$E$28*'Batt IN'!$E$42/12)</f>
        <v>-83.333333333333329</v>
      </c>
      <c r="BN66" s="10">
        <f>IF(AND('Batt IN'!$D$46="YES",$C66&lt;='Batt IN'!$E$46*12),0,-'Batt IN'!$E$28*'Batt IN'!$E$45/12)</f>
        <v>-166.66666666666666</v>
      </c>
      <c r="BO66" s="2">
        <f>IF(AND('Batt IN'!$D$41="YES",BattCalcs!C66=ROUNDUP('Batt IN'!$H$41*12,)),-'Batt IN'!$E$41*'Batt IN'!$E$28,0)</f>
        <v>0</v>
      </c>
      <c r="BP66" s="2">
        <f>IF(AND('Batt IN'!$D$53="Yes",$AL$1&gt;=1),0,IF($C66='Batt IN'!$H$54*12,-'Batt IN'!$F$54,0))</f>
        <v>0</v>
      </c>
      <c r="BQ66" s="2">
        <f>IF(AND('Batt IN'!$D$53="Yes",$AL$1&gt;=2),0,IF($C66='Batt IN'!$H$55*12,-'Batt IN'!$F$55,0))</f>
        <v>0</v>
      </c>
      <c r="BR66" s="2">
        <f>IF(AND('Batt IN'!$D$53="Yes",$AL$1&gt;=3),0,IF($C66='Batt IN'!$H$56*12,-'Batt IN'!$F$56,0))</f>
        <v>0</v>
      </c>
      <c r="BS66" s="2">
        <f>IF(AND('Batt IN'!$D$53="Yes",$AL$1&gt;=4),0,IF($C66='Batt IN'!$H$57*12,-'Batt IN'!$F$57,0))</f>
        <v>0</v>
      </c>
      <c r="BT66" s="2">
        <f>IF(AND('Batt IN'!$D$53="Yes",$AL$1&gt;=5),0,IF($C66='Batt IN'!$H$58*12,-'Batt IN'!$F$58,0))</f>
        <v>0</v>
      </c>
      <c r="BU66" s="2">
        <f>-AH66*PVCalcs!F66</f>
        <v>-346.57900707845971</v>
      </c>
      <c r="BV66" s="2">
        <f>-'Batt IN'!$E$47</f>
        <v>-150</v>
      </c>
      <c r="BW66" s="2">
        <f>-'Batt IN'!$E$49</f>
        <v>-2250</v>
      </c>
      <c r="BX66" s="2">
        <f>IF('Batt IN'!$H$50="No",-(BC66*'Batt IN'!$E$50),-(BC66+BE66)*'Batt IN'!$E$50)</f>
        <v>0</v>
      </c>
      <c r="BY66" s="2">
        <f>IF(C66='Batt IN'!$H$43*12,-'Batt IN'!$E$43,0)</f>
        <v>0</v>
      </c>
      <c r="BZ66" s="38"/>
      <c r="CA66" s="10">
        <f t="shared" si="0"/>
        <v>13422.323408333334</v>
      </c>
      <c r="CB66" s="2">
        <f t="shared" si="6"/>
        <v>-2996.5790070784597</v>
      </c>
      <c r="CC66" s="45">
        <f t="shared" si="7"/>
        <v>10425.744401254873</v>
      </c>
      <c r="CD66" s="43"/>
      <c r="CE66" s="2">
        <f t="shared" si="8"/>
        <v>0</v>
      </c>
      <c r="CF66" s="2">
        <f t="shared" si="9"/>
        <v>-2996.5790070784597</v>
      </c>
      <c r="CG66" s="2"/>
      <c r="CH66" s="2">
        <f t="shared" si="10"/>
        <v>-2996.5790070784597</v>
      </c>
      <c r="CI66" s="45">
        <f>-CH66*'Batt IN'!$E$7</f>
        <v>629.28159148647649</v>
      </c>
      <c r="CJ66" s="48"/>
      <c r="CK66" s="45">
        <f>IF('Batt IN'!$F$4="PV Only",0,IF(C66&gt;'Batt IN'!$H$43*12,0,CC66+CI66))</f>
        <v>0</v>
      </c>
      <c r="CM66" s="10">
        <f t="shared" si="11"/>
        <v>0</v>
      </c>
      <c r="CN66" s="2">
        <f>CK66/(1+('Batt IN'!$G$8))^(C66)</f>
        <v>0</v>
      </c>
      <c r="CO66" s="2">
        <f>IF(C66&lt;='Batt IN'!$O$30*12,CN66+CO65,NA())</f>
        <v>0</v>
      </c>
      <c r="CQ66" s="2">
        <f>CK66/((1+('Batt IN'!$E$8/12))^BattCalcs!C66)</f>
        <v>0</v>
      </c>
      <c r="CS66" s="10">
        <f t="shared" si="12"/>
        <v>-2996.5790070784597</v>
      </c>
      <c r="CT66" s="10">
        <f t="shared" si="13"/>
        <v>0</v>
      </c>
      <c r="CU66" s="10">
        <f t="shared" si="14"/>
        <v>-2996.5790070784597</v>
      </c>
      <c r="CV66" s="10">
        <f t="shared" si="15"/>
        <v>-2996.5790070784597</v>
      </c>
      <c r="CW66" s="2">
        <f t="shared" si="1"/>
        <v>0</v>
      </c>
      <c r="CX66" s="2">
        <f>-(SUM(CV66:CW66)*'PV IN'!$E$8)</f>
        <v>629.28159148647649</v>
      </c>
      <c r="CY66" s="2">
        <f t="shared" si="16"/>
        <v>-2367.2974155919833</v>
      </c>
      <c r="CZ66" s="2">
        <f>IF(C66&lt;='Batt IN'!$H$43*12,CY66/(1+('PV IN'!$G$9))^(C66),0)</f>
        <v>-1839.8176411261002</v>
      </c>
      <c r="DA66" s="33">
        <f>IF(C66&lt;='Batt IN'!$H$43*12,AE66,0)</f>
        <v>30366.783333333333</v>
      </c>
    </row>
    <row r="67" spans="1:105" x14ac:dyDescent="0.25">
      <c r="A67">
        <f>IF(C67&lt;='Batt IN'!$H$43*12,C67,"")</f>
        <v>63</v>
      </c>
      <c r="C67">
        <v>63</v>
      </c>
      <c r="D67" s="21">
        <v>730</v>
      </c>
      <c r="E67" s="1">
        <f>1-'Batt IN'!$E$31</f>
        <v>2.0000000000000018E-2</v>
      </c>
      <c r="F67" s="12">
        <f>('Batt IN'!$E$33*365)/8760</f>
        <v>0</v>
      </c>
      <c r="G67" s="22">
        <f>'Batt IN'!$E$32/8760</f>
        <v>5.7077625570776253E-3</v>
      </c>
      <c r="H67" s="22">
        <f>'Batt IN'!$E$13/8760</f>
        <v>5.5936073059360729E-3</v>
      </c>
      <c r="I67" s="23">
        <f>IF(C67&lt;='Batt IN'!$G$14*12,'Batt IN'!$E$15/8760*'Batt IN'!$G$15,0)</f>
        <v>0</v>
      </c>
      <c r="J67" s="12">
        <f>Z67/'Batt IN'!$E$27/730</f>
        <v>2.4999999999999996E-3</v>
      </c>
      <c r="K67" s="23">
        <f>AA67/'Batt IN'!$E$27/730</f>
        <v>1.6027397260273972E-3</v>
      </c>
      <c r="L67" s="23">
        <f>AB67/'Batt IN'!$E$27/730</f>
        <v>2.0547945205479451E-4</v>
      </c>
      <c r="M67" s="23">
        <f>AC67/'Batt IN'!$E$27/730</f>
        <v>4.7945205479452057E-3</v>
      </c>
      <c r="N67" s="23">
        <f>AD67/'Batt IN'!$E$27/730</f>
        <v>3.4246575342465752E-3</v>
      </c>
      <c r="O67" s="12">
        <f t="shared" si="2"/>
        <v>4.3828767123287697E-2</v>
      </c>
      <c r="P67" s="21">
        <f t="shared" si="3"/>
        <v>698.005</v>
      </c>
      <c r="Q67" s="2">
        <f>IF('Batt IN'!$E$27*'Batt IN'!$E$24&lt;='Batt IN'!$E$28,(('Batt IN'!$E$23*'Batt IN'!$E$27*'Batt IN'!$E$24)/1000)*P67,(('Batt IN'!$E$23*'Batt IN'!$E$28*'Batt IN'!$E$24)/1000)*P67)</f>
        <v>11168.08</v>
      </c>
      <c r="R67" s="2"/>
      <c r="S67" s="77">
        <f>IF(C67&lt;='Batt IN'!$G$14*12,'Batt IN'!$E$15/12,0)</f>
        <v>0</v>
      </c>
      <c r="T67" s="77"/>
      <c r="U67" s="80">
        <f>'Batt IN'!$E$28*('Batt IN'!$G$24/24)*730*(1-O67)</f>
        <v>81433.916666666657</v>
      </c>
      <c r="V67" s="78">
        <f>U67*'Batt IN'!$F$30</f>
        <v>16286.783333333333</v>
      </c>
      <c r="W67" s="78">
        <f>'Batt IN'!$E$28*'Batt IN'!$G$32*('Batt IN'!$E$32/12)*(1+'Batt IN'!$F$30)</f>
        <v>1750.0000000000002</v>
      </c>
      <c r="X67" s="78">
        <f>'Batt IN'!$E$28*'Batt IN'!$G$13*('Batt IN'!$E$13/12)*(1+'Batt IN'!$F$30)</f>
        <v>3184.9999999999995</v>
      </c>
      <c r="Y67" s="33">
        <f>S67*'Batt IN'!$G$15*'Batt IN'!$E$28*(1+'Batt IN'!$F$30)</f>
        <v>0</v>
      </c>
      <c r="Z67" s="33">
        <f>'Batt IN'!$G$16*365/12*(1+'Batt IN'!$F$30)</f>
        <v>1824.9999999999998</v>
      </c>
      <c r="AA67" s="33">
        <f>'Batt IN'!$G$17*'Batt IN'!$E$18*'Batt IN'!$G$18/12*(1+'Batt IN'!$F$30)</f>
        <v>1170</v>
      </c>
      <c r="AB67" s="33">
        <f>'Batt IN'!$G$19*'Batt IN'!$E$20*'Batt IN'!$G$20/12*(1+'Batt IN'!$F$30)</f>
        <v>150</v>
      </c>
      <c r="AC67" s="33">
        <f>'Batt IN'!$G$21*(1+'Batt IN'!$F$30)/12</f>
        <v>3500</v>
      </c>
      <c r="AD67" s="33">
        <f>'Batt IN'!$G$22*(1+'Batt IN'!$F$30)/12</f>
        <v>2500</v>
      </c>
      <c r="AE67" s="33">
        <f t="shared" si="4"/>
        <v>30366.783333333333</v>
      </c>
      <c r="AF67" s="33">
        <f>IF('PV IN'!$F$4="Battery Only",0,AE67*'Batt IN'!$E$29)</f>
        <v>25811.765833333331</v>
      </c>
      <c r="AG67" s="33">
        <f>PVCalcs!L67</f>
        <v>25811.765833333331</v>
      </c>
      <c r="AH67" s="33">
        <f t="shared" si="5"/>
        <v>4555.0175000000017</v>
      </c>
      <c r="AI67" s="33"/>
      <c r="AJ67" s="2">
        <f>IF(AND('Batt IN'!$D$53="Yes",$AL$1&gt;=1),IF($C67='Batt IN'!$H$54*12,-'Batt IN'!$F$54,0),0)</f>
        <v>0</v>
      </c>
      <c r="AK67" s="2">
        <f>IF(AND('Batt IN'!$D$53="Yes",$AL$1&gt;=2),IF($C67='Batt IN'!$H$55*12,-'Batt IN'!$F$55,0),0)</f>
        <v>0</v>
      </c>
      <c r="AL67" s="2">
        <f>IF(AND('Batt IN'!$D$53="Yes",$AL$1&gt;=3),IF($C67='Batt IN'!$H$56*12,-'Batt IN'!$F$56,0),0)</f>
        <v>0</v>
      </c>
      <c r="AM67" s="2">
        <f>IF(AND('Batt IN'!$D$53="Yes",$AL$1&gt;=4),IF($C67='Batt IN'!$H$57*12,-'Batt IN'!$F$57,0),0)</f>
        <v>0</v>
      </c>
      <c r="AN67" s="2">
        <f>IF(AND('Batt IN'!$D$53="Yes",$AL$1&gt;=5),IF($C67='Batt IN'!$H$58*12,-'Batt IN'!$F$58,0),0)</f>
        <v>0</v>
      </c>
      <c r="AO67" s="10">
        <f>IF(AND('Batt IN'!$D$44="YES",$C67&lt;='Batt IN'!$E$44*12),-'Batt IN'!$E$28*'Batt IN'!$E$42/12,0)</f>
        <v>0</v>
      </c>
      <c r="AP67" s="10">
        <f>IF(AND('Batt IN'!$D$46="YES",$C67&lt;='Batt IN'!$E$46*12),-'Batt IN'!$E$28*'Batt IN'!$E$45/12,0)</f>
        <v>0</v>
      </c>
      <c r="AR67" s="10">
        <f>BattLoan!M94</f>
        <v>0</v>
      </c>
      <c r="AS67" s="10">
        <f>'Batt IN'!$G$16*365/12*'Batt IN'!$E$16</f>
        <v>76.041666666666671</v>
      </c>
      <c r="AT67" s="10">
        <f>IF(AND('Batt IN'!$E$18&gt;0,'Batt IN'!$G$18&gt;0),'Batt IN'!$E$17*'Batt IN'!$G$17,0)</f>
        <v>119.44619999999999</v>
      </c>
      <c r="AU67" s="10">
        <f>IF(AND('Batt IN'!$E$20&gt;0,'Batt IN'!$G$20&gt;0),'Batt IN'!$E$19*'Batt IN'!$G$19,0)</f>
        <v>231</v>
      </c>
      <c r="AV67" s="10"/>
      <c r="AW67" s="10"/>
      <c r="AX67" s="10">
        <f>IF('Batt IN'!$E$11="Non-Taxable",Q67,0)</f>
        <v>11168.08</v>
      </c>
      <c r="AY67" s="10">
        <f>IF('Batt IN'!$E$11="Non-Taxable",'Batt IN'!$E$28/1000*'Batt IN'!$G$13*('Batt IN'!$E$13/12)*'Batt IN'!$E$12,0)</f>
        <v>244.42220833333334</v>
      </c>
      <c r="AZ67" s="10">
        <f>IF('Batt IN'!$E$11="Non-Taxable",$S67*'Batt IN'!$G$15*'Batt IN'!$E$28*'Batt IN'!$E$14/1000,0)</f>
        <v>0</v>
      </c>
      <c r="BA67" s="10">
        <f>IF('Batt IN'!$E$11="Non-Taxable",'Batt IN'!$E$21*'Batt IN'!$G$21/12,0)</f>
        <v>437.5</v>
      </c>
      <c r="BB67" s="10">
        <f>IF('Batt IN'!$E$11="Non-Taxable",'Batt IN'!$E$22*'Batt IN'!$G$22/12,0)</f>
        <v>1145.8333333333335</v>
      </c>
      <c r="BC67" s="10">
        <f>IF('Batt IN'!$E$11="Taxable",Q67,0)</f>
        <v>0</v>
      </c>
      <c r="BD67" s="10">
        <f>IF('Batt IN'!$E$11="Taxable",'Batt IN'!$E$28/1000*'Batt IN'!$G$13*('Batt IN'!$E$13/12)*'Batt IN'!$E$12,0)</f>
        <v>0</v>
      </c>
      <c r="BE67" s="10">
        <f>IF('Batt IN'!$E$11="Taxable",$S67*'Batt IN'!$G$15*'Batt IN'!$E$28*'Batt IN'!$E$14/1000,0)</f>
        <v>0</v>
      </c>
      <c r="BF67" s="10">
        <f>IF('Batt IN'!$E$11="Taxable",'Batt IN'!$E$21*'Batt IN'!$G$21/12,0)</f>
        <v>0</v>
      </c>
      <c r="BG67" s="10">
        <f>IF('Batt IN'!$E$11="Taxable",'Batt IN'!$E$22*'Batt IN'!$G$22/12,0)</f>
        <v>0</v>
      </c>
      <c r="BK67" s="10">
        <f>IF('Batt IN'!$N$18="Yes",-BattLoan!H95,-BattLoan!L95)</f>
        <v>0</v>
      </c>
      <c r="BL67" s="10">
        <f>IF('Batt IN'!$N$18="Yes",-BattLoan!F95,0)</f>
        <v>0</v>
      </c>
      <c r="BM67" s="10">
        <f>IF(AND('Batt IN'!$D$44="YES",$C67&lt;='Batt IN'!$E$44*12),0,-'Batt IN'!$E$28*'Batt IN'!$E$42/12)</f>
        <v>-83.333333333333329</v>
      </c>
      <c r="BN67" s="10">
        <f>IF(AND('Batt IN'!$D$46="YES",$C67&lt;='Batt IN'!$E$46*12),0,-'Batt IN'!$E$28*'Batt IN'!$E$45/12)</f>
        <v>-166.66666666666666</v>
      </c>
      <c r="BO67" s="2">
        <f>IF(AND('Batt IN'!$D$41="YES",BattCalcs!C67=ROUNDUP('Batt IN'!$H$41*12,)),-'Batt IN'!$E$41*'Batt IN'!$E$28,0)</f>
        <v>0</v>
      </c>
      <c r="BP67" s="2">
        <f>IF(AND('Batt IN'!$D$53="Yes",$AL$1&gt;=1),0,IF($C67='Batt IN'!$H$54*12,-'Batt IN'!$F$54,0))</f>
        <v>0</v>
      </c>
      <c r="BQ67" s="2">
        <f>IF(AND('Batt IN'!$D$53="Yes",$AL$1&gt;=2),0,IF($C67='Batt IN'!$H$55*12,-'Batt IN'!$F$55,0))</f>
        <v>0</v>
      </c>
      <c r="BR67" s="2">
        <f>IF(AND('Batt IN'!$D$53="Yes",$AL$1&gt;=3),0,IF($C67='Batt IN'!$H$56*12,-'Batt IN'!$F$56,0))</f>
        <v>0</v>
      </c>
      <c r="BS67" s="2">
        <f>IF(AND('Batt IN'!$D$53="Yes",$AL$1&gt;=4),0,IF($C67='Batt IN'!$H$57*12,-'Batt IN'!$F$57,0))</f>
        <v>0</v>
      </c>
      <c r="BT67" s="2">
        <f>IF(AND('Batt IN'!$D$53="Yes",$AL$1&gt;=5),0,IF($C67='Batt IN'!$H$58*12,-'Batt IN'!$F$58,0))</f>
        <v>0</v>
      </c>
      <c r="BU67" s="2">
        <f>-AH67*PVCalcs!F67</f>
        <v>-346.57900707845971</v>
      </c>
      <c r="BV67" s="2">
        <f>-'Batt IN'!$E$47</f>
        <v>-150</v>
      </c>
      <c r="BW67" s="2">
        <f>-'Batt IN'!$E$49</f>
        <v>-2250</v>
      </c>
      <c r="BX67" s="2">
        <f>IF('Batt IN'!$H$50="No",-(BC67*'Batt IN'!$E$50),-(BC67+BE67)*'Batt IN'!$E$50)</f>
        <v>0</v>
      </c>
      <c r="BY67" s="2">
        <f>IF(C67='Batt IN'!$H$43*12,-'Batt IN'!$E$43,0)</f>
        <v>0</v>
      </c>
      <c r="BZ67" s="38"/>
      <c r="CA67" s="10">
        <f t="shared" si="0"/>
        <v>13422.323408333334</v>
      </c>
      <c r="CB67" s="2">
        <f t="shared" si="6"/>
        <v>-2996.5790070784597</v>
      </c>
      <c r="CC67" s="45">
        <f t="shared" si="7"/>
        <v>10425.744401254873</v>
      </c>
      <c r="CD67" s="43"/>
      <c r="CE67" s="2">
        <f t="shared" si="8"/>
        <v>0</v>
      </c>
      <c r="CF67" s="2">
        <f t="shared" si="9"/>
        <v>-2996.5790070784597</v>
      </c>
      <c r="CG67" s="2"/>
      <c r="CH67" s="2">
        <f t="shared" si="10"/>
        <v>-2996.5790070784597</v>
      </c>
      <c r="CI67" s="45">
        <f>-CH67*'Batt IN'!$E$7</f>
        <v>629.28159148647649</v>
      </c>
      <c r="CJ67" s="48"/>
      <c r="CK67" s="45">
        <f>IF('Batt IN'!$F$4="PV Only",0,IF(C67&gt;'Batt IN'!$H$43*12,0,CC67+CI67))</f>
        <v>0</v>
      </c>
      <c r="CM67" s="10">
        <f t="shared" si="11"/>
        <v>0</v>
      </c>
      <c r="CN67" s="2">
        <f>CK67/(1+('Batt IN'!$G$8))^(C67)</f>
        <v>0</v>
      </c>
      <c r="CO67" s="2">
        <f>IF(C67&lt;='Batt IN'!$O$30*12,CN67+CO66,NA())</f>
        <v>0</v>
      </c>
      <c r="CQ67" s="2">
        <f>CK67/((1+('Batt IN'!$E$8/12))^BattCalcs!C67)</f>
        <v>0</v>
      </c>
      <c r="CS67" s="10">
        <f t="shared" si="12"/>
        <v>-2996.5790070784597</v>
      </c>
      <c r="CT67" s="10">
        <f t="shared" si="13"/>
        <v>0</v>
      </c>
      <c r="CU67" s="10">
        <f t="shared" si="14"/>
        <v>-2996.5790070784597</v>
      </c>
      <c r="CV67" s="10">
        <f t="shared" si="15"/>
        <v>-2996.5790070784597</v>
      </c>
      <c r="CW67" s="2">
        <f t="shared" si="1"/>
        <v>0</v>
      </c>
      <c r="CX67" s="2">
        <f>-(SUM(CV67:CW67)*'PV IN'!$E$8)</f>
        <v>629.28159148647649</v>
      </c>
      <c r="CY67" s="2">
        <f t="shared" si="16"/>
        <v>-2367.2974155919833</v>
      </c>
      <c r="CZ67" s="2">
        <f>IF(C67&lt;='Batt IN'!$H$43*12,CY67/(1+('PV IN'!$G$9))^(C67),0)</f>
        <v>-1832.3524105900897</v>
      </c>
      <c r="DA67" s="33">
        <f>IF(C67&lt;='Batt IN'!$H$43*12,AE67,0)</f>
        <v>30366.783333333333</v>
      </c>
    </row>
    <row r="68" spans="1:105" x14ac:dyDescent="0.25">
      <c r="A68">
        <f>IF(C68&lt;='Batt IN'!$H$43*12,C68,"")</f>
        <v>64</v>
      </c>
      <c r="C68">
        <v>64</v>
      </c>
      <c r="D68" s="21">
        <v>730</v>
      </c>
      <c r="E68" s="1">
        <f>1-'Batt IN'!$E$31</f>
        <v>2.0000000000000018E-2</v>
      </c>
      <c r="F68" s="12">
        <f>('Batt IN'!$E$33*365)/8760</f>
        <v>0</v>
      </c>
      <c r="G68" s="22">
        <f>'Batt IN'!$E$32/8760</f>
        <v>5.7077625570776253E-3</v>
      </c>
      <c r="H68" s="22">
        <f>'Batt IN'!$E$13/8760</f>
        <v>5.5936073059360729E-3</v>
      </c>
      <c r="I68" s="23">
        <f>IF(C68&lt;='Batt IN'!$G$14*12,'Batt IN'!$E$15/8760*'Batt IN'!$G$15,0)</f>
        <v>0</v>
      </c>
      <c r="J68" s="12">
        <f>Z68/'Batt IN'!$E$27/730</f>
        <v>2.4999999999999996E-3</v>
      </c>
      <c r="K68" s="23">
        <f>AA68/'Batt IN'!$E$27/730</f>
        <v>1.6027397260273972E-3</v>
      </c>
      <c r="L68" s="23">
        <f>AB68/'Batt IN'!$E$27/730</f>
        <v>2.0547945205479451E-4</v>
      </c>
      <c r="M68" s="23">
        <f>AC68/'Batt IN'!$E$27/730</f>
        <v>4.7945205479452057E-3</v>
      </c>
      <c r="N68" s="23">
        <f>AD68/'Batt IN'!$E$27/730</f>
        <v>3.4246575342465752E-3</v>
      </c>
      <c r="O68" s="12">
        <f t="shared" si="2"/>
        <v>4.3828767123287697E-2</v>
      </c>
      <c r="P68" s="21">
        <f t="shared" si="3"/>
        <v>698.005</v>
      </c>
      <c r="Q68" s="2">
        <f>IF('Batt IN'!$E$27*'Batt IN'!$E$24&lt;='Batt IN'!$E$28,(('Batt IN'!$E$23*'Batt IN'!$E$27*'Batt IN'!$E$24)/1000)*P68,(('Batt IN'!$E$23*'Batt IN'!$E$28*'Batt IN'!$E$24)/1000)*P68)</f>
        <v>11168.08</v>
      </c>
      <c r="R68" s="2"/>
      <c r="S68" s="77">
        <f>IF(C68&lt;='Batt IN'!$G$14*12,'Batt IN'!$E$15/12,0)</f>
        <v>0</v>
      </c>
      <c r="T68" s="77"/>
      <c r="U68" s="80">
        <f>'Batt IN'!$E$28*('Batt IN'!$G$24/24)*730*(1-O68)</f>
        <v>81433.916666666657</v>
      </c>
      <c r="V68" s="78">
        <f>U68*'Batt IN'!$F$30</f>
        <v>16286.783333333333</v>
      </c>
      <c r="W68" s="78">
        <f>'Batt IN'!$E$28*'Batt IN'!$G$32*('Batt IN'!$E$32/12)*(1+'Batt IN'!$F$30)</f>
        <v>1750.0000000000002</v>
      </c>
      <c r="X68" s="78">
        <f>'Batt IN'!$E$28*'Batt IN'!$G$13*('Batt IN'!$E$13/12)*(1+'Batt IN'!$F$30)</f>
        <v>3184.9999999999995</v>
      </c>
      <c r="Y68" s="33">
        <f>S68*'Batt IN'!$G$15*'Batt IN'!$E$28*(1+'Batt IN'!$F$30)</f>
        <v>0</v>
      </c>
      <c r="Z68" s="33">
        <f>'Batt IN'!$G$16*365/12*(1+'Batt IN'!$F$30)</f>
        <v>1824.9999999999998</v>
      </c>
      <c r="AA68" s="33">
        <f>'Batt IN'!$G$17*'Batt IN'!$E$18*'Batt IN'!$G$18/12*(1+'Batt IN'!$F$30)</f>
        <v>1170</v>
      </c>
      <c r="AB68" s="33">
        <f>'Batt IN'!$G$19*'Batt IN'!$E$20*'Batt IN'!$G$20/12*(1+'Batt IN'!$F$30)</f>
        <v>150</v>
      </c>
      <c r="AC68" s="33">
        <f>'Batt IN'!$G$21*(1+'Batt IN'!$F$30)/12</f>
        <v>3500</v>
      </c>
      <c r="AD68" s="33">
        <f>'Batt IN'!$G$22*(1+'Batt IN'!$F$30)/12</f>
        <v>2500</v>
      </c>
      <c r="AE68" s="33">
        <f t="shared" si="4"/>
        <v>30366.783333333333</v>
      </c>
      <c r="AF68" s="33">
        <f>IF('PV IN'!$F$4="Battery Only",0,AE68*'Batt IN'!$E$29)</f>
        <v>25811.765833333331</v>
      </c>
      <c r="AG68" s="33">
        <f>PVCalcs!L68</f>
        <v>25811.765833333331</v>
      </c>
      <c r="AH68" s="33">
        <f t="shared" si="5"/>
        <v>4555.0175000000017</v>
      </c>
      <c r="AI68" s="33"/>
      <c r="AJ68" s="2">
        <f>IF(AND('Batt IN'!$D$53="Yes",$AL$1&gt;=1),IF($C68='Batt IN'!$H$54*12,-'Batt IN'!$F$54,0),0)</f>
        <v>0</v>
      </c>
      <c r="AK68" s="2">
        <f>IF(AND('Batt IN'!$D$53="Yes",$AL$1&gt;=2),IF($C68='Batt IN'!$H$55*12,-'Batt IN'!$F$55,0),0)</f>
        <v>0</v>
      </c>
      <c r="AL68" s="2">
        <f>IF(AND('Batt IN'!$D$53="Yes",$AL$1&gt;=3),IF($C68='Batt IN'!$H$56*12,-'Batt IN'!$F$56,0),0)</f>
        <v>0</v>
      </c>
      <c r="AM68" s="2">
        <f>IF(AND('Batt IN'!$D$53="Yes",$AL$1&gt;=4),IF($C68='Batt IN'!$H$57*12,-'Batt IN'!$F$57,0),0)</f>
        <v>0</v>
      </c>
      <c r="AN68" s="2">
        <f>IF(AND('Batt IN'!$D$53="Yes",$AL$1&gt;=5),IF($C68='Batt IN'!$H$58*12,-'Batt IN'!$F$58,0),0)</f>
        <v>0</v>
      </c>
      <c r="AO68" s="10">
        <f>IF(AND('Batt IN'!$D$44="YES",$C68&lt;='Batt IN'!$E$44*12),-'Batt IN'!$E$28*'Batt IN'!$E$42/12,0)</f>
        <v>0</v>
      </c>
      <c r="AP68" s="10">
        <f>IF(AND('Batt IN'!$D$46="YES",$C68&lt;='Batt IN'!$E$46*12),-'Batt IN'!$E$28*'Batt IN'!$E$45/12,0)</f>
        <v>0</v>
      </c>
      <c r="AR68" s="10">
        <f>BattLoan!M95</f>
        <v>0</v>
      </c>
      <c r="AS68" s="10">
        <f>'Batt IN'!$G$16*365/12*'Batt IN'!$E$16</f>
        <v>76.041666666666671</v>
      </c>
      <c r="AT68" s="10">
        <f>IF(AND('Batt IN'!$E$18&gt;0,'Batt IN'!$G$18&gt;0),'Batt IN'!$E$17*'Batt IN'!$G$17,0)</f>
        <v>119.44619999999999</v>
      </c>
      <c r="AU68" s="10">
        <f>IF(AND('Batt IN'!$E$20&gt;0,'Batt IN'!$G$20&gt;0),'Batt IN'!$E$19*'Batt IN'!$G$19,0)</f>
        <v>231</v>
      </c>
      <c r="AV68" s="10"/>
      <c r="AW68" s="10"/>
      <c r="AX68" s="10">
        <f>IF('Batt IN'!$E$11="Non-Taxable",Q68,0)</f>
        <v>11168.08</v>
      </c>
      <c r="AY68" s="10">
        <f>IF('Batt IN'!$E$11="Non-Taxable",'Batt IN'!$E$28/1000*'Batt IN'!$G$13*('Batt IN'!$E$13/12)*'Batt IN'!$E$12,0)</f>
        <v>244.42220833333334</v>
      </c>
      <c r="AZ68" s="10">
        <f>IF('Batt IN'!$E$11="Non-Taxable",$S68*'Batt IN'!$G$15*'Batt IN'!$E$28*'Batt IN'!$E$14/1000,0)</f>
        <v>0</v>
      </c>
      <c r="BA68" s="10">
        <f>IF('Batt IN'!$E$11="Non-Taxable",'Batt IN'!$E$21*'Batt IN'!$G$21/12,0)</f>
        <v>437.5</v>
      </c>
      <c r="BB68" s="10">
        <f>IF('Batt IN'!$E$11="Non-Taxable",'Batt IN'!$E$22*'Batt IN'!$G$22/12,0)</f>
        <v>1145.8333333333335</v>
      </c>
      <c r="BC68" s="10">
        <f>IF('Batt IN'!$E$11="Taxable",Q68,0)</f>
        <v>0</v>
      </c>
      <c r="BD68" s="10">
        <f>IF('Batt IN'!$E$11="Taxable",'Batt IN'!$E$28/1000*'Batt IN'!$G$13*('Batt IN'!$E$13/12)*'Batt IN'!$E$12,0)</f>
        <v>0</v>
      </c>
      <c r="BE68" s="10">
        <f>IF('Batt IN'!$E$11="Taxable",$S68*'Batt IN'!$G$15*'Batt IN'!$E$28*'Batt IN'!$E$14/1000,0)</f>
        <v>0</v>
      </c>
      <c r="BF68" s="10">
        <f>IF('Batt IN'!$E$11="Taxable",'Batt IN'!$E$21*'Batt IN'!$G$21/12,0)</f>
        <v>0</v>
      </c>
      <c r="BG68" s="10">
        <f>IF('Batt IN'!$E$11="Taxable",'Batt IN'!$E$22*'Batt IN'!$G$22/12,0)</f>
        <v>0</v>
      </c>
      <c r="BK68" s="10">
        <f>IF('Batt IN'!$N$18="Yes",-BattLoan!H96,-BattLoan!L96)</f>
        <v>0</v>
      </c>
      <c r="BL68" s="10">
        <f>IF('Batt IN'!$N$18="Yes",-BattLoan!F96,0)</f>
        <v>0</v>
      </c>
      <c r="BM68" s="10">
        <f>IF(AND('Batt IN'!$D$44="YES",$C68&lt;='Batt IN'!$E$44*12),0,-'Batt IN'!$E$28*'Batt IN'!$E$42/12)</f>
        <v>-83.333333333333329</v>
      </c>
      <c r="BN68" s="10">
        <f>IF(AND('Batt IN'!$D$46="YES",$C68&lt;='Batt IN'!$E$46*12),0,-'Batt IN'!$E$28*'Batt IN'!$E$45/12)</f>
        <v>-166.66666666666666</v>
      </c>
      <c r="BO68" s="2">
        <f>IF(AND('Batt IN'!$D$41="YES",BattCalcs!C68=ROUNDUP('Batt IN'!$H$41*12,)),-'Batt IN'!$E$41*'Batt IN'!$E$28,0)</f>
        <v>0</v>
      </c>
      <c r="BP68" s="2">
        <f>IF(AND('Batt IN'!$D$53="Yes",$AL$1&gt;=1),0,IF($C68='Batt IN'!$H$54*12,-'Batt IN'!$F$54,0))</f>
        <v>0</v>
      </c>
      <c r="BQ68" s="2">
        <f>IF(AND('Batt IN'!$D$53="Yes",$AL$1&gt;=2),0,IF($C68='Batt IN'!$H$55*12,-'Batt IN'!$F$55,0))</f>
        <v>0</v>
      </c>
      <c r="BR68" s="2">
        <f>IF(AND('Batt IN'!$D$53="Yes",$AL$1&gt;=3),0,IF($C68='Batt IN'!$H$56*12,-'Batt IN'!$F$56,0))</f>
        <v>0</v>
      </c>
      <c r="BS68" s="2">
        <f>IF(AND('Batt IN'!$D$53="Yes",$AL$1&gt;=4),0,IF($C68='Batt IN'!$H$57*12,-'Batt IN'!$F$57,0))</f>
        <v>0</v>
      </c>
      <c r="BT68" s="2">
        <f>IF(AND('Batt IN'!$D$53="Yes",$AL$1&gt;=5),0,IF($C68='Batt IN'!$H$58*12,-'Batt IN'!$F$58,0))</f>
        <v>0</v>
      </c>
      <c r="BU68" s="2">
        <f>-AH68*PVCalcs!F68</f>
        <v>-346.57900707845971</v>
      </c>
      <c r="BV68" s="2">
        <f>-'Batt IN'!$E$47</f>
        <v>-150</v>
      </c>
      <c r="BW68" s="2">
        <f>-'Batt IN'!$E$49</f>
        <v>-2250</v>
      </c>
      <c r="BX68" s="2">
        <f>IF('Batt IN'!$H$50="No",-(BC68*'Batt IN'!$E$50),-(BC68+BE68)*'Batt IN'!$E$50)</f>
        <v>0</v>
      </c>
      <c r="BY68" s="2">
        <f>IF(C68='Batt IN'!$H$43*12,-'Batt IN'!$E$43,0)</f>
        <v>0</v>
      </c>
      <c r="BZ68" s="38"/>
      <c r="CA68" s="10">
        <f t="shared" ref="CA68:CA131" si="17">SUM(AR68:BH68)</f>
        <v>13422.323408333334</v>
      </c>
      <c r="CB68" s="2">
        <f t="shared" si="6"/>
        <v>-2996.5790070784597</v>
      </c>
      <c r="CC68" s="45">
        <f t="shared" si="7"/>
        <v>10425.744401254873</v>
      </c>
      <c r="CD68" s="43"/>
      <c r="CE68" s="2">
        <f t="shared" ref="CE68:CE131" si="18">SUM(BC68:BH68)</f>
        <v>0</v>
      </c>
      <c r="CF68" s="2">
        <f t="shared" si="9"/>
        <v>-2996.5790070784597</v>
      </c>
      <c r="CG68" s="2"/>
      <c r="CH68" s="2">
        <f t="shared" si="10"/>
        <v>-2996.5790070784597</v>
      </c>
      <c r="CI68" s="45">
        <f>-CH68*'Batt IN'!$E$7</f>
        <v>629.28159148647649</v>
      </c>
      <c r="CJ68" s="48"/>
      <c r="CK68" s="45">
        <f>IF('Batt IN'!$F$4="PV Only",0,IF(C68&gt;'Batt IN'!$H$43*12,0,CC68+CI68))</f>
        <v>0</v>
      </c>
      <c r="CM68" s="10">
        <f t="shared" si="11"/>
        <v>0</v>
      </c>
      <c r="CN68" s="2">
        <f>CK68/(1+('Batt IN'!$G$8))^(C68)</f>
        <v>0</v>
      </c>
      <c r="CO68" s="2">
        <f>IF(C68&lt;='Batt IN'!$O$30*12,CN68+CO67,NA())</f>
        <v>0</v>
      </c>
      <c r="CQ68" s="2">
        <f>CK68/((1+('Batt IN'!$E$8/12))^BattCalcs!C68)</f>
        <v>0</v>
      </c>
      <c r="CS68" s="10">
        <f t="shared" si="12"/>
        <v>-2996.5790070784597</v>
      </c>
      <c r="CT68" s="10">
        <f t="shared" si="13"/>
        <v>0</v>
      </c>
      <c r="CU68" s="10">
        <f t="shared" si="14"/>
        <v>-2996.5790070784597</v>
      </c>
      <c r="CV68" s="10">
        <f t="shared" si="15"/>
        <v>-2996.5790070784597</v>
      </c>
      <c r="CW68" s="2">
        <f t="shared" si="1"/>
        <v>0</v>
      </c>
      <c r="CX68" s="2">
        <f>-(SUM(CV68:CW68)*'PV IN'!$E$8)</f>
        <v>629.28159148647649</v>
      </c>
      <c r="CY68" s="2">
        <f t="shared" si="16"/>
        <v>-2367.2974155919833</v>
      </c>
      <c r="CZ68" s="2">
        <f>IF(C68&lt;='Batt IN'!$H$43*12,CY68/(1+('PV IN'!$G$9))^(C68),0)</f>
        <v>-1824.9174709186243</v>
      </c>
      <c r="DA68" s="33">
        <f>IF(C68&lt;='Batt IN'!$H$43*12,AE68,0)</f>
        <v>30366.783333333333</v>
      </c>
    </row>
    <row r="69" spans="1:105" x14ac:dyDescent="0.25">
      <c r="A69">
        <f>IF(C69&lt;='Batt IN'!$H$43*12,C69,"")</f>
        <v>65</v>
      </c>
      <c r="C69">
        <v>65</v>
      </c>
      <c r="D69" s="21">
        <v>730</v>
      </c>
      <c r="E69" s="1">
        <f>1-'Batt IN'!$E$31</f>
        <v>2.0000000000000018E-2</v>
      </c>
      <c r="F69" s="12">
        <f>('Batt IN'!$E$33*365)/8760</f>
        <v>0</v>
      </c>
      <c r="G69" s="22">
        <f>'Batt IN'!$E$32/8760</f>
        <v>5.7077625570776253E-3</v>
      </c>
      <c r="H69" s="22">
        <f>'Batt IN'!$E$13/8760</f>
        <v>5.5936073059360729E-3</v>
      </c>
      <c r="I69" s="23">
        <f>IF(C69&lt;='Batt IN'!$G$14*12,'Batt IN'!$E$15/8760*'Batt IN'!$G$15,0)</f>
        <v>0</v>
      </c>
      <c r="J69" s="12">
        <f>Z69/'Batt IN'!$E$27/730</f>
        <v>2.4999999999999996E-3</v>
      </c>
      <c r="K69" s="23">
        <f>AA69/'Batt IN'!$E$27/730</f>
        <v>1.6027397260273972E-3</v>
      </c>
      <c r="L69" s="23">
        <f>AB69/'Batt IN'!$E$27/730</f>
        <v>2.0547945205479451E-4</v>
      </c>
      <c r="M69" s="23">
        <f>AC69/'Batt IN'!$E$27/730</f>
        <v>4.7945205479452057E-3</v>
      </c>
      <c r="N69" s="23">
        <f>AD69/'Batt IN'!$E$27/730</f>
        <v>3.4246575342465752E-3</v>
      </c>
      <c r="O69" s="12">
        <f t="shared" ref="O69:O132" si="19">SUM(E69:N69)</f>
        <v>4.3828767123287697E-2</v>
      </c>
      <c r="P69" s="21">
        <f t="shared" ref="P69:P132" si="20">D69*(1-O69)</f>
        <v>698.005</v>
      </c>
      <c r="Q69" s="2">
        <f>IF('Batt IN'!$E$27*'Batt IN'!$E$24&lt;='Batt IN'!$E$28,(('Batt IN'!$E$23*'Batt IN'!$E$27*'Batt IN'!$E$24)/1000)*P69,(('Batt IN'!$E$23*'Batt IN'!$E$28*'Batt IN'!$E$24)/1000)*P69)</f>
        <v>11168.08</v>
      </c>
      <c r="R69" s="2"/>
      <c r="S69" s="77">
        <f>IF(C69&lt;='Batt IN'!$G$14*12,'Batt IN'!$E$15/12,0)</f>
        <v>0</v>
      </c>
      <c r="T69" s="77"/>
      <c r="U69" s="80">
        <f>'Batt IN'!$E$28*('Batt IN'!$G$24/24)*730*(1-O69)</f>
        <v>81433.916666666657</v>
      </c>
      <c r="V69" s="78">
        <f>U69*'Batt IN'!$F$30</f>
        <v>16286.783333333333</v>
      </c>
      <c r="W69" s="78">
        <f>'Batt IN'!$E$28*'Batt IN'!$G$32*('Batt IN'!$E$32/12)*(1+'Batt IN'!$F$30)</f>
        <v>1750.0000000000002</v>
      </c>
      <c r="X69" s="78">
        <f>'Batt IN'!$E$28*'Batt IN'!$G$13*('Batt IN'!$E$13/12)*(1+'Batt IN'!$F$30)</f>
        <v>3184.9999999999995</v>
      </c>
      <c r="Y69" s="33">
        <f>S69*'Batt IN'!$G$15*'Batt IN'!$E$28*(1+'Batt IN'!$F$30)</f>
        <v>0</v>
      </c>
      <c r="Z69" s="33">
        <f>'Batt IN'!$G$16*365/12*(1+'Batt IN'!$F$30)</f>
        <v>1824.9999999999998</v>
      </c>
      <c r="AA69" s="33">
        <f>'Batt IN'!$G$17*'Batt IN'!$E$18*'Batt IN'!$G$18/12*(1+'Batt IN'!$F$30)</f>
        <v>1170</v>
      </c>
      <c r="AB69" s="33">
        <f>'Batt IN'!$G$19*'Batt IN'!$E$20*'Batt IN'!$G$20/12*(1+'Batt IN'!$F$30)</f>
        <v>150</v>
      </c>
      <c r="AC69" s="33">
        <f>'Batt IN'!$G$21*(1+'Batt IN'!$F$30)/12</f>
        <v>3500</v>
      </c>
      <c r="AD69" s="33">
        <f>'Batt IN'!$G$22*(1+'Batt IN'!$F$30)/12</f>
        <v>2500</v>
      </c>
      <c r="AE69" s="33">
        <f t="shared" si="4"/>
        <v>30366.783333333333</v>
      </c>
      <c r="AF69" s="33">
        <f>IF('PV IN'!$F$4="Battery Only",0,AE69*'Batt IN'!$E$29)</f>
        <v>25811.765833333331</v>
      </c>
      <c r="AG69" s="33">
        <f>PVCalcs!L69</f>
        <v>25811.765833333331</v>
      </c>
      <c r="AH69" s="33">
        <f t="shared" si="5"/>
        <v>4555.0175000000017</v>
      </c>
      <c r="AI69" s="33"/>
      <c r="AJ69" s="2">
        <f>IF(AND('Batt IN'!$D$53="Yes",$AL$1&gt;=1),IF($C69='Batt IN'!$H$54*12,-'Batt IN'!$F$54,0),0)</f>
        <v>0</v>
      </c>
      <c r="AK69" s="2">
        <f>IF(AND('Batt IN'!$D$53="Yes",$AL$1&gt;=2),IF($C69='Batt IN'!$H$55*12,-'Batt IN'!$F$55,0),0)</f>
        <v>0</v>
      </c>
      <c r="AL69" s="2">
        <f>IF(AND('Batt IN'!$D$53="Yes",$AL$1&gt;=3),IF($C69='Batt IN'!$H$56*12,-'Batt IN'!$F$56,0),0)</f>
        <v>0</v>
      </c>
      <c r="AM69" s="2">
        <f>IF(AND('Batt IN'!$D$53="Yes",$AL$1&gt;=4),IF($C69='Batt IN'!$H$57*12,-'Batt IN'!$F$57,0),0)</f>
        <v>0</v>
      </c>
      <c r="AN69" s="2">
        <f>IF(AND('Batt IN'!$D$53="Yes",$AL$1&gt;=5),IF($C69='Batt IN'!$H$58*12,-'Batt IN'!$F$58,0),0)</f>
        <v>0</v>
      </c>
      <c r="AO69" s="10">
        <f>IF(AND('Batt IN'!$D$44="YES",$C69&lt;='Batt IN'!$E$44*12),-'Batt IN'!$E$28*'Batt IN'!$E$42/12,0)</f>
        <v>0</v>
      </c>
      <c r="AP69" s="10">
        <f>IF(AND('Batt IN'!$D$46="YES",$C69&lt;='Batt IN'!$E$46*12),-'Batt IN'!$E$28*'Batt IN'!$E$45/12,0)</f>
        <v>0</v>
      </c>
      <c r="AR69" s="10">
        <f>BattLoan!M96</f>
        <v>0</v>
      </c>
      <c r="AS69" s="10">
        <f>'Batt IN'!$G$16*365/12*'Batt IN'!$E$16</f>
        <v>76.041666666666671</v>
      </c>
      <c r="AT69" s="10">
        <f>IF(AND('Batt IN'!$E$18&gt;0,'Batt IN'!$G$18&gt;0),'Batt IN'!$E$17*'Batt IN'!$G$17,0)</f>
        <v>119.44619999999999</v>
      </c>
      <c r="AU69" s="10">
        <f>IF(AND('Batt IN'!$E$20&gt;0,'Batt IN'!$G$20&gt;0),'Batt IN'!$E$19*'Batt IN'!$G$19,0)</f>
        <v>231</v>
      </c>
      <c r="AV69" s="10"/>
      <c r="AW69" s="10"/>
      <c r="AX69" s="10">
        <f>IF('Batt IN'!$E$11="Non-Taxable",Q69,0)</f>
        <v>11168.08</v>
      </c>
      <c r="AY69" s="10">
        <f>IF('Batt IN'!$E$11="Non-Taxable",'Batt IN'!$E$28/1000*'Batt IN'!$G$13*('Batt IN'!$E$13/12)*'Batt IN'!$E$12,0)</f>
        <v>244.42220833333334</v>
      </c>
      <c r="AZ69" s="10">
        <f>IF('Batt IN'!$E$11="Non-Taxable",$S69*'Batt IN'!$G$15*'Batt IN'!$E$28*'Batt IN'!$E$14/1000,0)</f>
        <v>0</v>
      </c>
      <c r="BA69" s="10">
        <f>IF('Batt IN'!$E$11="Non-Taxable",'Batt IN'!$E$21*'Batt IN'!$G$21/12,0)</f>
        <v>437.5</v>
      </c>
      <c r="BB69" s="10">
        <f>IF('Batt IN'!$E$11="Non-Taxable",'Batt IN'!$E$22*'Batt IN'!$G$22/12,0)</f>
        <v>1145.8333333333335</v>
      </c>
      <c r="BC69" s="10">
        <f>IF('Batt IN'!$E$11="Taxable",Q69,0)</f>
        <v>0</v>
      </c>
      <c r="BD69" s="10">
        <f>IF('Batt IN'!$E$11="Taxable",'Batt IN'!$E$28/1000*'Batt IN'!$G$13*('Batt IN'!$E$13/12)*'Batt IN'!$E$12,0)</f>
        <v>0</v>
      </c>
      <c r="BE69" s="10">
        <f>IF('Batt IN'!$E$11="Taxable",$S69*'Batt IN'!$G$15*'Batt IN'!$E$28*'Batt IN'!$E$14/1000,0)</f>
        <v>0</v>
      </c>
      <c r="BF69" s="10">
        <f>IF('Batt IN'!$E$11="Taxable",'Batt IN'!$E$21*'Batt IN'!$G$21/12,0)</f>
        <v>0</v>
      </c>
      <c r="BG69" s="10">
        <f>IF('Batt IN'!$E$11="Taxable",'Batt IN'!$E$22*'Batt IN'!$G$22/12,0)</f>
        <v>0</v>
      </c>
      <c r="BK69" s="10">
        <f>IF('Batt IN'!$N$18="Yes",-BattLoan!H97,-BattLoan!L97)</f>
        <v>0</v>
      </c>
      <c r="BL69" s="10">
        <f>IF('Batt IN'!$N$18="Yes",-BattLoan!F97,0)</f>
        <v>0</v>
      </c>
      <c r="BM69" s="10">
        <f>IF(AND('Batt IN'!$D$44="YES",$C69&lt;='Batt IN'!$E$44*12),0,-'Batt IN'!$E$28*'Batt IN'!$E$42/12)</f>
        <v>-83.333333333333329</v>
      </c>
      <c r="BN69" s="10">
        <f>IF(AND('Batt IN'!$D$46="YES",$C69&lt;='Batt IN'!$E$46*12),0,-'Batt IN'!$E$28*'Batt IN'!$E$45/12)</f>
        <v>-166.66666666666666</v>
      </c>
      <c r="BO69" s="2">
        <f>IF(AND('Batt IN'!$D$41="YES",BattCalcs!C69=ROUNDUP('Batt IN'!$H$41*12,)),-'Batt IN'!$E$41*'Batt IN'!$E$28,0)</f>
        <v>0</v>
      </c>
      <c r="BP69" s="2">
        <f>IF(AND('Batt IN'!$D$53="Yes",$AL$1&gt;=1),0,IF($C69='Batt IN'!$H$54*12,-'Batt IN'!$F$54,0))</f>
        <v>0</v>
      </c>
      <c r="BQ69" s="2">
        <f>IF(AND('Batt IN'!$D$53="Yes",$AL$1&gt;=2),0,IF($C69='Batt IN'!$H$55*12,-'Batt IN'!$F$55,0))</f>
        <v>0</v>
      </c>
      <c r="BR69" s="2">
        <f>IF(AND('Batt IN'!$D$53="Yes",$AL$1&gt;=3),0,IF($C69='Batt IN'!$H$56*12,-'Batt IN'!$F$56,0))</f>
        <v>0</v>
      </c>
      <c r="BS69" s="2">
        <f>IF(AND('Batt IN'!$D$53="Yes",$AL$1&gt;=4),0,IF($C69='Batt IN'!$H$57*12,-'Batt IN'!$F$57,0))</f>
        <v>0</v>
      </c>
      <c r="BT69" s="2">
        <f>IF(AND('Batt IN'!$D$53="Yes",$AL$1&gt;=5),0,IF($C69='Batt IN'!$H$58*12,-'Batt IN'!$F$58,0))</f>
        <v>0</v>
      </c>
      <c r="BU69" s="2">
        <f>-AH69*PVCalcs!F69</f>
        <v>-346.57900707845971</v>
      </c>
      <c r="BV69" s="2">
        <f>-'Batt IN'!$E$47</f>
        <v>-150</v>
      </c>
      <c r="BW69" s="2">
        <f>-'Batt IN'!$E$49</f>
        <v>-2250</v>
      </c>
      <c r="BX69" s="2">
        <f>IF('Batt IN'!$H$50="No",-(BC69*'Batt IN'!$E$50),-(BC69+BE69)*'Batt IN'!$E$50)</f>
        <v>0</v>
      </c>
      <c r="BY69" s="2">
        <f>IF(C69='Batt IN'!$H$43*12,-'Batt IN'!$E$43,0)</f>
        <v>0</v>
      </c>
      <c r="BZ69" s="38"/>
      <c r="CA69" s="10">
        <f t="shared" si="17"/>
        <v>13422.323408333334</v>
      </c>
      <c r="CB69" s="2">
        <f t="shared" ref="CB69:CB132" si="21">SUM(BJ69:BY69)</f>
        <v>-2996.5790070784597</v>
      </c>
      <c r="CC69" s="45">
        <f t="shared" ref="CC69:CC132" si="22">SUM(CA69:CB69)</f>
        <v>10425.744401254873</v>
      </c>
      <c r="CD69" s="43"/>
      <c r="CE69" s="2">
        <f t="shared" si="18"/>
        <v>0</v>
      </c>
      <c r="CF69" s="2">
        <f t="shared" ref="CF69:CF132" si="23">SUM(BL69:BY69)</f>
        <v>-2996.5790070784597</v>
      </c>
      <c r="CG69" s="2"/>
      <c r="CH69" s="2">
        <f t="shared" ref="CH69:CH132" si="24">SUM(CE69:CG69)</f>
        <v>-2996.5790070784597</v>
      </c>
      <c r="CI69" s="45">
        <f>-CH69*'Batt IN'!$E$7</f>
        <v>629.28159148647649</v>
      </c>
      <c r="CJ69" s="48"/>
      <c r="CK69" s="45">
        <f>IF('Batt IN'!$F$4="PV Only",0,IF(C69&gt;'Batt IN'!$H$43*12,0,CC69+CI69))</f>
        <v>0</v>
      </c>
      <c r="CM69" s="10">
        <f t="shared" ref="CM69:CM132" si="25">CM68+CK69</f>
        <v>0</v>
      </c>
      <c r="CN69" s="2">
        <f>CK69/(1+('Batt IN'!$G$8))^(C69)</f>
        <v>0</v>
      </c>
      <c r="CO69" s="2">
        <f>IF(C69&lt;='Batt IN'!$O$30*12,CN69+CO68,NA())</f>
        <v>0</v>
      </c>
      <c r="CQ69" s="2">
        <f>CK69/((1+('Batt IN'!$E$8/12))^BattCalcs!C69)</f>
        <v>0</v>
      </c>
      <c r="CS69" s="10">
        <f t="shared" ref="CS69:CS132" si="26">CB69</f>
        <v>-2996.5790070784597</v>
      </c>
      <c r="CT69" s="10">
        <f t="shared" ref="CT69:CT132" si="27">AV69+BH69</f>
        <v>0</v>
      </c>
      <c r="CU69" s="10">
        <f t="shared" ref="CU69:CU132" si="28">CS69+CT69</f>
        <v>-2996.5790070784597</v>
      </c>
      <c r="CV69" s="10">
        <f t="shared" ref="CV69:CV132" si="29">SUM(BL69:BX69)</f>
        <v>-2996.5790070784597</v>
      </c>
      <c r="CW69" s="2">
        <f t="shared" ref="CW69:CW132" si="30">CG69</f>
        <v>0</v>
      </c>
      <c r="CX69" s="2">
        <f>-(SUM(CV69:CW69)*'PV IN'!$E$8)</f>
        <v>629.28159148647649</v>
      </c>
      <c r="CY69" s="2">
        <f t="shared" ref="CY69:CY132" si="31">CU69+CX69</f>
        <v>-2367.2974155919833</v>
      </c>
      <c r="CZ69" s="2">
        <f>IF(C69&lt;='Batt IN'!$H$43*12,CY69/(1+('PV IN'!$G$9))^(C69),0)</f>
        <v>-1817.5126992037158</v>
      </c>
      <c r="DA69" s="33">
        <f>IF(C69&lt;='Batt IN'!$H$43*12,AE69,0)</f>
        <v>30366.783333333333</v>
      </c>
    </row>
    <row r="70" spans="1:105" x14ac:dyDescent="0.25">
      <c r="A70">
        <f>IF(C70&lt;='Batt IN'!$H$43*12,C70,"")</f>
        <v>66</v>
      </c>
      <c r="C70">
        <v>66</v>
      </c>
      <c r="D70" s="21">
        <v>730</v>
      </c>
      <c r="E70" s="1">
        <f>1-'Batt IN'!$E$31</f>
        <v>2.0000000000000018E-2</v>
      </c>
      <c r="F70" s="12">
        <f>('Batt IN'!$E$33*365)/8760</f>
        <v>0</v>
      </c>
      <c r="G70" s="22">
        <f>'Batt IN'!$E$32/8760</f>
        <v>5.7077625570776253E-3</v>
      </c>
      <c r="H70" s="22">
        <f>'Batt IN'!$E$13/8760</f>
        <v>5.5936073059360729E-3</v>
      </c>
      <c r="I70" s="23">
        <f>IF(C70&lt;='Batt IN'!$G$14*12,'Batt IN'!$E$15/8760*'Batt IN'!$G$15,0)</f>
        <v>0</v>
      </c>
      <c r="J70" s="12">
        <f>Z70/'Batt IN'!$E$27/730</f>
        <v>2.4999999999999996E-3</v>
      </c>
      <c r="K70" s="23">
        <f>AA70/'Batt IN'!$E$27/730</f>
        <v>1.6027397260273972E-3</v>
      </c>
      <c r="L70" s="23">
        <f>AB70/'Batt IN'!$E$27/730</f>
        <v>2.0547945205479451E-4</v>
      </c>
      <c r="M70" s="23">
        <f>AC70/'Batt IN'!$E$27/730</f>
        <v>4.7945205479452057E-3</v>
      </c>
      <c r="N70" s="23">
        <f>AD70/'Batt IN'!$E$27/730</f>
        <v>3.4246575342465752E-3</v>
      </c>
      <c r="O70" s="12">
        <f t="shared" si="19"/>
        <v>4.3828767123287697E-2</v>
      </c>
      <c r="P70" s="21">
        <f t="shared" si="20"/>
        <v>698.005</v>
      </c>
      <c r="Q70" s="2">
        <f>IF('Batt IN'!$E$27*'Batt IN'!$E$24&lt;='Batt IN'!$E$28,(('Batt IN'!$E$23*'Batt IN'!$E$27*'Batt IN'!$E$24)/1000)*P70,(('Batt IN'!$E$23*'Batt IN'!$E$28*'Batt IN'!$E$24)/1000)*P70)</f>
        <v>11168.08</v>
      </c>
      <c r="R70" s="2"/>
      <c r="S70" s="77">
        <f>IF(C70&lt;='Batt IN'!$G$14*12,'Batt IN'!$E$15/12,0)</f>
        <v>0</v>
      </c>
      <c r="T70" s="77"/>
      <c r="U70" s="80">
        <f>'Batt IN'!$E$28*('Batt IN'!$G$24/24)*730*(1-O70)</f>
        <v>81433.916666666657</v>
      </c>
      <c r="V70" s="78">
        <f>U70*'Batt IN'!$F$30</f>
        <v>16286.783333333333</v>
      </c>
      <c r="W70" s="78">
        <f>'Batt IN'!$E$28*'Batt IN'!$G$32*('Batt IN'!$E$32/12)*(1+'Batt IN'!$F$30)</f>
        <v>1750.0000000000002</v>
      </c>
      <c r="X70" s="78">
        <f>'Batt IN'!$E$28*'Batt IN'!$G$13*('Batt IN'!$E$13/12)*(1+'Batt IN'!$F$30)</f>
        <v>3184.9999999999995</v>
      </c>
      <c r="Y70" s="33">
        <f>S70*'Batt IN'!$G$15*'Batt IN'!$E$28*(1+'Batt IN'!$F$30)</f>
        <v>0</v>
      </c>
      <c r="Z70" s="33">
        <f>'Batt IN'!$G$16*365/12*(1+'Batt IN'!$F$30)</f>
        <v>1824.9999999999998</v>
      </c>
      <c r="AA70" s="33">
        <f>'Batt IN'!$G$17*'Batt IN'!$E$18*'Batt IN'!$G$18/12*(1+'Batt IN'!$F$30)</f>
        <v>1170</v>
      </c>
      <c r="AB70" s="33">
        <f>'Batt IN'!$G$19*'Batt IN'!$E$20*'Batt IN'!$G$20/12*(1+'Batt IN'!$F$30)</f>
        <v>150</v>
      </c>
      <c r="AC70" s="33">
        <f>'Batt IN'!$G$21*(1+'Batt IN'!$F$30)/12</f>
        <v>3500</v>
      </c>
      <c r="AD70" s="33">
        <f>'Batt IN'!$G$22*(1+'Batt IN'!$F$30)/12</f>
        <v>2500</v>
      </c>
      <c r="AE70" s="33">
        <f t="shared" ref="AE70:AE133" si="32">SUM(V70:AD70)</f>
        <v>30366.783333333333</v>
      </c>
      <c r="AF70" s="33">
        <f>IF('PV IN'!$F$4="Battery Only",0,AE70*'Batt IN'!$E$29)</f>
        <v>25811.765833333331</v>
      </c>
      <c r="AG70" s="33">
        <f>PVCalcs!L70</f>
        <v>25811.765833333331</v>
      </c>
      <c r="AH70" s="33">
        <f t="shared" ref="AH70:AH133" si="33">AE70-AG70</f>
        <v>4555.0175000000017</v>
      </c>
      <c r="AI70" s="33"/>
      <c r="AJ70" s="2">
        <f>IF(AND('Batt IN'!$D$53="Yes",$AL$1&gt;=1),IF($C70='Batt IN'!$H$54*12,-'Batt IN'!$F$54,0),0)</f>
        <v>0</v>
      </c>
      <c r="AK70" s="2">
        <f>IF(AND('Batt IN'!$D$53="Yes",$AL$1&gt;=2),IF($C70='Batt IN'!$H$55*12,-'Batt IN'!$F$55,0),0)</f>
        <v>0</v>
      </c>
      <c r="AL70" s="2">
        <f>IF(AND('Batt IN'!$D$53="Yes",$AL$1&gt;=3),IF($C70='Batt IN'!$H$56*12,-'Batt IN'!$F$56,0),0)</f>
        <v>0</v>
      </c>
      <c r="AM70" s="2">
        <f>IF(AND('Batt IN'!$D$53="Yes",$AL$1&gt;=4),IF($C70='Batt IN'!$H$57*12,-'Batt IN'!$F$57,0),0)</f>
        <v>0</v>
      </c>
      <c r="AN70" s="2">
        <f>IF(AND('Batt IN'!$D$53="Yes",$AL$1&gt;=5),IF($C70='Batt IN'!$H$58*12,-'Batt IN'!$F$58,0),0)</f>
        <v>0</v>
      </c>
      <c r="AO70" s="10">
        <f>IF(AND('Batt IN'!$D$44="YES",$C70&lt;='Batt IN'!$E$44*12),-'Batt IN'!$E$28*'Batt IN'!$E$42/12,0)</f>
        <v>0</v>
      </c>
      <c r="AP70" s="10">
        <f>IF(AND('Batt IN'!$D$46="YES",$C70&lt;='Batt IN'!$E$46*12),-'Batt IN'!$E$28*'Batt IN'!$E$45/12,0)</f>
        <v>0</v>
      </c>
      <c r="AR70" s="10">
        <f>BattLoan!M97</f>
        <v>0</v>
      </c>
      <c r="AS70" s="10">
        <f>'Batt IN'!$G$16*365/12*'Batt IN'!$E$16</f>
        <v>76.041666666666671</v>
      </c>
      <c r="AT70" s="10">
        <f>IF(AND('Batt IN'!$E$18&gt;0,'Batt IN'!$G$18&gt;0),'Batt IN'!$E$17*'Batt IN'!$G$17,0)</f>
        <v>119.44619999999999</v>
      </c>
      <c r="AU70" s="10">
        <f>IF(AND('Batt IN'!$E$20&gt;0,'Batt IN'!$G$20&gt;0),'Batt IN'!$E$19*'Batt IN'!$G$19,0)</f>
        <v>231</v>
      </c>
      <c r="AV70" s="10"/>
      <c r="AW70" s="10"/>
      <c r="AX70" s="10">
        <f>IF('Batt IN'!$E$11="Non-Taxable",Q70,0)</f>
        <v>11168.08</v>
      </c>
      <c r="AY70" s="10">
        <f>IF('Batt IN'!$E$11="Non-Taxable",'Batt IN'!$E$28/1000*'Batt IN'!$G$13*('Batt IN'!$E$13/12)*'Batt IN'!$E$12,0)</f>
        <v>244.42220833333334</v>
      </c>
      <c r="AZ70" s="10">
        <f>IF('Batt IN'!$E$11="Non-Taxable",$S70*'Batt IN'!$G$15*'Batt IN'!$E$28*'Batt IN'!$E$14/1000,0)</f>
        <v>0</v>
      </c>
      <c r="BA70" s="10">
        <f>IF('Batt IN'!$E$11="Non-Taxable",'Batt IN'!$E$21*'Batt IN'!$G$21/12,0)</f>
        <v>437.5</v>
      </c>
      <c r="BB70" s="10">
        <f>IF('Batt IN'!$E$11="Non-Taxable",'Batt IN'!$E$22*'Batt IN'!$G$22/12,0)</f>
        <v>1145.8333333333335</v>
      </c>
      <c r="BC70" s="10">
        <f>IF('Batt IN'!$E$11="Taxable",Q70,0)</f>
        <v>0</v>
      </c>
      <c r="BD70" s="10">
        <f>IF('Batt IN'!$E$11="Taxable",'Batt IN'!$E$28/1000*'Batt IN'!$G$13*('Batt IN'!$E$13/12)*'Batt IN'!$E$12,0)</f>
        <v>0</v>
      </c>
      <c r="BE70" s="10">
        <f>IF('Batt IN'!$E$11="Taxable",$S70*'Batt IN'!$G$15*'Batt IN'!$E$28*'Batt IN'!$E$14/1000,0)</f>
        <v>0</v>
      </c>
      <c r="BF70" s="10">
        <f>IF('Batt IN'!$E$11="Taxable",'Batt IN'!$E$21*'Batt IN'!$G$21/12,0)</f>
        <v>0</v>
      </c>
      <c r="BG70" s="10">
        <f>IF('Batt IN'!$E$11="Taxable",'Batt IN'!$E$22*'Batt IN'!$G$22/12,0)</f>
        <v>0</v>
      </c>
      <c r="BK70" s="10">
        <f>IF('Batt IN'!$N$18="Yes",-BattLoan!H98,-BattLoan!L98)</f>
        <v>0</v>
      </c>
      <c r="BL70" s="10">
        <f>IF('Batt IN'!$N$18="Yes",-BattLoan!F98,0)</f>
        <v>0</v>
      </c>
      <c r="BM70" s="10">
        <f>IF(AND('Batt IN'!$D$44="YES",$C70&lt;='Batt IN'!$E$44*12),0,-'Batt IN'!$E$28*'Batt IN'!$E$42/12)</f>
        <v>-83.333333333333329</v>
      </c>
      <c r="BN70" s="10">
        <f>IF(AND('Batt IN'!$D$46="YES",$C70&lt;='Batt IN'!$E$46*12),0,-'Batt IN'!$E$28*'Batt IN'!$E$45/12)</f>
        <v>-166.66666666666666</v>
      </c>
      <c r="BO70" s="2">
        <f>IF(AND('Batt IN'!$D$41="YES",BattCalcs!C70=ROUNDUP('Batt IN'!$H$41*12,)),-'Batt IN'!$E$41*'Batt IN'!$E$28,0)</f>
        <v>0</v>
      </c>
      <c r="BP70" s="2">
        <f>IF(AND('Batt IN'!$D$53="Yes",$AL$1&gt;=1),0,IF($C70='Batt IN'!$H$54*12,-'Batt IN'!$F$54,0))</f>
        <v>0</v>
      </c>
      <c r="BQ70" s="2">
        <f>IF(AND('Batt IN'!$D$53="Yes",$AL$1&gt;=2),0,IF($C70='Batt IN'!$H$55*12,-'Batt IN'!$F$55,0))</f>
        <v>0</v>
      </c>
      <c r="BR70" s="2">
        <f>IF(AND('Batt IN'!$D$53="Yes",$AL$1&gt;=3),0,IF($C70='Batt IN'!$H$56*12,-'Batt IN'!$F$56,0))</f>
        <v>0</v>
      </c>
      <c r="BS70" s="2">
        <f>IF(AND('Batt IN'!$D$53="Yes",$AL$1&gt;=4),0,IF($C70='Batt IN'!$H$57*12,-'Batt IN'!$F$57,0))</f>
        <v>0</v>
      </c>
      <c r="BT70" s="2">
        <f>IF(AND('Batt IN'!$D$53="Yes",$AL$1&gt;=5),0,IF($C70='Batt IN'!$H$58*12,-'Batt IN'!$F$58,0))</f>
        <v>0</v>
      </c>
      <c r="BU70" s="2">
        <f>-AH70*PVCalcs!F70</f>
        <v>-346.57900707845971</v>
      </c>
      <c r="BV70" s="2">
        <f>-'Batt IN'!$E$47</f>
        <v>-150</v>
      </c>
      <c r="BW70" s="2">
        <f>-'Batt IN'!$E$49</f>
        <v>-2250</v>
      </c>
      <c r="BX70" s="2">
        <f>IF('Batt IN'!$H$50="No",-(BC70*'Batt IN'!$E$50),-(BC70+BE70)*'Batt IN'!$E$50)</f>
        <v>0</v>
      </c>
      <c r="BY70" s="2">
        <f>IF(C70='Batt IN'!$H$43*12,-'Batt IN'!$E$43,0)</f>
        <v>0</v>
      </c>
      <c r="BZ70" s="38"/>
      <c r="CA70" s="10">
        <f t="shared" si="17"/>
        <v>13422.323408333334</v>
      </c>
      <c r="CB70" s="2">
        <f t="shared" si="21"/>
        <v>-2996.5790070784597</v>
      </c>
      <c r="CC70" s="45">
        <f t="shared" si="22"/>
        <v>10425.744401254873</v>
      </c>
      <c r="CD70" s="43"/>
      <c r="CE70" s="2">
        <f t="shared" si="18"/>
        <v>0</v>
      </c>
      <c r="CF70" s="2">
        <f t="shared" si="23"/>
        <v>-2996.5790070784597</v>
      </c>
      <c r="CG70" s="2"/>
      <c r="CH70" s="2">
        <f t="shared" si="24"/>
        <v>-2996.5790070784597</v>
      </c>
      <c r="CI70" s="45">
        <f>-CH70*'Batt IN'!$E$7</f>
        <v>629.28159148647649</v>
      </c>
      <c r="CJ70" s="48"/>
      <c r="CK70" s="45">
        <f>IF('Batt IN'!$F$4="PV Only",0,IF(C70&gt;'Batt IN'!$H$43*12,0,CC70+CI70))</f>
        <v>0</v>
      </c>
      <c r="CM70" s="10">
        <f t="shared" si="25"/>
        <v>0</v>
      </c>
      <c r="CN70" s="2">
        <f>CK70/(1+('Batt IN'!$G$8))^(C70)</f>
        <v>0</v>
      </c>
      <c r="CO70" s="2">
        <f>IF(C70&lt;='Batt IN'!$O$30*12,CN70+CO69,NA())</f>
        <v>0</v>
      </c>
      <c r="CQ70" s="2">
        <f>CK70/((1+('Batt IN'!$E$8/12))^BattCalcs!C70)</f>
        <v>0</v>
      </c>
      <c r="CS70" s="10">
        <f t="shared" si="26"/>
        <v>-2996.5790070784597</v>
      </c>
      <c r="CT70" s="10">
        <f t="shared" si="27"/>
        <v>0</v>
      </c>
      <c r="CU70" s="10">
        <f t="shared" si="28"/>
        <v>-2996.5790070784597</v>
      </c>
      <c r="CV70" s="10">
        <f t="shared" si="29"/>
        <v>-2996.5790070784597</v>
      </c>
      <c r="CW70" s="2">
        <f t="shared" si="30"/>
        <v>0</v>
      </c>
      <c r="CX70" s="2">
        <f>-(SUM(CV70:CW70)*'PV IN'!$E$8)</f>
        <v>629.28159148647649</v>
      </c>
      <c r="CY70" s="2">
        <f t="shared" si="31"/>
        <v>-2367.2974155919833</v>
      </c>
      <c r="CZ70" s="2">
        <f>IF(C70&lt;='Batt IN'!$H$43*12,CY70/(1+('PV IN'!$G$9))^(C70),0)</f>
        <v>-1810.1379730360841</v>
      </c>
      <c r="DA70" s="33">
        <f>IF(C70&lt;='Batt IN'!$H$43*12,AE70,0)</f>
        <v>30366.783333333333</v>
      </c>
    </row>
    <row r="71" spans="1:105" x14ac:dyDescent="0.25">
      <c r="A71">
        <f>IF(C71&lt;='Batt IN'!$H$43*12,C71,"")</f>
        <v>67</v>
      </c>
      <c r="C71">
        <v>67</v>
      </c>
      <c r="D71" s="21">
        <v>730</v>
      </c>
      <c r="E71" s="1">
        <f>1-'Batt IN'!$E$31</f>
        <v>2.0000000000000018E-2</v>
      </c>
      <c r="F71" s="12">
        <f>('Batt IN'!$E$33*365)/8760</f>
        <v>0</v>
      </c>
      <c r="G71" s="22">
        <f>'Batt IN'!$E$32/8760</f>
        <v>5.7077625570776253E-3</v>
      </c>
      <c r="H71" s="22">
        <f>'Batt IN'!$E$13/8760</f>
        <v>5.5936073059360729E-3</v>
      </c>
      <c r="I71" s="23">
        <f>IF(C71&lt;='Batt IN'!$G$14*12,'Batt IN'!$E$15/8760*'Batt IN'!$G$15,0)</f>
        <v>0</v>
      </c>
      <c r="J71" s="12">
        <f>Z71/'Batt IN'!$E$27/730</f>
        <v>2.4999999999999996E-3</v>
      </c>
      <c r="K71" s="23">
        <f>AA71/'Batt IN'!$E$27/730</f>
        <v>1.6027397260273972E-3</v>
      </c>
      <c r="L71" s="23">
        <f>AB71/'Batt IN'!$E$27/730</f>
        <v>2.0547945205479451E-4</v>
      </c>
      <c r="M71" s="23">
        <f>AC71/'Batt IN'!$E$27/730</f>
        <v>4.7945205479452057E-3</v>
      </c>
      <c r="N71" s="23">
        <f>AD71/'Batt IN'!$E$27/730</f>
        <v>3.4246575342465752E-3</v>
      </c>
      <c r="O71" s="12">
        <f t="shared" si="19"/>
        <v>4.3828767123287697E-2</v>
      </c>
      <c r="P71" s="21">
        <f t="shared" si="20"/>
        <v>698.005</v>
      </c>
      <c r="Q71" s="2">
        <f>IF('Batt IN'!$E$27*'Batt IN'!$E$24&lt;='Batt IN'!$E$28,(('Batt IN'!$E$23*'Batt IN'!$E$27*'Batt IN'!$E$24)/1000)*P71,(('Batt IN'!$E$23*'Batt IN'!$E$28*'Batt IN'!$E$24)/1000)*P71)</f>
        <v>11168.08</v>
      </c>
      <c r="R71" s="2"/>
      <c r="S71" s="77">
        <f>IF(C71&lt;='Batt IN'!$G$14*12,'Batt IN'!$E$15/12,0)</f>
        <v>0</v>
      </c>
      <c r="T71" s="77"/>
      <c r="U71" s="80">
        <f>'Batt IN'!$E$28*('Batt IN'!$G$24/24)*730*(1-O71)</f>
        <v>81433.916666666657</v>
      </c>
      <c r="V71" s="78">
        <f>U71*'Batt IN'!$F$30</f>
        <v>16286.783333333333</v>
      </c>
      <c r="W71" s="78">
        <f>'Batt IN'!$E$28*'Batt IN'!$G$32*('Batt IN'!$E$32/12)*(1+'Batt IN'!$F$30)</f>
        <v>1750.0000000000002</v>
      </c>
      <c r="X71" s="78">
        <f>'Batt IN'!$E$28*'Batt IN'!$G$13*('Batt IN'!$E$13/12)*(1+'Batt IN'!$F$30)</f>
        <v>3184.9999999999995</v>
      </c>
      <c r="Y71" s="33">
        <f>S71*'Batt IN'!$G$15*'Batt IN'!$E$28*(1+'Batt IN'!$F$30)</f>
        <v>0</v>
      </c>
      <c r="Z71" s="33">
        <f>'Batt IN'!$G$16*365/12*(1+'Batt IN'!$F$30)</f>
        <v>1824.9999999999998</v>
      </c>
      <c r="AA71" s="33">
        <f>'Batt IN'!$G$17*'Batt IN'!$E$18*'Batt IN'!$G$18/12*(1+'Batt IN'!$F$30)</f>
        <v>1170</v>
      </c>
      <c r="AB71" s="33">
        <f>'Batt IN'!$G$19*'Batt IN'!$E$20*'Batt IN'!$G$20/12*(1+'Batt IN'!$F$30)</f>
        <v>150</v>
      </c>
      <c r="AC71" s="33">
        <f>'Batt IN'!$G$21*(1+'Batt IN'!$F$30)/12</f>
        <v>3500</v>
      </c>
      <c r="AD71" s="33">
        <f>'Batt IN'!$G$22*(1+'Batt IN'!$F$30)/12</f>
        <v>2500</v>
      </c>
      <c r="AE71" s="33">
        <f t="shared" si="32"/>
        <v>30366.783333333333</v>
      </c>
      <c r="AF71" s="33">
        <f>IF('PV IN'!$F$4="Battery Only",0,AE71*'Batt IN'!$E$29)</f>
        <v>25811.765833333331</v>
      </c>
      <c r="AG71" s="33">
        <f>PVCalcs!L71</f>
        <v>25811.765833333331</v>
      </c>
      <c r="AH71" s="33">
        <f t="shared" si="33"/>
        <v>4555.0175000000017</v>
      </c>
      <c r="AI71" s="33"/>
      <c r="AJ71" s="2">
        <f>IF(AND('Batt IN'!$D$53="Yes",$AL$1&gt;=1),IF($C71='Batt IN'!$H$54*12,-'Batt IN'!$F$54,0),0)</f>
        <v>0</v>
      </c>
      <c r="AK71" s="2">
        <f>IF(AND('Batt IN'!$D$53="Yes",$AL$1&gt;=2),IF($C71='Batt IN'!$H$55*12,-'Batt IN'!$F$55,0),0)</f>
        <v>0</v>
      </c>
      <c r="AL71" s="2">
        <f>IF(AND('Batt IN'!$D$53="Yes",$AL$1&gt;=3),IF($C71='Batt IN'!$H$56*12,-'Batt IN'!$F$56,0),0)</f>
        <v>0</v>
      </c>
      <c r="AM71" s="2">
        <f>IF(AND('Batt IN'!$D$53="Yes",$AL$1&gt;=4),IF($C71='Batt IN'!$H$57*12,-'Batt IN'!$F$57,0),0)</f>
        <v>0</v>
      </c>
      <c r="AN71" s="2">
        <f>IF(AND('Batt IN'!$D$53="Yes",$AL$1&gt;=5),IF($C71='Batt IN'!$H$58*12,-'Batt IN'!$F$58,0),0)</f>
        <v>0</v>
      </c>
      <c r="AO71" s="10">
        <f>IF(AND('Batt IN'!$D$44="YES",$C71&lt;='Batt IN'!$E$44*12),-'Batt IN'!$E$28*'Batt IN'!$E$42/12,0)</f>
        <v>0</v>
      </c>
      <c r="AP71" s="10">
        <f>IF(AND('Batt IN'!$D$46="YES",$C71&lt;='Batt IN'!$E$46*12),-'Batt IN'!$E$28*'Batt IN'!$E$45/12,0)</f>
        <v>0</v>
      </c>
      <c r="AR71" s="10">
        <f>BattLoan!M98</f>
        <v>0</v>
      </c>
      <c r="AS71" s="10">
        <f>'Batt IN'!$G$16*365/12*'Batt IN'!$E$16</f>
        <v>76.041666666666671</v>
      </c>
      <c r="AT71" s="10">
        <f>IF(AND('Batt IN'!$E$18&gt;0,'Batt IN'!$G$18&gt;0),'Batt IN'!$E$17*'Batt IN'!$G$17,0)</f>
        <v>119.44619999999999</v>
      </c>
      <c r="AU71" s="10">
        <f>IF(AND('Batt IN'!$E$20&gt;0,'Batt IN'!$G$20&gt;0),'Batt IN'!$E$19*'Batt IN'!$G$19,0)</f>
        <v>231</v>
      </c>
      <c r="AV71" s="10"/>
      <c r="AW71" s="10"/>
      <c r="AX71" s="10">
        <f>IF('Batt IN'!$E$11="Non-Taxable",Q71,0)</f>
        <v>11168.08</v>
      </c>
      <c r="AY71" s="10">
        <f>IF('Batt IN'!$E$11="Non-Taxable",'Batt IN'!$E$28/1000*'Batt IN'!$G$13*('Batt IN'!$E$13/12)*'Batt IN'!$E$12,0)</f>
        <v>244.42220833333334</v>
      </c>
      <c r="AZ71" s="10">
        <f>IF('Batt IN'!$E$11="Non-Taxable",$S71*'Batt IN'!$G$15*'Batt IN'!$E$28*'Batt IN'!$E$14/1000,0)</f>
        <v>0</v>
      </c>
      <c r="BA71" s="10">
        <f>IF('Batt IN'!$E$11="Non-Taxable",'Batt IN'!$E$21*'Batt IN'!$G$21/12,0)</f>
        <v>437.5</v>
      </c>
      <c r="BB71" s="10">
        <f>IF('Batt IN'!$E$11="Non-Taxable",'Batt IN'!$E$22*'Batt IN'!$G$22/12,0)</f>
        <v>1145.8333333333335</v>
      </c>
      <c r="BC71" s="10">
        <f>IF('Batt IN'!$E$11="Taxable",Q71,0)</f>
        <v>0</v>
      </c>
      <c r="BD71" s="10">
        <f>IF('Batt IN'!$E$11="Taxable",'Batt IN'!$E$28/1000*'Batt IN'!$G$13*('Batt IN'!$E$13/12)*'Batt IN'!$E$12,0)</f>
        <v>0</v>
      </c>
      <c r="BE71" s="10">
        <f>IF('Batt IN'!$E$11="Taxable",$S71*'Batt IN'!$G$15*'Batt IN'!$E$28*'Batt IN'!$E$14/1000,0)</f>
        <v>0</v>
      </c>
      <c r="BF71" s="10">
        <f>IF('Batt IN'!$E$11="Taxable",'Batt IN'!$E$21*'Batt IN'!$G$21/12,0)</f>
        <v>0</v>
      </c>
      <c r="BG71" s="10">
        <f>IF('Batt IN'!$E$11="Taxable",'Batt IN'!$E$22*'Batt IN'!$G$22/12,0)</f>
        <v>0</v>
      </c>
      <c r="BK71" s="10">
        <f>IF('Batt IN'!$N$18="Yes",-BattLoan!H99,-BattLoan!L99)</f>
        <v>0</v>
      </c>
      <c r="BL71" s="10">
        <f>IF('Batt IN'!$N$18="Yes",-BattLoan!F99,0)</f>
        <v>0</v>
      </c>
      <c r="BM71" s="10">
        <f>IF(AND('Batt IN'!$D$44="YES",$C71&lt;='Batt IN'!$E$44*12),0,-'Batt IN'!$E$28*'Batt IN'!$E$42/12)</f>
        <v>-83.333333333333329</v>
      </c>
      <c r="BN71" s="10">
        <f>IF(AND('Batt IN'!$D$46="YES",$C71&lt;='Batt IN'!$E$46*12),0,-'Batt IN'!$E$28*'Batt IN'!$E$45/12)</f>
        <v>-166.66666666666666</v>
      </c>
      <c r="BO71" s="2">
        <f>IF(AND('Batt IN'!$D$41="YES",BattCalcs!C71=ROUNDUP('Batt IN'!$H$41*12,)),-'Batt IN'!$E$41*'Batt IN'!$E$28,0)</f>
        <v>0</v>
      </c>
      <c r="BP71" s="2">
        <f>IF(AND('Batt IN'!$D$53="Yes",$AL$1&gt;=1),0,IF($C71='Batt IN'!$H$54*12,-'Batt IN'!$F$54,0))</f>
        <v>0</v>
      </c>
      <c r="BQ71" s="2">
        <f>IF(AND('Batt IN'!$D$53="Yes",$AL$1&gt;=2),0,IF($C71='Batt IN'!$H$55*12,-'Batt IN'!$F$55,0))</f>
        <v>0</v>
      </c>
      <c r="BR71" s="2">
        <f>IF(AND('Batt IN'!$D$53="Yes",$AL$1&gt;=3),0,IF($C71='Batt IN'!$H$56*12,-'Batt IN'!$F$56,0))</f>
        <v>0</v>
      </c>
      <c r="BS71" s="2">
        <f>IF(AND('Batt IN'!$D$53="Yes",$AL$1&gt;=4),0,IF($C71='Batt IN'!$H$57*12,-'Batt IN'!$F$57,0))</f>
        <v>0</v>
      </c>
      <c r="BT71" s="2">
        <f>IF(AND('Batt IN'!$D$53="Yes",$AL$1&gt;=5),0,IF($C71='Batt IN'!$H$58*12,-'Batt IN'!$F$58,0))</f>
        <v>0</v>
      </c>
      <c r="BU71" s="2">
        <f>-AH71*PVCalcs!F71</f>
        <v>-346.57900707845971</v>
      </c>
      <c r="BV71" s="2">
        <f>-'Batt IN'!$E$47</f>
        <v>-150</v>
      </c>
      <c r="BW71" s="2">
        <f>-'Batt IN'!$E$49</f>
        <v>-2250</v>
      </c>
      <c r="BX71" s="2">
        <f>IF('Batt IN'!$H$50="No",-(BC71*'Batt IN'!$E$50),-(BC71+BE71)*'Batt IN'!$E$50)</f>
        <v>0</v>
      </c>
      <c r="BY71" s="2">
        <f>IF(C71='Batt IN'!$H$43*12,-'Batt IN'!$E$43,0)</f>
        <v>0</v>
      </c>
      <c r="BZ71" s="38"/>
      <c r="CA71" s="10">
        <f t="shared" si="17"/>
        <v>13422.323408333334</v>
      </c>
      <c r="CB71" s="2">
        <f t="shared" si="21"/>
        <v>-2996.5790070784597</v>
      </c>
      <c r="CC71" s="45">
        <f t="shared" si="22"/>
        <v>10425.744401254873</v>
      </c>
      <c r="CD71" s="43"/>
      <c r="CE71" s="2">
        <f t="shared" si="18"/>
        <v>0</v>
      </c>
      <c r="CF71" s="2">
        <f t="shared" si="23"/>
        <v>-2996.5790070784597</v>
      </c>
      <c r="CG71" s="2"/>
      <c r="CH71" s="2">
        <f t="shared" si="24"/>
        <v>-2996.5790070784597</v>
      </c>
      <c r="CI71" s="45">
        <f>-CH71*'Batt IN'!$E$7</f>
        <v>629.28159148647649</v>
      </c>
      <c r="CJ71" s="48"/>
      <c r="CK71" s="45">
        <f>IF('Batt IN'!$F$4="PV Only",0,IF(C71&gt;'Batt IN'!$H$43*12,0,CC71+CI71))</f>
        <v>0</v>
      </c>
      <c r="CM71" s="10">
        <f t="shared" si="25"/>
        <v>0</v>
      </c>
      <c r="CN71" s="2">
        <f>CK71/(1+('Batt IN'!$G$8))^(C71)</f>
        <v>0</v>
      </c>
      <c r="CO71" s="2">
        <f>IF(C71&lt;='Batt IN'!$O$30*12,CN71+CO70,NA())</f>
        <v>0</v>
      </c>
      <c r="CQ71" s="2">
        <f>CK71/((1+('Batt IN'!$E$8/12))^BattCalcs!C71)</f>
        <v>0</v>
      </c>
      <c r="CS71" s="10">
        <f t="shared" si="26"/>
        <v>-2996.5790070784597</v>
      </c>
      <c r="CT71" s="10">
        <f t="shared" si="27"/>
        <v>0</v>
      </c>
      <c r="CU71" s="10">
        <f t="shared" si="28"/>
        <v>-2996.5790070784597</v>
      </c>
      <c r="CV71" s="10">
        <f t="shared" si="29"/>
        <v>-2996.5790070784597</v>
      </c>
      <c r="CW71" s="2">
        <f t="shared" si="30"/>
        <v>0</v>
      </c>
      <c r="CX71" s="2">
        <f>-(SUM(CV71:CW71)*'PV IN'!$E$8)</f>
        <v>629.28159148647649</v>
      </c>
      <c r="CY71" s="2">
        <f t="shared" si="31"/>
        <v>-2367.2974155919833</v>
      </c>
      <c r="CZ71" s="2">
        <f>IF(C71&lt;='Batt IN'!$H$43*12,CY71/(1+('PV IN'!$G$9))^(C71),0)</f>
        <v>-1802.7931705031385</v>
      </c>
      <c r="DA71" s="33">
        <f>IF(C71&lt;='Batt IN'!$H$43*12,AE71,0)</f>
        <v>30366.783333333333</v>
      </c>
    </row>
    <row r="72" spans="1:105" x14ac:dyDescent="0.25">
      <c r="A72">
        <f>IF(C72&lt;='Batt IN'!$H$43*12,C72,"")</f>
        <v>68</v>
      </c>
      <c r="C72">
        <v>68</v>
      </c>
      <c r="D72" s="21">
        <v>730</v>
      </c>
      <c r="E72" s="1">
        <f>1-'Batt IN'!$E$31</f>
        <v>2.0000000000000018E-2</v>
      </c>
      <c r="F72" s="12">
        <f>('Batt IN'!$E$33*365)/8760</f>
        <v>0</v>
      </c>
      <c r="G72" s="22">
        <f>'Batt IN'!$E$32/8760</f>
        <v>5.7077625570776253E-3</v>
      </c>
      <c r="H72" s="22">
        <f>'Batt IN'!$E$13/8760</f>
        <v>5.5936073059360729E-3</v>
      </c>
      <c r="I72" s="23">
        <f>IF(C72&lt;='Batt IN'!$G$14*12,'Batt IN'!$E$15/8760*'Batt IN'!$G$15,0)</f>
        <v>0</v>
      </c>
      <c r="J72" s="12">
        <f>Z72/'Batt IN'!$E$27/730</f>
        <v>2.4999999999999996E-3</v>
      </c>
      <c r="K72" s="23">
        <f>AA72/'Batt IN'!$E$27/730</f>
        <v>1.6027397260273972E-3</v>
      </c>
      <c r="L72" s="23">
        <f>AB72/'Batt IN'!$E$27/730</f>
        <v>2.0547945205479451E-4</v>
      </c>
      <c r="M72" s="23">
        <f>AC72/'Batt IN'!$E$27/730</f>
        <v>4.7945205479452057E-3</v>
      </c>
      <c r="N72" s="23">
        <f>AD72/'Batt IN'!$E$27/730</f>
        <v>3.4246575342465752E-3</v>
      </c>
      <c r="O72" s="12">
        <f t="shared" si="19"/>
        <v>4.3828767123287697E-2</v>
      </c>
      <c r="P72" s="21">
        <f t="shared" si="20"/>
        <v>698.005</v>
      </c>
      <c r="Q72" s="2">
        <f>IF('Batt IN'!$E$27*'Batt IN'!$E$24&lt;='Batt IN'!$E$28,(('Batt IN'!$E$23*'Batt IN'!$E$27*'Batt IN'!$E$24)/1000)*P72,(('Batt IN'!$E$23*'Batt IN'!$E$28*'Batt IN'!$E$24)/1000)*P72)</f>
        <v>11168.08</v>
      </c>
      <c r="R72" s="2"/>
      <c r="S72" s="77">
        <f>IF(C72&lt;='Batt IN'!$G$14*12,'Batt IN'!$E$15/12,0)</f>
        <v>0</v>
      </c>
      <c r="T72" s="77"/>
      <c r="U72" s="80">
        <f>'Batt IN'!$E$28*('Batt IN'!$G$24/24)*730*(1-O72)</f>
        <v>81433.916666666657</v>
      </c>
      <c r="V72" s="78">
        <f>U72*'Batt IN'!$F$30</f>
        <v>16286.783333333333</v>
      </c>
      <c r="W72" s="78">
        <f>'Batt IN'!$E$28*'Batt IN'!$G$32*('Batt IN'!$E$32/12)*(1+'Batt IN'!$F$30)</f>
        <v>1750.0000000000002</v>
      </c>
      <c r="X72" s="78">
        <f>'Batt IN'!$E$28*'Batt IN'!$G$13*('Batt IN'!$E$13/12)*(1+'Batt IN'!$F$30)</f>
        <v>3184.9999999999995</v>
      </c>
      <c r="Y72" s="33">
        <f>S72*'Batt IN'!$G$15*'Batt IN'!$E$28*(1+'Batt IN'!$F$30)</f>
        <v>0</v>
      </c>
      <c r="Z72" s="33">
        <f>'Batt IN'!$G$16*365/12*(1+'Batt IN'!$F$30)</f>
        <v>1824.9999999999998</v>
      </c>
      <c r="AA72" s="33">
        <f>'Batt IN'!$G$17*'Batt IN'!$E$18*'Batt IN'!$G$18/12*(1+'Batt IN'!$F$30)</f>
        <v>1170</v>
      </c>
      <c r="AB72" s="33">
        <f>'Batt IN'!$G$19*'Batt IN'!$E$20*'Batt IN'!$G$20/12*(1+'Batt IN'!$F$30)</f>
        <v>150</v>
      </c>
      <c r="AC72" s="33">
        <f>'Batt IN'!$G$21*(1+'Batt IN'!$F$30)/12</f>
        <v>3500</v>
      </c>
      <c r="AD72" s="33">
        <f>'Batt IN'!$G$22*(1+'Batt IN'!$F$30)/12</f>
        <v>2500</v>
      </c>
      <c r="AE72" s="33">
        <f t="shared" si="32"/>
        <v>30366.783333333333</v>
      </c>
      <c r="AF72" s="33">
        <f>IF('PV IN'!$F$4="Battery Only",0,AE72*'Batt IN'!$E$29)</f>
        <v>25811.765833333331</v>
      </c>
      <c r="AG72" s="33">
        <f>PVCalcs!L72</f>
        <v>25811.765833333331</v>
      </c>
      <c r="AH72" s="33">
        <f t="shared" si="33"/>
        <v>4555.0175000000017</v>
      </c>
      <c r="AI72" s="33"/>
      <c r="AJ72" s="2">
        <f>IF(AND('Batt IN'!$D$53="Yes",$AL$1&gt;=1),IF($C72='Batt IN'!$H$54*12,-'Batt IN'!$F$54,0),0)</f>
        <v>0</v>
      </c>
      <c r="AK72" s="2">
        <f>IF(AND('Batt IN'!$D$53="Yes",$AL$1&gt;=2),IF($C72='Batt IN'!$H$55*12,-'Batt IN'!$F$55,0),0)</f>
        <v>0</v>
      </c>
      <c r="AL72" s="2">
        <f>IF(AND('Batt IN'!$D$53="Yes",$AL$1&gt;=3),IF($C72='Batt IN'!$H$56*12,-'Batt IN'!$F$56,0),0)</f>
        <v>0</v>
      </c>
      <c r="AM72" s="2">
        <f>IF(AND('Batt IN'!$D$53="Yes",$AL$1&gt;=4),IF($C72='Batt IN'!$H$57*12,-'Batt IN'!$F$57,0),0)</f>
        <v>0</v>
      </c>
      <c r="AN72" s="2">
        <f>IF(AND('Batt IN'!$D$53="Yes",$AL$1&gt;=5),IF($C72='Batt IN'!$H$58*12,-'Batt IN'!$F$58,0),0)</f>
        <v>0</v>
      </c>
      <c r="AO72" s="10">
        <f>IF(AND('Batt IN'!$D$44="YES",$C72&lt;='Batt IN'!$E$44*12),-'Batt IN'!$E$28*'Batt IN'!$E$42/12,0)</f>
        <v>0</v>
      </c>
      <c r="AP72" s="10">
        <f>IF(AND('Batt IN'!$D$46="YES",$C72&lt;='Batt IN'!$E$46*12),-'Batt IN'!$E$28*'Batt IN'!$E$45/12,0)</f>
        <v>0</v>
      </c>
      <c r="AR72" s="10">
        <f>BattLoan!M99</f>
        <v>0</v>
      </c>
      <c r="AS72" s="10">
        <f>'Batt IN'!$G$16*365/12*'Batt IN'!$E$16</f>
        <v>76.041666666666671</v>
      </c>
      <c r="AT72" s="10">
        <f>IF(AND('Batt IN'!$E$18&gt;0,'Batt IN'!$G$18&gt;0),'Batt IN'!$E$17*'Batt IN'!$G$17,0)</f>
        <v>119.44619999999999</v>
      </c>
      <c r="AU72" s="10">
        <f>IF(AND('Batt IN'!$E$20&gt;0,'Batt IN'!$G$20&gt;0),'Batt IN'!$E$19*'Batt IN'!$G$19,0)</f>
        <v>231</v>
      </c>
      <c r="AV72" s="10"/>
      <c r="AW72" s="10"/>
      <c r="AX72" s="10">
        <f>IF('Batt IN'!$E$11="Non-Taxable",Q72,0)</f>
        <v>11168.08</v>
      </c>
      <c r="AY72" s="10">
        <f>IF('Batt IN'!$E$11="Non-Taxable",'Batt IN'!$E$28/1000*'Batt IN'!$G$13*('Batt IN'!$E$13/12)*'Batt IN'!$E$12,0)</f>
        <v>244.42220833333334</v>
      </c>
      <c r="AZ72" s="10">
        <f>IF('Batt IN'!$E$11="Non-Taxable",$S72*'Batt IN'!$G$15*'Batt IN'!$E$28*'Batt IN'!$E$14/1000,0)</f>
        <v>0</v>
      </c>
      <c r="BA72" s="10">
        <f>IF('Batt IN'!$E$11="Non-Taxable",'Batt IN'!$E$21*'Batt IN'!$G$21/12,0)</f>
        <v>437.5</v>
      </c>
      <c r="BB72" s="10">
        <f>IF('Batt IN'!$E$11="Non-Taxable",'Batt IN'!$E$22*'Batt IN'!$G$22/12,0)</f>
        <v>1145.8333333333335</v>
      </c>
      <c r="BC72" s="10">
        <f>IF('Batt IN'!$E$11="Taxable",Q72,0)</f>
        <v>0</v>
      </c>
      <c r="BD72" s="10">
        <f>IF('Batt IN'!$E$11="Taxable",'Batt IN'!$E$28/1000*'Batt IN'!$G$13*('Batt IN'!$E$13/12)*'Batt IN'!$E$12,0)</f>
        <v>0</v>
      </c>
      <c r="BE72" s="10">
        <f>IF('Batt IN'!$E$11="Taxable",$S72*'Batt IN'!$G$15*'Batt IN'!$E$28*'Batt IN'!$E$14/1000,0)</f>
        <v>0</v>
      </c>
      <c r="BF72" s="10">
        <f>IF('Batt IN'!$E$11="Taxable",'Batt IN'!$E$21*'Batt IN'!$G$21/12,0)</f>
        <v>0</v>
      </c>
      <c r="BG72" s="10">
        <f>IF('Batt IN'!$E$11="Taxable",'Batt IN'!$E$22*'Batt IN'!$G$22/12,0)</f>
        <v>0</v>
      </c>
      <c r="BK72" s="10">
        <f>IF('Batt IN'!$N$18="Yes",-BattLoan!H100,-BattLoan!L100)</f>
        <v>0</v>
      </c>
      <c r="BL72" s="10">
        <f>IF('Batt IN'!$N$18="Yes",-BattLoan!F100,0)</f>
        <v>0</v>
      </c>
      <c r="BM72" s="10">
        <f>IF(AND('Batt IN'!$D$44="YES",$C72&lt;='Batt IN'!$E$44*12),0,-'Batt IN'!$E$28*'Batt IN'!$E$42/12)</f>
        <v>-83.333333333333329</v>
      </c>
      <c r="BN72" s="10">
        <f>IF(AND('Batt IN'!$D$46="YES",$C72&lt;='Batt IN'!$E$46*12),0,-'Batt IN'!$E$28*'Batt IN'!$E$45/12)</f>
        <v>-166.66666666666666</v>
      </c>
      <c r="BO72" s="2">
        <f>IF(AND('Batt IN'!$D$41="YES",BattCalcs!C72=ROUNDUP('Batt IN'!$H$41*12,)),-'Batt IN'!$E$41*'Batt IN'!$E$28,0)</f>
        <v>0</v>
      </c>
      <c r="BP72" s="2">
        <f>IF(AND('Batt IN'!$D$53="Yes",$AL$1&gt;=1),0,IF($C72='Batt IN'!$H$54*12,-'Batt IN'!$F$54,0))</f>
        <v>0</v>
      </c>
      <c r="BQ72" s="2">
        <f>IF(AND('Batt IN'!$D$53="Yes",$AL$1&gt;=2),0,IF($C72='Batt IN'!$H$55*12,-'Batt IN'!$F$55,0))</f>
        <v>0</v>
      </c>
      <c r="BR72" s="2">
        <f>IF(AND('Batt IN'!$D$53="Yes",$AL$1&gt;=3),0,IF($C72='Batt IN'!$H$56*12,-'Batt IN'!$F$56,0))</f>
        <v>0</v>
      </c>
      <c r="BS72" s="2">
        <f>IF(AND('Batt IN'!$D$53="Yes",$AL$1&gt;=4),0,IF($C72='Batt IN'!$H$57*12,-'Batt IN'!$F$57,0))</f>
        <v>0</v>
      </c>
      <c r="BT72" s="2">
        <f>IF(AND('Batt IN'!$D$53="Yes",$AL$1&gt;=5),0,IF($C72='Batt IN'!$H$58*12,-'Batt IN'!$F$58,0))</f>
        <v>0</v>
      </c>
      <c r="BU72" s="2">
        <f>-AH72*PVCalcs!F72</f>
        <v>-346.57900707845971</v>
      </c>
      <c r="BV72" s="2">
        <f>-'Batt IN'!$E$47</f>
        <v>-150</v>
      </c>
      <c r="BW72" s="2">
        <f>-'Batt IN'!$E$49</f>
        <v>-2250</v>
      </c>
      <c r="BX72" s="2">
        <f>IF('Batt IN'!$H$50="No",-(BC72*'Batt IN'!$E$50),-(BC72+BE72)*'Batt IN'!$E$50)</f>
        <v>0</v>
      </c>
      <c r="BY72" s="2">
        <f>IF(C72='Batt IN'!$H$43*12,-'Batt IN'!$E$43,0)</f>
        <v>0</v>
      </c>
      <c r="BZ72" s="38"/>
      <c r="CA72" s="10">
        <f t="shared" si="17"/>
        <v>13422.323408333334</v>
      </c>
      <c r="CB72" s="2">
        <f t="shared" si="21"/>
        <v>-2996.5790070784597</v>
      </c>
      <c r="CC72" s="45">
        <f t="shared" si="22"/>
        <v>10425.744401254873</v>
      </c>
      <c r="CD72" s="43"/>
      <c r="CE72" s="2">
        <f t="shared" si="18"/>
        <v>0</v>
      </c>
      <c r="CF72" s="2">
        <f t="shared" si="23"/>
        <v>-2996.5790070784597</v>
      </c>
      <c r="CG72" s="2"/>
      <c r="CH72" s="2">
        <f t="shared" si="24"/>
        <v>-2996.5790070784597</v>
      </c>
      <c r="CI72" s="45">
        <f>-CH72*'Batt IN'!$E$7</f>
        <v>629.28159148647649</v>
      </c>
      <c r="CJ72" s="48"/>
      <c r="CK72" s="45">
        <f>IF('Batt IN'!$F$4="PV Only",0,IF(C72&gt;'Batt IN'!$H$43*12,0,CC72+CI72))</f>
        <v>0</v>
      </c>
      <c r="CM72" s="10">
        <f t="shared" si="25"/>
        <v>0</v>
      </c>
      <c r="CN72" s="2">
        <f>CK72/(1+('Batt IN'!$G$8))^(C72)</f>
        <v>0</v>
      </c>
      <c r="CO72" s="2">
        <f>IF(C72&lt;='Batt IN'!$O$30*12,CN72+CO71,NA())</f>
        <v>0</v>
      </c>
      <c r="CQ72" s="2">
        <f>CK72/((1+('Batt IN'!$E$8/12))^BattCalcs!C72)</f>
        <v>0</v>
      </c>
      <c r="CS72" s="10">
        <f t="shared" si="26"/>
        <v>-2996.5790070784597</v>
      </c>
      <c r="CT72" s="10">
        <f t="shared" si="27"/>
        <v>0</v>
      </c>
      <c r="CU72" s="10">
        <f t="shared" si="28"/>
        <v>-2996.5790070784597</v>
      </c>
      <c r="CV72" s="10">
        <f t="shared" si="29"/>
        <v>-2996.5790070784597</v>
      </c>
      <c r="CW72" s="2">
        <f t="shared" si="30"/>
        <v>0</v>
      </c>
      <c r="CX72" s="2">
        <f>-(SUM(CV72:CW72)*'PV IN'!$E$8)</f>
        <v>629.28159148647649</v>
      </c>
      <c r="CY72" s="2">
        <f t="shared" si="31"/>
        <v>-2367.2974155919833</v>
      </c>
      <c r="CZ72" s="2">
        <f>IF(C72&lt;='Batt IN'!$H$43*12,CY72/(1+('PV IN'!$G$9))^(C72),0)</f>
        <v>-1795.4781701869583</v>
      </c>
      <c r="DA72" s="33">
        <f>IF(C72&lt;='Batt IN'!$H$43*12,AE72,0)</f>
        <v>30366.783333333333</v>
      </c>
    </row>
    <row r="73" spans="1:105" x14ac:dyDescent="0.25">
      <c r="A73">
        <f>IF(C73&lt;='Batt IN'!$H$43*12,C73,"")</f>
        <v>69</v>
      </c>
      <c r="C73">
        <v>69</v>
      </c>
      <c r="D73" s="21">
        <v>730</v>
      </c>
      <c r="E73" s="1">
        <f>1-'Batt IN'!$E$31</f>
        <v>2.0000000000000018E-2</v>
      </c>
      <c r="F73" s="12">
        <f>('Batt IN'!$E$33*365)/8760</f>
        <v>0</v>
      </c>
      <c r="G73" s="22">
        <f>'Batt IN'!$E$32/8760</f>
        <v>5.7077625570776253E-3</v>
      </c>
      <c r="H73" s="22">
        <f>'Batt IN'!$E$13/8760</f>
        <v>5.5936073059360729E-3</v>
      </c>
      <c r="I73" s="23">
        <f>IF(C73&lt;='Batt IN'!$G$14*12,'Batt IN'!$E$15/8760*'Batt IN'!$G$15,0)</f>
        <v>0</v>
      </c>
      <c r="J73" s="12">
        <f>Z73/'Batt IN'!$E$27/730</f>
        <v>2.4999999999999996E-3</v>
      </c>
      <c r="K73" s="23">
        <f>AA73/'Batt IN'!$E$27/730</f>
        <v>1.6027397260273972E-3</v>
      </c>
      <c r="L73" s="23">
        <f>AB73/'Batt IN'!$E$27/730</f>
        <v>2.0547945205479451E-4</v>
      </c>
      <c r="M73" s="23">
        <f>AC73/'Batt IN'!$E$27/730</f>
        <v>4.7945205479452057E-3</v>
      </c>
      <c r="N73" s="23">
        <f>AD73/'Batt IN'!$E$27/730</f>
        <v>3.4246575342465752E-3</v>
      </c>
      <c r="O73" s="12">
        <f t="shared" si="19"/>
        <v>4.3828767123287697E-2</v>
      </c>
      <c r="P73" s="21">
        <f t="shared" si="20"/>
        <v>698.005</v>
      </c>
      <c r="Q73" s="2">
        <f>IF('Batt IN'!$E$27*'Batt IN'!$E$24&lt;='Batt IN'!$E$28,(('Batt IN'!$E$23*'Batt IN'!$E$27*'Batt IN'!$E$24)/1000)*P73,(('Batt IN'!$E$23*'Batt IN'!$E$28*'Batt IN'!$E$24)/1000)*P73)</f>
        <v>11168.08</v>
      </c>
      <c r="R73" s="2"/>
      <c r="S73" s="77">
        <f>IF(C73&lt;='Batt IN'!$G$14*12,'Batt IN'!$E$15/12,0)</f>
        <v>0</v>
      </c>
      <c r="T73" s="77"/>
      <c r="U73" s="80">
        <f>'Batt IN'!$E$28*('Batt IN'!$G$24/24)*730*(1-O73)</f>
        <v>81433.916666666657</v>
      </c>
      <c r="V73" s="78">
        <f>U73*'Batt IN'!$F$30</f>
        <v>16286.783333333333</v>
      </c>
      <c r="W73" s="78">
        <f>'Batt IN'!$E$28*'Batt IN'!$G$32*('Batt IN'!$E$32/12)*(1+'Batt IN'!$F$30)</f>
        <v>1750.0000000000002</v>
      </c>
      <c r="X73" s="78">
        <f>'Batt IN'!$E$28*'Batt IN'!$G$13*('Batt IN'!$E$13/12)*(1+'Batt IN'!$F$30)</f>
        <v>3184.9999999999995</v>
      </c>
      <c r="Y73" s="33">
        <f>S73*'Batt IN'!$G$15*'Batt IN'!$E$28*(1+'Batt IN'!$F$30)</f>
        <v>0</v>
      </c>
      <c r="Z73" s="33">
        <f>'Batt IN'!$G$16*365/12*(1+'Batt IN'!$F$30)</f>
        <v>1824.9999999999998</v>
      </c>
      <c r="AA73" s="33">
        <f>'Batt IN'!$G$17*'Batt IN'!$E$18*'Batt IN'!$G$18/12*(1+'Batt IN'!$F$30)</f>
        <v>1170</v>
      </c>
      <c r="AB73" s="33">
        <f>'Batt IN'!$G$19*'Batt IN'!$E$20*'Batt IN'!$G$20/12*(1+'Batt IN'!$F$30)</f>
        <v>150</v>
      </c>
      <c r="AC73" s="33">
        <f>'Batt IN'!$G$21*(1+'Batt IN'!$F$30)/12</f>
        <v>3500</v>
      </c>
      <c r="AD73" s="33">
        <f>'Batt IN'!$G$22*(1+'Batt IN'!$F$30)/12</f>
        <v>2500</v>
      </c>
      <c r="AE73" s="33">
        <f t="shared" si="32"/>
        <v>30366.783333333333</v>
      </c>
      <c r="AF73" s="33">
        <f>IF('PV IN'!$F$4="Battery Only",0,AE73*'Batt IN'!$E$29)</f>
        <v>25811.765833333331</v>
      </c>
      <c r="AG73" s="33">
        <f>PVCalcs!L73</f>
        <v>25811.765833333331</v>
      </c>
      <c r="AH73" s="33">
        <f t="shared" si="33"/>
        <v>4555.0175000000017</v>
      </c>
      <c r="AI73" s="33"/>
      <c r="AJ73" s="2">
        <f>IF(AND('Batt IN'!$D$53="Yes",$AL$1&gt;=1),IF($C73='Batt IN'!$H$54*12,-'Batt IN'!$F$54,0),0)</f>
        <v>0</v>
      </c>
      <c r="AK73" s="2">
        <f>IF(AND('Batt IN'!$D$53="Yes",$AL$1&gt;=2),IF($C73='Batt IN'!$H$55*12,-'Batt IN'!$F$55,0),0)</f>
        <v>0</v>
      </c>
      <c r="AL73" s="2">
        <f>IF(AND('Batt IN'!$D$53="Yes",$AL$1&gt;=3),IF($C73='Batt IN'!$H$56*12,-'Batt IN'!$F$56,0),0)</f>
        <v>0</v>
      </c>
      <c r="AM73" s="2">
        <f>IF(AND('Batt IN'!$D$53="Yes",$AL$1&gt;=4),IF($C73='Batt IN'!$H$57*12,-'Batt IN'!$F$57,0),0)</f>
        <v>0</v>
      </c>
      <c r="AN73" s="2">
        <f>IF(AND('Batt IN'!$D$53="Yes",$AL$1&gt;=5),IF($C73='Batt IN'!$H$58*12,-'Batt IN'!$F$58,0),0)</f>
        <v>0</v>
      </c>
      <c r="AO73" s="10">
        <f>IF(AND('Batt IN'!$D$44="YES",$C73&lt;='Batt IN'!$E$44*12),-'Batt IN'!$E$28*'Batt IN'!$E$42/12,0)</f>
        <v>0</v>
      </c>
      <c r="AP73" s="10">
        <f>IF(AND('Batt IN'!$D$46="YES",$C73&lt;='Batt IN'!$E$46*12),-'Batt IN'!$E$28*'Batt IN'!$E$45/12,0)</f>
        <v>0</v>
      </c>
      <c r="AR73" s="10">
        <f>BattLoan!M100</f>
        <v>0</v>
      </c>
      <c r="AS73" s="10">
        <f>'Batt IN'!$G$16*365/12*'Batt IN'!$E$16</f>
        <v>76.041666666666671</v>
      </c>
      <c r="AT73" s="10">
        <f>IF(AND('Batt IN'!$E$18&gt;0,'Batt IN'!$G$18&gt;0),'Batt IN'!$E$17*'Batt IN'!$G$17,0)</f>
        <v>119.44619999999999</v>
      </c>
      <c r="AU73" s="10">
        <f>IF(AND('Batt IN'!$E$20&gt;0,'Batt IN'!$G$20&gt;0),'Batt IN'!$E$19*'Batt IN'!$G$19,0)</f>
        <v>231</v>
      </c>
      <c r="AV73" s="10"/>
      <c r="AW73" s="10"/>
      <c r="AX73" s="10">
        <f>IF('Batt IN'!$E$11="Non-Taxable",Q73,0)</f>
        <v>11168.08</v>
      </c>
      <c r="AY73" s="10">
        <f>IF('Batt IN'!$E$11="Non-Taxable",'Batt IN'!$E$28/1000*'Batt IN'!$G$13*('Batt IN'!$E$13/12)*'Batt IN'!$E$12,0)</f>
        <v>244.42220833333334</v>
      </c>
      <c r="AZ73" s="10">
        <f>IF('Batt IN'!$E$11="Non-Taxable",$S73*'Batt IN'!$G$15*'Batt IN'!$E$28*'Batt IN'!$E$14/1000,0)</f>
        <v>0</v>
      </c>
      <c r="BA73" s="10">
        <f>IF('Batt IN'!$E$11="Non-Taxable",'Batt IN'!$E$21*'Batt IN'!$G$21/12,0)</f>
        <v>437.5</v>
      </c>
      <c r="BB73" s="10">
        <f>IF('Batt IN'!$E$11="Non-Taxable",'Batt IN'!$E$22*'Batt IN'!$G$22/12,0)</f>
        <v>1145.8333333333335</v>
      </c>
      <c r="BC73" s="10">
        <f>IF('Batt IN'!$E$11="Taxable",Q73,0)</f>
        <v>0</v>
      </c>
      <c r="BD73" s="10">
        <f>IF('Batt IN'!$E$11="Taxable",'Batt IN'!$E$28/1000*'Batt IN'!$G$13*('Batt IN'!$E$13/12)*'Batt IN'!$E$12,0)</f>
        <v>0</v>
      </c>
      <c r="BE73" s="10">
        <f>IF('Batt IN'!$E$11="Taxable",$S73*'Batt IN'!$G$15*'Batt IN'!$E$28*'Batt IN'!$E$14/1000,0)</f>
        <v>0</v>
      </c>
      <c r="BF73" s="10">
        <f>IF('Batt IN'!$E$11="Taxable",'Batt IN'!$E$21*'Batt IN'!$G$21/12,0)</f>
        <v>0</v>
      </c>
      <c r="BG73" s="10">
        <f>IF('Batt IN'!$E$11="Taxable",'Batt IN'!$E$22*'Batt IN'!$G$22/12,0)</f>
        <v>0</v>
      </c>
      <c r="BK73" s="10">
        <f>IF('Batt IN'!$N$18="Yes",-BattLoan!H101,-BattLoan!L101)</f>
        <v>0</v>
      </c>
      <c r="BL73" s="10">
        <f>IF('Batt IN'!$N$18="Yes",-BattLoan!F101,0)</f>
        <v>0</v>
      </c>
      <c r="BM73" s="10">
        <f>IF(AND('Batt IN'!$D$44="YES",$C73&lt;='Batt IN'!$E$44*12),0,-'Batt IN'!$E$28*'Batt IN'!$E$42/12)</f>
        <v>-83.333333333333329</v>
      </c>
      <c r="BN73" s="10">
        <f>IF(AND('Batt IN'!$D$46="YES",$C73&lt;='Batt IN'!$E$46*12),0,-'Batt IN'!$E$28*'Batt IN'!$E$45/12)</f>
        <v>-166.66666666666666</v>
      </c>
      <c r="BO73" s="2">
        <f>IF(AND('Batt IN'!$D$41="YES",BattCalcs!C73=ROUNDUP('Batt IN'!$H$41*12,)),-'Batt IN'!$E$41*'Batt IN'!$E$28,0)</f>
        <v>0</v>
      </c>
      <c r="BP73" s="2">
        <f>IF(AND('Batt IN'!$D$53="Yes",$AL$1&gt;=1),0,IF($C73='Batt IN'!$H$54*12,-'Batt IN'!$F$54,0))</f>
        <v>0</v>
      </c>
      <c r="BQ73" s="2">
        <f>IF(AND('Batt IN'!$D$53="Yes",$AL$1&gt;=2),0,IF($C73='Batt IN'!$H$55*12,-'Batt IN'!$F$55,0))</f>
        <v>0</v>
      </c>
      <c r="BR73" s="2">
        <f>IF(AND('Batt IN'!$D$53="Yes",$AL$1&gt;=3),0,IF($C73='Batt IN'!$H$56*12,-'Batt IN'!$F$56,0))</f>
        <v>0</v>
      </c>
      <c r="BS73" s="2">
        <f>IF(AND('Batt IN'!$D$53="Yes",$AL$1&gt;=4),0,IF($C73='Batt IN'!$H$57*12,-'Batt IN'!$F$57,0))</f>
        <v>0</v>
      </c>
      <c r="BT73" s="2">
        <f>IF(AND('Batt IN'!$D$53="Yes",$AL$1&gt;=5),0,IF($C73='Batt IN'!$H$58*12,-'Batt IN'!$F$58,0))</f>
        <v>0</v>
      </c>
      <c r="BU73" s="2">
        <f>-AH73*PVCalcs!F73</f>
        <v>-346.57900707845971</v>
      </c>
      <c r="BV73" s="2">
        <f>-'Batt IN'!$E$47</f>
        <v>-150</v>
      </c>
      <c r="BW73" s="2">
        <f>-'Batt IN'!$E$49</f>
        <v>-2250</v>
      </c>
      <c r="BX73" s="2">
        <f>IF('Batt IN'!$H$50="No",-(BC73*'Batt IN'!$E$50),-(BC73+BE73)*'Batt IN'!$E$50)</f>
        <v>0</v>
      </c>
      <c r="BY73" s="2">
        <f>IF(C73='Batt IN'!$H$43*12,-'Batt IN'!$E$43,0)</f>
        <v>0</v>
      </c>
      <c r="BZ73" s="38"/>
      <c r="CA73" s="10">
        <f t="shared" si="17"/>
        <v>13422.323408333334</v>
      </c>
      <c r="CB73" s="2">
        <f t="shared" si="21"/>
        <v>-2996.5790070784597</v>
      </c>
      <c r="CC73" s="45">
        <f t="shared" si="22"/>
        <v>10425.744401254873</v>
      </c>
      <c r="CD73" s="43"/>
      <c r="CE73" s="2">
        <f t="shared" si="18"/>
        <v>0</v>
      </c>
      <c r="CF73" s="2">
        <f t="shared" si="23"/>
        <v>-2996.5790070784597</v>
      </c>
      <c r="CG73" s="2"/>
      <c r="CH73" s="2">
        <f t="shared" si="24"/>
        <v>-2996.5790070784597</v>
      </c>
      <c r="CI73" s="45">
        <f>-CH73*'Batt IN'!$E$7</f>
        <v>629.28159148647649</v>
      </c>
      <c r="CJ73" s="48"/>
      <c r="CK73" s="45">
        <f>IF('Batt IN'!$F$4="PV Only",0,IF(C73&gt;'Batt IN'!$H$43*12,0,CC73+CI73))</f>
        <v>0</v>
      </c>
      <c r="CM73" s="10">
        <f t="shared" si="25"/>
        <v>0</v>
      </c>
      <c r="CN73" s="2">
        <f>CK73/(1+('Batt IN'!$G$8))^(C73)</f>
        <v>0</v>
      </c>
      <c r="CO73" s="2">
        <f>IF(C73&lt;='Batt IN'!$O$30*12,CN73+CO72,NA())</f>
        <v>0</v>
      </c>
      <c r="CQ73" s="2">
        <f>CK73/((1+('Batt IN'!$E$8/12))^BattCalcs!C73)</f>
        <v>0</v>
      </c>
      <c r="CS73" s="10">
        <f t="shared" si="26"/>
        <v>-2996.5790070784597</v>
      </c>
      <c r="CT73" s="10">
        <f t="shared" si="27"/>
        <v>0</v>
      </c>
      <c r="CU73" s="10">
        <f t="shared" si="28"/>
        <v>-2996.5790070784597</v>
      </c>
      <c r="CV73" s="10">
        <f t="shared" si="29"/>
        <v>-2996.5790070784597</v>
      </c>
      <c r="CW73" s="2">
        <f t="shared" si="30"/>
        <v>0</v>
      </c>
      <c r="CX73" s="2">
        <f>-(SUM(CV73:CW73)*'PV IN'!$E$8)</f>
        <v>629.28159148647649</v>
      </c>
      <c r="CY73" s="2">
        <f t="shared" si="31"/>
        <v>-2367.2974155919833</v>
      </c>
      <c r="CZ73" s="2">
        <f>IF(C73&lt;='Batt IN'!$H$43*12,CY73/(1+('PV IN'!$G$9))^(C73),0)</f>
        <v>-1788.1928511622882</v>
      </c>
      <c r="DA73" s="33">
        <f>IF(C73&lt;='Batt IN'!$H$43*12,AE73,0)</f>
        <v>30366.783333333333</v>
      </c>
    </row>
    <row r="74" spans="1:105" x14ac:dyDescent="0.25">
      <c r="A74">
        <f>IF(C74&lt;='Batt IN'!$H$43*12,C74,"")</f>
        <v>70</v>
      </c>
      <c r="C74">
        <v>70</v>
      </c>
      <c r="D74" s="21">
        <v>730</v>
      </c>
      <c r="E74" s="1">
        <f>1-'Batt IN'!$E$31</f>
        <v>2.0000000000000018E-2</v>
      </c>
      <c r="F74" s="12">
        <f>('Batt IN'!$E$33*365)/8760</f>
        <v>0</v>
      </c>
      <c r="G74" s="22">
        <f>'Batt IN'!$E$32/8760</f>
        <v>5.7077625570776253E-3</v>
      </c>
      <c r="H74" s="22">
        <f>'Batt IN'!$E$13/8760</f>
        <v>5.5936073059360729E-3</v>
      </c>
      <c r="I74" s="23">
        <f>IF(C74&lt;='Batt IN'!$G$14*12,'Batt IN'!$E$15/8760*'Batt IN'!$G$15,0)</f>
        <v>0</v>
      </c>
      <c r="J74" s="12">
        <f>Z74/'Batt IN'!$E$27/730</f>
        <v>2.4999999999999996E-3</v>
      </c>
      <c r="K74" s="23">
        <f>AA74/'Batt IN'!$E$27/730</f>
        <v>1.6027397260273972E-3</v>
      </c>
      <c r="L74" s="23">
        <f>AB74/'Batt IN'!$E$27/730</f>
        <v>2.0547945205479451E-4</v>
      </c>
      <c r="M74" s="23">
        <f>AC74/'Batt IN'!$E$27/730</f>
        <v>4.7945205479452057E-3</v>
      </c>
      <c r="N74" s="23">
        <f>AD74/'Batt IN'!$E$27/730</f>
        <v>3.4246575342465752E-3</v>
      </c>
      <c r="O74" s="12">
        <f t="shared" si="19"/>
        <v>4.3828767123287697E-2</v>
      </c>
      <c r="P74" s="21">
        <f t="shared" si="20"/>
        <v>698.005</v>
      </c>
      <c r="Q74" s="2">
        <f>IF('Batt IN'!$E$27*'Batt IN'!$E$24&lt;='Batt IN'!$E$28,(('Batt IN'!$E$23*'Batt IN'!$E$27*'Batt IN'!$E$24)/1000)*P74,(('Batt IN'!$E$23*'Batt IN'!$E$28*'Batt IN'!$E$24)/1000)*P74)</f>
        <v>11168.08</v>
      </c>
      <c r="R74" s="2"/>
      <c r="S74" s="77">
        <f>IF(C74&lt;='Batt IN'!$G$14*12,'Batt IN'!$E$15/12,0)</f>
        <v>0</v>
      </c>
      <c r="T74" s="77"/>
      <c r="U74" s="80">
        <f>'Batt IN'!$E$28*('Batt IN'!$G$24/24)*730*(1-O74)</f>
        <v>81433.916666666657</v>
      </c>
      <c r="V74" s="78">
        <f>U74*'Batt IN'!$F$30</f>
        <v>16286.783333333333</v>
      </c>
      <c r="W74" s="78">
        <f>'Batt IN'!$E$28*'Batt IN'!$G$32*('Batt IN'!$E$32/12)*(1+'Batt IN'!$F$30)</f>
        <v>1750.0000000000002</v>
      </c>
      <c r="X74" s="78">
        <f>'Batt IN'!$E$28*'Batt IN'!$G$13*('Batt IN'!$E$13/12)*(1+'Batt IN'!$F$30)</f>
        <v>3184.9999999999995</v>
      </c>
      <c r="Y74" s="33">
        <f>S74*'Batt IN'!$G$15*'Batt IN'!$E$28*(1+'Batt IN'!$F$30)</f>
        <v>0</v>
      </c>
      <c r="Z74" s="33">
        <f>'Batt IN'!$G$16*365/12*(1+'Batt IN'!$F$30)</f>
        <v>1824.9999999999998</v>
      </c>
      <c r="AA74" s="33">
        <f>'Batt IN'!$G$17*'Batt IN'!$E$18*'Batt IN'!$G$18/12*(1+'Batt IN'!$F$30)</f>
        <v>1170</v>
      </c>
      <c r="AB74" s="33">
        <f>'Batt IN'!$G$19*'Batt IN'!$E$20*'Batt IN'!$G$20/12*(1+'Batt IN'!$F$30)</f>
        <v>150</v>
      </c>
      <c r="AC74" s="33">
        <f>'Batt IN'!$G$21*(1+'Batt IN'!$F$30)/12</f>
        <v>3500</v>
      </c>
      <c r="AD74" s="33">
        <f>'Batt IN'!$G$22*(1+'Batt IN'!$F$30)/12</f>
        <v>2500</v>
      </c>
      <c r="AE74" s="33">
        <f t="shared" si="32"/>
        <v>30366.783333333333</v>
      </c>
      <c r="AF74" s="33">
        <f>IF('PV IN'!$F$4="Battery Only",0,AE74*'Batt IN'!$E$29)</f>
        <v>25811.765833333331</v>
      </c>
      <c r="AG74" s="33">
        <f>PVCalcs!L74</f>
        <v>25811.765833333331</v>
      </c>
      <c r="AH74" s="33">
        <f t="shared" si="33"/>
        <v>4555.0175000000017</v>
      </c>
      <c r="AI74" s="33"/>
      <c r="AJ74" s="2">
        <f>IF(AND('Batt IN'!$D$53="Yes",$AL$1&gt;=1),IF($C74='Batt IN'!$H$54*12,-'Batt IN'!$F$54,0),0)</f>
        <v>0</v>
      </c>
      <c r="AK74" s="2">
        <f>IF(AND('Batt IN'!$D$53="Yes",$AL$1&gt;=2),IF($C74='Batt IN'!$H$55*12,-'Batt IN'!$F$55,0),0)</f>
        <v>0</v>
      </c>
      <c r="AL74" s="2">
        <f>IF(AND('Batt IN'!$D$53="Yes",$AL$1&gt;=3),IF($C74='Batt IN'!$H$56*12,-'Batt IN'!$F$56,0),0)</f>
        <v>0</v>
      </c>
      <c r="AM74" s="2">
        <f>IF(AND('Batt IN'!$D$53="Yes",$AL$1&gt;=4),IF($C74='Batt IN'!$H$57*12,-'Batt IN'!$F$57,0),0)</f>
        <v>0</v>
      </c>
      <c r="AN74" s="2">
        <f>IF(AND('Batt IN'!$D$53="Yes",$AL$1&gt;=5),IF($C74='Batt IN'!$H$58*12,-'Batt IN'!$F$58,0),0)</f>
        <v>0</v>
      </c>
      <c r="AO74" s="10">
        <f>IF(AND('Batt IN'!$D$44="YES",$C74&lt;='Batt IN'!$E$44*12),-'Batt IN'!$E$28*'Batt IN'!$E$42/12,0)</f>
        <v>0</v>
      </c>
      <c r="AP74" s="10">
        <f>IF(AND('Batt IN'!$D$46="YES",$C74&lt;='Batt IN'!$E$46*12),-'Batt IN'!$E$28*'Batt IN'!$E$45/12,0)</f>
        <v>0</v>
      </c>
      <c r="AR74" s="10">
        <f>BattLoan!M101</f>
        <v>0</v>
      </c>
      <c r="AS74" s="10">
        <f>'Batt IN'!$G$16*365/12*'Batt IN'!$E$16</f>
        <v>76.041666666666671</v>
      </c>
      <c r="AT74" s="10">
        <f>IF(AND('Batt IN'!$E$18&gt;0,'Batt IN'!$G$18&gt;0),'Batt IN'!$E$17*'Batt IN'!$G$17,0)</f>
        <v>119.44619999999999</v>
      </c>
      <c r="AU74" s="10">
        <f>IF(AND('Batt IN'!$E$20&gt;0,'Batt IN'!$G$20&gt;0),'Batt IN'!$E$19*'Batt IN'!$G$19,0)</f>
        <v>231</v>
      </c>
      <c r="AV74" s="10"/>
      <c r="AW74" s="10"/>
      <c r="AX74" s="10">
        <f>IF('Batt IN'!$E$11="Non-Taxable",Q74,0)</f>
        <v>11168.08</v>
      </c>
      <c r="AY74" s="10">
        <f>IF('Batt IN'!$E$11="Non-Taxable",'Batt IN'!$E$28/1000*'Batt IN'!$G$13*('Batt IN'!$E$13/12)*'Batt IN'!$E$12,0)</f>
        <v>244.42220833333334</v>
      </c>
      <c r="AZ74" s="10">
        <f>IF('Batt IN'!$E$11="Non-Taxable",$S74*'Batt IN'!$G$15*'Batt IN'!$E$28*'Batt IN'!$E$14/1000,0)</f>
        <v>0</v>
      </c>
      <c r="BA74" s="10">
        <f>IF('Batt IN'!$E$11="Non-Taxable",'Batt IN'!$E$21*'Batt IN'!$G$21/12,0)</f>
        <v>437.5</v>
      </c>
      <c r="BB74" s="10">
        <f>IF('Batt IN'!$E$11="Non-Taxable",'Batt IN'!$E$22*'Batt IN'!$G$22/12,0)</f>
        <v>1145.8333333333335</v>
      </c>
      <c r="BC74" s="10">
        <f>IF('Batt IN'!$E$11="Taxable",Q74,0)</f>
        <v>0</v>
      </c>
      <c r="BD74" s="10">
        <f>IF('Batt IN'!$E$11="Taxable",'Batt IN'!$E$28/1000*'Batt IN'!$G$13*('Batt IN'!$E$13/12)*'Batt IN'!$E$12,0)</f>
        <v>0</v>
      </c>
      <c r="BE74" s="10">
        <f>IF('Batt IN'!$E$11="Taxable",$S74*'Batt IN'!$G$15*'Batt IN'!$E$28*'Batt IN'!$E$14/1000,0)</f>
        <v>0</v>
      </c>
      <c r="BF74" s="10">
        <f>IF('Batt IN'!$E$11="Taxable",'Batt IN'!$E$21*'Batt IN'!$G$21/12,0)</f>
        <v>0</v>
      </c>
      <c r="BG74" s="10">
        <f>IF('Batt IN'!$E$11="Taxable",'Batt IN'!$E$22*'Batt IN'!$G$22/12,0)</f>
        <v>0</v>
      </c>
      <c r="BK74" s="10">
        <f>IF('Batt IN'!$N$18="Yes",-BattLoan!H102,-BattLoan!L102)</f>
        <v>0</v>
      </c>
      <c r="BL74" s="10">
        <f>IF('Batt IN'!$N$18="Yes",-BattLoan!F102,0)</f>
        <v>0</v>
      </c>
      <c r="BM74" s="10">
        <f>IF(AND('Batt IN'!$D$44="YES",$C74&lt;='Batt IN'!$E$44*12),0,-'Batt IN'!$E$28*'Batt IN'!$E$42/12)</f>
        <v>-83.333333333333329</v>
      </c>
      <c r="BN74" s="10">
        <f>IF(AND('Batt IN'!$D$46="YES",$C74&lt;='Batt IN'!$E$46*12),0,-'Batt IN'!$E$28*'Batt IN'!$E$45/12)</f>
        <v>-166.66666666666666</v>
      </c>
      <c r="BO74" s="2">
        <f>IF(AND('Batt IN'!$D$41="YES",BattCalcs!C74=ROUNDUP('Batt IN'!$H$41*12,)),-'Batt IN'!$E$41*'Batt IN'!$E$28,0)</f>
        <v>0</v>
      </c>
      <c r="BP74" s="2">
        <f>IF(AND('Batt IN'!$D$53="Yes",$AL$1&gt;=1),0,IF($C74='Batt IN'!$H$54*12,-'Batt IN'!$F$54,0))</f>
        <v>0</v>
      </c>
      <c r="BQ74" s="2">
        <f>IF(AND('Batt IN'!$D$53="Yes",$AL$1&gt;=2),0,IF($C74='Batt IN'!$H$55*12,-'Batt IN'!$F$55,0))</f>
        <v>0</v>
      </c>
      <c r="BR74" s="2">
        <f>IF(AND('Batt IN'!$D$53="Yes",$AL$1&gt;=3),0,IF($C74='Batt IN'!$H$56*12,-'Batt IN'!$F$56,0))</f>
        <v>0</v>
      </c>
      <c r="BS74" s="2">
        <f>IF(AND('Batt IN'!$D$53="Yes",$AL$1&gt;=4),0,IF($C74='Batt IN'!$H$57*12,-'Batt IN'!$F$57,0))</f>
        <v>0</v>
      </c>
      <c r="BT74" s="2">
        <f>IF(AND('Batt IN'!$D$53="Yes",$AL$1&gt;=5),0,IF($C74='Batt IN'!$H$58*12,-'Batt IN'!$F$58,0))</f>
        <v>0</v>
      </c>
      <c r="BU74" s="2">
        <f>-AH74*PVCalcs!F74</f>
        <v>-346.57900707845971</v>
      </c>
      <c r="BV74" s="2">
        <f>-'Batt IN'!$E$47</f>
        <v>-150</v>
      </c>
      <c r="BW74" s="2">
        <f>-'Batt IN'!$E$49</f>
        <v>-2250</v>
      </c>
      <c r="BX74" s="2">
        <f>IF('Batt IN'!$H$50="No",-(BC74*'Batt IN'!$E$50),-(BC74+BE74)*'Batt IN'!$E$50)</f>
        <v>0</v>
      </c>
      <c r="BY74" s="2">
        <f>IF(C74='Batt IN'!$H$43*12,-'Batt IN'!$E$43,0)</f>
        <v>0</v>
      </c>
      <c r="BZ74" s="38"/>
      <c r="CA74" s="10">
        <f t="shared" si="17"/>
        <v>13422.323408333334</v>
      </c>
      <c r="CB74" s="2">
        <f t="shared" si="21"/>
        <v>-2996.5790070784597</v>
      </c>
      <c r="CC74" s="45">
        <f t="shared" si="22"/>
        <v>10425.744401254873</v>
      </c>
      <c r="CD74" s="43"/>
      <c r="CE74" s="2">
        <f t="shared" si="18"/>
        <v>0</v>
      </c>
      <c r="CF74" s="2">
        <f t="shared" si="23"/>
        <v>-2996.5790070784597</v>
      </c>
      <c r="CG74" s="2"/>
      <c r="CH74" s="2">
        <f t="shared" si="24"/>
        <v>-2996.5790070784597</v>
      </c>
      <c r="CI74" s="45">
        <f>-CH74*'Batt IN'!$E$7</f>
        <v>629.28159148647649</v>
      </c>
      <c r="CJ74" s="48"/>
      <c r="CK74" s="45">
        <f>IF('Batt IN'!$F$4="PV Only",0,IF(C74&gt;'Batt IN'!$H$43*12,0,CC74+CI74))</f>
        <v>0</v>
      </c>
      <c r="CM74" s="10">
        <f t="shared" si="25"/>
        <v>0</v>
      </c>
      <c r="CN74" s="2">
        <f>CK74/(1+('Batt IN'!$G$8))^(C74)</f>
        <v>0</v>
      </c>
      <c r="CO74" s="2">
        <f>IF(C74&lt;='Batt IN'!$O$30*12,CN74+CO73,NA())</f>
        <v>0</v>
      </c>
      <c r="CQ74" s="2">
        <f>CK74/((1+('Batt IN'!$E$8/12))^BattCalcs!C74)</f>
        <v>0</v>
      </c>
      <c r="CS74" s="10">
        <f t="shared" si="26"/>
        <v>-2996.5790070784597</v>
      </c>
      <c r="CT74" s="10">
        <f t="shared" si="27"/>
        <v>0</v>
      </c>
      <c r="CU74" s="10">
        <f t="shared" si="28"/>
        <v>-2996.5790070784597</v>
      </c>
      <c r="CV74" s="10">
        <f t="shared" si="29"/>
        <v>-2996.5790070784597</v>
      </c>
      <c r="CW74" s="2">
        <f t="shared" si="30"/>
        <v>0</v>
      </c>
      <c r="CX74" s="2">
        <f>-(SUM(CV74:CW74)*'PV IN'!$E$8)</f>
        <v>629.28159148647649</v>
      </c>
      <c r="CY74" s="2">
        <f t="shared" si="31"/>
        <v>-2367.2974155919833</v>
      </c>
      <c r="CZ74" s="2">
        <f>IF(C74&lt;='Batt IN'!$H$43*12,CY74/(1+('PV IN'!$G$9))^(C74),0)</f>
        <v>-1780.9370929945374</v>
      </c>
      <c r="DA74" s="33">
        <f>IF(C74&lt;='Batt IN'!$H$43*12,AE74,0)</f>
        <v>30366.783333333333</v>
      </c>
    </row>
    <row r="75" spans="1:105" x14ac:dyDescent="0.25">
      <c r="A75">
        <f>IF(C75&lt;='Batt IN'!$H$43*12,C75,"")</f>
        <v>71</v>
      </c>
      <c r="C75">
        <v>71</v>
      </c>
      <c r="D75" s="21">
        <v>730</v>
      </c>
      <c r="E75" s="1">
        <f>1-'Batt IN'!$E$31</f>
        <v>2.0000000000000018E-2</v>
      </c>
      <c r="F75" s="12">
        <f>('Batt IN'!$E$33*365)/8760</f>
        <v>0</v>
      </c>
      <c r="G75" s="22">
        <f>'Batt IN'!$E$32/8760</f>
        <v>5.7077625570776253E-3</v>
      </c>
      <c r="H75" s="22">
        <f>'Batt IN'!$E$13/8760</f>
        <v>5.5936073059360729E-3</v>
      </c>
      <c r="I75" s="23">
        <f>IF(C75&lt;='Batt IN'!$G$14*12,'Batt IN'!$E$15/8760*'Batt IN'!$G$15,0)</f>
        <v>0</v>
      </c>
      <c r="J75" s="12">
        <f>Z75/'Batt IN'!$E$27/730</f>
        <v>2.4999999999999996E-3</v>
      </c>
      <c r="K75" s="23">
        <f>AA75/'Batt IN'!$E$27/730</f>
        <v>1.6027397260273972E-3</v>
      </c>
      <c r="L75" s="23">
        <f>AB75/'Batt IN'!$E$27/730</f>
        <v>2.0547945205479451E-4</v>
      </c>
      <c r="M75" s="23">
        <f>AC75/'Batt IN'!$E$27/730</f>
        <v>4.7945205479452057E-3</v>
      </c>
      <c r="N75" s="23">
        <f>AD75/'Batt IN'!$E$27/730</f>
        <v>3.4246575342465752E-3</v>
      </c>
      <c r="O75" s="12">
        <f t="shared" si="19"/>
        <v>4.3828767123287697E-2</v>
      </c>
      <c r="P75" s="21">
        <f t="shared" si="20"/>
        <v>698.005</v>
      </c>
      <c r="Q75" s="2">
        <f>IF('Batt IN'!$E$27*'Batt IN'!$E$24&lt;='Batt IN'!$E$28,(('Batt IN'!$E$23*'Batt IN'!$E$27*'Batt IN'!$E$24)/1000)*P75,(('Batt IN'!$E$23*'Batt IN'!$E$28*'Batt IN'!$E$24)/1000)*P75)</f>
        <v>11168.08</v>
      </c>
      <c r="R75" s="2"/>
      <c r="S75" s="77">
        <f>IF(C75&lt;='Batt IN'!$G$14*12,'Batt IN'!$E$15/12,0)</f>
        <v>0</v>
      </c>
      <c r="T75" s="77"/>
      <c r="U75" s="80">
        <f>'Batt IN'!$E$28*('Batt IN'!$G$24/24)*730*(1-O75)</f>
        <v>81433.916666666657</v>
      </c>
      <c r="V75" s="78">
        <f>U75*'Batt IN'!$F$30</f>
        <v>16286.783333333333</v>
      </c>
      <c r="W75" s="78">
        <f>'Batt IN'!$E$28*'Batt IN'!$G$32*('Batt IN'!$E$32/12)*(1+'Batt IN'!$F$30)</f>
        <v>1750.0000000000002</v>
      </c>
      <c r="X75" s="78">
        <f>'Batt IN'!$E$28*'Batt IN'!$G$13*('Batt IN'!$E$13/12)*(1+'Batt IN'!$F$30)</f>
        <v>3184.9999999999995</v>
      </c>
      <c r="Y75" s="33">
        <f>S75*'Batt IN'!$G$15*'Batt IN'!$E$28*(1+'Batt IN'!$F$30)</f>
        <v>0</v>
      </c>
      <c r="Z75" s="33">
        <f>'Batt IN'!$G$16*365/12*(1+'Batt IN'!$F$30)</f>
        <v>1824.9999999999998</v>
      </c>
      <c r="AA75" s="33">
        <f>'Batt IN'!$G$17*'Batt IN'!$E$18*'Batt IN'!$G$18/12*(1+'Batt IN'!$F$30)</f>
        <v>1170</v>
      </c>
      <c r="AB75" s="33">
        <f>'Batt IN'!$G$19*'Batt IN'!$E$20*'Batt IN'!$G$20/12*(1+'Batt IN'!$F$30)</f>
        <v>150</v>
      </c>
      <c r="AC75" s="33">
        <f>'Batt IN'!$G$21*(1+'Batt IN'!$F$30)/12</f>
        <v>3500</v>
      </c>
      <c r="AD75" s="33">
        <f>'Batt IN'!$G$22*(1+'Batt IN'!$F$30)/12</f>
        <v>2500</v>
      </c>
      <c r="AE75" s="33">
        <f t="shared" si="32"/>
        <v>30366.783333333333</v>
      </c>
      <c r="AF75" s="33">
        <f>IF('PV IN'!$F$4="Battery Only",0,AE75*'Batt IN'!$E$29)</f>
        <v>25811.765833333331</v>
      </c>
      <c r="AG75" s="33">
        <f>PVCalcs!L75</f>
        <v>25811.765833333331</v>
      </c>
      <c r="AH75" s="33">
        <f t="shared" si="33"/>
        <v>4555.0175000000017</v>
      </c>
      <c r="AI75" s="33"/>
      <c r="AJ75" s="2">
        <f>IF(AND('Batt IN'!$D$53="Yes",$AL$1&gt;=1),IF($C75='Batt IN'!$H$54*12,-'Batt IN'!$F$54,0),0)</f>
        <v>0</v>
      </c>
      <c r="AK75" s="2">
        <f>IF(AND('Batt IN'!$D$53="Yes",$AL$1&gt;=2),IF($C75='Batt IN'!$H$55*12,-'Batt IN'!$F$55,0),0)</f>
        <v>0</v>
      </c>
      <c r="AL75" s="2">
        <f>IF(AND('Batt IN'!$D$53="Yes",$AL$1&gt;=3),IF($C75='Batt IN'!$H$56*12,-'Batt IN'!$F$56,0),0)</f>
        <v>0</v>
      </c>
      <c r="AM75" s="2">
        <f>IF(AND('Batt IN'!$D$53="Yes",$AL$1&gt;=4),IF($C75='Batt IN'!$H$57*12,-'Batt IN'!$F$57,0),0)</f>
        <v>0</v>
      </c>
      <c r="AN75" s="2">
        <f>IF(AND('Batt IN'!$D$53="Yes",$AL$1&gt;=5),IF($C75='Batt IN'!$H$58*12,-'Batt IN'!$F$58,0),0)</f>
        <v>0</v>
      </c>
      <c r="AO75" s="10">
        <f>IF(AND('Batt IN'!$D$44="YES",$C75&lt;='Batt IN'!$E$44*12),-'Batt IN'!$E$28*'Batt IN'!$E$42/12,0)</f>
        <v>0</v>
      </c>
      <c r="AP75" s="10">
        <f>IF(AND('Batt IN'!$D$46="YES",$C75&lt;='Batt IN'!$E$46*12),-'Batt IN'!$E$28*'Batt IN'!$E$45/12,0)</f>
        <v>0</v>
      </c>
      <c r="AR75" s="10">
        <f>BattLoan!M102</f>
        <v>0</v>
      </c>
      <c r="AS75" s="10">
        <f>'Batt IN'!$G$16*365/12*'Batt IN'!$E$16</f>
        <v>76.041666666666671</v>
      </c>
      <c r="AT75" s="10">
        <f>IF(AND('Batt IN'!$E$18&gt;0,'Batt IN'!$G$18&gt;0),'Batt IN'!$E$17*'Batt IN'!$G$17,0)</f>
        <v>119.44619999999999</v>
      </c>
      <c r="AU75" s="10">
        <f>IF(AND('Batt IN'!$E$20&gt;0,'Batt IN'!$G$20&gt;0),'Batt IN'!$E$19*'Batt IN'!$G$19,0)</f>
        <v>231</v>
      </c>
      <c r="AV75" s="10"/>
      <c r="AW75" s="10"/>
      <c r="AX75" s="10">
        <f>IF('Batt IN'!$E$11="Non-Taxable",Q75,0)</f>
        <v>11168.08</v>
      </c>
      <c r="AY75" s="10">
        <f>IF('Batt IN'!$E$11="Non-Taxable",'Batt IN'!$E$28/1000*'Batt IN'!$G$13*('Batt IN'!$E$13/12)*'Batt IN'!$E$12,0)</f>
        <v>244.42220833333334</v>
      </c>
      <c r="AZ75" s="10">
        <f>IF('Batt IN'!$E$11="Non-Taxable",$S75*'Batt IN'!$G$15*'Batt IN'!$E$28*'Batt IN'!$E$14/1000,0)</f>
        <v>0</v>
      </c>
      <c r="BA75" s="10">
        <f>IF('Batt IN'!$E$11="Non-Taxable",'Batt IN'!$E$21*'Batt IN'!$G$21/12,0)</f>
        <v>437.5</v>
      </c>
      <c r="BB75" s="10">
        <f>IF('Batt IN'!$E$11="Non-Taxable",'Batt IN'!$E$22*'Batt IN'!$G$22/12,0)</f>
        <v>1145.8333333333335</v>
      </c>
      <c r="BC75" s="10">
        <f>IF('Batt IN'!$E$11="Taxable",Q75,0)</f>
        <v>0</v>
      </c>
      <c r="BD75" s="10">
        <f>IF('Batt IN'!$E$11="Taxable",'Batt IN'!$E$28/1000*'Batt IN'!$G$13*('Batt IN'!$E$13/12)*'Batt IN'!$E$12,0)</f>
        <v>0</v>
      </c>
      <c r="BE75" s="10">
        <f>IF('Batt IN'!$E$11="Taxable",$S75*'Batt IN'!$G$15*'Batt IN'!$E$28*'Batt IN'!$E$14/1000,0)</f>
        <v>0</v>
      </c>
      <c r="BF75" s="10">
        <f>IF('Batt IN'!$E$11="Taxable",'Batt IN'!$E$21*'Batt IN'!$G$21/12,0)</f>
        <v>0</v>
      </c>
      <c r="BG75" s="10">
        <f>IF('Batt IN'!$E$11="Taxable",'Batt IN'!$E$22*'Batt IN'!$G$22/12,0)</f>
        <v>0</v>
      </c>
      <c r="BK75" s="10">
        <f>IF('Batt IN'!$N$18="Yes",-BattLoan!H103,-BattLoan!L103)</f>
        <v>0</v>
      </c>
      <c r="BL75" s="10">
        <f>IF('Batt IN'!$N$18="Yes",-BattLoan!F103,0)</f>
        <v>0</v>
      </c>
      <c r="BM75" s="10">
        <f>IF(AND('Batt IN'!$D$44="YES",$C75&lt;='Batt IN'!$E$44*12),0,-'Batt IN'!$E$28*'Batt IN'!$E$42/12)</f>
        <v>-83.333333333333329</v>
      </c>
      <c r="BN75" s="10">
        <f>IF(AND('Batt IN'!$D$46="YES",$C75&lt;='Batt IN'!$E$46*12),0,-'Batt IN'!$E$28*'Batt IN'!$E$45/12)</f>
        <v>-166.66666666666666</v>
      </c>
      <c r="BO75" s="2">
        <f>IF(AND('Batt IN'!$D$41="YES",BattCalcs!C75=ROUNDUP('Batt IN'!$H$41*12,)),-'Batt IN'!$E$41*'Batt IN'!$E$28,0)</f>
        <v>0</v>
      </c>
      <c r="BP75" s="2">
        <f>IF(AND('Batt IN'!$D$53="Yes",$AL$1&gt;=1),0,IF($C75='Batt IN'!$H$54*12,-'Batt IN'!$F$54,0))</f>
        <v>0</v>
      </c>
      <c r="BQ75" s="2">
        <f>IF(AND('Batt IN'!$D$53="Yes",$AL$1&gt;=2),0,IF($C75='Batt IN'!$H$55*12,-'Batt IN'!$F$55,0))</f>
        <v>0</v>
      </c>
      <c r="BR75" s="2">
        <f>IF(AND('Batt IN'!$D$53="Yes",$AL$1&gt;=3),0,IF($C75='Batt IN'!$H$56*12,-'Batt IN'!$F$56,0))</f>
        <v>0</v>
      </c>
      <c r="BS75" s="2">
        <f>IF(AND('Batt IN'!$D$53="Yes",$AL$1&gt;=4),0,IF($C75='Batt IN'!$H$57*12,-'Batt IN'!$F$57,0))</f>
        <v>0</v>
      </c>
      <c r="BT75" s="2">
        <f>IF(AND('Batt IN'!$D$53="Yes",$AL$1&gt;=5),0,IF($C75='Batt IN'!$H$58*12,-'Batt IN'!$F$58,0))</f>
        <v>0</v>
      </c>
      <c r="BU75" s="2">
        <f>-AH75*PVCalcs!F75</f>
        <v>-346.57900707845971</v>
      </c>
      <c r="BV75" s="2">
        <f>-'Batt IN'!$E$47</f>
        <v>-150</v>
      </c>
      <c r="BW75" s="2">
        <f>-'Batt IN'!$E$49</f>
        <v>-2250</v>
      </c>
      <c r="BX75" s="2">
        <f>IF('Batt IN'!$H$50="No",-(BC75*'Batt IN'!$E$50),-(BC75+BE75)*'Batt IN'!$E$50)</f>
        <v>0</v>
      </c>
      <c r="BY75" s="2">
        <f>IF(C75='Batt IN'!$H$43*12,-'Batt IN'!$E$43,0)</f>
        <v>0</v>
      </c>
      <c r="BZ75" s="38"/>
      <c r="CA75" s="10">
        <f t="shared" si="17"/>
        <v>13422.323408333334</v>
      </c>
      <c r="CB75" s="2">
        <f t="shared" si="21"/>
        <v>-2996.5790070784597</v>
      </c>
      <c r="CC75" s="45">
        <f t="shared" si="22"/>
        <v>10425.744401254873</v>
      </c>
      <c r="CD75" s="43"/>
      <c r="CE75" s="2">
        <f t="shared" si="18"/>
        <v>0</v>
      </c>
      <c r="CF75" s="2">
        <f t="shared" si="23"/>
        <v>-2996.5790070784597</v>
      </c>
      <c r="CG75" s="2"/>
      <c r="CH75" s="2">
        <f t="shared" si="24"/>
        <v>-2996.5790070784597</v>
      </c>
      <c r="CI75" s="45">
        <f>-CH75*'Batt IN'!$E$7</f>
        <v>629.28159148647649</v>
      </c>
      <c r="CJ75" s="48"/>
      <c r="CK75" s="45">
        <f>IF('Batt IN'!$F$4="PV Only",0,IF(C75&gt;'Batt IN'!$H$43*12,0,CC75+CI75))</f>
        <v>0</v>
      </c>
      <c r="CM75" s="10">
        <f t="shared" si="25"/>
        <v>0</v>
      </c>
      <c r="CN75" s="2">
        <f>CK75/(1+('Batt IN'!$G$8))^(C75)</f>
        <v>0</v>
      </c>
      <c r="CO75" s="2">
        <f>IF(C75&lt;='Batt IN'!$O$30*12,CN75+CO74,NA())</f>
        <v>0</v>
      </c>
      <c r="CQ75" s="2">
        <f>CK75/((1+('Batt IN'!$E$8/12))^BattCalcs!C75)</f>
        <v>0</v>
      </c>
      <c r="CS75" s="10">
        <f t="shared" si="26"/>
        <v>-2996.5790070784597</v>
      </c>
      <c r="CT75" s="10">
        <f t="shared" si="27"/>
        <v>0</v>
      </c>
      <c r="CU75" s="10">
        <f t="shared" si="28"/>
        <v>-2996.5790070784597</v>
      </c>
      <c r="CV75" s="10">
        <f t="shared" si="29"/>
        <v>-2996.5790070784597</v>
      </c>
      <c r="CW75" s="2">
        <f t="shared" si="30"/>
        <v>0</v>
      </c>
      <c r="CX75" s="2">
        <f>-(SUM(CV75:CW75)*'PV IN'!$E$8)</f>
        <v>629.28159148647649</v>
      </c>
      <c r="CY75" s="2">
        <f t="shared" si="31"/>
        <v>-2367.2974155919833</v>
      </c>
      <c r="CZ75" s="2">
        <f>IF(C75&lt;='Batt IN'!$H$43*12,CY75/(1+('PV IN'!$G$9))^(C75),0)</f>
        <v>-1773.7107757377908</v>
      </c>
      <c r="DA75" s="33">
        <f>IF(C75&lt;='Batt IN'!$H$43*12,AE75,0)</f>
        <v>30366.783333333333</v>
      </c>
    </row>
    <row r="76" spans="1:105" x14ac:dyDescent="0.25">
      <c r="A76">
        <f>IF(C76&lt;='Batt IN'!$H$43*12,C76,"")</f>
        <v>72</v>
      </c>
      <c r="B76">
        <v>6</v>
      </c>
      <c r="C76">
        <v>72</v>
      </c>
      <c r="D76" s="21">
        <v>730</v>
      </c>
      <c r="E76" s="1">
        <f>1-'Batt IN'!$E$31</f>
        <v>2.0000000000000018E-2</v>
      </c>
      <c r="F76" s="12">
        <f>('Batt IN'!$E$33*365)/8760</f>
        <v>0</v>
      </c>
      <c r="G76" s="22">
        <f>'Batt IN'!$E$32/8760</f>
        <v>5.7077625570776253E-3</v>
      </c>
      <c r="H76" s="22">
        <f>'Batt IN'!$E$13/8760</f>
        <v>5.5936073059360729E-3</v>
      </c>
      <c r="I76" s="23">
        <f>IF(C76&lt;='Batt IN'!$G$14*12,'Batt IN'!$E$15/8760*'Batt IN'!$G$15,0)</f>
        <v>0</v>
      </c>
      <c r="J76" s="12">
        <f>Z76/'Batt IN'!$E$27/730</f>
        <v>2.4999999999999996E-3</v>
      </c>
      <c r="K76" s="23">
        <f>AA76/'Batt IN'!$E$27/730</f>
        <v>1.6027397260273972E-3</v>
      </c>
      <c r="L76" s="23">
        <f>AB76/'Batt IN'!$E$27/730</f>
        <v>2.0547945205479451E-4</v>
      </c>
      <c r="M76" s="23">
        <f>AC76/'Batt IN'!$E$27/730</f>
        <v>4.7945205479452057E-3</v>
      </c>
      <c r="N76" s="23">
        <f>AD76/'Batt IN'!$E$27/730</f>
        <v>3.4246575342465752E-3</v>
      </c>
      <c r="O76" s="12">
        <f t="shared" si="19"/>
        <v>4.3828767123287697E-2</v>
      </c>
      <c r="P76" s="21">
        <f t="shared" si="20"/>
        <v>698.005</v>
      </c>
      <c r="Q76" s="2">
        <f>IF('Batt IN'!$E$27*'Batt IN'!$E$24&lt;='Batt IN'!$E$28,(('Batt IN'!$E$23*'Batt IN'!$E$27*'Batt IN'!$E$24)/1000)*P76,(('Batt IN'!$E$23*'Batt IN'!$E$28*'Batt IN'!$E$24)/1000)*P76)</f>
        <v>11168.08</v>
      </c>
      <c r="R76" s="2"/>
      <c r="S76" s="77">
        <f>IF(C76&lt;='Batt IN'!$G$14*12,'Batt IN'!$E$15/12,0)</f>
        <v>0</v>
      </c>
      <c r="T76" s="77"/>
      <c r="U76" s="80">
        <f>'Batt IN'!$E$28*('Batt IN'!$G$24/24)*730*(1-O76)</f>
        <v>81433.916666666657</v>
      </c>
      <c r="V76" s="78">
        <f>U76*'Batt IN'!$F$30</f>
        <v>16286.783333333333</v>
      </c>
      <c r="W76" s="78">
        <f>'Batt IN'!$E$28*'Batt IN'!$G$32*('Batt IN'!$E$32/12)*(1+'Batt IN'!$F$30)</f>
        <v>1750.0000000000002</v>
      </c>
      <c r="X76" s="78">
        <f>'Batt IN'!$E$28*'Batt IN'!$G$13*('Batt IN'!$E$13/12)*(1+'Batt IN'!$F$30)</f>
        <v>3184.9999999999995</v>
      </c>
      <c r="Y76" s="33">
        <f>S76*'Batt IN'!$G$15*'Batt IN'!$E$28*(1+'Batt IN'!$F$30)</f>
        <v>0</v>
      </c>
      <c r="Z76" s="33">
        <f>'Batt IN'!$G$16*365/12*(1+'Batt IN'!$F$30)</f>
        <v>1824.9999999999998</v>
      </c>
      <c r="AA76" s="33">
        <f>'Batt IN'!$G$17*'Batt IN'!$E$18*'Batt IN'!$G$18/12*(1+'Batt IN'!$F$30)</f>
        <v>1170</v>
      </c>
      <c r="AB76" s="33">
        <f>'Batt IN'!$G$19*'Batt IN'!$E$20*'Batt IN'!$G$20/12*(1+'Batt IN'!$F$30)</f>
        <v>150</v>
      </c>
      <c r="AC76" s="33">
        <f>'Batt IN'!$G$21*(1+'Batt IN'!$F$30)/12</f>
        <v>3500</v>
      </c>
      <c r="AD76" s="33">
        <f>'Batt IN'!$G$22*(1+'Batt IN'!$F$30)/12</f>
        <v>2500</v>
      </c>
      <c r="AE76" s="33">
        <f t="shared" si="32"/>
        <v>30366.783333333333</v>
      </c>
      <c r="AF76" s="33">
        <f>IF('PV IN'!$F$4="Battery Only",0,AE76*'Batt IN'!$E$29)</f>
        <v>25811.765833333331</v>
      </c>
      <c r="AG76" s="33">
        <f>PVCalcs!L76</f>
        <v>25811.765833333331</v>
      </c>
      <c r="AH76" s="33">
        <f t="shared" si="33"/>
        <v>4555.0175000000017</v>
      </c>
      <c r="AI76" s="33"/>
      <c r="AJ76" s="2">
        <f>IF(AND('Batt IN'!$D$53="Yes",$AL$1&gt;=1),IF($C76='Batt IN'!$H$54*12,-'Batt IN'!$F$54,0),0)</f>
        <v>0</v>
      </c>
      <c r="AK76" s="2">
        <f>IF(AND('Batt IN'!$D$53="Yes",$AL$1&gt;=2),IF($C76='Batt IN'!$H$55*12,-'Batt IN'!$F$55,0),0)</f>
        <v>0</v>
      </c>
      <c r="AL76" s="2">
        <f>IF(AND('Batt IN'!$D$53="Yes",$AL$1&gt;=3),IF($C76='Batt IN'!$H$56*12,-'Batt IN'!$F$56,0),0)</f>
        <v>0</v>
      </c>
      <c r="AM76" s="2">
        <f>IF(AND('Batt IN'!$D$53="Yes",$AL$1&gt;=4),IF($C76='Batt IN'!$H$57*12,-'Batt IN'!$F$57,0),0)</f>
        <v>0</v>
      </c>
      <c r="AN76" s="2">
        <f>IF(AND('Batt IN'!$D$53="Yes",$AL$1&gt;=5),IF($C76='Batt IN'!$H$58*12,-'Batt IN'!$F$58,0),0)</f>
        <v>0</v>
      </c>
      <c r="AO76" s="10">
        <f>IF(AND('Batt IN'!$D$44="YES",$C76&lt;='Batt IN'!$E$44*12),-'Batt IN'!$E$28*'Batt IN'!$E$42/12,0)</f>
        <v>0</v>
      </c>
      <c r="AP76" s="10">
        <f>IF(AND('Batt IN'!$D$46="YES",$C76&lt;='Batt IN'!$E$46*12),-'Batt IN'!$E$28*'Batt IN'!$E$45/12,0)</f>
        <v>0</v>
      </c>
      <c r="AR76" s="10">
        <f>BattLoan!M103</f>
        <v>0</v>
      </c>
      <c r="AS76" s="10">
        <f>'Batt IN'!$G$16*365/12*'Batt IN'!$E$16</f>
        <v>76.041666666666671</v>
      </c>
      <c r="AT76" s="10">
        <f>IF(AND('Batt IN'!$E$18&gt;0,'Batt IN'!$G$18&gt;0),'Batt IN'!$E$17*'Batt IN'!$G$17,0)</f>
        <v>119.44619999999999</v>
      </c>
      <c r="AU76" s="10">
        <f>IF(AND('Batt IN'!$E$20&gt;0,'Batt IN'!$G$20&gt;0),'Batt IN'!$E$19*'Batt IN'!$G$19,0)</f>
        <v>231</v>
      </c>
      <c r="AX76" s="10">
        <f>IF('Batt IN'!$E$11="Non-Taxable",Q76,0)</f>
        <v>11168.08</v>
      </c>
      <c r="AY76" s="10">
        <f>IF('Batt IN'!$E$11="Non-Taxable",'Batt IN'!$E$28/1000*'Batt IN'!$G$13*('Batt IN'!$E$13/12)*'Batt IN'!$E$12,0)</f>
        <v>244.42220833333334</v>
      </c>
      <c r="AZ76" s="10">
        <f>IF('Batt IN'!$E$11="Non-Taxable",$S76*'Batt IN'!$G$15*'Batt IN'!$E$28*'Batt IN'!$E$14/1000,0)</f>
        <v>0</v>
      </c>
      <c r="BA76" s="10">
        <f>IF('Batt IN'!$E$11="Non-Taxable",'Batt IN'!$E$21*'Batt IN'!$G$21/12,0)</f>
        <v>437.5</v>
      </c>
      <c r="BB76" s="10">
        <f>IF('Batt IN'!$E$11="Non-Taxable",'Batt IN'!$E$22*'Batt IN'!$G$22/12,0)</f>
        <v>1145.8333333333335</v>
      </c>
      <c r="BC76" s="10">
        <f>IF('Batt IN'!$E$11="Taxable",Q76,0)</f>
        <v>0</v>
      </c>
      <c r="BD76" s="10">
        <f>IF('Batt IN'!$E$11="Taxable",'Batt IN'!$E$28/1000*'Batt IN'!$G$13*('Batt IN'!$E$13/12)*'Batt IN'!$E$12,0)</f>
        <v>0</v>
      </c>
      <c r="BE76" s="10">
        <f>IF('Batt IN'!$E$11="Taxable",$S76*'Batt IN'!$G$15*'Batt IN'!$E$28*'Batt IN'!$E$14/1000,0)</f>
        <v>0</v>
      </c>
      <c r="BF76" s="10">
        <f>IF('Batt IN'!$E$11="Taxable",'Batt IN'!$E$21*'Batt IN'!$G$21/12,0)</f>
        <v>0</v>
      </c>
      <c r="BG76" s="10">
        <f>IF('Batt IN'!$E$11="Taxable",'Batt IN'!$E$22*'Batt IN'!$G$22/12,0)</f>
        <v>0</v>
      </c>
      <c r="BK76" s="10">
        <f>IF('Batt IN'!$N$18="Yes",-BattLoan!H104,-BattLoan!L104)</f>
        <v>0</v>
      </c>
      <c r="BL76" s="10">
        <f>IF('Batt IN'!$N$18="Yes",-BattLoan!F104,0)</f>
        <v>0</v>
      </c>
      <c r="BM76" s="10">
        <f>IF(AND('Batt IN'!$D$44="YES",$C76&lt;='Batt IN'!$E$44*12),0,-'Batt IN'!$E$28*'Batt IN'!$E$42/12)</f>
        <v>-83.333333333333329</v>
      </c>
      <c r="BN76" s="10">
        <f>IF(AND('Batt IN'!$D$46="YES",$C76&lt;='Batt IN'!$E$46*12),0,-'Batt IN'!$E$28*'Batt IN'!$E$45/12)</f>
        <v>-166.66666666666666</v>
      </c>
      <c r="BO76" s="2">
        <f>IF(AND('Batt IN'!$D$41="YES",BattCalcs!C76=ROUNDUP('Batt IN'!$H$41*12,)),-'Batt IN'!$E$41*'Batt IN'!$E$28,0)</f>
        <v>0</v>
      </c>
      <c r="BP76" s="2">
        <f>IF(AND('Batt IN'!$D$53="Yes",$AL$1&gt;=1),0,IF($C76='Batt IN'!$H$54*12,-'Batt IN'!$F$54,0))</f>
        <v>0</v>
      </c>
      <c r="BQ76" s="2">
        <f>IF(AND('Batt IN'!$D$53="Yes",$AL$1&gt;=2),0,IF($C76='Batt IN'!$H$55*12,-'Batt IN'!$F$55,0))</f>
        <v>0</v>
      </c>
      <c r="BR76" s="2">
        <f>IF(AND('Batt IN'!$D$53="Yes",$AL$1&gt;=3),0,IF($C76='Batt IN'!$H$56*12,-'Batt IN'!$F$56,0))</f>
        <v>0</v>
      </c>
      <c r="BS76" s="2">
        <f>IF(AND('Batt IN'!$D$53="Yes",$AL$1&gt;=4),0,IF($C76='Batt IN'!$H$57*12,-'Batt IN'!$F$57,0))</f>
        <v>0</v>
      </c>
      <c r="BT76" s="2">
        <f>IF(AND('Batt IN'!$D$53="Yes",$AL$1&gt;=5),0,IF($C76='Batt IN'!$H$58*12,-'Batt IN'!$F$58,0))</f>
        <v>0</v>
      </c>
      <c r="BU76" s="2">
        <f>-AH76*PVCalcs!F76</f>
        <v>-346.57900707845971</v>
      </c>
      <c r="BV76" s="2">
        <f>-'Batt IN'!$E$47</f>
        <v>-150</v>
      </c>
      <c r="BW76" s="2">
        <f>-'Batt IN'!$E$49</f>
        <v>-2250</v>
      </c>
      <c r="BX76" s="2">
        <f>IF('Batt IN'!$H$50="No",-(BC76*'Batt IN'!$E$50),-(BC76+BE76)*'Batt IN'!$E$50)</f>
        <v>0</v>
      </c>
      <c r="BY76" s="2">
        <f>IF(C76='Batt IN'!$H$43*12,-'Batt IN'!$E$43,0)</f>
        <v>0</v>
      </c>
      <c r="BZ76" s="38"/>
      <c r="CA76" s="10">
        <f t="shared" si="17"/>
        <v>13422.323408333334</v>
      </c>
      <c r="CB76" s="2">
        <f t="shared" si="21"/>
        <v>-2996.5790070784597</v>
      </c>
      <c r="CC76" s="45">
        <f t="shared" si="22"/>
        <v>10425.744401254873</v>
      </c>
      <c r="CD76" s="43"/>
      <c r="CE76" s="2">
        <f t="shared" si="18"/>
        <v>0</v>
      </c>
      <c r="CF76" s="2">
        <f t="shared" si="23"/>
        <v>-2996.5790070784597</v>
      </c>
      <c r="CG76" s="2">
        <f>-Depr.!F25</f>
        <v>0</v>
      </c>
      <c r="CH76" s="2">
        <f t="shared" si="24"/>
        <v>-2996.5790070784597</v>
      </c>
      <c r="CI76" s="45">
        <f>-CH76*'Batt IN'!$E$7</f>
        <v>629.28159148647649</v>
      </c>
      <c r="CJ76" s="48"/>
      <c r="CK76" s="45">
        <f>IF('Batt IN'!$F$4="PV Only",0,IF(C76&gt;'Batt IN'!$H$43*12,0,CC76+CI76))</f>
        <v>0</v>
      </c>
      <c r="CM76" s="10">
        <f t="shared" si="25"/>
        <v>0</v>
      </c>
      <c r="CN76" s="2">
        <f>CK76/(1+('Batt IN'!$G$8))^(C76)</f>
        <v>0</v>
      </c>
      <c r="CO76" s="2">
        <f>IF(C76&lt;='Batt IN'!$O$30*12,CN76+CO75,NA())</f>
        <v>0</v>
      </c>
      <c r="CQ76" s="2">
        <f>CK76/((1+('Batt IN'!$E$8/12))^BattCalcs!C76)</f>
        <v>0</v>
      </c>
      <c r="CS76" s="10">
        <f t="shared" si="26"/>
        <v>-2996.5790070784597</v>
      </c>
      <c r="CT76" s="10">
        <f t="shared" si="27"/>
        <v>0</v>
      </c>
      <c r="CU76" s="10">
        <f t="shared" si="28"/>
        <v>-2996.5790070784597</v>
      </c>
      <c r="CV76" s="10">
        <f t="shared" si="29"/>
        <v>-2996.5790070784597</v>
      </c>
      <c r="CW76" s="2">
        <f t="shared" si="30"/>
        <v>0</v>
      </c>
      <c r="CX76" s="2">
        <f>-(SUM(CV76:CW76)*'PV IN'!$E$8)</f>
        <v>629.28159148647649</v>
      </c>
      <c r="CY76" s="2">
        <f t="shared" si="31"/>
        <v>-2367.2974155919833</v>
      </c>
      <c r="CZ76" s="2">
        <f>IF(C76&lt;='Batt IN'!$H$43*12,CY76/(1+('PV IN'!$G$9))^(C76),0)</f>
        <v>-1766.5137799328236</v>
      </c>
      <c r="DA76" s="33">
        <f>IF(C76&lt;='Batt IN'!$H$43*12,AE76,0)</f>
        <v>30366.783333333333</v>
      </c>
    </row>
    <row r="77" spans="1:105" x14ac:dyDescent="0.25">
      <c r="A77">
        <f>IF(C77&lt;='Batt IN'!$H$43*12,C77,"")</f>
        <v>73</v>
      </c>
      <c r="C77">
        <v>73</v>
      </c>
      <c r="D77" s="21">
        <v>730</v>
      </c>
      <c r="E77" s="1">
        <f>1-'Batt IN'!$E$31</f>
        <v>2.0000000000000018E-2</v>
      </c>
      <c r="F77" s="12">
        <f>('Batt IN'!$E$33*365)/8760</f>
        <v>0</v>
      </c>
      <c r="G77" s="22">
        <f>'Batt IN'!$E$32/8760</f>
        <v>5.7077625570776253E-3</v>
      </c>
      <c r="H77" s="22">
        <f>'Batt IN'!$E$13/8760</f>
        <v>5.5936073059360729E-3</v>
      </c>
      <c r="I77" s="23">
        <f>IF(C77&lt;='Batt IN'!$G$14*12,'Batt IN'!$E$15/8760*'Batt IN'!$G$15,0)</f>
        <v>0</v>
      </c>
      <c r="J77" s="12">
        <f>Z77/'Batt IN'!$E$27/730</f>
        <v>2.4999999999999996E-3</v>
      </c>
      <c r="K77" s="23">
        <f>AA77/'Batt IN'!$E$27/730</f>
        <v>1.6027397260273972E-3</v>
      </c>
      <c r="L77" s="23">
        <f>AB77/'Batt IN'!$E$27/730</f>
        <v>2.0547945205479451E-4</v>
      </c>
      <c r="M77" s="23">
        <f>AC77/'Batt IN'!$E$27/730</f>
        <v>4.7945205479452057E-3</v>
      </c>
      <c r="N77" s="23">
        <f>AD77/'Batt IN'!$E$27/730</f>
        <v>3.4246575342465752E-3</v>
      </c>
      <c r="O77" s="12">
        <f t="shared" si="19"/>
        <v>4.3828767123287697E-2</v>
      </c>
      <c r="P77" s="21">
        <f t="shared" si="20"/>
        <v>698.005</v>
      </c>
      <c r="Q77" s="2">
        <f>IF('Batt IN'!$E$27*'Batt IN'!$E$24&lt;='Batt IN'!$E$28,(('Batt IN'!$E$23*'Batt IN'!$E$27*'Batt IN'!$E$24)/1000)*P77,(('Batt IN'!$E$23*'Batt IN'!$E$28*'Batt IN'!$E$24)/1000)*P77)</f>
        <v>11168.08</v>
      </c>
      <c r="R77" s="2"/>
      <c r="S77" s="77">
        <f>IF(C77&lt;='Batt IN'!$G$14*12,'Batt IN'!$E$15/12,0)</f>
        <v>0</v>
      </c>
      <c r="T77" s="77"/>
      <c r="U77" s="80">
        <f>'Batt IN'!$E$28*('Batt IN'!$G$24/24)*730*(1-O77)</f>
        <v>81433.916666666657</v>
      </c>
      <c r="V77" s="78">
        <f>U77*'Batt IN'!$F$30</f>
        <v>16286.783333333333</v>
      </c>
      <c r="W77" s="78">
        <f>'Batt IN'!$E$28*'Batt IN'!$G$32*('Batt IN'!$E$32/12)*(1+'Batt IN'!$F$30)</f>
        <v>1750.0000000000002</v>
      </c>
      <c r="X77" s="78">
        <f>'Batt IN'!$E$28*'Batt IN'!$G$13*('Batt IN'!$E$13/12)*(1+'Batt IN'!$F$30)</f>
        <v>3184.9999999999995</v>
      </c>
      <c r="Y77" s="33">
        <f>S77*'Batt IN'!$G$15*'Batt IN'!$E$28*(1+'Batt IN'!$F$30)</f>
        <v>0</v>
      </c>
      <c r="Z77" s="33">
        <f>'Batt IN'!$G$16*365/12*(1+'Batt IN'!$F$30)</f>
        <v>1824.9999999999998</v>
      </c>
      <c r="AA77" s="33">
        <f>'Batt IN'!$G$17*'Batt IN'!$E$18*'Batt IN'!$G$18/12*(1+'Batt IN'!$F$30)</f>
        <v>1170</v>
      </c>
      <c r="AB77" s="33">
        <f>'Batt IN'!$G$19*'Batt IN'!$E$20*'Batt IN'!$G$20/12*(1+'Batt IN'!$F$30)</f>
        <v>150</v>
      </c>
      <c r="AC77" s="33">
        <f>'Batt IN'!$G$21*(1+'Batt IN'!$F$30)/12</f>
        <v>3500</v>
      </c>
      <c r="AD77" s="33">
        <f>'Batt IN'!$G$22*(1+'Batt IN'!$F$30)/12</f>
        <v>2500</v>
      </c>
      <c r="AE77" s="33">
        <f t="shared" si="32"/>
        <v>30366.783333333333</v>
      </c>
      <c r="AF77" s="33">
        <f>IF('PV IN'!$F$4="Battery Only",0,AE77*'Batt IN'!$E$29)</f>
        <v>25811.765833333331</v>
      </c>
      <c r="AG77" s="33">
        <f>PVCalcs!L77</f>
        <v>25811.765833333331</v>
      </c>
      <c r="AH77" s="33">
        <f t="shared" si="33"/>
        <v>4555.0175000000017</v>
      </c>
      <c r="AI77" s="33"/>
      <c r="AJ77" s="2">
        <f>IF(AND('Batt IN'!$D$53="Yes",$AL$1&gt;=1),IF($C77='Batt IN'!$H$54*12,-'Batt IN'!$F$54,0),0)</f>
        <v>0</v>
      </c>
      <c r="AK77" s="2">
        <f>IF(AND('Batt IN'!$D$53="Yes",$AL$1&gt;=2),IF($C77='Batt IN'!$H$55*12,-'Batt IN'!$F$55,0),0)</f>
        <v>0</v>
      </c>
      <c r="AL77" s="2">
        <f>IF(AND('Batt IN'!$D$53="Yes",$AL$1&gt;=3),IF($C77='Batt IN'!$H$56*12,-'Batt IN'!$F$56,0),0)</f>
        <v>0</v>
      </c>
      <c r="AM77" s="2">
        <f>IF(AND('Batt IN'!$D$53="Yes",$AL$1&gt;=4),IF($C77='Batt IN'!$H$57*12,-'Batt IN'!$F$57,0),0)</f>
        <v>0</v>
      </c>
      <c r="AN77" s="2">
        <f>IF(AND('Batt IN'!$D$53="Yes",$AL$1&gt;=5),IF($C77='Batt IN'!$H$58*12,-'Batt IN'!$F$58,0),0)</f>
        <v>0</v>
      </c>
      <c r="AO77" s="10">
        <f>IF(AND('Batt IN'!$D$44="YES",$C77&lt;='Batt IN'!$E$44*12),-'Batt IN'!$E$28*'Batt IN'!$E$42/12,0)</f>
        <v>0</v>
      </c>
      <c r="AP77" s="10">
        <f>IF(AND('Batt IN'!$D$46="YES",$C77&lt;='Batt IN'!$E$46*12),-'Batt IN'!$E$28*'Batt IN'!$E$45/12,0)</f>
        <v>0</v>
      </c>
      <c r="AR77" s="10">
        <f>BattLoan!M104</f>
        <v>0</v>
      </c>
      <c r="AS77" s="10">
        <f>'Batt IN'!$G$16*365/12*'Batt IN'!$E$16</f>
        <v>76.041666666666671</v>
      </c>
      <c r="AT77" s="10">
        <f>IF(AND('Batt IN'!$E$18&gt;0,'Batt IN'!$G$18&gt;0),'Batt IN'!$E$17*'Batt IN'!$G$17,0)</f>
        <v>119.44619999999999</v>
      </c>
      <c r="AU77" s="10">
        <f>IF(AND('Batt IN'!$E$20&gt;0,'Batt IN'!$G$20&gt;0),'Batt IN'!$E$19*'Batt IN'!$G$19,0)</f>
        <v>231</v>
      </c>
      <c r="AV77" s="10"/>
      <c r="AW77" s="10"/>
      <c r="AX77" s="10">
        <f>IF('Batt IN'!$E$11="Non-Taxable",Q77,0)</f>
        <v>11168.08</v>
      </c>
      <c r="AY77" s="10">
        <f>IF('Batt IN'!$E$11="Non-Taxable",'Batt IN'!$E$28/1000*'Batt IN'!$G$13*('Batt IN'!$E$13/12)*'Batt IN'!$E$12,0)</f>
        <v>244.42220833333334</v>
      </c>
      <c r="AZ77" s="10">
        <f>IF('Batt IN'!$E$11="Non-Taxable",$S77*'Batt IN'!$G$15*'Batt IN'!$E$28*'Batt IN'!$E$14/1000,0)</f>
        <v>0</v>
      </c>
      <c r="BA77" s="10">
        <f>IF('Batt IN'!$E$11="Non-Taxable",'Batt IN'!$E$21*'Batt IN'!$G$21/12,0)</f>
        <v>437.5</v>
      </c>
      <c r="BB77" s="10">
        <f>IF('Batt IN'!$E$11="Non-Taxable",'Batt IN'!$E$22*'Batt IN'!$G$22/12,0)</f>
        <v>1145.8333333333335</v>
      </c>
      <c r="BC77" s="10">
        <f>IF('Batt IN'!$E$11="Taxable",Q77,0)</f>
        <v>0</v>
      </c>
      <c r="BD77" s="10">
        <f>IF('Batt IN'!$E$11="Taxable",'Batt IN'!$E$28/1000*'Batt IN'!$G$13*('Batt IN'!$E$13/12)*'Batt IN'!$E$12,0)</f>
        <v>0</v>
      </c>
      <c r="BE77" s="10">
        <f>IF('Batt IN'!$E$11="Taxable",$S77*'Batt IN'!$G$15*'Batt IN'!$E$28*'Batt IN'!$E$14/1000,0)</f>
        <v>0</v>
      </c>
      <c r="BF77" s="10">
        <f>IF('Batt IN'!$E$11="Taxable",'Batt IN'!$E$21*'Batt IN'!$G$21/12,0)</f>
        <v>0</v>
      </c>
      <c r="BG77" s="10">
        <f>IF('Batt IN'!$E$11="Taxable",'Batt IN'!$E$22*'Batt IN'!$G$22/12,0)</f>
        <v>0</v>
      </c>
      <c r="BK77" s="10">
        <f>IF('Batt IN'!$N$18="Yes",-BattLoan!H105,-BattLoan!L105)</f>
        <v>0</v>
      </c>
      <c r="BL77" s="10">
        <f>IF('Batt IN'!$N$18="Yes",-BattLoan!F105,0)</f>
        <v>0</v>
      </c>
      <c r="BM77" s="10">
        <f>IF(AND('Batt IN'!$D$44="YES",$C77&lt;='Batt IN'!$E$44*12),0,-'Batt IN'!$E$28*'Batt IN'!$E$42/12)</f>
        <v>-83.333333333333329</v>
      </c>
      <c r="BN77" s="10">
        <f>IF(AND('Batt IN'!$D$46="YES",$C77&lt;='Batt IN'!$E$46*12),0,-'Batt IN'!$E$28*'Batt IN'!$E$45/12)</f>
        <v>-166.66666666666666</v>
      </c>
      <c r="BO77" s="2">
        <f>IF(AND('Batt IN'!$D$41="YES",BattCalcs!C77=ROUNDUP('Batt IN'!$H$41*12,)),-'Batt IN'!$E$41*'Batt IN'!$E$28,0)</f>
        <v>0</v>
      </c>
      <c r="BP77" s="2">
        <f>IF(AND('Batt IN'!$D$53="Yes",$AL$1&gt;=1),0,IF($C77='Batt IN'!$H$54*12,-'Batt IN'!$F$54,0))</f>
        <v>0</v>
      </c>
      <c r="BQ77" s="2">
        <f>IF(AND('Batt IN'!$D$53="Yes",$AL$1&gt;=2),0,IF($C77='Batt IN'!$H$55*12,-'Batt IN'!$F$55,0))</f>
        <v>0</v>
      </c>
      <c r="BR77" s="2">
        <f>IF(AND('Batt IN'!$D$53="Yes",$AL$1&gt;=3),0,IF($C77='Batt IN'!$H$56*12,-'Batt IN'!$F$56,0))</f>
        <v>0</v>
      </c>
      <c r="BS77" s="2">
        <f>IF(AND('Batt IN'!$D$53="Yes",$AL$1&gt;=4),0,IF($C77='Batt IN'!$H$57*12,-'Batt IN'!$F$57,0))</f>
        <v>0</v>
      </c>
      <c r="BT77" s="2">
        <f>IF(AND('Batt IN'!$D$53="Yes",$AL$1&gt;=5),0,IF($C77='Batt IN'!$H$58*12,-'Batt IN'!$F$58,0))</f>
        <v>0</v>
      </c>
      <c r="BU77" s="2">
        <f>-AH77*PVCalcs!F77</f>
        <v>-348.62220237010365</v>
      </c>
      <c r="BV77" s="2">
        <f>-'Batt IN'!$E$47</f>
        <v>-150</v>
      </c>
      <c r="BW77" s="2">
        <f>-'Batt IN'!$E$49</f>
        <v>-2250</v>
      </c>
      <c r="BX77" s="2">
        <f>IF('Batt IN'!$H$50="No",-(BC77*'Batt IN'!$E$50),-(BC77+BE77)*'Batt IN'!$E$50)</f>
        <v>0</v>
      </c>
      <c r="BY77" s="2">
        <f>IF(C77='Batt IN'!$H$43*12,-'Batt IN'!$E$43,0)</f>
        <v>0</v>
      </c>
      <c r="BZ77" s="38"/>
      <c r="CA77" s="10">
        <f t="shared" si="17"/>
        <v>13422.323408333334</v>
      </c>
      <c r="CB77" s="2">
        <f t="shared" si="21"/>
        <v>-2998.6222023701039</v>
      </c>
      <c r="CC77" s="45">
        <f t="shared" si="22"/>
        <v>10423.701205963229</v>
      </c>
      <c r="CD77" s="43"/>
      <c r="CE77" s="2">
        <f t="shared" si="18"/>
        <v>0</v>
      </c>
      <c r="CF77" s="2">
        <f t="shared" si="23"/>
        <v>-2998.6222023701039</v>
      </c>
      <c r="CG77" s="2"/>
      <c r="CH77" s="2">
        <f t="shared" si="24"/>
        <v>-2998.6222023701039</v>
      </c>
      <c r="CI77" s="45">
        <f>-CH77*'Batt IN'!$E$7</f>
        <v>629.71066249772184</v>
      </c>
      <c r="CJ77" s="48"/>
      <c r="CK77" s="45">
        <f>IF('Batt IN'!$F$4="PV Only",0,IF(C77&gt;'Batt IN'!$H$43*12,0,CC77+CI77))</f>
        <v>0</v>
      </c>
      <c r="CM77" s="10">
        <f t="shared" si="25"/>
        <v>0</v>
      </c>
      <c r="CN77" s="2">
        <f>CK77/(1+('Batt IN'!$G$8))^(C77)</f>
        <v>0</v>
      </c>
      <c r="CO77" s="2">
        <f>IF(C77&lt;='Batt IN'!$O$30*12,CN77+CO76,NA())</f>
        <v>0</v>
      </c>
      <c r="CQ77" s="2">
        <f>CK77/((1+('Batt IN'!$E$8/12))^BattCalcs!C77)</f>
        <v>0</v>
      </c>
      <c r="CS77" s="10">
        <f t="shared" si="26"/>
        <v>-2998.6222023701039</v>
      </c>
      <c r="CT77" s="10">
        <f t="shared" si="27"/>
        <v>0</v>
      </c>
      <c r="CU77" s="10">
        <f t="shared" si="28"/>
        <v>-2998.6222023701039</v>
      </c>
      <c r="CV77" s="10">
        <f t="shared" si="29"/>
        <v>-2998.6222023701039</v>
      </c>
      <c r="CW77" s="2">
        <f t="shared" si="30"/>
        <v>0</v>
      </c>
      <c r="CX77" s="2">
        <f>-(SUM(CV77:CW77)*'PV IN'!$E$8)</f>
        <v>629.71066249772184</v>
      </c>
      <c r="CY77" s="2">
        <f t="shared" si="31"/>
        <v>-2368.911539872382</v>
      </c>
      <c r="CZ77" s="2">
        <f>IF(C77&lt;='Batt IN'!$H$43*12,CY77/(1+('PV IN'!$G$9))^(C77),0)</f>
        <v>-1760.5455836882406</v>
      </c>
      <c r="DA77" s="33">
        <f>IF(C77&lt;='Batt IN'!$H$43*12,AE77,0)</f>
        <v>30366.783333333333</v>
      </c>
    </row>
    <row r="78" spans="1:105" x14ac:dyDescent="0.25">
      <c r="A78">
        <f>IF(C78&lt;='Batt IN'!$H$43*12,C78,"")</f>
        <v>74</v>
      </c>
      <c r="C78">
        <v>74</v>
      </c>
      <c r="D78" s="21">
        <v>730</v>
      </c>
      <c r="E78" s="1">
        <f>1-'Batt IN'!$E$31</f>
        <v>2.0000000000000018E-2</v>
      </c>
      <c r="F78" s="12">
        <f>('Batt IN'!$E$33*365)/8760</f>
        <v>0</v>
      </c>
      <c r="G78" s="22">
        <f>'Batt IN'!$E$32/8760</f>
        <v>5.7077625570776253E-3</v>
      </c>
      <c r="H78" s="22">
        <f>'Batt IN'!$E$13/8760</f>
        <v>5.5936073059360729E-3</v>
      </c>
      <c r="I78" s="23">
        <f>IF(C78&lt;='Batt IN'!$G$14*12,'Batt IN'!$E$15/8760*'Batt IN'!$G$15,0)</f>
        <v>0</v>
      </c>
      <c r="J78" s="12">
        <f>Z78/'Batt IN'!$E$27/730</f>
        <v>2.4999999999999996E-3</v>
      </c>
      <c r="K78" s="23">
        <f>AA78/'Batt IN'!$E$27/730</f>
        <v>1.6027397260273972E-3</v>
      </c>
      <c r="L78" s="23">
        <f>AB78/'Batt IN'!$E$27/730</f>
        <v>2.0547945205479451E-4</v>
      </c>
      <c r="M78" s="23">
        <f>AC78/'Batt IN'!$E$27/730</f>
        <v>4.7945205479452057E-3</v>
      </c>
      <c r="N78" s="23">
        <f>AD78/'Batt IN'!$E$27/730</f>
        <v>3.4246575342465752E-3</v>
      </c>
      <c r="O78" s="12">
        <f t="shared" si="19"/>
        <v>4.3828767123287697E-2</v>
      </c>
      <c r="P78" s="21">
        <f t="shared" si="20"/>
        <v>698.005</v>
      </c>
      <c r="Q78" s="2">
        <f>IF('Batt IN'!$E$27*'Batt IN'!$E$24&lt;='Batt IN'!$E$28,(('Batt IN'!$E$23*'Batt IN'!$E$27*'Batt IN'!$E$24)/1000)*P78,(('Batt IN'!$E$23*'Batt IN'!$E$28*'Batt IN'!$E$24)/1000)*P78)</f>
        <v>11168.08</v>
      </c>
      <c r="R78" s="2"/>
      <c r="S78" s="77">
        <f>IF(C78&lt;='Batt IN'!$G$14*12,'Batt IN'!$E$15/12,0)</f>
        <v>0</v>
      </c>
      <c r="T78" s="77"/>
      <c r="U78" s="80">
        <f>'Batt IN'!$E$28*('Batt IN'!$G$24/24)*730*(1-O78)</f>
        <v>81433.916666666657</v>
      </c>
      <c r="V78" s="78">
        <f>U78*'Batt IN'!$F$30</f>
        <v>16286.783333333333</v>
      </c>
      <c r="W78" s="78">
        <f>'Batt IN'!$E$28*'Batt IN'!$G$32*('Batt IN'!$E$32/12)*(1+'Batt IN'!$F$30)</f>
        <v>1750.0000000000002</v>
      </c>
      <c r="X78" s="78">
        <f>'Batt IN'!$E$28*'Batt IN'!$G$13*('Batt IN'!$E$13/12)*(1+'Batt IN'!$F$30)</f>
        <v>3184.9999999999995</v>
      </c>
      <c r="Y78" s="33">
        <f>S78*'Batt IN'!$G$15*'Batt IN'!$E$28*(1+'Batt IN'!$F$30)</f>
        <v>0</v>
      </c>
      <c r="Z78" s="33">
        <f>'Batt IN'!$G$16*365/12*(1+'Batt IN'!$F$30)</f>
        <v>1824.9999999999998</v>
      </c>
      <c r="AA78" s="33">
        <f>'Batt IN'!$G$17*'Batt IN'!$E$18*'Batt IN'!$G$18/12*(1+'Batt IN'!$F$30)</f>
        <v>1170</v>
      </c>
      <c r="AB78" s="33">
        <f>'Batt IN'!$G$19*'Batt IN'!$E$20*'Batt IN'!$G$20/12*(1+'Batt IN'!$F$30)</f>
        <v>150</v>
      </c>
      <c r="AC78" s="33">
        <f>'Batt IN'!$G$21*(1+'Batt IN'!$F$30)/12</f>
        <v>3500</v>
      </c>
      <c r="AD78" s="33">
        <f>'Batt IN'!$G$22*(1+'Batt IN'!$F$30)/12</f>
        <v>2500</v>
      </c>
      <c r="AE78" s="33">
        <f t="shared" si="32"/>
        <v>30366.783333333333</v>
      </c>
      <c r="AF78" s="33">
        <f>IF('PV IN'!$F$4="Battery Only",0,AE78*'Batt IN'!$E$29)</f>
        <v>25811.765833333331</v>
      </c>
      <c r="AG78" s="33">
        <f>PVCalcs!L78</f>
        <v>25811.765833333331</v>
      </c>
      <c r="AH78" s="33">
        <f t="shared" si="33"/>
        <v>4555.0175000000017</v>
      </c>
      <c r="AI78" s="33"/>
      <c r="AJ78" s="2">
        <f>IF(AND('Batt IN'!$D$53="Yes",$AL$1&gt;=1),IF($C78='Batt IN'!$H$54*12,-'Batt IN'!$F$54,0),0)</f>
        <v>0</v>
      </c>
      <c r="AK78" s="2">
        <f>IF(AND('Batt IN'!$D$53="Yes",$AL$1&gt;=2),IF($C78='Batt IN'!$H$55*12,-'Batt IN'!$F$55,0),0)</f>
        <v>0</v>
      </c>
      <c r="AL78" s="2">
        <f>IF(AND('Batt IN'!$D$53="Yes",$AL$1&gt;=3),IF($C78='Batt IN'!$H$56*12,-'Batt IN'!$F$56,0),0)</f>
        <v>0</v>
      </c>
      <c r="AM78" s="2">
        <f>IF(AND('Batt IN'!$D$53="Yes",$AL$1&gt;=4),IF($C78='Batt IN'!$H$57*12,-'Batt IN'!$F$57,0),0)</f>
        <v>0</v>
      </c>
      <c r="AN78" s="2">
        <f>IF(AND('Batt IN'!$D$53="Yes",$AL$1&gt;=5),IF($C78='Batt IN'!$H$58*12,-'Batt IN'!$F$58,0),0)</f>
        <v>0</v>
      </c>
      <c r="AO78" s="10">
        <f>IF(AND('Batt IN'!$D$44="YES",$C78&lt;='Batt IN'!$E$44*12),-'Batt IN'!$E$28*'Batt IN'!$E$42/12,0)</f>
        <v>0</v>
      </c>
      <c r="AP78" s="10">
        <f>IF(AND('Batt IN'!$D$46="YES",$C78&lt;='Batt IN'!$E$46*12),-'Batt IN'!$E$28*'Batt IN'!$E$45/12,0)</f>
        <v>0</v>
      </c>
      <c r="AR78" s="10">
        <f>BattLoan!M105</f>
        <v>0</v>
      </c>
      <c r="AS78" s="10">
        <f>'Batt IN'!$G$16*365/12*'Batt IN'!$E$16</f>
        <v>76.041666666666671</v>
      </c>
      <c r="AT78" s="10">
        <f>IF(AND('Batt IN'!$E$18&gt;0,'Batt IN'!$G$18&gt;0),'Batt IN'!$E$17*'Batt IN'!$G$17,0)</f>
        <v>119.44619999999999</v>
      </c>
      <c r="AU78" s="10">
        <f>IF(AND('Batt IN'!$E$20&gt;0,'Batt IN'!$G$20&gt;0),'Batt IN'!$E$19*'Batt IN'!$G$19,0)</f>
        <v>231</v>
      </c>
      <c r="AV78" s="10"/>
      <c r="AW78" s="10"/>
      <c r="AX78" s="10">
        <f>IF('Batt IN'!$E$11="Non-Taxable",Q78,0)</f>
        <v>11168.08</v>
      </c>
      <c r="AY78" s="10">
        <f>IF('Batt IN'!$E$11="Non-Taxable",'Batt IN'!$E$28/1000*'Batt IN'!$G$13*('Batt IN'!$E$13/12)*'Batt IN'!$E$12,0)</f>
        <v>244.42220833333334</v>
      </c>
      <c r="AZ78" s="10">
        <f>IF('Batt IN'!$E$11="Non-Taxable",$S78*'Batt IN'!$G$15*'Batt IN'!$E$28*'Batt IN'!$E$14/1000,0)</f>
        <v>0</v>
      </c>
      <c r="BA78" s="10">
        <f>IF('Batt IN'!$E$11="Non-Taxable",'Batt IN'!$E$21*'Batt IN'!$G$21/12,0)</f>
        <v>437.5</v>
      </c>
      <c r="BB78" s="10">
        <f>IF('Batt IN'!$E$11="Non-Taxable",'Batt IN'!$E$22*'Batt IN'!$G$22/12,0)</f>
        <v>1145.8333333333335</v>
      </c>
      <c r="BC78" s="10">
        <f>IF('Batt IN'!$E$11="Taxable",Q78,0)</f>
        <v>0</v>
      </c>
      <c r="BD78" s="10">
        <f>IF('Batt IN'!$E$11="Taxable",'Batt IN'!$E$28/1000*'Batt IN'!$G$13*('Batt IN'!$E$13/12)*'Batt IN'!$E$12,0)</f>
        <v>0</v>
      </c>
      <c r="BE78" s="10">
        <f>IF('Batt IN'!$E$11="Taxable",$S78*'Batt IN'!$G$15*'Batt IN'!$E$28*'Batt IN'!$E$14/1000,0)</f>
        <v>0</v>
      </c>
      <c r="BF78" s="10">
        <f>IF('Batt IN'!$E$11="Taxable",'Batt IN'!$E$21*'Batt IN'!$G$21/12,0)</f>
        <v>0</v>
      </c>
      <c r="BG78" s="10">
        <f>IF('Batt IN'!$E$11="Taxable",'Batt IN'!$E$22*'Batt IN'!$G$22/12,0)</f>
        <v>0</v>
      </c>
      <c r="BK78" s="10">
        <f>IF('Batt IN'!$N$18="Yes",-BattLoan!H106,-BattLoan!L106)</f>
        <v>0</v>
      </c>
      <c r="BL78" s="10">
        <f>IF('Batt IN'!$N$18="Yes",-BattLoan!F106,0)</f>
        <v>0</v>
      </c>
      <c r="BM78" s="10">
        <f>IF(AND('Batt IN'!$D$44="YES",$C78&lt;='Batt IN'!$E$44*12),0,-'Batt IN'!$E$28*'Batt IN'!$E$42/12)</f>
        <v>-83.333333333333329</v>
      </c>
      <c r="BN78" s="10">
        <f>IF(AND('Batt IN'!$D$46="YES",$C78&lt;='Batt IN'!$E$46*12),0,-'Batt IN'!$E$28*'Batt IN'!$E$45/12)</f>
        <v>-166.66666666666666</v>
      </c>
      <c r="BO78" s="2">
        <f>IF(AND('Batt IN'!$D$41="YES",BattCalcs!C78=ROUNDUP('Batt IN'!$H$41*12,)),-'Batt IN'!$E$41*'Batt IN'!$E$28,0)</f>
        <v>0</v>
      </c>
      <c r="BP78" s="2">
        <f>IF(AND('Batt IN'!$D$53="Yes",$AL$1&gt;=1),0,IF($C78='Batt IN'!$H$54*12,-'Batt IN'!$F$54,0))</f>
        <v>0</v>
      </c>
      <c r="BQ78" s="2">
        <f>IF(AND('Batt IN'!$D$53="Yes",$AL$1&gt;=2),0,IF($C78='Batt IN'!$H$55*12,-'Batt IN'!$F$55,0))</f>
        <v>0</v>
      </c>
      <c r="BR78" s="2">
        <f>IF(AND('Batt IN'!$D$53="Yes",$AL$1&gt;=3),0,IF($C78='Batt IN'!$H$56*12,-'Batt IN'!$F$56,0))</f>
        <v>0</v>
      </c>
      <c r="BS78" s="2">
        <f>IF(AND('Batt IN'!$D$53="Yes",$AL$1&gt;=4),0,IF($C78='Batt IN'!$H$57*12,-'Batt IN'!$F$57,0))</f>
        <v>0</v>
      </c>
      <c r="BT78" s="2">
        <f>IF(AND('Batt IN'!$D$53="Yes",$AL$1&gt;=5),0,IF($C78='Batt IN'!$H$58*12,-'Batt IN'!$F$58,0))</f>
        <v>0</v>
      </c>
      <c r="BU78" s="2">
        <f>-AH78*PVCalcs!F78</f>
        <v>-348.62220237010365</v>
      </c>
      <c r="BV78" s="2">
        <f>-'Batt IN'!$E$47</f>
        <v>-150</v>
      </c>
      <c r="BW78" s="2">
        <f>-'Batt IN'!$E$49</f>
        <v>-2250</v>
      </c>
      <c r="BX78" s="2">
        <f>IF('Batt IN'!$H$50="No",-(BC78*'Batt IN'!$E$50),-(BC78+BE78)*'Batt IN'!$E$50)</f>
        <v>0</v>
      </c>
      <c r="BY78" s="2">
        <f>IF(C78='Batt IN'!$H$43*12,-'Batt IN'!$E$43,0)</f>
        <v>0</v>
      </c>
      <c r="BZ78" s="38"/>
      <c r="CA78" s="10">
        <f t="shared" si="17"/>
        <v>13422.323408333334</v>
      </c>
      <c r="CB78" s="2">
        <f t="shared" si="21"/>
        <v>-2998.6222023701039</v>
      </c>
      <c r="CC78" s="45">
        <f t="shared" si="22"/>
        <v>10423.701205963229</v>
      </c>
      <c r="CD78" s="43"/>
      <c r="CE78" s="2">
        <f t="shared" si="18"/>
        <v>0</v>
      </c>
      <c r="CF78" s="2">
        <f t="shared" si="23"/>
        <v>-2998.6222023701039</v>
      </c>
      <c r="CG78" s="2"/>
      <c r="CH78" s="2">
        <f t="shared" si="24"/>
        <v>-2998.6222023701039</v>
      </c>
      <c r="CI78" s="45">
        <f>-CH78*'Batt IN'!$E$7</f>
        <v>629.71066249772184</v>
      </c>
      <c r="CJ78" s="48"/>
      <c r="CK78" s="45">
        <f>IF('Batt IN'!$F$4="PV Only",0,IF(C78&gt;'Batt IN'!$H$43*12,0,CC78+CI78))</f>
        <v>0</v>
      </c>
      <c r="CM78" s="10">
        <f t="shared" si="25"/>
        <v>0</v>
      </c>
      <c r="CN78" s="2">
        <f>CK78/(1+('Batt IN'!$G$8))^(C78)</f>
        <v>0</v>
      </c>
      <c r="CO78" s="2">
        <f>IF(C78&lt;='Batt IN'!$O$30*12,CN78+CO77,NA())</f>
        <v>0</v>
      </c>
      <c r="CQ78" s="2">
        <f>CK78/((1+('Batt IN'!$E$8/12))^BattCalcs!C78)</f>
        <v>0</v>
      </c>
      <c r="CS78" s="10">
        <f t="shared" si="26"/>
        <v>-2998.6222023701039</v>
      </c>
      <c r="CT78" s="10">
        <f t="shared" si="27"/>
        <v>0</v>
      </c>
      <c r="CU78" s="10">
        <f t="shared" si="28"/>
        <v>-2998.6222023701039</v>
      </c>
      <c r="CV78" s="10">
        <f t="shared" si="29"/>
        <v>-2998.6222023701039</v>
      </c>
      <c r="CW78" s="2">
        <f t="shared" si="30"/>
        <v>0</v>
      </c>
      <c r="CX78" s="2">
        <f>-(SUM(CV78:CW78)*'PV IN'!$E$8)</f>
        <v>629.71066249772184</v>
      </c>
      <c r="CY78" s="2">
        <f t="shared" si="31"/>
        <v>-2368.911539872382</v>
      </c>
      <c r="CZ78" s="2">
        <f>IF(C78&lt;='Batt IN'!$H$43*12,CY78/(1+('PV IN'!$G$9))^(C78),0)</f>
        <v>-1753.4020068697557</v>
      </c>
      <c r="DA78" s="33">
        <f>IF(C78&lt;='Batt IN'!$H$43*12,AE78,0)</f>
        <v>30366.783333333333</v>
      </c>
    </row>
    <row r="79" spans="1:105" x14ac:dyDescent="0.25">
      <c r="A79">
        <f>IF(C79&lt;='Batt IN'!$H$43*12,C79,"")</f>
        <v>75</v>
      </c>
      <c r="C79">
        <v>75</v>
      </c>
      <c r="D79" s="21">
        <v>730</v>
      </c>
      <c r="E79" s="1">
        <f>1-'Batt IN'!$E$31</f>
        <v>2.0000000000000018E-2</v>
      </c>
      <c r="F79" s="12">
        <f>('Batt IN'!$E$33*365)/8760</f>
        <v>0</v>
      </c>
      <c r="G79" s="22">
        <f>'Batt IN'!$E$32/8760</f>
        <v>5.7077625570776253E-3</v>
      </c>
      <c r="H79" s="22">
        <f>'Batt IN'!$E$13/8760</f>
        <v>5.5936073059360729E-3</v>
      </c>
      <c r="I79" s="23">
        <f>IF(C79&lt;='Batt IN'!$G$14*12,'Batt IN'!$E$15/8760*'Batt IN'!$G$15,0)</f>
        <v>0</v>
      </c>
      <c r="J79" s="12">
        <f>Z79/'Batt IN'!$E$27/730</f>
        <v>2.4999999999999996E-3</v>
      </c>
      <c r="K79" s="23">
        <f>AA79/'Batt IN'!$E$27/730</f>
        <v>1.6027397260273972E-3</v>
      </c>
      <c r="L79" s="23">
        <f>AB79/'Batt IN'!$E$27/730</f>
        <v>2.0547945205479451E-4</v>
      </c>
      <c r="M79" s="23">
        <f>AC79/'Batt IN'!$E$27/730</f>
        <v>4.7945205479452057E-3</v>
      </c>
      <c r="N79" s="23">
        <f>AD79/'Batt IN'!$E$27/730</f>
        <v>3.4246575342465752E-3</v>
      </c>
      <c r="O79" s="12">
        <f t="shared" si="19"/>
        <v>4.3828767123287697E-2</v>
      </c>
      <c r="P79" s="21">
        <f t="shared" si="20"/>
        <v>698.005</v>
      </c>
      <c r="Q79" s="2">
        <f>IF('Batt IN'!$E$27*'Batt IN'!$E$24&lt;='Batt IN'!$E$28,(('Batt IN'!$E$23*'Batt IN'!$E$27*'Batt IN'!$E$24)/1000)*P79,(('Batt IN'!$E$23*'Batt IN'!$E$28*'Batt IN'!$E$24)/1000)*P79)</f>
        <v>11168.08</v>
      </c>
      <c r="R79" s="2"/>
      <c r="S79" s="77">
        <f>IF(C79&lt;='Batt IN'!$G$14*12,'Batt IN'!$E$15/12,0)</f>
        <v>0</v>
      </c>
      <c r="T79" s="77"/>
      <c r="U79" s="80">
        <f>'Batt IN'!$E$28*('Batt IN'!$G$24/24)*730*(1-O79)</f>
        <v>81433.916666666657</v>
      </c>
      <c r="V79" s="78">
        <f>U79*'Batt IN'!$F$30</f>
        <v>16286.783333333333</v>
      </c>
      <c r="W79" s="78">
        <f>'Batt IN'!$E$28*'Batt IN'!$G$32*('Batt IN'!$E$32/12)*(1+'Batt IN'!$F$30)</f>
        <v>1750.0000000000002</v>
      </c>
      <c r="X79" s="78">
        <f>'Batt IN'!$E$28*'Batt IN'!$G$13*('Batt IN'!$E$13/12)*(1+'Batt IN'!$F$30)</f>
        <v>3184.9999999999995</v>
      </c>
      <c r="Y79" s="33">
        <f>S79*'Batt IN'!$G$15*'Batt IN'!$E$28*(1+'Batt IN'!$F$30)</f>
        <v>0</v>
      </c>
      <c r="Z79" s="33">
        <f>'Batt IN'!$G$16*365/12*(1+'Batt IN'!$F$30)</f>
        <v>1824.9999999999998</v>
      </c>
      <c r="AA79" s="33">
        <f>'Batt IN'!$G$17*'Batt IN'!$E$18*'Batt IN'!$G$18/12*(1+'Batt IN'!$F$30)</f>
        <v>1170</v>
      </c>
      <c r="AB79" s="33">
        <f>'Batt IN'!$G$19*'Batt IN'!$E$20*'Batt IN'!$G$20/12*(1+'Batt IN'!$F$30)</f>
        <v>150</v>
      </c>
      <c r="AC79" s="33">
        <f>'Batt IN'!$G$21*(1+'Batt IN'!$F$30)/12</f>
        <v>3500</v>
      </c>
      <c r="AD79" s="33">
        <f>'Batt IN'!$G$22*(1+'Batt IN'!$F$30)/12</f>
        <v>2500</v>
      </c>
      <c r="AE79" s="33">
        <f t="shared" si="32"/>
        <v>30366.783333333333</v>
      </c>
      <c r="AF79" s="33">
        <f>IF('PV IN'!$F$4="Battery Only",0,AE79*'Batt IN'!$E$29)</f>
        <v>25811.765833333331</v>
      </c>
      <c r="AG79" s="33">
        <f>PVCalcs!L79</f>
        <v>25811.765833333331</v>
      </c>
      <c r="AH79" s="33">
        <f t="shared" si="33"/>
        <v>4555.0175000000017</v>
      </c>
      <c r="AI79" s="33"/>
      <c r="AJ79" s="2">
        <f>IF(AND('Batt IN'!$D$53="Yes",$AL$1&gt;=1),IF($C79='Batt IN'!$H$54*12,-'Batt IN'!$F$54,0),0)</f>
        <v>0</v>
      </c>
      <c r="AK79" s="2">
        <f>IF(AND('Batt IN'!$D$53="Yes",$AL$1&gt;=2),IF($C79='Batt IN'!$H$55*12,-'Batt IN'!$F$55,0),0)</f>
        <v>0</v>
      </c>
      <c r="AL79" s="2">
        <f>IF(AND('Batt IN'!$D$53="Yes",$AL$1&gt;=3),IF($C79='Batt IN'!$H$56*12,-'Batt IN'!$F$56,0),0)</f>
        <v>0</v>
      </c>
      <c r="AM79" s="2">
        <f>IF(AND('Batt IN'!$D$53="Yes",$AL$1&gt;=4),IF($C79='Batt IN'!$H$57*12,-'Batt IN'!$F$57,0),0)</f>
        <v>0</v>
      </c>
      <c r="AN79" s="2">
        <f>IF(AND('Batt IN'!$D$53="Yes",$AL$1&gt;=5),IF($C79='Batt IN'!$H$58*12,-'Batt IN'!$F$58,0),0)</f>
        <v>0</v>
      </c>
      <c r="AO79" s="10">
        <f>IF(AND('Batt IN'!$D$44="YES",$C79&lt;='Batt IN'!$E$44*12),-'Batt IN'!$E$28*'Batt IN'!$E$42/12,0)</f>
        <v>0</v>
      </c>
      <c r="AP79" s="10">
        <f>IF(AND('Batt IN'!$D$46="YES",$C79&lt;='Batt IN'!$E$46*12),-'Batt IN'!$E$28*'Batt IN'!$E$45/12,0)</f>
        <v>0</v>
      </c>
      <c r="AR79" s="10">
        <f>BattLoan!M106</f>
        <v>0</v>
      </c>
      <c r="AS79" s="10">
        <f>'Batt IN'!$G$16*365/12*'Batt IN'!$E$16</f>
        <v>76.041666666666671</v>
      </c>
      <c r="AT79" s="10">
        <f>IF(AND('Batt IN'!$E$18&gt;0,'Batt IN'!$G$18&gt;0),'Batt IN'!$E$17*'Batt IN'!$G$17,0)</f>
        <v>119.44619999999999</v>
      </c>
      <c r="AU79" s="10">
        <f>IF(AND('Batt IN'!$E$20&gt;0,'Batt IN'!$G$20&gt;0),'Batt IN'!$E$19*'Batt IN'!$G$19,0)</f>
        <v>231</v>
      </c>
      <c r="AV79" s="10"/>
      <c r="AW79" s="10"/>
      <c r="AX79" s="10">
        <f>IF('Batt IN'!$E$11="Non-Taxable",Q79,0)</f>
        <v>11168.08</v>
      </c>
      <c r="AY79" s="10">
        <f>IF('Batt IN'!$E$11="Non-Taxable",'Batt IN'!$E$28/1000*'Batt IN'!$G$13*('Batt IN'!$E$13/12)*'Batt IN'!$E$12,0)</f>
        <v>244.42220833333334</v>
      </c>
      <c r="AZ79" s="10">
        <f>IF('Batt IN'!$E$11="Non-Taxable",$S79*'Batt IN'!$G$15*'Batt IN'!$E$28*'Batt IN'!$E$14/1000,0)</f>
        <v>0</v>
      </c>
      <c r="BA79" s="10">
        <f>IF('Batt IN'!$E$11="Non-Taxable",'Batt IN'!$E$21*'Batt IN'!$G$21/12,0)</f>
        <v>437.5</v>
      </c>
      <c r="BB79" s="10">
        <f>IF('Batt IN'!$E$11="Non-Taxable",'Batt IN'!$E$22*'Batt IN'!$G$22/12,0)</f>
        <v>1145.8333333333335</v>
      </c>
      <c r="BC79" s="10">
        <f>IF('Batt IN'!$E$11="Taxable",Q79,0)</f>
        <v>0</v>
      </c>
      <c r="BD79" s="10">
        <f>IF('Batt IN'!$E$11="Taxable",'Batt IN'!$E$28/1000*'Batt IN'!$G$13*('Batt IN'!$E$13/12)*'Batt IN'!$E$12,0)</f>
        <v>0</v>
      </c>
      <c r="BE79" s="10">
        <f>IF('Batt IN'!$E$11="Taxable",$S79*'Batt IN'!$G$15*'Batt IN'!$E$28*'Batt IN'!$E$14/1000,0)</f>
        <v>0</v>
      </c>
      <c r="BF79" s="10">
        <f>IF('Batt IN'!$E$11="Taxable",'Batt IN'!$E$21*'Batt IN'!$G$21/12,0)</f>
        <v>0</v>
      </c>
      <c r="BG79" s="10">
        <f>IF('Batt IN'!$E$11="Taxable",'Batt IN'!$E$22*'Batt IN'!$G$22/12,0)</f>
        <v>0</v>
      </c>
      <c r="BK79" s="10">
        <f>IF('Batt IN'!$N$18="Yes",-BattLoan!H107,-BattLoan!L107)</f>
        <v>0</v>
      </c>
      <c r="BL79" s="10">
        <f>IF('Batt IN'!$N$18="Yes",-BattLoan!F107,0)</f>
        <v>0</v>
      </c>
      <c r="BM79" s="10">
        <f>IF(AND('Batt IN'!$D$44="YES",$C79&lt;='Batt IN'!$E$44*12),0,-'Batt IN'!$E$28*'Batt IN'!$E$42/12)</f>
        <v>-83.333333333333329</v>
      </c>
      <c r="BN79" s="10">
        <f>IF(AND('Batt IN'!$D$46="YES",$C79&lt;='Batt IN'!$E$46*12),0,-'Batt IN'!$E$28*'Batt IN'!$E$45/12)</f>
        <v>-166.66666666666666</v>
      </c>
      <c r="BO79" s="2">
        <f>IF(AND('Batt IN'!$D$41="YES",BattCalcs!C79=ROUNDUP('Batt IN'!$H$41*12,)),-'Batt IN'!$E$41*'Batt IN'!$E$28,0)</f>
        <v>0</v>
      </c>
      <c r="BP79" s="2">
        <f>IF(AND('Batt IN'!$D$53="Yes",$AL$1&gt;=1),0,IF($C79='Batt IN'!$H$54*12,-'Batt IN'!$F$54,0))</f>
        <v>0</v>
      </c>
      <c r="BQ79" s="2">
        <f>IF(AND('Batt IN'!$D$53="Yes",$AL$1&gt;=2),0,IF($C79='Batt IN'!$H$55*12,-'Batt IN'!$F$55,0))</f>
        <v>0</v>
      </c>
      <c r="BR79" s="2">
        <f>IF(AND('Batt IN'!$D$53="Yes",$AL$1&gt;=3),0,IF($C79='Batt IN'!$H$56*12,-'Batt IN'!$F$56,0))</f>
        <v>0</v>
      </c>
      <c r="BS79" s="2">
        <f>IF(AND('Batt IN'!$D$53="Yes",$AL$1&gt;=4),0,IF($C79='Batt IN'!$H$57*12,-'Batt IN'!$F$57,0))</f>
        <v>0</v>
      </c>
      <c r="BT79" s="2">
        <f>IF(AND('Batt IN'!$D$53="Yes",$AL$1&gt;=5),0,IF($C79='Batt IN'!$H$58*12,-'Batt IN'!$F$58,0))</f>
        <v>0</v>
      </c>
      <c r="BU79" s="2">
        <f>-AH79*PVCalcs!F79</f>
        <v>-348.62220237010365</v>
      </c>
      <c r="BV79" s="2">
        <f>-'Batt IN'!$E$47</f>
        <v>-150</v>
      </c>
      <c r="BW79" s="2">
        <f>-'Batt IN'!$E$49</f>
        <v>-2250</v>
      </c>
      <c r="BX79" s="2">
        <f>IF('Batt IN'!$H$50="No",-(BC79*'Batt IN'!$E$50),-(BC79+BE79)*'Batt IN'!$E$50)</f>
        <v>0</v>
      </c>
      <c r="BY79" s="2">
        <f>IF(C79='Batt IN'!$H$43*12,-'Batt IN'!$E$43,0)</f>
        <v>0</v>
      </c>
      <c r="BZ79" s="38"/>
      <c r="CA79" s="10">
        <f t="shared" si="17"/>
        <v>13422.323408333334</v>
      </c>
      <c r="CB79" s="2">
        <f t="shared" si="21"/>
        <v>-2998.6222023701039</v>
      </c>
      <c r="CC79" s="45">
        <f t="shared" si="22"/>
        <v>10423.701205963229</v>
      </c>
      <c r="CD79" s="43"/>
      <c r="CE79" s="2">
        <f t="shared" si="18"/>
        <v>0</v>
      </c>
      <c r="CF79" s="2">
        <f t="shared" si="23"/>
        <v>-2998.6222023701039</v>
      </c>
      <c r="CG79" s="2"/>
      <c r="CH79" s="2">
        <f t="shared" si="24"/>
        <v>-2998.6222023701039</v>
      </c>
      <c r="CI79" s="45">
        <f>-CH79*'Batt IN'!$E$7</f>
        <v>629.71066249772184</v>
      </c>
      <c r="CJ79" s="48"/>
      <c r="CK79" s="45">
        <f>IF('Batt IN'!$F$4="PV Only",0,IF(C79&gt;'Batt IN'!$H$43*12,0,CC79+CI79))</f>
        <v>0</v>
      </c>
      <c r="CM79" s="10">
        <f t="shared" si="25"/>
        <v>0</v>
      </c>
      <c r="CN79" s="2">
        <f>CK79/(1+('Batt IN'!$G$8))^(C79)</f>
        <v>0</v>
      </c>
      <c r="CO79" s="2">
        <f>IF(C79&lt;='Batt IN'!$O$30*12,CN79+CO78,NA())</f>
        <v>0</v>
      </c>
      <c r="CQ79" s="2">
        <f>CK79/((1+('Batt IN'!$E$8/12))^BattCalcs!C79)</f>
        <v>0</v>
      </c>
      <c r="CS79" s="10">
        <f t="shared" si="26"/>
        <v>-2998.6222023701039</v>
      </c>
      <c r="CT79" s="10">
        <f t="shared" si="27"/>
        <v>0</v>
      </c>
      <c r="CU79" s="10">
        <f t="shared" si="28"/>
        <v>-2998.6222023701039</v>
      </c>
      <c r="CV79" s="10">
        <f t="shared" si="29"/>
        <v>-2998.6222023701039</v>
      </c>
      <c r="CW79" s="2">
        <f t="shared" si="30"/>
        <v>0</v>
      </c>
      <c r="CX79" s="2">
        <f>-(SUM(CV79:CW79)*'PV IN'!$E$8)</f>
        <v>629.71066249772184</v>
      </c>
      <c r="CY79" s="2">
        <f t="shared" si="31"/>
        <v>-2368.911539872382</v>
      </c>
      <c r="CZ79" s="2">
        <f>IF(C79&lt;='Batt IN'!$H$43*12,CY79/(1+('PV IN'!$G$9))^(C79),0)</f>
        <v>-1746.2874157760568</v>
      </c>
      <c r="DA79" s="33">
        <f>IF(C79&lt;='Batt IN'!$H$43*12,AE79,0)</f>
        <v>30366.783333333333</v>
      </c>
    </row>
    <row r="80" spans="1:105" x14ac:dyDescent="0.25">
      <c r="A80">
        <f>IF(C80&lt;='Batt IN'!$H$43*12,C80,"")</f>
        <v>76</v>
      </c>
      <c r="C80">
        <v>76</v>
      </c>
      <c r="D80" s="21">
        <v>730</v>
      </c>
      <c r="E80" s="1">
        <f>1-'Batt IN'!$E$31</f>
        <v>2.0000000000000018E-2</v>
      </c>
      <c r="F80" s="12">
        <f>('Batt IN'!$E$33*365)/8760</f>
        <v>0</v>
      </c>
      <c r="G80" s="22">
        <f>'Batt IN'!$E$32/8760</f>
        <v>5.7077625570776253E-3</v>
      </c>
      <c r="H80" s="22">
        <f>'Batt IN'!$E$13/8760</f>
        <v>5.5936073059360729E-3</v>
      </c>
      <c r="I80" s="23">
        <f>IF(C80&lt;='Batt IN'!$G$14*12,'Batt IN'!$E$15/8760*'Batt IN'!$G$15,0)</f>
        <v>0</v>
      </c>
      <c r="J80" s="12">
        <f>Z80/'Batt IN'!$E$27/730</f>
        <v>2.4999999999999996E-3</v>
      </c>
      <c r="K80" s="23">
        <f>AA80/'Batt IN'!$E$27/730</f>
        <v>1.6027397260273972E-3</v>
      </c>
      <c r="L80" s="23">
        <f>AB80/'Batt IN'!$E$27/730</f>
        <v>2.0547945205479451E-4</v>
      </c>
      <c r="M80" s="23">
        <f>AC80/'Batt IN'!$E$27/730</f>
        <v>4.7945205479452057E-3</v>
      </c>
      <c r="N80" s="23">
        <f>AD80/'Batt IN'!$E$27/730</f>
        <v>3.4246575342465752E-3</v>
      </c>
      <c r="O80" s="12">
        <f t="shared" si="19"/>
        <v>4.3828767123287697E-2</v>
      </c>
      <c r="P80" s="21">
        <f t="shared" si="20"/>
        <v>698.005</v>
      </c>
      <c r="Q80" s="2">
        <f>IF('Batt IN'!$E$27*'Batt IN'!$E$24&lt;='Batt IN'!$E$28,(('Batt IN'!$E$23*'Batt IN'!$E$27*'Batt IN'!$E$24)/1000)*P80,(('Batt IN'!$E$23*'Batt IN'!$E$28*'Batt IN'!$E$24)/1000)*P80)</f>
        <v>11168.08</v>
      </c>
      <c r="R80" s="2"/>
      <c r="S80" s="77">
        <f>IF(C80&lt;='Batt IN'!$G$14*12,'Batt IN'!$E$15/12,0)</f>
        <v>0</v>
      </c>
      <c r="T80" s="77"/>
      <c r="U80" s="80">
        <f>'Batt IN'!$E$28*('Batt IN'!$G$24/24)*730*(1-O80)</f>
        <v>81433.916666666657</v>
      </c>
      <c r="V80" s="78">
        <f>U80*'Batt IN'!$F$30</f>
        <v>16286.783333333333</v>
      </c>
      <c r="W80" s="78">
        <f>'Batt IN'!$E$28*'Batt IN'!$G$32*('Batt IN'!$E$32/12)*(1+'Batt IN'!$F$30)</f>
        <v>1750.0000000000002</v>
      </c>
      <c r="X80" s="78">
        <f>'Batt IN'!$E$28*'Batt IN'!$G$13*('Batt IN'!$E$13/12)*(1+'Batt IN'!$F$30)</f>
        <v>3184.9999999999995</v>
      </c>
      <c r="Y80" s="33">
        <f>S80*'Batt IN'!$G$15*'Batt IN'!$E$28*(1+'Batt IN'!$F$30)</f>
        <v>0</v>
      </c>
      <c r="Z80" s="33">
        <f>'Batt IN'!$G$16*365/12*(1+'Batt IN'!$F$30)</f>
        <v>1824.9999999999998</v>
      </c>
      <c r="AA80" s="33">
        <f>'Batt IN'!$G$17*'Batt IN'!$E$18*'Batt IN'!$G$18/12*(1+'Batt IN'!$F$30)</f>
        <v>1170</v>
      </c>
      <c r="AB80" s="33">
        <f>'Batt IN'!$G$19*'Batt IN'!$E$20*'Batt IN'!$G$20/12*(1+'Batt IN'!$F$30)</f>
        <v>150</v>
      </c>
      <c r="AC80" s="33">
        <f>'Batt IN'!$G$21*(1+'Batt IN'!$F$30)/12</f>
        <v>3500</v>
      </c>
      <c r="AD80" s="33">
        <f>'Batt IN'!$G$22*(1+'Batt IN'!$F$30)/12</f>
        <v>2500</v>
      </c>
      <c r="AE80" s="33">
        <f t="shared" si="32"/>
        <v>30366.783333333333</v>
      </c>
      <c r="AF80" s="33">
        <f>IF('PV IN'!$F$4="Battery Only",0,AE80*'Batt IN'!$E$29)</f>
        <v>25811.765833333331</v>
      </c>
      <c r="AG80" s="33">
        <f>PVCalcs!L80</f>
        <v>25811.765833333331</v>
      </c>
      <c r="AH80" s="33">
        <f t="shared" si="33"/>
        <v>4555.0175000000017</v>
      </c>
      <c r="AI80" s="33"/>
      <c r="AJ80" s="2">
        <f>IF(AND('Batt IN'!$D$53="Yes",$AL$1&gt;=1),IF($C80='Batt IN'!$H$54*12,-'Batt IN'!$F$54,0),0)</f>
        <v>0</v>
      </c>
      <c r="AK80" s="2">
        <f>IF(AND('Batt IN'!$D$53="Yes",$AL$1&gt;=2),IF($C80='Batt IN'!$H$55*12,-'Batt IN'!$F$55,0),0)</f>
        <v>0</v>
      </c>
      <c r="AL80" s="2">
        <f>IF(AND('Batt IN'!$D$53="Yes",$AL$1&gt;=3),IF($C80='Batt IN'!$H$56*12,-'Batt IN'!$F$56,0),0)</f>
        <v>0</v>
      </c>
      <c r="AM80" s="2">
        <f>IF(AND('Batt IN'!$D$53="Yes",$AL$1&gt;=4),IF($C80='Batt IN'!$H$57*12,-'Batt IN'!$F$57,0),0)</f>
        <v>0</v>
      </c>
      <c r="AN80" s="2">
        <f>IF(AND('Batt IN'!$D$53="Yes",$AL$1&gt;=5),IF($C80='Batt IN'!$H$58*12,-'Batt IN'!$F$58,0),0)</f>
        <v>0</v>
      </c>
      <c r="AO80" s="10">
        <f>IF(AND('Batt IN'!$D$44="YES",$C80&lt;='Batt IN'!$E$44*12),-'Batt IN'!$E$28*'Batt IN'!$E$42/12,0)</f>
        <v>0</v>
      </c>
      <c r="AP80" s="10">
        <f>IF(AND('Batt IN'!$D$46="YES",$C80&lt;='Batt IN'!$E$46*12),-'Batt IN'!$E$28*'Batt IN'!$E$45/12,0)</f>
        <v>0</v>
      </c>
      <c r="AR80" s="10">
        <f>BattLoan!M107</f>
        <v>0</v>
      </c>
      <c r="AS80" s="10">
        <f>'Batt IN'!$G$16*365/12*'Batt IN'!$E$16</f>
        <v>76.041666666666671</v>
      </c>
      <c r="AT80" s="10">
        <f>IF(AND('Batt IN'!$E$18&gt;0,'Batt IN'!$G$18&gt;0),'Batt IN'!$E$17*'Batt IN'!$G$17,0)</f>
        <v>119.44619999999999</v>
      </c>
      <c r="AU80" s="10">
        <f>IF(AND('Batt IN'!$E$20&gt;0,'Batt IN'!$G$20&gt;0),'Batt IN'!$E$19*'Batt IN'!$G$19,0)</f>
        <v>231</v>
      </c>
      <c r="AV80" s="10"/>
      <c r="AW80" s="10"/>
      <c r="AX80" s="10">
        <f>IF('Batt IN'!$E$11="Non-Taxable",Q80,0)</f>
        <v>11168.08</v>
      </c>
      <c r="AY80" s="10">
        <f>IF('Batt IN'!$E$11="Non-Taxable",'Batt IN'!$E$28/1000*'Batt IN'!$G$13*('Batt IN'!$E$13/12)*'Batt IN'!$E$12,0)</f>
        <v>244.42220833333334</v>
      </c>
      <c r="AZ80" s="10">
        <f>IF('Batt IN'!$E$11="Non-Taxable",$S80*'Batt IN'!$G$15*'Batt IN'!$E$28*'Batt IN'!$E$14/1000,0)</f>
        <v>0</v>
      </c>
      <c r="BA80" s="10">
        <f>IF('Batt IN'!$E$11="Non-Taxable",'Batt IN'!$E$21*'Batt IN'!$G$21/12,0)</f>
        <v>437.5</v>
      </c>
      <c r="BB80" s="10">
        <f>IF('Batt IN'!$E$11="Non-Taxable",'Batt IN'!$E$22*'Batt IN'!$G$22/12,0)</f>
        <v>1145.8333333333335</v>
      </c>
      <c r="BC80" s="10">
        <f>IF('Batt IN'!$E$11="Taxable",Q80,0)</f>
        <v>0</v>
      </c>
      <c r="BD80" s="10">
        <f>IF('Batt IN'!$E$11="Taxable",'Batt IN'!$E$28/1000*'Batt IN'!$G$13*('Batt IN'!$E$13/12)*'Batt IN'!$E$12,0)</f>
        <v>0</v>
      </c>
      <c r="BE80" s="10">
        <f>IF('Batt IN'!$E$11="Taxable",$S80*'Batt IN'!$G$15*'Batt IN'!$E$28*'Batt IN'!$E$14/1000,0)</f>
        <v>0</v>
      </c>
      <c r="BF80" s="10">
        <f>IF('Batt IN'!$E$11="Taxable",'Batt IN'!$E$21*'Batt IN'!$G$21/12,0)</f>
        <v>0</v>
      </c>
      <c r="BG80" s="10">
        <f>IF('Batt IN'!$E$11="Taxable",'Batt IN'!$E$22*'Batt IN'!$G$22/12,0)</f>
        <v>0</v>
      </c>
      <c r="BK80" s="10">
        <f>IF('Batt IN'!$N$18="Yes",-BattLoan!H108,-BattLoan!L108)</f>
        <v>0</v>
      </c>
      <c r="BL80" s="10">
        <f>IF('Batt IN'!$N$18="Yes",-BattLoan!F108,0)</f>
        <v>0</v>
      </c>
      <c r="BM80" s="10">
        <f>IF(AND('Batt IN'!$D$44="YES",$C80&lt;='Batt IN'!$E$44*12),0,-'Batt IN'!$E$28*'Batt IN'!$E$42/12)</f>
        <v>-83.333333333333329</v>
      </c>
      <c r="BN80" s="10">
        <f>IF(AND('Batt IN'!$D$46="YES",$C80&lt;='Batt IN'!$E$46*12),0,-'Batt IN'!$E$28*'Batt IN'!$E$45/12)</f>
        <v>-166.66666666666666</v>
      </c>
      <c r="BO80" s="2">
        <f>IF(AND('Batt IN'!$D$41="YES",BattCalcs!C80=ROUNDUP('Batt IN'!$H$41*12,)),-'Batt IN'!$E$41*'Batt IN'!$E$28,0)</f>
        <v>0</v>
      </c>
      <c r="BP80" s="2">
        <f>IF(AND('Batt IN'!$D$53="Yes",$AL$1&gt;=1),0,IF($C80='Batt IN'!$H$54*12,-'Batt IN'!$F$54,0))</f>
        <v>0</v>
      </c>
      <c r="BQ80" s="2">
        <f>IF(AND('Batt IN'!$D$53="Yes",$AL$1&gt;=2),0,IF($C80='Batt IN'!$H$55*12,-'Batt IN'!$F$55,0))</f>
        <v>0</v>
      </c>
      <c r="BR80" s="2">
        <f>IF(AND('Batt IN'!$D$53="Yes",$AL$1&gt;=3),0,IF($C80='Batt IN'!$H$56*12,-'Batt IN'!$F$56,0))</f>
        <v>0</v>
      </c>
      <c r="BS80" s="2">
        <f>IF(AND('Batt IN'!$D$53="Yes",$AL$1&gt;=4),0,IF($C80='Batt IN'!$H$57*12,-'Batt IN'!$F$57,0))</f>
        <v>0</v>
      </c>
      <c r="BT80" s="2">
        <f>IF(AND('Batt IN'!$D$53="Yes",$AL$1&gt;=5),0,IF($C80='Batt IN'!$H$58*12,-'Batt IN'!$F$58,0))</f>
        <v>0</v>
      </c>
      <c r="BU80" s="2">
        <f>-AH80*PVCalcs!F80</f>
        <v>-348.62220237010365</v>
      </c>
      <c r="BV80" s="2">
        <f>-'Batt IN'!$E$47</f>
        <v>-150</v>
      </c>
      <c r="BW80" s="2">
        <f>-'Batt IN'!$E$49</f>
        <v>-2250</v>
      </c>
      <c r="BX80" s="2">
        <f>IF('Batt IN'!$H$50="No",-(BC80*'Batt IN'!$E$50),-(BC80+BE80)*'Batt IN'!$E$50)</f>
        <v>0</v>
      </c>
      <c r="BY80" s="2">
        <f>IF(C80='Batt IN'!$H$43*12,-'Batt IN'!$E$43,0)</f>
        <v>0</v>
      </c>
      <c r="BZ80" s="38"/>
      <c r="CA80" s="10">
        <f t="shared" si="17"/>
        <v>13422.323408333334</v>
      </c>
      <c r="CB80" s="2">
        <f t="shared" si="21"/>
        <v>-2998.6222023701039</v>
      </c>
      <c r="CC80" s="45">
        <f t="shared" si="22"/>
        <v>10423.701205963229</v>
      </c>
      <c r="CD80" s="43"/>
      <c r="CE80" s="2">
        <f t="shared" si="18"/>
        <v>0</v>
      </c>
      <c r="CF80" s="2">
        <f t="shared" si="23"/>
        <v>-2998.6222023701039</v>
      </c>
      <c r="CG80" s="2"/>
      <c r="CH80" s="2">
        <f t="shared" si="24"/>
        <v>-2998.6222023701039</v>
      </c>
      <c r="CI80" s="45">
        <f>-CH80*'Batt IN'!$E$7</f>
        <v>629.71066249772184</v>
      </c>
      <c r="CJ80" s="48"/>
      <c r="CK80" s="45">
        <f>IF('Batt IN'!$F$4="PV Only",0,IF(C80&gt;'Batt IN'!$H$43*12,0,CC80+CI80))</f>
        <v>0</v>
      </c>
      <c r="CM80" s="10">
        <f t="shared" si="25"/>
        <v>0</v>
      </c>
      <c r="CN80" s="2">
        <f>CK80/(1+('Batt IN'!$G$8))^(C80)</f>
        <v>0</v>
      </c>
      <c r="CO80" s="2">
        <f>IF(C80&lt;='Batt IN'!$O$30*12,CN80+CO79,NA())</f>
        <v>0</v>
      </c>
      <c r="CQ80" s="2">
        <f>CK80/((1+('Batt IN'!$E$8/12))^BattCalcs!C80)</f>
        <v>0</v>
      </c>
      <c r="CS80" s="10">
        <f t="shared" si="26"/>
        <v>-2998.6222023701039</v>
      </c>
      <c r="CT80" s="10">
        <f t="shared" si="27"/>
        <v>0</v>
      </c>
      <c r="CU80" s="10">
        <f t="shared" si="28"/>
        <v>-2998.6222023701039</v>
      </c>
      <c r="CV80" s="10">
        <f t="shared" si="29"/>
        <v>-2998.6222023701039</v>
      </c>
      <c r="CW80" s="2">
        <f t="shared" si="30"/>
        <v>0</v>
      </c>
      <c r="CX80" s="2">
        <f>-(SUM(CV80:CW80)*'PV IN'!$E$8)</f>
        <v>629.71066249772184</v>
      </c>
      <c r="CY80" s="2">
        <f t="shared" si="31"/>
        <v>-2368.911539872382</v>
      </c>
      <c r="CZ80" s="2">
        <f>IF(C80&lt;='Batt IN'!$H$43*12,CY80/(1+('PV IN'!$G$9))^(C80),0)</f>
        <v>-1739.2016927948796</v>
      </c>
      <c r="DA80" s="33">
        <f>IF(C80&lt;='Batt IN'!$H$43*12,AE80,0)</f>
        <v>30366.783333333333</v>
      </c>
    </row>
    <row r="81" spans="1:105" x14ac:dyDescent="0.25">
      <c r="A81">
        <f>IF(C81&lt;='Batt IN'!$H$43*12,C81,"")</f>
        <v>77</v>
      </c>
      <c r="C81">
        <v>77</v>
      </c>
      <c r="D81" s="21">
        <v>730</v>
      </c>
      <c r="E81" s="1">
        <f>1-'Batt IN'!$E$31</f>
        <v>2.0000000000000018E-2</v>
      </c>
      <c r="F81" s="12">
        <f>('Batt IN'!$E$33*365)/8760</f>
        <v>0</v>
      </c>
      <c r="G81" s="22">
        <f>'Batt IN'!$E$32/8760</f>
        <v>5.7077625570776253E-3</v>
      </c>
      <c r="H81" s="22">
        <f>'Batt IN'!$E$13/8760</f>
        <v>5.5936073059360729E-3</v>
      </c>
      <c r="I81" s="23">
        <f>IF(C81&lt;='Batt IN'!$G$14*12,'Batt IN'!$E$15/8760*'Batt IN'!$G$15,0)</f>
        <v>0</v>
      </c>
      <c r="J81" s="12">
        <f>Z81/'Batt IN'!$E$27/730</f>
        <v>2.4999999999999996E-3</v>
      </c>
      <c r="K81" s="23">
        <f>AA81/'Batt IN'!$E$27/730</f>
        <v>1.6027397260273972E-3</v>
      </c>
      <c r="L81" s="23">
        <f>AB81/'Batt IN'!$E$27/730</f>
        <v>2.0547945205479451E-4</v>
      </c>
      <c r="M81" s="23">
        <f>AC81/'Batt IN'!$E$27/730</f>
        <v>4.7945205479452057E-3</v>
      </c>
      <c r="N81" s="23">
        <f>AD81/'Batt IN'!$E$27/730</f>
        <v>3.4246575342465752E-3</v>
      </c>
      <c r="O81" s="12">
        <f t="shared" si="19"/>
        <v>4.3828767123287697E-2</v>
      </c>
      <c r="P81" s="21">
        <f t="shared" si="20"/>
        <v>698.005</v>
      </c>
      <c r="Q81" s="2">
        <f>IF('Batt IN'!$E$27*'Batt IN'!$E$24&lt;='Batt IN'!$E$28,(('Batt IN'!$E$23*'Batt IN'!$E$27*'Batt IN'!$E$24)/1000)*P81,(('Batt IN'!$E$23*'Batt IN'!$E$28*'Batt IN'!$E$24)/1000)*P81)</f>
        <v>11168.08</v>
      </c>
      <c r="R81" s="2"/>
      <c r="S81" s="77">
        <f>IF(C81&lt;='Batt IN'!$G$14*12,'Batt IN'!$E$15/12,0)</f>
        <v>0</v>
      </c>
      <c r="T81" s="77"/>
      <c r="U81" s="80">
        <f>'Batt IN'!$E$28*('Batt IN'!$G$24/24)*730*(1-O81)</f>
        <v>81433.916666666657</v>
      </c>
      <c r="V81" s="78">
        <f>U81*'Batt IN'!$F$30</f>
        <v>16286.783333333333</v>
      </c>
      <c r="W81" s="78">
        <f>'Batt IN'!$E$28*'Batt IN'!$G$32*('Batt IN'!$E$32/12)*(1+'Batt IN'!$F$30)</f>
        <v>1750.0000000000002</v>
      </c>
      <c r="X81" s="78">
        <f>'Batt IN'!$E$28*'Batt IN'!$G$13*('Batt IN'!$E$13/12)*(1+'Batt IN'!$F$30)</f>
        <v>3184.9999999999995</v>
      </c>
      <c r="Y81" s="33">
        <f>S81*'Batt IN'!$G$15*'Batt IN'!$E$28*(1+'Batt IN'!$F$30)</f>
        <v>0</v>
      </c>
      <c r="Z81" s="33">
        <f>'Batt IN'!$G$16*365/12*(1+'Batt IN'!$F$30)</f>
        <v>1824.9999999999998</v>
      </c>
      <c r="AA81" s="33">
        <f>'Batt IN'!$G$17*'Batt IN'!$E$18*'Batt IN'!$G$18/12*(1+'Batt IN'!$F$30)</f>
        <v>1170</v>
      </c>
      <c r="AB81" s="33">
        <f>'Batt IN'!$G$19*'Batt IN'!$E$20*'Batt IN'!$G$20/12*(1+'Batt IN'!$F$30)</f>
        <v>150</v>
      </c>
      <c r="AC81" s="33">
        <f>'Batt IN'!$G$21*(1+'Batt IN'!$F$30)/12</f>
        <v>3500</v>
      </c>
      <c r="AD81" s="33">
        <f>'Batt IN'!$G$22*(1+'Batt IN'!$F$30)/12</f>
        <v>2500</v>
      </c>
      <c r="AE81" s="33">
        <f t="shared" si="32"/>
        <v>30366.783333333333</v>
      </c>
      <c r="AF81" s="33">
        <f>IF('PV IN'!$F$4="Battery Only",0,AE81*'Batt IN'!$E$29)</f>
        <v>25811.765833333331</v>
      </c>
      <c r="AG81" s="33">
        <f>PVCalcs!L81</f>
        <v>25811.765833333331</v>
      </c>
      <c r="AH81" s="33">
        <f t="shared" si="33"/>
        <v>4555.0175000000017</v>
      </c>
      <c r="AI81" s="33"/>
      <c r="AJ81" s="2">
        <f>IF(AND('Batt IN'!$D$53="Yes",$AL$1&gt;=1),IF($C81='Batt IN'!$H$54*12,-'Batt IN'!$F$54,0),0)</f>
        <v>0</v>
      </c>
      <c r="AK81" s="2">
        <f>IF(AND('Batt IN'!$D$53="Yes",$AL$1&gt;=2),IF($C81='Batt IN'!$H$55*12,-'Batt IN'!$F$55,0),0)</f>
        <v>0</v>
      </c>
      <c r="AL81" s="2">
        <f>IF(AND('Batt IN'!$D$53="Yes",$AL$1&gt;=3),IF($C81='Batt IN'!$H$56*12,-'Batt IN'!$F$56,0),0)</f>
        <v>0</v>
      </c>
      <c r="AM81" s="2">
        <f>IF(AND('Batt IN'!$D$53="Yes",$AL$1&gt;=4),IF($C81='Batt IN'!$H$57*12,-'Batt IN'!$F$57,0),0)</f>
        <v>0</v>
      </c>
      <c r="AN81" s="2">
        <f>IF(AND('Batt IN'!$D$53="Yes",$AL$1&gt;=5),IF($C81='Batt IN'!$H$58*12,-'Batt IN'!$F$58,0),0)</f>
        <v>0</v>
      </c>
      <c r="AO81" s="10">
        <f>IF(AND('Batt IN'!$D$44="YES",$C81&lt;='Batt IN'!$E$44*12),-'Batt IN'!$E$28*'Batt IN'!$E$42/12,0)</f>
        <v>0</v>
      </c>
      <c r="AP81" s="10">
        <f>IF(AND('Batt IN'!$D$46="YES",$C81&lt;='Batt IN'!$E$46*12),-'Batt IN'!$E$28*'Batt IN'!$E$45/12,0)</f>
        <v>0</v>
      </c>
      <c r="AR81" s="10">
        <f>BattLoan!M108</f>
        <v>0</v>
      </c>
      <c r="AS81" s="10">
        <f>'Batt IN'!$G$16*365/12*'Batt IN'!$E$16</f>
        <v>76.041666666666671</v>
      </c>
      <c r="AT81" s="10">
        <f>IF(AND('Batt IN'!$E$18&gt;0,'Batt IN'!$G$18&gt;0),'Batt IN'!$E$17*'Batt IN'!$G$17,0)</f>
        <v>119.44619999999999</v>
      </c>
      <c r="AU81" s="10">
        <f>IF(AND('Batt IN'!$E$20&gt;0,'Batt IN'!$G$20&gt;0),'Batt IN'!$E$19*'Batt IN'!$G$19,0)</f>
        <v>231</v>
      </c>
      <c r="AV81" s="10"/>
      <c r="AW81" s="10"/>
      <c r="AX81" s="10">
        <f>IF('Batt IN'!$E$11="Non-Taxable",Q81,0)</f>
        <v>11168.08</v>
      </c>
      <c r="AY81" s="10">
        <f>IF('Batt IN'!$E$11="Non-Taxable",'Batt IN'!$E$28/1000*'Batt IN'!$G$13*('Batt IN'!$E$13/12)*'Batt IN'!$E$12,0)</f>
        <v>244.42220833333334</v>
      </c>
      <c r="AZ81" s="10">
        <f>IF('Batt IN'!$E$11="Non-Taxable",$S81*'Batt IN'!$G$15*'Batt IN'!$E$28*'Batt IN'!$E$14/1000,0)</f>
        <v>0</v>
      </c>
      <c r="BA81" s="10">
        <f>IF('Batt IN'!$E$11="Non-Taxable",'Batt IN'!$E$21*'Batt IN'!$G$21/12,0)</f>
        <v>437.5</v>
      </c>
      <c r="BB81" s="10">
        <f>IF('Batt IN'!$E$11="Non-Taxable",'Batt IN'!$E$22*'Batt IN'!$G$22/12,0)</f>
        <v>1145.8333333333335</v>
      </c>
      <c r="BC81" s="10">
        <f>IF('Batt IN'!$E$11="Taxable",Q81,0)</f>
        <v>0</v>
      </c>
      <c r="BD81" s="10">
        <f>IF('Batt IN'!$E$11="Taxable",'Batt IN'!$E$28/1000*'Batt IN'!$G$13*('Batt IN'!$E$13/12)*'Batt IN'!$E$12,0)</f>
        <v>0</v>
      </c>
      <c r="BE81" s="10">
        <f>IF('Batt IN'!$E$11="Taxable",$S81*'Batt IN'!$G$15*'Batt IN'!$E$28*'Batt IN'!$E$14/1000,0)</f>
        <v>0</v>
      </c>
      <c r="BF81" s="10">
        <f>IF('Batt IN'!$E$11="Taxable",'Batt IN'!$E$21*'Batt IN'!$G$21/12,0)</f>
        <v>0</v>
      </c>
      <c r="BG81" s="10">
        <f>IF('Batt IN'!$E$11="Taxable",'Batt IN'!$E$22*'Batt IN'!$G$22/12,0)</f>
        <v>0</v>
      </c>
      <c r="BK81" s="10">
        <f>IF('Batt IN'!$N$18="Yes",-BattLoan!H109,-BattLoan!L109)</f>
        <v>0</v>
      </c>
      <c r="BL81" s="10">
        <f>IF('Batt IN'!$N$18="Yes",-BattLoan!F109,0)</f>
        <v>0</v>
      </c>
      <c r="BM81" s="10">
        <f>IF(AND('Batt IN'!$D$44="YES",$C81&lt;='Batt IN'!$E$44*12),0,-'Batt IN'!$E$28*'Batt IN'!$E$42/12)</f>
        <v>-83.333333333333329</v>
      </c>
      <c r="BN81" s="10">
        <f>IF(AND('Batt IN'!$D$46="YES",$C81&lt;='Batt IN'!$E$46*12),0,-'Batt IN'!$E$28*'Batt IN'!$E$45/12)</f>
        <v>-166.66666666666666</v>
      </c>
      <c r="BO81" s="2">
        <f>IF(AND('Batt IN'!$D$41="YES",BattCalcs!C81=ROUNDUP('Batt IN'!$H$41*12,)),-'Batt IN'!$E$41*'Batt IN'!$E$28,0)</f>
        <v>0</v>
      </c>
      <c r="BP81" s="2">
        <f>IF(AND('Batt IN'!$D$53="Yes",$AL$1&gt;=1),0,IF($C81='Batt IN'!$H$54*12,-'Batt IN'!$F$54,0))</f>
        <v>0</v>
      </c>
      <c r="BQ81" s="2">
        <f>IF(AND('Batt IN'!$D$53="Yes",$AL$1&gt;=2),0,IF($C81='Batt IN'!$H$55*12,-'Batt IN'!$F$55,0))</f>
        <v>0</v>
      </c>
      <c r="BR81" s="2">
        <f>IF(AND('Batt IN'!$D$53="Yes",$AL$1&gt;=3),0,IF($C81='Batt IN'!$H$56*12,-'Batt IN'!$F$56,0))</f>
        <v>0</v>
      </c>
      <c r="BS81" s="2">
        <f>IF(AND('Batt IN'!$D$53="Yes",$AL$1&gt;=4),0,IF($C81='Batt IN'!$H$57*12,-'Batt IN'!$F$57,0))</f>
        <v>0</v>
      </c>
      <c r="BT81" s="2">
        <f>IF(AND('Batt IN'!$D$53="Yes",$AL$1&gt;=5),0,IF($C81='Batt IN'!$H$58*12,-'Batt IN'!$F$58,0))</f>
        <v>0</v>
      </c>
      <c r="BU81" s="2">
        <f>-AH81*PVCalcs!F81</f>
        <v>-348.62220237010365</v>
      </c>
      <c r="BV81" s="2">
        <f>-'Batt IN'!$E$47</f>
        <v>-150</v>
      </c>
      <c r="BW81" s="2">
        <f>-'Batt IN'!$E$49</f>
        <v>-2250</v>
      </c>
      <c r="BX81" s="2">
        <f>IF('Batt IN'!$H$50="No",-(BC81*'Batt IN'!$E$50),-(BC81+BE81)*'Batt IN'!$E$50)</f>
        <v>0</v>
      </c>
      <c r="BY81" s="2">
        <f>IF(C81='Batt IN'!$H$43*12,-'Batt IN'!$E$43,0)</f>
        <v>0</v>
      </c>
      <c r="BZ81" s="38"/>
      <c r="CA81" s="10">
        <f t="shared" si="17"/>
        <v>13422.323408333334</v>
      </c>
      <c r="CB81" s="2">
        <f t="shared" si="21"/>
        <v>-2998.6222023701039</v>
      </c>
      <c r="CC81" s="45">
        <f t="shared" si="22"/>
        <v>10423.701205963229</v>
      </c>
      <c r="CD81" s="43"/>
      <c r="CE81" s="2">
        <f t="shared" si="18"/>
        <v>0</v>
      </c>
      <c r="CF81" s="2">
        <f t="shared" si="23"/>
        <v>-2998.6222023701039</v>
      </c>
      <c r="CG81" s="2"/>
      <c r="CH81" s="2">
        <f t="shared" si="24"/>
        <v>-2998.6222023701039</v>
      </c>
      <c r="CI81" s="45">
        <f>-CH81*'Batt IN'!$E$7</f>
        <v>629.71066249772184</v>
      </c>
      <c r="CJ81" s="48"/>
      <c r="CK81" s="45">
        <f>IF('Batt IN'!$F$4="PV Only",0,IF(C81&gt;'Batt IN'!$H$43*12,0,CC81+CI81))</f>
        <v>0</v>
      </c>
      <c r="CM81" s="10">
        <f t="shared" si="25"/>
        <v>0</v>
      </c>
      <c r="CN81" s="2">
        <f>CK81/(1+('Batt IN'!$G$8))^(C81)</f>
        <v>0</v>
      </c>
      <c r="CO81" s="2">
        <f>IF(C81&lt;='Batt IN'!$O$30*12,CN81+CO80,NA())</f>
        <v>0</v>
      </c>
      <c r="CQ81" s="2">
        <f>CK81/((1+('Batt IN'!$E$8/12))^BattCalcs!C81)</f>
        <v>0</v>
      </c>
      <c r="CS81" s="10">
        <f t="shared" si="26"/>
        <v>-2998.6222023701039</v>
      </c>
      <c r="CT81" s="10">
        <f t="shared" si="27"/>
        <v>0</v>
      </c>
      <c r="CU81" s="10">
        <f t="shared" si="28"/>
        <v>-2998.6222023701039</v>
      </c>
      <c r="CV81" s="10">
        <f t="shared" si="29"/>
        <v>-2998.6222023701039</v>
      </c>
      <c r="CW81" s="2">
        <f t="shared" si="30"/>
        <v>0</v>
      </c>
      <c r="CX81" s="2">
        <f>-(SUM(CV81:CW81)*'PV IN'!$E$8)</f>
        <v>629.71066249772184</v>
      </c>
      <c r="CY81" s="2">
        <f t="shared" si="31"/>
        <v>-2368.911539872382</v>
      </c>
      <c r="CZ81" s="2">
        <f>IF(C81&lt;='Batt IN'!$H$43*12,CY81/(1+('PV IN'!$G$9))^(C81),0)</f>
        <v>-1732.1447207911833</v>
      </c>
      <c r="DA81" s="33">
        <f>IF(C81&lt;='Batt IN'!$H$43*12,AE81,0)</f>
        <v>30366.783333333333</v>
      </c>
    </row>
    <row r="82" spans="1:105" x14ac:dyDescent="0.25">
      <c r="A82">
        <f>IF(C82&lt;='Batt IN'!$H$43*12,C82,"")</f>
        <v>78</v>
      </c>
      <c r="C82">
        <v>78</v>
      </c>
      <c r="D82" s="21">
        <v>730</v>
      </c>
      <c r="E82" s="1">
        <f>1-'Batt IN'!$E$31</f>
        <v>2.0000000000000018E-2</v>
      </c>
      <c r="F82" s="12">
        <f>('Batt IN'!$E$33*365)/8760</f>
        <v>0</v>
      </c>
      <c r="G82" s="22">
        <f>'Batt IN'!$E$32/8760</f>
        <v>5.7077625570776253E-3</v>
      </c>
      <c r="H82" s="22">
        <f>'Batt IN'!$E$13/8760</f>
        <v>5.5936073059360729E-3</v>
      </c>
      <c r="I82" s="23">
        <f>IF(C82&lt;='Batt IN'!$G$14*12,'Batt IN'!$E$15/8760*'Batt IN'!$G$15,0)</f>
        <v>0</v>
      </c>
      <c r="J82" s="12">
        <f>Z82/'Batt IN'!$E$27/730</f>
        <v>2.4999999999999996E-3</v>
      </c>
      <c r="K82" s="23">
        <f>AA82/'Batt IN'!$E$27/730</f>
        <v>1.6027397260273972E-3</v>
      </c>
      <c r="L82" s="23">
        <f>AB82/'Batt IN'!$E$27/730</f>
        <v>2.0547945205479451E-4</v>
      </c>
      <c r="M82" s="23">
        <f>AC82/'Batt IN'!$E$27/730</f>
        <v>4.7945205479452057E-3</v>
      </c>
      <c r="N82" s="23">
        <f>AD82/'Batt IN'!$E$27/730</f>
        <v>3.4246575342465752E-3</v>
      </c>
      <c r="O82" s="12">
        <f t="shared" si="19"/>
        <v>4.3828767123287697E-2</v>
      </c>
      <c r="P82" s="21">
        <f t="shared" si="20"/>
        <v>698.005</v>
      </c>
      <c r="Q82" s="2">
        <f>IF('Batt IN'!$E$27*'Batt IN'!$E$24&lt;='Batt IN'!$E$28,(('Batt IN'!$E$23*'Batt IN'!$E$27*'Batt IN'!$E$24)/1000)*P82,(('Batt IN'!$E$23*'Batt IN'!$E$28*'Batt IN'!$E$24)/1000)*P82)</f>
        <v>11168.08</v>
      </c>
      <c r="R82" s="2"/>
      <c r="S82" s="77">
        <f>IF(C82&lt;='Batt IN'!$G$14*12,'Batt IN'!$E$15/12,0)</f>
        <v>0</v>
      </c>
      <c r="T82" s="77"/>
      <c r="U82" s="80">
        <f>'Batt IN'!$E$28*('Batt IN'!$G$24/24)*730*(1-O82)</f>
        <v>81433.916666666657</v>
      </c>
      <c r="V82" s="78">
        <f>U82*'Batt IN'!$F$30</f>
        <v>16286.783333333333</v>
      </c>
      <c r="W82" s="78">
        <f>'Batt IN'!$E$28*'Batt IN'!$G$32*('Batt IN'!$E$32/12)*(1+'Batt IN'!$F$30)</f>
        <v>1750.0000000000002</v>
      </c>
      <c r="X82" s="78">
        <f>'Batt IN'!$E$28*'Batt IN'!$G$13*('Batt IN'!$E$13/12)*(1+'Batt IN'!$F$30)</f>
        <v>3184.9999999999995</v>
      </c>
      <c r="Y82" s="33">
        <f>S82*'Batt IN'!$G$15*'Batt IN'!$E$28*(1+'Batt IN'!$F$30)</f>
        <v>0</v>
      </c>
      <c r="Z82" s="33">
        <f>'Batt IN'!$G$16*365/12*(1+'Batt IN'!$F$30)</f>
        <v>1824.9999999999998</v>
      </c>
      <c r="AA82" s="33">
        <f>'Batt IN'!$G$17*'Batt IN'!$E$18*'Batt IN'!$G$18/12*(1+'Batt IN'!$F$30)</f>
        <v>1170</v>
      </c>
      <c r="AB82" s="33">
        <f>'Batt IN'!$G$19*'Batt IN'!$E$20*'Batt IN'!$G$20/12*(1+'Batt IN'!$F$30)</f>
        <v>150</v>
      </c>
      <c r="AC82" s="33">
        <f>'Batt IN'!$G$21*(1+'Batt IN'!$F$30)/12</f>
        <v>3500</v>
      </c>
      <c r="AD82" s="33">
        <f>'Batt IN'!$G$22*(1+'Batt IN'!$F$30)/12</f>
        <v>2500</v>
      </c>
      <c r="AE82" s="33">
        <f t="shared" si="32"/>
        <v>30366.783333333333</v>
      </c>
      <c r="AF82" s="33">
        <f>IF('PV IN'!$F$4="Battery Only",0,AE82*'Batt IN'!$E$29)</f>
        <v>25811.765833333331</v>
      </c>
      <c r="AG82" s="33">
        <f>PVCalcs!L82</f>
        <v>25811.765833333331</v>
      </c>
      <c r="AH82" s="33">
        <f t="shared" si="33"/>
        <v>4555.0175000000017</v>
      </c>
      <c r="AI82" s="33"/>
      <c r="AJ82" s="2">
        <f>IF(AND('Batt IN'!$D$53="Yes",$AL$1&gt;=1),IF($C82='Batt IN'!$H$54*12,-'Batt IN'!$F$54,0),0)</f>
        <v>0</v>
      </c>
      <c r="AK82" s="2">
        <f>IF(AND('Batt IN'!$D$53="Yes",$AL$1&gt;=2),IF($C82='Batt IN'!$H$55*12,-'Batt IN'!$F$55,0),0)</f>
        <v>0</v>
      </c>
      <c r="AL82" s="2">
        <f>IF(AND('Batt IN'!$D$53="Yes",$AL$1&gt;=3),IF($C82='Batt IN'!$H$56*12,-'Batt IN'!$F$56,0),0)</f>
        <v>0</v>
      </c>
      <c r="AM82" s="2">
        <f>IF(AND('Batt IN'!$D$53="Yes",$AL$1&gt;=4),IF($C82='Batt IN'!$H$57*12,-'Batt IN'!$F$57,0),0)</f>
        <v>0</v>
      </c>
      <c r="AN82" s="2">
        <f>IF(AND('Batt IN'!$D$53="Yes",$AL$1&gt;=5),IF($C82='Batt IN'!$H$58*12,-'Batt IN'!$F$58,0),0)</f>
        <v>0</v>
      </c>
      <c r="AO82" s="10">
        <f>IF(AND('Batt IN'!$D$44="YES",$C82&lt;='Batt IN'!$E$44*12),-'Batt IN'!$E$28*'Batt IN'!$E$42/12,0)</f>
        <v>0</v>
      </c>
      <c r="AP82" s="10">
        <f>IF(AND('Batt IN'!$D$46="YES",$C82&lt;='Batt IN'!$E$46*12),-'Batt IN'!$E$28*'Batt IN'!$E$45/12,0)</f>
        <v>0</v>
      </c>
      <c r="AR82" s="10">
        <f>BattLoan!M109</f>
        <v>0</v>
      </c>
      <c r="AS82" s="10">
        <f>'Batt IN'!$G$16*365/12*'Batt IN'!$E$16</f>
        <v>76.041666666666671</v>
      </c>
      <c r="AT82" s="10">
        <f>IF(AND('Batt IN'!$E$18&gt;0,'Batt IN'!$G$18&gt;0),'Batt IN'!$E$17*'Batt IN'!$G$17,0)</f>
        <v>119.44619999999999</v>
      </c>
      <c r="AU82" s="10">
        <f>IF(AND('Batt IN'!$E$20&gt;0,'Batt IN'!$G$20&gt;0),'Batt IN'!$E$19*'Batt IN'!$G$19,0)</f>
        <v>231</v>
      </c>
      <c r="AV82" s="10"/>
      <c r="AW82" s="10"/>
      <c r="AX82" s="10">
        <f>IF('Batt IN'!$E$11="Non-Taxable",Q82,0)</f>
        <v>11168.08</v>
      </c>
      <c r="AY82" s="10">
        <f>IF('Batt IN'!$E$11="Non-Taxable",'Batt IN'!$E$28/1000*'Batt IN'!$G$13*('Batt IN'!$E$13/12)*'Batt IN'!$E$12,0)</f>
        <v>244.42220833333334</v>
      </c>
      <c r="AZ82" s="10">
        <f>IF('Batt IN'!$E$11="Non-Taxable",$S82*'Batt IN'!$G$15*'Batt IN'!$E$28*'Batt IN'!$E$14/1000,0)</f>
        <v>0</v>
      </c>
      <c r="BA82" s="10">
        <f>IF('Batt IN'!$E$11="Non-Taxable",'Batt IN'!$E$21*'Batt IN'!$G$21/12,0)</f>
        <v>437.5</v>
      </c>
      <c r="BB82" s="10">
        <f>IF('Batt IN'!$E$11="Non-Taxable",'Batt IN'!$E$22*'Batt IN'!$G$22/12,0)</f>
        <v>1145.8333333333335</v>
      </c>
      <c r="BC82" s="10">
        <f>IF('Batt IN'!$E$11="Taxable",Q82,0)</f>
        <v>0</v>
      </c>
      <c r="BD82" s="10">
        <f>IF('Batt IN'!$E$11="Taxable",'Batt IN'!$E$28/1000*'Batt IN'!$G$13*('Batt IN'!$E$13/12)*'Batt IN'!$E$12,0)</f>
        <v>0</v>
      </c>
      <c r="BE82" s="10">
        <f>IF('Batt IN'!$E$11="Taxable",$S82*'Batt IN'!$G$15*'Batt IN'!$E$28*'Batt IN'!$E$14/1000,0)</f>
        <v>0</v>
      </c>
      <c r="BF82" s="10">
        <f>IF('Batt IN'!$E$11="Taxable",'Batt IN'!$E$21*'Batt IN'!$G$21/12,0)</f>
        <v>0</v>
      </c>
      <c r="BG82" s="10">
        <f>IF('Batt IN'!$E$11="Taxable",'Batt IN'!$E$22*'Batt IN'!$G$22/12,0)</f>
        <v>0</v>
      </c>
      <c r="BK82" s="10">
        <f>IF('Batt IN'!$N$18="Yes",-BattLoan!H110,-BattLoan!L110)</f>
        <v>0</v>
      </c>
      <c r="BL82" s="10">
        <f>IF('Batt IN'!$N$18="Yes",-BattLoan!F110,0)</f>
        <v>0</v>
      </c>
      <c r="BM82" s="10">
        <f>IF(AND('Batt IN'!$D$44="YES",$C82&lt;='Batt IN'!$E$44*12),0,-'Batt IN'!$E$28*'Batt IN'!$E$42/12)</f>
        <v>-83.333333333333329</v>
      </c>
      <c r="BN82" s="10">
        <f>IF(AND('Batt IN'!$D$46="YES",$C82&lt;='Batt IN'!$E$46*12),0,-'Batt IN'!$E$28*'Batt IN'!$E$45/12)</f>
        <v>-166.66666666666666</v>
      </c>
      <c r="BO82" s="2">
        <f>IF(AND('Batt IN'!$D$41="YES",BattCalcs!C82=ROUNDUP('Batt IN'!$H$41*12,)),-'Batt IN'!$E$41*'Batt IN'!$E$28,0)</f>
        <v>0</v>
      </c>
      <c r="BP82" s="2">
        <f>IF(AND('Batt IN'!$D$53="Yes",$AL$1&gt;=1),0,IF($C82='Batt IN'!$H$54*12,-'Batt IN'!$F$54,0))</f>
        <v>0</v>
      </c>
      <c r="BQ82" s="2">
        <f>IF(AND('Batt IN'!$D$53="Yes",$AL$1&gt;=2),0,IF($C82='Batt IN'!$H$55*12,-'Batt IN'!$F$55,0))</f>
        <v>0</v>
      </c>
      <c r="BR82" s="2">
        <f>IF(AND('Batt IN'!$D$53="Yes",$AL$1&gt;=3),0,IF($C82='Batt IN'!$H$56*12,-'Batt IN'!$F$56,0))</f>
        <v>0</v>
      </c>
      <c r="BS82" s="2">
        <f>IF(AND('Batt IN'!$D$53="Yes",$AL$1&gt;=4),0,IF($C82='Batt IN'!$H$57*12,-'Batt IN'!$F$57,0))</f>
        <v>0</v>
      </c>
      <c r="BT82" s="2">
        <f>IF(AND('Batt IN'!$D$53="Yes",$AL$1&gt;=5),0,IF($C82='Batt IN'!$H$58*12,-'Batt IN'!$F$58,0))</f>
        <v>0</v>
      </c>
      <c r="BU82" s="2">
        <f>-AH82*PVCalcs!F82</f>
        <v>-348.62220237010365</v>
      </c>
      <c r="BV82" s="2">
        <f>-'Batt IN'!$E$47</f>
        <v>-150</v>
      </c>
      <c r="BW82" s="2">
        <f>-'Batt IN'!$E$49</f>
        <v>-2250</v>
      </c>
      <c r="BX82" s="2">
        <f>IF('Batt IN'!$H$50="No",-(BC82*'Batt IN'!$E$50),-(BC82+BE82)*'Batt IN'!$E$50)</f>
        <v>0</v>
      </c>
      <c r="BY82" s="2">
        <f>IF(C82='Batt IN'!$H$43*12,-'Batt IN'!$E$43,0)</f>
        <v>0</v>
      </c>
      <c r="BZ82" s="38"/>
      <c r="CA82" s="10">
        <f t="shared" si="17"/>
        <v>13422.323408333334</v>
      </c>
      <c r="CB82" s="2">
        <f t="shared" si="21"/>
        <v>-2998.6222023701039</v>
      </c>
      <c r="CC82" s="45">
        <f t="shared" si="22"/>
        <v>10423.701205963229</v>
      </c>
      <c r="CD82" s="43"/>
      <c r="CE82" s="2">
        <f t="shared" si="18"/>
        <v>0</v>
      </c>
      <c r="CF82" s="2">
        <f t="shared" si="23"/>
        <v>-2998.6222023701039</v>
      </c>
      <c r="CG82" s="2"/>
      <c r="CH82" s="2">
        <f t="shared" si="24"/>
        <v>-2998.6222023701039</v>
      </c>
      <c r="CI82" s="45">
        <f>-CH82*'Batt IN'!$E$7</f>
        <v>629.71066249772184</v>
      </c>
      <c r="CJ82" s="48"/>
      <c r="CK82" s="45">
        <f>IF('Batt IN'!$F$4="PV Only",0,IF(C82&gt;'Batt IN'!$H$43*12,0,CC82+CI82))</f>
        <v>0</v>
      </c>
      <c r="CM82" s="10">
        <f t="shared" si="25"/>
        <v>0</v>
      </c>
      <c r="CN82" s="2">
        <f>CK82/(1+('Batt IN'!$G$8))^(C82)</f>
        <v>0</v>
      </c>
      <c r="CO82" s="2">
        <f>IF(C82&lt;='Batt IN'!$O$30*12,CN82+CO81,NA())</f>
        <v>0</v>
      </c>
      <c r="CQ82" s="2">
        <f>CK82/((1+('Batt IN'!$E$8/12))^BattCalcs!C82)</f>
        <v>0</v>
      </c>
      <c r="CS82" s="10">
        <f t="shared" si="26"/>
        <v>-2998.6222023701039</v>
      </c>
      <c r="CT82" s="10">
        <f t="shared" si="27"/>
        <v>0</v>
      </c>
      <c r="CU82" s="10">
        <f t="shared" si="28"/>
        <v>-2998.6222023701039</v>
      </c>
      <c r="CV82" s="10">
        <f t="shared" si="29"/>
        <v>-2998.6222023701039</v>
      </c>
      <c r="CW82" s="2">
        <f t="shared" si="30"/>
        <v>0</v>
      </c>
      <c r="CX82" s="2">
        <f>-(SUM(CV82:CW82)*'PV IN'!$E$8)</f>
        <v>629.71066249772184</v>
      </c>
      <c r="CY82" s="2">
        <f t="shared" si="31"/>
        <v>-2368.911539872382</v>
      </c>
      <c r="CZ82" s="2">
        <f>IF(C82&lt;='Batt IN'!$H$43*12,CY82/(1+('PV IN'!$G$9))^(C82),0)</f>
        <v>-1725.1163831052127</v>
      </c>
      <c r="DA82" s="33">
        <f>IF(C82&lt;='Batt IN'!$H$43*12,AE82,0)</f>
        <v>30366.783333333333</v>
      </c>
    </row>
    <row r="83" spans="1:105" x14ac:dyDescent="0.25">
      <c r="A83">
        <f>IF(C83&lt;='Batt IN'!$H$43*12,C83,"")</f>
        <v>79</v>
      </c>
      <c r="C83">
        <v>79</v>
      </c>
      <c r="D83" s="21">
        <v>730</v>
      </c>
      <c r="E83" s="1">
        <f>1-'Batt IN'!$E$31</f>
        <v>2.0000000000000018E-2</v>
      </c>
      <c r="F83" s="12">
        <f>('Batt IN'!$E$33*365)/8760</f>
        <v>0</v>
      </c>
      <c r="G83" s="22">
        <f>'Batt IN'!$E$32/8760</f>
        <v>5.7077625570776253E-3</v>
      </c>
      <c r="H83" s="22">
        <f>'Batt IN'!$E$13/8760</f>
        <v>5.5936073059360729E-3</v>
      </c>
      <c r="I83" s="23">
        <f>IF(C83&lt;='Batt IN'!$G$14*12,'Batt IN'!$E$15/8760*'Batt IN'!$G$15,0)</f>
        <v>0</v>
      </c>
      <c r="J83" s="12">
        <f>Z83/'Batt IN'!$E$27/730</f>
        <v>2.4999999999999996E-3</v>
      </c>
      <c r="K83" s="23">
        <f>AA83/'Batt IN'!$E$27/730</f>
        <v>1.6027397260273972E-3</v>
      </c>
      <c r="L83" s="23">
        <f>AB83/'Batt IN'!$E$27/730</f>
        <v>2.0547945205479451E-4</v>
      </c>
      <c r="M83" s="23">
        <f>AC83/'Batt IN'!$E$27/730</f>
        <v>4.7945205479452057E-3</v>
      </c>
      <c r="N83" s="23">
        <f>AD83/'Batt IN'!$E$27/730</f>
        <v>3.4246575342465752E-3</v>
      </c>
      <c r="O83" s="12">
        <f t="shared" si="19"/>
        <v>4.3828767123287697E-2</v>
      </c>
      <c r="P83" s="21">
        <f t="shared" si="20"/>
        <v>698.005</v>
      </c>
      <c r="Q83" s="2">
        <f>IF('Batt IN'!$E$27*'Batt IN'!$E$24&lt;='Batt IN'!$E$28,(('Batt IN'!$E$23*'Batt IN'!$E$27*'Batt IN'!$E$24)/1000)*P83,(('Batt IN'!$E$23*'Batt IN'!$E$28*'Batt IN'!$E$24)/1000)*P83)</f>
        <v>11168.08</v>
      </c>
      <c r="R83" s="2"/>
      <c r="S83" s="77">
        <f>IF(C83&lt;='Batt IN'!$G$14*12,'Batt IN'!$E$15/12,0)</f>
        <v>0</v>
      </c>
      <c r="T83" s="77"/>
      <c r="U83" s="80">
        <f>'Batt IN'!$E$28*('Batt IN'!$G$24/24)*730*(1-O83)</f>
        <v>81433.916666666657</v>
      </c>
      <c r="V83" s="78">
        <f>U83*'Batt IN'!$F$30</f>
        <v>16286.783333333333</v>
      </c>
      <c r="W83" s="78">
        <f>'Batt IN'!$E$28*'Batt IN'!$G$32*('Batt IN'!$E$32/12)*(1+'Batt IN'!$F$30)</f>
        <v>1750.0000000000002</v>
      </c>
      <c r="X83" s="78">
        <f>'Batt IN'!$E$28*'Batt IN'!$G$13*('Batt IN'!$E$13/12)*(1+'Batt IN'!$F$30)</f>
        <v>3184.9999999999995</v>
      </c>
      <c r="Y83" s="33">
        <f>S83*'Batt IN'!$G$15*'Batt IN'!$E$28*(1+'Batt IN'!$F$30)</f>
        <v>0</v>
      </c>
      <c r="Z83" s="33">
        <f>'Batt IN'!$G$16*365/12*(1+'Batt IN'!$F$30)</f>
        <v>1824.9999999999998</v>
      </c>
      <c r="AA83" s="33">
        <f>'Batt IN'!$G$17*'Batt IN'!$E$18*'Batt IN'!$G$18/12*(1+'Batt IN'!$F$30)</f>
        <v>1170</v>
      </c>
      <c r="AB83" s="33">
        <f>'Batt IN'!$G$19*'Batt IN'!$E$20*'Batt IN'!$G$20/12*(1+'Batt IN'!$F$30)</f>
        <v>150</v>
      </c>
      <c r="AC83" s="33">
        <f>'Batt IN'!$G$21*(1+'Batt IN'!$F$30)/12</f>
        <v>3500</v>
      </c>
      <c r="AD83" s="33">
        <f>'Batt IN'!$G$22*(1+'Batt IN'!$F$30)/12</f>
        <v>2500</v>
      </c>
      <c r="AE83" s="33">
        <f t="shared" si="32"/>
        <v>30366.783333333333</v>
      </c>
      <c r="AF83" s="33">
        <f>IF('PV IN'!$F$4="Battery Only",0,AE83*'Batt IN'!$E$29)</f>
        <v>25811.765833333331</v>
      </c>
      <c r="AG83" s="33">
        <f>PVCalcs!L83</f>
        <v>25811.765833333331</v>
      </c>
      <c r="AH83" s="33">
        <f t="shared" si="33"/>
        <v>4555.0175000000017</v>
      </c>
      <c r="AI83" s="33"/>
      <c r="AJ83" s="2">
        <f>IF(AND('Batt IN'!$D$53="Yes",$AL$1&gt;=1),IF($C83='Batt IN'!$H$54*12,-'Batt IN'!$F$54,0),0)</f>
        <v>0</v>
      </c>
      <c r="AK83" s="2">
        <f>IF(AND('Batt IN'!$D$53="Yes",$AL$1&gt;=2),IF($C83='Batt IN'!$H$55*12,-'Batt IN'!$F$55,0),0)</f>
        <v>0</v>
      </c>
      <c r="AL83" s="2">
        <f>IF(AND('Batt IN'!$D$53="Yes",$AL$1&gt;=3),IF($C83='Batt IN'!$H$56*12,-'Batt IN'!$F$56,0),0)</f>
        <v>0</v>
      </c>
      <c r="AM83" s="2">
        <f>IF(AND('Batt IN'!$D$53="Yes",$AL$1&gt;=4),IF($C83='Batt IN'!$H$57*12,-'Batt IN'!$F$57,0),0)</f>
        <v>0</v>
      </c>
      <c r="AN83" s="2">
        <f>IF(AND('Batt IN'!$D$53="Yes",$AL$1&gt;=5),IF($C83='Batt IN'!$H$58*12,-'Batt IN'!$F$58,0),0)</f>
        <v>0</v>
      </c>
      <c r="AO83" s="10">
        <f>IF(AND('Batt IN'!$D$44="YES",$C83&lt;='Batt IN'!$E$44*12),-'Batt IN'!$E$28*'Batt IN'!$E$42/12,0)</f>
        <v>0</v>
      </c>
      <c r="AP83" s="10">
        <f>IF(AND('Batt IN'!$D$46="YES",$C83&lt;='Batt IN'!$E$46*12),-'Batt IN'!$E$28*'Batt IN'!$E$45/12,0)</f>
        <v>0</v>
      </c>
      <c r="AR83" s="10">
        <f>BattLoan!M110</f>
        <v>0</v>
      </c>
      <c r="AS83" s="10">
        <f>'Batt IN'!$G$16*365/12*'Batt IN'!$E$16</f>
        <v>76.041666666666671</v>
      </c>
      <c r="AT83" s="10">
        <f>IF(AND('Batt IN'!$E$18&gt;0,'Batt IN'!$G$18&gt;0),'Batt IN'!$E$17*'Batt IN'!$G$17,0)</f>
        <v>119.44619999999999</v>
      </c>
      <c r="AU83" s="10">
        <f>IF(AND('Batt IN'!$E$20&gt;0,'Batt IN'!$G$20&gt;0),'Batt IN'!$E$19*'Batt IN'!$G$19,0)</f>
        <v>231</v>
      </c>
      <c r="AV83" s="10"/>
      <c r="AW83" s="10"/>
      <c r="AX83" s="10">
        <f>IF('Batt IN'!$E$11="Non-Taxable",Q83,0)</f>
        <v>11168.08</v>
      </c>
      <c r="AY83" s="10">
        <f>IF('Batt IN'!$E$11="Non-Taxable",'Batt IN'!$E$28/1000*'Batt IN'!$G$13*('Batt IN'!$E$13/12)*'Batt IN'!$E$12,0)</f>
        <v>244.42220833333334</v>
      </c>
      <c r="AZ83" s="10">
        <f>IF('Batt IN'!$E$11="Non-Taxable",$S83*'Batt IN'!$G$15*'Batt IN'!$E$28*'Batt IN'!$E$14/1000,0)</f>
        <v>0</v>
      </c>
      <c r="BA83" s="10">
        <f>IF('Batt IN'!$E$11="Non-Taxable",'Batt IN'!$E$21*'Batt IN'!$G$21/12,0)</f>
        <v>437.5</v>
      </c>
      <c r="BB83" s="10">
        <f>IF('Batt IN'!$E$11="Non-Taxable",'Batt IN'!$E$22*'Batt IN'!$G$22/12,0)</f>
        <v>1145.8333333333335</v>
      </c>
      <c r="BC83" s="10">
        <f>IF('Batt IN'!$E$11="Taxable",Q83,0)</f>
        <v>0</v>
      </c>
      <c r="BD83" s="10">
        <f>IF('Batt IN'!$E$11="Taxable",'Batt IN'!$E$28/1000*'Batt IN'!$G$13*('Batt IN'!$E$13/12)*'Batt IN'!$E$12,0)</f>
        <v>0</v>
      </c>
      <c r="BE83" s="10">
        <f>IF('Batt IN'!$E$11="Taxable",$S83*'Batt IN'!$G$15*'Batt IN'!$E$28*'Batt IN'!$E$14/1000,0)</f>
        <v>0</v>
      </c>
      <c r="BF83" s="10">
        <f>IF('Batt IN'!$E$11="Taxable",'Batt IN'!$E$21*'Batt IN'!$G$21/12,0)</f>
        <v>0</v>
      </c>
      <c r="BG83" s="10">
        <f>IF('Batt IN'!$E$11="Taxable",'Batt IN'!$E$22*'Batt IN'!$G$22/12,0)</f>
        <v>0</v>
      </c>
      <c r="BK83" s="10">
        <f>IF('Batt IN'!$N$18="Yes",-BattLoan!H111,-BattLoan!L111)</f>
        <v>0</v>
      </c>
      <c r="BL83" s="10">
        <f>IF('Batt IN'!$N$18="Yes",-BattLoan!F111,0)</f>
        <v>0</v>
      </c>
      <c r="BM83" s="10">
        <f>IF(AND('Batt IN'!$D$44="YES",$C83&lt;='Batt IN'!$E$44*12),0,-'Batt IN'!$E$28*'Batt IN'!$E$42/12)</f>
        <v>-83.333333333333329</v>
      </c>
      <c r="BN83" s="10">
        <f>IF(AND('Batt IN'!$D$46="YES",$C83&lt;='Batt IN'!$E$46*12),0,-'Batt IN'!$E$28*'Batt IN'!$E$45/12)</f>
        <v>-166.66666666666666</v>
      </c>
      <c r="BO83" s="2">
        <f>IF(AND('Batt IN'!$D$41="YES",BattCalcs!C83=ROUNDUP('Batt IN'!$H$41*12,)),-'Batt IN'!$E$41*'Batt IN'!$E$28,0)</f>
        <v>0</v>
      </c>
      <c r="BP83" s="2">
        <f>IF(AND('Batt IN'!$D$53="Yes",$AL$1&gt;=1),0,IF($C83='Batt IN'!$H$54*12,-'Batt IN'!$F$54,0))</f>
        <v>0</v>
      </c>
      <c r="BQ83" s="2">
        <f>IF(AND('Batt IN'!$D$53="Yes",$AL$1&gt;=2),0,IF($C83='Batt IN'!$H$55*12,-'Batt IN'!$F$55,0))</f>
        <v>0</v>
      </c>
      <c r="BR83" s="2">
        <f>IF(AND('Batt IN'!$D$53="Yes",$AL$1&gt;=3),0,IF($C83='Batt IN'!$H$56*12,-'Batt IN'!$F$56,0))</f>
        <v>0</v>
      </c>
      <c r="BS83" s="2">
        <f>IF(AND('Batt IN'!$D$53="Yes",$AL$1&gt;=4),0,IF($C83='Batt IN'!$H$57*12,-'Batt IN'!$F$57,0))</f>
        <v>0</v>
      </c>
      <c r="BT83" s="2">
        <f>IF(AND('Batt IN'!$D$53="Yes",$AL$1&gt;=5),0,IF($C83='Batt IN'!$H$58*12,-'Batt IN'!$F$58,0))</f>
        <v>0</v>
      </c>
      <c r="BU83" s="2">
        <f>-AH83*PVCalcs!F83</f>
        <v>-348.62220237010365</v>
      </c>
      <c r="BV83" s="2">
        <f>-'Batt IN'!$E$47</f>
        <v>-150</v>
      </c>
      <c r="BW83" s="2">
        <f>-'Batt IN'!$E$49</f>
        <v>-2250</v>
      </c>
      <c r="BX83" s="2">
        <f>IF('Batt IN'!$H$50="No",-(BC83*'Batt IN'!$E$50),-(BC83+BE83)*'Batt IN'!$E$50)</f>
        <v>0</v>
      </c>
      <c r="BY83" s="2">
        <f>IF(C83='Batt IN'!$H$43*12,-'Batt IN'!$E$43,0)</f>
        <v>0</v>
      </c>
      <c r="BZ83" s="38"/>
      <c r="CA83" s="10">
        <f t="shared" si="17"/>
        <v>13422.323408333334</v>
      </c>
      <c r="CB83" s="2">
        <f t="shared" si="21"/>
        <v>-2998.6222023701039</v>
      </c>
      <c r="CC83" s="45">
        <f t="shared" si="22"/>
        <v>10423.701205963229</v>
      </c>
      <c r="CD83" s="43"/>
      <c r="CE83" s="2">
        <f t="shared" si="18"/>
        <v>0</v>
      </c>
      <c r="CF83" s="2">
        <f t="shared" si="23"/>
        <v>-2998.6222023701039</v>
      </c>
      <c r="CG83" s="2"/>
      <c r="CH83" s="2">
        <f t="shared" si="24"/>
        <v>-2998.6222023701039</v>
      </c>
      <c r="CI83" s="45">
        <f>-CH83*'Batt IN'!$E$7</f>
        <v>629.71066249772184</v>
      </c>
      <c r="CJ83" s="48"/>
      <c r="CK83" s="45">
        <f>IF('Batt IN'!$F$4="PV Only",0,IF(C83&gt;'Batt IN'!$H$43*12,0,CC83+CI83))</f>
        <v>0</v>
      </c>
      <c r="CM83" s="10">
        <f t="shared" si="25"/>
        <v>0</v>
      </c>
      <c r="CN83" s="2">
        <f>CK83/(1+('Batt IN'!$G$8))^(C83)</f>
        <v>0</v>
      </c>
      <c r="CO83" s="2">
        <f>IF(C83&lt;='Batt IN'!$O$30*12,CN83+CO82,NA())</f>
        <v>0</v>
      </c>
      <c r="CQ83" s="2">
        <f>CK83/((1+('Batt IN'!$E$8/12))^BattCalcs!C83)</f>
        <v>0</v>
      </c>
      <c r="CS83" s="10">
        <f t="shared" si="26"/>
        <v>-2998.6222023701039</v>
      </c>
      <c r="CT83" s="10">
        <f t="shared" si="27"/>
        <v>0</v>
      </c>
      <c r="CU83" s="10">
        <f t="shared" si="28"/>
        <v>-2998.6222023701039</v>
      </c>
      <c r="CV83" s="10">
        <f t="shared" si="29"/>
        <v>-2998.6222023701039</v>
      </c>
      <c r="CW83" s="2">
        <f t="shared" si="30"/>
        <v>0</v>
      </c>
      <c r="CX83" s="2">
        <f>-(SUM(CV83:CW83)*'PV IN'!$E$8)</f>
        <v>629.71066249772184</v>
      </c>
      <c r="CY83" s="2">
        <f t="shared" si="31"/>
        <v>-2368.911539872382</v>
      </c>
      <c r="CZ83" s="2">
        <f>IF(C83&lt;='Batt IN'!$H$43*12,CY83/(1+('PV IN'!$G$9))^(C83),0)</f>
        <v>-1718.1165635505711</v>
      </c>
      <c r="DA83" s="33">
        <f>IF(C83&lt;='Batt IN'!$H$43*12,AE83,0)</f>
        <v>30366.783333333333</v>
      </c>
    </row>
    <row r="84" spans="1:105" x14ac:dyDescent="0.25">
      <c r="A84">
        <f>IF(C84&lt;='Batt IN'!$H$43*12,C84,"")</f>
        <v>80</v>
      </c>
      <c r="C84">
        <v>80</v>
      </c>
      <c r="D84" s="21">
        <v>730</v>
      </c>
      <c r="E84" s="1">
        <f>1-'Batt IN'!$E$31</f>
        <v>2.0000000000000018E-2</v>
      </c>
      <c r="F84" s="12">
        <f>('Batt IN'!$E$33*365)/8760</f>
        <v>0</v>
      </c>
      <c r="G84" s="22">
        <f>'Batt IN'!$E$32/8760</f>
        <v>5.7077625570776253E-3</v>
      </c>
      <c r="H84" s="22">
        <f>'Batt IN'!$E$13/8760</f>
        <v>5.5936073059360729E-3</v>
      </c>
      <c r="I84" s="23">
        <f>IF(C84&lt;='Batt IN'!$G$14*12,'Batt IN'!$E$15/8760*'Batt IN'!$G$15,0)</f>
        <v>0</v>
      </c>
      <c r="J84" s="12">
        <f>Z84/'Batt IN'!$E$27/730</f>
        <v>2.4999999999999996E-3</v>
      </c>
      <c r="K84" s="23">
        <f>AA84/'Batt IN'!$E$27/730</f>
        <v>1.6027397260273972E-3</v>
      </c>
      <c r="L84" s="23">
        <f>AB84/'Batt IN'!$E$27/730</f>
        <v>2.0547945205479451E-4</v>
      </c>
      <c r="M84" s="23">
        <f>AC84/'Batt IN'!$E$27/730</f>
        <v>4.7945205479452057E-3</v>
      </c>
      <c r="N84" s="23">
        <f>AD84/'Batt IN'!$E$27/730</f>
        <v>3.4246575342465752E-3</v>
      </c>
      <c r="O84" s="12">
        <f t="shared" si="19"/>
        <v>4.3828767123287697E-2</v>
      </c>
      <c r="P84" s="21">
        <f t="shared" si="20"/>
        <v>698.005</v>
      </c>
      <c r="Q84" s="2">
        <f>IF('Batt IN'!$E$27*'Batt IN'!$E$24&lt;='Batt IN'!$E$28,(('Batt IN'!$E$23*'Batt IN'!$E$27*'Batt IN'!$E$24)/1000)*P84,(('Batt IN'!$E$23*'Batt IN'!$E$28*'Batt IN'!$E$24)/1000)*P84)</f>
        <v>11168.08</v>
      </c>
      <c r="R84" s="2"/>
      <c r="S84" s="77">
        <f>IF(C84&lt;='Batt IN'!$G$14*12,'Batt IN'!$E$15/12,0)</f>
        <v>0</v>
      </c>
      <c r="T84" s="77"/>
      <c r="U84" s="80">
        <f>'Batt IN'!$E$28*('Batt IN'!$G$24/24)*730*(1-O84)</f>
        <v>81433.916666666657</v>
      </c>
      <c r="V84" s="78">
        <f>U84*'Batt IN'!$F$30</f>
        <v>16286.783333333333</v>
      </c>
      <c r="W84" s="78">
        <f>'Batt IN'!$E$28*'Batt IN'!$G$32*('Batt IN'!$E$32/12)*(1+'Batt IN'!$F$30)</f>
        <v>1750.0000000000002</v>
      </c>
      <c r="X84" s="78">
        <f>'Batt IN'!$E$28*'Batt IN'!$G$13*('Batt IN'!$E$13/12)*(1+'Batt IN'!$F$30)</f>
        <v>3184.9999999999995</v>
      </c>
      <c r="Y84" s="33">
        <f>S84*'Batt IN'!$G$15*'Batt IN'!$E$28*(1+'Batt IN'!$F$30)</f>
        <v>0</v>
      </c>
      <c r="Z84" s="33">
        <f>'Batt IN'!$G$16*365/12*(1+'Batt IN'!$F$30)</f>
        <v>1824.9999999999998</v>
      </c>
      <c r="AA84" s="33">
        <f>'Batt IN'!$G$17*'Batt IN'!$E$18*'Batt IN'!$G$18/12*(1+'Batt IN'!$F$30)</f>
        <v>1170</v>
      </c>
      <c r="AB84" s="33">
        <f>'Batt IN'!$G$19*'Batt IN'!$E$20*'Batt IN'!$G$20/12*(1+'Batt IN'!$F$30)</f>
        <v>150</v>
      </c>
      <c r="AC84" s="33">
        <f>'Batt IN'!$G$21*(1+'Batt IN'!$F$30)/12</f>
        <v>3500</v>
      </c>
      <c r="AD84" s="33">
        <f>'Batt IN'!$G$22*(1+'Batt IN'!$F$30)/12</f>
        <v>2500</v>
      </c>
      <c r="AE84" s="33">
        <f t="shared" si="32"/>
        <v>30366.783333333333</v>
      </c>
      <c r="AF84" s="33">
        <f>IF('PV IN'!$F$4="Battery Only",0,AE84*'Batt IN'!$E$29)</f>
        <v>25811.765833333331</v>
      </c>
      <c r="AG84" s="33">
        <f>PVCalcs!L84</f>
        <v>25811.765833333331</v>
      </c>
      <c r="AH84" s="33">
        <f t="shared" si="33"/>
        <v>4555.0175000000017</v>
      </c>
      <c r="AI84" s="33"/>
      <c r="AJ84" s="2">
        <f>IF(AND('Batt IN'!$D$53="Yes",$AL$1&gt;=1),IF($C84='Batt IN'!$H$54*12,-'Batt IN'!$F$54,0),0)</f>
        <v>0</v>
      </c>
      <c r="AK84" s="2">
        <f>IF(AND('Batt IN'!$D$53="Yes",$AL$1&gt;=2),IF($C84='Batt IN'!$H$55*12,-'Batt IN'!$F$55,0),0)</f>
        <v>0</v>
      </c>
      <c r="AL84" s="2">
        <f>IF(AND('Batt IN'!$D$53="Yes",$AL$1&gt;=3),IF($C84='Batt IN'!$H$56*12,-'Batt IN'!$F$56,0),0)</f>
        <v>0</v>
      </c>
      <c r="AM84" s="2">
        <f>IF(AND('Batt IN'!$D$53="Yes",$AL$1&gt;=4),IF($C84='Batt IN'!$H$57*12,-'Batt IN'!$F$57,0),0)</f>
        <v>0</v>
      </c>
      <c r="AN84" s="2">
        <f>IF(AND('Batt IN'!$D$53="Yes",$AL$1&gt;=5),IF($C84='Batt IN'!$H$58*12,-'Batt IN'!$F$58,0),0)</f>
        <v>0</v>
      </c>
      <c r="AO84" s="10">
        <f>IF(AND('Batt IN'!$D$44="YES",$C84&lt;='Batt IN'!$E$44*12),-'Batt IN'!$E$28*'Batt IN'!$E$42/12,0)</f>
        <v>0</v>
      </c>
      <c r="AP84" s="10">
        <f>IF(AND('Batt IN'!$D$46="YES",$C84&lt;='Batt IN'!$E$46*12),-'Batt IN'!$E$28*'Batt IN'!$E$45/12,0)</f>
        <v>0</v>
      </c>
      <c r="AR84" s="10">
        <f>BattLoan!M111</f>
        <v>0</v>
      </c>
      <c r="AS84" s="10">
        <f>'Batt IN'!$G$16*365/12*'Batt IN'!$E$16</f>
        <v>76.041666666666671</v>
      </c>
      <c r="AT84" s="10">
        <f>IF(AND('Batt IN'!$E$18&gt;0,'Batt IN'!$G$18&gt;0),'Batt IN'!$E$17*'Batt IN'!$G$17,0)</f>
        <v>119.44619999999999</v>
      </c>
      <c r="AU84" s="10">
        <f>IF(AND('Batt IN'!$E$20&gt;0,'Batt IN'!$G$20&gt;0),'Batt IN'!$E$19*'Batt IN'!$G$19,0)</f>
        <v>231</v>
      </c>
      <c r="AV84" s="10"/>
      <c r="AW84" s="10"/>
      <c r="AX84" s="10">
        <f>IF('Batt IN'!$E$11="Non-Taxable",Q84,0)</f>
        <v>11168.08</v>
      </c>
      <c r="AY84" s="10">
        <f>IF('Batt IN'!$E$11="Non-Taxable",'Batt IN'!$E$28/1000*'Batt IN'!$G$13*('Batt IN'!$E$13/12)*'Batt IN'!$E$12,0)</f>
        <v>244.42220833333334</v>
      </c>
      <c r="AZ84" s="10">
        <f>IF('Batt IN'!$E$11="Non-Taxable",$S84*'Batt IN'!$G$15*'Batt IN'!$E$28*'Batt IN'!$E$14/1000,0)</f>
        <v>0</v>
      </c>
      <c r="BA84" s="10">
        <f>IF('Batt IN'!$E$11="Non-Taxable",'Batt IN'!$E$21*'Batt IN'!$G$21/12,0)</f>
        <v>437.5</v>
      </c>
      <c r="BB84" s="10">
        <f>IF('Batt IN'!$E$11="Non-Taxable",'Batt IN'!$E$22*'Batt IN'!$G$22/12,0)</f>
        <v>1145.8333333333335</v>
      </c>
      <c r="BC84" s="10">
        <f>IF('Batt IN'!$E$11="Taxable",Q84,0)</f>
        <v>0</v>
      </c>
      <c r="BD84" s="10">
        <f>IF('Batt IN'!$E$11="Taxable",'Batt IN'!$E$28/1000*'Batt IN'!$G$13*('Batt IN'!$E$13/12)*'Batt IN'!$E$12,0)</f>
        <v>0</v>
      </c>
      <c r="BE84" s="10">
        <f>IF('Batt IN'!$E$11="Taxable",$S84*'Batt IN'!$G$15*'Batt IN'!$E$28*'Batt IN'!$E$14/1000,0)</f>
        <v>0</v>
      </c>
      <c r="BF84" s="10">
        <f>IF('Batt IN'!$E$11="Taxable",'Batt IN'!$E$21*'Batt IN'!$G$21/12,0)</f>
        <v>0</v>
      </c>
      <c r="BG84" s="10">
        <f>IF('Batt IN'!$E$11="Taxable",'Batt IN'!$E$22*'Batt IN'!$G$22/12,0)</f>
        <v>0</v>
      </c>
      <c r="BK84" s="10">
        <f>IF('Batt IN'!$N$18="Yes",-BattLoan!H112,-BattLoan!L112)</f>
        <v>0</v>
      </c>
      <c r="BL84" s="10">
        <f>IF('Batt IN'!$N$18="Yes",-BattLoan!F112,0)</f>
        <v>0</v>
      </c>
      <c r="BM84" s="10">
        <f>IF(AND('Batt IN'!$D$44="YES",$C84&lt;='Batt IN'!$E$44*12),0,-'Batt IN'!$E$28*'Batt IN'!$E$42/12)</f>
        <v>-83.333333333333329</v>
      </c>
      <c r="BN84" s="10">
        <f>IF(AND('Batt IN'!$D$46="YES",$C84&lt;='Batt IN'!$E$46*12),0,-'Batt IN'!$E$28*'Batt IN'!$E$45/12)</f>
        <v>-166.66666666666666</v>
      </c>
      <c r="BO84" s="2">
        <f>IF(AND('Batt IN'!$D$41="YES",BattCalcs!C84=ROUNDUP('Batt IN'!$H$41*12,)),-'Batt IN'!$E$41*'Batt IN'!$E$28,0)</f>
        <v>0</v>
      </c>
      <c r="BP84" s="2">
        <f>IF(AND('Batt IN'!$D$53="Yes",$AL$1&gt;=1),0,IF($C84='Batt IN'!$H$54*12,-'Batt IN'!$F$54,0))</f>
        <v>0</v>
      </c>
      <c r="BQ84" s="2">
        <f>IF(AND('Batt IN'!$D$53="Yes",$AL$1&gt;=2),0,IF($C84='Batt IN'!$H$55*12,-'Batt IN'!$F$55,0))</f>
        <v>0</v>
      </c>
      <c r="BR84" s="2">
        <f>IF(AND('Batt IN'!$D$53="Yes",$AL$1&gt;=3),0,IF($C84='Batt IN'!$H$56*12,-'Batt IN'!$F$56,0))</f>
        <v>0</v>
      </c>
      <c r="BS84" s="2">
        <f>IF(AND('Batt IN'!$D$53="Yes",$AL$1&gt;=4),0,IF($C84='Batt IN'!$H$57*12,-'Batt IN'!$F$57,0))</f>
        <v>0</v>
      </c>
      <c r="BT84" s="2">
        <f>IF(AND('Batt IN'!$D$53="Yes",$AL$1&gt;=5),0,IF($C84='Batt IN'!$H$58*12,-'Batt IN'!$F$58,0))</f>
        <v>0</v>
      </c>
      <c r="BU84" s="2">
        <f>-AH84*PVCalcs!F84</f>
        <v>-348.62220237010365</v>
      </c>
      <c r="BV84" s="2">
        <f>-'Batt IN'!$E$47</f>
        <v>-150</v>
      </c>
      <c r="BW84" s="2">
        <f>-'Batt IN'!$E$49</f>
        <v>-2250</v>
      </c>
      <c r="BX84" s="2">
        <f>IF('Batt IN'!$H$50="No",-(BC84*'Batt IN'!$E$50),-(BC84+BE84)*'Batt IN'!$E$50)</f>
        <v>0</v>
      </c>
      <c r="BY84" s="2">
        <f>IF(C84='Batt IN'!$H$43*12,-'Batt IN'!$E$43,0)</f>
        <v>0</v>
      </c>
      <c r="BZ84" s="38"/>
      <c r="CA84" s="10">
        <f t="shared" si="17"/>
        <v>13422.323408333334</v>
      </c>
      <c r="CB84" s="2">
        <f t="shared" si="21"/>
        <v>-2998.6222023701039</v>
      </c>
      <c r="CC84" s="45">
        <f t="shared" si="22"/>
        <v>10423.701205963229</v>
      </c>
      <c r="CD84" s="43"/>
      <c r="CE84" s="2">
        <f t="shared" si="18"/>
        <v>0</v>
      </c>
      <c r="CF84" s="2">
        <f t="shared" si="23"/>
        <v>-2998.6222023701039</v>
      </c>
      <c r="CG84" s="2"/>
      <c r="CH84" s="2">
        <f t="shared" si="24"/>
        <v>-2998.6222023701039</v>
      </c>
      <c r="CI84" s="45">
        <f>-CH84*'Batt IN'!$E$7</f>
        <v>629.71066249772184</v>
      </c>
      <c r="CJ84" s="48"/>
      <c r="CK84" s="45">
        <f>IF('Batt IN'!$F$4="PV Only",0,IF(C84&gt;'Batt IN'!$H$43*12,0,CC84+CI84))</f>
        <v>0</v>
      </c>
      <c r="CM84" s="10">
        <f t="shared" si="25"/>
        <v>0</v>
      </c>
      <c r="CN84" s="2">
        <f>CK84/(1+('Batt IN'!$G$8))^(C84)</f>
        <v>0</v>
      </c>
      <c r="CO84" s="2">
        <f>IF(C84&lt;='Batt IN'!$O$30*12,CN84+CO83,NA())</f>
        <v>0</v>
      </c>
      <c r="CQ84" s="2">
        <f>CK84/((1+('Batt IN'!$E$8/12))^BattCalcs!C84)</f>
        <v>0</v>
      </c>
      <c r="CS84" s="10">
        <f t="shared" si="26"/>
        <v>-2998.6222023701039</v>
      </c>
      <c r="CT84" s="10">
        <f t="shared" si="27"/>
        <v>0</v>
      </c>
      <c r="CU84" s="10">
        <f t="shared" si="28"/>
        <v>-2998.6222023701039</v>
      </c>
      <c r="CV84" s="10">
        <f t="shared" si="29"/>
        <v>-2998.6222023701039</v>
      </c>
      <c r="CW84" s="2">
        <f t="shared" si="30"/>
        <v>0</v>
      </c>
      <c r="CX84" s="2">
        <f>-(SUM(CV84:CW84)*'PV IN'!$E$8)</f>
        <v>629.71066249772184</v>
      </c>
      <c r="CY84" s="2">
        <f t="shared" si="31"/>
        <v>-2368.911539872382</v>
      </c>
      <c r="CZ84" s="2">
        <f>IF(C84&lt;='Batt IN'!$H$43*12,CY84/(1+('PV IN'!$G$9))^(C84),0)</f>
        <v>-1711.1451464122981</v>
      </c>
      <c r="DA84" s="33">
        <f>IF(C84&lt;='Batt IN'!$H$43*12,AE84,0)</f>
        <v>30366.783333333333</v>
      </c>
    </row>
    <row r="85" spans="1:105" x14ac:dyDescent="0.25">
      <c r="A85">
        <f>IF(C85&lt;='Batt IN'!$H$43*12,C85,"")</f>
        <v>81</v>
      </c>
      <c r="C85">
        <v>81</v>
      </c>
      <c r="D85" s="21">
        <v>730</v>
      </c>
      <c r="E85" s="1">
        <f>1-'Batt IN'!$E$31</f>
        <v>2.0000000000000018E-2</v>
      </c>
      <c r="F85" s="12">
        <f>('Batt IN'!$E$33*365)/8760</f>
        <v>0</v>
      </c>
      <c r="G85" s="22">
        <f>'Batt IN'!$E$32/8760</f>
        <v>5.7077625570776253E-3</v>
      </c>
      <c r="H85" s="22">
        <f>'Batt IN'!$E$13/8760</f>
        <v>5.5936073059360729E-3</v>
      </c>
      <c r="I85" s="23">
        <f>IF(C85&lt;='Batt IN'!$G$14*12,'Batt IN'!$E$15/8760*'Batt IN'!$G$15,0)</f>
        <v>0</v>
      </c>
      <c r="J85" s="12">
        <f>Z85/'Batt IN'!$E$27/730</f>
        <v>2.4999999999999996E-3</v>
      </c>
      <c r="K85" s="23">
        <f>AA85/'Batt IN'!$E$27/730</f>
        <v>1.6027397260273972E-3</v>
      </c>
      <c r="L85" s="23">
        <f>AB85/'Batt IN'!$E$27/730</f>
        <v>2.0547945205479451E-4</v>
      </c>
      <c r="M85" s="23">
        <f>AC85/'Batt IN'!$E$27/730</f>
        <v>4.7945205479452057E-3</v>
      </c>
      <c r="N85" s="23">
        <f>AD85/'Batt IN'!$E$27/730</f>
        <v>3.4246575342465752E-3</v>
      </c>
      <c r="O85" s="12">
        <f t="shared" si="19"/>
        <v>4.3828767123287697E-2</v>
      </c>
      <c r="P85" s="21">
        <f t="shared" si="20"/>
        <v>698.005</v>
      </c>
      <c r="Q85" s="2">
        <f>IF('Batt IN'!$E$27*'Batt IN'!$E$24&lt;='Batt IN'!$E$28,(('Batt IN'!$E$23*'Batt IN'!$E$27*'Batt IN'!$E$24)/1000)*P85,(('Batt IN'!$E$23*'Batt IN'!$E$28*'Batt IN'!$E$24)/1000)*P85)</f>
        <v>11168.08</v>
      </c>
      <c r="R85" s="2"/>
      <c r="S85" s="77">
        <f>IF(C85&lt;='Batt IN'!$G$14*12,'Batt IN'!$E$15/12,0)</f>
        <v>0</v>
      </c>
      <c r="T85" s="77"/>
      <c r="U85" s="80">
        <f>'Batt IN'!$E$28*('Batt IN'!$G$24/24)*730*(1-O85)</f>
        <v>81433.916666666657</v>
      </c>
      <c r="V85" s="78">
        <f>U85*'Batt IN'!$F$30</f>
        <v>16286.783333333333</v>
      </c>
      <c r="W85" s="78">
        <f>'Batt IN'!$E$28*'Batt IN'!$G$32*('Batt IN'!$E$32/12)*(1+'Batt IN'!$F$30)</f>
        <v>1750.0000000000002</v>
      </c>
      <c r="X85" s="78">
        <f>'Batt IN'!$E$28*'Batt IN'!$G$13*('Batt IN'!$E$13/12)*(1+'Batt IN'!$F$30)</f>
        <v>3184.9999999999995</v>
      </c>
      <c r="Y85" s="33">
        <f>S85*'Batt IN'!$G$15*'Batt IN'!$E$28*(1+'Batt IN'!$F$30)</f>
        <v>0</v>
      </c>
      <c r="Z85" s="33">
        <f>'Batt IN'!$G$16*365/12*(1+'Batt IN'!$F$30)</f>
        <v>1824.9999999999998</v>
      </c>
      <c r="AA85" s="33">
        <f>'Batt IN'!$G$17*'Batt IN'!$E$18*'Batt IN'!$G$18/12*(1+'Batt IN'!$F$30)</f>
        <v>1170</v>
      </c>
      <c r="AB85" s="33">
        <f>'Batt IN'!$G$19*'Batt IN'!$E$20*'Batt IN'!$G$20/12*(1+'Batt IN'!$F$30)</f>
        <v>150</v>
      </c>
      <c r="AC85" s="33">
        <f>'Batt IN'!$G$21*(1+'Batt IN'!$F$30)/12</f>
        <v>3500</v>
      </c>
      <c r="AD85" s="33">
        <f>'Batt IN'!$G$22*(1+'Batt IN'!$F$30)/12</f>
        <v>2500</v>
      </c>
      <c r="AE85" s="33">
        <f t="shared" si="32"/>
        <v>30366.783333333333</v>
      </c>
      <c r="AF85" s="33">
        <f>IF('PV IN'!$F$4="Battery Only",0,AE85*'Batt IN'!$E$29)</f>
        <v>25811.765833333331</v>
      </c>
      <c r="AG85" s="33">
        <f>PVCalcs!L85</f>
        <v>25811.765833333331</v>
      </c>
      <c r="AH85" s="33">
        <f t="shared" si="33"/>
        <v>4555.0175000000017</v>
      </c>
      <c r="AI85" s="33"/>
      <c r="AJ85" s="2">
        <f>IF(AND('Batt IN'!$D$53="Yes",$AL$1&gt;=1),IF($C85='Batt IN'!$H$54*12,-'Batt IN'!$F$54,0),0)</f>
        <v>0</v>
      </c>
      <c r="AK85" s="2">
        <f>IF(AND('Batt IN'!$D$53="Yes",$AL$1&gt;=2),IF($C85='Batt IN'!$H$55*12,-'Batt IN'!$F$55,0),0)</f>
        <v>0</v>
      </c>
      <c r="AL85" s="2">
        <f>IF(AND('Batt IN'!$D$53="Yes",$AL$1&gt;=3),IF($C85='Batt IN'!$H$56*12,-'Batt IN'!$F$56,0),0)</f>
        <v>0</v>
      </c>
      <c r="AM85" s="2">
        <f>IF(AND('Batt IN'!$D$53="Yes",$AL$1&gt;=4),IF($C85='Batt IN'!$H$57*12,-'Batt IN'!$F$57,0),0)</f>
        <v>0</v>
      </c>
      <c r="AN85" s="2">
        <f>IF(AND('Batt IN'!$D$53="Yes",$AL$1&gt;=5),IF($C85='Batt IN'!$H$58*12,-'Batt IN'!$F$58,0),0)</f>
        <v>0</v>
      </c>
      <c r="AO85" s="10">
        <f>IF(AND('Batt IN'!$D$44="YES",$C85&lt;='Batt IN'!$E$44*12),-'Batt IN'!$E$28*'Batt IN'!$E$42/12,0)</f>
        <v>0</v>
      </c>
      <c r="AP85" s="10">
        <f>IF(AND('Batt IN'!$D$46="YES",$C85&lt;='Batt IN'!$E$46*12),-'Batt IN'!$E$28*'Batt IN'!$E$45/12,0)</f>
        <v>0</v>
      </c>
      <c r="AR85" s="10">
        <f>BattLoan!M112</f>
        <v>0</v>
      </c>
      <c r="AS85" s="10">
        <f>'Batt IN'!$G$16*365/12*'Batt IN'!$E$16</f>
        <v>76.041666666666671</v>
      </c>
      <c r="AT85" s="10">
        <f>IF(AND('Batt IN'!$E$18&gt;0,'Batt IN'!$G$18&gt;0),'Batt IN'!$E$17*'Batt IN'!$G$17,0)</f>
        <v>119.44619999999999</v>
      </c>
      <c r="AU85" s="10">
        <f>IF(AND('Batt IN'!$E$20&gt;0,'Batt IN'!$G$20&gt;0),'Batt IN'!$E$19*'Batt IN'!$G$19,0)</f>
        <v>231</v>
      </c>
      <c r="AV85" s="10"/>
      <c r="AW85" s="10"/>
      <c r="AX85" s="10">
        <f>IF('Batt IN'!$E$11="Non-Taxable",Q85,0)</f>
        <v>11168.08</v>
      </c>
      <c r="AY85" s="10">
        <f>IF('Batt IN'!$E$11="Non-Taxable",'Batt IN'!$E$28/1000*'Batt IN'!$G$13*('Batt IN'!$E$13/12)*'Batt IN'!$E$12,0)</f>
        <v>244.42220833333334</v>
      </c>
      <c r="AZ85" s="10">
        <f>IF('Batt IN'!$E$11="Non-Taxable",$S85*'Batt IN'!$G$15*'Batt IN'!$E$28*'Batt IN'!$E$14/1000,0)</f>
        <v>0</v>
      </c>
      <c r="BA85" s="10">
        <f>IF('Batt IN'!$E$11="Non-Taxable",'Batt IN'!$E$21*'Batt IN'!$G$21/12,0)</f>
        <v>437.5</v>
      </c>
      <c r="BB85" s="10">
        <f>IF('Batt IN'!$E$11="Non-Taxable",'Batt IN'!$E$22*'Batt IN'!$G$22/12,0)</f>
        <v>1145.8333333333335</v>
      </c>
      <c r="BC85" s="10">
        <f>IF('Batt IN'!$E$11="Taxable",Q85,0)</f>
        <v>0</v>
      </c>
      <c r="BD85" s="10">
        <f>IF('Batt IN'!$E$11="Taxable",'Batt IN'!$E$28/1000*'Batt IN'!$G$13*('Batt IN'!$E$13/12)*'Batt IN'!$E$12,0)</f>
        <v>0</v>
      </c>
      <c r="BE85" s="10">
        <f>IF('Batt IN'!$E$11="Taxable",$S85*'Batt IN'!$G$15*'Batt IN'!$E$28*'Batt IN'!$E$14/1000,0)</f>
        <v>0</v>
      </c>
      <c r="BF85" s="10">
        <f>IF('Batt IN'!$E$11="Taxable",'Batt IN'!$E$21*'Batt IN'!$G$21/12,0)</f>
        <v>0</v>
      </c>
      <c r="BG85" s="10">
        <f>IF('Batt IN'!$E$11="Taxable",'Batt IN'!$E$22*'Batt IN'!$G$22/12,0)</f>
        <v>0</v>
      </c>
      <c r="BK85" s="10">
        <f>IF('Batt IN'!$N$18="Yes",-BattLoan!H113,-BattLoan!L113)</f>
        <v>0</v>
      </c>
      <c r="BL85" s="10">
        <f>IF('Batt IN'!$N$18="Yes",-BattLoan!F113,0)</f>
        <v>0</v>
      </c>
      <c r="BM85" s="10">
        <f>IF(AND('Batt IN'!$D$44="YES",$C85&lt;='Batt IN'!$E$44*12),0,-'Batt IN'!$E$28*'Batt IN'!$E$42/12)</f>
        <v>-83.333333333333329</v>
      </c>
      <c r="BN85" s="10">
        <f>IF(AND('Batt IN'!$D$46="YES",$C85&lt;='Batt IN'!$E$46*12),0,-'Batt IN'!$E$28*'Batt IN'!$E$45/12)</f>
        <v>-166.66666666666666</v>
      </c>
      <c r="BO85" s="2">
        <f>IF(AND('Batt IN'!$D$41="YES",BattCalcs!C85=ROUNDUP('Batt IN'!$H$41*12,)),-'Batt IN'!$E$41*'Batt IN'!$E$28,0)</f>
        <v>0</v>
      </c>
      <c r="BP85" s="2">
        <f>IF(AND('Batt IN'!$D$53="Yes",$AL$1&gt;=1),0,IF($C85='Batt IN'!$H$54*12,-'Batt IN'!$F$54,0))</f>
        <v>0</v>
      </c>
      <c r="BQ85" s="2">
        <f>IF(AND('Batt IN'!$D$53="Yes",$AL$1&gt;=2),0,IF($C85='Batt IN'!$H$55*12,-'Batt IN'!$F$55,0))</f>
        <v>0</v>
      </c>
      <c r="BR85" s="2">
        <f>IF(AND('Batt IN'!$D$53="Yes",$AL$1&gt;=3),0,IF($C85='Batt IN'!$H$56*12,-'Batt IN'!$F$56,0))</f>
        <v>0</v>
      </c>
      <c r="BS85" s="2">
        <f>IF(AND('Batt IN'!$D$53="Yes",$AL$1&gt;=4),0,IF($C85='Batt IN'!$H$57*12,-'Batt IN'!$F$57,0))</f>
        <v>0</v>
      </c>
      <c r="BT85" s="2">
        <f>IF(AND('Batt IN'!$D$53="Yes",$AL$1&gt;=5),0,IF($C85='Batt IN'!$H$58*12,-'Batt IN'!$F$58,0))</f>
        <v>0</v>
      </c>
      <c r="BU85" s="2">
        <f>-AH85*PVCalcs!F85</f>
        <v>-348.62220237010365</v>
      </c>
      <c r="BV85" s="2">
        <f>-'Batt IN'!$E$47</f>
        <v>-150</v>
      </c>
      <c r="BW85" s="2">
        <f>-'Batt IN'!$E$49</f>
        <v>-2250</v>
      </c>
      <c r="BX85" s="2">
        <f>IF('Batt IN'!$H$50="No",-(BC85*'Batt IN'!$E$50),-(BC85+BE85)*'Batt IN'!$E$50)</f>
        <v>0</v>
      </c>
      <c r="BY85" s="2">
        <f>IF(C85='Batt IN'!$H$43*12,-'Batt IN'!$E$43,0)</f>
        <v>0</v>
      </c>
      <c r="BZ85" s="38"/>
      <c r="CA85" s="10">
        <f t="shared" si="17"/>
        <v>13422.323408333334</v>
      </c>
      <c r="CB85" s="2">
        <f t="shared" si="21"/>
        <v>-2998.6222023701039</v>
      </c>
      <c r="CC85" s="45">
        <f t="shared" si="22"/>
        <v>10423.701205963229</v>
      </c>
      <c r="CD85" s="43"/>
      <c r="CE85" s="2">
        <f t="shared" si="18"/>
        <v>0</v>
      </c>
      <c r="CF85" s="2">
        <f t="shared" si="23"/>
        <v>-2998.6222023701039</v>
      </c>
      <c r="CG85" s="2"/>
      <c r="CH85" s="2">
        <f t="shared" si="24"/>
        <v>-2998.6222023701039</v>
      </c>
      <c r="CI85" s="45">
        <f>-CH85*'Batt IN'!$E$7</f>
        <v>629.71066249772184</v>
      </c>
      <c r="CJ85" s="48"/>
      <c r="CK85" s="45">
        <f>IF('Batt IN'!$F$4="PV Only",0,IF(C85&gt;'Batt IN'!$H$43*12,0,CC85+CI85))</f>
        <v>0</v>
      </c>
      <c r="CM85" s="10">
        <f t="shared" si="25"/>
        <v>0</v>
      </c>
      <c r="CN85" s="2">
        <f>CK85/(1+('Batt IN'!$G$8))^(C85)</f>
        <v>0</v>
      </c>
      <c r="CO85" s="2">
        <f>IF(C85&lt;='Batt IN'!$O$30*12,CN85+CO84,NA())</f>
        <v>0</v>
      </c>
      <c r="CQ85" s="2">
        <f>CK85/((1+('Batt IN'!$E$8/12))^BattCalcs!C85)</f>
        <v>0</v>
      </c>
      <c r="CS85" s="10">
        <f t="shared" si="26"/>
        <v>-2998.6222023701039</v>
      </c>
      <c r="CT85" s="10">
        <f t="shared" si="27"/>
        <v>0</v>
      </c>
      <c r="CU85" s="10">
        <f t="shared" si="28"/>
        <v>-2998.6222023701039</v>
      </c>
      <c r="CV85" s="10">
        <f t="shared" si="29"/>
        <v>-2998.6222023701039</v>
      </c>
      <c r="CW85" s="2">
        <f t="shared" si="30"/>
        <v>0</v>
      </c>
      <c r="CX85" s="2">
        <f>-(SUM(CV85:CW85)*'PV IN'!$E$8)</f>
        <v>629.71066249772184</v>
      </c>
      <c r="CY85" s="2">
        <f t="shared" si="31"/>
        <v>-2368.911539872382</v>
      </c>
      <c r="CZ85" s="2">
        <f>IF(C85&lt;='Batt IN'!$H$43*12,CY85/(1+('PV IN'!$G$9))^(C85),0)</f>
        <v>-1704.2020164449584</v>
      </c>
      <c r="DA85" s="33">
        <f>IF(C85&lt;='Batt IN'!$H$43*12,AE85,0)</f>
        <v>30366.783333333333</v>
      </c>
    </row>
    <row r="86" spans="1:105" x14ac:dyDescent="0.25">
      <c r="A86">
        <f>IF(C86&lt;='Batt IN'!$H$43*12,C86,"")</f>
        <v>82</v>
      </c>
      <c r="C86">
        <v>82</v>
      </c>
      <c r="D86" s="21">
        <v>730</v>
      </c>
      <c r="E86" s="1">
        <f>1-'Batt IN'!$E$31</f>
        <v>2.0000000000000018E-2</v>
      </c>
      <c r="F86" s="12">
        <f>('Batt IN'!$E$33*365)/8760</f>
        <v>0</v>
      </c>
      <c r="G86" s="22">
        <f>'Batt IN'!$E$32/8760</f>
        <v>5.7077625570776253E-3</v>
      </c>
      <c r="H86" s="22">
        <f>'Batt IN'!$E$13/8760</f>
        <v>5.5936073059360729E-3</v>
      </c>
      <c r="I86" s="23">
        <f>IF(C86&lt;='Batt IN'!$G$14*12,'Batt IN'!$E$15/8760*'Batt IN'!$G$15,0)</f>
        <v>0</v>
      </c>
      <c r="J86" s="12">
        <f>Z86/'Batt IN'!$E$27/730</f>
        <v>2.4999999999999996E-3</v>
      </c>
      <c r="K86" s="23">
        <f>AA86/'Batt IN'!$E$27/730</f>
        <v>1.6027397260273972E-3</v>
      </c>
      <c r="L86" s="23">
        <f>AB86/'Batt IN'!$E$27/730</f>
        <v>2.0547945205479451E-4</v>
      </c>
      <c r="M86" s="23">
        <f>AC86/'Batt IN'!$E$27/730</f>
        <v>4.7945205479452057E-3</v>
      </c>
      <c r="N86" s="23">
        <f>AD86/'Batt IN'!$E$27/730</f>
        <v>3.4246575342465752E-3</v>
      </c>
      <c r="O86" s="12">
        <f t="shared" si="19"/>
        <v>4.3828767123287697E-2</v>
      </c>
      <c r="P86" s="21">
        <f t="shared" si="20"/>
        <v>698.005</v>
      </c>
      <c r="Q86" s="2">
        <f>IF('Batt IN'!$E$27*'Batt IN'!$E$24&lt;='Batt IN'!$E$28,(('Batt IN'!$E$23*'Batt IN'!$E$27*'Batt IN'!$E$24)/1000)*P86,(('Batt IN'!$E$23*'Batt IN'!$E$28*'Batt IN'!$E$24)/1000)*P86)</f>
        <v>11168.08</v>
      </c>
      <c r="R86" s="2"/>
      <c r="S86" s="77">
        <f>IF(C86&lt;='Batt IN'!$G$14*12,'Batt IN'!$E$15/12,0)</f>
        <v>0</v>
      </c>
      <c r="T86" s="77"/>
      <c r="U86" s="80">
        <f>'Batt IN'!$E$28*('Batt IN'!$G$24/24)*730*(1-O86)</f>
        <v>81433.916666666657</v>
      </c>
      <c r="V86" s="78">
        <f>U86*'Batt IN'!$F$30</f>
        <v>16286.783333333333</v>
      </c>
      <c r="W86" s="78">
        <f>'Batt IN'!$E$28*'Batt IN'!$G$32*('Batt IN'!$E$32/12)*(1+'Batt IN'!$F$30)</f>
        <v>1750.0000000000002</v>
      </c>
      <c r="X86" s="78">
        <f>'Batt IN'!$E$28*'Batt IN'!$G$13*('Batt IN'!$E$13/12)*(1+'Batt IN'!$F$30)</f>
        <v>3184.9999999999995</v>
      </c>
      <c r="Y86" s="33">
        <f>S86*'Batt IN'!$G$15*'Batt IN'!$E$28*(1+'Batt IN'!$F$30)</f>
        <v>0</v>
      </c>
      <c r="Z86" s="33">
        <f>'Batt IN'!$G$16*365/12*(1+'Batt IN'!$F$30)</f>
        <v>1824.9999999999998</v>
      </c>
      <c r="AA86" s="33">
        <f>'Batt IN'!$G$17*'Batt IN'!$E$18*'Batt IN'!$G$18/12*(1+'Batt IN'!$F$30)</f>
        <v>1170</v>
      </c>
      <c r="AB86" s="33">
        <f>'Batt IN'!$G$19*'Batt IN'!$E$20*'Batt IN'!$G$20/12*(1+'Batt IN'!$F$30)</f>
        <v>150</v>
      </c>
      <c r="AC86" s="33">
        <f>'Batt IN'!$G$21*(1+'Batt IN'!$F$30)/12</f>
        <v>3500</v>
      </c>
      <c r="AD86" s="33">
        <f>'Batt IN'!$G$22*(1+'Batt IN'!$F$30)/12</f>
        <v>2500</v>
      </c>
      <c r="AE86" s="33">
        <f t="shared" si="32"/>
        <v>30366.783333333333</v>
      </c>
      <c r="AF86" s="33">
        <f>IF('PV IN'!$F$4="Battery Only",0,AE86*'Batt IN'!$E$29)</f>
        <v>25811.765833333331</v>
      </c>
      <c r="AG86" s="33">
        <f>PVCalcs!L86</f>
        <v>25811.765833333331</v>
      </c>
      <c r="AH86" s="33">
        <f t="shared" si="33"/>
        <v>4555.0175000000017</v>
      </c>
      <c r="AI86" s="33"/>
      <c r="AJ86" s="2">
        <f>IF(AND('Batt IN'!$D$53="Yes",$AL$1&gt;=1),IF($C86='Batt IN'!$H$54*12,-'Batt IN'!$F$54,0),0)</f>
        <v>0</v>
      </c>
      <c r="AK86" s="2">
        <f>IF(AND('Batt IN'!$D$53="Yes",$AL$1&gt;=2),IF($C86='Batt IN'!$H$55*12,-'Batt IN'!$F$55,0),0)</f>
        <v>0</v>
      </c>
      <c r="AL86" s="2">
        <f>IF(AND('Batt IN'!$D$53="Yes",$AL$1&gt;=3),IF($C86='Batt IN'!$H$56*12,-'Batt IN'!$F$56,0),0)</f>
        <v>0</v>
      </c>
      <c r="AM86" s="2">
        <f>IF(AND('Batt IN'!$D$53="Yes",$AL$1&gt;=4),IF($C86='Batt IN'!$H$57*12,-'Batt IN'!$F$57,0),0)</f>
        <v>0</v>
      </c>
      <c r="AN86" s="2">
        <f>IF(AND('Batt IN'!$D$53="Yes",$AL$1&gt;=5),IF($C86='Batt IN'!$H$58*12,-'Batt IN'!$F$58,0),0)</f>
        <v>0</v>
      </c>
      <c r="AO86" s="10">
        <f>IF(AND('Batt IN'!$D$44="YES",$C86&lt;='Batt IN'!$E$44*12),-'Batt IN'!$E$28*'Batt IN'!$E$42/12,0)</f>
        <v>0</v>
      </c>
      <c r="AP86" s="10">
        <f>IF(AND('Batt IN'!$D$46="YES",$C86&lt;='Batt IN'!$E$46*12),-'Batt IN'!$E$28*'Batt IN'!$E$45/12,0)</f>
        <v>0</v>
      </c>
      <c r="AR86" s="10">
        <f>BattLoan!M113</f>
        <v>0</v>
      </c>
      <c r="AS86" s="10">
        <f>'Batt IN'!$G$16*365/12*'Batt IN'!$E$16</f>
        <v>76.041666666666671</v>
      </c>
      <c r="AT86" s="10">
        <f>IF(AND('Batt IN'!$E$18&gt;0,'Batt IN'!$G$18&gt;0),'Batt IN'!$E$17*'Batt IN'!$G$17,0)</f>
        <v>119.44619999999999</v>
      </c>
      <c r="AU86" s="10">
        <f>IF(AND('Batt IN'!$E$20&gt;0,'Batt IN'!$G$20&gt;0),'Batt IN'!$E$19*'Batt IN'!$G$19,0)</f>
        <v>231</v>
      </c>
      <c r="AV86" s="10"/>
      <c r="AW86" s="10"/>
      <c r="AX86" s="10">
        <f>IF('Batt IN'!$E$11="Non-Taxable",Q86,0)</f>
        <v>11168.08</v>
      </c>
      <c r="AY86" s="10">
        <f>IF('Batt IN'!$E$11="Non-Taxable",'Batt IN'!$E$28/1000*'Batt IN'!$G$13*('Batt IN'!$E$13/12)*'Batt IN'!$E$12,0)</f>
        <v>244.42220833333334</v>
      </c>
      <c r="AZ86" s="10">
        <f>IF('Batt IN'!$E$11="Non-Taxable",$S86*'Batt IN'!$G$15*'Batt IN'!$E$28*'Batt IN'!$E$14/1000,0)</f>
        <v>0</v>
      </c>
      <c r="BA86" s="10">
        <f>IF('Batt IN'!$E$11="Non-Taxable",'Batt IN'!$E$21*'Batt IN'!$G$21/12,0)</f>
        <v>437.5</v>
      </c>
      <c r="BB86" s="10">
        <f>IF('Batt IN'!$E$11="Non-Taxable",'Batt IN'!$E$22*'Batt IN'!$G$22/12,0)</f>
        <v>1145.8333333333335</v>
      </c>
      <c r="BC86" s="10">
        <f>IF('Batt IN'!$E$11="Taxable",Q86,0)</f>
        <v>0</v>
      </c>
      <c r="BD86" s="10">
        <f>IF('Batt IN'!$E$11="Taxable",'Batt IN'!$E$28/1000*'Batt IN'!$G$13*('Batt IN'!$E$13/12)*'Batt IN'!$E$12,0)</f>
        <v>0</v>
      </c>
      <c r="BE86" s="10">
        <f>IF('Batt IN'!$E$11="Taxable",$S86*'Batt IN'!$G$15*'Batt IN'!$E$28*'Batt IN'!$E$14/1000,0)</f>
        <v>0</v>
      </c>
      <c r="BF86" s="10">
        <f>IF('Batt IN'!$E$11="Taxable",'Batt IN'!$E$21*'Batt IN'!$G$21/12,0)</f>
        <v>0</v>
      </c>
      <c r="BG86" s="10">
        <f>IF('Batt IN'!$E$11="Taxable",'Batt IN'!$E$22*'Batt IN'!$G$22/12,0)</f>
        <v>0</v>
      </c>
      <c r="BK86" s="10">
        <f>IF('Batt IN'!$N$18="Yes",-BattLoan!H114,-BattLoan!L114)</f>
        <v>0</v>
      </c>
      <c r="BL86" s="10">
        <f>IF('Batt IN'!$N$18="Yes",-BattLoan!F114,0)</f>
        <v>0</v>
      </c>
      <c r="BM86" s="10">
        <f>IF(AND('Batt IN'!$D$44="YES",$C86&lt;='Batt IN'!$E$44*12),0,-'Batt IN'!$E$28*'Batt IN'!$E$42/12)</f>
        <v>-83.333333333333329</v>
      </c>
      <c r="BN86" s="10">
        <f>IF(AND('Batt IN'!$D$46="YES",$C86&lt;='Batt IN'!$E$46*12),0,-'Batt IN'!$E$28*'Batt IN'!$E$45/12)</f>
        <v>-166.66666666666666</v>
      </c>
      <c r="BO86" s="2">
        <f>IF(AND('Batt IN'!$D$41="YES",BattCalcs!C86=ROUNDUP('Batt IN'!$H$41*12,)),-'Batt IN'!$E$41*'Batt IN'!$E$28,0)</f>
        <v>0</v>
      </c>
      <c r="BP86" s="2">
        <f>IF(AND('Batt IN'!$D$53="Yes",$AL$1&gt;=1),0,IF($C86='Batt IN'!$H$54*12,-'Batt IN'!$F$54,0))</f>
        <v>0</v>
      </c>
      <c r="BQ86" s="2">
        <f>IF(AND('Batt IN'!$D$53="Yes",$AL$1&gt;=2),0,IF($C86='Batt IN'!$H$55*12,-'Batt IN'!$F$55,0))</f>
        <v>0</v>
      </c>
      <c r="BR86" s="2">
        <f>IF(AND('Batt IN'!$D$53="Yes",$AL$1&gt;=3),0,IF($C86='Batt IN'!$H$56*12,-'Batt IN'!$F$56,0))</f>
        <v>0</v>
      </c>
      <c r="BS86" s="2">
        <f>IF(AND('Batt IN'!$D$53="Yes",$AL$1&gt;=4),0,IF($C86='Batt IN'!$H$57*12,-'Batt IN'!$F$57,0))</f>
        <v>0</v>
      </c>
      <c r="BT86" s="2">
        <f>IF(AND('Batt IN'!$D$53="Yes",$AL$1&gt;=5),0,IF($C86='Batt IN'!$H$58*12,-'Batt IN'!$F$58,0))</f>
        <v>0</v>
      </c>
      <c r="BU86" s="2">
        <f>-AH86*PVCalcs!F86</f>
        <v>-348.62220237010365</v>
      </c>
      <c r="BV86" s="2">
        <f>-'Batt IN'!$E$47</f>
        <v>-150</v>
      </c>
      <c r="BW86" s="2">
        <f>-'Batt IN'!$E$49</f>
        <v>-2250</v>
      </c>
      <c r="BX86" s="2">
        <f>IF('Batt IN'!$H$50="No",-(BC86*'Batt IN'!$E$50),-(BC86+BE86)*'Batt IN'!$E$50)</f>
        <v>0</v>
      </c>
      <c r="BY86" s="2">
        <f>IF(C86='Batt IN'!$H$43*12,-'Batt IN'!$E$43,0)</f>
        <v>0</v>
      </c>
      <c r="BZ86" s="38"/>
      <c r="CA86" s="10">
        <f t="shared" si="17"/>
        <v>13422.323408333334</v>
      </c>
      <c r="CB86" s="2">
        <f t="shared" si="21"/>
        <v>-2998.6222023701039</v>
      </c>
      <c r="CC86" s="45">
        <f t="shared" si="22"/>
        <v>10423.701205963229</v>
      </c>
      <c r="CD86" s="43"/>
      <c r="CE86" s="2">
        <f t="shared" si="18"/>
        <v>0</v>
      </c>
      <c r="CF86" s="2">
        <f t="shared" si="23"/>
        <v>-2998.6222023701039</v>
      </c>
      <c r="CG86" s="2"/>
      <c r="CH86" s="2">
        <f t="shared" si="24"/>
        <v>-2998.6222023701039</v>
      </c>
      <c r="CI86" s="45">
        <f>-CH86*'Batt IN'!$E$7</f>
        <v>629.71066249772184</v>
      </c>
      <c r="CJ86" s="48"/>
      <c r="CK86" s="45">
        <f>IF('Batt IN'!$F$4="PV Only",0,IF(C86&gt;'Batt IN'!$H$43*12,0,CC86+CI86))</f>
        <v>0</v>
      </c>
      <c r="CM86" s="10">
        <f t="shared" si="25"/>
        <v>0</v>
      </c>
      <c r="CN86" s="2">
        <f>CK86/(1+('Batt IN'!$G$8))^(C86)</f>
        <v>0</v>
      </c>
      <c r="CO86" s="2">
        <f>IF(C86&lt;='Batt IN'!$O$30*12,CN86+CO85,NA())</f>
        <v>0</v>
      </c>
      <c r="CQ86" s="2">
        <f>CK86/((1+('Batt IN'!$E$8/12))^BattCalcs!C86)</f>
        <v>0</v>
      </c>
      <c r="CS86" s="10">
        <f t="shared" si="26"/>
        <v>-2998.6222023701039</v>
      </c>
      <c r="CT86" s="10">
        <f t="shared" si="27"/>
        <v>0</v>
      </c>
      <c r="CU86" s="10">
        <f t="shared" si="28"/>
        <v>-2998.6222023701039</v>
      </c>
      <c r="CV86" s="10">
        <f t="shared" si="29"/>
        <v>-2998.6222023701039</v>
      </c>
      <c r="CW86" s="2">
        <f t="shared" si="30"/>
        <v>0</v>
      </c>
      <c r="CX86" s="2">
        <f>-(SUM(CV86:CW86)*'PV IN'!$E$8)</f>
        <v>629.71066249772184</v>
      </c>
      <c r="CY86" s="2">
        <f t="shared" si="31"/>
        <v>-2368.911539872382</v>
      </c>
      <c r="CZ86" s="2">
        <f>IF(C86&lt;='Batt IN'!$H$43*12,CY86/(1+('PV IN'!$G$9))^(C86),0)</f>
        <v>-1697.2870588707344</v>
      </c>
      <c r="DA86" s="33">
        <f>IF(C86&lt;='Batt IN'!$H$43*12,AE86,0)</f>
        <v>30366.783333333333</v>
      </c>
    </row>
    <row r="87" spans="1:105" x14ac:dyDescent="0.25">
      <c r="A87">
        <f>IF(C87&lt;='Batt IN'!$H$43*12,C87,"")</f>
        <v>83</v>
      </c>
      <c r="C87">
        <v>83</v>
      </c>
      <c r="D87" s="21">
        <v>730</v>
      </c>
      <c r="E87" s="1">
        <f>1-'Batt IN'!$E$31</f>
        <v>2.0000000000000018E-2</v>
      </c>
      <c r="F87" s="12">
        <f>('Batt IN'!$E$33*365)/8760</f>
        <v>0</v>
      </c>
      <c r="G87" s="22">
        <f>'Batt IN'!$E$32/8760</f>
        <v>5.7077625570776253E-3</v>
      </c>
      <c r="H87" s="22">
        <f>'Batt IN'!$E$13/8760</f>
        <v>5.5936073059360729E-3</v>
      </c>
      <c r="I87" s="23">
        <f>IF(C87&lt;='Batt IN'!$G$14*12,'Batt IN'!$E$15/8760*'Batt IN'!$G$15,0)</f>
        <v>0</v>
      </c>
      <c r="J87" s="12">
        <f>Z87/'Batt IN'!$E$27/730</f>
        <v>2.4999999999999996E-3</v>
      </c>
      <c r="K87" s="23">
        <f>AA87/'Batt IN'!$E$27/730</f>
        <v>1.6027397260273972E-3</v>
      </c>
      <c r="L87" s="23">
        <f>AB87/'Batt IN'!$E$27/730</f>
        <v>2.0547945205479451E-4</v>
      </c>
      <c r="M87" s="23">
        <f>AC87/'Batt IN'!$E$27/730</f>
        <v>4.7945205479452057E-3</v>
      </c>
      <c r="N87" s="23">
        <f>AD87/'Batt IN'!$E$27/730</f>
        <v>3.4246575342465752E-3</v>
      </c>
      <c r="O87" s="12">
        <f t="shared" si="19"/>
        <v>4.3828767123287697E-2</v>
      </c>
      <c r="P87" s="21">
        <f t="shared" si="20"/>
        <v>698.005</v>
      </c>
      <c r="Q87" s="2">
        <f>IF('Batt IN'!$E$27*'Batt IN'!$E$24&lt;='Batt IN'!$E$28,(('Batt IN'!$E$23*'Batt IN'!$E$27*'Batt IN'!$E$24)/1000)*P87,(('Batt IN'!$E$23*'Batt IN'!$E$28*'Batt IN'!$E$24)/1000)*P87)</f>
        <v>11168.08</v>
      </c>
      <c r="R87" s="2"/>
      <c r="S87" s="77">
        <f>IF(C87&lt;='Batt IN'!$G$14*12,'Batt IN'!$E$15/12,0)</f>
        <v>0</v>
      </c>
      <c r="T87" s="77"/>
      <c r="U87" s="80">
        <f>'Batt IN'!$E$28*('Batt IN'!$G$24/24)*730*(1-O87)</f>
        <v>81433.916666666657</v>
      </c>
      <c r="V87" s="78">
        <f>U87*'Batt IN'!$F$30</f>
        <v>16286.783333333333</v>
      </c>
      <c r="W87" s="78">
        <f>'Batt IN'!$E$28*'Batt IN'!$G$32*('Batt IN'!$E$32/12)*(1+'Batt IN'!$F$30)</f>
        <v>1750.0000000000002</v>
      </c>
      <c r="X87" s="78">
        <f>'Batt IN'!$E$28*'Batt IN'!$G$13*('Batt IN'!$E$13/12)*(1+'Batt IN'!$F$30)</f>
        <v>3184.9999999999995</v>
      </c>
      <c r="Y87" s="33">
        <f>S87*'Batt IN'!$G$15*'Batt IN'!$E$28*(1+'Batt IN'!$F$30)</f>
        <v>0</v>
      </c>
      <c r="Z87" s="33">
        <f>'Batt IN'!$G$16*365/12*(1+'Batt IN'!$F$30)</f>
        <v>1824.9999999999998</v>
      </c>
      <c r="AA87" s="33">
        <f>'Batt IN'!$G$17*'Batt IN'!$E$18*'Batt IN'!$G$18/12*(1+'Batt IN'!$F$30)</f>
        <v>1170</v>
      </c>
      <c r="AB87" s="33">
        <f>'Batt IN'!$G$19*'Batt IN'!$E$20*'Batt IN'!$G$20/12*(1+'Batt IN'!$F$30)</f>
        <v>150</v>
      </c>
      <c r="AC87" s="33">
        <f>'Batt IN'!$G$21*(1+'Batt IN'!$F$30)/12</f>
        <v>3500</v>
      </c>
      <c r="AD87" s="33">
        <f>'Batt IN'!$G$22*(1+'Batt IN'!$F$30)/12</f>
        <v>2500</v>
      </c>
      <c r="AE87" s="33">
        <f t="shared" si="32"/>
        <v>30366.783333333333</v>
      </c>
      <c r="AF87" s="33">
        <f>IF('PV IN'!$F$4="Battery Only",0,AE87*'Batt IN'!$E$29)</f>
        <v>25811.765833333331</v>
      </c>
      <c r="AG87" s="33">
        <f>PVCalcs!L87</f>
        <v>25811.765833333331</v>
      </c>
      <c r="AH87" s="33">
        <f t="shared" si="33"/>
        <v>4555.0175000000017</v>
      </c>
      <c r="AI87" s="33"/>
      <c r="AJ87" s="2">
        <f>IF(AND('Batt IN'!$D$53="Yes",$AL$1&gt;=1),IF($C87='Batt IN'!$H$54*12,-'Batt IN'!$F$54,0),0)</f>
        <v>0</v>
      </c>
      <c r="AK87" s="2">
        <f>IF(AND('Batt IN'!$D$53="Yes",$AL$1&gt;=2),IF($C87='Batt IN'!$H$55*12,-'Batt IN'!$F$55,0),0)</f>
        <v>0</v>
      </c>
      <c r="AL87" s="2">
        <f>IF(AND('Batt IN'!$D$53="Yes",$AL$1&gt;=3),IF($C87='Batt IN'!$H$56*12,-'Batt IN'!$F$56,0),0)</f>
        <v>0</v>
      </c>
      <c r="AM87" s="2">
        <f>IF(AND('Batt IN'!$D$53="Yes",$AL$1&gt;=4),IF($C87='Batt IN'!$H$57*12,-'Batt IN'!$F$57,0),0)</f>
        <v>0</v>
      </c>
      <c r="AN87" s="2">
        <f>IF(AND('Batt IN'!$D$53="Yes",$AL$1&gt;=5),IF($C87='Batt IN'!$H$58*12,-'Batt IN'!$F$58,0),0)</f>
        <v>0</v>
      </c>
      <c r="AO87" s="10">
        <f>IF(AND('Batt IN'!$D$44="YES",$C87&lt;='Batt IN'!$E$44*12),-'Batt IN'!$E$28*'Batt IN'!$E$42/12,0)</f>
        <v>0</v>
      </c>
      <c r="AP87" s="10">
        <f>IF(AND('Batt IN'!$D$46="YES",$C87&lt;='Batt IN'!$E$46*12),-'Batt IN'!$E$28*'Batt IN'!$E$45/12,0)</f>
        <v>0</v>
      </c>
      <c r="AR87" s="10">
        <f>BattLoan!M114</f>
        <v>0</v>
      </c>
      <c r="AS87" s="10">
        <f>'Batt IN'!$G$16*365/12*'Batt IN'!$E$16</f>
        <v>76.041666666666671</v>
      </c>
      <c r="AT87" s="10">
        <f>IF(AND('Batt IN'!$E$18&gt;0,'Batt IN'!$G$18&gt;0),'Batt IN'!$E$17*'Batt IN'!$G$17,0)</f>
        <v>119.44619999999999</v>
      </c>
      <c r="AU87" s="10">
        <f>IF(AND('Batt IN'!$E$20&gt;0,'Batt IN'!$G$20&gt;0),'Batt IN'!$E$19*'Batt IN'!$G$19,0)</f>
        <v>231</v>
      </c>
      <c r="AV87" s="10"/>
      <c r="AW87" s="10"/>
      <c r="AX87" s="10">
        <f>IF('Batt IN'!$E$11="Non-Taxable",Q87,0)</f>
        <v>11168.08</v>
      </c>
      <c r="AY87" s="10">
        <f>IF('Batt IN'!$E$11="Non-Taxable",'Batt IN'!$E$28/1000*'Batt IN'!$G$13*('Batt IN'!$E$13/12)*'Batt IN'!$E$12,0)</f>
        <v>244.42220833333334</v>
      </c>
      <c r="AZ87" s="10">
        <f>IF('Batt IN'!$E$11="Non-Taxable",$S87*'Batt IN'!$G$15*'Batt IN'!$E$28*'Batt IN'!$E$14/1000,0)</f>
        <v>0</v>
      </c>
      <c r="BA87" s="10">
        <f>IF('Batt IN'!$E$11="Non-Taxable",'Batt IN'!$E$21*'Batt IN'!$G$21/12,0)</f>
        <v>437.5</v>
      </c>
      <c r="BB87" s="10">
        <f>IF('Batt IN'!$E$11="Non-Taxable",'Batt IN'!$E$22*'Batt IN'!$G$22/12,0)</f>
        <v>1145.8333333333335</v>
      </c>
      <c r="BC87" s="10">
        <f>IF('Batt IN'!$E$11="Taxable",Q87,0)</f>
        <v>0</v>
      </c>
      <c r="BD87" s="10">
        <f>IF('Batt IN'!$E$11="Taxable",'Batt IN'!$E$28/1000*'Batt IN'!$G$13*('Batt IN'!$E$13/12)*'Batt IN'!$E$12,0)</f>
        <v>0</v>
      </c>
      <c r="BE87" s="10">
        <f>IF('Batt IN'!$E$11="Taxable",$S87*'Batt IN'!$G$15*'Batt IN'!$E$28*'Batt IN'!$E$14/1000,0)</f>
        <v>0</v>
      </c>
      <c r="BF87" s="10">
        <f>IF('Batt IN'!$E$11="Taxable",'Batt IN'!$E$21*'Batt IN'!$G$21/12,0)</f>
        <v>0</v>
      </c>
      <c r="BG87" s="10">
        <f>IF('Batt IN'!$E$11="Taxable",'Batt IN'!$E$22*'Batt IN'!$G$22/12,0)</f>
        <v>0</v>
      </c>
      <c r="BK87" s="10">
        <f>IF('Batt IN'!$N$18="Yes",-BattLoan!H115,-BattLoan!L115)</f>
        <v>0</v>
      </c>
      <c r="BL87" s="10">
        <f>IF('Batt IN'!$N$18="Yes",-BattLoan!F115,0)</f>
        <v>0</v>
      </c>
      <c r="BM87" s="10">
        <f>IF(AND('Batt IN'!$D$44="YES",$C87&lt;='Batt IN'!$E$44*12),0,-'Batt IN'!$E$28*'Batt IN'!$E$42/12)</f>
        <v>-83.333333333333329</v>
      </c>
      <c r="BN87" s="10">
        <f>IF(AND('Batt IN'!$D$46="YES",$C87&lt;='Batt IN'!$E$46*12),0,-'Batt IN'!$E$28*'Batt IN'!$E$45/12)</f>
        <v>-166.66666666666666</v>
      </c>
      <c r="BO87" s="2">
        <f>IF(AND('Batt IN'!$D$41="YES",BattCalcs!C87=ROUNDUP('Batt IN'!$H$41*12,)),-'Batt IN'!$E$41*'Batt IN'!$E$28,0)</f>
        <v>0</v>
      </c>
      <c r="BP87" s="2">
        <f>IF(AND('Batt IN'!$D$53="Yes",$AL$1&gt;=1),0,IF($C87='Batt IN'!$H$54*12,-'Batt IN'!$F$54,0))</f>
        <v>0</v>
      </c>
      <c r="BQ87" s="2">
        <f>IF(AND('Batt IN'!$D$53="Yes",$AL$1&gt;=2),0,IF($C87='Batt IN'!$H$55*12,-'Batt IN'!$F$55,0))</f>
        <v>0</v>
      </c>
      <c r="BR87" s="2">
        <f>IF(AND('Batt IN'!$D$53="Yes",$AL$1&gt;=3),0,IF($C87='Batt IN'!$H$56*12,-'Batt IN'!$F$56,0))</f>
        <v>0</v>
      </c>
      <c r="BS87" s="2">
        <f>IF(AND('Batt IN'!$D$53="Yes",$AL$1&gt;=4),0,IF($C87='Batt IN'!$H$57*12,-'Batt IN'!$F$57,0))</f>
        <v>0</v>
      </c>
      <c r="BT87" s="2">
        <f>IF(AND('Batt IN'!$D$53="Yes",$AL$1&gt;=5),0,IF($C87='Batt IN'!$H$58*12,-'Batt IN'!$F$58,0))</f>
        <v>0</v>
      </c>
      <c r="BU87" s="2">
        <f>-AH87*PVCalcs!F87</f>
        <v>-348.62220237010365</v>
      </c>
      <c r="BV87" s="2">
        <f>-'Batt IN'!$E$47</f>
        <v>-150</v>
      </c>
      <c r="BW87" s="2">
        <f>-'Batt IN'!$E$49</f>
        <v>-2250</v>
      </c>
      <c r="BX87" s="2">
        <f>IF('Batt IN'!$H$50="No",-(BC87*'Batt IN'!$E$50),-(BC87+BE87)*'Batt IN'!$E$50)</f>
        <v>0</v>
      </c>
      <c r="BY87" s="2">
        <f>IF(C87='Batt IN'!$H$43*12,-'Batt IN'!$E$43,0)</f>
        <v>0</v>
      </c>
      <c r="BZ87" s="38"/>
      <c r="CA87" s="10">
        <f t="shared" si="17"/>
        <v>13422.323408333334</v>
      </c>
      <c r="CB87" s="2">
        <f t="shared" si="21"/>
        <v>-2998.6222023701039</v>
      </c>
      <c r="CC87" s="45">
        <f t="shared" si="22"/>
        <v>10423.701205963229</v>
      </c>
      <c r="CD87" s="43"/>
      <c r="CE87" s="2">
        <f t="shared" si="18"/>
        <v>0</v>
      </c>
      <c r="CF87" s="2">
        <f t="shared" si="23"/>
        <v>-2998.6222023701039</v>
      </c>
      <c r="CG87" s="2"/>
      <c r="CH87" s="2">
        <f t="shared" si="24"/>
        <v>-2998.6222023701039</v>
      </c>
      <c r="CI87" s="45">
        <f>-CH87*'Batt IN'!$E$7</f>
        <v>629.71066249772184</v>
      </c>
      <c r="CJ87" s="48"/>
      <c r="CK87" s="45">
        <f>IF('Batt IN'!$F$4="PV Only",0,IF(C87&gt;'Batt IN'!$H$43*12,0,CC87+CI87))</f>
        <v>0</v>
      </c>
      <c r="CM87" s="10">
        <f t="shared" si="25"/>
        <v>0</v>
      </c>
      <c r="CN87" s="2">
        <f>CK87/(1+('Batt IN'!$G$8))^(C87)</f>
        <v>0</v>
      </c>
      <c r="CO87" s="2">
        <f>IF(C87&lt;='Batt IN'!$O$30*12,CN87+CO86,NA())</f>
        <v>0</v>
      </c>
      <c r="CQ87" s="2">
        <f>CK87/((1+('Batt IN'!$E$8/12))^BattCalcs!C87)</f>
        <v>0</v>
      </c>
      <c r="CS87" s="10">
        <f t="shared" si="26"/>
        <v>-2998.6222023701039</v>
      </c>
      <c r="CT87" s="10">
        <f t="shared" si="27"/>
        <v>0</v>
      </c>
      <c r="CU87" s="10">
        <f t="shared" si="28"/>
        <v>-2998.6222023701039</v>
      </c>
      <c r="CV87" s="10">
        <f t="shared" si="29"/>
        <v>-2998.6222023701039</v>
      </c>
      <c r="CW87" s="2">
        <f t="shared" si="30"/>
        <v>0</v>
      </c>
      <c r="CX87" s="2">
        <f>-(SUM(CV87:CW87)*'PV IN'!$E$8)</f>
        <v>629.71066249772184</v>
      </c>
      <c r="CY87" s="2">
        <f t="shared" si="31"/>
        <v>-2368.911539872382</v>
      </c>
      <c r="CZ87" s="2">
        <f>IF(C87&lt;='Batt IN'!$H$43*12,CY87/(1+('PV IN'!$G$9))^(C87),0)</f>
        <v>-1690.4001593775313</v>
      </c>
      <c r="DA87" s="33">
        <f>IF(C87&lt;='Batt IN'!$H$43*12,AE87,0)</f>
        <v>30366.783333333333</v>
      </c>
    </row>
    <row r="88" spans="1:105" x14ac:dyDescent="0.25">
      <c r="A88">
        <f>IF(C88&lt;='Batt IN'!$H$43*12,C88,"")</f>
        <v>84</v>
      </c>
      <c r="B88">
        <v>7</v>
      </c>
      <c r="C88">
        <v>84</v>
      </c>
      <c r="D88" s="21">
        <v>730</v>
      </c>
      <c r="E88" s="1">
        <f>1-'Batt IN'!$E$31</f>
        <v>2.0000000000000018E-2</v>
      </c>
      <c r="F88" s="12">
        <f>('Batt IN'!$E$33*365)/8760</f>
        <v>0</v>
      </c>
      <c r="G88" s="22">
        <f>'Batt IN'!$E$32/8760</f>
        <v>5.7077625570776253E-3</v>
      </c>
      <c r="H88" s="22">
        <f>'Batt IN'!$E$13/8760</f>
        <v>5.5936073059360729E-3</v>
      </c>
      <c r="I88" s="23">
        <f>IF(C88&lt;='Batt IN'!$G$14*12,'Batt IN'!$E$15/8760*'Batt IN'!$G$15,0)</f>
        <v>0</v>
      </c>
      <c r="J88" s="12">
        <f>Z88/'Batt IN'!$E$27/730</f>
        <v>2.4999999999999996E-3</v>
      </c>
      <c r="K88" s="23">
        <f>AA88/'Batt IN'!$E$27/730</f>
        <v>1.6027397260273972E-3</v>
      </c>
      <c r="L88" s="23">
        <f>AB88/'Batt IN'!$E$27/730</f>
        <v>2.0547945205479451E-4</v>
      </c>
      <c r="M88" s="23">
        <f>AC88/'Batt IN'!$E$27/730</f>
        <v>4.7945205479452057E-3</v>
      </c>
      <c r="N88" s="23">
        <f>AD88/'Batt IN'!$E$27/730</f>
        <v>3.4246575342465752E-3</v>
      </c>
      <c r="O88" s="12">
        <f t="shared" si="19"/>
        <v>4.3828767123287697E-2</v>
      </c>
      <c r="P88" s="21">
        <f t="shared" si="20"/>
        <v>698.005</v>
      </c>
      <c r="Q88" s="2">
        <f>IF('Batt IN'!$E$27*'Batt IN'!$E$24&lt;='Batt IN'!$E$28,(('Batt IN'!$E$23*'Batt IN'!$E$27*'Batt IN'!$E$24)/1000)*P88,(('Batt IN'!$E$23*'Batt IN'!$E$28*'Batt IN'!$E$24)/1000)*P88)</f>
        <v>11168.08</v>
      </c>
      <c r="R88" s="2"/>
      <c r="S88" s="77">
        <f>IF(C88&lt;='Batt IN'!$G$14*12,'Batt IN'!$E$15/12,0)</f>
        <v>0</v>
      </c>
      <c r="T88" s="77"/>
      <c r="U88" s="80">
        <f>'Batt IN'!$E$28*('Batt IN'!$G$24/24)*730*(1-O88)</f>
        <v>81433.916666666657</v>
      </c>
      <c r="V88" s="78">
        <f>U88*'Batt IN'!$F$30</f>
        <v>16286.783333333333</v>
      </c>
      <c r="W88" s="78">
        <f>'Batt IN'!$E$28*'Batt IN'!$G$32*('Batt IN'!$E$32/12)*(1+'Batt IN'!$F$30)</f>
        <v>1750.0000000000002</v>
      </c>
      <c r="X88" s="78">
        <f>'Batt IN'!$E$28*'Batt IN'!$G$13*('Batt IN'!$E$13/12)*(1+'Batt IN'!$F$30)</f>
        <v>3184.9999999999995</v>
      </c>
      <c r="Y88" s="33">
        <f>S88*'Batt IN'!$G$15*'Batt IN'!$E$28*(1+'Batt IN'!$F$30)</f>
        <v>0</v>
      </c>
      <c r="Z88" s="33">
        <f>'Batt IN'!$G$16*365/12*(1+'Batt IN'!$F$30)</f>
        <v>1824.9999999999998</v>
      </c>
      <c r="AA88" s="33">
        <f>'Batt IN'!$G$17*'Batt IN'!$E$18*'Batt IN'!$G$18/12*(1+'Batt IN'!$F$30)</f>
        <v>1170</v>
      </c>
      <c r="AB88" s="33">
        <f>'Batt IN'!$G$19*'Batt IN'!$E$20*'Batt IN'!$G$20/12*(1+'Batt IN'!$F$30)</f>
        <v>150</v>
      </c>
      <c r="AC88" s="33">
        <f>'Batt IN'!$G$21*(1+'Batt IN'!$F$30)/12</f>
        <v>3500</v>
      </c>
      <c r="AD88" s="33">
        <f>'Batt IN'!$G$22*(1+'Batt IN'!$F$30)/12</f>
        <v>2500</v>
      </c>
      <c r="AE88" s="33">
        <f t="shared" si="32"/>
        <v>30366.783333333333</v>
      </c>
      <c r="AF88" s="33">
        <f>IF('PV IN'!$F$4="Battery Only",0,AE88*'Batt IN'!$E$29)</f>
        <v>25811.765833333331</v>
      </c>
      <c r="AG88" s="33">
        <f>PVCalcs!L88</f>
        <v>25811.765833333331</v>
      </c>
      <c r="AH88" s="33">
        <f t="shared" si="33"/>
        <v>4555.0175000000017</v>
      </c>
      <c r="AI88" s="33"/>
      <c r="AJ88" s="2">
        <f>IF(AND('Batt IN'!$D$53="Yes",$AL$1&gt;=1),IF($C88='Batt IN'!$H$54*12,-'Batt IN'!$F$54,0),0)</f>
        <v>0</v>
      </c>
      <c r="AK88" s="2">
        <f>IF(AND('Batt IN'!$D$53="Yes",$AL$1&gt;=2),IF($C88='Batt IN'!$H$55*12,-'Batt IN'!$F$55,0),0)</f>
        <v>0</v>
      </c>
      <c r="AL88" s="2">
        <f>IF(AND('Batt IN'!$D$53="Yes",$AL$1&gt;=3),IF($C88='Batt IN'!$H$56*12,-'Batt IN'!$F$56,0),0)</f>
        <v>0</v>
      </c>
      <c r="AM88" s="2">
        <f>IF(AND('Batt IN'!$D$53="Yes",$AL$1&gt;=4),IF($C88='Batt IN'!$H$57*12,-'Batt IN'!$F$57,0),0)</f>
        <v>0</v>
      </c>
      <c r="AN88" s="2">
        <f>IF(AND('Batt IN'!$D$53="Yes",$AL$1&gt;=5),IF($C88='Batt IN'!$H$58*12,-'Batt IN'!$F$58,0),0)</f>
        <v>0</v>
      </c>
      <c r="AO88" s="10">
        <f>IF(AND('Batt IN'!$D$44="YES",$C88&lt;='Batt IN'!$E$44*12),-'Batt IN'!$E$28*'Batt IN'!$E$42/12,0)</f>
        <v>0</v>
      </c>
      <c r="AP88" s="10">
        <f>IF(AND('Batt IN'!$D$46="YES",$C88&lt;='Batt IN'!$E$46*12),-'Batt IN'!$E$28*'Batt IN'!$E$45/12,0)</f>
        <v>0</v>
      </c>
      <c r="AR88" s="10">
        <f>BattLoan!M115</f>
        <v>0</v>
      </c>
      <c r="AS88" s="10">
        <f>'Batt IN'!$G$16*365/12*'Batt IN'!$E$16</f>
        <v>76.041666666666671</v>
      </c>
      <c r="AT88" s="10">
        <f>IF(AND('Batt IN'!$E$18&gt;0,'Batt IN'!$G$18&gt;0),'Batt IN'!$E$17*'Batt IN'!$G$17,0)</f>
        <v>119.44619999999999</v>
      </c>
      <c r="AU88" s="10">
        <f>IF(AND('Batt IN'!$E$20&gt;0,'Batt IN'!$G$20&gt;0),'Batt IN'!$E$19*'Batt IN'!$G$19,0)</f>
        <v>231</v>
      </c>
      <c r="AV88" s="10"/>
      <c r="AW88" s="10"/>
      <c r="AX88" s="10">
        <f>IF('Batt IN'!$E$11="Non-Taxable",Q88,0)</f>
        <v>11168.08</v>
      </c>
      <c r="AY88" s="10">
        <f>IF('Batt IN'!$E$11="Non-Taxable",'Batt IN'!$E$28/1000*'Batt IN'!$G$13*('Batt IN'!$E$13/12)*'Batt IN'!$E$12,0)</f>
        <v>244.42220833333334</v>
      </c>
      <c r="AZ88" s="10">
        <f>IF('Batt IN'!$E$11="Non-Taxable",$S88*'Batt IN'!$G$15*'Batt IN'!$E$28*'Batt IN'!$E$14/1000,0)</f>
        <v>0</v>
      </c>
      <c r="BA88" s="10">
        <f>IF('Batt IN'!$E$11="Non-Taxable",'Batt IN'!$E$21*'Batt IN'!$G$21/12,0)</f>
        <v>437.5</v>
      </c>
      <c r="BB88" s="10">
        <f>IF('Batt IN'!$E$11="Non-Taxable",'Batt IN'!$E$22*'Batt IN'!$G$22/12,0)</f>
        <v>1145.8333333333335</v>
      </c>
      <c r="BC88" s="10">
        <f>IF('Batt IN'!$E$11="Taxable",Q88,0)</f>
        <v>0</v>
      </c>
      <c r="BD88" s="10">
        <f>IF('Batt IN'!$E$11="Taxable",'Batt IN'!$E$28/1000*'Batt IN'!$G$13*('Batt IN'!$E$13/12)*'Batt IN'!$E$12,0)</f>
        <v>0</v>
      </c>
      <c r="BE88" s="10">
        <f>IF('Batt IN'!$E$11="Taxable",$S88*'Batt IN'!$G$15*'Batt IN'!$E$28*'Batt IN'!$E$14/1000,0)</f>
        <v>0</v>
      </c>
      <c r="BF88" s="10">
        <f>IF('Batt IN'!$E$11="Taxable",'Batt IN'!$E$21*'Batt IN'!$G$21/12,0)</f>
        <v>0</v>
      </c>
      <c r="BG88" s="10">
        <f>IF('Batt IN'!$E$11="Taxable",'Batt IN'!$E$22*'Batt IN'!$G$22/12,0)</f>
        <v>0</v>
      </c>
      <c r="BK88" s="10">
        <f>IF('Batt IN'!$N$18="Yes",-BattLoan!H116,-BattLoan!L116)</f>
        <v>0</v>
      </c>
      <c r="BL88" s="10">
        <f>IF('Batt IN'!$N$18="Yes",-BattLoan!F116,0)</f>
        <v>0</v>
      </c>
      <c r="BM88" s="10">
        <f>IF(AND('Batt IN'!$D$44="YES",$C88&lt;='Batt IN'!$E$44*12),0,-'Batt IN'!$E$28*'Batt IN'!$E$42/12)</f>
        <v>-83.333333333333329</v>
      </c>
      <c r="BN88" s="10">
        <f>IF(AND('Batt IN'!$D$46="YES",$C88&lt;='Batt IN'!$E$46*12),0,-'Batt IN'!$E$28*'Batt IN'!$E$45/12)</f>
        <v>-166.66666666666666</v>
      </c>
      <c r="BO88" s="2">
        <f>IF(AND('Batt IN'!$D$41="YES",BattCalcs!C88=ROUNDUP('Batt IN'!$H$41*12,)),-'Batt IN'!$E$41*'Batt IN'!$E$28,0)</f>
        <v>0</v>
      </c>
      <c r="BP88" s="2">
        <f>IF(AND('Batt IN'!$D$53="Yes",$AL$1&gt;=1),0,IF($C88='Batt IN'!$H$54*12,-'Batt IN'!$F$54,0))</f>
        <v>0</v>
      </c>
      <c r="BQ88" s="2">
        <f>IF(AND('Batt IN'!$D$53="Yes",$AL$1&gt;=2),0,IF($C88='Batt IN'!$H$55*12,-'Batt IN'!$F$55,0))</f>
        <v>0</v>
      </c>
      <c r="BR88" s="2">
        <f>IF(AND('Batt IN'!$D$53="Yes",$AL$1&gt;=3),0,IF($C88='Batt IN'!$H$56*12,-'Batt IN'!$F$56,0))</f>
        <v>0</v>
      </c>
      <c r="BS88" s="2">
        <f>IF(AND('Batt IN'!$D$53="Yes",$AL$1&gt;=4),0,IF($C88='Batt IN'!$H$57*12,-'Batt IN'!$F$57,0))</f>
        <v>0</v>
      </c>
      <c r="BT88" s="2">
        <f>IF(AND('Batt IN'!$D$53="Yes",$AL$1&gt;=5),0,IF($C88='Batt IN'!$H$58*12,-'Batt IN'!$F$58,0))</f>
        <v>0</v>
      </c>
      <c r="BU88" s="2">
        <f>-AH88*PVCalcs!F88</f>
        <v>-348.62220237010365</v>
      </c>
      <c r="BV88" s="2">
        <f>-'Batt IN'!$E$47</f>
        <v>-150</v>
      </c>
      <c r="BW88" s="2">
        <f>-'Batt IN'!$E$49</f>
        <v>-2250</v>
      </c>
      <c r="BX88" s="2">
        <f>IF('Batt IN'!$H$50="No",-(BC88*'Batt IN'!$E$50),-(BC88+BE88)*'Batt IN'!$E$50)</f>
        <v>0</v>
      </c>
      <c r="BY88" s="2">
        <f>IF(C88='Batt IN'!$H$43*12,-'Batt IN'!$E$43,0)</f>
        <v>0</v>
      </c>
      <c r="BZ88" s="38"/>
      <c r="CA88" s="10">
        <f t="shared" si="17"/>
        <v>13422.323408333334</v>
      </c>
      <c r="CB88" s="2">
        <f t="shared" si="21"/>
        <v>-2998.6222023701039</v>
      </c>
      <c r="CC88" s="45">
        <f t="shared" si="22"/>
        <v>10423.701205963229</v>
      </c>
      <c r="CD88" s="43"/>
      <c r="CE88" s="2">
        <f t="shared" si="18"/>
        <v>0</v>
      </c>
      <c r="CF88" s="2">
        <f t="shared" si="23"/>
        <v>-2998.6222023701039</v>
      </c>
      <c r="CG88" s="2"/>
      <c r="CH88" s="2">
        <f t="shared" si="24"/>
        <v>-2998.6222023701039</v>
      </c>
      <c r="CI88" s="45">
        <f>-CH88*'Batt IN'!$E$7</f>
        <v>629.71066249772184</v>
      </c>
      <c r="CJ88" s="48"/>
      <c r="CK88" s="45">
        <f>IF('Batt IN'!$F$4="PV Only",0,IF(C88&gt;'Batt IN'!$H$43*12,0,CC88+CI88))</f>
        <v>0</v>
      </c>
      <c r="CM88" s="10">
        <f t="shared" si="25"/>
        <v>0</v>
      </c>
      <c r="CN88" s="2">
        <f>CK88/(1+('Batt IN'!$G$8))^(C88)</f>
        <v>0</v>
      </c>
      <c r="CO88" s="2">
        <f>IF(C88&lt;='Batt IN'!$O$30*12,CN88+CO87,NA())</f>
        <v>0</v>
      </c>
      <c r="CQ88" s="2">
        <f>CK88/((1+('Batt IN'!$E$8/12))^BattCalcs!C88)</f>
        <v>0</v>
      </c>
      <c r="CS88" s="10">
        <f t="shared" si="26"/>
        <v>-2998.6222023701039</v>
      </c>
      <c r="CT88" s="10">
        <f t="shared" si="27"/>
        <v>0</v>
      </c>
      <c r="CU88" s="10">
        <f t="shared" si="28"/>
        <v>-2998.6222023701039</v>
      </c>
      <c r="CV88" s="10">
        <f t="shared" si="29"/>
        <v>-2998.6222023701039</v>
      </c>
      <c r="CW88" s="2">
        <f t="shared" si="30"/>
        <v>0</v>
      </c>
      <c r="CX88" s="2">
        <f>-(SUM(CV88:CW88)*'PV IN'!$E$8)</f>
        <v>629.71066249772184</v>
      </c>
      <c r="CY88" s="2">
        <f t="shared" si="31"/>
        <v>-2368.911539872382</v>
      </c>
      <c r="CZ88" s="2">
        <f>IF(C88&lt;='Batt IN'!$H$43*12,CY88/(1+('PV IN'!$G$9))^(C88),0)</f>
        <v>-1683.541204117086</v>
      </c>
      <c r="DA88" s="33">
        <f>IF(C88&lt;='Batt IN'!$H$43*12,AE88,0)</f>
        <v>30366.783333333333</v>
      </c>
    </row>
    <row r="89" spans="1:105" x14ac:dyDescent="0.25">
      <c r="A89">
        <f>IF(C89&lt;='Batt IN'!$H$43*12,C89,"")</f>
        <v>85</v>
      </c>
      <c r="C89">
        <v>85</v>
      </c>
      <c r="D89" s="21">
        <v>730</v>
      </c>
      <c r="E89" s="1">
        <f>1-'Batt IN'!$E$31</f>
        <v>2.0000000000000018E-2</v>
      </c>
      <c r="F89" s="12">
        <f>('Batt IN'!$E$33*365)/8760</f>
        <v>0</v>
      </c>
      <c r="G89" s="22">
        <f>'Batt IN'!$E$32/8760</f>
        <v>5.7077625570776253E-3</v>
      </c>
      <c r="H89" s="22">
        <f>'Batt IN'!$E$13/8760</f>
        <v>5.5936073059360729E-3</v>
      </c>
      <c r="I89" s="23">
        <f>IF(C89&lt;='Batt IN'!$G$14*12,'Batt IN'!$E$15/8760*'Batt IN'!$G$15,0)</f>
        <v>0</v>
      </c>
      <c r="J89" s="12">
        <f>Z89/'Batt IN'!$E$27/730</f>
        <v>2.4999999999999996E-3</v>
      </c>
      <c r="K89" s="23">
        <f>AA89/'Batt IN'!$E$27/730</f>
        <v>1.6027397260273972E-3</v>
      </c>
      <c r="L89" s="23">
        <f>AB89/'Batt IN'!$E$27/730</f>
        <v>2.0547945205479451E-4</v>
      </c>
      <c r="M89" s="23">
        <f>AC89/'Batt IN'!$E$27/730</f>
        <v>4.7945205479452057E-3</v>
      </c>
      <c r="N89" s="23">
        <f>AD89/'Batt IN'!$E$27/730</f>
        <v>3.4246575342465752E-3</v>
      </c>
      <c r="O89" s="12">
        <f t="shared" si="19"/>
        <v>4.3828767123287697E-2</v>
      </c>
      <c r="P89" s="21">
        <f t="shared" si="20"/>
        <v>698.005</v>
      </c>
      <c r="Q89" s="2">
        <f>IF('Batt IN'!$E$27*'Batt IN'!$E$24&lt;='Batt IN'!$E$28,(('Batt IN'!$E$23*'Batt IN'!$E$27*'Batt IN'!$E$24)/1000)*P89,(('Batt IN'!$E$23*'Batt IN'!$E$28*'Batt IN'!$E$24)/1000)*P89)</f>
        <v>11168.08</v>
      </c>
      <c r="R89" s="2"/>
      <c r="S89" s="77">
        <f>IF(C89&lt;='Batt IN'!$G$14*12,'Batt IN'!$E$15/12,0)</f>
        <v>0</v>
      </c>
      <c r="T89" s="77"/>
      <c r="U89" s="80">
        <f>'Batt IN'!$E$28*('Batt IN'!$G$24/24)*730*(1-O89)</f>
        <v>81433.916666666657</v>
      </c>
      <c r="V89" s="78">
        <f>U89*'Batt IN'!$F$30</f>
        <v>16286.783333333333</v>
      </c>
      <c r="W89" s="78">
        <f>'Batt IN'!$E$28*'Batt IN'!$G$32*('Batt IN'!$E$32/12)*(1+'Batt IN'!$F$30)</f>
        <v>1750.0000000000002</v>
      </c>
      <c r="X89" s="78">
        <f>'Batt IN'!$E$28*'Batt IN'!$G$13*('Batt IN'!$E$13/12)*(1+'Batt IN'!$F$30)</f>
        <v>3184.9999999999995</v>
      </c>
      <c r="Y89" s="33">
        <f>S89*'Batt IN'!$G$15*'Batt IN'!$E$28*(1+'Batt IN'!$F$30)</f>
        <v>0</v>
      </c>
      <c r="Z89" s="33">
        <f>'Batt IN'!$G$16*365/12*(1+'Batt IN'!$F$30)</f>
        <v>1824.9999999999998</v>
      </c>
      <c r="AA89" s="33">
        <f>'Batt IN'!$G$17*'Batt IN'!$E$18*'Batt IN'!$G$18/12*(1+'Batt IN'!$F$30)</f>
        <v>1170</v>
      </c>
      <c r="AB89" s="33">
        <f>'Batt IN'!$G$19*'Batt IN'!$E$20*'Batt IN'!$G$20/12*(1+'Batt IN'!$F$30)</f>
        <v>150</v>
      </c>
      <c r="AC89" s="33">
        <f>'Batt IN'!$G$21*(1+'Batt IN'!$F$30)/12</f>
        <v>3500</v>
      </c>
      <c r="AD89" s="33">
        <f>'Batt IN'!$G$22*(1+'Batt IN'!$F$30)/12</f>
        <v>2500</v>
      </c>
      <c r="AE89" s="33">
        <f t="shared" si="32"/>
        <v>30366.783333333333</v>
      </c>
      <c r="AF89" s="33">
        <f>IF('PV IN'!$F$4="Battery Only",0,AE89*'Batt IN'!$E$29)</f>
        <v>25811.765833333331</v>
      </c>
      <c r="AG89" s="33">
        <f>PVCalcs!L89</f>
        <v>25811.765833333331</v>
      </c>
      <c r="AH89" s="33">
        <f t="shared" si="33"/>
        <v>4555.0175000000017</v>
      </c>
      <c r="AI89" s="33"/>
      <c r="AJ89" s="2">
        <f>IF(AND('Batt IN'!$D$53="Yes",$AL$1&gt;=1),IF($C89='Batt IN'!$H$54*12,-'Batt IN'!$F$54,0),0)</f>
        <v>0</v>
      </c>
      <c r="AK89" s="2">
        <f>IF(AND('Batt IN'!$D$53="Yes",$AL$1&gt;=2),IF($C89='Batt IN'!$H$55*12,-'Batt IN'!$F$55,0),0)</f>
        <v>0</v>
      </c>
      <c r="AL89" s="2">
        <f>IF(AND('Batt IN'!$D$53="Yes",$AL$1&gt;=3),IF($C89='Batt IN'!$H$56*12,-'Batt IN'!$F$56,0),0)</f>
        <v>0</v>
      </c>
      <c r="AM89" s="2">
        <f>IF(AND('Batt IN'!$D$53="Yes",$AL$1&gt;=4),IF($C89='Batt IN'!$H$57*12,-'Batt IN'!$F$57,0),0)</f>
        <v>0</v>
      </c>
      <c r="AN89" s="2">
        <f>IF(AND('Batt IN'!$D$53="Yes",$AL$1&gt;=5),IF($C89='Batt IN'!$H$58*12,-'Batt IN'!$F$58,0),0)</f>
        <v>0</v>
      </c>
      <c r="AO89" s="10">
        <f>IF(AND('Batt IN'!$D$44="YES",$C89&lt;='Batt IN'!$E$44*12),-'Batt IN'!$E$28*'Batt IN'!$E$42/12,0)</f>
        <v>0</v>
      </c>
      <c r="AP89" s="10">
        <f>IF(AND('Batt IN'!$D$46="YES",$C89&lt;='Batt IN'!$E$46*12),-'Batt IN'!$E$28*'Batt IN'!$E$45/12,0)</f>
        <v>0</v>
      </c>
      <c r="AR89" s="10">
        <f>BattLoan!M116</f>
        <v>0</v>
      </c>
      <c r="AS89" s="10">
        <f>'Batt IN'!$G$16*365/12*'Batt IN'!$E$16</f>
        <v>76.041666666666671</v>
      </c>
      <c r="AT89" s="10">
        <f>IF(AND('Batt IN'!$E$18&gt;0,'Batt IN'!$G$18&gt;0),'Batt IN'!$E$17*'Batt IN'!$G$17,0)</f>
        <v>119.44619999999999</v>
      </c>
      <c r="AU89" s="10">
        <f>IF(AND('Batt IN'!$E$20&gt;0,'Batt IN'!$G$20&gt;0),'Batt IN'!$E$19*'Batt IN'!$G$19,0)</f>
        <v>231</v>
      </c>
      <c r="AV89" s="10"/>
      <c r="AW89" s="10"/>
      <c r="AX89" s="10">
        <f>IF('Batt IN'!$E$11="Non-Taxable",Q89,0)</f>
        <v>11168.08</v>
      </c>
      <c r="AY89" s="10">
        <f>IF('Batt IN'!$E$11="Non-Taxable",'Batt IN'!$E$28/1000*'Batt IN'!$G$13*('Batt IN'!$E$13/12)*'Batt IN'!$E$12,0)</f>
        <v>244.42220833333334</v>
      </c>
      <c r="AZ89" s="10">
        <f>IF('Batt IN'!$E$11="Non-Taxable",$S89*'Batt IN'!$G$15*'Batt IN'!$E$28*'Batt IN'!$E$14/1000,0)</f>
        <v>0</v>
      </c>
      <c r="BA89" s="10">
        <f>IF('Batt IN'!$E$11="Non-Taxable",'Batt IN'!$E$21*'Batt IN'!$G$21/12,0)</f>
        <v>437.5</v>
      </c>
      <c r="BB89" s="10">
        <f>IF('Batt IN'!$E$11="Non-Taxable",'Batt IN'!$E$22*'Batt IN'!$G$22/12,0)</f>
        <v>1145.8333333333335</v>
      </c>
      <c r="BC89" s="10">
        <f>IF('Batt IN'!$E$11="Taxable",Q89,0)</f>
        <v>0</v>
      </c>
      <c r="BD89" s="10">
        <f>IF('Batt IN'!$E$11="Taxable",'Batt IN'!$E$28/1000*'Batt IN'!$G$13*('Batt IN'!$E$13/12)*'Batt IN'!$E$12,0)</f>
        <v>0</v>
      </c>
      <c r="BE89" s="10">
        <f>IF('Batt IN'!$E$11="Taxable",$S89*'Batt IN'!$G$15*'Batt IN'!$E$28*'Batt IN'!$E$14/1000,0)</f>
        <v>0</v>
      </c>
      <c r="BF89" s="10">
        <f>IF('Batt IN'!$E$11="Taxable",'Batt IN'!$E$21*'Batt IN'!$G$21/12,0)</f>
        <v>0</v>
      </c>
      <c r="BG89" s="10">
        <f>IF('Batt IN'!$E$11="Taxable",'Batt IN'!$E$22*'Batt IN'!$G$22/12,0)</f>
        <v>0</v>
      </c>
      <c r="BK89" s="10">
        <f>IF('Batt IN'!$N$18="Yes",-BattLoan!H117,-BattLoan!L117)</f>
        <v>0</v>
      </c>
      <c r="BL89" s="10">
        <f>IF('Batt IN'!$N$18="Yes",-BattLoan!F117,0)</f>
        <v>0</v>
      </c>
      <c r="BM89" s="10">
        <f>IF(AND('Batt IN'!$D$44="YES",$C89&lt;='Batt IN'!$E$44*12),0,-'Batt IN'!$E$28*'Batt IN'!$E$42/12)</f>
        <v>-83.333333333333329</v>
      </c>
      <c r="BN89" s="10">
        <f>IF(AND('Batt IN'!$D$46="YES",$C89&lt;='Batt IN'!$E$46*12),0,-'Batt IN'!$E$28*'Batt IN'!$E$45/12)</f>
        <v>-166.66666666666666</v>
      </c>
      <c r="BO89" s="2">
        <f>IF(AND('Batt IN'!$D$41="YES",BattCalcs!C89=ROUNDUP('Batt IN'!$H$41*12,)),-'Batt IN'!$E$41*'Batt IN'!$E$28,0)</f>
        <v>0</v>
      </c>
      <c r="BP89" s="2">
        <f>IF(AND('Batt IN'!$D$53="Yes",$AL$1&gt;=1),0,IF($C89='Batt IN'!$H$54*12,-'Batt IN'!$F$54,0))</f>
        <v>0</v>
      </c>
      <c r="BQ89" s="2">
        <f>IF(AND('Batt IN'!$D$53="Yes",$AL$1&gt;=2),0,IF($C89='Batt IN'!$H$55*12,-'Batt IN'!$F$55,0))</f>
        <v>0</v>
      </c>
      <c r="BR89" s="2">
        <f>IF(AND('Batt IN'!$D$53="Yes",$AL$1&gt;=3),0,IF($C89='Batt IN'!$H$56*12,-'Batt IN'!$F$56,0))</f>
        <v>0</v>
      </c>
      <c r="BS89" s="2">
        <f>IF(AND('Batt IN'!$D$53="Yes",$AL$1&gt;=4),0,IF($C89='Batt IN'!$H$57*12,-'Batt IN'!$F$57,0))</f>
        <v>0</v>
      </c>
      <c r="BT89" s="2">
        <f>IF(AND('Batt IN'!$D$53="Yes",$AL$1&gt;=5),0,IF($C89='Batt IN'!$H$58*12,-'Batt IN'!$F$58,0))</f>
        <v>0</v>
      </c>
      <c r="BU89" s="2">
        <f>-AH89*PVCalcs!F89</f>
        <v>-350.65886285303105</v>
      </c>
      <c r="BV89" s="2">
        <f>-'Batt IN'!$E$47</f>
        <v>-150</v>
      </c>
      <c r="BW89" s="2">
        <f>-'Batt IN'!$E$49</f>
        <v>-2250</v>
      </c>
      <c r="BX89" s="2">
        <f>IF('Batt IN'!$H$50="No",-(BC89*'Batt IN'!$E$50),-(BC89+BE89)*'Batt IN'!$E$50)</f>
        <v>0</v>
      </c>
      <c r="BY89" s="2">
        <f>IF(C89='Batt IN'!$H$43*12,-'Batt IN'!$E$43,0)</f>
        <v>0</v>
      </c>
      <c r="BZ89" s="38"/>
      <c r="CA89" s="10">
        <f t="shared" si="17"/>
        <v>13422.323408333334</v>
      </c>
      <c r="CB89" s="2">
        <f t="shared" si="21"/>
        <v>-3000.6588628530308</v>
      </c>
      <c r="CC89" s="45">
        <f t="shared" si="22"/>
        <v>10421.664545480304</v>
      </c>
      <c r="CD89" s="43"/>
      <c r="CE89" s="2">
        <f t="shared" si="18"/>
        <v>0</v>
      </c>
      <c r="CF89" s="2">
        <f t="shared" si="23"/>
        <v>-3000.6588628530308</v>
      </c>
      <c r="CG89" s="2"/>
      <c r="CH89" s="2">
        <f t="shared" si="24"/>
        <v>-3000.6588628530308</v>
      </c>
      <c r="CI89" s="45">
        <f>-CH89*'Batt IN'!$E$7</f>
        <v>630.1383611991364</v>
      </c>
      <c r="CJ89" s="48"/>
      <c r="CK89" s="45">
        <f>IF('Batt IN'!$F$4="PV Only",0,IF(C89&gt;'Batt IN'!$H$43*12,0,CC89+CI89))</f>
        <v>0</v>
      </c>
      <c r="CM89" s="10">
        <f t="shared" si="25"/>
        <v>0</v>
      </c>
      <c r="CN89" s="2">
        <f>CK89/(1+('Batt IN'!$G$8))^(C89)</f>
        <v>0</v>
      </c>
      <c r="CO89" s="2">
        <f>IF(C89&lt;='Batt IN'!$O$30*12,CN89+CO88,NA())</f>
        <v>0</v>
      </c>
      <c r="CQ89" s="2">
        <f>CK89/((1+('Batt IN'!$E$8/12))^BattCalcs!C89)</f>
        <v>0</v>
      </c>
      <c r="CS89" s="10">
        <f t="shared" si="26"/>
        <v>-3000.6588628530308</v>
      </c>
      <c r="CT89" s="10">
        <f t="shared" si="27"/>
        <v>0</v>
      </c>
      <c r="CU89" s="10">
        <f t="shared" si="28"/>
        <v>-3000.6588628530308</v>
      </c>
      <c r="CV89" s="10">
        <f t="shared" si="29"/>
        <v>-3000.6588628530308</v>
      </c>
      <c r="CW89" s="2">
        <f t="shared" si="30"/>
        <v>0</v>
      </c>
      <c r="CX89" s="2">
        <f>-(SUM(CV89:CW89)*'PV IN'!$E$8)</f>
        <v>630.1383611991364</v>
      </c>
      <c r="CY89" s="2">
        <f t="shared" si="31"/>
        <v>-2370.5205016538944</v>
      </c>
      <c r="CZ89" s="2">
        <f>IF(C89&lt;='Batt IN'!$H$43*12,CY89/(1+('PV IN'!$G$9))^(C89),0)</f>
        <v>-1677.8488991108638</v>
      </c>
      <c r="DA89" s="33">
        <f>IF(C89&lt;='Batt IN'!$H$43*12,AE89,0)</f>
        <v>30366.783333333333</v>
      </c>
    </row>
    <row r="90" spans="1:105" x14ac:dyDescent="0.25">
      <c r="A90">
        <f>IF(C90&lt;='Batt IN'!$H$43*12,C90,"")</f>
        <v>86</v>
      </c>
      <c r="C90">
        <v>86</v>
      </c>
      <c r="D90" s="21">
        <v>730</v>
      </c>
      <c r="E90" s="1">
        <f>1-'Batt IN'!$E$31</f>
        <v>2.0000000000000018E-2</v>
      </c>
      <c r="F90" s="12">
        <f>('Batt IN'!$E$33*365)/8760</f>
        <v>0</v>
      </c>
      <c r="G90" s="22">
        <f>'Batt IN'!$E$32/8760</f>
        <v>5.7077625570776253E-3</v>
      </c>
      <c r="H90" s="22">
        <f>'Batt IN'!$E$13/8760</f>
        <v>5.5936073059360729E-3</v>
      </c>
      <c r="I90" s="23">
        <f>IF(C90&lt;='Batt IN'!$G$14*12,'Batt IN'!$E$15/8760*'Batt IN'!$G$15,0)</f>
        <v>0</v>
      </c>
      <c r="J90" s="12">
        <f>Z90/'Batt IN'!$E$27/730</f>
        <v>2.4999999999999996E-3</v>
      </c>
      <c r="K90" s="23">
        <f>AA90/'Batt IN'!$E$27/730</f>
        <v>1.6027397260273972E-3</v>
      </c>
      <c r="L90" s="23">
        <f>AB90/'Batt IN'!$E$27/730</f>
        <v>2.0547945205479451E-4</v>
      </c>
      <c r="M90" s="23">
        <f>AC90/'Batt IN'!$E$27/730</f>
        <v>4.7945205479452057E-3</v>
      </c>
      <c r="N90" s="23">
        <f>AD90/'Batt IN'!$E$27/730</f>
        <v>3.4246575342465752E-3</v>
      </c>
      <c r="O90" s="12">
        <f t="shared" si="19"/>
        <v>4.3828767123287697E-2</v>
      </c>
      <c r="P90" s="21">
        <f t="shared" si="20"/>
        <v>698.005</v>
      </c>
      <c r="Q90" s="2">
        <f>IF('Batt IN'!$E$27*'Batt IN'!$E$24&lt;='Batt IN'!$E$28,(('Batt IN'!$E$23*'Batt IN'!$E$27*'Batt IN'!$E$24)/1000)*P90,(('Batt IN'!$E$23*'Batt IN'!$E$28*'Batt IN'!$E$24)/1000)*P90)</f>
        <v>11168.08</v>
      </c>
      <c r="R90" s="2"/>
      <c r="S90" s="77">
        <f>IF(C90&lt;='Batt IN'!$G$14*12,'Batt IN'!$E$15/12,0)</f>
        <v>0</v>
      </c>
      <c r="T90" s="77"/>
      <c r="U90" s="80">
        <f>'Batt IN'!$E$28*('Batt IN'!$G$24/24)*730*(1-O90)</f>
        <v>81433.916666666657</v>
      </c>
      <c r="V90" s="78">
        <f>U90*'Batt IN'!$F$30</f>
        <v>16286.783333333333</v>
      </c>
      <c r="W90" s="78">
        <f>'Batt IN'!$E$28*'Batt IN'!$G$32*('Batt IN'!$E$32/12)*(1+'Batt IN'!$F$30)</f>
        <v>1750.0000000000002</v>
      </c>
      <c r="X90" s="78">
        <f>'Batt IN'!$E$28*'Batt IN'!$G$13*('Batt IN'!$E$13/12)*(1+'Batt IN'!$F$30)</f>
        <v>3184.9999999999995</v>
      </c>
      <c r="Y90" s="33">
        <f>S90*'Batt IN'!$G$15*'Batt IN'!$E$28*(1+'Batt IN'!$F$30)</f>
        <v>0</v>
      </c>
      <c r="Z90" s="33">
        <f>'Batt IN'!$G$16*365/12*(1+'Batt IN'!$F$30)</f>
        <v>1824.9999999999998</v>
      </c>
      <c r="AA90" s="33">
        <f>'Batt IN'!$G$17*'Batt IN'!$E$18*'Batt IN'!$G$18/12*(1+'Batt IN'!$F$30)</f>
        <v>1170</v>
      </c>
      <c r="AB90" s="33">
        <f>'Batt IN'!$G$19*'Batt IN'!$E$20*'Batt IN'!$G$20/12*(1+'Batt IN'!$F$30)</f>
        <v>150</v>
      </c>
      <c r="AC90" s="33">
        <f>'Batt IN'!$G$21*(1+'Batt IN'!$F$30)/12</f>
        <v>3500</v>
      </c>
      <c r="AD90" s="33">
        <f>'Batt IN'!$G$22*(1+'Batt IN'!$F$30)/12</f>
        <v>2500</v>
      </c>
      <c r="AE90" s="33">
        <f t="shared" si="32"/>
        <v>30366.783333333333</v>
      </c>
      <c r="AF90" s="33">
        <f>IF('PV IN'!$F$4="Battery Only",0,AE90*'Batt IN'!$E$29)</f>
        <v>25811.765833333331</v>
      </c>
      <c r="AG90" s="33">
        <f>PVCalcs!L90</f>
        <v>25811.765833333331</v>
      </c>
      <c r="AH90" s="33">
        <f t="shared" si="33"/>
        <v>4555.0175000000017</v>
      </c>
      <c r="AI90" s="33"/>
      <c r="AJ90" s="2">
        <f>IF(AND('Batt IN'!$D$53="Yes",$AL$1&gt;=1),IF($C90='Batt IN'!$H$54*12,-'Batt IN'!$F$54,0),0)</f>
        <v>0</v>
      </c>
      <c r="AK90" s="2">
        <f>IF(AND('Batt IN'!$D$53="Yes",$AL$1&gt;=2),IF($C90='Batt IN'!$H$55*12,-'Batt IN'!$F$55,0),0)</f>
        <v>0</v>
      </c>
      <c r="AL90" s="2">
        <f>IF(AND('Batt IN'!$D$53="Yes",$AL$1&gt;=3),IF($C90='Batt IN'!$H$56*12,-'Batt IN'!$F$56,0),0)</f>
        <v>0</v>
      </c>
      <c r="AM90" s="2">
        <f>IF(AND('Batt IN'!$D$53="Yes",$AL$1&gt;=4),IF($C90='Batt IN'!$H$57*12,-'Batt IN'!$F$57,0),0)</f>
        <v>0</v>
      </c>
      <c r="AN90" s="2">
        <f>IF(AND('Batt IN'!$D$53="Yes",$AL$1&gt;=5),IF($C90='Batt IN'!$H$58*12,-'Batt IN'!$F$58,0),0)</f>
        <v>0</v>
      </c>
      <c r="AO90" s="10">
        <f>IF(AND('Batt IN'!$D$44="YES",$C90&lt;='Batt IN'!$E$44*12),-'Batt IN'!$E$28*'Batt IN'!$E$42/12,0)</f>
        <v>0</v>
      </c>
      <c r="AP90" s="10">
        <f>IF(AND('Batt IN'!$D$46="YES",$C90&lt;='Batt IN'!$E$46*12),-'Batt IN'!$E$28*'Batt IN'!$E$45/12,0)</f>
        <v>0</v>
      </c>
      <c r="AR90" s="10">
        <f>BattLoan!M117</f>
        <v>0</v>
      </c>
      <c r="AS90" s="10">
        <f>'Batt IN'!$G$16*365/12*'Batt IN'!$E$16</f>
        <v>76.041666666666671</v>
      </c>
      <c r="AT90" s="10">
        <f>IF(AND('Batt IN'!$E$18&gt;0,'Batt IN'!$G$18&gt;0),'Batt IN'!$E$17*'Batt IN'!$G$17,0)</f>
        <v>119.44619999999999</v>
      </c>
      <c r="AU90" s="10">
        <f>IF(AND('Batt IN'!$E$20&gt;0,'Batt IN'!$G$20&gt;0),'Batt IN'!$E$19*'Batt IN'!$G$19,0)</f>
        <v>231</v>
      </c>
      <c r="AV90" s="10"/>
      <c r="AW90" s="10"/>
      <c r="AX90" s="10">
        <f>IF('Batt IN'!$E$11="Non-Taxable",Q90,0)</f>
        <v>11168.08</v>
      </c>
      <c r="AY90" s="10">
        <f>IF('Batt IN'!$E$11="Non-Taxable",'Batt IN'!$E$28/1000*'Batt IN'!$G$13*('Batt IN'!$E$13/12)*'Batt IN'!$E$12,0)</f>
        <v>244.42220833333334</v>
      </c>
      <c r="AZ90" s="10">
        <f>IF('Batt IN'!$E$11="Non-Taxable",$S90*'Batt IN'!$G$15*'Batt IN'!$E$28*'Batt IN'!$E$14/1000,0)</f>
        <v>0</v>
      </c>
      <c r="BA90" s="10">
        <f>IF('Batt IN'!$E$11="Non-Taxable",'Batt IN'!$E$21*'Batt IN'!$G$21/12,0)</f>
        <v>437.5</v>
      </c>
      <c r="BB90" s="10">
        <f>IF('Batt IN'!$E$11="Non-Taxable",'Batt IN'!$E$22*'Batt IN'!$G$22/12,0)</f>
        <v>1145.8333333333335</v>
      </c>
      <c r="BC90" s="10">
        <f>IF('Batt IN'!$E$11="Taxable",Q90,0)</f>
        <v>0</v>
      </c>
      <c r="BD90" s="10">
        <f>IF('Batt IN'!$E$11="Taxable",'Batt IN'!$E$28/1000*'Batt IN'!$G$13*('Batt IN'!$E$13/12)*'Batt IN'!$E$12,0)</f>
        <v>0</v>
      </c>
      <c r="BE90" s="10">
        <f>IF('Batt IN'!$E$11="Taxable",$S90*'Batt IN'!$G$15*'Batt IN'!$E$28*'Batt IN'!$E$14/1000,0)</f>
        <v>0</v>
      </c>
      <c r="BF90" s="10">
        <f>IF('Batt IN'!$E$11="Taxable",'Batt IN'!$E$21*'Batt IN'!$G$21/12,0)</f>
        <v>0</v>
      </c>
      <c r="BG90" s="10">
        <f>IF('Batt IN'!$E$11="Taxable",'Batt IN'!$E$22*'Batt IN'!$G$22/12,0)</f>
        <v>0</v>
      </c>
      <c r="BK90" s="10">
        <f>IF('Batt IN'!$N$18="Yes",-BattLoan!H118,-BattLoan!L118)</f>
        <v>0</v>
      </c>
      <c r="BL90" s="10">
        <f>IF('Batt IN'!$N$18="Yes",-BattLoan!F118,0)</f>
        <v>0</v>
      </c>
      <c r="BM90" s="10">
        <f>IF(AND('Batt IN'!$D$44="YES",$C90&lt;='Batt IN'!$E$44*12),0,-'Batt IN'!$E$28*'Batt IN'!$E$42/12)</f>
        <v>-83.333333333333329</v>
      </c>
      <c r="BN90" s="10">
        <f>IF(AND('Batt IN'!$D$46="YES",$C90&lt;='Batt IN'!$E$46*12),0,-'Batt IN'!$E$28*'Batt IN'!$E$45/12)</f>
        <v>-166.66666666666666</v>
      </c>
      <c r="BO90" s="2">
        <f>IF(AND('Batt IN'!$D$41="YES",BattCalcs!C90=ROUNDUP('Batt IN'!$H$41*12,)),-'Batt IN'!$E$41*'Batt IN'!$E$28,0)</f>
        <v>0</v>
      </c>
      <c r="BP90" s="2">
        <f>IF(AND('Batt IN'!$D$53="Yes",$AL$1&gt;=1),0,IF($C90='Batt IN'!$H$54*12,-'Batt IN'!$F$54,0))</f>
        <v>0</v>
      </c>
      <c r="BQ90" s="2">
        <f>IF(AND('Batt IN'!$D$53="Yes",$AL$1&gt;=2),0,IF($C90='Batt IN'!$H$55*12,-'Batt IN'!$F$55,0))</f>
        <v>0</v>
      </c>
      <c r="BR90" s="2">
        <f>IF(AND('Batt IN'!$D$53="Yes",$AL$1&gt;=3),0,IF($C90='Batt IN'!$H$56*12,-'Batt IN'!$F$56,0))</f>
        <v>0</v>
      </c>
      <c r="BS90" s="2">
        <f>IF(AND('Batt IN'!$D$53="Yes",$AL$1&gt;=4),0,IF($C90='Batt IN'!$H$57*12,-'Batt IN'!$F$57,0))</f>
        <v>0</v>
      </c>
      <c r="BT90" s="2">
        <f>IF(AND('Batt IN'!$D$53="Yes",$AL$1&gt;=5),0,IF($C90='Batt IN'!$H$58*12,-'Batt IN'!$F$58,0))</f>
        <v>0</v>
      </c>
      <c r="BU90" s="2">
        <f>-AH90*PVCalcs!F90</f>
        <v>-350.65886285303105</v>
      </c>
      <c r="BV90" s="2">
        <f>-'Batt IN'!$E$47</f>
        <v>-150</v>
      </c>
      <c r="BW90" s="2">
        <f>-'Batt IN'!$E$49</f>
        <v>-2250</v>
      </c>
      <c r="BX90" s="2">
        <f>IF('Batt IN'!$H$50="No",-(BC90*'Batt IN'!$E$50),-(BC90+BE90)*'Batt IN'!$E$50)</f>
        <v>0</v>
      </c>
      <c r="BY90" s="2">
        <f>IF(C90='Batt IN'!$H$43*12,-'Batt IN'!$E$43,0)</f>
        <v>0</v>
      </c>
      <c r="BZ90" s="38"/>
      <c r="CA90" s="10">
        <f t="shared" si="17"/>
        <v>13422.323408333334</v>
      </c>
      <c r="CB90" s="2">
        <f t="shared" si="21"/>
        <v>-3000.6588628530308</v>
      </c>
      <c r="CC90" s="45">
        <f t="shared" si="22"/>
        <v>10421.664545480304</v>
      </c>
      <c r="CD90" s="43"/>
      <c r="CE90" s="2">
        <f t="shared" si="18"/>
        <v>0</v>
      </c>
      <c r="CF90" s="2">
        <f t="shared" si="23"/>
        <v>-3000.6588628530308</v>
      </c>
      <c r="CG90" s="2"/>
      <c r="CH90" s="2">
        <f t="shared" si="24"/>
        <v>-3000.6588628530308</v>
      </c>
      <c r="CI90" s="45">
        <f>-CH90*'Batt IN'!$E$7</f>
        <v>630.1383611991364</v>
      </c>
      <c r="CJ90" s="48"/>
      <c r="CK90" s="45">
        <f>IF('Batt IN'!$F$4="PV Only",0,IF(C90&gt;'Batt IN'!$H$43*12,0,CC90+CI90))</f>
        <v>0</v>
      </c>
      <c r="CM90" s="10">
        <f t="shared" si="25"/>
        <v>0</v>
      </c>
      <c r="CN90" s="2">
        <f>CK90/(1+('Batt IN'!$G$8))^(C90)</f>
        <v>0</v>
      </c>
      <c r="CO90" s="2">
        <f>IF(C90&lt;='Batt IN'!$O$30*12,CN90+CO89,NA())</f>
        <v>0</v>
      </c>
      <c r="CQ90" s="2">
        <f>CK90/((1+('Batt IN'!$E$8/12))^BattCalcs!C90)</f>
        <v>0</v>
      </c>
      <c r="CS90" s="10">
        <f t="shared" si="26"/>
        <v>-3000.6588628530308</v>
      </c>
      <c r="CT90" s="10">
        <f t="shared" si="27"/>
        <v>0</v>
      </c>
      <c r="CU90" s="10">
        <f t="shared" si="28"/>
        <v>-3000.6588628530308</v>
      </c>
      <c r="CV90" s="10">
        <f t="shared" si="29"/>
        <v>-3000.6588628530308</v>
      </c>
      <c r="CW90" s="2">
        <f t="shared" si="30"/>
        <v>0</v>
      </c>
      <c r="CX90" s="2">
        <f>-(SUM(CV90:CW90)*'PV IN'!$E$8)</f>
        <v>630.1383611991364</v>
      </c>
      <c r="CY90" s="2">
        <f t="shared" si="31"/>
        <v>-2370.5205016538944</v>
      </c>
      <c r="CZ90" s="2">
        <f>IF(C90&lt;='Batt IN'!$H$43*12,CY90/(1+('PV IN'!$G$9))^(C90),0)</f>
        <v>-1671.0408717518112</v>
      </c>
      <c r="DA90" s="33">
        <f>IF(C90&lt;='Batt IN'!$H$43*12,AE90,0)</f>
        <v>30366.783333333333</v>
      </c>
    </row>
    <row r="91" spans="1:105" x14ac:dyDescent="0.25">
      <c r="A91">
        <f>IF(C91&lt;='Batt IN'!$H$43*12,C91,"")</f>
        <v>87</v>
      </c>
      <c r="C91">
        <v>87</v>
      </c>
      <c r="D91" s="21">
        <v>730</v>
      </c>
      <c r="E91" s="1">
        <f>1-'Batt IN'!$E$31</f>
        <v>2.0000000000000018E-2</v>
      </c>
      <c r="F91" s="12">
        <f>('Batt IN'!$E$33*365)/8760</f>
        <v>0</v>
      </c>
      <c r="G91" s="22">
        <f>'Batt IN'!$E$32/8760</f>
        <v>5.7077625570776253E-3</v>
      </c>
      <c r="H91" s="22">
        <f>'Batt IN'!$E$13/8760</f>
        <v>5.5936073059360729E-3</v>
      </c>
      <c r="I91" s="23">
        <f>IF(C91&lt;='Batt IN'!$G$14*12,'Batt IN'!$E$15/8760*'Batt IN'!$G$15,0)</f>
        <v>0</v>
      </c>
      <c r="J91" s="12">
        <f>Z91/'Batt IN'!$E$27/730</f>
        <v>2.4999999999999996E-3</v>
      </c>
      <c r="K91" s="23">
        <f>AA91/'Batt IN'!$E$27/730</f>
        <v>1.6027397260273972E-3</v>
      </c>
      <c r="L91" s="23">
        <f>AB91/'Batt IN'!$E$27/730</f>
        <v>2.0547945205479451E-4</v>
      </c>
      <c r="M91" s="23">
        <f>AC91/'Batt IN'!$E$27/730</f>
        <v>4.7945205479452057E-3</v>
      </c>
      <c r="N91" s="23">
        <f>AD91/'Batt IN'!$E$27/730</f>
        <v>3.4246575342465752E-3</v>
      </c>
      <c r="O91" s="12">
        <f t="shared" si="19"/>
        <v>4.3828767123287697E-2</v>
      </c>
      <c r="P91" s="21">
        <f t="shared" si="20"/>
        <v>698.005</v>
      </c>
      <c r="Q91" s="2">
        <f>IF('Batt IN'!$E$27*'Batt IN'!$E$24&lt;='Batt IN'!$E$28,(('Batt IN'!$E$23*'Batt IN'!$E$27*'Batt IN'!$E$24)/1000)*P91,(('Batt IN'!$E$23*'Batt IN'!$E$28*'Batt IN'!$E$24)/1000)*P91)</f>
        <v>11168.08</v>
      </c>
      <c r="R91" s="2"/>
      <c r="S91" s="77">
        <f>IF(C91&lt;='Batt IN'!$G$14*12,'Batt IN'!$E$15/12,0)</f>
        <v>0</v>
      </c>
      <c r="T91" s="77"/>
      <c r="U91" s="80">
        <f>'Batt IN'!$E$28*('Batt IN'!$G$24/24)*730*(1-O91)</f>
        <v>81433.916666666657</v>
      </c>
      <c r="V91" s="78">
        <f>U91*'Batt IN'!$F$30</f>
        <v>16286.783333333333</v>
      </c>
      <c r="W91" s="78">
        <f>'Batt IN'!$E$28*'Batt IN'!$G$32*('Batt IN'!$E$32/12)*(1+'Batt IN'!$F$30)</f>
        <v>1750.0000000000002</v>
      </c>
      <c r="X91" s="78">
        <f>'Batt IN'!$E$28*'Batt IN'!$G$13*('Batt IN'!$E$13/12)*(1+'Batt IN'!$F$30)</f>
        <v>3184.9999999999995</v>
      </c>
      <c r="Y91" s="33">
        <f>S91*'Batt IN'!$G$15*'Batt IN'!$E$28*(1+'Batt IN'!$F$30)</f>
        <v>0</v>
      </c>
      <c r="Z91" s="33">
        <f>'Batt IN'!$G$16*365/12*(1+'Batt IN'!$F$30)</f>
        <v>1824.9999999999998</v>
      </c>
      <c r="AA91" s="33">
        <f>'Batt IN'!$G$17*'Batt IN'!$E$18*'Batt IN'!$G$18/12*(1+'Batt IN'!$F$30)</f>
        <v>1170</v>
      </c>
      <c r="AB91" s="33">
        <f>'Batt IN'!$G$19*'Batt IN'!$E$20*'Batt IN'!$G$20/12*(1+'Batt IN'!$F$30)</f>
        <v>150</v>
      </c>
      <c r="AC91" s="33">
        <f>'Batt IN'!$G$21*(1+'Batt IN'!$F$30)/12</f>
        <v>3500</v>
      </c>
      <c r="AD91" s="33">
        <f>'Batt IN'!$G$22*(1+'Batt IN'!$F$30)/12</f>
        <v>2500</v>
      </c>
      <c r="AE91" s="33">
        <f t="shared" si="32"/>
        <v>30366.783333333333</v>
      </c>
      <c r="AF91" s="33">
        <f>IF('PV IN'!$F$4="Battery Only",0,AE91*'Batt IN'!$E$29)</f>
        <v>25811.765833333331</v>
      </c>
      <c r="AG91" s="33">
        <f>PVCalcs!L91</f>
        <v>25811.765833333331</v>
      </c>
      <c r="AH91" s="33">
        <f t="shared" si="33"/>
        <v>4555.0175000000017</v>
      </c>
      <c r="AI91" s="33"/>
      <c r="AJ91" s="2">
        <f>IF(AND('Batt IN'!$D$53="Yes",$AL$1&gt;=1),IF($C91='Batt IN'!$H$54*12,-'Batt IN'!$F$54,0),0)</f>
        <v>0</v>
      </c>
      <c r="AK91" s="2">
        <f>IF(AND('Batt IN'!$D$53="Yes",$AL$1&gt;=2),IF($C91='Batt IN'!$H$55*12,-'Batt IN'!$F$55,0),0)</f>
        <v>0</v>
      </c>
      <c r="AL91" s="2">
        <f>IF(AND('Batt IN'!$D$53="Yes",$AL$1&gt;=3),IF($C91='Batt IN'!$H$56*12,-'Batt IN'!$F$56,0),0)</f>
        <v>0</v>
      </c>
      <c r="AM91" s="2">
        <f>IF(AND('Batt IN'!$D$53="Yes",$AL$1&gt;=4),IF($C91='Batt IN'!$H$57*12,-'Batt IN'!$F$57,0),0)</f>
        <v>0</v>
      </c>
      <c r="AN91" s="2">
        <f>IF(AND('Batt IN'!$D$53="Yes",$AL$1&gt;=5),IF($C91='Batt IN'!$H$58*12,-'Batt IN'!$F$58,0),0)</f>
        <v>0</v>
      </c>
      <c r="AO91" s="10">
        <f>IF(AND('Batt IN'!$D$44="YES",$C91&lt;='Batt IN'!$E$44*12),-'Batt IN'!$E$28*'Batt IN'!$E$42/12,0)</f>
        <v>0</v>
      </c>
      <c r="AP91" s="10">
        <f>IF(AND('Batt IN'!$D$46="YES",$C91&lt;='Batt IN'!$E$46*12),-'Batt IN'!$E$28*'Batt IN'!$E$45/12,0)</f>
        <v>0</v>
      </c>
      <c r="AR91" s="10">
        <f>BattLoan!M118</f>
        <v>0</v>
      </c>
      <c r="AS91" s="10">
        <f>'Batt IN'!$G$16*365/12*'Batt IN'!$E$16</f>
        <v>76.041666666666671</v>
      </c>
      <c r="AT91" s="10">
        <f>IF(AND('Batt IN'!$E$18&gt;0,'Batt IN'!$G$18&gt;0),'Batt IN'!$E$17*'Batt IN'!$G$17,0)</f>
        <v>119.44619999999999</v>
      </c>
      <c r="AU91" s="10">
        <f>IF(AND('Batt IN'!$E$20&gt;0,'Batt IN'!$G$20&gt;0),'Batt IN'!$E$19*'Batt IN'!$G$19,0)</f>
        <v>231</v>
      </c>
      <c r="AV91" s="10"/>
      <c r="AW91" s="10"/>
      <c r="AX91" s="10">
        <f>IF('Batt IN'!$E$11="Non-Taxable",Q91,0)</f>
        <v>11168.08</v>
      </c>
      <c r="AY91" s="10">
        <f>IF('Batt IN'!$E$11="Non-Taxable",'Batt IN'!$E$28/1000*'Batt IN'!$G$13*('Batt IN'!$E$13/12)*'Batt IN'!$E$12,0)</f>
        <v>244.42220833333334</v>
      </c>
      <c r="AZ91" s="10">
        <f>IF('Batt IN'!$E$11="Non-Taxable",$S91*'Batt IN'!$G$15*'Batt IN'!$E$28*'Batt IN'!$E$14/1000,0)</f>
        <v>0</v>
      </c>
      <c r="BA91" s="10">
        <f>IF('Batt IN'!$E$11="Non-Taxable",'Batt IN'!$E$21*'Batt IN'!$G$21/12,0)</f>
        <v>437.5</v>
      </c>
      <c r="BB91" s="10">
        <f>IF('Batt IN'!$E$11="Non-Taxable",'Batt IN'!$E$22*'Batt IN'!$G$22/12,0)</f>
        <v>1145.8333333333335</v>
      </c>
      <c r="BC91" s="10">
        <f>IF('Batt IN'!$E$11="Taxable",Q91,0)</f>
        <v>0</v>
      </c>
      <c r="BD91" s="10">
        <f>IF('Batt IN'!$E$11="Taxable",'Batt IN'!$E$28/1000*'Batt IN'!$G$13*('Batt IN'!$E$13/12)*'Batt IN'!$E$12,0)</f>
        <v>0</v>
      </c>
      <c r="BE91" s="10">
        <f>IF('Batt IN'!$E$11="Taxable",$S91*'Batt IN'!$G$15*'Batt IN'!$E$28*'Batt IN'!$E$14/1000,0)</f>
        <v>0</v>
      </c>
      <c r="BF91" s="10">
        <f>IF('Batt IN'!$E$11="Taxable",'Batt IN'!$E$21*'Batt IN'!$G$21/12,0)</f>
        <v>0</v>
      </c>
      <c r="BG91" s="10">
        <f>IF('Batt IN'!$E$11="Taxable",'Batt IN'!$E$22*'Batt IN'!$G$22/12,0)</f>
        <v>0</v>
      </c>
      <c r="BK91" s="10">
        <f>IF('Batt IN'!$N$18="Yes",-BattLoan!H119,-BattLoan!L119)</f>
        <v>0</v>
      </c>
      <c r="BL91" s="10">
        <f>IF('Batt IN'!$N$18="Yes",-BattLoan!F119,0)</f>
        <v>0</v>
      </c>
      <c r="BM91" s="10">
        <f>IF(AND('Batt IN'!$D$44="YES",$C91&lt;='Batt IN'!$E$44*12),0,-'Batt IN'!$E$28*'Batt IN'!$E$42/12)</f>
        <v>-83.333333333333329</v>
      </c>
      <c r="BN91" s="10">
        <f>IF(AND('Batt IN'!$D$46="YES",$C91&lt;='Batt IN'!$E$46*12),0,-'Batt IN'!$E$28*'Batt IN'!$E$45/12)</f>
        <v>-166.66666666666666</v>
      </c>
      <c r="BO91" s="2">
        <f>IF(AND('Batt IN'!$D$41="YES",BattCalcs!C91=ROUNDUP('Batt IN'!$H$41*12,)),-'Batt IN'!$E$41*'Batt IN'!$E$28,0)</f>
        <v>0</v>
      </c>
      <c r="BP91" s="2">
        <f>IF(AND('Batt IN'!$D$53="Yes",$AL$1&gt;=1),0,IF($C91='Batt IN'!$H$54*12,-'Batt IN'!$F$54,0))</f>
        <v>0</v>
      </c>
      <c r="BQ91" s="2">
        <f>IF(AND('Batt IN'!$D$53="Yes",$AL$1&gt;=2),0,IF($C91='Batt IN'!$H$55*12,-'Batt IN'!$F$55,0))</f>
        <v>0</v>
      </c>
      <c r="BR91" s="2">
        <f>IF(AND('Batt IN'!$D$53="Yes",$AL$1&gt;=3),0,IF($C91='Batt IN'!$H$56*12,-'Batt IN'!$F$56,0))</f>
        <v>0</v>
      </c>
      <c r="BS91" s="2">
        <f>IF(AND('Batt IN'!$D$53="Yes",$AL$1&gt;=4),0,IF($C91='Batt IN'!$H$57*12,-'Batt IN'!$F$57,0))</f>
        <v>0</v>
      </c>
      <c r="BT91" s="2">
        <f>IF(AND('Batt IN'!$D$53="Yes",$AL$1&gt;=5),0,IF($C91='Batt IN'!$H$58*12,-'Batt IN'!$F$58,0))</f>
        <v>0</v>
      </c>
      <c r="BU91" s="2">
        <f>-AH91*PVCalcs!F91</f>
        <v>-350.65886285303105</v>
      </c>
      <c r="BV91" s="2">
        <f>-'Batt IN'!$E$47</f>
        <v>-150</v>
      </c>
      <c r="BW91" s="2">
        <f>-'Batt IN'!$E$49</f>
        <v>-2250</v>
      </c>
      <c r="BX91" s="2">
        <f>IF('Batt IN'!$H$50="No",-(BC91*'Batt IN'!$E$50),-(BC91+BE91)*'Batt IN'!$E$50)</f>
        <v>0</v>
      </c>
      <c r="BY91" s="2">
        <f>IF(C91='Batt IN'!$H$43*12,-'Batt IN'!$E$43,0)</f>
        <v>0</v>
      </c>
      <c r="BZ91" s="38"/>
      <c r="CA91" s="10">
        <f t="shared" si="17"/>
        <v>13422.323408333334</v>
      </c>
      <c r="CB91" s="2">
        <f t="shared" si="21"/>
        <v>-3000.6588628530308</v>
      </c>
      <c r="CC91" s="45">
        <f t="shared" si="22"/>
        <v>10421.664545480304</v>
      </c>
      <c r="CD91" s="43"/>
      <c r="CE91" s="2">
        <f t="shared" si="18"/>
        <v>0</v>
      </c>
      <c r="CF91" s="2">
        <f t="shared" si="23"/>
        <v>-3000.6588628530308</v>
      </c>
      <c r="CG91" s="2"/>
      <c r="CH91" s="2">
        <f t="shared" si="24"/>
        <v>-3000.6588628530308</v>
      </c>
      <c r="CI91" s="45">
        <f>-CH91*'Batt IN'!$E$7</f>
        <v>630.1383611991364</v>
      </c>
      <c r="CJ91" s="48"/>
      <c r="CK91" s="45">
        <f>IF('Batt IN'!$F$4="PV Only",0,IF(C91&gt;'Batt IN'!$H$43*12,0,CC91+CI91))</f>
        <v>0</v>
      </c>
      <c r="CM91" s="10">
        <f t="shared" si="25"/>
        <v>0</v>
      </c>
      <c r="CN91" s="2">
        <f>CK91/(1+('Batt IN'!$G$8))^(C91)</f>
        <v>0</v>
      </c>
      <c r="CO91" s="2">
        <f>IF(C91&lt;='Batt IN'!$O$30*12,CN91+CO90,NA())</f>
        <v>0</v>
      </c>
      <c r="CQ91" s="2">
        <f>CK91/((1+('Batt IN'!$E$8/12))^BattCalcs!C91)</f>
        <v>0</v>
      </c>
      <c r="CS91" s="10">
        <f t="shared" si="26"/>
        <v>-3000.6588628530308</v>
      </c>
      <c r="CT91" s="10">
        <f t="shared" si="27"/>
        <v>0</v>
      </c>
      <c r="CU91" s="10">
        <f t="shared" si="28"/>
        <v>-3000.6588628530308</v>
      </c>
      <c r="CV91" s="10">
        <f t="shared" si="29"/>
        <v>-3000.6588628530308</v>
      </c>
      <c r="CW91" s="2">
        <f t="shared" si="30"/>
        <v>0</v>
      </c>
      <c r="CX91" s="2">
        <f>-(SUM(CV91:CW91)*'PV IN'!$E$8)</f>
        <v>630.1383611991364</v>
      </c>
      <c r="CY91" s="2">
        <f t="shared" si="31"/>
        <v>-2370.5205016538944</v>
      </c>
      <c r="CZ91" s="2">
        <f>IF(C91&lt;='Batt IN'!$H$43*12,CY91/(1+('PV IN'!$G$9))^(C91),0)</f>
        <v>-1664.2604685945248</v>
      </c>
      <c r="DA91" s="33">
        <f>IF(C91&lt;='Batt IN'!$H$43*12,AE91,0)</f>
        <v>30366.783333333333</v>
      </c>
    </row>
    <row r="92" spans="1:105" x14ac:dyDescent="0.25">
      <c r="A92">
        <f>IF(C92&lt;='Batt IN'!$H$43*12,C92,"")</f>
        <v>88</v>
      </c>
      <c r="C92">
        <v>88</v>
      </c>
      <c r="D92" s="21">
        <v>730</v>
      </c>
      <c r="E92" s="1">
        <f>1-'Batt IN'!$E$31</f>
        <v>2.0000000000000018E-2</v>
      </c>
      <c r="F92" s="12">
        <f>('Batt IN'!$E$33*365)/8760</f>
        <v>0</v>
      </c>
      <c r="G92" s="22">
        <f>'Batt IN'!$E$32/8760</f>
        <v>5.7077625570776253E-3</v>
      </c>
      <c r="H92" s="22">
        <f>'Batt IN'!$E$13/8760</f>
        <v>5.5936073059360729E-3</v>
      </c>
      <c r="I92" s="23">
        <f>IF(C92&lt;='Batt IN'!$G$14*12,'Batt IN'!$E$15/8760*'Batt IN'!$G$15,0)</f>
        <v>0</v>
      </c>
      <c r="J92" s="12">
        <f>Z92/'Batt IN'!$E$27/730</f>
        <v>2.4999999999999996E-3</v>
      </c>
      <c r="K92" s="23">
        <f>AA92/'Batt IN'!$E$27/730</f>
        <v>1.6027397260273972E-3</v>
      </c>
      <c r="L92" s="23">
        <f>AB92/'Batt IN'!$E$27/730</f>
        <v>2.0547945205479451E-4</v>
      </c>
      <c r="M92" s="23">
        <f>AC92/'Batt IN'!$E$27/730</f>
        <v>4.7945205479452057E-3</v>
      </c>
      <c r="N92" s="23">
        <f>AD92/'Batt IN'!$E$27/730</f>
        <v>3.4246575342465752E-3</v>
      </c>
      <c r="O92" s="12">
        <f t="shared" si="19"/>
        <v>4.3828767123287697E-2</v>
      </c>
      <c r="P92" s="21">
        <f t="shared" si="20"/>
        <v>698.005</v>
      </c>
      <c r="Q92" s="2">
        <f>IF('Batt IN'!$E$27*'Batt IN'!$E$24&lt;='Batt IN'!$E$28,(('Batt IN'!$E$23*'Batt IN'!$E$27*'Batt IN'!$E$24)/1000)*P92,(('Batt IN'!$E$23*'Batt IN'!$E$28*'Batt IN'!$E$24)/1000)*P92)</f>
        <v>11168.08</v>
      </c>
      <c r="R92" s="2"/>
      <c r="S92" s="77">
        <f>IF(C92&lt;='Batt IN'!$G$14*12,'Batt IN'!$E$15/12,0)</f>
        <v>0</v>
      </c>
      <c r="T92" s="77"/>
      <c r="U92" s="80">
        <f>'Batt IN'!$E$28*('Batt IN'!$G$24/24)*730*(1-O92)</f>
        <v>81433.916666666657</v>
      </c>
      <c r="V92" s="78">
        <f>U92*'Batt IN'!$F$30</f>
        <v>16286.783333333333</v>
      </c>
      <c r="W92" s="78">
        <f>'Batt IN'!$E$28*'Batt IN'!$G$32*('Batt IN'!$E$32/12)*(1+'Batt IN'!$F$30)</f>
        <v>1750.0000000000002</v>
      </c>
      <c r="X92" s="78">
        <f>'Batt IN'!$E$28*'Batt IN'!$G$13*('Batt IN'!$E$13/12)*(1+'Batt IN'!$F$30)</f>
        <v>3184.9999999999995</v>
      </c>
      <c r="Y92" s="33">
        <f>S92*'Batt IN'!$G$15*'Batt IN'!$E$28*(1+'Batt IN'!$F$30)</f>
        <v>0</v>
      </c>
      <c r="Z92" s="33">
        <f>'Batt IN'!$G$16*365/12*(1+'Batt IN'!$F$30)</f>
        <v>1824.9999999999998</v>
      </c>
      <c r="AA92" s="33">
        <f>'Batt IN'!$G$17*'Batt IN'!$E$18*'Batt IN'!$G$18/12*(1+'Batt IN'!$F$30)</f>
        <v>1170</v>
      </c>
      <c r="AB92" s="33">
        <f>'Batt IN'!$G$19*'Batt IN'!$E$20*'Batt IN'!$G$20/12*(1+'Batt IN'!$F$30)</f>
        <v>150</v>
      </c>
      <c r="AC92" s="33">
        <f>'Batt IN'!$G$21*(1+'Batt IN'!$F$30)/12</f>
        <v>3500</v>
      </c>
      <c r="AD92" s="33">
        <f>'Batt IN'!$G$22*(1+'Batt IN'!$F$30)/12</f>
        <v>2500</v>
      </c>
      <c r="AE92" s="33">
        <f t="shared" si="32"/>
        <v>30366.783333333333</v>
      </c>
      <c r="AF92" s="33">
        <f>IF('PV IN'!$F$4="Battery Only",0,AE92*'Batt IN'!$E$29)</f>
        <v>25811.765833333331</v>
      </c>
      <c r="AG92" s="33">
        <f>PVCalcs!L92</f>
        <v>25811.765833333331</v>
      </c>
      <c r="AH92" s="33">
        <f t="shared" si="33"/>
        <v>4555.0175000000017</v>
      </c>
      <c r="AI92" s="33"/>
      <c r="AJ92" s="2">
        <f>IF(AND('Batt IN'!$D$53="Yes",$AL$1&gt;=1),IF($C92='Batt IN'!$H$54*12,-'Batt IN'!$F$54,0),0)</f>
        <v>0</v>
      </c>
      <c r="AK92" s="2">
        <f>IF(AND('Batt IN'!$D$53="Yes",$AL$1&gt;=2),IF($C92='Batt IN'!$H$55*12,-'Batt IN'!$F$55,0),0)</f>
        <v>0</v>
      </c>
      <c r="AL92" s="2">
        <f>IF(AND('Batt IN'!$D$53="Yes",$AL$1&gt;=3),IF($C92='Batt IN'!$H$56*12,-'Batt IN'!$F$56,0),0)</f>
        <v>0</v>
      </c>
      <c r="AM92" s="2">
        <f>IF(AND('Batt IN'!$D$53="Yes",$AL$1&gt;=4),IF($C92='Batt IN'!$H$57*12,-'Batt IN'!$F$57,0),0)</f>
        <v>0</v>
      </c>
      <c r="AN92" s="2">
        <f>IF(AND('Batt IN'!$D$53="Yes",$AL$1&gt;=5),IF($C92='Batt IN'!$H$58*12,-'Batt IN'!$F$58,0),0)</f>
        <v>0</v>
      </c>
      <c r="AO92" s="10">
        <f>IF(AND('Batt IN'!$D$44="YES",$C92&lt;='Batt IN'!$E$44*12),-'Batt IN'!$E$28*'Batt IN'!$E$42/12,0)</f>
        <v>0</v>
      </c>
      <c r="AP92" s="10">
        <f>IF(AND('Batt IN'!$D$46="YES",$C92&lt;='Batt IN'!$E$46*12),-'Batt IN'!$E$28*'Batt IN'!$E$45/12,0)</f>
        <v>0</v>
      </c>
      <c r="AR92" s="10">
        <f>BattLoan!M119</f>
        <v>0</v>
      </c>
      <c r="AS92" s="10">
        <f>'Batt IN'!$G$16*365/12*'Batt IN'!$E$16</f>
        <v>76.041666666666671</v>
      </c>
      <c r="AT92" s="10">
        <f>IF(AND('Batt IN'!$E$18&gt;0,'Batt IN'!$G$18&gt;0),'Batt IN'!$E$17*'Batt IN'!$G$17,0)</f>
        <v>119.44619999999999</v>
      </c>
      <c r="AU92" s="10">
        <f>IF(AND('Batt IN'!$E$20&gt;0,'Batt IN'!$G$20&gt;0),'Batt IN'!$E$19*'Batt IN'!$G$19,0)</f>
        <v>231</v>
      </c>
      <c r="AV92" s="10"/>
      <c r="AW92" s="10"/>
      <c r="AX92" s="10">
        <f>IF('Batt IN'!$E$11="Non-Taxable",Q92,0)</f>
        <v>11168.08</v>
      </c>
      <c r="AY92" s="10">
        <f>IF('Batt IN'!$E$11="Non-Taxable",'Batt IN'!$E$28/1000*'Batt IN'!$G$13*('Batt IN'!$E$13/12)*'Batt IN'!$E$12,0)</f>
        <v>244.42220833333334</v>
      </c>
      <c r="AZ92" s="10">
        <f>IF('Batt IN'!$E$11="Non-Taxable",$S92*'Batt IN'!$G$15*'Batt IN'!$E$28*'Batt IN'!$E$14/1000,0)</f>
        <v>0</v>
      </c>
      <c r="BA92" s="10">
        <f>IF('Batt IN'!$E$11="Non-Taxable",'Batt IN'!$E$21*'Batt IN'!$G$21/12,0)</f>
        <v>437.5</v>
      </c>
      <c r="BB92" s="10">
        <f>IF('Batt IN'!$E$11="Non-Taxable",'Batt IN'!$E$22*'Batt IN'!$G$22/12,0)</f>
        <v>1145.8333333333335</v>
      </c>
      <c r="BC92" s="10">
        <f>IF('Batt IN'!$E$11="Taxable",Q92,0)</f>
        <v>0</v>
      </c>
      <c r="BD92" s="10">
        <f>IF('Batt IN'!$E$11="Taxable",'Batt IN'!$E$28/1000*'Batt IN'!$G$13*('Batt IN'!$E$13/12)*'Batt IN'!$E$12,0)</f>
        <v>0</v>
      </c>
      <c r="BE92" s="10">
        <f>IF('Batt IN'!$E$11="Taxable",$S92*'Batt IN'!$G$15*'Batt IN'!$E$28*'Batt IN'!$E$14/1000,0)</f>
        <v>0</v>
      </c>
      <c r="BF92" s="10">
        <f>IF('Batt IN'!$E$11="Taxable",'Batt IN'!$E$21*'Batt IN'!$G$21/12,0)</f>
        <v>0</v>
      </c>
      <c r="BG92" s="10">
        <f>IF('Batt IN'!$E$11="Taxable",'Batt IN'!$E$22*'Batt IN'!$G$22/12,0)</f>
        <v>0</v>
      </c>
      <c r="BK92" s="10">
        <f>IF('Batt IN'!$N$18="Yes",-BattLoan!H120,-BattLoan!L120)</f>
        <v>0</v>
      </c>
      <c r="BL92" s="10">
        <f>IF('Batt IN'!$N$18="Yes",-BattLoan!F120,0)</f>
        <v>0</v>
      </c>
      <c r="BM92" s="10">
        <f>IF(AND('Batt IN'!$D$44="YES",$C92&lt;='Batt IN'!$E$44*12),0,-'Batt IN'!$E$28*'Batt IN'!$E$42/12)</f>
        <v>-83.333333333333329</v>
      </c>
      <c r="BN92" s="10">
        <f>IF(AND('Batt IN'!$D$46="YES",$C92&lt;='Batt IN'!$E$46*12),0,-'Batt IN'!$E$28*'Batt IN'!$E$45/12)</f>
        <v>-166.66666666666666</v>
      </c>
      <c r="BO92" s="2">
        <f>IF(AND('Batt IN'!$D$41="YES",BattCalcs!C92=ROUNDUP('Batt IN'!$H$41*12,)),-'Batt IN'!$E$41*'Batt IN'!$E$28,0)</f>
        <v>0</v>
      </c>
      <c r="BP92" s="2">
        <f>IF(AND('Batt IN'!$D$53="Yes",$AL$1&gt;=1),0,IF($C92='Batt IN'!$H$54*12,-'Batt IN'!$F$54,0))</f>
        <v>0</v>
      </c>
      <c r="BQ92" s="2">
        <f>IF(AND('Batt IN'!$D$53="Yes",$AL$1&gt;=2),0,IF($C92='Batt IN'!$H$55*12,-'Batt IN'!$F$55,0))</f>
        <v>0</v>
      </c>
      <c r="BR92" s="2">
        <f>IF(AND('Batt IN'!$D$53="Yes",$AL$1&gt;=3),0,IF($C92='Batt IN'!$H$56*12,-'Batt IN'!$F$56,0))</f>
        <v>0</v>
      </c>
      <c r="BS92" s="2">
        <f>IF(AND('Batt IN'!$D$53="Yes",$AL$1&gt;=4),0,IF($C92='Batt IN'!$H$57*12,-'Batt IN'!$F$57,0))</f>
        <v>0</v>
      </c>
      <c r="BT92" s="2">
        <f>IF(AND('Batt IN'!$D$53="Yes",$AL$1&gt;=5),0,IF($C92='Batt IN'!$H$58*12,-'Batt IN'!$F$58,0))</f>
        <v>0</v>
      </c>
      <c r="BU92" s="2">
        <f>-AH92*PVCalcs!F92</f>
        <v>-350.65886285303105</v>
      </c>
      <c r="BV92" s="2">
        <f>-'Batt IN'!$E$47</f>
        <v>-150</v>
      </c>
      <c r="BW92" s="2">
        <f>-'Batt IN'!$E$49</f>
        <v>-2250</v>
      </c>
      <c r="BX92" s="2">
        <f>IF('Batt IN'!$H$50="No",-(BC92*'Batt IN'!$E$50),-(BC92+BE92)*'Batt IN'!$E$50)</f>
        <v>0</v>
      </c>
      <c r="BY92" s="2">
        <f>IF(C92='Batt IN'!$H$43*12,-'Batt IN'!$E$43,0)</f>
        <v>0</v>
      </c>
      <c r="BZ92" s="38"/>
      <c r="CA92" s="10">
        <f t="shared" si="17"/>
        <v>13422.323408333334</v>
      </c>
      <c r="CB92" s="2">
        <f t="shared" si="21"/>
        <v>-3000.6588628530308</v>
      </c>
      <c r="CC92" s="45">
        <f t="shared" si="22"/>
        <v>10421.664545480304</v>
      </c>
      <c r="CD92" s="43"/>
      <c r="CE92" s="2">
        <f t="shared" si="18"/>
        <v>0</v>
      </c>
      <c r="CF92" s="2">
        <f t="shared" si="23"/>
        <v>-3000.6588628530308</v>
      </c>
      <c r="CG92" s="2"/>
      <c r="CH92" s="2">
        <f t="shared" si="24"/>
        <v>-3000.6588628530308</v>
      </c>
      <c r="CI92" s="45">
        <f>-CH92*'Batt IN'!$E$7</f>
        <v>630.1383611991364</v>
      </c>
      <c r="CJ92" s="48"/>
      <c r="CK92" s="45">
        <f>IF('Batt IN'!$F$4="PV Only",0,IF(C92&gt;'Batt IN'!$H$43*12,0,CC92+CI92))</f>
        <v>0</v>
      </c>
      <c r="CM92" s="10">
        <f t="shared" si="25"/>
        <v>0</v>
      </c>
      <c r="CN92" s="2">
        <f>CK92/(1+('Batt IN'!$G$8))^(C92)</f>
        <v>0</v>
      </c>
      <c r="CO92" s="2">
        <f>IF(C92&lt;='Batt IN'!$O$30*12,CN92+CO91,NA())</f>
        <v>0</v>
      </c>
      <c r="CQ92" s="2">
        <f>CK92/((1+('Batt IN'!$E$8/12))^BattCalcs!C92)</f>
        <v>0</v>
      </c>
      <c r="CS92" s="10">
        <f t="shared" si="26"/>
        <v>-3000.6588628530308</v>
      </c>
      <c r="CT92" s="10">
        <f t="shared" si="27"/>
        <v>0</v>
      </c>
      <c r="CU92" s="10">
        <f t="shared" si="28"/>
        <v>-3000.6588628530308</v>
      </c>
      <c r="CV92" s="10">
        <f t="shared" si="29"/>
        <v>-3000.6588628530308</v>
      </c>
      <c r="CW92" s="2">
        <f t="shared" si="30"/>
        <v>0</v>
      </c>
      <c r="CX92" s="2">
        <f>-(SUM(CV92:CW92)*'PV IN'!$E$8)</f>
        <v>630.1383611991364</v>
      </c>
      <c r="CY92" s="2">
        <f t="shared" si="31"/>
        <v>-2370.5205016538944</v>
      </c>
      <c r="CZ92" s="2">
        <f>IF(C92&lt;='Batt IN'!$H$43*12,CY92/(1+('PV IN'!$G$9))^(C92),0)</f>
        <v>-1657.5075775512455</v>
      </c>
      <c r="DA92" s="33">
        <f>IF(C92&lt;='Batt IN'!$H$43*12,AE92,0)</f>
        <v>30366.783333333333</v>
      </c>
    </row>
    <row r="93" spans="1:105" x14ac:dyDescent="0.25">
      <c r="A93">
        <f>IF(C93&lt;='Batt IN'!$H$43*12,C93,"")</f>
        <v>89</v>
      </c>
      <c r="C93">
        <v>89</v>
      </c>
      <c r="D93" s="21">
        <v>730</v>
      </c>
      <c r="E93" s="1">
        <f>1-'Batt IN'!$E$31</f>
        <v>2.0000000000000018E-2</v>
      </c>
      <c r="F93" s="12">
        <f>('Batt IN'!$E$33*365)/8760</f>
        <v>0</v>
      </c>
      <c r="G93" s="22">
        <f>'Batt IN'!$E$32/8760</f>
        <v>5.7077625570776253E-3</v>
      </c>
      <c r="H93" s="22">
        <f>'Batt IN'!$E$13/8760</f>
        <v>5.5936073059360729E-3</v>
      </c>
      <c r="I93" s="23">
        <f>IF(C93&lt;='Batt IN'!$G$14*12,'Batt IN'!$E$15/8760*'Batt IN'!$G$15,0)</f>
        <v>0</v>
      </c>
      <c r="J93" s="12">
        <f>Z93/'Batt IN'!$E$27/730</f>
        <v>2.4999999999999996E-3</v>
      </c>
      <c r="K93" s="23">
        <f>AA93/'Batt IN'!$E$27/730</f>
        <v>1.6027397260273972E-3</v>
      </c>
      <c r="L93" s="23">
        <f>AB93/'Batt IN'!$E$27/730</f>
        <v>2.0547945205479451E-4</v>
      </c>
      <c r="M93" s="23">
        <f>AC93/'Batt IN'!$E$27/730</f>
        <v>4.7945205479452057E-3</v>
      </c>
      <c r="N93" s="23">
        <f>AD93/'Batt IN'!$E$27/730</f>
        <v>3.4246575342465752E-3</v>
      </c>
      <c r="O93" s="12">
        <f t="shared" si="19"/>
        <v>4.3828767123287697E-2</v>
      </c>
      <c r="P93" s="21">
        <f t="shared" si="20"/>
        <v>698.005</v>
      </c>
      <c r="Q93" s="2">
        <f>IF('Batt IN'!$E$27*'Batt IN'!$E$24&lt;='Batt IN'!$E$28,(('Batt IN'!$E$23*'Batt IN'!$E$27*'Batt IN'!$E$24)/1000)*P93,(('Batt IN'!$E$23*'Batt IN'!$E$28*'Batt IN'!$E$24)/1000)*P93)</f>
        <v>11168.08</v>
      </c>
      <c r="R93" s="2"/>
      <c r="S93" s="77">
        <f>IF(C93&lt;='Batt IN'!$G$14*12,'Batt IN'!$E$15/12,0)</f>
        <v>0</v>
      </c>
      <c r="T93" s="77"/>
      <c r="U93" s="80">
        <f>'Batt IN'!$E$28*('Batt IN'!$G$24/24)*730*(1-O93)</f>
        <v>81433.916666666657</v>
      </c>
      <c r="V93" s="78">
        <f>U93*'Batt IN'!$F$30</f>
        <v>16286.783333333333</v>
      </c>
      <c r="W93" s="78">
        <f>'Batt IN'!$E$28*'Batt IN'!$G$32*('Batt IN'!$E$32/12)*(1+'Batt IN'!$F$30)</f>
        <v>1750.0000000000002</v>
      </c>
      <c r="X93" s="78">
        <f>'Batt IN'!$E$28*'Batt IN'!$G$13*('Batt IN'!$E$13/12)*(1+'Batt IN'!$F$30)</f>
        <v>3184.9999999999995</v>
      </c>
      <c r="Y93" s="33">
        <f>S93*'Batt IN'!$G$15*'Batt IN'!$E$28*(1+'Batt IN'!$F$30)</f>
        <v>0</v>
      </c>
      <c r="Z93" s="33">
        <f>'Batt IN'!$G$16*365/12*(1+'Batt IN'!$F$30)</f>
        <v>1824.9999999999998</v>
      </c>
      <c r="AA93" s="33">
        <f>'Batt IN'!$G$17*'Batt IN'!$E$18*'Batt IN'!$G$18/12*(1+'Batt IN'!$F$30)</f>
        <v>1170</v>
      </c>
      <c r="AB93" s="33">
        <f>'Batt IN'!$G$19*'Batt IN'!$E$20*'Batt IN'!$G$20/12*(1+'Batt IN'!$F$30)</f>
        <v>150</v>
      </c>
      <c r="AC93" s="33">
        <f>'Batt IN'!$G$21*(1+'Batt IN'!$F$30)/12</f>
        <v>3500</v>
      </c>
      <c r="AD93" s="33">
        <f>'Batt IN'!$G$22*(1+'Batt IN'!$F$30)/12</f>
        <v>2500</v>
      </c>
      <c r="AE93" s="33">
        <f t="shared" si="32"/>
        <v>30366.783333333333</v>
      </c>
      <c r="AF93" s="33">
        <f>IF('PV IN'!$F$4="Battery Only",0,AE93*'Batt IN'!$E$29)</f>
        <v>25811.765833333331</v>
      </c>
      <c r="AG93" s="33">
        <f>PVCalcs!L93</f>
        <v>25811.765833333331</v>
      </c>
      <c r="AH93" s="33">
        <f t="shared" si="33"/>
        <v>4555.0175000000017</v>
      </c>
      <c r="AI93" s="33"/>
      <c r="AJ93" s="2">
        <f>IF(AND('Batt IN'!$D$53="Yes",$AL$1&gt;=1),IF($C93='Batt IN'!$H$54*12,-'Batt IN'!$F$54,0),0)</f>
        <v>0</v>
      </c>
      <c r="AK93" s="2">
        <f>IF(AND('Batt IN'!$D$53="Yes",$AL$1&gt;=2),IF($C93='Batt IN'!$H$55*12,-'Batt IN'!$F$55,0),0)</f>
        <v>0</v>
      </c>
      <c r="AL93" s="2">
        <f>IF(AND('Batt IN'!$D$53="Yes",$AL$1&gt;=3),IF($C93='Batt IN'!$H$56*12,-'Batt IN'!$F$56,0),0)</f>
        <v>0</v>
      </c>
      <c r="AM93" s="2">
        <f>IF(AND('Batt IN'!$D$53="Yes",$AL$1&gt;=4),IF($C93='Batt IN'!$H$57*12,-'Batt IN'!$F$57,0),0)</f>
        <v>0</v>
      </c>
      <c r="AN93" s="2">
        <f>IF(AND('Batt IN'!$D$53="Yes",$AL$1&gt;=5),IF($C93='Batt IN'!$H$58*12,-'Batt IN'!$F$58,0),0)</f>
        <v>0</v>
      </c>
      <c r="AO93" s="10">
        <f>IF(AND('Batt IN'!$D$44="YES",$C93&lt;='Batt IN'!$E$44*12),-'Batt IN'!$E$28*'Batt IN'!$E$42/12,0)</f>
        <v>0</v>
      </c>
      <c r="AP93" s="10">
        <f>IF(AND('Batt IN'!$D$46="YES",$C93&lt;='Batt IN'!$E$46*12),-'Batt IN'!$E$28*'Batt IN'!$E$45/12,0)</f>
        <v>0</v>
      </c>
      <c r="AR93" s="10">
        <f>BattLoan!M120</f>
        <v>0</v>
      </c>
      <c r="AS93" s="10">
        <f>'Batt IN'!$G$16*365/12*'Batt IN'!$E$16</f>
        <v>76.041666666666671</v>
      </c>
      <c r="AT93" s="10">
        <f>IF(AND('Batt IN'!$E$18&gt;0,'Batt IN'!$G$18&gt;0),'Batt IN'!$E$17*'Batt IN'!$G$17,0)</f>
        <v>119.44619999999999</v>
      </c>
      <c r="AU93" s="10">
        <f>IF(AND('Batt IN'!$E$20&gt;0,'Batt IN'!$G$20&gt;0),'Batt IN'!$E$19*'Batt IN'!$G$19,0)</f>
        <v>231</v>
      </c>
      <c r="AV93" s="10"/>
      <c r="AW93" s="10"/>
      <c r="AX93" s="10">
        <f>IF('Batt IN'!$E$11="Non-Taxable",Q93,0)</f>
        <v>11168.08</v>
      </c>
      <c r="AY93" s="10">
        <f>IF('Batt IN'!$E$11="Non-Taxable",'Batt IN'!$E$28/1000*'Batt IN'!$G$13*('Batt IN'!$E$13/12)*'Batt IN'!$E$12,0)</f>
        <v>244.42220833333334</v>
      </c>
      <c r="AZ93" s="10">
        <f>IF('Batt IN'!$E$11="Non-Taxable",$S93*'Batt IN'!$G$15*'Batt IN'!$E$28*'Batt IN'!$E$14/1000,0)</f>
        <v>0</v>
      </c>
      <c r="BA93" s="10">
        <f>IF('Batt IN'!$E$11="Non-Taxable",'Batt IN'!$E$21*'Batt IN'!$G$21/12,0)</f>
        <v>437.5</v>
      </c>
      <c r="BB93" s="10">
        <f>IF('Batt IN'!$E$11="Non-Taxable",'Batt IN'!$E$22*'Batt IN'!$G$22/12,0)</f>
        <v>1145.8333333333335</v>
      </c>
      <c r="BC93" s="10">
        <f>IF('Batt IN'!$E$11="Taxable",Q93,0)</f>
        <v>0</v>
      </c>
      <c r="BD93" s="10">
        <f>IF('Batt IN'!$E$11="Taxable",'Batt IN'!$E$28/1000*'Batt IN'!$G$13*('Batt IN'!$E$13/12)*'Batt IN'!$E$12,0)</f>
        <v>0</v>
      </c>
      <c r="BE93" s="10">
        <f>IF('Batt IN'!$E$11="Taxable",$S93*'Batt IN'!$G$15*'Batt IN'!$E$28*'Batt IN'!$E$14/1000,0)</f>
        <v>0</v>
      </c>
      <c r="BF93" s="10">
        <f>IF('Batt IN'!$E$11="Taxable",'Batt IN'!$E$21*'Batt IN'!$G$21/12,0)</f>
        <v>0</v>
      </c>
      <c r="BG93" s="10">
        <f>IF('Batt IN'!$E$11="Taxable",'Batt IN'!$E$22*'Batt IN'!$G$22/12,0)</f>
        <v>0</v>
      </c>
      <c r="BK93" s="10">
        <f>IF('Batt IN'!$N$18="Yes",-BattLoan!H121,-BattLoan!L121)</f>
        <v>0</v>
      </c>
      <c r="BL93" s="10">
        <f>IF('Batt IN'!$N$18="Yes",-BattLoan!F121,0)</f>
        <v>0</v>
      </c>
      <c r="BM93" s="10">
        <f>IF(AND('Batt IN'!$D$44="YES",$C93&lt;='Batt IN'!$E$44*12),0,-'Batt IN'!$E$28*'Batt IN'!$E$42/12)</f>
        <v>-83.333333333333329</v>
      </c>
      <c r="BN93" s="10">
        <f>IF(AND('Batt IN'!$D$46="YES",$C93&lt;='Batt IN'!$E$46*12),0,-'Batt IN'!$E$28*'Batt IN'!$E$45/12)</f>
        <v>-166.66666666666666</v>
      </c>
      <c r="BO93" s="2">
        <f>IF(AND('Batt IN'!$D$41="YES",BattCalcs!C93=ROUNDUP('Batt IN'!$H$41*12,)),-'Batt IN'!$E$41*'Batt IN'!$E$28,0)</f>
        <v>0</v>
      </c>
      <c r="BP93" s="2">
        <f>IF(AND('Batt IN'!$D$53="Yes",$AL$1&gt;=1),0,IF($C93='Batt IN'!$H$54*12,-'Batt IN'!$F$54,0))</f>
        <v>0</v>
      </c>
      <c r="BQ93" s="2">
        <f>IF(AND('Batt IN'!$D$53="Yes",$AL$1&gt;=2),0,IF($C93='Batt IN'!$H$55*12,-'Batt IN'!$F$55,0))</f>
        <v>0</v>
      </c>
      <c r="BR93" s="2">
        <f>IF(AND('Batt IN'!$D$53="Yes",$AL$1&gt;=3),0,IF($C93='Batt IN'!$H$56*12,-'Batt IN'!$F$56,0))</f>
        <v>0</v>
      </c>
      <c r="BS93" s="2">
        <f>IF(AND('Batt IN'!$D$53="Yes",$AL$1&gt;=4),0,IF($C93='Batt IN'!$H$57*12,-'Batt IN'!$F$57,0))</f>
        <v>0</v>
      </c>
      <c r="BT93" s="2">
        <f>IF(AND('Batt IN'!$D$53="Yes",$AL$1&gt;=5),0,IF($C93='Batt IN'!$H$58*12,-'Batt IN'!$F$58,0))</f>
        <v>0</v>
      </c>
      <c r="BU93" s="2">
        <f>-AH93*PVCalcs!F93</f>
        <v>-350.65886285303105</v>
      </c>
      <c r="BV93" s="2">
        <f>-'Batt IN'!$E$47</f>
        <v>-150</v>
      </c>
      <c r="BW93" s="2">
        <f>-'Batt IN'!$E$49</f>
        <v>-2250</v>
      </c>
      <c r="BX93" s="2">
        <f>IF('Batt IN'!$H$50="No",-(BC93*'Batt IN'!$E$50),-(BC93+BE93)*'Batt IN'!$E$50)</f>
        <v>0</v>
      </c>
      <c r="BY93" s="2">
        <f>IF(C93='Batt IN'!$H$43*12,-'Batt IN'!$E$43,0)</f>
        <v>0</v>
      </c>
      <c r="BZ93" s="38"/>
      <c r="CA93" s="10">
        <f t="shared" si="17"/>
        <v>13422.323408333334</v>
      </c>
      <c r="CB93" s="2">
        <f t="shared" si="21"/>
        <v>-3000.6588628530308</v>
      </c>
      <c r="CC93" s="45">
        <f t="shared" si="22"/>
        <v>10421.664545480304</v>
      </c>
      <c r="CD93" s="43"/>
      <c r="CE93" s="2">
        <f t="shared" si="18"/>
        <v>0</v>
      </c>
      <c r="CF93" s="2">
        <f t="shared" si="23"/>
        <v>-3000.6588628530308</v>
      </c>
      <c r="CG93" s="2"/>
      <c r="CH93" s="2">
        <f t="shared" si="24"/>
        <v>-3000.6588628530308</v>
      </c>
      <c r="CI93" s="45">
        <f>-CH93*'Batt IN'!$E$7</f>
        <v>630.1383611991364</v>
      </c>
      <c r="CJ93" s="48"/>
      <c r="CK93" s="45">
        <f>IF('Batt IN'!$F$4="PV Only",0,IF(C93&gt;'Batt IN'!$H$43*12,0,CC93+CI93))</f>
        <v>0</v>
      </c>
      <c r="CM93" s="10">
        <f t="shared" si="25"/>
        <v>0</v>
      </c>
      <c r="CN93" s="2">
        <f>CK93/(1+('Batt IN'!$G$8))^(C93)</f>
        <v>0</v>
      </c>
      <c r="CO93" s="2">
        <f>IF(C93&lt;='Batt IN'!$O$30*12,CN93+CO92,NA())</f>
        <v>0</v>
      </c>
      <c r="CQ93" s="2">
        <f>CK93/((1+('Batt IN'!$E$8/12))^BattCalcs!C93)</f>
        <v>0</v>
      </c>
      <c r="CS93" s="10">
        <f t="shared" si="26"/>
        <v>-3000.6588628530308</v>
      </c>
      <c r="CT93" s="10">
        <f t="shared" si="27"/>
        <v>0</v>
      </c>
      <c r="CU93" s="10">
        <f t="shared" si="28"/>
        <v>-3000.6588628530308</v>
      </c>
      <c r="CV93" s="10">
        <f t="shared" si="29"/>
        <v>-3000.6588628530308</v>
      </c>
      <c r="CW93" s="2">
        <f t="shared" si="30"/>
        <v>0</v>
      </c>
      <c r="CX93" s="2">
        <f>-(SUM(CV93:CW93)*'PV IN'!$E$8)</f>
        <v>630.1383611991364</v>
      </c>
      <c r="CY93" s="2">
        <f t="shared" si="31"/>
        <v>-2370.5205016538944</v>
      </c>
      <c r="CZ93" s="2">
        <f>IF(C93&lt;='Batt IN'!$H$43*12,CY93/(1+('PV IN'!$G$9))^(C93),0)</f>
        <v>-1650.7820869890224</v>
      </c>
      <c r="DA93" s="33">
        <f>IF(C93&lt;='Batt IN'!$H$43*12,AE93,0)</f>
        <v>30366.783333333333</v>
      </c>
    </row>
    <row r="94" spans="1:105" x14ac:dyDescent="0.25">
      <c r="A94">
        <f>IF(C94&lt;='Batt IN'!$H$43*12,C94,"")</f>
        <v>90</v>
      </c>
      <c r="C94">
        <v>90</v>
      </c>
      <c r="D94" s="21">
        <v>730</v>
      </c>
      <c r="E94" s="1">
        <f>1-'Batt IN'!$E$31</f>
        <v>2.0000000000000018E-2</v>
      </c>
      <c r="F94" s="12">
        <f>('Batt IN'!$E$33*365)/8760</f>
        <v>0</v>
      </c>
      <c r="G94" s="22">
        <f>'Batt IN'!$E$32/8760</f>
        <v>5.7077625570776253E-3</v>
      </c>
      <c r="H94" s="22">
        <f>'Batt IN'!$E$13/8760</f>
        <v>5.5936073059360729E-3</v>
      </c>
      <c r="I94" s="23">
        <f>IF(C94&lt;='Batt IN'!$G$14*12,'Batt IN'!$E$15/8760*'Batt IN'!$G$15,0)</f>
        <v>0</v>
      </c>
      <c r="J94" s="12">
        <f>Z94/'Batt IN'!$E$27/730</f>
        <v>2.4999999999999996E-3</v>
      </c>
      <c r="K94" s="23">
        <f>AA94/'Batt IN'!$E$27/730</f>
        <v>1.6027397260273972E-3</v>
      </c>
      <c r="L94" s="23">
        <f>AB94/'Batt IN'!$E$27/730</f>
        <v>2.0547945205479451E-4</v>
      </c>
      <c r="M94" s="23">
        <f>AC94/'Batt IN'!$E$27/730</f>
        <v>4.7945205479452057E-3</v>
      </c>
      <c r="N94" s="23">
        <f>AD94/'Batt IN'!$E$27/730</f>
        <v>3.4246575342465752E-3</v>
      </c>
      <c r="O94" s="12">
        <f t="shared" si="19"/>
        <v>4.3828767123287697E-2</v>
      </c>
      <c r="P94" s="21">
        <f t="shared" si="20"/>
        <v>698.005</v>
      </c>
      <c r="Q94" s="2">
        <f>IF('Batt IN'!$E$27*'Batt IN'!$E$24&lt;='Batt IN'!$E$28,(('Batt IN'!$E$23*'Batt IN'!$E$27*'Batt IN'!$E$24)/1000)*P94,(('Batt IN'!$E$23*'Batt IN'!$E$28*'Batt IN'!$E$24)/1000)*P94)</f>
        <v>11168.08</v>
      </c>
      <c r="R94" s="2"/>
      <c r="S94" s="77">
        <f>IF(C94&lt;='Batt IN'!$G$14*12,'Batt IN'!$E$15/12,0)</f>
        <v>0</v>
      </c>
      <c r="T94" s="77"/>
      <c r="U94" s="80">
        <f>'Batt IN'!$E$28*('Batt IN'!$G$24/24)*730*(1-O94)</f>
        <v>81433.916666666657</v>
      </c>
      <c r="V94" s="78">
        <f>U94*'Batt IN'!$F$30</f>
        <v>16286.783333333333</v>
      </c>
      <c r="W94" s="78">
        <f>'Batt IN'!$E$28*'Batt IN'!$G$32*('Batt IN'!$E$32/12)*(1+'Batt IN'!$F$30)</f>
        <v>1750.0000000000002</v>
      </c>
      <c r="X94" s="78">
        <f>'Batt IN'!$E$28*'Batt IN'!$G$13*('Batt IN'!$E$13/12)*(1+'Batt IN'!$F$30)</f>
        <v>3184.9999999999995</v>
      </c>
      <c r="Y94" s="33">
        <f>S94*'Batt IN'!$G$15*'Batt IN'!$E$28*(1+'Batt IN'!$F$30)</f>
        <v>0</v>
      </c>
      <c r="Z94" s="33">
        <f>'Batt IN'!$G$16*365/12*(1+'Batt IN'!$F$30)</f>
        <v>1824.9999999999998</v>
      </c>
      <c r="AA94" s="33">
        <f>'Batt IN'!$G$17*'Batt IN'!$E$18*'Batt IN'!$G$18/12*(1+'Batt IN'!$F$30)</f>
        <v>1170</v>
      </c>
      <c r="AB94" s="33">
        <f>'Batt IN'!$G$19*'Batt IN'!$E$20*'Batt IN'!$G$20/12*(1+'Batt IN'!$F$30)</f>
        <v>150</v>
      </c>
      <c r="AC94" s="33">
        <f>'Batt IN'!$G$21*(1+'Batt IN'!$F$30)/12</f>
        <v>3500</v>
      </c>
      <c r="AD94" s="33">
        <f>'Batt IN'!$G$22*(1+'Batt IN'!$F$30)/12</f>
        <v>2500</v>
      </c>
      <c r="AE94" s="33">
        <f t="shared" si="32"/>
        <v>30366.783333333333</v>
      </c>
      <c r="AF94" s="33">
        <f>IF('PV IN'!$F$4="Battery Only",0,AE94*'Batt IN'!$E$29)</f>
        <v>25811.765833333331</v>
      </c>
      <c r="AG94" s="33">
        <f>PVCalcs!L94</f>
        <v>25811.765833333331</v>
      </c>
      <c r="AH94" s="33">
        <f t="shared" si="33"/>
        <v>4555.0175000000017</v>
      </c>
      <c r="AI94" s="33"/>
      <c r="AJ94" s="2">
        <f>IF(AND('Batt IN'!$D$53="Yes",$AL$1&gt;=1),IF($C94='Batt IN'!$H$54*12,-'Batt IN'!$F$54,0),0)</f>
        <v>0</v>
      </c>
      <c r="AK94" s="2">
        <f>IF(AND('Batt IN'!$D$53="Yes",$AL$1&gt;=2),IF($C94='Batt IN'!$H$55*12,-'Batt IN'!$F$55,0),0)</f>
        <v>0</v>
      </c>
      <c r="AL94" s="2">
        <f>IF(AND('Batt IN'!$D$53="Yes",$AL$1&gt;=3),IF($C94='Batt IN'!$H$56*12,-'Batt IN'!$F$56,0),0)</f>
        <v>0</v>
      </c>
      <c r="AM94" s="2">
        <f>IF(AND('Batt IN'!$D$53="Yes",$AL$1&gt;=4),IF($C94='Batt IN'!$H$57*12,-'Batt IN'!$F$57,0),0)</f>
        <v>0</v>
      </c>
      <c r="AN94" s="2">
        <f>IF(AND('Batt IN'!$D$53="Yes",$AL$1&gt;=5),IF($C94='Batt IN'!$H$58*12,-'Batt IN'!$F$58,0),0)</f>
        <v>0</v>
      </c>
      <c r="AO94" s="10">
        <f>IF(AND('Batt IN'!$D$44="YES",$C94&lt;='Batt IN'!$E$44*12),-'Batt IN'!$E$28*'Batt IN'!$E$42/12,0)</f>
        <v>0</v>
      </c>
      <c r="AP94" s="10">
        <f>IF(AND('Batt IN'!$D$46="YES",$C94&lt;='Batt IN'!$E$46*12),-'Batt IN'!$E$28*'Batt IN'!$E$45/12,0)</f>
        <v>0</v>
      </c>
      <c r="AR94" s="10">
        <f>BattLoan!M121</f>
        <v>0</v>
      </c>
      <c r="AS94" s="10">
        <f>'Batt IN'!$G$16*365/12*'Batt IN'!$E$16</f>
        <v>76.041666666666671</v>
      </c>
      <c r="AT94" s="10">
        <f>IF(AND('Batt IN'!$E$18&gt;0,'Batt IN'!$G$18&gt;0),'Batt IN'!$E$17*'Batt IN'!$G$17,0)</f>
        <v>119.44619999999999</v>
      </c>
      <c r="AU94" s="10">
        <f>IF(AND('Batt IN'!$E$20&gt;0,'Batt IN'!$G$20&gt;0),'Batt IN'!$E$19*'Batt IN'!$G$19,0)</f>
        <v>231</v>
      </c>
      <c r="AV94" s="10"/>
      <c r="AW94" s="10"/>
      <c r="AX94" s="10">
        <f>IF('Batt IN'!$E$11="Non-Taxable",Q94,0)</f>
        <v>11168.08</v>
      </c>
      <c r="AY94" s="10">
        <f>IF('Batt IN'!$E$11="Non-Taxable",'Batt IN'!$E$28/1000*'Batt IN'!$G$13*('Batt IN'!$E$13/12)*'Batt IN'!$E$12,0)</f>
        <v>244.42220833333334</v>
      </c>
      <c r="AZ94" s="10">
        <f>IF('Batt IN'!$E$11="Non-Taxable",$S94*'Batt IN'!$G$15*'Batt IN'!$E$28*'Batt IN'!$E$14/1000,0)</f>
        <v>0</v>
      </c>
      <c r="BA94" s="10">
        <f>IF('Batt IN'!$E$11="Non-Taxable",'Batt IN'!$E$21*'Batt IN'!$G$21/12,0)</f>
        <v>437.5</v>
      </c>
      <c r="BB94" s="10">
        <f>IF('Batt IN'!$E$11="Non-Taxable",'Batt IN'!$E$22*'Batt IN'!$G$22/12,0)</f>
        <v>1145.8333333333335</v>
      </c>
      <c r="BC94" s="10">
        <f>IF('Batt IN'!$E$11="Taxable",Q94,0)</f>
        <v>0</v>
      </c>
      <c r="BD94" s="10">
        <f>IF('Batt IN'!$E$11="Taxable",'Batt IN'!$E$28/1000*'Batt IN'!$G$13*('Batt IN'!$E$13/12)*'Batt IN'!$E$12,0)</f>
        <v>0</v>
      </c>
      <c r="BE94" s="10">
        <f>IF('Batt IN'!$E$11="Taxable",$S94*'Batt IN'!$G$15*'Batt IN'!$E$28*'Batt IN'!$E$14/1000,0)</f>
        <v>0</v>
      </c>
      <c r="BF94" s="10">
        <f>IF('Batt IN'!$E$11="Taxable",'Batt IN'!$E$21*'Batt IN'!$G$21/12,0)</f>
        <v>0</v>
      </c>
      <c r="BG94" s="10">
        <f>IF('Batt IN'!$E$11="Taxable",'Batt IN'!$E$22*'Batt IN'!$G$22/12,0)</f>
        <v>0</v>
      </c>
      <c r="BK94" s="10">
        <f>IF('Batt IN'!$N$18="Yes",-BattLoan!H122,-BattLoan!L122)</f>
        <v>0</v>
      </c>
      <c r="BL94" s="10">
        <f>IF('Batt IN'!$N$18="Yes",-BattLoan!F122,0)</f>
        <v>0</v>
      </c>
      <c r="BM94" s="10">
        <f>IF(AND('Batt IN'!$D$44="YES",$C94&lt;='Batt IN'!$E$44*12),0,-'Batt IN'!$E$28*'Batt IN'!$E$42/12)</f>
        <v>-83.333333333333329</v>
      </c>
      <c r="BN94" s="10">
        <f>IF(AND('Batt IN'!$D$46="YES",$C94&lt;='Batt IN'!$E$46*12),0,-'Batt IN'!$E$28*'Batt IN'!$E$45/12)</f>
        <v>-166.66666666666666</v>
      </c>
      <c r="BO94" s="2">
        <f>IF(AND('Batt IN'!$D$41="YES",BattCalcs!C94=ROUNDUP('Batt IN'!$H$41*12,)),-'Batt IN'!$E$41*'Batt IN'!$E$28,0)</f>
        <v>0</v>
      </c>
      <c r="BP94" s="2">
        <f>IF(AND('Batt IN'!$D$53="Yes",$AL$1&gt;=1),0,IF($C94='Batt IN'!$H$54*12,-'Batt IN'!$F$54,0))</f>
        <v>0</v>
      </c>
      <c r="BQ94" s="2">
        <f>IF(AND('Batt IN'!$D$53="Yes",$AL$1&gt;=2),0,IF($C94='Batt IN'!$H$55*12,-'Batt IN'!$F$55,0))</f>
        <v>0</v>
      </c>
      <c r="BR94" s="2">
        <f>IF(AND('Batt IN'!$D$53="Yes",$AL$1&gt;=3),0,IF($C94='Batt IN'!$H$56*12,-'Batt IN'!$F$56,0))</f>
        <v>0</v>
      </c>
      <c r="BS94" s="2">
        <f>IF(AND('Batt IN'!$D$53="Yes",$AL$1&gt;=4),0,IF($C94='Batt IN'!$H$57*12,-'Batt IN'!$F$57,0))</f>
        <v>0</v>
      </c>
      <c r="BT94" s="2">
        <f>IF(AND('Batt IN'!$D$53="Yes",$AL$1&gt;=5),0,IF($C94='Batt IN'!$H$58*12,-'Batt IN'!$F$58,0))</f>
        <v>0</v>
      </c>
      <c r="BU94" s="2">
        <f>-AH94*PVCalcs!F94</f>
        <v>-350.65886285303105</v>
      </c>
      <c r="BV94" s="2">
        <f>-'Batt IN'!$E$47</f>
        <v>-150</v>
      </c>
      <c r="BW94" s="2">
        <f>-'Batt IN'!$E$49</f>
        <v>-2250</v>
      </c>
      <c r="BX94" s="2">
        <f>IF('Batt IN'!$H$50="No",-(BC94*'Batt IN'!$E$50),-(BC94+BE94)*'Batt IN'!$E$50)</f>
        <v>0</v>
      </c>
      <c r="BY94" s="2">
        <f>IF(C94='Batt IN'!$H$43*12,-'Batt IN'!$E$43,0)</f>
        <v>0</v>
      </c>
      <c r="BZ94" s="38"/>
      <c r="CA94" s="10">
        <f t="shared" si="17"/>
        <v>13422.323408333334</v>
      </c>
      <c r="CB94" s="2">
        <f t="shared" si="21"/>
        <v>-3000.6588628530308</v>
      </c>
      <c r="CC94" s="45">
        <f t="shared" si="22"/>
        <v>10421.664545480304</v>
      </c>
      <c r="CD94" s="43"/>
      <c r="CE94" s="2">
        <f t="shared" si="18"/>
        <v>0</v>
      </c>
      <c r="CF94" s="2">
        <f t="shared" si="23"/>
        <v>-3000.6588628530308</v>
      </c>
      <c r="CG94" s="2"/>
      <c r="CH94" s="2">
        <f t="shared" si="24"/>
        <v>-3000.6588628530308</v>
      </c>
      <c r="CI94" s="45">
        <f>-CH94*'Batt IN'!$E$7</f>
        <v>630.1383611991364</v>
      </c>
      <c r="CJ94" s="48"/>
      <c r="CK94" s="45">
        <f>IF('Batt IN'!$F$4="PV Only",0,IF(C94&gt;'Batt IN'!$H$43*12,0,CC94+CI94))</f>
        <v>0</v>
      </c>
      <c r="CM94" s="10">
        <f t="shared" si="25"/>
        <v>0</v>
      </c>
      <c r="CN94" s="2">
        <f>CK94/(1+('Batt IN'!$G$8))^(C94)</f>
        <v>0</v>
      </c>
      <c r="CO94" s="2">
        <f>IF(C94&lt;='Batt IN'!$O$30*12,CN94+CO93,NA())</f>
        <v>0</v>
      </c>
      <c r="CQ94" s="2">
        <f>CK94/((1+('Batt IN'!$E$8/12))^BattCalcs!C94)</f>
        <v>0</v>
      </c>
      <c r="CS94" s="10">
        <f t="shared" si="26"/>
        <v>-3000.6588628530308</v>
      </c>
      <c r="CT94" s="10">
        <f t="shared" si="27"/>
        <v>0</v>
      </c>
      <c r="CU94" s="10">
        <f t="shared" si="28"/>
        <v>-3000.6588628530308</v>
      </c>
      <c r="CV94" s="10">
        <f t="shared" si="29"/>
        <v>-3000.6588628530308</v>
      </c>
      <c r="CW94" s="2">
        <f t="shared" si="30"/>
        <v>0</v>
      </c>
      <c r="CX94" s="2">
        <f>-(SUM(CV94:CW94)*'PV IN'!$E$8)</f>
        <v>630.1383611991364</v>
      </c>
      <c r="CY94" s="2">
        <f t="shared" si="31"/>
        <v>-2370.5205016538944</v>
      </c>
      <c r="CZ94" s="2">
        <f>IF(C94&lt;='Batt IN'!$H$43*12,CY94/(1+('PV IN'!$G$9))^(C94),0)</f>
        <v>-1644.0838857278657</v>
      </c>
      <c r="DA94" s="33">
        <f>IF(C94&lt;='Batt IN'!$H$43*12,AE94,0)</f>
        <v>30366.783333333333</v>
      </c>
    </row>
    <row r="95" spans="1:105" x14ac:dyDescent="0.25">
      <c r="A95">
        <f>IF(C95&lt;='Batt IN'!$H$43*12,C95,"")</f>
        <v>91</v>
      </c>
      <c r="C95">
        <v>91</v>
      </c>
      <c r="D95" s="21">
        <v>730</v>
      </c>
      <c r="E95" s="1">
        <f>1-'Batt IN'!$E$31</f>
        <v>2.0000000000000018E-2</v>
      </c>
      <c r="F95" s="12">
        <f>('Batt IN'!$E$33*365)/8760</f>
        <v>0</v>
      </c>
      <c r="G95" s="22">
        <f>'Batt IN'!$E$32/8760</f>
        <v>5.7077625570776253E-3</v>
      </c>
      <c r="H95" s="22">
        <f>'Batt IN'!$E$13/8760</f>
        <v>5.5936073059360729E-3</v>
      </c>
      <c r="I95" s="23">
        <f>IF(C95&lt;='Batt IN'!$G$14*12,'Batt IN'!$E$15/8760*'Batt IN'!$G$15,0)</f>
        <v>0</v>
      </c>
      <c r="J95" s="12">
        <f>Z95/'Batt IN'!$E$27/730</f>
        <v>2.4999999999999996E-3</v>
      </c>
      <c r="K95" s="23">
        <f>AA95/'Batt IN'!$E$27/730</f>
        <v>1.6027397260273972E-3</v>
      </c>
      <c r="L95" s="23">
        <f>AB95/'Batt IN'!$E$27/730</f>
        <v>2.0547945205479451E-4</v>
      </c>
      <c r="M95" s="23">
        <f>AC95/'Batt IN'!$E$27/730</f>
        <v>4.7945205479452057E-3</v>
      </c>
      <c r="N95" s="23">
        <f>AD95/'Batt IN'!$E$27/730</f>
        <v>3.4246575342465752E-3</v>
      </c>
      <c r="O95" s="12">
        <f t="shared" si="19"/>
        <v>4.3828767123287697E-2</v>
      </c>
      <c r="P95" s="21">
        <f t="shared" si="20"/>
        <v>698.005</v>
      </c>
      <c r="Q95" s="2">
        <f>IF('Batt IN'!$E$27*'Batt IN'!$E$24&lt;='Batt IN'!$E$28,(('Batt IN'!$E$23*'Batt IN'!$E$27*'Batt IN'!$E$24)/1000)*P95,(('Batt IN'!$E$23*'Batt IN'!$E$28*'Batt IN'!$E$24)/1000)*P95)</f>
        <v>11168.08</v>
      </c>
      <c r="R95" s="2"/>
      <c r="S95" s="77">
        <f>IF(C95&lt;='Batt IN'!$G$14*12,'Batt IN'!$E$15/12,0)</f>
        <v>0</v>
      </c>
      <c r="T95" s="77"/>
      <c r="U95" s="80">
        <f>'Batt IN'!$E$28*('Batt IN'!$G$24/24)*730*(1-O95)</f>
        <v>81433.916666666657</v>
      </c>
      <c r="V95" s="78">
        <f>U95*'Batt IN'!$F$30</f>
        <v>16286.783333333333</v>
      </c>
      <c r="W95" s="78">
        <f>'Batt IN'!$E$28*'Batt IN'!$G$32*('Batt IN'!$E$32/12)*(1+'Batt IN'!$F$30)</f>
        <v>1750.0000000000002</v>
      </c>
      <c r="X95" s="78">
        <f>'Batt IN'!$E$28*'Batt IN'!$G$13*('Batt IN'!$E$13/12)*(1+'Batt IN'!$F$30)</f>
        <v>3184.9999999999995</v>
      </c>
      <c r="Y95" s="33">
        <f>S95*'Batt IN'!$G$15*'Batt IN'!$E$28*(1+'Batt IN'!$F$30)</f>
        <v>0</v>
      </c>
      <c r="Z95" s="33">
        <f>'Batt IN'!$G$16*365/12*(1+'Batt IN'!$F$30)</f>
        <v>1824.9999999999998</v>
      </c>
      <c r="AA95" s="33">
        <f>'Batt IN'!$G$17*'Batt IN'!$E$18*'Batt IN'!$G$18/12*(1+'Batt IN'!$F$30)</f>
        <v>1170</v>
      </c>
      <c r="AB95" s="33">
        <f>'Batt IN'!$G$19*'Batt IN'!$E$20*'Batt IN'!$G$20/12*(1+'Batt IN'!$F$30)</f>
        <v>150</v>
      </c>
      <c r="AC95" s="33">
        <f>'Batt IN'!$G$21*(1+'Batt IN'!$F$30)/12</f>
        <v>3500</v>
      </c>
      <c r="AD95" s="33">
        <f>'Batt IN'!$G$22*(1+'Batt IN'!$F$30)/12</f>
        <v>2500</v>
      </c>
      <c r="AE95" s="33">
        <f t="shared" si="32"/>
        <v>30366.783333333333</v>
      </c>
      <c r="AF95" s="33">
        <f>IF('PV IN'!$F$4="Battery Only",0,AE95*'Batt IN'!$E$29)</f>
        <v>25811.765833333331</v>
      </c>
      <c r="AG95" s="33">
        <f>PVCalcs!L95</f>
        <v>25811.765833333331</v>
      </c>
      <c r="AH95" s="33">
        <f t="shared" si="33"/>
        <v>4555.0175000000017</v>
      </c>
      <c r="AI95" s="33"/>
      <c r="AJ95" s="2">
        <f>IF(AND('Batt IN'!$D$53="Yes",$AL$1&gt;=1),IF($C95='Batt IN'!$H$54*12,-'Batt IN'!$F$54,0),0)</f>
        <v>0</v>
      </c>
      <c r="AK95" s="2">
        <f>IF(AND('Batt IN'!$D$53="Yes",$AL$1&gt;=2),IF($C95='Batt IN'!$H$55*12,-'Batt IN'!$F$55,0),0)</f>
        <v>0</v>
      </c>
      <c r="AL95" s="2">
        <f>IF(AND('Batt IN'!$D$53="Yes",$AL$1&gt;=3),IF($C95='Batt IN'!$H$56*12,-'Batt IN'!$F$56,0),0)</f>
        <v>0</v>
      </c>
      <c r="AM95" s="2">
        <f>IF(AND('Batt IN'!$D$53="Yes",$AL$1&gt;=4),IF($C95='Batt IN'!$H$57*12,-'Batt IN'!$F$57,0),0)</f>
        <v>0</v>
      </c>
      <c r="AN95" s="2">
        <f>IF(AND('Batt IN'!$D$53="Yes",$AL$1&gt;=5),IF($C95='Batt IN'!$H$58*12,-'Batt IN'!$F$58,0),0)</f>
        <v>0</v>
      </c>
      <c r="AO95" s="10">
        <f>IF(AND('Batt IN'!$D$44="YES",$C95&lt;='Batt IN'!$E$44*12),-'Batt IN'!$E$28*'Batt IN'!$E$42/12,0)</f>
        <v>0</v>
      </c>
      <c r="AP95" s="10">
        <f>IF(AND('Batt IN'!$D$46="YES",$C95&lt;='Batt IN'!$E$46*12),-'Batt IN'!$E$28*'Batt IN'!$E$45/12,0)</f>
        <v>0</v>
      </c>
      <c r="AR95" s="10">
        <f>BattLoan!M122</f>
        <v>0</v>
      </c>
      <c r="AS95" s="10">
        <f>'Batt IN'!$G$16*365/12*'Batt IN'!$E$16</f>
        <v>76.041666666666671</v>
      </c>
      <c r="AT95" s="10">
        <f>IF(AND('Batt IN'!$E$18&gt;0,'Batt IN'!$G$18&gt;0),'Batt IN'!$E$17*'Batt IN'!$G$17,0)</f>
        <v>119.44619999999999</v>
      </c>
      <c r="AU95" s="10">
        <f>IF(AND('Batt IN'!$E$20&gt;0,'Batt IN'!$G$20&gt;0),'Batt IN'!$E$19*'Batt IN'!$G$19,0)</f>
        <v>231</v>
      </c>
      <c r="AV95" s="10"/>
      <c r="AW95" s="10"/>
      <c r="AX95" s="10">
        <f>IF('Batt IN'!$E$11="Non-Taxable",Q95,0)</f>
        <v>11168.08</v>
      </c>
      <c r="AY95" s="10">
        <f>IF('Batt IN'!$E$11="Non-Taxable",'Batt IN'!$E$28/1000*'Batt IN'!$G$13*('Batt IN'!$E$13/12)*'Batt IN'!$E$12,0)</f>
        <v>244.42220833333334</v>
      </c>
      <c r="AZ95" s="10">
        <f>IF('Batt IN'!$E$11="Non-Taxable",$S95*'Batt IN'!$G$15*'Batt IN'!$E$28*'Batt IN'!$E$14/1000,0)</f>
        <v>0</v>
      </c>
      <c r="BA95" s="10">
        <f>IF('Batt IN'!$E$11="Non-Taxable",'Batt IN'!$E$21*'Batt IN'!$G$21/12,0)</f>
        <v>437.5</v>
      </c>
      <c r="BB95" s="10">
        <f>IF('Batt IN'!$E$11="Non-Taxable",'Batt IN'!$E$22*'Batt IN'!$G$22/12,0)</f>
        <v>1145.8333333333335</v>
      </c>
      <c r="BC95" s="10">
        <f>IF('Batt IN'!$E$11="Taxable",Q95,0)</f>
        <v>0</v>
      </c>
      <c r="BD95" s="10">
        <f>IF('Batt IN'!$E$11="Taxable",'Batt IN'!$E$28/1000*'Batt IN'!$G$13*('Batt IN'!$E$13/12)*'Batt IN'!$E$12,0)</f>
        <v>0</v>
      </c>
      <c r="BE95" s="10">
        <f>IF('Batt IN'!$E$11="Taxable",$S95*'Batt IN'!$G$15*'Batt IN'!$E$28*'Batt IN'!$E$14/1000,0)</f>
        <v>0</v>
      </c>
      <c r="BF95" s="10">
        <f>IF('Batt IN'!$E$11="Taxable",'Batt IN'!$E$21*'Batt IN'!$G$21/12,0)</f>
        <v>0</v>
      </c>
      <c r="BG95" s="10">
        <f>IF('Batt IN'!$E$11="Taxable",'Batt IN'!$E$22*'Batt IN'!$G$22/12,0)</f>
        <v>0</v>
      </c>
      <c r="BK95" s="10">
        <f>IF('Batt IN'!$N$18="Yes",-BattLoan!H123,-BattLoan!L123)</f>
        <v>0</v>
      </c>
      <c r="BL95" s="10">
        <f>IF('Batt IN'!$N$18="Yes",-BattLoan!F123,0)</f>
        <v>0</v>
      </c>
      <c r="BM95" s="10">
        <f>IF(AND('Batt IN'!$D$44="YES",$C95&lt;='Batt IN'!$E$44*12),0,-'Batt IN'!$E$28*'Batt IN'!$E$42/12)</f>
        <v>-83.333333333333329</v>
      </c>
      <c r="BN95" s="10">
        <f>IF(AND('Batt IN'!$D$46="YES",$C95&lt;='Batt IN'!$E$46*12),0,-'Batt IN'!$E$28*'Batt IN'!$E$45/12)</f>
        <v>-166.66666666666666</v>
      </c>
      <c r="BO95" s="2">
        <f>IF(AND('Batt IN'!$D$41="YES",BattCalcs!C95=ROUNDUP('Batt IN'!$H$41*12,)),-'Batt IN'!$E$41*'Batt IN'!$E$28,0)</f>
        <v>0</v>
      </c>
      <c r="BP95" s="2">
        <f>IF(AND('Batt IN'!$D$53="Yes",$AL$1&gt;=1),0,IF($C95='Batt IN'!$H$54*12,-'Batt IN'!$F$54,0))</f>
        <v>0</v>
      </c>
      <c r="BQ95" s="2">
        <f>IF(AND('Batt IN'!$D$53="Yes",$AL$1&gt;=2),0,IF($C95='Batt IN'!$H$55*12,-'Batt IN'!$F$55,0))</f>
        <v>0</v>
      </c>
      <c r="BR95" s="2">
        <f>IF(AND('Batt IN'!$D$53="Yes",$AL$1&gt;=3),0,IF($C95='Batt IN'!$H$56*12,-'Batt IN'!$F$56,0))</f>
        <v>0</v>
      </c>
      <c r="BS95" s="2">
        <f>IF(AND('Batt IN'!$D$53="Yes",$AL$1&gt;=4),0,IF($C95='Batt IN'!$H$57*12,-'Batt IN'!$F$57,0))</f>
        <v>0</v>
      </c>
      <c r="BT95" s="2">
        <f>IF(AND('Batt IN'!$D$53="Yes",$AL$1&gt;=5),0,IF($C95='Batt IN'!$H$58*12,-'Batt IN'!$F$58,0))</f>
        <v>0</v>
      </c>
      <c r="BU95" s="2">
        <f>-AH95*PVCalcs!F95</f>
        <v>-350.65886285303105</v>
      </c>
      <c r="BV95" s="2">
        <f>-'Batt IN'!$E$47</f>
        <v>-150</v>
      </c>
      <c r="BW95" s="2">
        <f>-'Batt IN'!$E$49</f>
        <v>-2250</v>
      </c>
      <c r="BX95" s="2">
        <f>IF('Batt IN'!$H$50="No",-(BC95*'Batt IN'!$E$50),-(BC95+BE95)*'Batt IN'!$E$50)</f>
        <v>0</v>
      </c>
      <c r="BY95" s="2">
        <f>IF(C95='Batt IN'!$H$43*12,-'Batt IN'!$E$43,0)</f>
        <v>0</v>
      </c>
      <c r="BZ95" s="38"/>
      <c r="CA95" s="10">
        <f t="shared" si="17"/>
        <v>13422.323408333334</v>
      </c>
      <c r="CB95" s="2">
        <f t="shared" si="21"/>
        <v>-3000.6588628530308</v>
      </c>
      <c r="CC95" s="45">
        <f t="shared" si="22"/>
        <v>10421.664545480304</v>
      </c>
      <c r="CD95" s="43"/>
      <c r="CE95" s="2">
        <f t="shared" si="18"/>
        <v>0</v>
      </c>
      <c r="CF95" s="2">
        <f t="shared" si="23"/>
        <v>-3000.6588628530308</v>
      </c>
      <c r="CG95" s="2"/>
      <c r="CH95" s="2">
        <f t="shared" si="24"/>
        <v>-3000.6588628530308</v>
      </c>
      <c r="CI95" s="45">
        <f>-CH95*'Batt IN'!$E$7</f>
        <v>630.1383611991364</v>
      </c>
      <c r="CJ95" s="48"/>
      <c r="CK95" s="45">
        <f>IF('Batt IN'!$F$4="PV Only",0,IF(C95&gt;'Batt IN'!$H$43*12,0,CC95+CI95))</f>
        <v>0</v>
      </c>
      <c r="CM95" s="10">
        <f t="shared" si="25"/>
        <v>0</v>
      </c>
      <c r="CN95" s="2">
        <f>CK95/(1+('Batt IN'!$G$8))^(C95)</f>
        <v>0</v>
      </c>
      <c r="CO95" s="2">
        <f>IF(C95&lt;='Batt IN'!$O$30*12,CN95+CO94,NA())</f>
        <v>0</v>
      </c>
      <c r="CQ95" s="2">
        <f>CK95/((1+('Batt IN'!$E$8/12))^BattCalcs!C95)</f>
        <v>0</v>
      </c>
      <c r="CS95" s="10">
        <f t="shared" si="26"/>
        <v>-3000.6588628530308</v>
      </c>
      <c r="CT95" s="10">
        <f t="shared" si="27"/>
        <v>0</v>
      </c>
      <c r="CU95" s="10">
        <f t="shared" si="28"/>
        <v>-3000.6588628530308</v>
      </c>
      <c r="CV95" s="10">
        <f t="shared" si="29"/>
        <v>-3000.6588628530308</v>
      </c>
      <c r="CW95" s="2">
        <f t="shared" si="30"/>
        <v>0</v>
      </c>
      <c r="CX95" s="2">
        <f>-(SUM(CV95:CW95)*'PV IN'!$E$8)</f>
        <v>630.1383611991364</v>
      </c>
      <c r="CY95" s="2">
        <f t="shared" si="31"/>
        <v>-2370.5205016538944</v>
      </c>
      <c r="CZ95" s="2">
        <f>IF(C95&lt;='Batt IN'!$H$43*12,CY95/(1+('PV IN'!$G$9))^(C95),0)</f>
        <v>-1637.4128630389073</v>
      </c>
      <c r="DA95" s="33">
        <f>IF(C95&lt;='Batt IN'!$H$43*12,AE95,0)</f>
        <v>30366.783333333333</v>
      </c>
    </row>
    <row r="96" spans="1:105" x14ac:dyDescent="0.25">
      <c r="A96">
        <f>IF(C96&lt;='Batt IN'!$H$43*12,C96,"")</f>
        <v>92</v>
      </c>
      <c r="C96">
        <v>92</v>
      </c>
      <c r="D96" s="21">
        <v>730</v>
      </c>
      <c r="E96" s="1">
        <f>1-'Batt IN'!$E$31</f>
        <v>2.0000000000000018E-2</v>
      </c>
      <c r="F96" s="12">
        <f>('Batt IN'!$E$33*365)/8760</f>
        <v>0</v>
      </c>
      <c r="G96" s="22">
        <f>'Batt IN'!$E$32/8760</f>
        <v>5.7077625570776253E-3</v>
      </c>
      <c r="H96" s="22">
        <f>'Batt IN'!$E$13/8760</f>
        <v>5.5936073059360729E-3</v>
      </c>
      <c r="I96" s="23">
        <f>IF(C96&lt;='Batt IN'!$G$14*12,'Batt IN'!$E$15/8760*'Batt IN'!$G$15,0)</f>
        <v>0</v>
      </c>
      <c r="J96" s="12">
        <f>Z96/'Batt IN'!$E$27/730</f>
        <v>2.4999999999999996E-3</v>
      </c>
      <c r="K96" s="23">
        <f>AA96/'Batt IN'!$E$27/730</f>
        <v>1.6027397260273972E-3</v>
      </c>
      <c r="L96" s="23">
        <f>AB96/'Batt IN'!$E$27/730</f>
        <v>2.0547945205479451E-4</v>
      </c>
      <c r="M96" s="23">
        <f>AC96/'Batt IN'!$E$27/730</f>
        <v>4.7945205479452057E-3</v>
      </c>
      <c r="N96" s="23">
        <f>AD96/'Batt IN'!$E$27/730</f>
        <v>3.4246575342465752E-3</v>
      </c>
      <c r="O96" s="12">
        <f t="shared" si="19"/>
        <v>4.3828767123287697E-2</v>
      </c>
      <c r="P96" s="21">
        <f t="shared" si="20"/>
        <v>698.005</v>
      </c>
      <c r="Q96" s="2">
        <f>IF('Batt IN'!$E$27*'Batt IN'!$E$24&lt;='Batt IN'!$E$28,(('Batt IN'!$E$23*'Batt IN'!$E$27*'Batt IN'!$E$24)/1000)*P96,(('Batt IN'!$E$23*'Batt IN'!$E$28*'Batt IN'!$E$24)/1000)*P96)</f>
        <v>11168.08</v>
      </c>
      <c r="R96" s="2"/>
      <c r="S96" s="77">
        <f>IF(C96&lt;='Batt IN'!$G$14*12,'Batt IN'!$E$15/12,0)</f>
        <v>0</v>
      </c>
      <c r="T96" s="77"/>
      <c r="U96" s="80">
        <f>'Batt IN'!$E$28*('Batt IN'!$G$24/24)*730*(1-O96)</f>
        <v>81433.916666666657</v>
      </c>
      <c r="V96" s="78">
        <f>U96*'Batt IN'!$F$30</f>
        <v>16286.783333333333</v>
      </c>
      <c r="W96" s="78">
        <f>'Batt IN'!$E$28*'Batt IN'!$G$32*('Batt IN'!$E$32/12)*(1+'Batt IN'!$F$30)</f>
        <v>1750.0000000000002</v>
      </c>
      <c r="X96" s="78">
        <f>'Batt IN'!$E$28*'Batt IN'!$G$13*('Batt IN'!$E$13/12)*(1+'Batt IN'!$F$30)</f>
        <v>3184.9999999999995</v>
      </c>
      <c r="Y96" s="33">
        <f>S96*'Batt IN'!$G$15*'Batt IN'!$E$28*(1+'Batt IN'!$F$30)</f>
        <v>0</v>
      </c>
      <c r="Z96" s="33">
        <f>'Batt IN'!$G$16*365/12*(1+'Batt IN'!$F$30)</f>
        <v>1824.9999999999998</v>
      </c>
      <c r="AA96" s="33">
        <f>'Batt IN'!$G$17*'Batt IN'!$E$18*'Batt IN'!$G$18/12*(1+'Batt IN'!$F$30)</f>
        <v>1170</v>
      </c>
      <c r="AB96" s="33">
        <f>'Batt IN'!$G$19*'Batt IN'!$E$20*'Batt IN'!$G$20/12*(1+'Batt IN'!$F$30)</f>
        <v>150</v>
      </c>
      <c r="AC96" s="33">
        <f>'Batt IN'!$G$21*(1+'Batt IN'!$F$30)/12</f>
        <v>3500</v>
      </c>
      <c r="AD96" s="33">
        <f>'Batt IN'!$G$22*(1+'Batt IN'!$F$30)/12</f>
        <v>2500</v>
      </c>
      <c r="AE96" s="33">
        <f t="shared" si="32"/>
        <v>30366.783333333333</v>
      </c>
      <c r="AF96" s="33">
        <f>IF('PV IN'!$F$4="Battery Only",0,AE96*'Batt IN'!$E$29)</f>
        <v>25811.765833333331</v>
      </c>
      <c r="AG96" s="33">
        <f>PVCalcs!L96</f>
        <v>25811.765833333331</v>
      </c>
      <c r="AH96" s="33">
        <f t="shared" si="33"/>
        <v>4555.0175000000017</v>
      </c>
      <c r="AI96" s="33"/>
      <c r="AJ96" s="2">
        <f>IF(AND('Batt IN'!$D$53="Yes",$AL$1&gt;=1),IF($C96='Batt IN'!$H$54*12,-'Batt IN'!$F$54,0),0)</f>
        <v>0</v>
      </c>
      <c r="AK96" s="2">
        <f>IF(AND('Batt IN'!$D$53="Yes",$AL$1&gt;=2),IF($C96='Batt IN'!$H$55*12,-'Batt IN'!$F$55,0),0)</f>
        <v>0</v>
      </c>
      <c r="AL96" s="2">
        <f>IF(AND('Batt IN'!$D$53="Yes",$AL$1&gt;=3),IF($C96='Batt IN'!$H$56*12,-'Batt IN'!$F$56,0),0)</f>
        <v>0</v>
      </c>
      <c r="AM96" s="2">
        <f>IF(AND('Batt IN'!$D$53="Yes",$AL$1&gt;=4),IF($C96='Batt IN'!$H$57*12,-'Batt IN'!$F$57,0),0)</f>
        <v>0</v>
      </c>
      <c r="AN96" s="2">
        <f>IF(AND('Batt IN'!$D$53="Yes",$AL$1&gt;=5),IF($C96='Batt IN'!$H$58*12,-'Batt IN'!$F$58,0),0)</f>
        <v>0</v>
      </c>
      <c r="AO96" s="10">
        <f>IF(AND('Batt IN'!$D$44="YES",$C96&lt;='Batt IN'!$E$44*12),-'Batt IN'!$E$28*'Batt IN'!$E$42/12,0)</f>
        <v>0</v>
      </c>
      <c r="AP96" s="10">
        <f>IF(AND('Batt IN'!$D$46="YES",$C96&lt;='Batt IN'!$E$46*12),-'Batt IN'!$E$28*'Batt IN'!$E$45/12,0)</f>
        <v>0</v>
      </c>
      <c r="AR96" s="10">
        <f>BattLoan!M123</f>
        <v>0</v>
      </c>
      <c r="AS96" s="10">
        <f>'Batt IN'!$G$16*365/12*'Batt IN'!$E$16</f>
        <v>76.041666666666671</v>
      </c>
      <c r="AT96" s="10">
        <f>IF(AND('Batt IN'!$E$18&gt;0,'Batt IN'!$G$18&gt;0),'Batt IN'!$E$17*'Batt IN'!$G$17,0)</f>
        <v>119.44619999999999</v>
      </c>
      <c r="AU96" s="10">
        <f>IF(AND('Batt IN'!$E$20&gt;0,'Batt IN'!$G$20&gt;0),'Batt IN'!$E$19*'Batt IN'!$G$19,0)</f>
        <v>231</v>
      </c>
      <c r="AV96" s="10"/>
      <c r="AW96" s="10"/>
      <c r="AX96" s="10">
        <f>IF('Batt IN'!$E$11="Non-Taxable",Q96,0)</f>
        <v>11168.08</v>
      </c>
      <c r="AY96" s="10">
        <f>IF('Batt IN'!$E$11="Non-Taxable",'Batt IN'!$E$28/1000*'Batt IN'!$G$13*('Batt IN'!$E$13/12)*'Batt IN'!$E$12,0)</f>
        <v>244.42220833333334</v>
      </c>
      <c r="AZ96" s="10">
        <f>IF('Batt IN'!$E$11="Non-Taxable",$S96*'Batt IN'!$G$15*'Batt IN'!$E$28*'Batt IN'!$E$14/1000,0)</f>
        <v>0</v>
      </c>
      <c r="BA96" s="10">
        <f>IF('Batt IN'!$E$11="Non-Taxable",'Batt IN'!$E$21*'Batt IN'!$G$21/12,0)</f>
        <v>437.5</v>
      </c>
      <c r="BB96" s="10">
        <f>IF('Batt IN'!$E$11="Non-Taxable",'Batt IN'!$E$22*'Batt IN'!$G$22/12,0)</f>
        <v>1145.8333333333335</v>
      </c>
      <c r="BC96" s="10">
        <f>IF('Batt IN'!$E$11="Taxable",Q96,0)</f>
        <v>0</v>
      </c>
      <c r="BD96" s="10">
        <f>IF('Batt IN'!$E$11="Taxable",'Batt IN'!$E$28/1000*'Batt IN'!$G$13*('Batt IN'!$E$13/12)*'Batt IN'!$E$12,0)</f>
        <v>0</v>
      </c>
      <c r="BE96" s="10">
        <f>IF('Batt IN'!$E$11="Taxable",$S96*'Batt IN'!$G$15*'Batt IN'!$E$28*'Batt IN'!$E$14/1000,0)</f>
        <v>0</v>
      </c>
      <c r="BF96" s="10">
        <f>IF('Batt IN'!$E$11="Taxable",'Batt IN'!$E$21*'Batt IN'!$G$21/12,0)</f>
        <v>0</v>
      </c>
      <c r="BG96" s="10">
        <f>IF('Batt IN'!$E$11="Taxable",'Batt IN'!$E$22*'Batt IN'!$G$22/12,0)</f>
        <v>0</v>
      </c>
      <c r="BK96" s="10">
        <f>IF('Batt IN'!$N$18="Yes",-BattLoan!H124,-BattLoan!L124)</f>
        <v>0</v>
      </c>
      <c r="BL96" s="10">
        <f>IF('Batt IN'!$N$18="Yes",-BattLoan!F124,0)</f>
        <v>0</v>
      </c>
      <c r="BM96" s="10">
        <f>IF(AND('Batt IN'!$D$44="YES",$C96&lt;='Batt IN'!$E$44*12),0,-'Batt IN'!$E$28*'Batt IN'!$E$42/12)</f>
        <v>-83.333333333333329</v>
      </c>
      <c r="BN96" s="10">
        <f>IF(AND('Batt IN'!$D$46="YES",$C96&lt;='Batt IN'!$E$46*12),0,-'Batt IN'!$E$28*'Batt IN'!$E$45/12)</f>
        <v>-166.66666666666666</v>
      </c>
      <c r="BO96" s="2">
        <f>IF(AND('Batt IN'!$D$41="YES",BattCalcs!C96=ROUNDUP('Batt IN'!$H$41*12,)),-'Batt IN'!$E$41*'Batt IN'!$E$28,0)</f>
        <v>0</v>
      </c>
      <c r="BP96" s="2">
        <f>IF(AND('Batt IN'!$D$53="Yes",$AL$1&gt;=1),0,IF($C96='Batt IN'!$H$54*12,-'Batt IN'!$F$54,0))</f>
        <v>0</v>
      </c>
      <c r="BQ96" s="2">
        <f>IF(AND('Batt IN'!$D$53="Yes",$AL$1&gt;=2),0,IF($C96='Batt IN'!$H$55*12,-'Batt IN'!$F$55,0))</f>
        <v>0</v>
      </c>
      <c r="BR96" s="2">
        <f>IF(AND('Batt IN'!$D$53="Yes",$AL$1&gt;=3),0,IF($C96='Batt IN'!$H$56*12,-'Batt IN'!$F$56,0))</f>
        <v>0</v>
      </c>
      <c r="BS96" s="2">
        <f>IF(AND('Batt IN'!$D$53="Yes",$AL$1&gt;=4),0,IF($C96='Batt IN'!$H$57*12,-'Batt IN'!$F$57,0))</f>
        <v>0</v>
      </c>
      <c r="BT96" s="2">
        <f>IF(AND('Batt IN'!$D$53="Yes",$AL$1&gt;=5),0,IF($C96='Batt IN'!$H$58*12,-'Batt IN'!$F$58,0))</f>
        <v>0</v>
      </c>
      <c r="BU96" s="2">
        <f>-AH96*PVCalcs!F96</f>
        <v>-350.65886285303105</v>
      </c>
      <c r="BV96" s="2">
        <f>-'Batt IN'!$E$47</f>
        <v>-150</v>
      </c>
      <c r="BW96" s="2">
        <f>-'Batt IN'!$E$49</f>
        <v>-2250</v>
      </c>
      <c r="BX96" s="2">
        <f>IF('Batt IN'!$H$50="No",-(BC96*'Batt IN'!$E$50),-(BC96+BE96)*'Batt IN'!$E$50)</f>
        <v>0</v>
      </c>
      <c r="BY96" s="2">
        <f>IF(C96='Batt IN'!$H$43*12,-'Batt IN'!$E$43,0)</f>
        <v>0</v>
      </c>
      <c r="BZ96" s="38"/>
      <c r="CA96" s="10">
        <f t="shared" si="17"/>
        <v>13422.323408333334</v>
      </c>
      <c r="CB96" s="2">
        <f t="shared" si="21"/>
        <v>-3000.6588628530308</v>
      </c>
      <c r="CC96" s="45">
        <f t="shared" si="22"/>
        <v>10421.664545480304</v>
      </c>
      <c r="CD96" s="43"/>
      <c r="CE96" s="2">
        <f t="shared" si="18"/>
        <v>0</v>
      </c>
      <c r="CF96" s="2">
        <f t="shared" si="23"/>
        <v>-3000.6588628530308</v>
      </c>
      <c r="CG96" s="2"/>
      <c r="CH96" s="2">
        <f t="shared" si="24"/>
        <v>-3000.6588628530308</v>
      </c>
      <c r="CI96" s="45">
        <f>-CH96*'Batt IN'!$E$7</f>
        <v>630.1383611991364</v>
      </c>
      <c r="CJ96" s="48"/>
      <c r="CK96" s="45">
        <f>IF('Batt IN'!$F$4="PV Only",0,IF(C96&gt;'Batt IN'!$H$43*12,0,CC96+CI96))</f>
        <v>0</v>
      </c>
      <c r="CM96" s="10">
        <f t="shared" si="25"/>
        <v>0</v>
      </c>
      <c r="CN96" s="2">
        <f>CK96/(1+('Batt IN'!$G$8))^(C96)</f>
        <v>0</v>
      </c>
      <c r="CO96" s="2">
        <f>IF(C96&lt;='Batt IN'!$O$30*12,CN96+CO95,NA())</f>
        <v>0</v>
      </c>
      <c r="CQ96" s="2">
        <f>CK96/((1+('Batt IN'!$E$8/12))^BattCalcs!C96)</f>
        <v>0</v>
      </c>
      <c r="CS96" s="10">
        <f t="shared" si="26"/>
        <v>-3000.6588628530308</v>
      </c>
      <c r="CT96" s="10">
        <f t="shared" si="27"/>
        <v>0</v>
      </c>
      <c r="CU96" s="10">
        <f t="shared" si="28"/>
        <v>-3000.6588628530308</v>
      </c>
      <c r="CV96" s="10">
        <f t="shared" si="29"/>
        <v>-3000.6588628530308</v>
      </c>
      <c r="CW96" s="2">
        <f t="shared" si="30"/>
        <v>0</v>
      </c>
      <c r="CX96" s="2">
        <f>-(SUM(CV96:CW96)*'PV IN'!$E$8)</f>
        <v>630.1383611991364</v>
      </c>
      <c r="CY96" s="2">
        <f t="shared" si="31"/>
        <v>-2370.5205016538944</v>
      </c>
      <c r="CZ96" s="2">
        <f>IF(C96&lt;='Batt IN'!$H$43*12,CY96/(1+('PV IN'!$G$9))^(C96),0)</f>
        <v>-1630.7689086425719</v>
      </c>
      <c r="DA96" s="33">
        <f>IF(C96&lt;='Batt IN'!$H$43*12,AE96,0)</f>
        <v>30366.783333333333</v>
      </c>
    </row>
    <row r="97" spans="1:105" x14ac:dyDescent="0.25">
      <c r="A97">
        <f>IF(C97&lt;='Batt IN'!$H$43*12,C97,"")</f>
        <v>93</v>
      </c>
      <c r="C97">
        <v>93</v>
      </c>
      <c r="D97" s="21">
        <v>730</v>
      </c>
      <c r="E97" s="1">
        <f>1-'Batt IN'!$E$31</f>
        <v>2.0000000000000018E-2</v>
      </c>
      <c r="F97" s="12">
        <f>('Batt IN'!$E$33*365)/8760</f>
        <v>0</v>
      </c>
      <c r="G97" s="22">
        <f>'Batt IN'!$E$32/8760</f>
        <v>5.7077625570776253E-3</v>
      </c>
      <c r="H97" s="22">
        <f>'Batt IN'!$E$13/8760</f>
        <v>5.5936073059360729E-3</v>
      </c>
      <c r="I97" s="23">
        <f>IF(C97&lt;='Batt IN'!$G$14*12,'Batt IN'!$E$15/8760*'Batt IN'!$G$15,0)</f>
        <v>0</v>
      </c>
      <c r="J97" s="12">
        <f>Z97/'Batt IN'!$E$27/730</f>
        <v>2.4999999999999996E-3</v>
      </c>
      <c r="K97" s="23">
        <f>AA97/'Batt IN'!$E$27/730</f>
        <v>1.6027397260273972E-3</v>
      </c>
      <c r="L97" s="23">
        <f>AB97/'Batt IN'!$E$27/730</f>
        <v>2.0547945205479451E-4</v>
      </c>
      <c r="M97" s="23">
        <f>AC97/'Batt IN'!$E$27/730</f>
        <v>4.7945205479452057E-3</v>
      </c>
      <c r="N97" s="23">
        <f>AD97/'Batt IN'!$E$27/730</f>
        <v>3.4246575342465752E-3</v>
      </c>
      <c r="O97" s="12">
        <f t="shared" si="19"/>
        <v>4.3828767123287697E-2</v>
      </c>
      <c r="P97" s="21">
        <f t="shared" si="20"/>
        <v>698.005</v>
      </c>
      <c r="Q97" s="2">
        <f>IF('Batt IN'!$E$27*'Batt IN'!$E$24&lt;='Batt IN'!$E$28,(('Batt IN'!$E$23*'Batt IN'!$E$27*'Batt IN'!$E$24)/1000)*P97,(('Batt IN'!$E$23*'Batt IN'!$E$28*'Batt IN'!$E$24)/1000)*P97)</f>
        <v>11168.08</v>
      </c>
      <c r="R97" s="2"/>
      <c r="S97" s="77">
        <f>IF(C97&lt;='Batt IN'!$G$14*12,'Batt IN'!$E$15/12,0)</f>
        <v>0</v>
      </c>
      <c r="T97" s="77"/>
      <c r="U97" s="80">
        <f>'Batt IN'!$E$28*('Batt IN'!$G$24/24)*730*(1-O97)</f>
        <v>81433.916666666657</v>
      </c>
      <c r="V97" s="78">
        <f>U97*'Batt IN'!$F$30</f>
        <v>16286.783333333333</v>
      </c>
      <c r="W97" s="78">
        <f>'Batt IN'!$E$28*'Batt IN'!$G$32*('Batt IN'!$E$32/12)*(1+'Batt IN'!$F$30)</f>
        <v>1750.0000000000002</v>
      </c>
      <c r="X97" s="78">
        <f>'Batt IN'!$E$28*'Batt IN'!$G$13*('Batt IN'!$E$13/12)*(1+'Batt IN'!$F$30)</f>
        <v>3184.9999999999995</v>
      </c>
      <c r="Y97" s="33">
        <f>S97*'Batt IN'!$G$15*'Batt IN'!$E$28*(1+'Batt IN'!$F$30)</f>
        <v>0</v>
      </c>
      <c r="Z97" s="33">
        <f>'Batt IN'!$G$16*365/12*(1+'Batt IN'!$F$30)</f>
        <v>1824.9999999999998</v>
      </c>
      <c r="AA97" s="33">
        <f>'Batt IN'!$G$17*'Batt IN'!$E$18*'Batt IN'!$G$18/12*(1+'Batt IN'!$F$30)</f>
        <v>1170</v>
      </c>
      <c r="AB97" s="33">
        <f>'Batt IN'!$G$19*'Batt IN'!$E$20*'Batt IN'!$G$20/12*(1+'Batt IN'!$F$30)</f>
        <v>150</v>
      </c>
      <c r="AC97" s="33">
        <f>'Batt IN'!$G$21*(1+'Batt IN'!$F$30)/12</f>
        <v>3500</v>
      </c>
      <c r="AD97" s="33">
        <f>'Batt IN'!$G$22*(1+'Batt IN'!$F$30)/12</f>
        <v>2500</v>
      </c>
      <c r="AE97" s="33">
        <f t="shared" si="32"/>
        <v>30366.783333333333</v>
      </c>
      <c r="AF97" s="33">
        <f>IF('PV IN'!$F$4="Battery Only",0,AE97*'Batt IN'!$E$29)</f>
        <v>25811.765833333331</v>
      </c>
      <c r="AG97" s="33">
        <f>PVCalcs!L97</f>
        <v>25811.765833333331</v>
      </c>
      <c r="AH97" s="33">
        <f t="shared" si="33"/>
        <v>4555.0175000000017</v>
      </c>
      <c r="AI97" s="33"/>
      <c r="AJ97" s="2">
        <f>IF(AND('Batt IN'!$D$53="Yes",$AL$1&gt;=1),IF($C97='Batt IN'!$H$54*12,-'Batt IN'!$F$54,0),0)</f>
        <v>0</v>
      </c>
      <c r="AK97" s="2">
        <f>IF(AND('Batt IN'!$D$53="Yes",$AL$1&gt;=2),IF($C97='Batt IN'!$H$55*12,-'Batt IN'!$F$55,0),0)</f>
        <v>0</v>
      </c>
      <c r="AL97" s="2">
        <f>IF(AND('Batt IN'!$D$53="Yes",$AL$1&gt;=3),IF($C97='Batt IN'!$H$56*12,-'Batt IN'!$F$56,0),0)</f>
        <v>0</v>
      </c>
      <c r="AM97" s="2">
        <f>IF(AND('Batt IN'!$D$53="Yes",$AL$1&gt;=4),IF($C97='Batt IN'!$H$57*12,-'Batt IN'!$F$57,0),0)</f>
        <v>0</v>
      </c>
      <c r="AN97" s="2">
        <f>IF(AND('Batt IN'!$D$53="Yes",$AL$1&gt;=5),IF($C97='Batt IN'!$H$58*12,-'Batt IN'!$F$58,0),0)</f>
        <v>0</v>
      </c>
      <c r="AO97" s="10">
        <f>IF(AND('Batt IN'!$D$44="YES",$C97&lt;='Batt IN'!$E$44*12),-'Batt IN'!$E$28*'Batt IN'!$E$42/12,0)</f>
        <v>0</v>
      </c>
      <c r="AP97" s="10">
        <f>IF(AND('Batt IN'!$D$46="YES",$C97&lt;='Batt IN'!$E$46*12),-'Batt IN'!$E$28*'Batt IN'!$E$45/12,0)</f>
        <v>0</v>
      </c>
      <c r="AR97" s="10">
        <f>BattLoan!M124</f>
        <v>0</v>
      </c>
      <c r="AS97" s="10">
        <f>'Batt IN'!$G$16*365/12*'Batt IN'!$E$16</f>
        <v>76.041666666666671</v>
      </c>
      <c r="AT97" s="10">
        <f>IF(AND('Batt IN'!$E$18&gt;0,'Batt IN'!$G$18&gt;0),'Batt IN'!$E$17*'Batt IN'!$G$17,0)</f>
        <v>119.44619999999999</v>
      </c>
      <c r="AU97" s="10">
        <f>IF(AND('Batt IN'!$E$20&gt;0,'Batt IN'!$G$20&gt;0),'Batt IN'!$E$19*'Batt IN'!$G$19,0)</f>
        <v>231</v>
      </c>
      <c r="AV97" s="10"/>
      <c r="AW97" s="10"/>
      <c r="AX97" s="10">
        <f>IF('Batt IN'!$E$11="Non-Taxable",Q97,0)</f>
        <v>11168.08</v>
      </c>
      <c r="AY97" s="10">
        <f>IF('Batt IN'!$E$11="Non-Taxable",'Batt IN'!$E$28/1000*'Batt IN'!$G$13*('Batt IN'!$E$13/12)*'Batt IN'!$E$12,0)</f>
        <v>244.42220833333334</v>
      </c>
      <c r="AZ97" s="10">
        <f>IF('Batt IN'!$E$11="Non-Taxable",$S97*'Batt IN'!$G$15*'Batt IN'!$E$28*'Batt IN'!$E$14/1000,0)</f>
        <v>0</v>
      </c>
      <c r="BA97" s="10">
        <f>IF('Batt IN'!$E$11="Non-Taxable",'Batt IN'!$E$21*'Batt IN'!$G$21/12,0)</f>
        <v>437.5</v>
      </c>
      <c r="BB97" s="10">
        <f>IF('Batt IN'!$E$11="Non-Taxable",'Batt IN'!$E$22*'Batt IN'!$G$22/12,0)</f>
        <v>1145.8333333333335</v>
      </c>
      <c r="BC97" s="10">
        <f>IF('Batt IN'!$E$11="Taxable",Q97,0)</f>
        <v>0</v>
      </c>
      <c r="BD97" s="10">
        <f>IF('Batt IN'!$E$11="Taxable",'Batt IN'!$E$28/1000*'Batt IN'!$G$13*('Batt IN'!$E$13/12)*'Batt IN'!$E$12,0)</f>
        <v>0</v>
      </c>
      <c r="BE97" s="10">
        <f>IF('Batt IN'!$E$11="Taxable",$S97*'Batt IN'!$G$15*'Batt IN'!$E$28*'Batt IN'!$E$14/1000,0)</f>
        <v>0</v>
      </c>
      <c r="BF97" s="10">
        <f>IF('Batt IN'!$E$11="Taxable",'Batt IN'!$E$21*'Batt IN'!$G$21/12,0)</f>
        <v>0</v>
      </c>
      <c r="BG97" s="10">
        <f>IF('Batt IN'!$E$11="Taxable",'Batt IN'!$E$22*'Batt IN'!$G$22/12,0)</f>
        <v>0</v>
      </c>
      <c r="BK97" s="10">
        <f>IF('Batt IN'!$N$18="Yes",-BattLoan!H125,-BattLoan!L125)</f>
        <v>0</v>
      </c>
      <c r="BL97" s="10">
        <f>IF('Batt IN'!$N$18="Yes",-BattLoan!F125,0)</f>
        <v>0</v>
      </c>
      <c r="BM97" s="10">
        <f>IF(AND('Batt IN'!$D$44="YES",$C97&lt;='Batt IN'!$E$44*12),0,-'Batt IN'!$E$28*'Batt IN'!$E$42/12)</f>
        <v>-83.333333333333329</v>
      </c>
      <c r="BN97" s="10">
        <f>IF(AND('Batt IN'!$D$46="YES",$C97&lt;='Batt IN'!$E$46*12),0,-'Batt IN'!$E$28*'Batt IN'!$E$45/12)</f>
        <v>-166.66666666666666</v>
      </c>
      <c r="BO97" s="2">
        <f>IF(AND('Batt IN'!$D$41="YES",BattCalcs!C97=ROUNDUP('Batt IN'!$H$41*12,)),-'Batt IN'!$E$41*'Batt IN'!$E$28,0)</f>
        <v>0</v>
      </c>
      <c r="BP97" s="2">
        <f>IF(AND('Batt IN'!$D$53="Yes",$AL$1&gt;=1),0,IF($C97='Batt IN'!$H$54*12,-'Batt IN'!$F$54,0))</f>
        <v>0</v>
      </c>
      <c r="BQ97" s="2">
        <f>IF(AND('Batt IN'!$D$53="Yes",$AL$1&gt;=2),0,IF($C97='Batt IN'!$H$55*12,-'Batt IN'!$F$55,0))</f>
        <v>0</v>
      </c>
      <c r="BR97" s="2">
        <f>IF(AND('Batt IN'!$D$53="Yes",$AL$1&gt;=3),0,IF($C97='Batt IN'!$H$56*12,-'Batt IN'!$F$56,0))</f>
        <v>0</v>
      </c>
      <c r="BS97" s="2">
        <f>IF(AND('Batt IN'!$D$53="Yes",$AL$1&gt;=4),0,IF($C97='Batt IN'!$H$57*12,-'Batt IN'!$F$57,0))</f>
        <v>0</v>
      </c>
      <c r="BT97" s="2">
        <f>IF(AND('Batt IN'!$D$53="Yes",$AL$1&gt;=5),0,IF($C97='Batt IN'!$H$58*12,-'Batt IN'!$F$58,0))</f>
        <v>0</v>
      </c>
      <c r="BU97" s="2">
        <f>-AH97*PVCalcs!F97</f>
        <v>-350.65886285303105</v>
      </c>
      <c r="BV97" s="2">
        <f>-'Batt IN'!$E$47</f>
        <v>-150</v>
      </c>
      <c r="BW97" s="2">
        <f>-'Batt IN'!$E$49</f>
        <v>-2250</v>
      </c>
      <c r="BX97" s="2">
        <f>IF('Batt IN'!$H$50="No",-(BC97*'Batt IN'!$E$50),-(BC97+BE97)*'Batt IN'!$E$50)</f>
        <v>0</v>
      </c>
      <c r="BY97" s="2">
        <f>IF(C97='Batt IN'!$H$43*12,-'Batt IN'!$E$43,0)</f>
        <v>0</v>
      </c>
      <c r="BZ97" s="38"/>
      <c r="CA97" s="10">
        <f t="shared" si="17"/>
        <v>13422.323408333334</v>
      </c>
      <c r="CB97" s="2">
        <f t="shared" si="21"/>
        <v>-3000.6588628530308</v>
      </c>
      <c r="CC97" s="45">
        <f t="shared" si="22"/>
        <v>10421.664545480304</v>
      </c>
      <c r="CD97" s="43"/>
      <c r="CE97" s="2">
        <f t="shared" si="18"/>
        <v>0</v>
      </c>
      <c r="CF97" s="2">
        <f t="shared" si="23"/>
        <v>-3000.6588628530308</v>
      </c>
      <c r="CG97" s="2"/>
      <c r="CH97" s="2">
        <f t="shared" si="24"/>
        <v>-3000.6588628530308</v>
      </c>
      <c r="CI97" s="45">
        <f>-CH97*'Batt IN'!$E$7</f>
        <v>630.1383611991364</v>
      </c>
      <c r="CJ97" s="48"/>
      <c r="CK97" s="45">
        <f>IF('Batt IN'!$F$4="PV Only",0,IF(C97&gt;'Batt IN'!$H$43*12,0,CC97+CI97))</f>
        <v>0</v>
      </c>
      <c r="CM97" s="10">
        <f t="shared" si="25"/>
        <v>0</v>
      </c>
      <c r="CN97" s="2">
        <f>CK97/(1+('Batt IN'!$G$8))^(C97)</f>
        <v>0</v>
      </c>
      <c r="CO97" s="2">
        <f>IF(C97&lt;='Batt IN'!$O$30*12,CN97+CO96,NA())</f>
        <v>0</v>
      </c>
      <c r="CQ97" s="2">
        <f>CK97/((1+('Batt IN'!$E$8/12))^BattCalcs!C97)</f>
        <v>0</v>
      </c>
      <c r="CS97" s="10">
        <f t="shared" si="26"/>
        <v>-3000.6588628530308</v>
      </c>
      <c r="CT97" s="10">
        <f t="shared" si="27"/>
        <v>0</v>
      </c>
      <c r="CU97" s="10">
        <f t="shared" si="28"/>
        <v>-3000.6588628530308</v>
      </c>
      <c r="CV97" s="10">
        <f t="shared" si="29"/>
        <v>-3000.6588628530308</v>
      </c>
      <c r="CW97" s="2">
        <f t="shared" si="30"/>
        <v>0</v>
      </c>
      <c r="CX97" s="2">
        <f>-(SUM(CV97:CW97)*'PV IN'!$E$8)</f>
        <v>630.1383611991364</v>
      </c>
      <c r="CY97" s="2">
        <f t="shared" si="31"/>
        <v>-2370.5205016538944</v>
      </c>
      <c r="CZ97" s="2">
        <f>IF(C97&lt;='Batt IN'!$H$43*12,CY97/(1+('PV IN'!$G$9))^(C97),0)</f>
        <v>-1624.1519127067554</v>
      </c>
      <c r="DA97" s="33">
        <f>IF(C97&lt;='Batt IN'!$H$43*12,AE97,0)</f>
        <v>30366.783333333333</v>
      </c>
    </row>
    <row r="98" spans="1:105" x14ac:dyDescent="0.25">
      <c r="A98">
        <f>IF(C98&lt;='Batt IN'!$H$43*12,C98,"")</f>
        <v>94</v>
      </c>
      <c r="C98">
        <v>94</v>
      </c>
      <c r="D98" s="21">
        <v>730</v>
      </c>
      <c r="E98" s="1">
        <f>1-'Batt IN'!$E$31</f>
        <v>2.0000000000000018E-2</v>
      </c>
      <c r="F98" s="12">
        <f>('Batt IN'!$E$33*365)/8760</f>
        <v>0</v>
      </c>
      <c r="G98" s="22">
        <f>'Batt IN'!$E$32/8760</f>
        <v>5.7077625570776253E-3</v>
      </c>
      <c r="H98" s="22">
        <f>'Batt IN'!$E$13/8760</f>
        <v>5.5936073059360729E-3</v>
      </c>
      <c r="I98" s="23">
        <f>IF(C98&lt;='Batt IN'!$G$14*12,'Batt IN'!$E$15/8760*'Batt IN'!$G$15,0)</f>
        <v>0</v>
      </c>
      <c r="J98" s="12">
        <f>Z98/'Batt IN'!$E$27/730</f>
        <v>2.4999999999999996E-3</v>
      </c>
      <c r="K98" s="23">
        <f>AA98/'Batt IN'!$E$27/730</f>
        <v>1.6027397260273972E-3</v>
      </c>
      <c r="L98" s="23">
        <f>AB98/'Batt IN'!$E$27/730</f>
        <v>2.0547945205479451E-4</v>
      </c>
      <c r="M98" s="23">
        <f>AC98/'Batt IN'!$E$27/730</f>
        <v>4.7945205479452057E-3</v>
      </c>
      <c r="N98" s="23">
        <f>AD98/'Batt IN'!$E$27/730</f>
        <v>3.4246575342465752E-3</v>
      </c>
      <c r="O98" s="12">
        <f t="shared" si="19"/>
        <v>4.3828767123287697E-2</v>
      </c>
      <c r="P98" s="21">
        <f t="shared" si="20"/>
        <v>698.005</v>
      </c>
      <c r="Q98" s="2">
        <f>IF('Batt IN'!$E$27*'Batt IN'!$E$24&lt;='Batt IN'!$E$28,(('Batt IN'!$E$23*'Batt IN'!$E$27*'Batt IN'!$E$24)/1000)*P98,(('Batt IN'!$E$23*'Batt IN'!$E$28*'Batt IN'!$E$24)/1000)*P98)</f>
        <v>11168.08</v>
      </c>
      <c r="R98" s="2"/>
      <c r="S98" s="77">
        <f>IF(C98&lt;='Batt IN'!$G$14*12,'Batt IN'!$E$15/12,0)</f>
        <v>0</v>
      </c>
      <c r="T98" s="77"/>
      <c r="U98" s="80">
        <f>'Batt IN'!$E$28*('Batt IN'!$G$24/24)*730*(1-O98)</f>
        <v>81433.916666666657</v>
      </c>
      <c r="V98" s="78">
        <f>U98*'Batt IN'!$F$30</f>
        <v>16286.783333333333</v>
      </c>
      <c r="W98" s="78">
        <f>'Batt IN'!$E$28*'Batt IN'!$G$32*('Batt IN'!$E$32/12)*(1+'Batt IN'!$F$30)</f>
        <v>1750.0000000000002</v>
      </c>
      <c r="X98" s="78">
        <f>'Batt IN'!$E$28*'Batt IN'!$G$13*('Batt IN'!$E$13/12)*(1+'Batt IN'!$F$30)</f>
        <v>3184.9999999999995</v>
      </c>
      <c r="Y98" s="33">
        <f>S98*'Batt IN'!$G$15*'Batt IN'!$E$28*(1+'Batt IN'!$F$30)</f>
        <v>0</v>
      </c>
      <c r="Z98" s="33">
        <f>'Batt IN'!$G$16*365/12*(1+'Batt IN'!$F$30)</f>
        <v>1824.9999999999998</v>
      </c>
      <c r="AA98" s="33">
        <f>'Batt IN'!$G$17*'Batt IN'!$E$18*'Batt IN'!$G$18/12*(1+'Batt IN'!$F$30)</f>
        <v>1170</v>
      </c>
      <c r="AB98" s="33">
        <f>'Batt IN'!$G$19*'Batt IN'!$E$20*'Batt IN'!$G$20/12*(1+'Batt IN'!$F$30)</f>
        <v>150</v>
      </c>
      <c r="AC98" s="33">
        <f>'Batt IN'!$G$21*(1+'Batt IN'!$F$30)/12</f>
        <v>3500</v>
      </c>
      <c r="AD98" s="33">
        <f>'Batt IN'!$G$22*(1+'Batt IN'!$F$30)/12</f>
        <v>2500</v>
      </c>
      <c r="AE98" s="33">
        <f t="shared" si="32"/>
        <v>30366.783333333333</v>
      </c>
      <c r="AF98" s="33">
        <f>IF('PV IN'!$F$4="Battery Only",0,AE98*'Batt IN'!$E$29)</f>
        <v>25811.765833333331</v>
      </c>
      <c r="AG98" s="33">
        <f>PVCalcs!L98</f>
        <v>25811.765833333331</v>
      </c>
      <c r="AH98" s="33">
        <f t="shared" si="33"/>
        <v>4555.0175000000017</v>
      </c>
      <c r="AI98" s="33"/>
      <c r="AJ98" s="2">
        <f>IF(AND('Batt IN'!$D$53="Yes",$AL$1&gt;=1),IF($C98='Batt IN'!$H$54*12,-'Batt IN'!$F$54,0),0)</f>
        <v>0</v>
      </c>
      <c r="AK98" s="2">
        <f>IF(AND('Batt IN'!$D$53="Yes",$AL$1&gt;=2),IF($C98='Batt IN'!$H$55*12,-'Batt IN'!$F$55,0),0)</f>
        <v>0</v>
      </c>
      <c r="AL98" s="2">
        <f>IF(AND('Batt IN'!$D$53="Yes",$AL$1&gt;=3),IF($C98='Batt IN'!$H$56*12,-'Batt IN'!$F$56,0),0)</f>
        <v>0</v>
      </c>
      <c r="AM98" s="2">
        <f>IF(AND('Batt IN'!$D$53="Yes",$AL$1&gt;=4),IF($C98='Batt IN'!$H$57*12,-'Batt IN'!$F$57,0),0)</f>
        <v>0</v>
      </c>
      <c r="AN98" s="2">
        <f>IF(AND('Batt IN'!$D$53="Yes",$AL$1&gt;=5),IF($C98='Batt IN'!$H$58*12,-'Batt IN'!$F$58,0),0)</f>
        <v>0</v>
      </c>
      <c r="AO98" s="10">
        <f>IF(AND('Batt IN'!$D$44="YES",$C98&lt;='Batt IN'!$E$44*12),-'Batt IN'!$E$28*'Batt IN'!$E$42/12,0)</f>
        <v>0</v>
      </c>
      <c r="AP98" s="10">
        <f>IF(AND('Batt IN'!$D$46="YES",$C98&lt;='Batt IN'!$E$46*12),-'Batt IN'!$E$28*'Batt IN'!$E$45/12,0)</f>
        <v>0</v>
      </c>
      <c r="AR98" s="10">
        <f>BattLoan!M125</f>
        <v>0</v>
      </c>
      <c r="AS98" s="10">
        <f>'Batt IN'!$G$16*365/12*'Batt IN'!$E$16</f>
        <v>76.041666666666671</v>
      </c>
      <c r="AT98" s="10">
        <f>IF(AND('Batt IN'!$E$18&gt;0,'Batt IN'!$G$18&gt;0),'Batt IN'!$E$17*'Batt IN'!$G$17,0)</f>
        <v>119.44619999999999</v>
      </c>
      <c r="AU98" s="10">
        <f>IF(AND('Batt IN'!$E$20&gt;0,'Batt IN'!$G$20&gt;0),'Batt IN'!$E$19*'Batt IN'!$G$19,0)</f>
        <v>231</v>
      </c>
      <c r="AV98" s="10"/>
      <c r="AW98" s="10"/>
      <c r="AX98" s="10">
        <f>IF('Batt IN'!$E$11="Non-Taxable",Q98,0)</f>
        <v>11168.08</v>
      </c>
      <c r="AY98" s="10">
        <f>IF('Batt IN'!$E$11="Non-Taxable",'Batt IN'!$E$28/1000*'Batt IN'!$G$13*('Batt IN'!$E$13/12)*'Batt IN'!$E$12,0)</f>
        <v>244.42220833333334</v>
      </c>
      <c r="AZ98" s="10">
        <f>IF('Batt IN'!$E$11="Non-Taxable",$S98*'Batt IN'!$G$15*'Batt IN'!$E$28*'Batt IN'!$E$14/1000,0)</f>
        <v>0</v>
      </c>
      <c r="BA98" s="10">
        <f>IF('Batt IN'!$E$11="Non-Taxable",'Batt IN'!$E$21*'Batt IN'!$G$21/12,0)</f>
        <v>437.5</v>
      </c>
      <c r="BB98" s="10">
        <f>IF('Batt IN'!$E$11="Non-Taxable",'Batt IN'!$E$22*'Batt IN'!$G$22/12,0)</f>
        <v>1145.8333333333335</v>
      </c>
      <c r="BC98" s="10">
        <f>IF('Batt IN'!$E$11="Taxable",Q98,0)</f>
        <v>0</v>
      </c>
      <c r="BD98" s="10">
        <f>IF('Batt IN'!$E$11="Taxable",'Batt IN'!$E$28/1000*'Batt IN'!$G$13*('Batt IN'!$E$13/12)*'Batt IN'!$E$12,0)</f>
        <v>0</v>
      </c>
      <c r="BE98" s="10">
        <f>IF('Batt IN'!$E$11="Taxable",$S98*'Batt IN'!$G$15*'Batt IN'!$E$28*'Batt IN'!$E$14/1000,0)</f>
        <v>0</v>
      </c>
      <c r="BF98" s="10">
        <f>IF('Batt IN'!$E$11="Taxable",'Batt IN'!$E$21*'Batt IN'!$G$21/12,0)</f>
        <v>0</v>
      </c>
      <c r="BG98" s="10">
        <f>IF('Batt IN'!$E$11="Taxable",'Batt IN'!$E$22*'Batt IN'!$G$22/12,0)</f>
        <v>0</v>
      </c>
      <c r="BK98" s="10">
        <f>IF('Batt IN'!$N$18="Yes",-BattLoan!H126,-BattLoan!L126)</f>
        <v>0</v>
      </c>
      <c r="BL98" s="10">
        <f>IF('Batt IN'!$N$18="Yes",-BattLoan!F126,0)</f>
        <v>0</v>
      </c>
      <c r="BM98" s="10">
        <f>IF(AND('Batt IN'!$D$44="YES",$C98&lt;='Batt IN'!$E$44*12),0,-'Batt IN'!$E$28*'Batt IN'!$E$42/12)</f>
        <v>-83.333333333333329</v>
      </c>
      <c r="BN98" s="10">
        <f>IF(AND('Batt IN'!$D$46="YES",$C98&lt;='Batt IN'!$E$46*12),0,-'Batt IN'!$E$28*'Batt IN'!$E$45/12)</f>
        <v>-166.66666666666666</v>
      </c>
      <c r="BO98" s="2">
        <f>IF(AND('Batt IN'!$D$41="YES",BattCalcs!C98=ROUNDUP('Batt IN'!$H$41*12,)),-'Batt IN'!$E$41*'Batt IN'!$E$28,0)</f>
        <v>0</v>
      </c>
      <c r="BP98" s="2">
        <f>IF(AND('Batt IN'!$D$53="Yes",$AL$1&gt;=1),0,IF($C98='Batt IN'!$H$54*12,-'Batt IN'!$F$54,0))</f>
        <v>0</v>
      </c>
      <c r="BQ98" s="2">
        <f>IF(AND('Batt IN'!$D$53="Yes",$AL$1&gt;=2),0,IF($C98='Batt IN'!$H$55*12,-'Batt IN'!$F$55,0))</f>
        <v>0</v>
      </c>
      <c r="BR98" s="2">
        <f>IF(AND('Batt IN'!$D$53="Yes",$AL$1&gt;=3),0,IF($C98='Batt IN'!$H$56*12,-'Batt IN'!$F$56,0))</f>
        <v>0</v>
      </c>
      <c r="BS98" s="2">
        <f>IF(AND('Batt IN'!$D$53="Yes",$AL$1&gt;=4),0,IF($C98='Batt IN'!$H$57*12,-'Batt IN'!$F$57,0))</f>
        <v>0</v>
      </c>
      <c r="BT98" s="2">
        <f>IF(AND('Batt IN'!$D$53="Yes",$AL$1&gt;=5),0,IF($C98='Batt IN'!$H$58*12,-'Batt IN'!$F$58,0))</f>
        <v>0</v>
      </c>
      <c r="BU98" s="2">
        <f>-AH98*PVCalcs!F98</f>
        <v>-350.65886285303105</v>
      </c>
      <c r="BV98" s="2">
        <f>-'Batt IN'!$E$47</f>
        <v>-150</v>
      </c>
      <c r="BW98" s="2">
        <f>-'Batt IN'!$E$49</f>
        <v>-2250</v>
      </c>
      <c r="BX98" s="2">
        <f>IF('Batt IN'!$H$50="No",-(BC98*'Batt IN'!$E$50),-(BC98+BE98)*'Batt IN'!$E$50)</f>
        <v>0</v>
      </c>
      <c r="BY98" s="2">
        <f>IF(C98='Batt IN'!$H$43*12,-'Batt IN'!$E$43,0)</f>
        <v>0</v>
      </c>
      <c r="BZ98" s="38"/>
      <c r="CA98" s="10">
        <f t="shared" si="17"/>
        <v>13422.323408333334</v>
      </c>
      <c r="CB98" s="2">
        <f t="shared" si="21"/>
        <v>-3000.6588628530308</v>
      </c>
      <c r="CC98" s="45">
        <f t="shared" si="22"/>
        <v>10421.664545480304</v>
      </c>
      <c r="CD98" s="43"/>
      <c r="CE98" s="2">
        <f t="shared" si="18"/>
        <v>0</v>
      </c>
      <c r="CF98" s="2">
        <f t="shared" si="23"/>
        <v>-3000.6588628530308</v>
      </c>
      <c r="CG98" s="2"/>
      <c r="CH98" s="2">
        <f t="shared" si="24"/>
        <v>-3000.6588628530308</v>
      </c>
      <c r="CI98" s="45">
        <f>-CH98*'Batt IN'!$E$7</f>
        <v>630.1383611991364</v>
      </c>
      <c r="CJ98" s="48"/>
      <c r="CK98" s="45">
        <f>IF('Batt IN'!$F$4="PV Only",0,IF(C98&gt;'Batt IN'!$H$43*12,0,CC98+CI98))</f>
        <v>0</v>
      </c>
      <c r="CM98" s="10">
        <f t="shared" si="25"/>
        <v>0</v>
      </c>
      <c r="CN98" s="2">
        <f>CK98/(1+('Batt IN'!$G$8))^(C98)</f>
        <v>0</v>
      </c>
      <c r="CO98" s="2">
        <f>IF(C98&lt;='Batt IN'!$O$30*12,CN98+CO97,NA())</f>
        <v>0</v>
      </c>
      <c r="CQ98" s="2">
        <f>CK98/((1+('Batt IN'!$E$8/12))^BattCalcs!C98)</f>
        <v>0</v>
      </c>
      <c r="CS98" s="10">
        <f t="shared" si="26"/>
        <v>-3000.6588628530308</v>
      </c>
      <c r="CT98" s="10">
        <f t="shared" si="27"/>
        <v>0</v>
      </c>
      <c r="CU98" s="10">
        <f t="shared" si="28"/>
        <v>-3000.6588628530308</v>
      </c>
      <c r="CV98" s="10">
        <f t="shared" si="29"/>
        <v>-3000.6588628530308</v>
      </c>
      <c r="CW98" s="2">
        <f t="shared" si="30"/>
        <v>0</v>
      </c>
      <c r="CX98" s="2">
        <f>-(SUM(CV98:CW98)*'PV IN'!$E$8)</f>
        <v>630.1383611991364</v>
      </c>
      <c r="CY98" s="2">
        <f t="shared" si="31"/>
        <v>-2370.5205016538944</v>
      </c>
      <c r="CZ98" s="2">
        <f>IF(C98&lt;='Batt IN'!$H$43*12,CY98/(1+('PV IN'!$G$9))^(C98),0)</f>
        <v>-1617.5617658450062</v>
      </c>
      <c r="DA98" s="33">
        <f>IF(C98&lt;='Batt IN'!$H$43*12,AE98,0)</f>
        <v>30366.783333333333</v>
      </c>
    </row>
    <row r="99" spans="1:105" x14ac:dyDescent="0.25">
      <c r="A99">
        <f>IF(C99&lt;='Batt IN'!$H$43*12,C99,"")</f>
        <v>95</v>
      </c>
      <c r="C99">
        <v>95</v>
      </c>
      <c r="D99" s="21">
        <v>730</v>
      </c>
      <c r="E99" s="1">
        <f>1-'Batt IN'!$E$31</f>
        <v>2.0000000000000018E-2</v>
      </c>
      <c r="F99" s="12">
        <f>('Batt IN'!$E$33*365)/8760</f>
        <v>0</v>
      </c>
      <c r="G99" s="22">
        <f>'Batt IN'!$E$32/8760</f>
        <v>5.7077625570776253E-3</v>
      </c>
      <c r="H99" s="22">
        <f>'Batt IN'!$E$13/8760</f>
        <v>5.5936073059360729E-3</v>
      </c>
      <c r="I99" s="23">
        <f>IF(C99&lt;='Batt IN'!$G$14*12,'Batt IN'!$E$15/8760*'Batt IN'!$G$15,0)</f>
        <v>0</v>
      </c>
      <c r="J99" s="12">
        <f>Z99/'Batt IN'!$E$27/730</f>
        <v>2.4999999999999996E-3</v>
      </c>
      <c r="K99" s="23">
        <f>AA99/'Batt IN'!$E$27/730</f>
        <v>1.6027397260273972E-3</v>
      </c>
      <c r="L99" s="23">
        <f>AB99/'Batt IN'!$E$27/730</f>
        <v>2.0547945205479451E-4</v>
      </c>
      <c r="M99" s="23">
        <f>AC99/'Batt IN'!$E$27/730</f>
        <v>4.7945205479452057E-3</v>
      </c>
      <c r="N99" s="23">
        <f>AD99/'Batt IN'!$E$27/730</f>
        <v>3.4246575342465752E-3</v>
      </c>
      <c r="O99" s="12">
        <f t="shared" si="19"/>
        <v>4.3828767123287697E-2</v>
      </c>
      <c r="P99" s="21">
        <f t="shared" si="20"/>
        <v>698.005</v>
      </c>
      <c r="Q99" s="2">
        <f>IF('Batt IN'!$E$27*'Batt IN'!$E$24&lt;='Batt IN'!$E$28,(('Batt IN'!$E$23*'Batt IN'!$E$27*'Batt IN'!$E$24)/1000)*P99,(('Batt IN'!$E$23*'Batt IN'!$E$28*'Batt IN'!$E$24)/1000)*P99)</f>
        <v>11168.08</v>
      </c>
      <c r="R99" s="2"/>
      <c r="S99" s="77">
        <f>IF(C99&lt;='Batt IN'!$G$14*12,'Batt IN'!$E$15/12,0)</f>
        <v>0</v>
      </c>
      <c r="T99" s="77"/>
      <c r="U99" s="80">
        <f>'Batt IN'!$E$28*('Batt IN'!$G$24/24)*730*(1-O99)</f>
        <v>81433.916666666657</v>
      </c>
      <c r="V99" s="78">
        <f>U99*'Batt IN'!$F$30</f>
        <v>16286.783333333333</v>
      </c>
      <c r="W99" s="78">
        <f>'Batt IN'!$E$28*'Batt IN'!$G$32*('Batt IN'!$E$32/12)*(1+'Batt IN'!$F$30)</f>
        <v>1750.0000000000002</v>
      </c>
      <c r="X99" s="78">
        <f>'Batt IN'!$E$28*'Batt IN'!$G$13*('Batt IN'!$E$13/12)*(1+'Batt IN'!$F$30)</f>
        <v>3184.9999999999995</v>
      </c>
      <c r="Y99" s="33">
        <f>S99*'Batt IN'!$G$15*'Batt IN'!$E$28*(1+'Batt IN'!$F$30)</f>
        <v>0</v>
      </c>
      <c r="Z99" s="33">
        <f>'Batt IN'!$G$16*365/12*(1+'Batt IN'!$F$30)</f>
        <v>1824.9999999999998</v>
      </c>
      <c r="AA99" s="33">
        <f>'Batt IN'!$G$17*'Batt IN'!$E$18*'Batt IN'!$G$18/12*(1+'Batt IN'!$F$30)</f>
        <v>1170</v>
      </c>
      <c r="AB99" s="33">
        <f>'Batt IN'!$G$19*'Batt IN'!$E$20*'Batt IN'!$G$20/12*(1+'Batt IN'!$F$30)</f>
        <v>150</v>
      </c>
      <c r="AC99" s="33">
        <f>'Batt IN'!$G$21*(1+'Batt IN'!$F$30)/12</f>
        <v>3500</v>
      </c>
      <c r="AD99" s="33">
        <f>'Batt IN'!$G$22*(1+'Batt IN'!$F$30)/12</f>
        <v>2500</v>
      </c>
      <c r="AE99" s="33">
        <f t="shared" si="32"/>
        <v>30366.783333333333</v>
      </c>
      <c r="AF99" s="33">
        <f>IF('PV IN'!$F$4="Battery Only",0,AE99*'Batt IN'!$E$29)</f>
        <v>25811.765833333331</v>
      </c>
      <c r="AG99" s="33">
        <f>PVCalcs!L99</f>
        <v>25811.765833333331</v>
      </c>
      <c r="AH99" s="33">
        <f t="shared" si="33"/>
        <v>4555.0175000000017</v>
      </c>
      <c r="AI99" s="33"/>
      <c r="AJ99" s="2">
        <f>IF(AND('Batt IN'!$D$53="Yes",$AL$1&gt;=1),IF($C99='Batt IN'!$H$54*12,-'Batt IN'!$F$54,0),0)</f>
        <v>0</v>
      </c>
      <c r="AK99" s="2">
        <f>IF(AND('Batt IN'!$D$53="Yes",$AL$1&gt;=2),IF($C99='Batt IN'!$H$55*12,-'Batt IN'!$F$55,0),0)</f>
        <v>0</v>
      </c>
      <c r="AL99" s="2">
        <f>IF(AND('Batt IN'!$D$53="Yes",$AL$1&gt;=3),IF($C99='Batt IN'!$H$56*12,-'Batt IN'!$F$56,0),0)</f>
        <v>0</v>
      </c>
      <c r="AM99" s="2">
        <f>IF(AND('Batt IN'!$D$53="Yes",$AL$1&gt;=4),IF($C99='Batt IN'!$H$57*12,-'Batt IN'!$F$57,0),0)</f>
        <v>0</v>
      </c>
      <c r="AN99" s="2">
        <f>IF(AND('Batt IN'!$D$53="Yes",$AL$1&gt;=5),IF($C99='Batt IN'!$H$58*12,-'Batt IN'!$F$58,0),0)</f>
        <v>0</v>
      </c>
      <c r="AO99" s="10">
        <f>IF(AND('Batt IN'!$D$44="YES",$C99&lt;='Batt IN'!$E$44*12),-'Batt IN'!$E$28*'Batt IN'!$E$42/12,0)</f>
        <v>0</v>
      </c>
      <c r="AP99" s="10">
        <f>IF(AND('Batt IN'!$D$46="YES",$C99&lt;='Batt IN'!$E$46*12),-'Batt IN'!$E$28*'Batt IN'!$E$45/12,0)</f>
        <v>0</v>
      </c>
      <c r="AR99" s="10">
        <f>BattLoan!M126</f>
        <v>0</v>
      </c>
      <c r="AS99" s="10">
        <f>'Batt IN'!$G$16*365/12*'Batt IN'!$E$16</f>
        <v>76.041666666666671</v>
      </c>
      <c r="AT99" s="10">
        <f>IF(AND('Batt IN'!$E$18&gt;0,'Batt IN'!$G$18&gt;0),'Batt IN'!$E$17*'Batt IN'!$G$17,0)</f>
        <v>119.44619999999999</v>
      </c>
      <c r="AU99" s="10">
        <f>IF(AND('Batt IN'!$E$20&gt;0,'Batt IN'!$G$20&gt;0),'Batt IN'!$E$19*'Batt IN'!$G$19,0)</f>
        <v>231</v>
      </c>
      <c r="AV99" s="10"/>
      <c r="AW99" s="10"/>
      <c r="AX99" s="10">
        <f>IF('Batt IN'!$E$11="Non-Taxable",Q99,0)</f>
        <v>11168.08</v>
      </c>
      <c r="AY99" s="10">
        <f>IF('Batt IN'!$E$11="Non-Taxable",'Batt IN'!$E$28/1000*'Batt IN'!$G$13*('Batt IN'!$E$13/12)*'Batt IN'!$E$12,0)</f>
        <v>244.42220833333334</v>
      </c>
      <c r="AZ99" s="10">
        <f>IF('Batt IN'!$E$11="Non-Taxable",$S99*'Batt IN'!$G$15*'Batt IN'!$E$28*'Batt IN'!$E$14/1000,0)</f>
        <v>0</v>
      </c>
      <c r="BA99" s="10">
        <f>IF('Batt IN'!$E$11="Non-Taxable",'Batt IN'!$E$21*'Batt IN'!$G$21/12,0)</f>
        <v>437.5</v>
      </c>
      <c r="BB99" s="10">
        <f>IF('Batt IN'!$E$11="Non-Taxable",'Batt IN'!$E$22*'Batt IN'!$G$22/12,0)</f>
        <v>1145.8333333333335</v>
      </c>
      <c r="BC99" s="10">
        <f>IF('Batt IN'!$E$11="Taxable",Q99,0)</f>
        <v>0</v>
      </c>
      <c r="BD99" s="10">
        <f>IF('Batt IN'!$E$11="Taxable",'Batt IN'!$E$28/1000*'Batt IN'!$G$13*('Batt IN'!$E$13/12)*'Batt IN'!$E$12,0)</f>
        <v>0</v>
      </c>
      <c r="BE99" s="10">
        <f>IF('Batt IN'!$E$11="Taxable",$S99*'Batt IN'!$G$15*'Batt IN'!$E$28*'Batt IN'!$E$14/1000,0)</f>
        <v>0</v>
      </c>
      <c r="BF99" s="10">
        <f>IF('Batt IN'!$E$11="Taxable",'Batt IN'!$E$21*'Batt IN'!$G$21/12,0)</f>
        <v>0</v>
      </c>
      <c r="BG99" s="10">
        <f>IF('Batt IN'!$E$11="Taxable",'Batt IN'!$E$22*'Batt IN'!$G$22/12,0)</f>
        <v>0</v>
      </c>
      <c r="BK99" s="10">
        <f>IF('Batt IN'!$N$18="Yes",-BattLoan!H127,-BattLoan!L127)</f>
        <v>0</v>
      </c>
      <c r="BL99" s="10">
        <f>IF('Batt IN'!$N$18="Yes",-BattLoan!F127,0)</f>
        <v>0</v>
      </c>
      <c r="BM99" s="10">
        <f>IF(AND('Batt IN'!$D$44="YES",$C99&lt;='Batt IN'!$E$44*12),0,-'Batt IN'!$E$28*'Batt IN'!$E$42/12)</f>
        <v>-83.333333333333329</v>
      </c>
      <c r="BN99" s="10">
        <f>IF(AND('Batt IN'!$D$46="YES",$C99&lt;='Batt IN'!$E$46*12),0,-'Batt IN'!$E$28*'Batt IN'!$E$45/12)</f>
        <v>-166.66666666666666</v>
      </c>
      <c r="BO99" s="2">
        <f>IF(AND('Batt IN'!$D$41="YES",BattCalcs!C99=ROUNDUP('Batt IN'!$H$41*12,)),-'Batt IN'!$E$41*'Batt IN'!$E$28,0)</f>
        <v>0</v>
      </c>
      <c r="BP99" s="2">
        <f>IF(AND('Batt IN'!$D$53="Yes",$AL$1&gt;=1),0,IF($C99='Batt IN'!$H$54*12,-'Batt IN'!$F$54,0))</f>
        <v>0</v>
      </c>
      <c r="BQ99" s="2">
        <f>IF(AND('Batt IN'!$D$53="Yes",$AL$1&gt;=2),0,IF($C99='Batt IN'!$H$55*12,-'Batt IN'!$F$55,0))</f>
        <v>0</v>
      </c>
      <c r="BR99" s="2">
        <f>IF(AND('Batt IN'!$D$53="Yes",$AL$1&gt;=3),0,IF($C99='Batt IN'!$H$56*12,-'Batt IN'!$F$56,0))</f>
        <v>0</v>
      </c>
      <c r="BS99" s="2">
        <f>IF(AND('Batt IN'!$D$53="Yes",$AL$1&gt;=4),0,IF($C99='Batt IN'!$H$57*12,-'Batt IN'!$F$57,0))</f>
        <v>0</v>
      </c>
      <c r="BT99" s="2">
        <f>IF(AND('Batt IN'!$D$53="Yes",$AL$1&gt;=5),0,IF($C99='Batt IN'!$H$58*12,-'Batt IN'!$F$58,0))</f>
        <v>0</v>
      </c>
      <c r="BU99" s="2">
        <f>-AH99*PVCalcs!F99</f>
        <v>-350.65886285303105</v>
      </c>
      <c r="BV99" s="2">
        <f>-'Batt IN'!$E$47</f>
        <v>-150</v>
      </c>
      <c r="BW99" s="2">
        <f>-'Batt IN'!$E$49</f>
        <v>-2250</v>
      </c>
      <c r="BX99" s="2">
        <f>IF('Batt IN'!$H$50="No",-(BC99*'Batt IN'!$E$50),-(BC99+BE99)*'Batt IN'!$E$50)</f>
        <v>0</v>
      </c>
      <c r="BY99" s="2">
        <f>IF(C99='Batt IN'!$H$43*12,-'Batt IN'!$E$43,0)</f>
        <v>0</v>
      </c>
      <c r="BZ99" s="38"/>
      <c r="CA99" s="10">
        <f t="shared" si="17"/>
        <v>13422.323408333334</v>
      </c>
      <c r="CB99" s="2">
        <f t="shared" si="21"/>
        <v>-3000.6588628530308</v>
      </c>
      <c r="CC99" s="45">
        <f t="shared" si="22"/>
        <v>10421.664545480304</v>
      </c>
      <c r="CD99" s="43"/>
      <c r="CE99" s="2">
        <f t="shared" si="18"/>
        <v>0</v>
      </c>
      <c r="CF99" s="2">
        <f t="shared" si="23"/>
        <v>-3000.6588628530308</v>
      </c>
      <c r="CG99" s="2"/>
      <c r="CH99" s="2">
        <f t="shared" si="24"/>
        <v>-3000.6588628530308</v>
      </c>
      <c r="CI99" s="45">
        <f>-CH99*'Batt IN'!$E$7</f>
        <v>630.1383611991364</v>
      </c>
      <c r="CJ99" s="48"/>
      <c r="CK99" s="45">
        <f>IF('Batt IN'!$F$4="PV Only",0,IF(C99&gt;'Batt IN'!$H$43*12,0,CC99+CI99))</f>
        <v>0</v>
      </c>
      <c r="CM99" s="10">
        <f t="shared" si="25"/>
        <v>0</v>
      </c>
      <c r="CN99" s="2">
        <f>CK99/(1+('Batt IN'!$G$8))^(C99)</f>
        <v>0</v>
      </c>
      <c r="CO99" s="2">
        <f>IF(C99&lt;='Batt IN'!$O$30*12,CN99+CO98,NA())</f>
        <v>0</v>
      </c>
      <c r="CQ99" s="2">
        <f>CK99/((1+('Batt IN'!$E$8/12))^BattCalcs!C99)</f>
        <v>0</v>
      </c>
      <c r="CS99" s="10">
        <f t="shared" si="26"/>
        <v>-3000.6588628530308</v>
      </c>
      <c r="CT99" s="10">
        <f t="shared" si="27"/>
        <v>0</v>
      </c>
      <c r="CU99" s="10">
        <f t="shared" si="28"/>
        <v>-3000.6588628530308</v>
      </c>
      <c r="CV99" s="10">
        <f t="shared" si="29"/>
        <v>-3000.6588628530308</v>
      </c>
      <c r="CW99" s="2">
        <f t="shared" si="30"/>
        <v>0</v>
      </c>
      <c r="CX99" s="2">
        <f>-(SUM(CV99:CW99)*'PV IN'!$E$8)</f>
        <v>630.1383611991364</v>
      </c>
      <c r="CY99" s="2">
        <f t="shared" si="31"/>
        <v>-2370.5205016538944</v>
      </c>
      <c r="CZ99" s="2">
        <f>IF(C99&lt;='Batt IN'!$H$43*12,CY99/(1+('PV IN'!$G$9))^(C99),0)</f>
        <v>-1610.9983591147181</v>
      </c>
      <c r="DA99" s="33">
        <f>IF(C99&lt;='Batt IN'!$H$43*12,AE99,0)</f>
        <v>30366.783333333333</v>
      </c>
    </row>
    <row r="100" spans="1:105" x14ac:dyDescent="0.25">
      <c r="A100">
        <f>IF(C100&lt;='Batt IN'!$H$43*12,C100,"")</f>
        <v>96</v>
      </c>
      <c r="B100">
        <v>8</v>
      </c>
      <c r="C100">
        <v>96</v>
      </c>
      <c r="D100" s="21">
        <v>730</v>
      </c>
      <c r="E100" s="1">
        <f>1-'Batt IN'!$E$31</f>
        <v>2.0000000000000018E-2</v>
      </c>
      <c r="F100" s="12">
        <f>('Batt IN'!$E$33*365)/8760</f>
        <v>0</v>
      </c>
      <c r="G100" s="22">
        <f>'Batt IN'!$E$32/8760</f>
        <v>5.7077625570776253E-3</v>
      </c>
      <c r="H100" s="22">
        <f>'Batt IN'!$E$13/8760</f>
        <v>5.5936073059360729E-3</v>
      </c>
      <c r="I100" s="23">
        <f>IF(C100&lt;='Batt IN'!$G$14*12,'Batt IN'!$E$15/8760*'Batt IN'!$G$15,0)</f>
        <v>0</v>
      </c>
      <c r="J100" s="12">
        <f>Z100/'Batt IN'!$E$27/730</f>
        <v>2.4999999999999996E-3</v>
      </c>
      <c r="K100" s="23">
        <f>AA100/'Batt IN'!$E$27/730</f>
        <v>1.6027397260273972E-3</v>
      </c>
      <c r="L100" s="23">
        <f>AB100/'Batt IN'!$E$27/730</f>
        <v>2.0547945205479451E-4</v>
      </c>
      <c r="M100" s="23">
        <f>AC100/'Batt IN'!$E$27/730</f>
        <v>4.7945205479452057E-3</v>
      </c>
      <c r="N100" s="23">
        <f>AD100/'Batt IN'!$E$27/730</f>
        <v>3.4246575342465752E-3</v>
      </c>
      <c r="O100" s="12">
        <f t="shared" si="19"/>
        <v>4.3828767123287697E-2</v>
      </c>
      <c r="P100" s="21">
        <f t="shared" si="20"/>
        <v>698.005</v>
      </c>
      <c r="Q100" s="2">
        <f>IF('Batt IN'!$E$27*'Batt IN'!$E$24&lt;='Batt IN'!$E$28,(('Batt IN'!$E$23*'Batt IN'!$E$27*'Batt IN'!$E$24)/1000)*P100,(('Batt IN'!$E$23*'Batt IN'!$E$28*'Batt IN'!$E$24)/1000)*P100)</f>
        <v>11168.08</v>
      </c>
      <c r="R100" s="2"/>
      <c r="S100" s="77">
        <f>IF(C100&lt;='Batt IN'!$G$14*12,'Batt IN'!$E$15/12,0)</f>
        <v>0</v>
      </c>
      <c r="T100" s="77"/>
      <c r="U100" s="80">
        <f>'Batt IN'!$E$28*('Batt IN'!$G$24/24)*730*(1-O100)</f>
        <v>81433.916666666657</v>
      </c>
      <c r="V100" s="78">
        <f>U100*'Batt IN'!$F$30</f>
        <v>16286.783333333333</v>
      </c>
      <c r="W100" s="78">
        <f>'Batt IN'!$E$28*'Batt IN'!$G$32*('Batt IN'!$E$32/12)*(1+'Batt IN'!$F$30)</f>
        <v>1750.0000000000002</v>
      </c>
      <c r="X100" s="78">
        <f>'Batt IN'!$E$28*'Batt IN'!$G$13*('Batt IN'!$E$13/12)*(1+'Batt IN'!$F$30)</f>
        <v>3184.9999999999995</v>
      </c>
      <c r="Y100" s="33">
        <f>S100*'Batt IN'!$G$15*'Batt IN'!$E$28*(1+'Batt IN'!$F$30)</f>
        <v>0</v>
      </c>
      <c r="Z100" s="33">
        <f>'Batt IN'!$G$16*365/12*(1+'Batt IN'!$F$30)</f>
        <v>1824.9999999999998</v>
      </c>
      <c r="AA100" s="33">
        <f>'Batt IN'!$G$17*'Batt IN'!$E$18*'Batt IN'!$G$18/12*(1+'Batt IN'!$F$30)</f>
        <v>1170</v>
      </c>
      <c r="AB100" s="33">
        <f>'Batt IN'!$G$19*'Batt IN'!$E$20*'Batt IN'!$G$20/12*(1+'Batt IN'!$F$30)</f>
        <v>150</v>
      </c>
      <c r="AC100" s="33">
        <f>'Batt IN'!$G$21*(1+'Batt IN'!$F$30)/12</f>
        <v>3500</v>
      </c>
      <c r="AD100" s="33">
        <f>'Batt IN'!$G$22*(1+'Batt IN'!$F$30)/12</f>
        <v>2500</v>
      </c>
      <c r="AE100" s="33">
        <f t="shared" si="32"/>
        <v>30366.783333333333</v>
      </c>
      <c r="AF100" s="33">
        <f>IF('PV IN'!$F$4="Battery Only",0,AE100*'Batt IN'!$E$29)</f>
        <v>25811.765833333331</v>
      </c>
      <c r="AG100" s="33">
        <f>PVCalcs!L100</f>
        <v>25811.765833333331</v>
      </c>
      <c r="AH100" s="33">
        <f t="shared" si="33"/>
        <v>4555.0175000000017</v>
      </c>
      <c r="AI100" s="33"/>
      <c r="AJ100" s="2">
        <f>IF(AND('Batt IN'!$D$53="Yes",$AL$1&gt;=1),IF($C100='Batt IN'!$H$54*12,-'Batt IN'!$F$54,0),0)</f>
        <v>0</v>
      </c>
      <c r="AK100" s="2">
        <f>IF(AND('Batt IN'!$D$53="Yes",$AL$1&gt;=2),IF($C100='Batt IN'!$H$55*12,-'Batt IN'!$F$55,0),0)</f>
        <v>0</v>
      </c>
      <c r="AL100" s="2">
        <f>IF(AND('Batt IN'!$D$53="Yes",$AL$1&gt;=3),IF($C100='Batt IN'!$H$56*12,-'Batt IN'!$F$56,0),0)</f>
        <v>0</v>
      </c>
      <c r="AM100" s="2">
        <f>IF(AND('Batt IN'!$D$53="Yes",$AL$1&gt;=4),IF($C100='Batt IN'!$H$57*12,-'Batt IN'!$F$57,0),0)</f>
        <v>0</v>
      </c>
      <c r="AN100" s="2">
        <f>IF(AND('Batt IN'!$D$53="Yes",$AL$1&gt;=5),IF($C100='Batt IN'!$H$58*12,-'Batt IN'!$F$58,0),0)</f>
        <v>0</v>
      </c>
      <c r="AO100" s="10">
        <f>IF(AND('Batt IN'!$D$44="YES",$C100&lt;='Batt IN'!$E$44*12),-'Batt IN'!$E$28*'Batt IN'!$E$42/12,0)</f>
        <v>0</v>
      </c>
      <c r="AP100" s="10">
        <f>IF(AND('Batt IN'!$D$46="YES",$C100&lt;='Batt IN'!$E$46*12),-'Batt IN'!$E$28*'Batt IN'!$E$45/12,0)</f>
        <v>0</v>
      </c>
      <c r="AR100" s="10">
        <f>BattLoan!M127</f>
        <v>0</v>
      </c>
      <c r="AS100" s="10">
        <f>'Batt IN'!$G$16*365/12*'Batt IN'!$E$16</f>
        <v>76.041666666666671</v>
      </c>
      <c r="AT100" s="10">
        <f>IF(AND('Batt IN'!$E$18&gt;0,'Batt IN'!$G$18&gt;0),'Batt IN'!$E$17*'Batt IN'!$G$17,0)</f>
        <v>119.44619999999999</v>
      </c>
      <c r="AU100" s="10">
        <f>IF(AND('Batt IN'!$E$20&gt;0,'Batt IN'!$G$20&gt;0),'Batt IN'!$E$19*'Batt IN'!$G$19,0)</f>
        <v>231</v>
      </c>
      <c r="AV100" s="10"/>
      <c r="AW100" s="10"/>
      <c r="AX100" s="10">
        <f>IF('Batt IN'!$E$11="Non-Taxable",Q100,0)</f>
        <v>11168.08</v>
      </c>
      <c r="AY100" s="10">
        <f>IF('Batt IN'!$E$11="Non-Taxable",'Batt IN'!$E$28/1000*'Batt IN'!$G$13*('Batt IN'!$E$13/12)*'Batt IN'!$E$12,0)</f>
        <v>244.42220833333334</v>
      </c>
      <c r="AZ100" s="10">
        <f>IF('Batt IN'!$E$11="Non-Taxable",$S100*'Batt IN'!$G$15*'Batt IN'!$E$28*'Batt IN'!$E$14/1000,0)</f>
        <v>0</v>
      </c>
      <c r="BA100" s="10">
        <f>IF('Batt IN'!$E$11="Non-Taxable",'Batt IN'!$E$21*'Batt IN'!$G$21/12,0)</f>
        <v>437.5</v>
      </c>
      <c r="BB100" s="10">
        <f>IF('Batt IN'!$E$11="Non-Taxable",'Batt IN'!$E$22*'Batt IN'!$G$22/12,0)</f>
        <v>1145.8333333333335</v>
      </c>
      <c r="BC100" s="10">
        <f>IF('Batt IN'!$E$11="Taxable",Q100,0)</f>
        <v>0</v>
      </c>
      <c r="BD100" s="10">
        <f>IF('Batt IN'!$E$11="Taxable",'Batt IN'!$E$28/1000*'Batt IN'!$G$13*('Batt IN'!$E$13/12)*'Batt IN'!$E$12,0)</f>
        <v>0</v>
      </c>
      <c r="BE100" s="10">
        <f>IF('Batt IN'!$E$11="Taxable",$S100*'Batt IN'!$G$15*'Batt IN'!$E$28*'Batt IN'!$E$14/1000,0)</f>
        <v>0</v>
      </c>
      <c r="BF100" s="10">
        <f>IF('Batt IN'!$E$11="Taxable",'Batt IN'!$E$21*'Batt IN'!$G$21/12,0)</f>
        <v>0</v>
      </c>
      <c r="BG100" s="10">
        <f>IF('Batt IN'!$E$11="Taxable",'Batt IN'!$E$22*'Batt IN'!$G$22/12,0)</f>
        <v>0</v>
      </c>
      <c r="BK100" s="10">
        <f>IF('Batt IN'!$N$18="Yes",-BattLoan!H128,-BattLoan!L128)</f>
        <v>0</v>
      </c>
      <c r="BL100" s="10">
        <f>IF('Batt IN'!$N$18="Yes",-BattLoan!F128,0)</f>
        <v>0</v>
      </c>
      <c r="BM100" s="10">
        <f>IF(AND('Batt IN'!$D$44="YES",$C100&lt;='Batt IN'!$E$44*12),0,-'Batt IN'!$E$28*'Batt IN'!$E$42/12)</f>
        <v>-83.333333333333329</v>
      </c>
      <c r="BN100" s="10">
        <f>IF(AND('Batt IN'!$D$46="YES",$C100&lt;='Batt IN'!$E$46*12),0,-'Batt IN'!$E$28*'Batt IN'!$E$45/12)</f>
        <v>-166.66666666666666</v>
      </c>
      <c r="BO100" s="2">
        <f>IF(AND('Batt IN'!$D$41="YES",BattCalcs!C100=ROUNDUP('Batt IN'!$H$41*12,)),-'Batt IN'!$E$41*'Batt IN'!$E$28,0)</f>
        <v>0</v>
      </c>
      <c r="BP100" s="2">
        <f>IF(AND('Batt IN'!$D$53="Yes",$AL$1&gt;=1),0,IF($C100='Batt IN'!$H$54*12,-'Batt IN'!$F$54,0))</f>
        <v>0</v>
      </c>
      <c r="BQ100" s="2">
        <f>IF(AND('Batt IN'!$D$53="Yes",$AL$1&gt;=2),0,IF($C100='Batt IN'!$H$55*12,-'Batt IN'!$F$55,0))</f>
        <v>0</v>
      </c>
      <c r="BR100" s="2">
        <f>IF(AND('Batt IN'!$D$53="Yes",$AL$1&gt;=3),0,IF($C100='Batt IN'!$H$56*12,-'Batt IN'!$F$56,0))</f>
        <v>0</v>
      </c>
      <c r="BS100" s="2">
        <f>IF(AND('Batt IN'!$D$53="Yes",$AL$1&gt;=4),0,IF($C100='Batt IN'!$H$57*12,-'Batt IN'!$F$57,0))</f>
        <v>0</v>
      </c>
      <c r="BT100" s="2">
        <f>IF(AND('Batt IN'!$D$53="Yes",$AL$1&gt;=5),0,IF($C100='Batt IN'!$H$58*12,-'Batt IN'!$F$58,0))</f>
        <v>0</v>
      </c>
      <c r="BU100" s="2">
        <f>-AH100*PVCalcs!F100</f>
        <v>-350.65886285303105</v>
      </c>
      <c r="BV100" s="2">
        <f>-'Batt IN'!$E$47</f>
        <v>-150</v>
      </c>
      <c r="BW100" s="2">
        <f>-'Batt IN'!$E$49</f>
        <v>-2250</v>
      </c>
      <c r="BX100" s="2">
        <f>IF('Batt IN'!$H$50="No",-(BC100*'Batt IN'!$E$50),-(BC100+BE100)*'Batt IN'!$E$50)</f>
        <v>0</v>
      </c>
      <c r="BY100" s="2">
        <f>IF(C100='Batt IN'!$H$43*12,-'Batt IN'!$E$43,0)</f>
        <v>0</v>
      </c>
      <c r="BZ100" s="38"/>
      <c r="CA100" s="10">
        <f t="shared" si="17"/>
        <v>13422.323408333334</v>
      </c>
      <c r="CB100" s="2">
        <f t="shared" si="21"/>
        <v>-3000.6588628530308</v>
      </c>
      <c r="CC100" s="45">
        <f t="shared" si="22"/>
        <v>10421.664545480304</v>
      </c>
      <c r="CD100" s="43"/>
      <c r="CE100" s="2">
        <f t="shared" si="18"/>
        <v>0</v>
      </c>
      <c r="CF100" s="2">
        <f t="shared" si="23"/>
        <v>-3000.6588628530308</v>
      </c>
      <c r="CG100" s="2"/>
      <c r="CH100" s="2">
        <f t="shared" si="24"/>
        <v>-3000.6588628530308</v>
      </c>
      <c r="CI100" s="45">
        <f>-CH100*'Batt IN'!$E$7</f>
        <v>630.1383611991364</v>
      </c>
      <c r="CJ100" s="48"/>
      <c r="CK100" s="45">
        <f>IF('Batt IN'!$F$4="PV Only",0,IF(C100&gt;'Batt IN'!$H$43*12,0,CC100+CI100))</f>
        <v>0</v>
      </c>
      <c r="CM100" s="10">
        <f t="shared" si="25"/>
        <v>0</v>
      </c>
      <c r="CN100" s="2">
        <f>CK100/(1+('Batt IN'!$G$8))^(C100)</f>
        <v>0</v>
      </c>
      <c r="CO100" s="2">
        <f>IF(C100&lt;='Batt IN'!$O$30*12,CN100+CO99,NA())</f>
        <v>0</v>
      </c>
      <c r="CQ100" s="2">
        <f>CK100/((1+('Batt IN'!$E$8/12))^BattCalcs!C100)</f>
        <v>0</v>
      </c>
      <c r="CS100" s="10">
        <f t="shared" si="26"/>
        <v>-3000.6588628530308</v>
      </c>
      <c r="CT100" s="10">
        <f t="shared" si="27"/>
        <v>0</v>
      </c>
      <c r="CU100" s="10">
        <f t="shared" si="28"/>
        <v>-3000.6588628530308</v>
      </c>
      <c r="CV100" s="10">
        <f t="shared" si="29"/>
        <v>-3000.6588628530308</v>
      </c>
      <c r="CW100" s="2">
        <f t="shared" si="30"/>
        <v>0</v>
      </c>
      <c r="CX100" s="2">
        <f>-(SUM(CV100:CW100)*'PV IN'!$E$8)</f>
        <v>630.1383611991364</v>
      </c>
      <c r="CY100" s="2">
        <f t="shared" si="31"/>
        <v>-2370.5205016538944</v>
      </c>
      <c r="CZ100" s="2">
        <f>IF(C100&lt;='Batt IN'!$H$43*12,CY100/(1+('PV IN'!$G$9))^(C100),0)</f>
        <v>-1604.461584015331</v>
      </c>
      <c r="DA100" s="33">
        <f>IF(C100&lt;='Batt IN'!$H$43*12,AE100,0)</f>
        <v>30366.783333333333</v>
      </c>
    </row>
    <row r="101" spans="1:105" x14ac:dyDescent="0.25">
      <c r="A101">
        <f>IF(C101&lt;='Batt IN'!$H$43*12,C101,"")</f>
        <v>97</v>
      </c>
      <c r="C101">
        <v>97</v>
      </c>
      <c r="D101" s="21">
        <v>730</v>
      </c>
      <c r="E101" s="1">
        <f>1-'Batt IN'!$E$31</f>
        <v>2.0000000000000018E-2</v>
      </c>
      <c r="F101" s="12">
        <f>('Batt IN'!$E$33*365)/8760</f>
        <v>0</v>
      </c>
      <c r="G101" s="22">
        <f>'Batt IN'!$E$32/8760</f>
        <v>5.7077625570776253E-3</v>
      </c>
      <c r="H101" s="22">
        <f>'Batt IN'!$E$13/8760</f>
        <v>5.5936073059360729E-3</v>
      </c>
      <c r="I101" s="23">
        <f>IF(C101&lt;='Batt IN'!$G$14*12,'Batt IN'!$E$15/8760*'Batt IN'!$G$15,0)</f>
        <v>0</v>
      </c>
      <c r="J101" s="12">
        <f>Z101/'Batt IN'!$E$27/730</f>
        <v>2.4999999999999996E-3</v>
      </c>
      <c r="K101" s="23">
        <f>AA101/'Batt IN'!$E$27/730</f>
        <v>1.6027397260273972E-3</v>
      </c>
      <c r="L101" s="23">
        <f>AB101/'Batt IN'!$E$27/730</f>
        <v>2.0547945205479451E-4</v>
      </c>
      <c r="M101" s="23">
        <f>AC101/'Batt IN'!$E$27/730</f>
        <v>4.7945205479452057E-3</v>
      </c>
      <c r="N101" s="23">
        <f>AD101/'Batt IN'!$E$27/730</f>
        <v>3.4246575342465752E-3</v>
      </c>
      <c r="O101" s="12">
        <f t="shared" si="19"/>
        <v>4.3828767123287697E-2</v>
      </c>
      <c r="P101" s="21">
        <f t="shared" si="20"/>
        <v>698.005</v>
      </c>
      <c r="Q101" s="2">
        <f>IF('Batt IN'!$E$27*'Batt IN'!$E$24&lt;='Batt IN'!$E$28,(('Batt IN'!$E$23*'Batt IN'!$E$27*'Batt IN'!$E$24)/1000)*P101,(('Batt IN'!$E$23*'Batt IN'!$E$28*'Batt IN'!$E$24)/1000)*P101)</f>
        <v>11168.08</v>
      </c>
      <c r="R101" s="2"/>
      <c r="S101" s="77">
        <f>IF(C101&lt;='Batt IN'!$G$14*12,'Batt IN'!$E$15/12,0)</f>
        <v>0</v>
      </c>
      <c r="T101" s="77"/>
      <c r="U101" s="80">
        <f>'Batt IN'!$E$28*('Batt IN'!$G$24/24)*730*(1-O101)</f>
        <v>81433.916666666657</v>
      </c>
      <c r="V101" s="78">
        <f>U101*'Batt IN'!$F$30</f>
        <v>16286.783333333333</v>
      </c>
      <c r="W101" s="78">
        <f>'Batt IN'!$E$28*'Batt IN'!$G$32*('Batt IN'!$E$32/12)*(1+'Batt IN'!$F$30)</f>
        <v>1750.0000000000002</v>
      </c>
      <c r="X101" s="78">
        <f>'Batt IN'!$E$28*'Batt IN'!$G$13*('Batt IN'!$E$13/12)*(1+'Batt IN'!$F$30)</f>
        <v>3184.9999999999995</v>
      </c>
      <c r="Y101" s="33">
        <f>S101*'Batt IN'!$G$15*'Batt IN'!$E$28*(1+'Batt IN'!$F$30)</f>
        <v>0</v>
      </c>
      <c r="Z101" s="33">
        <f>'Batt IN'!$G$16*365/12*(1+'Batt IN'!$F$30)</f>
        <v>1824.9999999999998</v>
      </c>
      <c r="AA101" s="33">
        <f>'Batt IN'!$G$17*'Batt IN'!$E$18*'Batt IN'!$G$18/12*(1+'Batt IN'!$F$30)</f>
        <v>1170</v>
      </c>
      <c r="AB101" s="33">
        <f>'Batt IN'!$G$19*'Batt IN'!$E$20*'Batt IN'!$G$20/12*(1+'Batt IN'!$F$30)</f>
        <v>150</v>
      </c>
      <c r="AC101" s="33">
        <f>'Batt IN'!$G$21*(1+'Batt IN'!$F$30)/12</f>
        <v>3500</v>
      </c>
      <c r="AD101" s="33">
        <f>'Batt IN'!$G$22*(1+'Batt IN'!$F$30)/12</f>
        <v>2500</v>
      </c>
      <c r="AE101" s="33">
        <f t="shared" si="32"/>
        <v>30366.783333333333</v>
      </c>
      <c r="AF101" s="33">
        <f>IF('PV IN'!$F$4="Battery Only",0,AE101*'Batt IN'!$E$29)</f>
        <v>25811.765833333331</v>
      </c>
      <c r="AG101" s="33">
        <f>PVCalcs!L101</f>
        <v>25811.765833333331</v>
      </c>
      <c r="AH101" s="33">
        <f t="shared" si="33"/>
        <v>4555.0175000000017</v>
      </c>
      <c r="AI101" s="33"/>
      <c r="AJ101" s="2">
        <f>IF(AND('Batt IN'!$D$53="Yes",$AL$1&gt;=1),IF($C101='Batt IN'!$H$54*12,-'Batt IN'!$F$54,0),0)</f>
        <v>0</v>
      </c>
      <c r="AK101" s="2">
        <f>IF(AND('Batt IN'!$D$53="Yes",$AL$1&gt;=2),IF($C101='Batt IN'!$H$55*12,-'Batt IN'!$F$55,0),0)</f>
        <v>0</v>
      </c>
      <c r="AL101" s="2">
        <f>IF(AND('Batt IN'!$D$53="Yes",$AL$1&gt;=3),IF($C101='Batt IN'!$H$56*12,-'Batt IN'!$F$56,0),0)</f>
        <v>0</v>
      </c>
      <c r="AM101" s="2">
        <f>IF(AND('Batt IN'!$D$53="Yes",$AL$1&gt;=4),IF($C101='Batt IN'!$H$57*12,-'Batt IN'!$F$57,0),0)</f>
        <v>0</v>
      </c>
      <c r="AN101" s="2">
        <f>IF(AND('Batt IN'!$D$53="Yes",$AL$1&gt;=5),IF($C101='Batt IN'!$H$58*12,-'Batt IN'!$F$58,0),0)</f>
        <v>0</v>
      </c>
      <c r="AO101" s="10">
        <f>IF(AND('Batt IN'!$D$44="YES",$C101&lt;='Batt IN'!$E$44*12),-'Batt IN'!$E$28*'Batt IN'!$E$42/12,0)</f>
        <v>0</v>
      </c>
      <c r="AP101" s="10">
        <f>IF(AND('Batt IN'!$D$46="YES",$C101&lt;='Batt IN'!$E$46*12),-'Batt IN'!$E$28*'Batt IN'!$E$45/12,0)</f>
        <v>0</v>
      </c>
      <c r="AR101" s="10">
        <f>BattLoan!M128</f>
        <v>0</v>
      </c>
      <c r="AS101" s="10">
        <f>'Batt IN'!$G$16*365/12*'Batt IN'!$E$16</f>
        <v>76.041666666666671</v>
      </c>
      <c r="AT101" s="10">
        <f>IF(AND('Batt IN'!$E$18&gt;0,'Batt IN'!$G$18&gt;0),'Batt IN'!$E$17*'Batt IN'!$G$17,0)</f>
        <v>119.44619999999999</v>
      </c>
      <c r="AU101" s="10">
        <f>IF(AND('Batt IN'!$E$20&gt;0,'Batt IN'!$G$20&gt;0),'Batt IN'!$E$19*'Batt IN'!$G$19,0)</f>
        <v>231</v>
      </c>
      <c r="AV101" s="10"/>
      <c r="AW101" s="10"/>
      <c r="AX101" s="10">
        <f>IF('Batt IN'!$E$11="Non-Taxable",Q101,0)</f>
        <v>11168.08</v>
      </c>
      <c r="AY101" s="10">
        <f>IF('Batt IN'!$E$11="Non-Taxable",'Batt IN'!$E$28/1000*'Batt IN'!$G$13*('Batt IN'!$E$13/12)*'Batt IN'!$E$12,0)</f>
        <v>244.42220833333334</v>
      </c>
      <c r="AZ101" s="10">
        <f>IF('Batt IN'!$E$11="Non-Taxable",$S101*'Batt IN'!$G$15*'Batt IN'!$E$28*'Batt IN'!$E$14/1000,0)</f>
        <v>0</v>
      </c>
      <c r="BA101" s="10">
        <f>IF('Batt IN'!$E$11="Non-Taxable",'Batt IN'!$E$21*'Batt IN'!$G$21/12,0)</f>
        <v>437.5</v>
      </c>
      <c r="BB101" s="10">
        <f>IF('Batt IN'!$E$11="Non-Taxable",'Batt IN'!$E$22*'Batt IN'!$G$22/12,0)</f>
        <v>1145.8333333333335</v>
      </c>
      <c r="BC101" s="10">
        <f>IF('Batt IN'!$E$11="Taxable",Q101,0)</f>
        <v>0</v>
      </c>
      <c r="BD101" s="10">
        <f>IF('Batt IN'!$E$11="Taxable",'Batt IN'!$E$28/1000*'Batt IN'!$G$13*('Batt IN'!$E$13/12)*'Batt IN'!$E$12,0)</f>
        <v>0</v>
      </c>
      <c r="BE101" s="10">
        <f>IF('Batt IN'!$E$11="Taxable",$S101*'Batt IN'!$G$15*'Batt IN'!$E$28*'Batt IN'!$E$14/1000,0)</f>
        <v>0</v>
      </c>
      <c r="BF101" s="10">
        <f>IF('Batt IN'!$E$11="Taxable",'Batt IN'!$E$21*'Batt IN'!$G$21/12,0)</f>
        <v>0</v>
      </c>
      <c r="BG101" s="10">
        <f>IF('Batt IN'!$E$11="Taxable",'Batt IN'!$E$22*'Batt IN'!$G$22/12,0)</f>
        <v>0</v>
      </c>
      <c r="BK101" s="10">
        <f>IF('Batt IN'!$N$18="Yes",-BattLoan!H129,-BattLoan!L129)</f>
        <v>0</v>
      </c>
      <c r="BL101" s="10">
        <f>IF('Batt IN'!$N$18="Yes",-BattLoan!F129,0)</f>
        <v>0</v>
      </c>
      <c r="BM101" s="10">
        <f>IF(AND('Batt IN'!$D$44="YES",$C101&lt;='Batt IN'!$E$44*12),0,-'Batt IN'!$E$28*'Batt IN'!$E$42/12)</f>
        <v>-83.333333333333329</v>
      </c>
      <c r="BN101" s="10">
        <f>IF(AND('Batt IN'!$D$46="YES",$C101&lt;='Batt IN'!$E$46*12),0,-'Batt IN'!$E$28*'Batt IN'!$E$45/12)</f>
        <v>-166.66666666666666</v>
      </c>
      <c r="BO101" s="2">
        <f>IF(AND('Batt IN'!$D$41="YES",BattCalcs!C101=ROUNDUP('Batt IN'!$H$41*12,)),-'Batt IN'!$E$41*'Batt IN'!$E$28,0)</f>
        <v>0</v>
      </c>
      <c r="BP101" s="2">
        <f>IF(AND('Batt IN'!$D$53="Yes",$AL$1&gt;=1),0,IF($C101='Batt IN'!$H$54*12,-'Batt IN'!$F$54,0))</f>
        <v>0</v>
      </c>
      <c r="BQ101" s="2">
        <f>IF(AND('Batt IN'!$D$53="Yes",$AL$1&gt;=2),0,IF($C101='Batt IN'!$H$55*12,-'Batt IN'!$F$55,0))</f>
        <v>0</v>
      </c>
      <c r="BR101" s="2">
        <f>IF(AND('Batt IN'!$D$53="Yes",$AL$1&gt;=3),0,IF($C101='Batt IN'!$H$56*12,-'Batt IN'!$F$56,0))</f>
        <v>0</v>
      </c>
      <c r="BS101" s="2">
        <f>IF(AND('Batt IN'!$D$53="Yes",$AL$1&gt;=4),0,IF($C101='Batt IN'!$H$57*12,-'Batt IN'!$F$57,0))</f>
        <v>0</v>
      </c>
      <c r="BT101" s="2">
        <f>IF(AND('Batt IN'!$D$53="Yes",$AL$1&gt;=5),0,IF($C101='Batt IN'!$H$58*12,-'Batt IN'!$F$58,0))</f>
        <v>0</v>
      </c>
      <c r="BU101" s="2">
        <f>-AH101*PVCalcs!F101</f>
        <v>-361.9020255125464</v>
      </c>
      <c r="BV101" s="2">
        <f>-'Batt IN'!$E$47</f>
        <v>-150</v>
      </c>
      <c r="BW101" s="2">
        <f>-'Batt IN'!$E$49</f>
        <v>-2250</v>
      </c>
      <c r="BX101" s="2">
        <f>IF('Batt IN'!$H$50="No",-(BC101*'Batt IN'!$E$50),-(BC101+BE101)*'Batt IN'!$E$50)</f>
        <v>0</v>
      </c>
      <c r="BY101" s="2">
        <f>IF(C101='Batt IN'!$H$43*12,-'Batt IN'!$E$43,0)</f>
        <v>0</v>
      </c>
      <c r="BZ101" s="38"/>
      <c r="CA101" s="10">
        <f t="shared" si="17"/>
        <v>13422.323408333334</v>
      </c>
      <c r="CB101" s="2">
        <f t="shared" si="21"/>
        <v>-3011.9020255125465</v>
      </c>
      <c r="CC101" s="45">
        <f t="shared" si="22"/>
        <v>10410.421382820787</v>
      </c>
      <c r="CD101" s="43"/>
      <c r="CE101" s="2">
        <f t="shared" si="18"/>
        <v>0</v>
      </c>
      <c r="CF101" s="2">
        <f t="shared" si="23"/>
        <v>-3011.9020255125465</v>
      </c>
      <c r="CG101" s="2"/>
      <c r="CH101" s="2">
        <f t="shared" si="24"/>
        <v>-3011.9020255125465</v>
      </c>
      <c r="CI101" s="45">
        <f>-CH101*'Batt IN'!$E$7</f>
        <v>632.49942535763478</v>
      </c>
      <c r="CJ101" s="48"/>
      <c r="CK101" s="45">
        <f>IF('Batt IN'!$F$4="PV Only",0,IF(C101&gt;'Batt IN'!$H$43*12,0,CC101+CI101))</f>
        <v>0</v>
      </c>
      <c r="CM101" s="10">
        <f t="shared" si="25"/>
        <v>0</v>
      </c>
      <c r="CN101" s="2">
        <f>CK101/(1+('Batt IN'!$G$8))^(C101)</f>
        <v>0</v>
      </c>
      <c r="CO101" s="2">
        <f>IF(C101&lt;='Batt IN'!$O$30*12,CN101+CO100,NA())</f>
        <v>0</v>
      </c>
      <c r="CQ101" s="2">
        <f>CK101/((1+('Batt IN'!$E$8/12))^BattCalcs!C101)</f>
        <v>0</v>
      </c>
      <c r="CS101" s="10">
        <f t="shared" si="26"/>
        <v>-3011.9020255125465</v>
      </c>
      <c r="CT101" s="10">
        <f t="shared" si="27"/>
        <v>0</v>
      </c>
      <c r="CU101" s="10">
        <f t="shared" si="28"/>
        <v>-3011.9020255125465</v>
      </c>
      <c r="CV101" s="10">
        <f t="shared" si="29"/>
        <v>-3011.9020255125465</v>
      </c>
      <c r="CW101" s="2">
        <f t="shared" si="30"/>
        <v>0</v>
      </c>
      <c r="CX101" s="2">
        <f>-(SUM(CV101:CW101)*'PV IN'!$E$8)</f>
        <v>632.49942535763478</v>
      </c>
      <c r="CY101" s="2">
        <f t="shared" si="31"/>
        <v>-2379.4026001549119</v>
      </c>
      <c r="CZ101" s="2">
        <f>IF(C101&lt;='Batt IN'!$H$43*12,CY101/(1+('PV IN'!$G$9))^(C101),0)</f>
        <v>-1603.9386931210772</v>
      </c>
      <c r="DA101" s="33">
        <f>IF(C101&lt;='Batt IN'!$H$43*12,AE101,0)</f>
        <v>30366.783333333333</v>
      </c>
    </row>
    <row r="102" spans="1:105" x14ac:dyDescent="0.25">
      <c r="A102">
        <f>IF(C102&lt;='Batt IN'!$H$43*12,C102,"")</f>
        <v>98</v>
      </c>
      <c r="C102">
        <v>98</v>
      </c>
      <c r="D102" s="21">
        <v>730</v>
      </c>
      <c r="E102" s="1">
        <f>1-'Batt IN'!$E$31</f>
        <v>2.0000000000000018E-2</v>
      </c>
      <c r="F102" s="12">
        <f>('Batt IN'!$E$33*365)/8760</f>
        <v>0</v>
      </c>
      <c r="G102" s="22">
        <f>'Batt IN'!$E$32/8760</f>
        <v>5.7077625570776253E-3</v>
      </c>
      <c r="H102" s="22">
        <f>'Batt IN'!$E$13/8760</f>
        <v>5.5936073059360729E-3</v>
      </c>
      <c r="I102" s="23">
        <f>IF(C102&lt;='Batt IN'!$G$14*12,'Batt IN'!$E$15/8760*'Batt IN'!$G$15,0)</f>
        <v>0</v>
      </c>
      <c r="J102" s="12">
        <f>Z102/'Batt IN'!$E$27/730</f>
        <v>2.4999999999999996E-3</v>
      </c>
      <c r="K102" s="23">
        <f>AA102/'Batt IN'!$E$27/730</f>
        <v>1.6027397260273972E-3</v>
      </c>
      <c r="L102" s="23">
        <f>AB102/'Batt IN'!$E$27/730</f>
        <v>2.0547945205479451E-4</v>
      </c>
      <c r="M102" s="23">
        <f>AC102/'Batt IN'!$E$27/730</f>
        <v>4.7945205479452057E-3</v>
      </c>
      <c r="N102" s="23">
        <f>AD102/'Batt IN'!$E$27/730</f>
        <v>3.4246575342465752E-3</v>
      </c>
      <c r="O102" s="12">
        <f t="shared" si="19"/>
        <v>4.3828767123287697E-2</v>
      </c>
      <c r="P102" s="21">
        <f t="shared" si="20"/>
        <v>698.005</v>
      </c>
      <c r="Q102" s="2">
        <f>IF('Batt IN'!$E$27*'Batt IN'!$E$24&lt;='Batt IN'!$E$28,(('Batt IN'!$E$23*'Batt IN'!$E$27*'Batt IN'!$E$24)/1000)*P102,(('Batt IN'!$E$23*'Batt IN'!$E$28*'Batt IN'!$E$24)/1000)*P102)</f>
        <v>11168.08</v>
      </c>
      <c r="R102" s="2"/>
      <c r="S102" s="77">
        <f>IF(C102&lt;='Batt IN'!$G$14*12,'Batt IN'!$E$15/12,0)</f>
        <v>0</v>
      </c>
      <c r="T102" s="77"/>
      <c r="U102" s="80">
        <f>'Batt IN'!$E$28*('Batt IN'!$G$24/24)*730*(1-O102)</f>
        <v>81433.916666666657</v>
      </c>
      <c r="V102" s="78">
        <f>U102*'Batt IN'!$F$30</f>
        <v>16286.783333333333</v>
      </c>
      <c r="W102" s="78">
        <f>'Batt IN'!$E$28*'Batt IN'!$G$32*('Batt IN'!$E$32/12)*(1+'Batt IN'!$F$30)</f>
        <v>1750.0000000000002</v>
      </c>
      <c r="X102" s="78">
        <f>'Batt IN'!$E$28*'Batt IN'!$G$13*('Batt IN'!$E$13/12)*(1+'Batt IN'!$F$30)</f>
        <v>3184.9999999999995</v>
      </c>
      <c r="Y102" s="33">
        <f>S102*'Batt IN'!$G$15*'Batt IN'!$E$28*(1+'Batt IN'!$F$30)</f>
        <v>0</v>
      </c>
      <c r="Z102" s="33">
        <f>'Batt IN'!$G$16*365/12*(1+'Batt IN'!$F$30)</f>
        <v>1824.9999999999998</v>
      </c>
      <c r="AA102" s="33">
        <f>'Batt IN'!$G$17*'Batt IN'!$E$18*'Batt IN'!$G$18/12*(1+'Batt IN'!$F$30)</f>
        <v>1170</v>
      </c>
      <c r="AB102" s="33">
        <f>'Batt IN'!$G$19*'Batt IN'!$E$20*'Batt IN'!$G$20/12*(1+'Batt IN'!$F$30)</f>
        <v>150</v>
      </c>
      <c r="AC102" s="33">
        <f>'Batt IN'!$G$21*(1+'Batt IN'!$F$30)/12</f>
        <v>3500</v>
      </c>
      <c r="AD102" s="33">
        <f>'Batt IN'!$G$22*(1+'Batt IN'!$F$30)/12</f>
        <v>2500</v>
      </c>
      <c r="AE102" s="33">
        <f t="shared" si="32"/>
        <v>30366.783333333333</v>
      </c>
      <c r="AF102" s="33">
        <f>IF('PV IN'!$F$4="Battery Only",0,AE102*'Batt IN'!$E$29)</f>
        <v>25811.765833333331</v>
      </c>
      <c r="AG102" s="33">
        <f>PVCalcs!L102</f>
        <v>25811.765833333331</v>
      </c>
      <c r="AH102" s="33">
        <f t="shared" si="33"/>
        <v>4555.0175000000017</v>
      </c>
      <c r="AI102" s="33"/>
      <c r="AJ102" s="2">
        <f>IF(AND('Batt IN'!$D$53="Yes",$AL$1&gt;=1),IF($C102='Batt IN'!$H$54*12,-'Batt IN'!$F$54,0),0)</f>
        <v>0</v>
      </c>
      <c r="AK102" s="2">
        <f>IF(AND('Batt IN'!$D$53="Yes",$AL$1&gt;=2),IF($C102='Batt IN'!$H$55*12,-'Batt IN'!$F$55,0),0)</f>
        <v>0</v>
      </c>
      <c r="AL102" s="2">
        <f>IF(AND('Batt IN'!$D$53="Yes",$AL$1&gt;=3),IF($C102='Batt IN'!$H$56*12,-'Batt IN'!$F$56,0),0)</f>
        <v>0</v>
      </c>
      <c r="AM102" s="2">
        <f>IF(AND('Batt IN'!$D$53="Yes",$AL$1&gt;=4),IF($C102='Batt IN'!$H$57*12,-'Batt IN'!$F$57,0),0)</f>
        <v>0</v>
      </c>
      <c r="AN102" s="2">
        <f>IF(AND('Batt IN'!$D$53="Yes",$AL$1&gt;=5),IF($C102='Batt IN'!$H$58*12,-'Batt IN'!$F$58,0),0)</f>
        <v>0</v>
      </c>
      <c r="AO102" s="10">
        <f>IF(AND('Batt IN'!$D$44="YES",$C102&lt;='Batt IN'!$E$44*12),-'Batt IN'!$E$28*'Batt IN'!$E$42/12,0)</f>
        <v>0</v>
      </c>
      <c r="AP102" s="10">
        <f>IF(AND('Batt IN'!$D$46="YES",$C102&lt;='Batt IN'!$E$46*12),-'Batt IN'!$E$28*'Batt IN'!$E$45/12,0)</f>
        <v>0</v>
      </c>
      <c r="AR102" s="10">
        <f>BattLoan!M129</f>
        <v>0</v>
      </c>
      <c r="AS102" s="10">
        <f>'Batt IN'!$G$16*365/12*'Batt IN'!$E$16</f>
        <v>76.041666666666671</v>
      </c>
      <c r="AT102" s="10">
        <f>IF(AND('Batt IN'!$E$18&gt;0,'Batt IN'!$G$18&gt;0),'Batt IN'!$E$17*'Batt IN'!$G$17,0)</f>
        <v>119.44619999999999</v>
      </c>
      <c r="AU102" s="10">
        <f>IF(AND('Batt IN'!$E$20&gt;0,'Batt IN'!$G$20&gt;0),'Batt IN'!$E$19*'Batt IN'!$G$19,0)</f>
        <v>231</v>
      </c>
      <c r="AV102" s="10"/>
      <c r="AW102" s="10"/>
      <c r="AX102" s="10">
        <f>IF('Batt IN'!$E$11="Non-Taxable",Q102,0)</f>
        <v>11168.08</v>
      </c>
      <c r="AY102" s="10">
        <f>IF('Batt IN'!$E$11="Non-Taxable",'Batt IN'!$E$28/1000*'Batt IN'!$G$13*('Batt IN'!$E$13/12)*'Batt IN'!$E$12,0)</f>
        <v>244.42220833333334</v>
      </c>
      <c r="AZ102" s="10">
        <f>IF('Batt IN'!$E$11="Non-Taxable",$S102*'Batt IN'!$G$15*'Batt IN'!$E$28*'Batt IN'!$E$14/1000,0)</f>
        <v>0</v>
      </c>
      <c r="BA102" s="10">
        <f>IF('Batt IN'!$E$11="Non-Taxable",'Batt IN'!$E$21*'Batt IN'!$G$21/12,0)</f>
        <v>437.5</v>
      </c>
      <c r="BB102" s="10">
        <f>IF('Batt IN'!$E$11="Non-Taxable",'Batt IN'!$E$22*'Batt IN'!$G$22/12,0)</f>
        <v>1145.8333333333335</v>
      </c>
      <c r="BC102" s="10">
        <f>IF('Batt IN'!$E$11="Taxable",Q102,0)</f>
        <v>0</v>
      </c>
      <c r="BD102" s="10">
        <f>IF('Batt IN'!$E$11="Taxable",'Batt IN'!$E$28/1000*'Batt IN'!$G$13*('Batt IN'!$E$13/12)*'Batt IN'!$E$12,0)</f>
        <v>0</v>
      </c>
      <c r="BE102" s="10">
        <f>IF('Batt IN'!$E$11="Taxable",$S102*'Batt IN'!$G$15*'Batt IN'!$E$28*'Batt IN'!$E$14/1000,0)</f>
        <v>0</v>
      </c>
      <c r="BF102" s="10">
        <f>IF('Batt IN'!$E$11="Taxable",'Batt IN'!$E$21*'Batt IN'!$G$21/12,0)</f>
        <v>0</v>
      </c>
      <c r="BG102" s="10">
        <f>IF('Batt IN'!$E$11="Taxable",'Batt IN'!$E$22*'Batt IN'!$G$22/12,0)</f>
        <v>0</v>
      </c>
      <c r="BK102" s="10">
        <f>IF('Batt IN'!$N$18="Yes",-BattLoan!H130,-BattLoan!L130)</f>
        <v>0</v>
      </c>
      <c r="BL102" s="10">
        <f>IF('Batt IN'!$N$18="Yes",-BattLoan!F130,0)</f>
        <v>0</v>
      </c>
      <c r="BM102" s="10">
        <f>IF(AND('Batt IN'!$D$44="YES",$C102&lt;='Batt IN'!$E$44*12),0,-'Batt IN'!$E$28*'Batt IN'!$E$42/12)</f>
        <v>-83.333333333333329</v>
      </c>
      <c r="BN102" s="10">
        <f>IF(AND('Batt IN'!$D$46="YES",$C102&lt;='Batt IN'!$E$46*12),0,-'Batt IN'!$E$28*'Batt IN'!$E$45/12)</f>
        <v>-166.66666666666666</v>
      </c>
      <c r="BO102" s="2">
        <f>IF(AND('Batt IN'!$D$41="YES",BattCalcs!C102=ROUNDUP('Batt IN'!$H$41*12,)),-'Batt IN'!$E$41*'Batt IN'!$E$28,0)</f>
        <v>0</v>
      </c>
      <c r="BP102" s="2">
        <f>IF(AND('Batt IN'!$D$53="Yes",$AL$1&gt;=1),0,IF($C102='Batt IN'!$H$54*12,-'Batt IN'!$F$54,0))</f>
        <v>0</v>
      </c>
      <c r="BQ102" s="2">
        <f>IF(AND('Batt IN'!$D$53="Yes",$AL$1&gt;=2),0,IF($C102='Batt IN'!$H$55*12,-'Batt IN'!$F$55,0))</f>
        <v>0</v>
      </c>
      <c r="BR102" s="2">
        <f>IF(AND('Batt IN'!$D$53="Yes",$AL$1&gt;=3),0,IF($C102='Batt IN'!$H$56*12,-'Batt IN'!$F$56,0))</f>
        <v>0</v>
      </c>
      <c r="BS102" s="2">
        <f>IF(AND('Batt IN'!$D$53="Yes",$AL$1&gt;=4),0,IF($C102='Batt IN'!$H$57*12,-'Batt IN'!$F$57,0))</f>
        <v>0</v>
      </c>
      <c r="BT102" s="2">
        <f>IF(AND('Batt IN'!$D$53="Yes",$AL$1&gt;=5),0,IF($C102='Batt IN'!$H$58*12,-'Batt IN'!$F$58,0))</f>
        <v>0</v>
      </c>
      <c r="BU102" s="2">
        <f>-AH102*PVCalcs!F102</f>
        <v>-361.9020255125464</v>
      </c>
      <c r="BV102" s="2">
        <f>-'Batt IN'!$E$47</f>
        <v>-150</v>
      </c>
      <c r="BW102" s="2">
        <f>-'Batt IN'!$E$49</f>
        <v>-2250</v>
      </c>
      <c r="BX102" s="2">
        <f>IF('Batt IN'!$H$50="No",-(BC102*'Batt IN'!$E$50),-(BC102+BE102)*'Batt IN'!$E$50)</f>
        <v>0</v>
      </c>
      <c r="BY102" s="2">
        <f>IF(C102='Batt IN'!$H$43*12,-'Batt IN'!$E$43,0)</f>
        <v>0</v>
      </c>
      <c r="BZ102" s="38"/>
      <c r="CA102" s="10">
        <f t="shared" si="17"/>
        <v>13422.323408333334</v>
      </c>
      <c r="CB102" s="2">
        <f t="shared" si="21"/>
        <v>-3011.9020255125465</v>
      </c>
      <c r="CC102" s="45">
        <f t="shared" si="22"/>
        <v>10410.421382820787</v>
      </c>
      <c r="CD102" s="43"/>
      <c r="CE102" s="2">
        <f t="shared" si="18"/>
        <v>0</v>
      </c>
      <c r="CF102" s="2">
        <f t="shared" si="23"/>
        <v>-3011.9020255125465</v>
      </c>
      <c r="CG102" s="2"/>
      <c r="CH102" s="2">
        <f t="shared" si="24"/>
        <v>-3011.9020255125465</v>
      </c>
      <c r="CI102" s="45">
        <f>-CH102*'Batt IN'!$E$7</f>
        <v>632.49942535763478</v>
      </c>
      <c r="CJ102" s="48"/>
      <c r="CK102" s="45">
        <f>IF('Batt IN'!$F$4="PV Only",0,IF(C102&gt;'Batt IN'!$H$43*12,0,CC102+CI102))</f>
        <v>0</v>
      </c>
      <c r="CM102" s="10">
        <f t="shared" si="25"/>
        <v>0</v>
      </c>
      <c r="CN102" s="2">
        <f>CK102/(1+('Batt IN'!$G$8))^(C102)</f>
        <v>0</v>
      </c>
      <c r="CO102" s="2">
        <f>IF(C102&lt;='Batt IN'!$O$30*12,CN102+CO101,NA())</f>
        <v>0</v>
      </c>
      <c r="CQ102" s="2">
        <f>CK102/((1+('Batt IN'!$E$8/12))^BattCalcs!C102)</f>
        <v>0</v>
      </c>
      <c r="CS102" s="10">
        <f t="shared" si="26"/>
        <v>-3011.9020255125465</v>
      </c>
      <c r="CT102" s="10">
        <f t="shared" si="27"/>
        <v>0</v>
      </c>
      <c r="CU102" s="10">
        <f t="shared" si="28"/>
        <v>-3011.9020255125465</v>
      </c>
      <c r="CV102" s="10">
        <f t="shared" si="29"/>
        <v>-3011.9020255125465</v>
      </c>
      <c r="CW102" s="2">
        <f t="shared" si="30"/>
        <v>0</v>
      </c>
      <c r="CX102" s="2">
        <f>-(SUM(CV102:CW102)*'PV IN'!$E$8)</f>
        <v>632.49942535763478</v>
      </c>
      <c r="CY102" s="2">
        <f t="shared" si="31"/>
        <v>-2379.4026001549119</v>
      </c>
      <c r="CZ102" s="2">
        <f>IF(C102&lt;='Batt IN'!$H$43*12,CY102/(1+('PV IN'!$G$9))^(C102),0)</f>
        <v>-1597.4305632705298</v>
      </c>
      <c r="DA102" s="33">
        <f>IF(C102&lt;='Batt IN'!$H$43*12,AE102,0)</f>
        <v>30366.783333333333</v>
      </c>
    </row>
    <row r="103" spans="1:105" x14ac:dyDescent="0.25">
      <c r="A103">
        <f>IF(C103&lt;='Batt IN'!$H$43*12,C103,"")</f>
        <v>99</v>
      </c>
      <c r="C103">
        <v>99</v>
      </c>
      <c r="D103" s="21">
        <v>730</v>
      </c>
      <c r="E103" s="1">
        <f>1-'Batt IN'!$E$31</f>
        <v>2.0000000000000018E-2</v>
      </c>
      <c r="F103" s="12">
        <f>('Batt IN'!$E$33*365)/8760</f>
        <v>0</v>
      </c>
      <c r="G103" s="22">
        <f>'Batt IN'!$E$32/8760</f>
        <v>5.7077625570776253E-3</v>
      </c>
      <c r="H103" s="22">
        <f>'Batt IN'!$E$13/8760</f>
        <v>5.5936073059360729E-3</v>
      </c>
      <c r="I103" s="23">
        <f>IF(C103&lt;='Batt IN'!$G$14*12,'Batt IN'!$E$15/8760*'Batt IN'!$G$15,0)</f>
        <v>0</v>
      </c>
      <c r="J103" s="12">
        <f>Z103/'Batt IN'!$E$27/730</f>
        <v>2.4999999999999996E-3</v>
      </c>
      <c r="K103" s="23">
        <f>AA103/'Batt IN'!$E$27/730</f>
        <v>1.6027397260273972E-3</v>
      </c>
      <c r="L103" s="23">
        <f>AB103/'Batt IN'!$E$27/730</f>
        <v>2.0547945205479451E-4</v>
      </c>
      <c r="M103" s="23">
        <f>AC103/'Batt IN'!$E$27/730</f>
        <v>4.7945205479452057E-3</v>
      </c>
      <c r="N103" s="23">
        <f>AD103/'Batt IN'!$E$27/730</f>
        <v>3.4246575342465752E-3</v>
      </c>
      <c r="O103" s="12">
        <f t="shared" si="19"/>
        <v>4.3828767123287697E-2</v>
      </c>
      <c r="P103" s="21">
        <f t="shared" si="20"/>
        <v>698.005</v>
      </c>
      <c r="Q103" s="2">
        <f>IF('Batt IN'!$E$27*'Batt IN'!$E$24&lt;='Batt IN'!$E$28,(('Batt IN'!$E$23*'Batt IN'!$E$27*'Batt IN'!$E$24)/1000)*P103,(('Batt IN'!$E$23*'Batt IN'!$E$28*'Batt IN'!$E$24)/1000)*P103)</f>
        <v>11168.08</v>
      </c>
      <c r="R103" s="2"/>
      <c r="S103" s="77">
        <f>IF(C103&lt;='Batt IN'!$G$14*12,'Batt IN'!$E$15/12,0)</f>
        <v>0</v>
      </c>
      <c r="T103" s="77"/>
      <c r="U103" s="80">
        <f>'Batt IN'!$E$28*('Batt IN'!$G$24/24)*730*(1-O103)</f>
        <v>81433.916666666657</v>
      </c>
      <c r="V103" s="78">
        <f>U103*'Batt IN'!$F$30</f>
        <v>16286.783333333333</v>
      </c>
      <c r="W103" s="78">
        <f>'Batt IN'!$E$28*'Batt IN'!$G$32*('Batt IN'!$E$32/12)*(1+'Batt IN'!$F$30)</f>
        <v>1750.0000000000002</v>
      </c>
      <c r="X103" s="78">
        <f>'Batt IN'!$E$28*'Batt IN'!$G$13*('Batt IN'!$E$13/12)*(1+'Batt IN'!$F$30)</f>
        <v>3184.9999999999995</v>
      </c>
      <c r="Y103" s="33">
        <f>S103*'Batt IN'!$G$15*'Batt IN'!$E$28*(1+'Batt IN'!$F$30)</f>
        <v>0</v>
      </c>
      <c r="Z103" s="33">
        <f>'Batt IN'!$G$16*365/12*(1+'Batt IN'!$F$30)</f>
        <v>1824.9999999999998</v>
      </c>
      <c r="AA103" s="33">
        <f>'Batt IN'!$G$17*'Batt IN'!$E$18*'Batt IN'!$G$18/12*(1+'Batt IN'!$F$30)</f>
        <v>1170</v>
      </c>
      <c r="AB103" s="33">
        <f>'Batt IN'!$G$19*'Batt IN'!$E$20*'Batt IN'!$G$20/12*(1+'Batt IN'!$F$30)</f>
        <v>150</v>
      </c>
      <c r="AC103" s="33">
        <f>'Batt IN'!$G$21*(1+'Batt IN'!$F$30)/12</f>
        <v>3500</v>
      </c>
      <c r="AD103" s="33">
        <f>'Batt IN'!$G$22*(1+'Batt IN'!$F$30)/12</f>
        <v>2500</v>
      </c>
      <c r="AE103" s="33">
        <f t="shared" si="32"/>
        <v>30366.783333333333</v>
      </c>
      <c r="AF103" s="33">
        <f>IF('PV IN'!$F$4="Battery Only",0,AE103*'Batt IN'!$E$29)</f>
        <v>25811.765833333331</v>
      </c>
      <c r="AG103" s="33">
        <f>PVCalcs!L103</f>
        <v>25811.765833333331</v>
      </c>
      <c r="AH103" s="33">
        <f t="shared" si="33"/>
        <v>4555.0175000000017</v>
      </c>
      <c r="AI103" s="33"/>
      <c r="AJ103" s="2">
        <f>IF(AND('Batt IN'!$D$53="Yes",$AL$1&gt;=1),IF($C103='Batt IN'!$H$54*12,-'Batt IN'!$F$54,0),0)</f>
        <v>0</v>
      </c>
      <c r="AK103" s="2">
        <f>IF(AND('Batt IN'!$D$53="Yes",$AL$1&gt;=2),IF($C103='Batt IN'!$H$55*12,-'Batt IN'!$F$55,0),0)</f>
        <v>0</v>
      </c>
      <c r="AL103" s="2">
        <f>IF(AND('Batt IN'!$D$53="Yes",$AL$1&gt;=3),IF($C103='Batt IN'!$H$56*12,-'Batt IN'!$F$56,0),0)</f>
        <v>0</v>
      </c>
      <c r="AM103" s="2">
        <f>IF(AND('Batt IN'!$D$53="Yes",$AL$1&gt;=4),IF($C103='Batt IN'!$H$57*12,-'Batt IN'!$F$57,0),0)</f>
        <v>0</v>
      </c>
      <c r="AN103" s="2">
        <f>IF(AND('Batt IN'!$D$53="Yes",$AL$1&gt;=5),IF($C103='Batt IN'!$H$58*12,-'Batt IN'!$F$58,0),0)</f>
        <v>0</v>
      </c>
      <c r="AO103" s="10">
        <f>IF(AND('Batt IN'!$D$44="YES",$C103&lt;='Batt IN'!$E$44*12),-'Batt IN'!$E$28*'Batt IN'!$E$42/12,0)</f>
        <v>0</v>
      </c>
      <c r="AP103" s="10">
        <f>IF(AND('Batt IN'!$D$46="YES",$C103&lt;='Batt IN'!$E$46*12),-'Batt IN'!$E$28*'Batt IN'!$E$45/12,0)</f>
        <v>0</v>
      </c>
      <c r="AR103" s="10">
        <f>BattLoan!M130</f>
        <v>0</v>
      </c>
      <c r="AS103" s="10">
        <f>'Batt IN'!$G$16*365/12*'Batt IN'!$E$16</f>
        <v>76.041666666666671</v>
      </c>
      <c r="AT103" s="10">
        <f>IF(AND('Batt IN'!$E$18&gt;0,'Batt IN'!$G$18&gt;0),'Batt IN'!$E$17*'Batt IN'!$G$17,0)</f>
        <v>119.44619999999999</v>
      </c>
      <c r="AU103" s="10">
        <f>IF(AND('Batt IN'!$E$20&gt;0,'Batt IN'!$G$20&gt;0),'Batt IN'!$E$19*'Batt IN'!$G$19,0)</f>
        <v>231</v>
      </c>
      <c r="AV103" s="10"/>
      <c r="AW103" s="10"/>
      <c r="AX103" s="10">
        <f>IF('Batt IN'!$E$11="Non-Taxable",Q103,0)</f>
        <v>11168.08</v>
      </c>
      <c r="AY103" s="10">
        <f>IF('Batt IN'!$E$11="Non-Taxable",'Batt IN'!$E$28/1000*'Batt IN'!$G$13*('Batt IN'!$E$13/12)*'Batt IN'!$E$12,0)</f>
        <v>244.42220833333334</v>
      </c>
      <c r="AZ103" s="10">
        <f>IF('Batt IN'!$E$11="Non-Taxable",$S103*'Batt IN'!$G$15*'Batt IN'!$E$28*'Batt IN'!$E$14/1000,0)</f>
        <v>0</v>
      </c>
      <c r="BA103" s="10">
        <f>IF('Batt IN'!$E$11="Non-Taxable",'Batt IN'!$E$21*'Batt IN'!$G$21/12,0)</f>
        <v>437.5</v>
      </c>
      <c r="BB103" s="10">
        <f>IF('Batt IN'!$E$11="Non-Taxable",'Batt IN'!$E$22*'Batt IN'!$G$22/12,0)</f>
        <v>1145.8333333333335</v>
      </c>
      <c r="BC103" s="10">
        <f>IF('Batt IN'!$E$11="Taxable",Q103,0)</f>
        <v>0</v>
      </c>
      <c r="BD103" s="10">
        <f>IF('Batt IN'!$E$11="Taxable",'Batt IN'!$E$28/1000*'Batt IN'!$G$13*('Batt IN'!$E$13/12)*'Batt IN'!$E$12,0)</f>
        <v>0</v>
      </c>
      <c r="BE103" s="10">
        <f>IF('Batt IN'!$E$11="Taxable",$S103*'Batt IN'!$G$15*'Batt IN'!$E$28*'Batt IN'!$E$14/1000,0)</f>
        <v>0</v>
      </c>
      <c r="BF103" s="10">
        <f>IF('Batt IN'!$E$11="Taxable",'Batt IN'!$E$21*'Batt IN'!$G$21/12,0)</f>
        <v>0</v>
      </c>
      <c r="BG103" s="10">
        <f>IF('Batt IN'!$E$11="Taxable",'Batt IN'!$E$22*'Batt IN'!$G$22/12,0)</f>
        <v>0</v>
      </c>
      <c r="BK103" s="10">
        <f>IF('Batt IN'!$N$18="Yes",-BattLoan!H131,-BattLoan!L131)</f>
        <v>0</v>
      </c>
      <c r="BL103" s="10">
        <f>IF('Batt IN'!$N$18="Yes",-BattLoan!F131,0)</f>
        <v>0</v>
      </c>
      <c r="BM103" s="10">
        <f>IF(AND('Batt IN'!$D$44="YES",$C103&lt;='Batt IN'!$E$44*12),0,-'Batt IN'!$E$28*'Batt IN'!$E$42/12)</f>
        <v>-83.333333333333329</v>
      </c>
      <c r="BN103" s="10">
        <f>IF(AND('Batt IN'!$D$46="YES",$C103&lt;='Batt IN'!$E$46*12),0,-'Batt IN'!$E$28*'Batt IN'!$E$45/12)</f>
        <v>-166.66666666666666</v>
      </c>
      <c r="BO103" s="2">
        <f>IF(AND('Batt IN'!$D$41="YES",BattCalcs!C103=ROUNDUP('Batt IN'!$H$41*12,)),-'Batt IN'!$E$41*'Batt IN'!$E$28,0)</f>
        <v>0</v>
      </c>
      <c r="BP103" s="2">
        <f>IF(AND('Batt IN'!$D$53="Yes",$AL$1&gt;=1),0,IF($C103='Batt IN'!$H$54*12,-'Batt IN'!$F$54,0))</f>
        <v>0</v>
      </c>
      <c r="BQ103" s="2">
        <f>IF(AND('Batt IN'!$D$53="Yes",$AL$1&gt;=2),0,IF($C103='Batt IN'!$H$55*12,-'Batt IN'!$F$55,0))</f>
        <v>0</v>
      </c>
      <c r="BR103" s="2">
        <f>IF(AND('Batt IN'!$D$53="Yes",$AL$1&gt;=3),0,IF($C103='Batt IN'!$H$56*12,-'Batt IN'!$F$56,0))</f>
        <v>0</v>
      </c>
      <c r="BS103" s="2">
        <f>IF(AND('Batt IN'!$D$53="Yes",$AL$1&gt;=4),0,IF($C103='Batt IN'!$H$57*12,-'Batt IN'!$F$57,0))</f>
        <v>0</v>
      </c>
      <c r="BT103" s="2">
        <f>IF(AND('Batt IN'!$D$53="Yes",$AL$1&gt;=5),0,IF($C103='Batt IN'!$H$58*12,-'Batt IN'!$F$58,0))</f>
        <v>0</v>
      </c>
      <c r="BU103" s="2">
        <f>-AH103*PVCalcs!F103</f>
        <v>-361.9020255125464</v>
      </c>
      <c r="BV103" s="2">
        <f>-'Batt IN'!$E$47</f>
        <v>-150</v>
      </c>
      <c r="BW103" s="2">
        <f>-'Batt IN'!$E$49</f>
        <v>-2250</v>
      </c>
      <c r="BX103" s="2">
        <f>IF('Batt IN'!$H$50="No",-(BC103*'Batt IN'!$E$50),-(BC103+BE103)*'Batt IN'!$E$50)</f>
        <v>0</v>
      </c>
      <c r="BY103" s="2">
        <f>IF(C103='Batt IN'!$H$43*12,-'Batt IN'!$E$43,0)</f>
        <v>0</v>
      </c>
      <c r="BZ103" s="38"/>
      <c r="CA103" s="10">
        <f t="shared" si="17"/>
        <v>13422.323408333334</v>
      </c>
      <c r="CB103" s="2">
        <f t="shared" si="21"/>
        <v>-3011.9020255125465</v>
      </c>
      <c r="CC103" s="45">
        <f t="shared" si="22"/>
        <v>10410.421382820787</v>
      </c>
      <c r="CD103" s="43"/>
      <c r="CE103" s="2">
        <f t="shared" si="18"/>
        <v>0</v>
      </c>
      <c r="CF103" s="2">
        <f t="shared" si="23"/>
        <v>-3011.9020255125465</v>
      </c>
      <c r="CG103" s="2"/>
      <c r="CH103" s="2">
        <f t="shared" si="24"/>
        <v>-3011.9020255125465</v>
      </c>
      <c r="CI103" s="45">
        <f>-CH103*'Batt IN'!$E$7</f>
        <v>632.49942535763478</v>
      </c>
      <c r="CJ103" s="48"/>
      <c r="CK103" s="45">
        <f>IF('Batt IN'!$F$4="PV Only",0,IF(C103&gt;'Batt IN'!$H$43*12,0,CC103+CI103))</f>
        <v>0</v>
      </c>
      <c r="CM103" s="10">
        <f t="shared" si="25"/>
        <v>0</v>
      </c>
      <c r="CN103" s="2">
        <f>CK103/(1+('Batt IN'!$G$8))^(C103)</f>
        <v>0</v>
      </c>
      <c r="CO103" s="2">
        <f>IF(C103&lt;='Batt IN'!$O$30*12,CN103+CO102,NA())</f>
        <v>0</v>
      </c>
      <c r="CQ103" s="2">
        <f>CK103/((1+('Batt IN'!$E$8/12))^BattCalcs!C103)</f>
        <v>0</v>
      </c>
      <c r="CS103" s="10">
        <f t="shared" si="26"/>
        <v>-3011.9020255125465</v>
      </c>
      <c r="CT103" s="10">
        <f t="shared" si="27"/>
        <v>0</v>
      </c>
      <c r="CU103" s="10">
        <f t="shared" si="28"/>
        <v>-3011.9020255125465</v>
      </c>
      <c r="CV103" s="10">
        <f t="shared" si="29"/>
        <v>-3011.9020255125465</v>
      </c>
      <c r="CW103" s="2">
        <f t="shared" si="30"/>
        <v>0</v>
      </c>
      <c r="CX103" s="2">
        <f>-(SUM(CV103:CW103)*'PV IN'!$E$8)</f>
        <v>632.49942535763478</v>
      </c>
      <c r="CY103" s="2">
        <f t="shared" si="31"/>
        <v>-2379.4026001549119</v>
      </c>
      <c r="CZ103" s="2">
        <f>IF(C103&lt;='Batt IN'!$H$43*12,CY103/(1+('PV IN'!$G$9))^(C103),0)</f>
        <v>-1590.9488407598221</v>
      </c>
      <c r="DA103" s="33">
        <f>IF(C103&lt;='Batt IN'!$H$43*12,AE103,0)</f>
        <v>30366.783333333333</v>
      </c>
    </row>
    <row r="104" spans="1:105" x14ac:dyDescent="0.25">
      <c r="A104">
        <f>IF(C104&lt;='Batt IN'!$H$43*12,C104,"")</f>
        <v>100</v>
      </c>
      <c r="C104">
        <v>100</v>
      </c>
      <c r="D104" s="21">
        <v>730</v>
      </c>
      <c r="E104" s="1">
        <f>1-'Batt IN'!$E$31</f>
        <v>2.0000000000000018E-2</v>
      </c>
      <c r="F104" s="12">
        <f>('Batt IN'!$E$33*365)/8760</f>
        <v>0</v>
      </c>
      <c r="G104" s="22">
        <f>'Batt IN'!$E$32/8760</f>
        <v>5.7077625570776253E-3</v>
      </c>
      <c r="H104" s="22">
        <f>'Batt IN'!$E$13/8760</f>
        <v>5.5936073059360729E-3</v>
      </c>
      <c r="I104" s="23">
        <f>IF(C104&lt;='Batt IN'!$G$14*12,'Batt IN'!$E$15/8760*'Batt IN'!$G$15,0)</f>
        <v>0</v>
      </c>
      <c r="J104" s="12">
        <f>Z104/'Batt IN'!$E$27/730</f>
        <v>2.4999999999999996E-3</v>
      </c>
      <c r="K104" s="23">
        <f>AA104/'Batt IN'!$E$27/730</f>
        <v>1.6027397260273972E-3</v>
      </c>
      <c r="L104" s="23">
        <f>AB104/'Batt IN'!$E$27/730</f>
        <v>2.0547945205479451E-4</v>
      </c>
      <c r="M104" s="23">
        <f>AC104/'Batt IN'!$E$27/730</f>
        <v>4.7945205479452057E-3</v>
      </c>
      <c r="N104" s="23">
        <f>AD104/'Batt IN'!$E$27/730</f>
        <v>3.4246575342465752E-3</v>
      </c>
      <c r="O104" s="12">
        <f t="shared" si="19"/>
        <v>4.3828767123287697E-2</v>
      </c>
      <c r="P104" s="21">
        <f t="shared" si="20"/>
        <v>698.005</v>
      </c>
      <c r="Q104" s="2">
        <f>IF('Batt IN'!$E$27*'Batt IN'!$E$24&lt;='Batt IN'!$E$28,(('Batt IN'!$E$23*'Batt IN'!$E$27*'Batt IN'!$E$24)/1000)*P104,(('Batt IN'!$E$23*'Batt IN'!$E$28*'Batt IN'!$E$24)/1000)*P104)</f>
        <v>11168.08</v>
      </c>
      <c r="R104" s="2"/>
      <c r="S104" s="77">
        <f>IF(C104&lt;='Batt IN'!$G$14*12,'Batt IN'!$E$15/12,0)</f>
        <v>0</v>
      </c>
      <c r="T104" s="77"/>
      <c r="U104" s="80">
        <f>'Batt IN'!$E$28*('Batt IN'!$G$24/24)*730*(1-O104)</f>
        <v>81433.916666666657</v>
      </c>
      <c r="V104" s="78">
        <f>U104*'Batt IN'!$F$30</f>
        <v>16286.783333333333</v>
      </c>
      <c r="W104" s="78">
        <f>'Batt IN'!$E$28*'Batt IN'!$G$32*('Batt IN'!$E$32/12)*(1+'Batt IN'!$F$30)</f>
        <v>1750.0000000000002</v>
      </c>
      <c r="X104" s="78">
        <f>'Batt IN'!$E$28*'Batt IN'!$G$13*('Batt IN'!$E$13/12)*(1+'Batt IN'!$F$30)</f>
        <v>3184.9999999999995</v>
      </c>
      <c r="Y104" s="33">
        <f>S104*'Batt IN'!$G$15*'Batt IN'!$E$28*(1+'Batt IN'!$F$30)</f>
        <v>0</v>
      </c>
      <c r="Z104" s="33">
        <f>'Batt IN'!$G$16*365/12*(1+'Batt IN'!$F$30)</f>
        <v>1824.9999999999998</v>
      </c>
      <c r="AA104" s="33">
        <f>'Batt IN'!$G$17*'Batt IN'!$E$18*'Batt IN'!$G$18/12*(1+'Batt IN'!$F$30)</f>
        <v>1170</v>
      </c>
      <c r="AB104" s="33">
        <f>'Batt IN'!$G$19*'Batt IN'!$E$20*'Batt IN'!$G$20/12*(1+'Batt IN'!$F$30)</f>
        <v>150</v>
      </c>
      <c r="AC104" s="33">
        <f>'Batt IN'!$G$21*(1+'Batt IN'!$F$30)/12</f>
        <v>3500</v>
      </c>
      <c r="AD104" s="33">
        <f>'Batt IN'!$G$22*(1+'Batt IN'!$F$30)/12</f>
        <v>2500</v>
      </c>
      <c r="AE104" s="33">
        <f t="shared" si="32"/>
        <v>30366.783333333333</v>
      </c>
      <c r="AF104" s="33">
        <f>IF('PV IN'!$F$4="Battery Only",0,AE104*'Batt IN'!$E$29)</f>
        <v>25811.765833333331</v>
      </c>
      <c r="AG104" s="33">
        <f>PVCalcs!L104</f>
        <v>25811.765833333331</v>
      </c>
      <c r="AH104" s="33">
        <f t="shared" si="33"/>
        <v>4555.0175000000017</v>
      </c>
      <c r="AI104" s="33"/>
      <c r="AJ104" s="2">
        <f>IF(AND('Batt IN'!$D$53="Yes",$AL$1&gt;=1),IF($C104='Batt IN'!$H$54*12,-'Batt IN'!$F$54,0),0)</f>
        <v>0</v>
      </c>
      <c r="AK104" s="2">
        <f>IF(AND('Batt IN'!$D$53="Yes",$AL$1&gt;=2),IF($C104='Batt IN'!$H$55*12,-'Batt IN'!$F$55,0),0)</f>
        <v>0</v>
      </c>
      <c r="AL104" s="2">
        <f>IF(AND('Batt IN'!$D$53="Yes",$AL$1&gt;=3),IF($C104='Batt IN'!$H$56*12,-'Batt IN'!$F$56,0),0)</f>
        <v>0</v>
      </c>
      <c r="AM104" s="2">
        <f>IF(AND('Batt IN'!$D$53="Yes",$AL$1&gt;=4),IF($C104='Batt IN'!$H$57*12,-'Batt IN'!$F$57,0),0)</f>
        <v>0</v>
      </c>
      <c r="AN104" s="2">
        <f>IF(AND('Batt IN'!$D$53="Yes",$AL$1&gt;=5),IF($C104='Batt IN'!$H$58*12,-'Batt IN'!$F$58,0),0)</f>
        <v>0</v>
      </c>
      <c r="AO104" s="10">
        <f>IF(AND('Batt IN'!$D$44="YES",$C104&lt;='Batt IN'!$E$44*12),-'Batt IN'!$E$28*'Batt IN'!$E$42/12,0)</f>
        <v>0</v>
      </c>
      <c r="AP104" s="10">
        <f>IF(AND('Batt IN'!$D$46="YES",$C104&lt;='Batt IN'!$E$46*12),-'Batt IN'!$E$28*'Batt IN'!$E$45/12,0)</f>
        <v>0</v>
      </c>
      <c r="AR104" s="10">
        <f>BattLoan!M131</f>
        <v>0</v>
      </c>
      <c r="AS104" s="10">
        <f>'Batt IN'!$G$16*365/12*'Batt IN'!$E$16</f>
        <v>76.041666666666671</v>
      </c>
      <c r="AT104" s="10">
        <f>IF(AND('Batt IN'!$E$18&gt;0,'Batt IN'!$G$18&gt;0),'Batt IN'!$E$17*'Batt IN'!$G$17,0)</f>
        <v>119.44619999999999</v>
      </c>
      <c r="AU104" s="10">
        <f>IF(AND('Batt IN'!$E$20&gt;0,'Batt IN'!$G$20&gt;0),'Batt IN'!$E$19*'Batt IN'!$G$19,0)</f>
        <v>231</v>
      </c>
      <c r="AV104" s="10"/>
      <c r="AW104" s="10"/>
      <c r="AX104" s="10">
        <f>IF('Batt IN'!$E$11="Non-Taxable",Q104,0)</f>
        <v>11168.08</v>
      </c>
      <c r="AY104" s="10">
        <f>IF('Batt IN'!$E$11="Non-Taxable",'Batt IN'!$E$28/1000*'Batt IN'!$G$13*('Batt IN'!$E$13/12)*'Batt IN'!$E$12,0)</f>
        <v>244.42220833333334</v>
      </c>
      <c r="AZ104" s="10">
        <f>IF('Batt IN'!$E$11="Non-Taxable",$S104*'Batt IN'!$G$15*'Batt IN'!$E$28*'Batt IN'!$E$14/1000,0)</f>
        <v>0</v>
      </c>
      <c r="BA104" s="10">
        <f>IF('Batt IN'!$E$11="Non-Taxable",'Batt IN'!$E$21*'Batt IN'!$G$21/12,0)</f>
        <v>437.5</v>
      </c>
      <c r="BB104" s="10">
        <f>IF('Batt IN'!$E$11="Non-Taxable",'Batt IN'!$E$22*'Batt IN'!$G$22/12,0)</f>
        <v>1145.8333333333335</v>
      </c>
      <c r="BC104" s="10">
        <f>IF('Batt IN'!$E$11="Taxable",Q104,0)</f>
        <v>0</v>
      </c>
      <c r="BD104" s="10">
        <f>IF('Batt IN'!$E$11="Taxable",'Batt IN'!$E$28/1000*'Batt IN'!$G$13*('Batt IN'!$E$13/12)*'Batt IN'!$E$12,0)</f>
        <v>0</v>
      </c>
      <c r="BE104" s="10">
        <f>IF('Batt IN'!$E$11="Taxable",$S104*'Batt IN'!$G$15*'Batt IN'!$E$28*'Batt IN'!$E$14/1000,0)</f>
        <v>0</v>
      </c>
      <c r="BF104" s="10">
        <f>IF('Batt IN'!$E$11="Taxable",'Batt IN'!$E$21*'Batt IN'!$G$21/12,0)</f>
        <v>0</v>
      </c>
      <c r="BG104" s="10">
        <f>IF('Batt IN'!$E$11="Taxable",'Batt IN'!$E$22*'Batt IN'!$G$22/12,0)</f>
        <v>0</v>
      </c>
      <c r="BK104" s="10">
        <f>IF('Batt IN'!$N$18="Yes",-BattLoan!H132,-BattLoan!L132)</f>
        <v>0</v>
      </c>
      <c r="BL104" s="10">
        <f>IF('Batt IN'!$N$18="Yes",-BattLoan!F132,0)</f>
        <v>0</v>
      </c>
      <c r="BM104" s="10">
        <f>IF(AND('Batt IN'!$D$44="YES",$C104&lt;='Batt IN'!$E$44*12),0,-'Batt IN'!$E$28*'Batt IN'!$E$42/12)</f>
        <v>-83.333333333333329</v>
      </c>
      <c r="BN104" s="10">
        <f>IF(AND('Batt IN'!$D$46="YES",$C104&lt;='Batt IN'!$E$46*12),0,-'Batt IN'!$E$28*'Batt IN'!$E$45/12)</f>
        <v>-166.66666666666666</v>
      </c>
      <c r="BO104" s="2">
        <f>IF(AND('Batt IN'!$D$41="YES",BattCalcs!C104=ROUNDUP('Batt IN'!$H$41*12,)),-'Batt IN'!$E$41*'Batt IN'!$E$28,0)</f>
        <v>0</v>
      </c>
      <c r="BP104" s="2">
        <f>IF(AND('Batt IN'!$D$53="Yes",$AL$1&gt;=1),0,IF($C104='Batt IN'!$H$54*12,-'Batt IN'!$F$54,0))</f>
        <v>0</v>
      </c>
      <c r="BQ104" s="2">
        <f>IF(AND('Batt IN'!$D$53="Yes",$AL$1&gt;=2),0,IF($C104='Batt IN'!$H$55*12,-'Batt IN'!$F$55,0))</f>
        <v>0</v>
      </c>
      <c r="BR104" s="2">
        <f>IF(AND('Batt IN'!$D$53="Yes",$AL$1&gt;=3),0,IF($C104='Batt IN'!$H$56*12,-'Batt IN'!$F$56,0))</f>
        <v>0</v>
      </c>
      <c r="BS104" s="2">
        <f>IF(AND('Batt IN'!$D$53="Yes",$AL$1&gt;=4),0,IF($C104='Batt IN'!$H$57*12,-'Batt IN'!$F$57,0))</f>
        <v>0</v>
      </c>
      <c r="BT104" s="2">
        <f>IF(AND('Batt IN'!$D$53="Yes",$AL$1&gt;=5),0,IF($C104='Batt IN'!$H$58*12,-'Batt IN'!$F$58,0))</f>
        <v>0</v>
      </c>
      <c r="BU104" s="2">
        <f>-AH104*PVCalcs!F104</f>
        <v>-361.9020255125464</v>
      </c>
      <c r="BV104" s="2">
        <f>-'Batt IN'!$E$47</f>
        <v>-150</v>
      </c>
      <c r="BW104" s="2">
        <f>-'Batt IN'!$E$49</f>
        <v>-2250</v>
      </c>
      <c r="BX104" s="2">
        <f>IF('Batt IN'!$H$50="No",-(BC104*'Batt IN'!$E$50),-(BC104+BE104)*'Batt IN'!$E$50)</f>
        <v>0</v>
      </c>
      <c r="BY104" s="2">
        <f>IF(C104='Batt IN'!$H$43*12,-'Batt IN'!$E$43,0)</f>
        <v>0</v>
      </c>
      <c r="BZ104" s="38"/>
      <c r="CA104" s="10">
        <f t="shared" si="17"/>
        <v>13422.323408333334</v>
      </c>
      <c r="CB104" s="2">
        <f t="shared" si="21"/>
        <v>-3011.9020255125465</v>
      </c>
      <c r="CC104" s="45">
        <f t="shared" si="22"/>
        <v>10410.421382820787</v>
      </c>
      <c r="CD104" s="43"/>
      <c r="CE104" s="2">
        <f t="shared" si="18"/>
        <v>0</v>
      </c>
      <c r="CF104" s="2">
        <f t="shared" si="23"/>
        <v>-3011.9020255125465</v>
      </c>
      <c r="CG104" s="2"/>
      <c r="CH104" s="2">
        <f t="shared" si="24"/>
        <v>-3011.9020255125465</v>
      </c>
      <c r="CI104" s="45">
        <f>-CH104*'Batt IN'!$E$7</f>
        <v>632.49942535763478</v>
      </c>
      <c r="CJ104" s="48"/>
      <c r="CK104" s="45">
        <f>IF('Batt IN'!$F$4="PV Only",0,IF(C104&gt;'Batt IN'!$H$43*12,0,CC104+CI104))</f>
        <v>0</v>
      </c>
      <c r="CM104" s="10">
        <f t="shared" si="25"/>
        <v>0</v>
      </c>
      <c r="CN104" s="2">
        <f>CK104/(1+('Batt IN'!$G$8))^(C104)</f>
        <v>0</v>
      </c>
      <c r="CO104" s="2">
        <f>IF(C104&lt;='Batt IN'!$O$30*12,CN104+CO103,NA())</f>
        <v>0</v>
      </c>
      <c r="CQ104" s="2">
        <f>CK104/((1+('Batt IN'!$E$8/12))^BattCalcs!C104)</f>
        <v>0</v>
      </c>
      <c r="CS104" s="10">
        <f t="shared" si="26"/>
        <v>-3011.9020255125465</v>
      </c>
      <c r="CT104" s="10">
        <f t="shared" si="27"/>
        <v>0</v>
      </c>
      <c r="CU104" s="10">
        <f t="shared" si="28"/>
        <v>-3011.9020255125465</v>
      </c>
      <c r="CV104" s="10">
        <f t="shared" si="29"/>
        <v>-3011.9020255125465</v>
      </c>
      <c r="CW104" s="2">
        <f t="shared" si="30"/>
        <v>0</v>
      </c>
      <c r="CX104" s="2">
        <f>-(SUM(CV104:CW104)*'PV IN'!$E$8)</f>
        <v>632.49942535763478</v>
      </c>
      <c r="CY104" s="2">
        <f t="shared" si="31"/>
        <v>-2379.4026001549119</v>
      </c>
      <c r="CZ104" s="2">
        <f>IF(C104&lt;='Batt IN'!$H$43*12,CY104/(1+('PV IN'!$G$9))^(C104),0)</f>
        <v>-1584.4934184387268</v>
      </c>
      <c r="DA104" s="33">
        <f>IF(C104&lt;='Batt IN'!$H$43*12,AE104,0)</f>
        <v>30366.783333333333</v>
      </c>
    </row>
    <row r="105" spans="1:105" x14ac:dyDescent="0.25">
      <c r="A105">
        <f>IF(C105&lt;='Batt IN'!$H$43*12,C105,"")</f>
        <v>101</v>
      </c>
      <c r="C105">
        <v>101</v>
      </c>
      <c r="D105" s="21">
        <v>730</v>
      </c>
      <c r="E105" s="1">
        <f>1-'Batt IN'!$E$31</f>
        <v>2.0000000000000018E-2</v>
      </c>
      <c r="F105" s="12">
        <f>('Batt IN'!$E$33*365)/8760</f>
        <v>0</v>
      </c>
      <c r="G105" s="22">
        <f>'Batt IN'!$E$32/8760</f>
        <v>5.7077625570776253E-3</v>
      </c>
      <c r="H105" s="22">
        <f>'Batt IN'!$E$13/8760</f>
        <v>5.5936073059360729E-3</v>
      </c>
      <c r="I105" s="23">
        <f>IF(C105&lt;='Batt IN'!$G$14*12,'Batt IN'!$E$15/8760*'Batt IN'!$G$15,0)</f>
        <v>0</v>
      </c>
      <c r="J105" s="12">
        <f>Z105/'Batt IN'!$E$27/730</f>
        <v>2.4999999999999996E-3</v>
      </c>
      <c r="K105" s="23">
        <f>AA105/'Batt IN'!$E$27/730</f>
        <v>1.6027397260273972E-3</v>
      </c>
      <c r="L105" s="23">
        <f>AB105/'Batt IN'!$E$27/730</f>
        <v>2.0547945205479451E-4</v>
      </c>
      <c r="M105" s="23">
        <f>AC105/'Batt IN'!$E$27/730</f>
        <v>4.7945205479452057E-3</v>
      </c>
      <c r="N105" s="23">
        <f>AD105/'Batt IN'!$E$27/730</f>
        <v>3.4246575342465752E-3</v>
      </c>
      <c r="O105" s="12">
        <f t="shared" si="19"/>
        <v>4.3828767123287697E-2</v>
      </c>
      <c r="P105" s="21">
        <f t="shared" si="20"/>
        <v>698.005</v>
      </c>
      <c r="Q105" s="2">
        <f>IF('Batt IN'!$E$27*'Batt IN'!$E$24&lt;='Batt IN'!$E$28,(('Batt IN'!$E$23*'Batt IN'!$E$27*'Batt IN'!$E$24)/1000)*P105,(('Batt IN'!$E$23*'Batt IN'!$E$28*'Batt IN'!$E$24)/1000)*P105)</f>
        <v>11168.08</v>
      </c>
      <c r="R105" s="2"/>
      <c r="S105" s="77">
        <f>IF(C105&lt;='Batt IN'!$G$14*12,'Batt IN'!$E$15/12,0)</f>
        <v>0</v>
      </c>
      <c r="T105" s="77"/>
      <c r="U105" s="80">
        <f>'Batt IN'!$E$28*('Batt IN'!$G$24/24)*730*(1-O105)</f>
        <v>81433.916666666657</v>
      </c>
      <c r="V105" s="78">
        <f>U105*'Batt IN'!$F$30</f>
        <v>16286.783333333333</v>
      </c>
      <c r="W105" s="78">
        <f>'Batt IN'!$E$28*'Batt IN'!$G$32*('Batt IN'!$E$32/12)*(1+'Batt IN'!$F$30)</f>
        <v>1750.0000000000002</v>
      </c>
      <c r="X105" s="78">
        <f>'Batt IN'!$E$28*'Batt IN'!$G$13*('Batt IN'!$E$13/12)*(1+'Batt IN'!$F$30)</f>
        <v>3184.9999999999995</v>
      </c>
      <c r="Y105" s="33">
        <f>S105*'Batt IN'!$G$15*'Batt IN'!$E$28*(1+'Batt IN'!$F$30)</f>
        <v>0</v>
      </c>
      <c r="Z105" s="33">
        <f>'Batt IN'!$G$16*365/12*(1+'Batt IN'!$F$30)</f>
        <v>1824.9999999999998</v>
      </c>
      <c r="AA105" s="33">
        <f>'Batt IN'!$G$17*'Batt IN'!$E$18*'Batt IN'!$G$18/12*(1+'Batt IN'!$F$30)</f>
        <v>1170</v>
      </c>
      <c r="AB105" s="33">
        <f>'Batt IN'!$G$19*'Batt IN'!$E$20*'Batt IN'!$G$20/12*(1+'Batt IN'!$F$30)</f>
        <v>150</v>
      </c>
      <c r="AC105" s="33">
        <f>'Batt IN'!$G$21*(1+'Batt IN'!$F$30)/12</f>
        <v>3500</v>
      </c>
      <c r="AD105" s="33">
        <f>'Batt IN'!$G$22*(1+'Batt IN'!$F$30)/12</f>
        <v>2500</v>
      </c>
      <c r="AE105" s="33">
        <f t="shared" si="32"/>
        <v>30366.783333333333</v>
      </c>
      <c r="AF105" s="33">
        <f>IF('PV IN'!$F$4="Battery Only",0,AE105*'Batt IN'!$E$29)</f>
        <v>25811.765833333331</v>
      </c>
      <c r="AG105" s="33">
        <f>PVCalcs!L105</f>
        <v>25811.765833333331</v>
      </c>
      <c r="AH105" s="33">
        <f t="shared" si="33"/>
        <v>4555.0175000000017</v>
      </c>
      <c r="AI105" s="33"/>
      <c r="AJ105" s="2">
        <f>IF(AND('Batt IN'!$D$53="Yes",$AL$1&gt;=1),IF($C105='Batt IN'!$H$54*12,-'Batt IN'!$F$54,0),0)</f>
        <v>0</v>
      </c>
      <c r="AK105" s="2">
        <f>IF(AND('Batt IN'!$D$53="Yes",$AL$1&gt;=2),IF($C105='Batt IN'!$H$55*12,-'Batt IN'!$F$55,0),0)</f>
        <v>0</v>
      </c>
      <c r="AL105" s="2">
        <f>IF(AND('Batt IN'!$D$53="Yes",$AL$1&gt;=3),IF($C105='Batt IN'!$H$56*12,-'Batt IN'!$F$56,0),0)</f>
        <v>0</v>
      </c>
      <c r="AM105" s="2">
        <f>IF(AND('Batt IN'!$D$53="Yes",$AL$1&gt;=4),IF($C105='Batt IN'!$H$57*12,-'Batt IN'!$F$57,0),0)</f>
        <v>0</v>
      </c>
      <c r="AN105" s="2">
        <f>IF(AND('Batt IN'!$D$53="Yes",$AL$1&gt;=5),IF($C105='Batt IN'!$H$58*12,-'Batt IN'!$F$58,0),0)</f>
        <v>0</v>
      </c>
      <c r="AO105" s="10">
        <f>IF(AND('Batt IN'!$D$44="YES",$C105&lt;='Batt IN'!$E$44*12),-'Batt IN'!$E$28*'Batt IN'!$E$42/12,0)</f>
        <v>0</v>
      </c>
      <c r="AP105" s="10">
        <f>IF(AND('Batt IN'!$D$46="YES",$C105&lt;='Batt IN'!$E$46*12),-'Batt IN'!$E$28*'Batt IN'!$E$45/12,0)</f>
        <v>0</v>
      </c>
      <c r="AR105" s="10">
        <f>BattLoan!M132</f>
        <v>0</v>
      </c>
      <c r="AS105" s="10">
        <f>'Batt IN'!$G$16*365/12*'Batt IN'!$E$16</f>
        <v>76.041666666666671</v>
      </c>
      <c r="AT105" s="10">
        <f>IF(AND('Batt IN'!$E$18&gt;0,'Batt IN'!$G$18&gt;0),'Batt IN'!$E$17*'Batt IN'!$G$17,0)</f>
        <v>119.44619999999999</v>
      </c>
      <c r="AU105" s="10">
        <f>IF(AND('Batt IN'!$E$20&gt;0,'Batt IN'!$G$20&gt;0),'Batt IN'!$E$19*'Batt IN'!$G$19,0)</f>
        <v>231</v>
      </c>
      <c r="AV105" s="10"/>
      <c r="AW105" s="10"/>
      <c r="AX105" s="10">
        <f>IF('Batt IN'!$E$11="Non-Taxable",Q105,0)</f>
        <v>11168.08</v>
      </c>
      <c r="AY105" s="10">
        <f>IF('Batt IN'!$E$11="Non-Taxable",'Batt IN'!$E$28/1000*'Batt IN'!$G$13*('Batt IN'!$E$13/12)*'Batt IN'!$E$12,0)</f>
        <v>244.42220833333334</v>
      </c>
      <c r="AZ105" s="10">
        <f>IF('Batt IN'!$E$11="Non-Taxable",$S105*'Batt IN'!$G$15*'Batt IN'!$E$28*'Batt IN'!$E$14/1000,0)</f>
        <v>0</v>
      </c>
      <c r="BA105" s="10">
        <f>IF('Batt IN'!$E$11="Non-Taxable",'Batt IN'!$E$21*'Batt IN'!$G$21/12,0)</f>
        <v>437.5</v>
      </c>
      <c r="BB105" s="10">
        <f>IF('Batt IN'!$E$11="Non-Taxable",'Batt IN'!$E$22*'Batt IN'!$G$22/12,0)</f>
        <v>1145.8333333333335</v>
      </c>
      <c r="BC105" s="10">
        <f>IF('Batt IN'!$E$11="Taxable",Q105,0)</f>
        <v>0</v>
      </c>
      <c r="BD105" s="10">
        <f>IF('Batt IN'!$E$11="Taxable",'Batt IN'!$E$28/1000*'Batt IN'!$G$13*('Batt IN'!$E$13/12)*'Batt IN'!$E$12,0)</f>
        <v>0</v>
      </c>
      <c r="BE105" s="10">
        <f>IF('Batt IN'!$E$11="Taxable",$S105*'Batt IN'!$G$15*'Batt IN'!$E$28*'Batt IN'!$E$14/1000,0)</f>
        <v>0</v>
      </c>
      <c r="BF105" s="10">
        <f>IF('Batt IN'!$E$11="Taxable",'Batt IN'!$E$21*'Batt IN'!$G$21/12,0)</f>
        <v>0</v>
      </c>
      <c r="BG105" s="10">
        <f>IF('Batt IN'!$E$11="Taxable",'Batt IN'!$E$22*'Batt IN'!$G$22/12,0)</f>
        <v>0</v>
      </c>
      <c r="BK105" s="10">
        <f>IF('Batt IN'!$N$18="Yes",-BattLoan!H133,-BattLoan!L133)</f>
        <v>0</v>
      </c>
      <c r="BL105" s="10">
        <f>IF('Batt IN'!$N$18="Yes",-BattLoan!F133,0)</f>
        <v>0</v>
      </c>
      <c r="BM105" s="10">
        <f>IF(AND('Batt IN'!$D$44="YES",$C105&lt;='Batt IN'!$E$44*12),0,-'Batt IN'!$E$28*'Batt IN'!$E$42/12)</f>
        <v>-83.333333333333329</v>
      </c>
      <c r="BN105" s="10">
        <f>IF(AND('Batt IN'!$D$46="YES",$C105&lt;='Batt IN'!$E$46*12),0,-'Batt IN'!$E$28*'Batt IN'!$E$45/12)</f>
        <v>-166.66666666666666</v>
      </c>
      <c r="BO105" s="2">
        <f>IF(AND('Batt IN'!$D$41="YES",BattCalcs!C105=ROUNDUP('Batt IN'!$H$41*12,)),-'Batt IN'!$E$41*'Batt IN'!$E$28,0)</f>
        <v>0</v>
      </c>
      <c r="BP105" s="2">
        <f>IF(AND('Batt IN'!$D$53="Yes",$AL$1&gt;=1),0,IF($C105='Batt IN'!$H$54*12,-'Batt IN'!$F$54,0))</f>
        <v>0</v>
      </c>
      <c r="BQ105" s="2">
        <f>IF(AND('Batt IN'!$D$53="Yes",$AL$1&gt;=2),0,IF($C105='Batt IN'!$H$55*12,-'Batt IN'!$F$55,0))</f>
        <v>0</v>
      </c>
      <c r="BR105" s="2">
        <f>IF(AND('Batt IN'!$D$53="Yes",$AL$1&gt;=3),0,IF($C105='Batt IN'!$H$56*12,-'Batt IN'!$F$56,0))</f>
        <v>0</v>
      </c>
      <c r="BS105" s="2">
        <f>IF(AND('Batt IN'!$D$53="Yes",$AL$1&gt;=4),0,IF($C105='Batt IN'!$H$57*12,-'Batt IN'!$F$57,0))</f>
        <v>0</v>
      </c>
      <c r="BT105" s="2">
        <f>IF(AND('Batt IN'!$D$53="Yes",$AL$1&gt;=5),0,IF($C105='Batt IN'!$H$58*12,-'Batt IN'!$F$58,0))</f>
        <v>0</v>
      </c>
      <c r="BU105" s="2">
        <f>-AH105*PVCalcs!F105</f>
        <v>-361.9020255125464</v>
      </c>
      <c r="BV105" s="2">
        <f>-'Batt IN'!$E$47</f>
        <v>-150</v>
      </c>
      <c r="BW105" s="2">
        <f>-'Batt IN'!$E$49</f>
        <v>-2250</v>
      </c>
      <c r="BX105" s="2">
        <f>IF('Batt IN'!$H$50="No",-(BC105*'Batt IN'!$E$50),-(BC105+BE105)*'Batt IN'!$E$50)</f>
        <v>0</v>
      </c>
      <c r="BY105" s="2">
        <f>IF(C105='Batt IN'!$H$43*12,-'Batt IN'!$E$43,0)</f>
        <v>0</v>
      </c>
      <c r="BZ105" s="38"/>
      <c r="CA105" s="10">
        <f t="shared" si="17"/>
        <v>13422.323408333334</v>
      </c>
      <c r="CB105" s="2">
        <f t="shared" si="21"/>
        <v>-3011.9020255125465</v>
      </c>
      <c r="CC105" s="45">
        <f t="shared" si="22"/>
        <v>10410.421382820787</v>
      </c>
      <c r="CD105" s="43"/>
      <c r="CE105" s="2">
        <f t="shared" si="18"/>
        <v>0</v>
      </c>
      <c r="CF105" s="2">
        <f t="shared" si="23"/>
        <v>-3011.9020255125465</v>
      </c>
      <c r="CG105" s="2"/>
      <c r="CH105" s="2">
        <f t="shared" si="24"/>
        <v>-3011.9020255125465</v>
      </c>
      <c r="CI105" s="45">
        <f>-CH105*'Batt IN'!$E$7</f>
        <v>632.49942535763478</v>
      </c>
      <c r="CJ105" s="48"/>
      <c r="CK105" s="45">
        <f>IF('Batt IN'!$F$4="PV Only",0,IF(C105&gt;'Batt IN'!$H$43*12,0,CC105+CI105))</f>
        <v>0</v>
      </c>
      <c r="CM105" s="10">
        <f t="shared" si="25"/>
        <v>0</v>
      </c>
      <c r="CN105" s="2">
        <f>CK105/(1+('Batt IN'!$G$8))^(C105)</f>
        <v>0</v>
      </c>
      <c r="CO105" s="2">
        <f>IF(C105&lt;='Batt IN'!$O$30*12,CN105+CO104,NA())</f>
        <v>0</v>
      </c>
      <c r="CQ105" s="2">
        <f>CK105/((1+('Batt IN'!$E$8/12))^BattCalcs!C105)</f>
        <v>0</v>
      </c>
      <c r="CS105" s="10">
        <f t="shared" si="26"/>
        <v>-3011.9020255125465</v>
      </c>
      <c r="CT105" s="10">
        <f t="shared" si="27"/>
        <v>0</v>
      </c>
      <c r="CU105" s="10">
        <f t="shared" si="28"/>
        <v>-3011.9020255125465</v>
      </c>
      <c r="CV105" s="10">
        <f t="shared" si="29"/>
        <v>-3011.9020255125465</v>
      </c>
      <c r="CW105" s="2">
        <f t="shared" si="30"/>
        <v>0</v>
      </c>
      <c r="CX105" s="2">
        <f>-(SUM(CV105:CW105)*'PV IN'!$E$8)</f>
        <v>632.49942535763478</v>
      </c>
      <c r="CY105" s="2">
        <f t="shared" si="31"/>
        <v>-2379.4026001549119</v>
      </c>
      <c r="CZ105" s="2">
        <f>IF(C105&lt;='Batt IN'!$H$43*12,CY105/(1+('PV IN'!$G$9))^(C105),0)</f>
        <v>-1578.0641895917872</v>
      </c>
      <c r="DA105" s="33">
        <f>IF(C105&lt;='Batt IN'!$H$43*12,AE105,0)</f>
        <v>30366.783333333333</v>
      </c>
    </row>
    <row r="106" spans="1:105" x14ac:dyDescent="0.25">
      <c r="A106">
        <f>IF(C106&lt;='Batt IN'!$H$43*12,C106,"")</f>
        <v>102</v>
      </c>
      <c r="C106">
        <v>102</v>
      </c>
      <c r="D106" s="21">
        <v>730</v>
      </c>
      <c r="E106" s="1">
        <f>1-'Batt IN'!$E$31</f>
        <v>2.0000000000000018E-2</v>
      </c>
      <c r="F106" s="12">
        <f>('Batt IN'!$E$33*365)/8760</f>
        <v>0</v>
      </c>
      <c r="G106" s="22">
        <f>'Batt IN'!$E$32/8760</f>
        <v>5.7077625570776253E-3</v>
      </c>
      <c r="H106" s="22">
        <f>'Batt IN'!$E$13/8760</f>
        <v>5.5936073059360729E-3</v>
      </c>
      <c r="I106" s="23">
        <f>IF(C106&lt;='Batt IN'!$G$14*12,'Batt IN'!$E$15/8760*'Batt IN'!$G$15,0)</f>
        <v>0</v>
      </c>
      <c r="J106" s="12">
        <f>Z106/'Batt IN'!$E$27/730</f>
        <v>2.4999999999999996E-3</v>
      </c>
      <c r="K106" s="23">
        <f>AA106/'Batt IN'!$E$27/730</f>
        <v>1.6027397260273972E-3</v>
      </c>
      <c r="L106" s="23">
        <f>AB106/'Batt IN'!$E$27/730</f>
        <v>2.0547945205479451E-4</v>
      </c>
      <c r="M106" s="23">
        <f>AC106/'Batt IN'!$E$27/730</f>
        <v>4.7945205479452057E-3</v>
      </c>
      <c r="N106" s="23">
        <f>AD106/'Batt IN'!$E$27/730</f>
        <v>3.4246575342465752E-3</v>
      </c>
      <c r="O106" s="12">
        <f t="shared" si="19"/>
        <v>4.3828767123287697E-2</v>
      </c>
      <c r="P106" s="21">
        <f t="shared" si="20"/>
        <v>698.005</v>
      </c>
      <c r="Q106" s="2">
        <f>IF('Batt IN'!$E$27*'Batt IN'!$E$24&lt;='Batt IN'!$E$28,(('Batt IN'!$E$23*'Batt IN'!$E$27*'Batt IN'!$E$24)/1000)*P106,(('Batt IN'!$E$23*'Batt IN'!$E$28*'Batt IN'!$E$24)/1000)*P106)</f>
        <v>11168.08</v>
      </c>
      <c r="R106" s="2"/>
      <c r="S106" s="77">
        <f>IF(C106&lt;='Batt IN'!$G$14*12,'Batt IN'!$E$15/12,0)</f>
        <v>0</v>
      </c>
      <c r="T106" s="77"/>
      <c r="U106" s="80">
        <f>'Batt IN'!$E$28*('Batt IN'!$G$24/24)*730*(1-O106)</f>
        <v>81433.916666666657</v>
      </c>
      <c r="V106" s="78">
        <f>U106*'Batt IN'!$F$30</f>
        <v>16286.783333333333</v>
      </c>
      <c r="W106" s="78">
        <f>'Batt IN'!$E$28*'Batt IN'!$G$32*('Batt IN'!$E$32/12)*(1+'Batt IN'!$F$30)</f>
        <v>1750.0000000000002</v>
      </c>
      <c r="X106" s="78">
        <f>'Batt IN'!$E$28*'Batt IN'!$G$13*('Batt IN'!$E$13/12)*(1+'Batt IN'!$F$30)</f>
        <v>3184.9999999999995</v>
      </c>
      <c r="Y106" s="33">
        <f>S106*'Batt IN'!$G$15*'Batt IN'!$E$28*(1+'Batt IN'!$F$30)</f>
        <v>0</v>
      </c>
      <c r="Z106" s="33">
        <f>'Batt IN'!$G$16*365/12*(1+'Batt IN'!$F$30)</f>
        <v>1824.9999999999998</v>
      </c>
      <c r="AA106" s="33">
        <f>'Batt IN'!$G$17*'Batt IN'!$E$18*'Batt IN'!$G$18/12*(1+'Batt IN'!$F$30)</f>
        <v>1170</v>
      </c>
      <c r="AB106" s="33">
        <f>'Batt IN'!$G$19*'Batt IN'!$E$20*'Batt IN'!$G$20/12*(1+'Batt IN'!$F$30)</f>
        <v>150</v>
      </c>
      <c r="AC106" s="33">
        <f>'Batt IN'!$G$21*(1+'Batt IN'!$F$30)/12</f>
        <v>3500</v>
      </c>
      <c r="AD106" s="33">
        <f>'Batt IN'!$G$22*(1+'Batt IN'!$F$30)/12</f>
        <v>2500</v>
      </c>
      <c r="AE106" s="33">
        <f t="shared" si="32"/>
        <v>30366.783333333333</v>
      </c>
      <c r="AF106" s="33">
        <f>IF('PV IN'!$F$4="Battery Only",0,AE106*'Batt IN'!$E$29)</f>
        <v>25811.765833333331</v>
      </c>
      <c r="AG106" s="33">
        <f>PVCalcs!L106</f>
        <v>25811.765833333331</v>
      </c>
      <c r="AH106" s="33">
        <f t="shared" si="33"/>
        <v>4555.0175000000017</v>
      </c>
      <c r="AI106" s="33"/>
      <c r="AJ106" s="2">
        <f>IF(AND('Batt IN'!$D$53="Yes",$AL$1&gt;=1),IF($C106='Batt IN'!$H$54*12,-'Batt IN'!$F$54,0),0)</f>
        <v>0</v>
      </c>
      <c r="AK106" s="2">
        <f>IF(AND('Batt IN'!$D$53="Yes",$AL$1&gt;=2),IF($C106='Batt IN'!$H$55*12,-'Batt IN'!$F$55,0),0)</f>
        <v>0</v>
      </c>
      <c r="AL106" s="2">
        <f>IF(AND('Batt IN'!$D$53="Yes",$AL$1&gt;=3),IF($C106='Batt IN'!$H$56*12,-'Batt IN'!$F$56,0),0)</f>
        <v>0</v>
      </c>
      <c r="AM106" s="2">
        <f>IF(AND('Batt IN'!$D$53="Yes",$AL$1&gt;=4),IF($C106='Batt IN'!$H$57*12,-'Batt IN'!$F$57,0),0)</f>
        <v>0</v>
      </c>
      <c r="AN106" s="2">
        <f>IF(AND('Batt IN'!$D$53="Yes",$AL$1&gt;=5),IF($C106='Batt IN'!$H$58*12,-'Batt IN'!$F$58,0),0)</f>
        <v>0</v>
      </c>
      <c r="AO106" s="10">
        <f>IF(AND('Batt IN'!$D$44="YES",$C106&lt;='Batt IN'!$E$44*12),-'Batt IN'!$E$28*'Batt IN'!$E$42/12,0)</f>
        <v>0</v>
      </c>
      <c r="AP106" s="10">
        <f>IF(AND('Batt IN'!$D$46="YES",$C106&lt;='Batt IN'!$E$46*12),-'Batt IN'!$E$28*'Batt IN'!$E$45/12,0)</f>
        <v>0</v>
      </c>
      <c r="AR106" s="10">
        <f>BattLoan!M133</f>
        <v>0</v>
      </c>
      <c r="AS106" s="10">
        <f>'Batt IN'!$G$16*365/12*'Batt IN'!$E$16</f>
        <v>76.041666666666671</v>
      </c>
      <c r="AT106" s="10">
        <f>IF(AND('Batt IN'!$E$18&gt;0,'Batt IN'!$G$18&gt;0),'Batt IN'!$E$17*'Batt IN'!$G$17,0)</f>
        <v>119.44619999999999</v>
      </c>
      <c r="AU106" s="10">
        <f>IF(AND('Batt IN'!$E$20&gt;0,'Batt IN'!$G$20&gt;0),'Batt IN'!$E$19*'Batt IN'!$G$19,0)</f>
        <v>231</v>
      </c>
      <c r="AV106" s="10"/>
      <c r="AW106" s="10"/>
      <c r="AX106" s="10">
        <f>IF('Batt IN'!$E$11="Non-Taxable",Q106,0)</f>
        <v>11168.08</v>
      </c>
      <c r="AY106" s="10">
        <f>IF('Batt IN'!$E$11="Non-Taxable",'Batt IN'!$E$28/1000*'Batt IN'!$G$13*('Batt IN'!$E$13/12)*'Batt IN'!$E$12,0)</f>
        <v>244.42220833333334</v>
      </c>
      <c r="AZ106" s="10">
        <f>IF('Batt IN'!$E$11="Non-Taxable",$S106*'Batt IN'!$G$15*'Batt IN'!$E$28*'Batt IN'!$E$14/1000,0)</f>
        <v>0</v>
      </c>
      <c r="BA106" s="10">
        <f>IF('Batt IN'!$E$11="Non-Taxable",'Batt IN'!$E$21*'Batt IN'!$G$21/12,0)</f>
        <v>437.5</v>
      </c>
      <c r="BB106" s="10">
        <f>IF('Batt IN'!$E$11="Non-Taxable",'Batt IN'!$E$22*'Batt IN'!$G$22/12,0)</f>
        <v>1145.8333333333335</v>
      </c>
      <c r="BC106" s="10">
        <f>IF('Batt IN'!$E$11="Taxable",Q106,0)</f>
        <v>0</v>
      </c>
      <c r="BD106" s="10">
        <f>IF('Batt IN'!$E$11="Taxable",'Batt IN'!$E$28/1000*'Batt IN'!$G$13*('Batt IN'!$E$13/12)*'Batt IN'!$E$12,0)</f>
        <v>0</v>
      </c>
      <c r="BE106" s="10">
        <f>IF('Batt IN'!$E$11="Taxable",$S106*'Batt IN'!$G$15*'Batt IN'!$E$28*'Batt IN'!$E$14/1000,0)</f>
        <v>0</v>
      </c>
      <c r="BF106" s="10">
        <f>IF('Batt IN'!$E$11="Taxable",'Batt IN'!$E$21*'Batt IN'!$G$21/12,0)</f>
        <v>0</v>
      </c>
      <c r="BG106" s="10">
        <f>IF('Batt IN'!$E$11="Taxable",'Batt IN'!$E$22*'Batt IN'!$G$22/12,0)</f>
        <v>0</v>
      </c>
      <c r="BK106" s="10">
        <f>IF('Batt IN'!$N$18="Yes",-BattLoan!H134,-BattLoan!L134)</f>
        <v>0</v>
      </c>
      <c r="BL106" s="10">
        <f>IF('Batt IN'!$N$18="Yes",-BattLoan!F134,0)</f>
        <v>0</v>
      </c>
      <c r="BM106" s="10">
        <f>IF(AND('Batt IN'!$D$44="YES",$C106&lt;='Batt IN'!$E$44*12),0,-'Batt IN'!$E$28*'Batt IN'!$E$42/12)</f>
        <v>-83.333333333333329</v>
      </c>
      <c r="BN106" s="10">
        <f>IF(AND('Batt IN'!$D$46="YES",$C106&lt;='Batt IN'!$E$46*12),0,-'Batt IN'!$E$28*'Batt IN'!$E$45/12)</f>
        <v>-166.66666666666666</v>
      </c>
      <c r="BO106" s="2">
        <f>IF(AND('Batt IN'!$D$41="YES",BattCalcs!C106=ROUNDUP('Batt IN'!$H$41*12,)),-'Batt IN'!$E$41*'Batt IN'!$E$28,0)</f>
        <v>0</v>
      </c>
      <c r="BP106" s="2">
        <f>IF(AND('Batt IN'!$D$53="Yes",$AL$1&gt;=1),0,IF($C106='Batt IN'!$H$54*12,-'Batt IN'!$F$54,0))</f>
        <v>0</v>
      </c>
      <c r="BQ106" s="2">
        <f>IF(AND('Batt IN'!$D$53="Yes",$AL$1&gt;=2),0,IF($C106='Batt IN'!$H$55*12,-'Batt IN'!$F$55,0))</f>
        <v>0</v>
      </c>
      <c r="BR106" s="2">
        <f>IF(AND('Batt IN'!$D$53="Yes",$AL$1&gt;=3),0,IF($C106='Batt IN'!$H$56*12,-'Batt IN'!$F$56,0))</f>
        <v>0</v>
      </c>
      <c r="BS106" s="2">
        <f>IF(AND('Batt IN'!$D$53="Yes",$AL$1&gt;=4),0,IF($C106='Batt IN'!$H$57*12,-'Batt IN'!$F$57,0))</f>
        <v>0</v>
      </c>
      <c r="BT106" s="2">
        <f>IF(AND('Batt IN'!$D$53="Yes",$AL$1&gt;=5),0,IF($C106='Batt IN'!$H$58*12,-'Batt IN'!$F$58,0))</f>
        <v>0</v>
      </c>
      <c r="BU106" s="2">
        <f>-AH106*PVCalcs!F106</f>
        <v>-361.9020255125464</v>
      </c>
      <c r="BV106" s="2">
        <f>-'Batt IN'!$E$47</f>
        <v>-150</v>
      </c>
      <c r="BW106" s="2">
        <f>-'Batt IN'!$E$49</f>
        <v>-2250</v>
      </c>
      <c r="BX106" s="2">
        <f>IF('Batt IN'!$H$50="No",-(BC106*'Batt IN'!$E$50),-(BC106+BE106)*'Batt IN'!$E$50)</f>
        <v>0</v>
      </c>
      <c r="BY106" s="2">
        <f>IF(C106='Batt IN'!$H$43*12,-'Batt IN'!$E$43,0)</f>
        <v>0</v>
      </c>
      <c r="BZ106" s="38"/>
      <c r="CA106" s="10">
        <f t="shared" si="17"/>
        <v>13422.323408333334</v>
      </c>
      <c r="CB106" s="2">
        <f t="shared" si="21"/>
        <v>-3011.9020255125465</v>
      </c>
      <c r="CC106" s="45">
        <f t="shared" si="22"/>
        <v>10410.421382820787</v>
      </c>
      <c r="CD106" s="43"/>
      <c r="CE106" s="2">
        <f t="shared" si="18"/>
        <v>0</v>
      </c>
      <c r="CF106" s="2">
        <f t="shared" si="23"/>
        <v>-3011.9020255125465</v>
      </c>
      <c r="CG106" s="2"/>
      <c r="CH106" s="2">
        <f t="shared" si="24"/>
        <v>-3011.9020255125465</v>
      </c>
      <c r="CI106" s="45">
        <f>-CH106*'Batt IN'!$E$7</f>
        <v>632.49942535763478</v>
      </c>
      <c r="CJ106" s="48"/>
      <c r="CK106" s="45">
        <f>IF('Batt IN'!$F$4="PV Only",0,IF(C106&gt;'Batt IN'!$H$43*12,0,CC106+CI106))</f>
        <v>0</v>
      </c>
      <c r="CM106" s="10">
        <f t="shared" si="25"/>
        <v>0</v>
      </c>
      <c r="CN106" s="2">
        <f>CK106/(1+('Batt IN'!$G$8))^(C106)</f>
        <v>0</v>
      </c>
      <c r="CO106" s="2">
        <f>IF(C106&lt;='Batt IN'!$O$30*12,CN106+CO105,NA())</f>
        <v>0</v>
      </c>
      <c r="CQ106" s="2">
        <f>CK106/((1+('Batt IN'!$E$8/12))^BattCalcs!C106)</f>
        <v>0</v>
      </c>
      <c r="CS106" s="10">
        <f t="shared" si="26"/>
        <v>-3011.9020255125465</v>
      </c>
      <c r="CT106" s="10">
        <f t="shared" si="27"/>
        <v>0</v>
      </c>
      <c r="CU106" s="10">
        <f t="shared" si="28"/>
        <v>-3011.9020255125465</v>
      </c>
      <c r="CV106" s="10">
        <f t="shared" si="29"/>
        <v>-3011.9020255125465</v>
      </c>
      <c r="CW106" s="2">
        <f t="shared" si="30"/>
        <v>0</v>
      </c>
      <c r="CX106" s="2">
        <f>-(SUM(CV106:CW106)*'PV IN'!$E$8)</f>
        <v>632.49942535763478</v>
      </c>
      <c r="CY106" s="2">
        <f t="shared" si="31"/>
        <v>-2379.4026001549119</v>
      </c>
      <c r="CZ106" s="2">
        <f>IF(C106&lt;='Batt IN'!$H$43*12,CY106/(1+('PV IN'!$G$9))^(C106),0)</f>
        <v>-1571.6610479365552</v>
      </c>
      <c r="DA106" s="33">
        <f>IF(C106&lt;='Batt IN'!$H$43*12,AE106,0)</f>
        <v>30366.783333333333</v>
      </c>
    </row>
    <row r="107" spans="1:105" x14ac:dyDescent="0.25">
      <c r="A107">
        <f>IF(C107&lt;='Batt IN'!$H$43*12,C107,"")</f>
        <v>103</v>
      </c>
      <c r="C107">
        <v>103</v>
      </c>
      <c r="D107" s="21">
        <v>730</v>
      </c>
      <c r="E107" s="1">
        <f>1-'Batt IN'!$E$31</f>
        <v>2.0000000000000018E-2</v>
      </c>
      <c r="F107" s="12">
        <f>('Batt IN'!$E$33*365)/8760</f>
        <v>0</v>
      </c>
      <c r="G107" s="22">
        <f>'Batt IN'!$E$32/8760</f>
        <v>5.7077625570776253E-3</v>
      </c>
      <c r="H107" s="22">
        <f>'Batt IN'!$E$13/8760</f>
        <v>5.5936073059360729E-3</v>
      </c>
      <c r="I107" s="23">
        <f>IF(C107&lt;='Batt IN'!$G$14*12,'Batt IN'!$E$15/8760*'Batt IN'!$G$15,0)</f>
        <v>0</v>
      </c>
      <c r="J107" s="12">
        <f>Z107/'Batt IN'!$E$27/730</f>
        <v>2.4999999999999996E-3</v>
      </c>
      <c r="K107" s="23">
        <f>AA107/'Batt IN'!$E$27/730</f>
        <v>1.6027397260273972E-3</v>
      </c>
      <c r="L107" s="23">
        <f>AB107/'Batt IN'!$E$27/730</f>
        <v>2.0547945205479451E-4</v>
      </c>
      <c r="M107" s="23">
        <f>AC107/'Batt IN'!$E$27/730</f>
        <v>4.7945205479452057E-3</v>
      </c>
      <c r="N107" s="23">
        <f>AD107/'Batt IN'!$E$27/730</f>
        <v>3.4246575342465752E-3</v>
      </c>
      <c r="O107" s="12">
        <f t="shared" si="19"/>
        <v>4.3828767123287697E-2</v>
      </c>
      <c r="P107" s="21">
        <f t="shared" si="20"/>
        <v>698.005</v>
      </c>
      <c r="Q107" s="2">
        <f>IF('Batt IN'!$E$27*'Batt IN'!$E$24&lt;='Batt IN'!$E$28,(('Batt IN'!$E$23*'Batt IN'!$E$27*'Batt IN'!$E$24)/1000)*P107,(('Batt IN'!$E$23*'Batt IN'!$E$28*'Batt IN'!$E$24)/1000)*P107)</f>
        <v>11168.08</v>
      </c>
      <c r="R107" s="2"/>
      <c r="S107" s="77">
        <f>IF(C107&lt;='Batt IN'!$G$14*12,'Batt IN'!$E$15/12,0)</f>
        <v>0</v>
      </c>
      <c r="T107" s="77"/>
      <c r="U107" s="80">
        <f>'Batt IN'!$E$28*('Batt IN'!$G$24/24)*730*(1-O107)</f>
        <v>81433.916666666657</v>
      </c>
      <c r="V107" s="78">
        <f>U107*'Batt IN'!$F$30</f>
        <v>16286.783333333333</v>
      </c>
      <c r="W107" s="78">
        <f>'Batt IN'!$E$28*'Batt IN'!$G$32*('Batt IN'!$E$32/12)*(1+'Batt IN'!$F$30)</f>
        <v>1750.0000000000002</v>
      </c>
      <c r="X107" s="78">
        <f>'Batt IN'!$E$28*'Batt IN'!$G$13*('Batt IN'!$E$13/12)*(1+'Batt IN'!$F$30)</f>
        <v>3184.9999999999995</v>
      </c>
      <c r="Y107" s="33">
        <f>S107*'Batt IN'!$G$15*'Batt IN'!$E$28*(1+'Batt IN'!$F$30)</f>
        <v>0</v>
      </c>
      <c r="Z107" s="33">
        <f>'Batt IN'!$G$16*365/12*(1+'Batt IN'!$F$30)</f>
        <v>1824.9999999999998</v>
      </c>
      <c r="AA107" s="33">
        <f>'Batt IN'!$G$17*'Batt IN'!$E$18*'Batt IN'!$G$18/12*(1+'Batt IN'!$F$30)</f>
        <v>1170</v>
      </c>
      <c r="AB107" s="33">
        <f>'Batt IN'!$G$19*'Batt IN'!$E$20*'Batt IN'!$G$20/12*(1+'Batt IN'!$F$30)</f>
        <v>150</v>
      </c>
      <c r="AC107" s="33">
        <f>'Batt IN'!$G$21*(1+'Batt IN'!$F$30)/12</f>
        <v>3500</v>
      </c>
      <c r="AD107" s="33">
        <f>'Batt IN'!$G$22*(1+'Batt IN'!$F$30)/12</f>
        <v>2500</v>
      </c>
      <c r="AE107" s="33">
        <f t="shared" si="32"/>
        <v>30366.783333333333</v>
      </c>
      <c r="AF107" s="33">
        <f>IF('PV IN'!$F$4="Battery Only",0,AE107*'Batt IN'!$E$29)</f>
        <v>25811.765833333331</v>
      </c>
      <c r="AG107" s="33">
        <f>PVCalcs!L107</f>
        <v>25811.765833333331</v>
      </c>
      <c r="AH107" s="33">
        <f t="shared" si="33"/>
        <v>4555.0175000000017</v>
      </c>
      <c r="AI107" s="33"/>
      <c r="AJ107" s="2">
        <f>IF(AND('Batt IN'!$D$53="Yes",$AL$1&gt;=1),IF($C107='Batt IN'!$H$54*12,-'Batt IN'!$F$54,0),0)</f>
        <v>0</v>
      </c>
      <c r="AK107" s="2">
        <f>IF(AND('Batt IN'!$D$53="Yes",$AL$1&gt;=2),IF($C107='Batt IN'!$H$55*12,-'Batt IN'!$F$55,0),0)</f>
        <v>0</v>
      </c>
      <c r="AL107" s="2">
        <f>IF(AND('Batt IN'!$D$53="Yes",$AL$1&gt;=3),IF($C107='Batt IN'!$H$56*12,-'Batt IN'!$F$56,0),0)</f>
        <v>0</v>
      </c>
      <c r="AM107" s="2">
        <f>IF(AND('Batt IN'!$D$53="Yes",$AL$1&gt;=4),IF($C107='Batt IN'!$H$57*12,-'Batt IN'!$F$57,0),0)</f>
        <v>0</v>
      </c>
      <c r="AN107" s="2">
        <f>IF(AND('Batt IN'!$D$53="Yes",$AL$1&gt;=5),IF($C107='Batt IN'!$H$58*12,-'Batt IN'!$F$58,0),0)</f>
        <v>0</v>
      </c>
      <c r="AO107" s="10">
        <f>IF(AND('Batt IN'!$D$44="YES",$C107&lt;='Batt IN'!$E$44*12),-'Batt IN'!$E$28*'Batt IN'!$E$42/12,0)</f>
        <v>0</v>
      </c>
      <c r="AP107" s="10">
        <f>IF(AND('Batt IN'!$D$46="YES",$C107&lt;='Batt IN'!$E$46*12),-'Batt IN'!$E$28*'Batt IN'!$E$45/12,0)</f>
        <v>0</v>
      </c>
      <c r="AR107" s="10">
        <f>BattLoan!M134</f>
        <v>0</v>
      </c>
      <c r="AS107" s="10">
        <f>'Batt IN'!$G$16*365/12*'Batt IN'!$E$16</f>
        <v>76.041666666666671</v>
      </c>
      <c r="AT107" s="10">
        <f>IF(AND('Batt IN'!$E$18&gt;0,'Batt IN'!$G$18&gt;0),'Batt IN'!$E$17*'Batt IN'!$G$17,0)</f>
        <v>119.44619999999999</v>
      </c>
      <c r="AU107" s="10">
        <f>IF(AND('Batt IN'!$E$20&gt;0,'Batt IN'!$G$20&gt;0),'Batt IN'!$E$19*'Batt IN'!$G$19,0)</f>
        <v>231</v>
      </c>
      <c r="AV107" s="10"/>
      <c r="AW107" s="10"/>
      <c r="AX107" s="10">
        <f>IF('Batt IN'!$E$11="Non-Taxable",Q107,0)</f>
        <v>11168.08</v>
      </c>
      <c r="AY107" s="10">
        <f>IF('Batt IN'!$E$11="Non-Taxable",'Batt IN'!$E$28/1000*'Batt IN'!$G$13*('Batt IN'!$E$13/12)*'Batt IN'!$E$12,0)</f>
        <v>244.42220833333334</v>
      </c>
      <c r="AZ107" s="10">
        <f>IF('Batt IN'!$E$11="Non-Taxable",$S107*'Batt IN'!$G$15*'Batt IN'!$E$28*'Batt IN'!$E$14/1000,0)</f>
        <v>0</v>
      </c>
      <c r="BA107" s="10">
        <f>IF('Batt IN'!$E$11="Non-Taxable",'Batt IN'!$E$21*'Batt IN'!$G$21/12,0)</f>
        <v>437.5</v>
      </c>
      <c r="BB107" s="10">
        <f>IF('Batt IN'!$E$11="Non-Taxable",'Batt IN'!$E$22*'Batt IN'!$G$22/12,0)</f>
        <v>1145.8333333333335</v>
      </c>
      <c r="BC107" s="10">
        <f>IF('Batt IN'!$E$11="Taxable",Q107,0)</f>
        <v>0</v>
      </c>
      <c r="BD107" s="10">
        <f>IF('Batt IN'!$E$11="Taxable",'Batt IN'!$E$28/1000*'Batt IN'!$G$13*('Batt IN'!$E$13/12)*'Batt IN'!$E$12,0)</f>
        <v>0</v>
      </c>
      <c r="BE107" s="10">
        <f>IF('Batt IN'!$E$11="Taxable",$S107*'Batt IN'!$G$15*'Batt IN'!$E$28*'Batt IN'!$E$14/1000,0)</f>
        <v>0</v>
      </c>
      <c r="BF107" s="10">
        <f>IF('Batt IN'!$E$11="Taxable",'Batt IN'!$E$21*'Batt IN'!$G$21/12,0)</f>
        <v>0</v>
      </c>
      <c r="BG107" s="10">
        <f>IF('Batt IN'!$E$11="Taxable",'Batt IN'!$E$22*'Batt IN'!$G$22/12,0)</f>
        <v>0</v>
      </c>
      <c r="BK107" s="10">
        <f>IF('Batt IN'!$N$18="Yes",-BattLoan!H135,-BattLoan!L135)</f>
        <v>0</v>
      </c>
      <c r="BL107" s="10">
        <f>IF('Batt IN'!$N$18="Yes",-BattLoan!F135,0)</f>
        <v>0</v>
      </c>
      <c r="BM107" s="10">
        <f>IF(AND('Batt IN'!$D$44="YES",$C107&lt;='Batt IN'!$E$44*12),0,-'Batt IN'!$E$28*'Batt IN'!$E$42/12)</f>
        <v>-83.333333333333329</v>
      </c>
      <c r="BN107" s="10">
        <f>IF(AND('Batt IN'!$D$46="YES",$C107&lt;='Batt IN'!$E$46*12),0,-'Batt IN'!$E$28*'Batt IN'!$E$45/12)</f>
        <v>-166.66666666666666</v>
      </c>
      <c r="BO107" s="2">
        <f>IF(AND('Batt IN'!$D$41="YES",BattCalcs!C107=ROUNDUP('Batt IN'!$H$41*12,)),-'Batt IN'!$E$41*'Batt IN'!$E$28,0)</f>
        <v>0</v>
      </c>
      <c r="BP107" s="2">
        <f>IF(AND('Batt IN'!$D$53="Yes",$AL$1&gt;=1),0,IF($C107='Batt IN'!$H$54*12,-'Batt IN'!$F$54,0))</f>
        <v>0</v>
      </c>
      <c r="BQ107" s="2">
        <f>IF(AND('Batt IN'!$D$53="Yes",$AL$1&gt;=2),0,IF($C107='Batt IN'!$H$55*12,-'Batt IN'!$F$55,0))</f>
        <v>0</v>
      </c>
      <c r="BR107" s="2">
        <f>IF(AND('Batt IN'!$D$53="Yes",$AL$1&gt;=3),0,IF($C107='Batt IN'!$H$56*12,-'Batt IN'!$F$56,0))</f>
        <v>0</v>
      </c>
      <c r="BS107" s="2">
        <f>IF(AND('Batt IN'!$D$53="Yes",$AL$1&gt;=4),0,IF($C107='Batt IN'!$H$57*12,-'Batt IN'!$F$57,0))</f>
        <v>0</v>
      </c>
      <c r="BT107" s="2">
        <f>IF(AND('Batt IN'!$D$53="Yes",$AL$1&gt;=5),0,IF($C107='Batt IN'!$H$58*12,-'Batt IN'!$F$58,0))</f>
        <v>0</v>
      </c>
      <c r="BU107" s="2">
        <f>-AH107*PVCalcs!F107</f>
        <v>-361.9020255125464</v>
      </c>
      <c r="BV107" s="2">
        <f>-'Batt IN'!$E$47</f>
        <v>-150</v>
      </c>
      <c r="BW107" s="2">
        <f>-'Batt IN'!$E$49</f>
        <v>-2250</v>
      </c>
      <c r="BX107" s="2">
        <f>IF('Batt IN'!$H$50="No",-(BC107*'Batt IN'!$E$50),-(BC107+BE107)*'Batt IN'!$E$50)</f>
        <v>0</v>
      </c>
      <c r="BY107" s="2">
        <f>IF(C107='Batt IN'!$H$43*12,-'Batt IN'!$E$43,0)</f>
        <v>0</v>
      </c>
      <c r="BZ107" s="38"/>
      <c r="CA107" s="10">
        <f t="shared" si="17"/>
        <v>13422.323408333334</v>
      </c>
      <c r="CB107" s="2">
        <f t="shared" si="21"/>
        <v>-3011.9020255125465</v>
      </c>
      <c r="CC107" s="45">
        <f t="shared" si="22"/>
        <v>10410.421382820787</v>
      </c>
      <c r="CD107" s="43"/>
      <c r="CE107" s="2">
        <f t="shared" si="18"/>
        <v>0</v>
      </c>
      <c r="CF107" s="2">
        <f t="shared" si="23"/>
        <v>-3011.9020255125465</v>
      </c>
      <c r="CG107" s="2"/>
      <c r="CH107" s="2">
        <f t="shared" si="24"/>
        <v>-3011.9020255125465</v>
      </c>
      <c r="CI107" s="45">
        <f>-CH107*'Batt IN'!$E$7</f>
        <v>632.49942535763478</v>
      </c>
      <c r="CJ107" s="48"/>
      <c r="CK107" s="45">
        <f>IF('Batt IN'!$F$4="PV Only",0,IF(C107&gt;'Batt IN'!$H$43*12,0,CC107+CI107))</f>
        <v>0</v>
      </c>
      <c r="CM107" s="10">
        <f t="shared" si="25"/>
        <v>0</v>
      </c>
      <c r="CN107" s="2">
        <f>CK107/(1+('Batt IN'!$G$8))^(C107)</f>
        <v>0</v>
      </c>
      <c r="CO107" s="2">
        <f>IF(C107&lt;='Batt IN'!$O$30*12,CN107+CO106,NA())</f>
        <v>0</v>
      </c>
      <c r="CQ107" s="2">
        <f>CK107/((1+('Batt IN'!$E$8/12))^BattCalcs!C107)</f>
        <v>0</v>
      </c>
      <c r="CS107" s="10">
        <f t="shared" si="26"/>
        <v>-3011.9020255125465</v>
      </c>
      <c r="CT107" s="10">
        <f t="shared" si="27"/>
        <v>0</v>
      </c>
      <c r="CU107" s="10">
        <f t="shared" si="28"/>
        <v>-3011.9020255125465</v>
      </c>
      <c r="CV107" s="10">
        <f t="shared" si="29"/>
        <v>-3011.9020255125465</v>
      </c>
      <c r="CW107" s="2">
        <f t="shared" si="30"/>
        <v>0</v>
      </c>
      <c r="CX107" s="2">
        <f>-(SUM(CV107:CW107)*'PV IN'!$E$8)</f>
        <v>632.49942535763478</v>
      </c>
      <c r="CY107" s="2">
        <f t="shared" si="31"/>
        <v>-2379.4026001549119</v>
      </c>
      <c r="CZ107" s="2">
        <f>IF(C107&lt;='Batt IN'!$H$43*12,CY107/(1+('PV IN'!$G$9))^(C107),0)</f>
        <v>-1565.2838876218334</v>
      </c>
      <c r="DA107" s="33">
        <f>IF(C107&lt;='Batt IN'!$H$43*12,AE107,0)</f>
        <v>30366.783333333333</v>
      </c>
    </row>
    <row r="108" spans="1:105" x14ac:dyDescent="0.25">
      <c r="A108">
        <f>IF(C108&lt;='Batt IN'!$H$43*12,C108,"")</f>
        <v>104</v>
      </c>
      <c r="C108">
        <v>104</v>
      </c>
      <c r="D108" s="21">
        <v>730</v>
      </c>
      <c r="E108" s="1">
        <f>1-'Batt IN'!$E$31</f>
        <v>2.0000000000000018E-2</v>
      </c>
      <c r="F108" s="12">
        <f>('Batt IN'!$E$33*365)/8760</f>
        <v>0</v>
      </c>
      <c r="G108" s="22">
        <f>'Batt IN'!$E$32/8760</f>
        <v>5.7077625570776253E-3</v>
      </c>
      <c r="H108" s="22">
        <f>'Batt IN'!$E$13/8760</f>
        <v>5.5936073059360729E-3</v>
      </c>
      <c r="I108" s="23">
        <f>IF(C108&lt;='Batt IN'!$G$14*12,'Batt IN'!$E$15/8760*'Batt IN'!$G$15,0)</f>
        <v>0</v>
      </c>
      <c r="J108" s="12">
        <f>Z108/'Batt IN'!$E$27/730</f>
        <v>2.4999999999999996E-3</v>
      </c>
      <c r="K108" s="23">
        <f>AA108/'Batt IN'!$E$27/730</f>
        <v>1.6027397260273972E-3</v>
      </c>
      <c r="L108" s="23">
        <f>AB108/'Batt IN'!$E$27/730</f>
        <v>2.0547945205479451E-4</v>
      </c>
      <c r="M108" s="23">
        <f>AC108/'Batt IN'!$E$27/730</f>
        <v>4.7945205479452057E-3</v>
      </c>
      <c r="N108" s="23">
        <f>AD108/'Batt IN'!$E$27/730</f>
        <v>3.4246575342465752E-3</v>
      </c>
      <c r="O108" s="12">
        <f t="shared" si="19"/>
        <v>4.3828767123287697E-2</v>
      </c>
      <c r="P108" s="21">
        <f t="shared" si="20"/>
        <v>698.005</v>
      </c>
      <c r="Q108" s="2">
        <f>IF('Batt IN'!$E$27*'Batt IN'!$E$24&lt;='Batt IN'!$E$28,(('Batt IN'!$E$23*'Batt IN'!$E$27*'Batt IN'!$E$24)/1000)*P108,(('Batt IN'!$E$23*'Batt IN'!$E$28*'Batt IN'!$E$24)/1000)*P108)</f>
        <v>11168.08</v>
      </c>
      <c r="R108" s="2"/>
      <c r="S108" s="77">
        <f>IF(C108&lt;='Batt IN'!$G$14*12,'Batt IN'!$E$15/12,0)</f>
        <v>0</v>
      </c>
      <c r="T108" s="77"/>
      <c r="U108" s="80">
        <f>'Batt IN'!$E$28*('Batt IN'!$G$24/24)*730*(1-O108)</f>
        <v>81433.916666666657</v>
      </c>
      <c r="V108" s="78">
        <f>U108*'Batt IN'!$F$30</f>
        <v>16286.783333333333</v>
      </c>
      <c r="W108" s="78">
        <f>'Batt IN'!$E$28*'Batt IN'!$G$32*('Batt IN'!$E$32/12)*(1+'Batt IN'!$F$30)</f>
        <v>1750.0000000000002</v>
      </c>
      <c r="X108" s="78">
        <f>'Batt IN'!$E$28*'Batt IN'!$G$13*('Batt IN'!$E$13/12)*(1+'Batt IN'!$F$30)</f>
        <v>3184.9999999999995</v>
      </c>
      <c r="Y108" s="33">
        <f>S108*'Batt IN'!$G$15*'Batt IN'!$E$28*(1+'Batt IN'!$F$30)</f>
        <v>0</v>
      </c>
      <c r="Z108" s="33">
        <f>'Batt IN'!$G$16*365/12*(1+'Batt IN'!$F$30)</f>
        <v>1824.9999999999998</v>
      </c>
      <c r="AA108" s="33">
        <f>'Batt IN'!$G$17*'Batt IN'!$E$18*'Batt IN'!$G$18/12*(1+'Batt IN'!$F$30)</f>
        <v>1170</v>
      </c>
      <c r="AB108" s="33">
        <f>'Batt IN'!$G$19*'Batt IN'!$E$20*'Batt IN'!$G$20/12*(1+'Batt IN'!$F$30)</f>
        <v>150</v>
      </c>
      <c r="AC108" s="33">
        <f>'Batt IN'!$G$21*(1+'Batt IN'!$F$30)/12</f>
        <v>3500</v>
      </c>
      <c r="AD108" s="33">
        <f>'Batt IN'!$G$22*(1+'Batt IN'!$F$30)/12</f>
        <v>2500</v>
      </c>
      <c r="AE108" s="33">
        <f t="shared" si="32"/>
        <v>30366.783333333333</v>
      </c>
      <c r="AF108" s="33">
        <f>IF('PV IN'!$F$4="Battery Only",0,AE108*'Batt IN'!$E$29)</f>
        <v>25811.765833333331</v>
      </c>
      <c r="AG108" s="33">
        <f>PVCalcs!L108</f>
        <v>25811.765833333331</v>
      </c>
      <c r="AH108" s="33">
        <f t="shared" si="33"/>
        <v>4555.0175000000017</v>
      </c>
      <c r="AI108" s="33"/>
      <c r="AJ108" s="2">
        <f>IF(AND('Batt IN'!$D$53="Yes",$AL$1&gt;=1),IF($C108='Batt IN'!$H$54*12,-'Batt IN'!$F$54,0),0)</f>
        <v>0</v>
      </c>
      <c r="AK108" s="2">
        <f>IF(AND('Batt IN'!$D$53="Yes",$AL$1&gt;=2),IF($C108='Batt IN'!$H$55*12,-'Batt IN'!$F$55,0),0)</f>
        <v>0</v>
      </c>
      <c r="AL108" s="2">
        <f>IF(AND('Batt IN'!$D$53="Yes",$AL$1&gt;=3),IF($C108='Batt IN'!$H$56*12,-'Batt IN'!$F$56,0),0)</f>
        <v>0</v>
      </c>
      <c r="AM108" s="2">
        <f>IF(AND('Batt IN'!$D$53="Yes",$AL$1&gt;=4),IF($C108='Batt IN'!$H$57*12,-'Batt IN'!$F$57,0),0)</f>
        <v>0</v>
      </c>
      <c r="AN108" s="2">
        <f>IF(AND('Batt IN'!$D$53="Yes",$AL$1&gt;=5),IF($C108='Batt IN'!$H$58*12,-'Batt IN'!$F$58,0),0)</f>
        <v>0</v>
      </c>
      <c r="AO108" s="10">
        <f>IF(AND('Batt IN'!$D$44="YES",$C108&lt;='Batt IN'!$E$44*12),-'Batt IN'!$E$28*'Batt IN'!$E$42/12,0)</f>
        <v>0</v>
      </c>
      <c r="AP108" s="10">
        <f>IF(AND('Batt IN'!$D$46="YES",$C108&lt;='Batt IN'!$E$46*12),-'Batt IN'!$E$28*'Batt IN'!$E$45/12,0)</f>
        <v>0</v>
      </c>
      <c r="AR108" s="10">
        <f>BattLoan!M135</f>
        <v>0</v>
      </c>
      <c r="AS108" s="10">
        <f>'Batt IN'!$G$16*365/12*'Batt IN'!$E$16</f>
        <v>76.041666666666671</v>
      </c>
      <c r="AT108" s="10">
        <f>IF(AND('Batt IN'!$E$18&gt;0,'Batt IN'!$G$18&gt;0),'Batt IN'!$E$17*'Batt IN'!$G$17,0)</f>
        <v>119.44619999999999</v>
      </c>
      <c r="AU108" s="10">
        <f>IF(AND('Batt IN'!$E$20&gt;0,'Batt IN'!$G$20&gt;0),'Batt IN'!$E$19*'Batt IN'!$G$19,0)</f>
        <v>231</v>
      </c>
      <c r="AV108" s="10"/>
      <c r="AW108" s="10"/>
      <c r="AX108" s="10">
        <f>IF('Batt IN'!$E$11="Non-Taxable",Q108,0)</f>
        <v>11168.08</v>
      </c>
      <c r="AY108" s="10">
        <f>IF('Batt IN'!$E$11="Non-Taxable",'Batt IN'!$E$28/1000*'Batt IN'!$G$13*('Batt IN'!$E$13/12)*'Batt IN'!$E$12,0)</f>
        <v>244.42220833333334</v>
      </c>
      <c r="AZ108" s="10">
        <f>IF('Batt IN'!$E$11="Non-Taxable",$S108*'Batt IN'!$G$15*'Batt IN'!$E$28*'Batt IN'!$E$14/1000,0)</f>
        <v>0</v>
      </c>
      <c r="BA108" s="10">
        <f>IF('Batt IN'!$E$11="Non-Taxable",'Batt IN'!$E$21*'Batt IN'!$G$21/12,0)</f>
        <v>437.5</v>
      </c>
      <c r="BB108" s="10">
        <f>IF('Batt IN'!$E$11="Non-Taxable",'Batt IN'!$E$22*'Batt IN'!$G$22/12,0)</f>
        <v>1145.8333333333335</v>
      </c>
      <c r="BC108" s="10">
        <f>IF('Batt IN'!$E$11="Taxable",Q108,0)</f>
        <v>0</v>
      </c>
      <c r="BD108" s="10">
        <f>IF('Batt IN'!$E$11="Taxable",'Batt IN'!$E$28/1000*'Batt IN'!$G$13*('Batt IN'!$E$13/12)*'Batt IN'!$E$12,0)</f>
        <v>0</v>
      </c>
      <c r="BE108" s="10">
        <f>IF('Batt IN'!$E$11="Taxable",$S108*'Batt IN'!$G$15*'Batt IN'!$E$28*'Batt IN'!$E$14/1000,0)</f>
        <v>0</v>
      </c>
      <c r="BF108" s="10">
        <f>IF('Batt IN'!$E$11="Taxable",'Batt IN'!$E$21*'Batt IN'!$G$21/12,0)</f>
        <v>0</v>
      </c>
      <c r="BG108" s="10">
        <f>IF('Batt IN'!$E$11="Taxable",'Batt IN'!$E$22*'Batt IN'!$G$22/12,0)</f>
        <v>0</v>
      </c>
      <c r="BK108" s="10">
        <f>IF('Batt IN'!$N$18="Yes",-BattLoan!H136,-BattLoan!L136)</f>
        <v>0</v>
      </c>
      <c r="BL108" s="10">
        <f>IF('Batt IN'!$N$18="Yes",-BattLoan!F136,0)</f>
        <v>0</v>
      </c>
      <c r="BM108" s="10">
        <f>IF(AND('Batt IN'!$D$44="YES",$C108&lt;='Batt IN'!$E$44*12),0,-'Batt IN'!$E$28*'Batt IN'!$E$42/12)</f>
        <v>-83.333333333333329</v>
      </c>
      <c r="BN108" s="10">
        <f>IF(AND('Batt IN'!$D$46="YES",$C108&lt;='Batt IN'!$E$46*12),0,-'Batt IN'!$E$28*'Batt IN'!$E$45/12)</f>
        <v>-166.66666666666666</v>
      </c>
      <c r="BO108" s="2">
        <f>IF(AND('Batt IN'!$D$41="YES",BattCalcs!C108=ROUNDUP('Batt IN'!$H$41*12,)),-'Batt IN'!$E$41*'Batt IN'!$E$28,0)</f>
        <v>0</v>
      </c>
      <c r="BP108" s="2">
        <f>IF(AND('Batt IN'!$D$53="Yes",$AL$1&gt;=1),0,IF($C108='Batt IN'!$H$54*12,-'Batt IN'!$F$54,0))</f>
        <v>0</v>
      </c>
      <c r="BQ108" s="2">
        <f>IF(AND('Batt IN'!$D$53="Yes",$AL$1&gt;=2),0,IF($C108='Batt IN'!$H$55*12,-'Batt IN'!$F$55,0))</f>
        <v>0</v>
      </c>
      <c r="BR108" s="2">
        <f>IF(AND('Batt IN'!$D$53="Yes",$AL$1&gt;=3),0,IF($C108='Batt IN'!$H$56*12,-'Batt IN'!$F$56,0))</f>
        <v>0</v>
      </c>
      <c r="BS108" s="2">
        <f>IF(AND('Batt IN'!$D$53="Yes",$AL$1&gt;=4),0,IF($C108='Batt IN'!$H$57*12,-'Batt IN'!$F$57,0))</f>
        <v>0</v>
      </c>
      <c r="BT108" s="2">
        <f>IF(AND('Batt IN'!$D$53="Yes",$AL$1&gt;=5),0,IF($C108='Batt IN'!$H$58*12,-'Batt IN'!$F$58,0))</f>
        <v>0</v>
      </c>
      <c r="BU108" s="2">
        <f>-AH108*PVCalcs!F108</f>
        <v>-361.9020255125464</v>
      </c>
      <c r="BV108" s="2">
        <f>-'Batt IN'!$E$47</f>
        <v>-150</v>
      </c>
      <c r="BW108" s="2">
        <f>-'Batt IN'!$E$49</f>
        <v>-2250</v>
      </c>
      <c r="BX108" s="2">
        <f>IF('Batt IN'!$H$50="No",-(BC108*'Batt IN'!$E$50),-(BC108+BE108)*'Batt IN'!$E$50)</f>
        <v>0</v>
      </c>
      <c r="BY108" s="2">
        <f>IF(C108='Batt IN'!$H$43*12,-'Batt IN'!$E$43,0)</f>
        <v>0</v>
      </c>
      <c r="BZ108" s="38"/>
      <c r="CA108" s="10">
        <f t="shared" si="17"/>
        <v>13422.323408333334</v>
      </c>
      <c r="CB108" s="2">
        <f t="shared" si="21"/>
        <v>-3011.9020255125465</v>
      </c>
      <c r="CC108" s="45">
        <f t="shared" si="22"/>
        <v>10410.421382820787</v>
      </c>
      <c r="CD108" s="43"/>
      <c r="CE108" s="2">
        <f t="shared" si="18"/>
        <v>0</v>
      </c>
      <c r="CF108" s="2">
        <f t="shared" si="23"/>
        <v>-3011.9020255125465</v>
      </c>
      <c r="CG108" s="2"/>
      <c r="CH108" s="2">
        <f t="shared" si="24"/>
        <v>-3011.9020255125465</v>
      </c>
      <c r="CI108" s="45">
        <f>-CH108*'Batt IN'!$E$7</f>
        <v>632.49942535763478</v>
      </c>
      <c r="CJ108" s="48"/>
      <c r="CK108" s="45">
        <f>IF('Batt IN'!$F$4="PV Only",0,IF(C108&gt;'Batt IN'!$H$43*12,0,CC108+CI108))</f>
        <v>0</v>
      </c>
      <c r="CM108" s="10">
        <f t="shared" si="25"/>
        <v>0</v>
      </c>
      <c r="CN108" s="2">
        <f>CK108/(1+('Batt IN'!$G$8))^(C108)</f>
        <v>0</v>
      </c>
      <c r="CO108" s="2">
        <f>IF(C108&lt;='Batt IN'!$O$30*12,CN108+CO107,NA())</f>
        <v>0</v>
      </c>
      <c r="CQ108" s="2">
        <f>CK108/((1+('Batt IN'!$E$8/12))^BattCalcs!C108)</f>
        <v>0</v>
      </c>
      <c r="CS108" s="10">
        <f t="shared" si="26"/>
        <v>-3011.9020255125465</v>
      </c>
      <c r="CT108" s="10">
        <f t="shared" si="27"/>
        <v>0</v>
      </c>
      <c r="CU108" s="10">
        <f t="shared" si="28"/>
        <v>-3011.9020255125465</v>
      </c>
      <c r="CV108" s="10">
        <f t="shared" si="29"/>
        <v>-3011.9020255125465</v>
      </c>
      <c r="CW108" s="2">
        <f t="shared" si="30"/>
        <v>0</v>
      </c>
      <c r="CX108" s="2">
        <f>-(SUM(CV108:CW108)*'PV IN'!$E$8)</f>
        <v>632.49942535763478</v>
      </c>
      <c r="CY108" s="2">
        <f t="shared" si="31"/>
        <v>-2379.4026001549119</v>
      </c>
      <c r="CZ108" s="2">
        <f>IF(C108&lt;='Batt IN'!$H$43*12,CY108/(1+('PV IN'!$G$9))^(C108),0)</f>
        <v>-1558.9326032259257</v>
      </c>
      <c r="DA108" s="33">
        <f>IF(C108&lt;='Batt IN'!$H$43*12,AE108,0)</f>
        <v>30366.783333333333</v>
      </c>
    </row>
    <row r="109" spans="1:105" x14ac:dyDescent="0.25">
      <c r="A109">
        <f>IF(C109&lt;='Batt IN'!$H$43*12,C109,"")</f>
        <v>105</v>
      </c>
      <c r="C109">
        <v>105</v>
      </c>
      <c r="D109" s="21">
        <v>730</v>
      </c>
      <c r="E109" s="1">
        <f>1-'Batt IN'!$E$31</f>
        <v>2.0000000000000018E-2</v>
      </c>
      <c r="F109" s="12">
        <f>('Batt IN'!$E$33*365)/8760</f>
        <v>0</v>
      </c>
      <c r="G109" s="22">
        <f>'Batt IN'!$E$32/8760</f>
        <v>5.7077625570776253E-3</v>
      </c>
      <c r="H109" s="22">
        <f>'Batt IN'!$E$13/8760</f>
        <v>5.5936073059360729E-3</v>
      </c>
      <c r="I109" s="23">
        <f>IF(C109&lt;='Batt IN'!$G$14*12,'Batt IN'!$E$15/8760*'Batt IN'!$G$15,0)</f>
        <v>0</v>
      </c>
      <c r="J109" s="12">
        <f>Z109/'Batt IN'!$E$27/730</f>
        <v>2.4999999999999996E-3</v>
      </c>
      <c r="K109" s="23">
        <f>AA109/'Batt IN'!$E$27/730</f>
        <v>1.6027397260273972E-3</v>
      </c>
      <c r="L109" s="23">
        <f>AB109/'Batt IN'!$E$27/730</f>
        <v>2.0547945205479451E-4</v>
      </c>
      <c r="M109" s="23">
        <f>AC109/'Batt IN'!$E$27/730</f>
        <v>4.7945205479452057E-3</v>
      </c>
      <c r="N109" s="23">
        <f>AD109/'Batt IN'!$E$27/730</f>
        <v>3.4246575342465752E-3</v>
      </c>
      <c r="O109" s="12">
        <f t="shared" si="19"/>
        <v>4.3828767123287697E-2</v>
      </c>
      <c r="P109" s="21">
        <f t="shared" si="20"/>
        <v>698.005</v>
      </c>
      <c r="Q109" s="2">
        <f>IF('Batt IN'!$E$27*'Batt IN'!$E$24&lt;='Batt IN'!$E$28,(('Batt IN'!$E$23*'Batt IN'!$E$27*'Batt IN'!$E$24)/1000)*P109,(('Batt IN'!$E$23*'Batt IN'!$E$28*'Batt IN'!$E$24)/1000)*P109)</f>
        <v>11168.08</v>
      </c>
      <c r="R109" s="2"/>
      <c r="S109" s="77">
        <f>IF(C109&lt;='Batt IN'!$G$14*12,'Batt IN'!$E$15/12,0)</f>
        <v>0</v>
      </c>
      <c r="T109" s="77"/>
      <c r="U109" s="80">
        <f>'Batt IN'!$E$28*('Batt IN'!$G$24/24)*730*(1-O109)</f>
        <v>81433.916666666657</v>
      </c>
      <c r="V109" s="78">
        <f>U109*'Batt IN'!$F$30</f>
        <v>16286.783333333333</v>
      </c>
      <c r="W109" s="78">
        <f>'Batt IN'!$E$28*'Batt IN'!$G$32*('Batt IN'!$E$32/12)*(1+'Batt IN'!$F$30)</f>
        <v>1750.0000000000002</v>
      </c>
      <c r="X109" s="78">
        <f>'Batt IN'!$E$28*'Batt IN'!$G$13*('Batt IN'!$E$13/12)*(1+'Batt IN'!$F$30)</f>
        <v>3184.9999999999995</v>
      </c>
      <c r="Y109" s="33">
        <f>S109*'Batt IN'!$G$15*'Batt IN'!$E$28*(1+'Batt IN'!$F$30)</f>
        <v>0</v>
      </c>
      <c r="Z109" s="33">
        <f>'Batt IN'!$G$16*365/12*(1+'Batt IN'!$F$30)</f>
        <v>1824.9999999999998</v>
      </c>
      <c r="AA109" s="33">
        <f>'Batt IN'!$G$17*'Batt IN'!$E$18*'Batt IN'!$G$18/12*(1+'Batt IN'!$F$30)</f>
        <v>1170</v>
      </c>
      <c r="AB109" s="33">
        <f>'Batt IN'!$G$19*'Batt IN'!$E$20*'Batt IN'!$G$20/12*(1+'Batt IN'!$F$30)</f>
        <v>150</v>
      </c>
      <c r="AC109" s="33">
        <f>'Batt IN'!$G$21*(1+'Batt IN'!$F$30)/12</f>
        <v>3500</v>
      </c>
      <c r="AD109" s="33">
        <f>'Batt IN'!$G$22*(1+'Batt IN'!$F$30)/12</f>
        <v>2500</v>
      </c>
      <c r="AE109" s="33">
        <f t="shared" si="32"/>
        <v>30366.783333333333</v>
      </c>
      <c r="AF109" s="33">
        <f>IF('PV IN'!$F$4="Battery Only",0,AE109*'Batt IN'!$E$29)</f>
        <v>25811.765833333331</v>
      </c>
      <c r="AG109" s="33">
        <f>PVCalcs!L109</f>
        <v>25811.765833333331</v>
      </c>
      <c r="AH109" s="33">
        <f t="shared" si="33"/>
        <v>4555.0175000000017</v>
      </c>
      <c r="AI109" s="33"/>
      <c r="AJ109" s="2">
        <f>IF(AND('Batt IN'!$D$53="Yes",$AL$1&gt;=1),IF($C109='Batt IN'!$H$54*12,-'Batt IN'!$F$54,0),0)</f>
        <v>0</v>
      </c>
      <c r="AK109" s="2">
        <f>IF(AND('Batt IN'!$D$53="Yes",$AL$1&gt;=2),IF($C109='Batt IN'!$H$55*12,-'Batt IN'!$F$55,0),0)</f>
        <v>0</v>
      </c>
      <c r="AL109" s="2">
        <f>IF(AND('Batt IN'!$D$53="Yes",$AL$1&gt;=3),IF($C109='Batt IN'!$H$56*12,-'Batt IN'!$F$56,0),0)</f>
        <v>0</v>
      </c>
      <c r="AM109" s="2">
        <f>IF(AND('Batt IN'!$D$53="Yes",$AL$1&gt;=4),IF($C109='Batt IN'!$H$57*12,-'Batt IN'!$F$57,0),0)</f>
        <v>0</v>
      </c>
      <c r="AN109" s="2">
        <f>IF(AND('Batt IN'!$D$53="Yes",$AL$1&gt;=5),IF($C109='Batt IN'!$H$58*12,-'Batt IN'!$F$58,0),0)</f>
        <v>0</v>
      </c>
      <c r="AO109" s="10">
        <f>IF(AND('Batt IN'!$D$44="YES",$C109&lt;='Batt IN'!$E$44*12),-'Batt IN'!$E$28*'Batt IN'!$E$42/12,0)</f>
        <v>0</v>
      </c>
      <c r="AP109" s="10">
        <f>IF(AND('Batt IN'!$D$46="YES",$C109&lt;='Batt IN'!$E$46*12),-'Batt IN'!$E$28*'Batt IN'!$E$45/12,0)</f>
        <v>0</v>
      </c>
      <c r="AR109" s="10">
        <f>BattLoan!M136</f>
        <v>0</v>
      </c>
      <c r="AS109" s="10">
        <f>'Batt IN'!$G$16*365/12*'Batt IN'!$E$16</f>
        <v>76.041666666666671</v>
      </c>
      <c r="AT109" s="10">
        <f>IF(AND('Batt IN'!$E$18&gt;0,'Batt IN'!$G$18&gt;0),'Batt IN'!$E$17*'Batt IN'!$G$17,0)</f>
        <v>119.44619999999999</v>
      </c>
      <c r="AU109" s="10">
        <f>IF(AND('Batt IN'!$E$20&gt;0,'Batt IN'!$G$20&gt;0),'Batt IN'!$E$19*'Batt IN'!$G$19,0)</f>
        <v>231</v>
      </c>
      <c r="AV109" s="10"/>
      <c r="AW109" s="10"/>
      <c r="AX109" s="10">
        <f>IF('Batt IN'!$E$11="Non-Taxable",Q109,0)</f>
        <v>11168.08</v>
      </c>
      <c r="AY109" s="10">
        <f>IF('Batt IN'!$E$11="Non-Taxable",'Batt IN'!$E$28/1000*'Batt IN'!$G$13*('Batt IN'!$E$13/12)*'Batt IN'!$E$12,0)</f>
        <v>244.42220833333334</v>
      </c>
      <c r="AZ109" s="10">
        <f>IF('Batt IN'!$E$11="Non-Taxable",$S109*'Batt IN'!$G$15*'Batt IN'!$E$28*'Batt IN'!$E$14/1000,0)</f>
        <v>0</v>
      </c>
      <c r="BA109" s="10">
        <f>IF('Batt IN'!$E$11="Non-Taxable",'Batt IN'!$E$21*'Batt IN'!$G$21/12,0)</f>
        <v>437.5</v>
      </c>
      <c r="BB109" s="10">
        <f>IF('Batt IN'!$E$11="Non-Taxable",'Batt IN'!$E$22*'Batt IN'!$G$22/12,0)</f>
        <v>1145.8333333333335</v>
      </c>
      <c r="BC109" s="10">
        <f>IF('Batt IN'!$E$11="Taxable",Q109,0)</f>
        <v>0</v>
      </c>
      <c r="BD109" s="10">
        <f>IF('Batt IN'!$E$11="Taxable",'Batt IN'!$E$28/1000*'Batt IN'!$G$13*('Batt IN'!$E$13/12)*'Batt IN'!$E$12,0)</f>
        <v>0</v>
      </c>
      <c r="BE109" s="10">
        <f>IF('Batt IN'!$E$11="Taxable",$S109*'Batt IN'!$G$15*'Batt IN'!$E$28*'Batt IN'!$E$14/1000,0)</f>
        <v>0</v>
      </c>
      <c r="BF109" s="10">
        <f>IF('Batt IN'!$E$11="Taxable",'Batt IN'!$E$21*'Batt IN'!$G$21/12,0)</f>
        <v>0</v>
      </c>
      <c r="BG109" s="10">
        <f>IF('Batt IN'!$E$11="Taxable",'Batt IN'!$E$22*'Batt IN'!$G$22/12,0)</f>
        <v>0</v>
      </c>
      <c r="BK109" s="10">
        <f>IF('Batt IN'!$N$18="Yes",-BattLoan!H137,-BattLoan!L137)</f>
        <v>0</v>
      </c>
      <c r="BL109" s="10">
        <f>IF('Batt IN'!$N$18="Yes",-BattLoan!F137,0)</f>
        <v>0</v>
      </c>
      <c r="BM109" s="10">
        <f>IF(AND('Batt IN'!$D$44="YES",$C109&lt;='Batt IN'!$E$44*12),0,-'Batt IN'!$E$28*'Batt IN'!$E$42/12)</f>
        <v>-83.333333333333329</v>
      </c>
      <c r="BN109" s="10">
        <f>IF(AND('Batt IN'!$D$46="YES",$C109&lt;='Batt IN'!$E$46*12),0,-'Batt IN'!$E$28*'Batt IN'!$E$45/12)</f>
        <v>-166.66666666666666</v>
      </c>
      <c r="BO109" s="2">
        <f>IF(AND('Batt IN'!$D$41="YES",BattCalcs!C109=ROUNDUP('Batt IN'!$H$41*12,)),-'Batt IN'!$E$41*'Batt IN'!$E$28,0)</f>
        <v>0</v>
      </c>
      <c r="BP109" s="2">
        <f>IF(AND('Batt IN'!$D$53="Yes",$AL$1&gt;=1),0,IF($C109='Batt IN'!$H$54*12,-'Batt IN'!$F$54,0))</f>
        <v>0</v>
      </c>
      <c r="BQ109" s="2">
        <f>IF(AND('Batt IN'!$D$53="Yes",$AL$1&gt;=2),0,IF($C109='Batt IN'!$H$55*12,-'Batt IN'!$F$55,0))</f>
        <v>0</v>
      </c>
      <c r="BR109" s="2">
        <f>IF(AND('Batt IN'!$D$53="Yes",$AL$1&gt;=3),0,IF($C109='Batt IN'!$H$56*12,-'Batt IN'!$F$56,0))</f>
        <v>0</v>
      </c>
      <c r="BS109" s="2">
        <f>IF(AND('Batt IN'!$D$53="Yes",$AL$1&gt;=4),0,IF($C109='Batt IN'!$H$57*12,-'Batt IN'!$F$57,0))</f>
        <v>0</v>
      </c>
      <c r="BT109" s="2">
        <f>IF(AND('Batt IN'!$D$53="Yes",$AL$1&gt;=5),0,IF($C109='Batt IN'!$H$58*12,-'Batt IN'!$F$58,0))</f>
        <v>0</v>
      </c>
      <c r="BU109" s="2">
        <f>-AH109*PVCalcs!F109</f>
        <v>-361.9020255125464</v>
      </c>
      <c r="BV109" s="2">
        <f>-'Batt IN'!$E$47</f>
        <v>-150</v>
      </c>
      <c r="BW109" s="2">
        <f>-'Batt IN'!$E$49</f>
        <v>-2250</v>
      </c>
      <c r="BX109" s="2">
        <f>IF('Batt IN'!$H$50="No",-(BC109*'Batt IN'!$E$50),-(BC109+BE109)*'Batt IN'!$E$50)</f>
        <v>0</v>
      </c>
      <c r="BY109" s="2">
        <f>IF(C109='Batt IN'!$H$43*12,-'Batt IN'!$E$43,0)</f>
        <v>0</v>
      </c>
      <c r="BZ109" s="38"/>
      <c r="CA109" s="10">
        <f t="shared" si="17"/>
        <v>13422.323408333334</v>
      </c>
      <c r="CB109" s="2">
        <f t="shared" si="21"/>
        <v>-3011.9020255125465</v>
      </c>
      <c r="CC109" s="45">
        <f t="shared" si="22"/>
        <v>10410.421382820787</v>
      </c>
      <c r="CD109" s="43"/>
      <c r="CE109" s="2">
        <f t="shared" si="18"/>
        <v>0</v>
      </c>
      <c r="CF109" s="2">
        <f t="shared" si="23"/>
        <v>-3011.9020255125465</v>
      </c>
      <c r="CG109" s="2"/>
      <c r="CH109" s="2">
        <f t="shared" si="24"/>
        <v>-3011.9020255125465</v>
      </c>
      <c r="CI109" s="45">
        <f>-CH109*'Batt IN'!$E$7</f>
        <v>632.49942535763478</v>
      </c>
      <c r="CJ109" s="48"/>
      <c r="CK109" s="45">
        <f>IF('Batt IN'!$F$4="PV Only",0,IF(C109&gt;'Batt IN'!$H$43*12,0,CC109+CI109))</f>
        <v>0</v>
      </c>
      <c r="CM109" s="10">
        <f t="shared" si="25"/>
        <v>0</v>
      </c>
      <c r="CN109" s="2">
        <f>CK109/(1+('Batt IN'!$G$8))^(C109)</f>
        <v>0</v>
      </c>
      <c r="CO109" s="2">
        <f>IF(C109&lt;='Batt IN'!$O$30*12,CN109+CO108,NA())</f>
        <v>0</v>
      </c>
      <c r="CQ109" s="2">
        <f>CK109/((1+('Batt IN'!$E$8/12))^BattCalcs!C109)</f>
        <v>0</v>
      </c>
      <c r="CS109" s="10">
        <f t="shared" si="26"/>
        <v>-3011.9020255125465</v>
      </c>
      <c r="CT109" s="10">
        <f t="shared" si="27"/>
        <v>0</v>
      </c>
      <c r="CU109" s="10">
        <f t="shared" si="28"/>
        <v>-3011.9020255125465</v>
      </c>
      <c r="CV109" s="10">
        <f t="shared" si="29"/>
        <v>-3011.9020255125465</v>
      </c>
      <c r="CW109" s="2">
        <f t="shared" si="30"/>
        <v>0</v>
      </c>
      <c r="CX109" s="2">
        <f>-(SUM(CV109:CW109)*'PV IN'!$E$8)</f>
        <v>632.49942535763478</v>
      </c>
      <c r="CY109" s="2">
        <f t="shared" si="31"/>
        <v>-2379.4026001549119</v>
      </c>
      <c r="CZ109" s="2">
        <f>IF(C109&lt;='Batt IN'!$H$43*12,CY109/(1+('PV IN'!$G$9))^(C109),0)</f>
        <v>-1552.6070897548939</v>
      </c>
      <c r="DA109" s="33">
        <f>IF(C109&lt;='Batt IN'!$H$43*12,AE109,0)</f>
        <v>30366.783333333333</v>
      </c>
    </row>
    <row r="110" spans="1:105" x14ac:dyDescent="0.25">
      <c r="A110">
        <f>IF(C110&lt;='Batt IN'!$H$43*12,C110,"")</f>
        <v>106</v>
      </c>
      <c r="C110">
        <v>106</v>
      </c>
      <c r="D110" s="21">
        <v>730</v>
      </c>
      <c r="E110" s="1">
        <f>1-'Batt IN'!$E$31</f>
        <v>2.0000000000000018E-2</v>
      </c>
      <c r="F110" s="12">
        <f>('Batt IN'!$E$33*365)/8760</f>
        <v>0</v>
      </c>
      <c r="G110" s="22">
        <f>'Batt IN'!$E$32/8760</f>
        <v>5.7077625570776253E-3</v>
      </c>
      <c r="H110" s="22">
        <f>'Batt IN'!$E$13/8760</f>
        <v>5.5936073059360729E-3</v>
      </c>
      <c r="I110" s="23">
        <f>IF(C110&lt;='Batt IN'!$G$14*12,'Batt IN'!$E$15/8760*'Batt IN'!$G$15,0)</f>
        <v>0</v>
      </c>
      <c r="J110" s="12">
        <f>Z110/'Batt IN'!$E$27/730</f>
        <v>2.4999999999999996E-3</v>
      </c>
      <c r="K110" s="23">
        <f>AA110/'Batt IN'!$E$27/730</f>
        <v>1.6027397260273972E-3</v>
      </c>
      <c r="L110" s="23">
        <f>AB110/'Batt IN'!$E$27/730</f>
        <v>2.0547945205479451E-4</v>
      </c>
      <c r="M110" s="23">
        <f>AC110/'Batt IN'!$E$27/730</f>
        <v>4.7945205479452057E-3</v>
      </c>
      <c r="N110" s="23">
        <f>AD110/'Batt IN'!$E$27/730</f>
        <v>3.4246575342465752E-3</v>
      </c>
      <c r="O110" s="12">
        <f t="shared" si="19"/>
        <v>4.3828767123287697E-2</v>
      </c>
      <c r="P110" s="21">
        <f t="shared" si="20"/>
        <v>698.005</v>
      </c>
      <c r="Q110" s="2">
        <f>IF('Batt IN'!$E$27*'Batt IN'!$E$24&lt;='Batt IN'!$E$28,(('Batt IN'!$E$23*'Batt IN'!$E$27*'Batt IN'!$E$24)/1000)*P110,(('Batt IN'!$E$23*'Batt IN'!$E$28*'Batt IN'!$E$24)/1000)*P110)</f>
        <v>11168.08</v>
      </c>
      <c r="R110" s="2"/>
      <c r="S110" s="77">
        <f>IF(C110&lt;='Batt IN'!$G$14*12,'Batt IN'!$E$15/12,0)</f>
        <v>0</v>
      </c>
      <c r="T110" s="77"/>
      <c r="U110" s="80">
        <f>'Batt IN'!$E$28*('Batt IN'!$G$24/24)*730*(1-O110)</f>
        <v>81433.916666666657</v>
      </c>
      <c r="V110" s="78">
        <f>U110*'Batt IN'!$F$30</f>
        <v>16286.783333333333</v>
      </c>
      <c r="W110" s="78">
        <f>'Batt IN'!$E$28*'Batt IN'!$G$32*('Batt IN'!$E$32/12)*(1+'Batt IN'!$F$30)</f>
        <v>1750.0000000000002</v>
      </c>
      <c r="X110" s="78">
        <f>'Batt IN'!$E$28*'Batt IN'!$G$13*('Batt IN'!$E$13/12)*(1+'Batt IN'!$F$30)</f>
        <v>3184.9999999999995</v>
      </c>
      <c r="Y110" s="33">
        <f>S110*'Batt IN'!$G$15*'Batt IN'!$E$28*(1+'Batt IN'!$F$30)</f>
        <v>0</v>
      </c>
      <c r="Z110" s="33">
        <f>'Batt IN'!$G$16*365/12*(1+'Batt IN'!$F$30)</f>
        <v>1824.9999999999998</v>
      </c>
      <c r="AA110" s="33">
        <f>'Batt IN'!$G$17*'Batt IN'!$E$18*'Batt IN'!$G$18/12*(1+'Batt IN'!$F$30)</f>
        <v>1170</v>
      </c>
      <c r="AB110" s="33">
        <f>'Batt IN'!$G$19*'Batt IN'!$E$20*'Batt IN'!$G$20/12*(1+'Batt IN'!$F$30)</f>
        <v>150</v>
      </c>
      <c r="AC110" s="33">
        <f>'Batt IN'!$G$21*(1+'Batt IN'!$F$30)/12</f>
        <v>3500</v>
      </c>
      <c r="AD110" s="33">
        <f>'Batt IN'!$G$22*(1+'Batt IN'!$F$30)/12</f>
        <v>2500</v>
      </c>
      <c r="AE110" s="33">
        <f t="shared" si="32"/>
        <v>30366.783333333333</v>
      </c>
      <c r="AF110" s="33">
        <f>IF('PV IN'!$F$4="Battery Only",0,AE110*'Batt IN'!$E$29)</f>
        <v>25811.765833333331</v>
      </c>
      <c r="AG110" s="33">
        <f>PVCalcs!L110</f>
        <v>25811.765833333331</v>
      </c>
      <c r="AH110" s="33">
        <f t="shared" si="33"/>
        <v>4555.0175000000017</v>
      </c>
      <c r="AI110" s="33"/>
      <c r="AJ110" s="2">
        <f>IF(AND('Batt IN'!$D$53="Yes",$AL$1&gt;=1),IF($C110='Batt IN'!$H$54*12,-'Batt IN'!$F$54,0),0)</f>
        <v>0</v>
      </c>
      <c r="AK110" s="2">
        <f>IF(AND('Batt IN'!$D$53="Yes",$AL$1&gt;=2),IF($C110='Batt IN'!$H$55*12,-'Batt IN'!$F$55,0),0)</f>
        <v>0</v>
      </c>
      <c r="AL110" s="2">
        <f>IF(AND('Batt IN'!$D$53="Yes",$AL$1&gt;=3),IF($C110='Batt IN'!$H$56*12,-'Batt IN'!$F$56,0),0)</f>
        <v>0</v>
      </c>
      <c r="AM110" s="2">
        <f>IF(AND('Batt IN'!$D$53="Yes",$AL$1&gt;=4),IF($C110='Batt IN'!$H$57*12,-'Batt IN'!$F$57,0),0)</f>
        <v>0</v>
      </c>
      <c r="AN110" s="2">
        <f>IF(AND('Batt IN'!$D$53="Yes",$AL$1&gt;=5),IF($C110='Batt IN'!$H$58*12,-'Batt IN'!$F$58,0),0)</f>
        <v>0</v>
      </c>
      <c r="AO110" s="10">
        <f>IF(AND('Batt IN'!$D$44="YES",$C110&lt;='Batt IN'!$E$44*12),-'Batt IN'!$E$28*'Batt IN'!$E$42/12,0)</f>
        <v>0</v>
      </c>
      <c r="AP110" s="10">
        <f>IF(AND('Batt IN'!$D$46="YES",$C110&lt;='Batt IN'!$E$46*12),-'Batt IN'!$E$28*'Batt IN'!$E$45/12,0)</f>
        <v>0</v>
      </c>
      <c r="AR110" s="10">
        <f>BattLoan!M137</f>
        <v>0</v>
      </c>
      <c r="AS110" s="10">
        <f>'Batt IN'!$G$16*365/12*'Batt IN'!$E$16</f>
        <v>76.041666666666671</v>
      </c>
      <c r="AT110" s="10">
        <f>IF(AND('Batt IN'!$E$18&gt;0,'Batt IN'!$G$18&gt;0),'Batt IN'!$E$17*'Batt IN'!$G$17,0)</f>
        <v>119.44619999999999</v>
      </c>
      <c r="AU110" s="10">
        <f>IF(AND('Batt IN'!$E$20&gt;0,'Batt IN'!$G$20&gt;0),'Batt IN'!$E$19*'Batt IN'!$G$19,0)</f>
        <v>231</v>
      </c>
      <c r="AV110" s="10"/>
      <c r="AW110" s="10"/>
      <c r="AX110" s="10">
        <f>IF('Batt IN'!$E$11="Non-Taxable",Q110,0)</f>
        <v>11168.08</v>
      </c>
      <c r="AY110" s="10">
        <f>IF('Batt IN'!$E$11="Non-Taxable",'Batt IN'!$E$28/1000*'Batt IN'!$G$13*('Batt IN'!$E$13/12)*'Batt IN'!$E$12,0)</f>
        <v>244.42220833333334</v>
      </c>
      <c r="AZ110" s="10">
        <f>IF('Batt IN'!$E$11="Non-Taxable",$S110*'Batt IN'!$G$15*'Batt IN'!$E$28*'Batt IN'!$E$14/1000,0)</f>
        <v>0</v>
      </c>
      <c r="BA110" s="10">
        <f>IF('Batt IN'!$E$11="Non-Taxable",'Batt IN'!$E$21*'Batt IN'!$G$21/12,0)</f>
        <v>437.5</v>
      </c>
      <c r="BB110" s="10">
        <f>IF('Batt IN'!$E$11="Non-Taxable",'Batt IN'!$E$22*'Batt IN'!$G$22/12,0)</f>
        <v>1145.8333333333335</v>
      </c>
      <c r="BC110" s="10">
        <f>IF('Batt IN'!$E$11="Taxable",Q110,0)</f>
        <v>0</v>
      </c>
      <c r="BD110" s="10">
        <f>IF('Batt IN'!$E$11="Taxable",'Batt IN'!$E$28/1000*'Batt IN'!$G$13*('Batt IN'!$E$13/12)*'Batt IN'!$E$12,0)</f>
        <v>0</v>
      </c>
      <c r="BE110" s="10">
        <f>IF('Batt IN'!$E$11="Taxable",$S110*'Batt IN'!$G$15*'Batt IN'!$E$28*'Batt IN'!$E$14/1000,0)</f>
        <v>0</v>
      </c>
      <c r="BF110" s="10">
        <f>IF('Batt IN'!$E$11="Taxable",'Batt IN'!$E$21*'Batt IN'!$G$21/12,0)</f>
        <v>0</v>
      </c>
      <c r="BG110" s="10">
        <f>IF('Batt IN'!$E$11="Taxable",'Batt IN'!$E$22*'Batt IN'!$G$22/12,0)</f>
        <v>0</v>
      </c>
      <c r="BK110" s="10">
        <f>IF('Batt IN'!$N$18="Yes",-BattLoan!H138,-BattLoan!L138)</f>
        <v>0</v>
      </c>
      <c r="BL110" s="10">
        <f>IF('Batt IN'!$N$18="Yes",-BattLoan!F138,0)</f>
        <v>0</v>
      </c>
      <c r="BM110" s="10">
        <f>IF(AND('Batt IN'!$D$44="YES",$C110&lt;='Batt IN'!$E$44*12),0,-'Batt IN'!$E$28*'Batt IN'!$E$42/12)</f>
        <v>-83.333333333333329</v>
      </c>
      <c r="BN110" s="10">
        <f>IF(AND('Batt IN'!$D$46="YES",$C110&lt;='Batt IN'!$E$46*12),0,-'Batt IN'!$E$28*'Batt IN'!$E$45/12)</f>
        <v>-166.66666666666666</v>
      </c>
      <c r="BO110" s="2">
        <f>IF(AND('Batt IN'!$D$41="YES",BattCalcs!C110=ROUNDUP('Batt IN'!$H$41*12,)),-'Batt IN'!$E$41*'Batt IN'!$E$28,0)</f>
        <v>0</v>
      </c>
      <c r="BP110" s="2">
        <f>IF(AND('Batt IN'!$D$53="Yes",$AL$1&gt;=1),0,IF($C110='Batt IN'!$H$54*12,-'Batt IN'!$F$54,0))</f>
        <v>0</v>
      </c>
      <c r="BQ110" s="2">
        <f>IF(AND('Batt IN'!$D$53="Yes",$AL$1&gt;=2),0,IF($C110='Batt IN'!$H$55*12,-'Batt IN'!$F$55,0))</f>
        <v>0</v>
      </c>
      <c r="BR110" s="2">
        <f>IF(AND('Batt IN'!$D$53="Yes",$AL$1&gt;=3),0,IF($C110='Batt IN'!$H$56*12,-'Batt IN'!$F$56,0))</f>
        <v>0</v>
      </c>
      <c r="BS110" s="2">
        <f>IF(AND('Batt IN'!$D$53="Yes",$AL$1&gt;=4),0,IF($C110='Batt IN'!$H$57*12,-'Batt IN'!$F$57,0))</f>
        <v>0</v>
      </c>
      <c r="BT110" s="2">
        <f>IF(AND('Batt IN'!$D$53="Yes",$AL$1&gt;=5),0,IF($C110='Batt IN'!$H$58*12,-'Batt IN'!$F$58,0))</f>
        <v>0</v>
      </c>
      <c r="BU110" s="2">
        <f>-AH110*PVCalcs!F110</f>
        <v>-361.9020255125464</v>
      </c>
      <c r="BV110" s="2">
        <f>-'Batt IN'!$E$47</f>
        <v>-150</v>
      </c>
      <c r="BW110" s="2">
        <f>-'Batt IN'!$E$49</f>
        <v>-2250</v>
      </c>
      <c r="BX110" s="2">
        <f>IF('Batt IN'!$H$50="No",-(BC110*'Batt IN'!$E$50),-(BC110+BE110)*'Batt IN'!$E$50)</f>
        <v>0</v>
      </c>
      <c r="BY110" s="2">
        <f>IF(C110='Batt IN'!$H$43*12,-'Batt IN'!$E$43,0)</f>
        <v>0</v>
      </c>
      <c r="BZ110" s="38"/>
      <c r="CA110" s="10">
        <f t="shared" si="17"/>
        <v>13422.323408333334</v>
      </c>
      <c r="CB110" s="2">
        <f t="shared" si="21"/>
        <v>-3011.9020255125465</v>
      </c>
      <c r="CC110" s="45">
        <f t="shared" si="22"/>
        <v>10410.421382820787</v>
      </c>
      <c r="CD110" s="43"/>
      <c r="CE110" s="2">
        <f t="shared" si="18"/>
        <v>0</v>
      </c>
      <c r="CF110" s="2">
        <f t="shared" si="23"/>
        <v>-3011.9020255125465</v>
      </c>
      <c r="CG110" s="2"/>
      <c r="CH110" s="2">
        <f t="shared" si="24"/>
        <v>-3011.9020255125465</v>
      </c>
      <c r="CI110" s="45">
        <f>-CH110*'Batt IN'!$E$7</f>
        <v>632.49942535763478</v>
      </c>
      <c r="CJ110" s="48"/>
      <c r="CK110" s="45">
        <f>IF('Batt IN'!$F$4="PV Only",0,IF(C110&gt;'Batt IN'!$H$43*12,0,CC110+CI110))</f>
        <v>0</v>
      </c>
      <c r="CM110" s="10">
        <f t="shared" si="25"/>
        <v>0</v>
      </c>
      <c r="CN110" s="2">
        <f>CK110/(1+('Batt IN'!$G$8))^(C110)</f>
        <v>0</v>
      </c>
      <c r="CO110" s="2">
        <f>IF(C110&lt;='Batt IN'!$O$30*12,CN110+CO109,NA())</f>
        <v>0</v>
      </c>
      <c r="CQ110" s="2">
        <f>CK110/((1+('Batt IN'!$E$8/12))^BattCalcs!C110)</f>
        <v>0</v>
      </c>
      <c r="CS110" s="10">
        <f t="shared" si="26"/>
        <v>-3011.9020255125465</v>
      </c>
      <c r="CT110" s="10">
        <f t="shared" si="27"/>
        <v>0</v>
      </c>
      <c r="CU110" s="10">
        <f t="shared" si="28"/>
        <v>-3011.9020255125465</v>
      </c>
      <c r="CV110" s="10">
        <f t="shared" si="29"/>
        <v>-3011.9020255125465</v>
      </c>
      <c r="CW110" s="2">
        <f t="shared" si="30"/>
        <v>0</v>
      </c>
      <c r="CX110" s="2">
        <f>-(SUM(CV110:CW110)*'PV IN'!$E$8)</f>
        <v>632.49942535763478</v>
      </c>
      <c r="CY110" s="2">
        <f t="shared" si="31"/>
        <v>-2379.4026001549119</v>
      </c>
      <c r="CZ110" s="2">
        <f>IF(C110&lt;='Batt IN'!$H$43*12,CY110/(1+('PV IN'!$G$9))^(C110),0)</f>
        <v>-1546.3072426408232</v>
      </c>
      <c r="DA110" s="33">
        <f>IF(C110&lt;='Batt IN'!$H$43*12,AE110,0)</f>
        <v>30366.783333333333</v>
      </c>
    </row>
    <row r="111" spans="1:105" x14ac:dyDescent="0.25">
      <c r="A111">
        <f>IF(C111&lt;='Batt IN'!$H$43*12,C111,"")</f>
        <v>107</v>
      </c>
      <c r="C111">
        <v>107</v>
      </c>
      <c r="D111" s="21">
        <v>730</v>
      </c>
      <c r="E111" s="1">
        <f>1-'Batt IN'!$E$31</f>
        <v>2.0000000000000018E-2</v>
      </c>
      <c r="F111" s="12">
        <f>('Batt IN'!$E$33*365)/8760</f>
        <v>0</v>
      </c>
      <c r="G111" s="22">
        <f>'Batt IN'!$E$32/8760</f>
        <v>5.7077625570776253E-3</v>
      </c>
      <c r="H111" s="22">
        <f>'Batt IN'!$E$13/8760</f>
        <v>5.5936073059360729E-3</v>
      </c>
      <c r="I111" s="23">
        <f>IF(C111&lt;='Batt IN'!$G$14*12,'Batt IN'!$E$15/8760*'Batt IN'!$G$15,0)</f>
        <v>0</v>
      </c>
      <c r="J111" s="12">
        <f>Z111/'Batt IN'!$E$27/730</f>
        <v>2.4999999999999996E-3</v>
      </c>
      <c r="K111" s="23">
        <f>AA111/'Batt IN'!$E$27/730</f>
        <v>1.6027397260273972E-3</v>
      </c>
      <c r="L111" s="23">
        <f>AB111/'Batt IN'!$E$27/730</f>
        <v>2.0547945205479451E-4</v>
      </c>
      <c r="M111" s="23">
        <f>AC111/'Batt IN'!$E$27/730</f>
        <v>4.7945205479452057E-3</v>
      </c>
      <c r="N111" s="23">
        <f>AD111/'Batt IN'!$E$27/730</f>
        <v>3.4246575342465752E-3</v>
      </c>
      <c r="O111" s="12">
        <f t="shared" si="19"/>
        <v>4.3828767123287697E-2</v>
      </c>
      <c r="P111" s="21">
        <f t="shared" si="20"/>
        <v>698.005</v>
      </c>
      <c r="Q111" s="2">
        <f>IF('Batt IN'!$E$27*'Batt IN'!$E$24&lt;='Batt IN'!$E$28,(('Batt IN'!$E$23*'Batt IN'!$E$27*'Batt IN'!$E$24)/1000)*P111,(('Batt IN'!$E$23*'Batt IN'!$E$28*'Batt IN'!$E$24)/1000)*P111)</f>
        <v>11168.08</v>
      </c>
      <c r="R111" s="2"/>
      <c r="S111" s="77">
        <f>IF(C111&lt;='Batt IN'!$G$14*12,'Batt IN'!$E$15/12,0)</f>
        <v>0</v>
      </c>
      <c r="T111" s="77"/>
      <c r="U111" s="80">
        <f>'Batt IN'!$E$28*('Batt IN'!$G$24/24)*730*(1-O111)</f>
        <v>81433.916666666657</v>
      </c>
      <c r="V111" s="78">
        <f>U111*'Batt IN'!$F$30</f>
        <v>16286.783333333333</v>
      </c>
      <c r="W111" s="78">
        <f>'Batt IN'!$E$28*'Batt IN'!$G$32*('Batt IN'!$E$32/12)*(1+'Batt IN'!$F$30)</f>
        <v>1750.0000000000002</v>
      </c>
      <c r="X111" s="78">
        <f>'Batt IN'!$E$28*'Batt IN'!$G$13*('Batt IN'!$E$13/12)*(1+'Batt IN'!$F$30)</f>
        <v>3184.9999999999995</v>
      </c>
      <c r="Y111" s="33">
        <f>S111*'Batt IN'!$G$15*'Batt IN'!$E$28*(1+'Batt IN'!$F$30)</f>
        <v>0</v>
      </c>
      <c r="Z111" s="33">
        <f>'Batt IN'!$G$16*365/12*(1+'Batt IN'!$F$30)</f>
        <v>1824.9999999999998</v>
      </c>
      <c r="AA111" s="33">
        <f>'Batt IN'!$G$17*'Batt IN'!$E$18*'Batt IN'!$G$18/12*(1+'Batt IN'!$F$30)</f>
        <v>1170</v>
      </c>
      <c r="AB111" s="33">
        <f>'Batt IN'!$G$19*'Batt IN'!$E$20*'Batt IN'!$G$20/12*(1+'Batt IN'!$F$30)</f>
        <v>150</v>
      </c>
      <c r="AC111" s="33">
        <f>'Batt IN'!$G$21*(1+'Batt IN'!$F$30)/12</f>
        <v>3500</v>
      </c>
      <c r="AD111" s="33">
        <f>'Batt IN'!$G$22*(1+'Batt IN'!$F$30)/12</f>
        <v>2500</v>
      </c>
      <c r="AE111" s="33">
        <f t="shared" si="32"/>
        <v>30366.783333333333</v>
      </c>
      <c r="AF111" s="33">
        <f>IF('PV IN'!$F$4="Battery Only",0,AE111*'Batt IN'!$E$29)</f>
        <v>25811.765833333331</v>
      </c>
      <c r="AG111" s="33">
        <f>PVCalcs!L111</f>
        <v>25811.765833333331</v>
      </c>
      <c r="AH111" s="33">
        <f t="shared" si="33"/>
        <v>4555.0175000000017</v>
      </c>
      <c r="AI111" s="33"/>
      <c r="AJ111" s="2">
        <f>IF(AND('Batt IN'!$D$53="Yes",$AL$1&gt;=1),IF($C111='Batt IN'!$H$54*12,-'Batt IN'!$F$54,0),0)</f>
        <v>0</v>
      </c>
      <c r="AK111" s="2">
        <f>IF(AND('Batt IN'!$D$53="Yes",$AL$1&gt;=2),IF($C111='Batt IN'!$H$55*12,-'Batt IN'!$F$55,0),0)</f>
        <v>0</v>
      </c>
      <c r="AL111" s="2">
        <f>IF(AND('Batt IN'!$D$53="Yes",$AL$1&gt;=3),IF($C111='Batt IN'!$H$56*12,-'Batt IN'!$F$56,0),0)</f>
        <v>0</v>
      </c>
      <c r="AM111" s="2">
        <f>IF(AND('Batt IN'!$D$53="Yes",$AL$1&gt;=4),IF($C111='Batt IN'!$H$57*12,-'Batt IN'!$F$57,0),0)</f>
        <v>0</v>
      </c>
      <c r="AN111" s="2">
        <f>IF(AND('Batt IN'!$D$53="Yes",$AL$1&gt;=5),IF($C111='Batt IN'!$H$58*12,-'Batt IN'!$F$58,0),0)</f>
        <v>0</v>
      </c>
      <c r="AO111" s="10">
        <f>IF(AND('Batt IN'!$D$44="YES",$C111&lt;='Batt IN'!$E$44*12),-'Batt IN'!$E$28*'Batt IN'!$E$42/12,0)</f>
        <v>0</v>
      </c>
      <c r="AP111" s="10">
        <f>IF(AND('Batt IN'!$D$46="YES",$C111&lt;='Batt IN'!$E$46*12),-'Batt IN'!$E$28*'Batt IN'!$E$45/12,0)</f>
        <v>0</v>
      </c>
      <c r="AR111" s="10">
        <f>BattLoan!M138</f>
        <v>0</v>
      </c>
      <c r="AS111" s="10">
        <f>'Batt IN'!$G$16*365/12*'Batt IN'!$E$16</f>
        <v>76.041666666666671</v>
      </c>
      <c r="AT111" s="10">
        <f>IF(AND('Batt IN'!$E$18&gt;0,'Batt IN'!$G$18&gt;0),'Batt IN'!$E$17*'Batt IN'!$G$17,0)</f>
        <v>119.44619999999999</v>
      </c>
      <c r="AU111" s="10">
        <f>IF(AND('Batt IN'!$E$20&gt;0,'Batt IN'!$G$20&gt;0),'Batt IN'!$E$19*'Batt IN'!$G$19,0)</f>
        <v>231</v>
      </c>
      <c r="AV111" s="10"/>
      <c r="AW111" s="10"/>
      <c r="AX111" s="10">
        <f>IF('Batt IN'!$E$11="Non-Taxable",Q111,0)</f>
        <v>11168.08</v>
      </c>
      <c r="AY111" s="10">
        <f>IF('Batt IN'!$E$11="Non-Taxable",'Batt IN'!$E$28/1000*'Batt IN'!$G$13*('Batt IN'!$E$13/12)*'Batt IN'!$E$12,0)</f>
        <v>244.42220833333334</v>
      </c>
      <c r="AZ111" s="10">
        <f>IF('Batt IN'!$E$11="Non-Taxable",$S111*'Batt IN'!$G$15*'Batt IN'!$E$28*'Batt IN'!$E$14/1000,0)</f>
        <v>0</v>
      </c>
      <c r="BA111" s="10">
        <f>IF('Batt IN'!$E$11="Non-Taxable",'Batt IN'!$E$21*'Batt IN'!$G$21/12,0)</f>
        <v>437.5</v>
      </c>
      <c r="BB111" s="10">
        <f>IF('Batt IN'!$E$11="Non-Taxable",'Batt IN'!$E$22*'Batt IN'!$G$22/12,0)</f>
        <v>1145.8333333333335</v>
      </c>
      <c r="BC111" s="10">
        <f>IF('Batt IN'!$E$11="Taxable",Q111,0)</f>
        <v>0</v>
      </c>
      <c r="BD111" s="10">
        <f>IF('Batt IN'!$E$11="Taxable",'Batt IN'!$E$28/1000*'Batt IN'!$G$13*('Batt IN'!$E$13/12)*'Batt IN'!$E$12,0)</f>
        <v>0</v>
      </c>
      <c r="BE111" s="10">
        <f>IF('Batt IN'!$E$11="Taxable",$S111*'Batt IN'!$G$15*'Batt IN'!$E$28*'Batt IN'!$E$14/1000,0)</f>
        <v>0</v>
      </c>
      <c r="BF111" s="10">
        <f>IF('Batt IN'!$E$11="Taxable",'Batt IN'!$E$21*'Batt IN'!$G$21/12,0)</f>
        <v>0</v>
      </c>
      <c r="BG111" s="10">
        <f>IF('Batt IN'!$E$11="Taxable",'Batt IN'!$E$22*'Batt IN'!$G$22/12,0)</f>
        <v>0</v>
      </c>
      <c r="BK111" s="10">
        <f>IF('Batt IN'!$N$18="Yes",-BattLoan!H139,-BattLoan!L139)</f>
        <v>0</v>
      </c>
      <c r="BL111" s="10">
        <f>IF('Batt IN'!$N$18="Yes",-BattLoan!F139,0)</f>
        <v>0</v>
      </c>
      <c r="BM111" s="10">
        <f>IF(AND('Batt IN'!$D$44="YES",$C111&lt;='Batt IN'!$E$44*12),0,-'Batt IN'!$E$28*'Batt IN'!$E$42/12)</f>
        <v>-83.333333333333329</v>
      </c>
      <c r="BN111" s="10">
        <f>IF(AND('Batt IN'!$D$46="YES",$C111&lt;='Batt IN'!$E$46*12),0,-'Batt IN'!$E$28*'Batt IN'!$E$45/12)</f>
        <v>-166.66666666666666</v>
      </c>
      <c r="BO111" s="2">
        <f>IF(AND('Batt IN'!$D$41="YES",BattCalcs!C111=ROUNDUP('Batt IN'!$H$41*12,)),-'Batt IN'!$E$41*'Batt IN'!$E$28,0)</f>
        <v>0</v>
      </c>
      <c r="BP111" s="2">
        <f>IF(AND('Batt IN'!$D$53="Yes",$AL$1&gt;=1),0,IF($C111='Batt IN'!$H$54*12,-'Batt IN'!$F$54,0))</f>
        <v>0</v>
      </c>
      <c r="BQ111" s="2">
        <f>IF(AND('Batt IN'!$D$53="Yes",$AL$1&gt;=2),0,IF($C111='Batt IN'!$H$55*12,-'Batt IN'!$F$55,0))</f>
        <v>0</v>
      </c>
      <c r="BR111" s="2">
        <f>IF(AND('Batt IN'!$D$53="Yes",$AL$1&gt;=3),0,IF($C111='Batt IN'!$H$56*12,-'Batt IN'!$F$56,0))</f>
        <v>0</v>
      </c>
      <c r="BS111" s="2">
        <f>IF(AND('Batt IN'!$D$53="Yes",$AL$1&gt;=4),0,IF($C111='Batt IN'!$H$57*12,-'Batt IN'!$F$57,0))</f>
        <v>0</v>
      </c>
      <c r="BT111" s="2">
        <f>IF(AND('Batt IN'!$D$53="Yes",$AL$1&gt;=5),0,IF($C111='Batt IN'!$H$58*12,-'Batt IN'!$F$58,0))</f>
        <v>0</v>
      </c>
      <c r="BU111" s="2">
        <f>-AH111*PVCalcs!F111</f>
        <v>-361.9020255125464</v>
      </c>
      <c r="BV111" s="2">
        <f>-'Batt IN'!$E$47</f>
        <v>-150</v>
      </c>
      <c r="BW111" s="2">
        <f>-'Batt IN'!$E$49</f>
        <v>-2250</v>
      </c>
      <c r="BX111" s="2">
        <f>IF('Batt IN'!$H$50="No",-(BC111*'Batt IN'!$E$50),-(BC111+BE111)*'Batt IN'!$E$50)</f>
        <v>0</v>
      </c>
      <c r="BY111" s="2">
        <f>IF(C111='Batt IN'!$H$43*12,-'Batt IN'!$E$43,0)</f>
        <v>0</v>
      </c>
      <c r="BZ111" s="38"/>
      <c r="CA111" s="10">
        <f t="shared" si="17"/>
        <v>13422.323408333334</v>
      </c>
      <c r="CB111" s="2">
        <f t="shared" si="21"/>
        <v>-3011.9020255125465</v>
      </c>
      <c r="CC111" s="45">
        <f t="shared" si="22"/>
        <v>10410.421382820787</v>
      </c>
      <c r="CD111" s="43"/>
      <c r="CE111" s="2">
        <f t="shared" si="18"/>
        <v>0</v>
      </c>
      <c r="CF111" s="2">
        <f t="shared" si="23"/>
        <v>-3011.9020255125465</v>
      </c>
      <c r="CG111" s="2"/>
      <c r="CH111" s="2">
        <f t="shared" si="24"/>
        <v>-3011.9020255125465</v>
      </c>
      <c r="CI111" s="45">
        <f>-CH111*'Batt IN'!$E$7</f>
        <v>632.49942535763478</v>
      </c>
      <c r="CJ111" s="48"/>
      <c r="CK111" s="45">
        <f>IF('Batt IN'!$F$4="PV Only",0,IF(C111&gt;'Batt IN'!$H$43*12,0,CC111+CI111))</f>
        <v>0</v>
      </c>
      <c r="CM111" s="10">
        <f t="shared" si="25"/>
        <v>0</v>
      </c>
      <c r="CN111" s="2">
        <f>CK111/(1+('Batt IN'!$G$8))^(C111)</f>
        <v>0</v>
      </c>
      <c r="CO111" s="2">
        <f>IF(C111&lt;='Batt IN'!$O$30*12,CN111+CO110,NA())</f>
        <v>0</v>
      </c>
      <c r="CQ111" s="2">
        <f>CK111/((1+('Batt IN'!$E$8/12))^BattCalcs!C111)</f>
        <v>0</v>
      </c>
      <c r="CS111" s="10">
        <f t="shared" si="26"/>
        <v>-3011.9020255125465</v>
      </c>
      <c r="CT111" s="10">
        <f t="shared" si="27"/>
        <v>0</v>
      </c>
      <c r="CU111" s="10">
        <f t="shared" si="28"/>
        <v>-3011.9020255125465</v>
      </c>
      <c r="CV111" s="10">
        <f t="shared" si="29"/>
        <v>-3011.9020255125465</v>
      </c>
      <c r="CW111" s="2">
        <f t="shared" si="30"/>
        <v>0</v>
      </c>
      <c r="CX111" s="2">
        <f>-(SUM(CV111:CW111)*'PV IN'!$E$8)</f>
        <v>632.49942535763478</v>
      </c>
      <c r="CY111" s="2">
        <f t="shared" si="31"/>
        <v>-2379.4026001549119</v>
      </c>
      <c r="CZ111" s="2">
        <f>IF(C111&lt;='Batt IN'!$H$43*12,CY111/(1+('PV IN'!$G$9))^(C111),0)</f>
        <v>-1540.0329577400921</v>
      </c>
      <c r="DA111" s="33">
        <f>IF(C111&lt;='Batt IN'!$H$43*12,AE111,0)</f>
        <v>30366.783333333333</v>
      </c>
    </row>
    <row r="112" spans="1:105" x14ac:dyDescent="0.25">
      <c r="A112">
        <f>IF(C112&lt;='Batt IN'!$H$43*12,C112,"")</f>
        <v>108</v>
      </c>
      <c r="B112">
        <v>9</v>
      </c>
      <c r="C112">
        <v>108</v>
      </c>
      <c r="D112" s="21">
        <v>730</v>
      </c>
      <c r="E112" s="1">
        <f>1-'Batt IN'!$E$31</f>
        <v>2.0000000000000018E-2</v>
      </c>
      <c r="F112" s="12">
        <f>('Batt IN'!$E$33*365)/8760</f>
        <v>0</v>
      </c>
      <c r="G112" s="22">
        <f>'Batt IN'!$E$32/8760</f>
        <v>5.7077625570776253E-3</v>
      </c>
      <c r="H112" s="22">
        <f>'Batt IN'!$E$13/8760</f>
        <v>5.5936073059360729E-3</v>
      </c>
      <c r="I112" s="23">
        <f>IF(C112&lt;='Batt IN'!$G$14*12,'Batt IN'!$E$15/8760*'Batt IN'!$G$15,0)</f>
        <v>0</v>
      </c>
      <c r="J112" s="12">
        <f>Z112/'Batt IN'!$E$27/730</f>
        <v>2.4999999999999996E-3</v>
      </c>
      <c r="K112" s="23">
        <f>AA112/'Batt IN'!$E$27/730</f>
        <v>1.6027397260273972E-3</v>
      </c>
      <c r="L112" s="23">
        <f>AB112/'Batt IN'!$E$27/730</f>
        <v>2.0547945205479451E-4</v>
      </c>
      <c r="M112" s="23">
        <f>AC112/'Batt IN'!$E$27/730</f>
        <v>4.7945205479452057E-3</v>
      </c>
      <c r="N112" s="23">
        <f>AD112/'Batt IN'!$E$27/730</f>
        <v>3.4246575342465752E-3</v>
      </c>
      <c r="O112" s="12">
        <f t="shared" si="19"/>
        <v>4.3828767123287697E-2</v>
      </c>
      <c r="P112" s="21">
        <f t="shared" si="20"/>
        <v>698.005</v>
      </c>
      <c r="Q112" s="2">
        <f>IF('Batt IN'!$E$27*'Batt IN'!$E$24&lt;='Batt IN'!$E$28,(('Batt IN'!$E$23*'Batt IN'!$E$27*'Batt IN'!$E$24)/1000)*P112,(('Batt IN'!$E$23*'Batt IN'!$E$28*'Batt IN'!$E$24)/1000)*P112)</f>
        <v>11168.08</v>
      </c>
      <c r="R112" s="2"/>
      <c r="S112" s="77">
        <f>IF(C112&lt;='Batt IN'!$G$14*12,'Batt IN'!$E$15/12,0)</f>
        <v>0</v>
      </c>
      <c r="T112" s="77"/>
      <c r="U112" s="80">
        <f>'Batt IN'!$E$28*('Batt IN'!$G$24/24)*730*(1-O112)</f>
        <v>81433.916666666657</v>
      </c>
      <c r="V112" s="78">
        <f>U112*'Batt IN'!$F$30</f>
        <v>16286.783333333333</v>
      </c>
      <c r="W112" s="78">
        <f>'Batt IN'!$E$28*'Batt IN'!$G$32*('Batt IN'!$E$32/12)*(1+'Batt IN'!$F$30)</f>
        <v>1750.0000000000002</v>
      </c>
      <c r="X112" s="78">
        <f>'Batt IN'!$E$28*'Batt IN'!$G$13*('Batt IN'!$E$13/12)*(1+'Batt IN'!$F$30)</f>
        <v>3184.9999999999995</v>
      </c>
      <c r="Y112" s="33">
        <f>S112*'Batt IN'!$G$15*'Batt IN'!$E$28*(1+'Batt IN'!$F$30)</f>
        <v>0</v>
      </c>
      <c r="Z112" s="33">
        <f>'Batt IN'!$G$16*365/12*(1+'Batt IN'!$F$30)</f>
        <v>1824.9999999999998</v>
      </c>
      <c r="AA112" s="33">
        <f>'Batt IN'!$G$17*'Batt IN'!$E$18*'Batt IN'!$G$18/12*(1+'Batt IN'!$F$30)</f>
        <v>1170</v>
      </c>
      <c r="AB112" s="33">
        <f>'Batt IN'!$G$19*'Batt IN'!$E$20*'Batt IN'!$G$20/12*(1+'Batt IN'!$F$30)</f>
        <v>150</v>
      </c>
      <c r="AC112" s="33">
        <f>'Batt IN'!$G$21*(1+'Batt IN'!$F$30)/12</f>
        <v>3500</v>
      </c>
      <c r="AD112" s="33">
        <f>'Batt IN'!$G$22*(1+'Batt IN'!$F$30)/12</f>
        <v>2500</v>
      </c>
      <c r="AE112" s="33">
        <f t="shared" si="32"/>
        <v>30366.783333333333</v>
      </c>
      <c r="AF112" s="33">
        <f>IF('PV IN'!$F$4="Battery Only",0,AE112*'Batt IN'!$E$29)</f>
        <v>25811.765833333331</v>
      </c>
      <c r="AG112" s="33">
        <f>PVCalcs!L112</f>
        <v>25811.765833333331</v>
      </c>
      <c r="AH112" s="33">
        <f t="shared" si="33"/>
        <v>4555.0175000000017</v>
      </c>
      <c r="AI112" s="33"/>
      <c r="AJ112" s="2">
        <f>IF(AND('Batt IN'!$D$53="Yes",$AL$1&gt;=1),IF($C112='Batt IN'!$H$54*12,-'Batt IN'!$F$54,0),0)</f>
        <v>0</v>
      </c>
      <c r="AK112" s="2">
        <f>IF(AND('Batt IN'!$D$53="Yes",$AL$1&gt;=2),IF($C112='Batt IN'!$H$55*12,-'Batt IN'!$F$55,0),0)</f>
        <v>0</v>
      </c>
      <c r="AL112" s="2">
        <f>IF(AND('Batt IN'!$D$53="Yes",$AL$1&gt;=3),IF($C112='Batt IN'!$H$56*12,-'Batt IN'!$F$56,0),0)</f>
        <v>0</v>
      </c>
      <c r="AM112" s="2">
        <f>IF(AND('Batt IN'!$D$53="Yes",$AL$1&gt;=4),IF($C112='Batt IN'!$H$57*12,-'Batt IN'!$F$57,0),0)</f>
        <v>0</v>
      </c>
      <c r="AN112" s="2">
        <f>IF(AND('Batt IN'!$D$53="Yes",$AL$1&gt;=5),IF($C112='Batt IN'!$H$58*12,-'Batt IN'!$F$58,0),0)</f>
        <v>0</v>
      </c>
      <c r="AO112" s="10">
        <f>IF(AND('Batt IN'!$D$44="YES",$C112&lt;='Batt IN'!$E$44*12),-'Batt IN'!$E$28*'Batt IN'!$E$42/12,0)</f>
        <v>0</v>
      </c>
      <c r="AP112" s="10">
        <f>IF(AND('Batt IN'!$D$46="YES",$C112&lt;='Batt IN'!$E$46*12),-'Batt IN'!$E$28*'Batt IN'!$E$45/12,0)</f>
        <v>0</v>
      </c>
      <c r="AR112" s="10">
        <f>BattLoan!M139</f>
        <v>0</v>
      </c>
      <c r="AS112" s="10">
        <f>'Batt IN'!$G$16*365/12*'Batt IN'!$E$16</f>
        <v>76.041666666666671</v>
      </c>
      <c r="AT112" s="10">
        <f>IF(AND('Batt IN'!$E$18&gt;0,'Batt IN'!$G$18&gt;0),'Batt IN'!$E$17*'Batt IN'!$G$17,0)</f>
        <v>119.44619999999999</v>
      </c>
      <c r="AU112" s="10">
        <f>IF(AND('Batt IN'!$E$20&gt;0,'Batt IN'!$G$20&gt;0),'Batt IN'!$E$19*'Batt IN'!$G$19,0)</f>
        <v>231</v>
      </c>
      <c r="AV112" s="10"/>
      <c r="AW112" s="10"/>
      <c r="AX112" s="10">
        <f>IF('Batt IN'!$E$11="Non-Taxable",Q112,0)</f>
        <v>11168.08</v>
      </c>
      <c r="AY112" s="10">
        <f>IF('Batt IN'!$E$11="Non-Taxable",'Batt IN'!$E$28/1000*'Batt IN'!$G$13*('Batt IN'!$E$13/12)*'Batt IN'!$E$12,0)</f>
        <v>244.42220833333334</v>
      </c>
      <c r="AZ112" s="10">
        <f>IF('Batt IN'!$E$11="Non-Taxable",$S112*'Batt IN'!$G$15*'Batt IN'!$E$28*'Batt IN'!$E$14/1000,0)</f>
        <v>0</v>
      </c>
      <c r="BA112" s="10">
        <f>IF('Batt IN'!$E$11="Non-Taxable",'Batt IN'!$E$21*'Batt IN'!$G$21/12,0)</f>
        <v>437.5</v>
      </c>
      <c r="BB112" s="10">
        <f>IF('Batt IN'!$E$11="Non-Taxable",'Batt IN'!$E$22*'Batt IN'!$G$22/12,0)</f>
        <v>1145.8333333333335</v>
      </c>
      <c r="BC112" s="10">
        <f>IF('Batt IN'!$E$11="Taxable",Q112,0)</f>
        <v>0</v>
      </c>
      <c r="BD112" s="10">
        <f>IF('Batt IN'!$E$11="Taxable",'Batt IN'!$E$28/1000*'Batt IN'!$G$13*('Batt IN'!$E$13/12)*'Batt IN'!$E$12,0)</f>
        <v>0</v>
      </c>
      <c r="BE112" s="10">
        <f>IF('Batt IN'!$E$11="Taxable",$S112*'Batt IN'!$G$15*'Batt IN'!$E$28*'Batt IN'!$E$14/1000,0)</f>
        <v>0</v>
      </c>
      <c r="BF112" s="10">
        <f>IF('Batt IN'!$E$11="Taxable",'Batt IN'!$E$21*'Batt IN'!$G$21/12,0)</f>
        <v>0</v>
      </c>
      <c r="BG112" s="10">
        <f>IF('Batt IN'!$E$11="Taxable",'Batt IN'!$E$22*'Batt IN'!$G$22/12,0)</f>
        <v>0</v>
      </c>
      <c r="BK112" s="10">
        <f>IF('Batt IN'!$N$18="Yes",-BattLoan!H140,-BattLoan!L140)</f>
        <v>0</v>
      </c>
      <c r="BL112" s="10">
        <f>IF('Batt IN'!$N$18="Yes",-BattLoan!F140,0)</f>
        <v>0</v>
      </c>
      <c r="BM112" s="10">
        <f>IF(AND('Batt IN'!$D$44="YES",$C112&lt;='Batt IN'!$E$44*12),0,-'Batt IN'!$E$28*'Batt IN'!$E$42/12)</f>
        <v>-83.333333333333329</v>
      </c>
      <c r="BN112" s="10">
        <f>IF(AND('Batt IN'!$D$46="YES",$C112&lt;='Batt IN'!$E$46*12),0,-'Batt IN'!$E$28*'Batt IN'!$E$45/12)</f>
        <v>-166.66666666666666</v>
      </c>
      <c r="BO112" s="2">
        <f>IF(AND('Batt IN'!$D$41="YES",BattCalcs!C112=ROUNDUP('Batt IN'!$H$41*12,)),-'Batt IN'!$E$41*'Batt IN'!$E$28,0)</f>
        <v>0</v>
      </c>
      <c r="BP112" s="2">
        <f>IF(AND('Batt IN'!$D$53="Yes",$AL$1&gt;=1),0,IF($C112='Batt IN'!$H$54*12,-'Batt IN'!$F$54,0))</f>
        <v>0</v>
      </c>
      <c r="BQ112" s="2">
        <f>IF(AND('Batt IN'!$D$53="Yes",$AL$1&gt;=2),0,IF($C112='Batt IN'!$H$55*12,-'Batt IN'!$F$55,0))</f>
        <v>0</v>
      </c>
      <c r="BR112" s="2">
        <f>IF(AND('Batt IN'!$D$53="Yes",$AL$1&gt;=3),0,IF($C112='Batt IN'!$H$56*12,-'Batt IN'!$F$56,0))</f>
        <v>0</v>
      </c>
      <c r="BS112" s="2">
        <f>IF(AND('Batt IN'!$D$53="Yes",$AL$1&gt;=4),0,IF($C112='Batt IN'!$H$57*12,-'Batt IN'!$F$57,0))</f>
        <v>0</v>
      </c>
      <c r="BT112" s="2">
        <f>IF(AND('Batt IN'!$D$53="Yes",$AL$1&gt;=5),0,IF($C112='Batt IN'!$H$58*12,-'Batt IN'!$F$58,0))</f>
        <v>0</v>
      </c>
      <c r="BU112" s="2">
        <f>-AH112*PVCalcs!F112</f>
        <v>-361.9020255125464</v>
      </c>
      <c r="BV112" s="2">
        <f>-'Batt IN'!$E$47</f>
        <v>-150</v>
      </c>
      <c r="BW112" s="2">
        <f>-'Batt IN'!$E$49</f>
        <v>-2250</v>
      </c>
      <c r="BX112" s="2">
        <f>IF('Batt IN'!$H$50="No",-(BC112*'Batt IN'!$E$50),-(BC112+BE112)*'Batt IN'!$E$50)</f>
        <v>0</v>
      </c>
      <c r="BY112" s="2">
        <f>IF(C112='Batt IN'!$H$43*12,-'Batt IN'!$E$43,0)</f>
        <v>0</v>
      </c>
      <c r="BZ112" s="38"/>
      <c r="CA112" s="10">
        <f t="shared" si="17"/>
        <v>13422.323408333334</v>
      </c>
      <c r="CB112" s="2">
        <f t="shared" si="21"/>
        <v>-3011.9020255125465</v>
      </c>
      <c r="CC112" s="45">
        <f t="shared" si="22"/>
        <v>10410.421382820787</v>
      </c>
      <c r="CD112" s="43"/>
      <c r="CE112" s="2">
        <f t="shared" si="18"/>
        <v>0</v>
      </c>
      <c r="CF112" s="2">
        <f t="shared" si="23"/>
        <v>-3011.9020255125465</v>
      </c>
      <c r="CG112" s="2"/>
      <c r="CH112" s="2">
        <f t="shared" si="24"/>
        <v>-3011.9020255125465</v>
      </c>
      <c r="CI112" s="45">
        <f>-CH112*'Batt IN'!$E$7</f>
        <v>632.49942535763478</v>
      </c>
      <c r="CJ112" s="48"/>
      <c r="CK112" s="45">
        <f>IF('Batt IN'!$F$4="PV Only",0,IF(C112&gt;'Batt IN'!$H$43*12,0,CC112+CI112))</f>
        <v>0</v>
      </c>
      <c r="CM112" s="10">
        <f t="shared" si="25"/>
        <v>0</v>
      </c>
      <c r="CN112" s="2">
        <f>CK112/(1+('Batt IN'!$G$8))^(C112)</f>
        <v>0</v>
      </c>
      <c r="CO112" s="2">
        <f>IF(C112&lt;='Batt IN'!$O$30*12,CN112+CO111,NA())</f>
        <v>0</v>
      </c>
      <c r="CQ112" s="2">
        <f>CK112/((1+('Batt IN'!$E$8/12))^BattCalcs!C112)</f>
        <v>0</v>
      </c>
      <c r="CS112" s="10">
        <f t="shared" si="26"/>
        <v>-3011.9020255125465</v>
      </c>
      <c r="CT112" s="10">
        <f t="shared" si="27"/>
        <v>0</v>
      </c>
      <c r="CU112" s="10">
        <f t="shared" si="28"/>
        <v>-3011.9020255125465</v>
      </c>
      <c r="CV112" s="10">
        <f t="shared" si="29"/>
        <v>-3011.9020255125465</v>
      </c>
      <c r="CW112" s="2">
        <f t="shared" si="30"/>
        <v>0</v>
      </c>
      <c r="CX112" s="2">
        <f>-(SUM(CV112:CW112)*'PV IN'!$E$8)</f>
        <v>632.49942535763478</v>
      </c>
      <c r="CY112" s="2">
        <f t="shared" si="31"/>
        <v>-2379.4026001549119</v>
      </c>
      <c r="CZ112" s="2">
        <f>IF(C112&lt;='Batt IN'!$H$43*12,CY112/(1+('PV IN'!$G$9))^(C112),0)</f>
        <v>-1533.7841313316515</v>
      </c>
      <c r="DA112" s="33">
        <f>IF(C112&lt;='Batt IN'!$H$43*12,AE112,0)</f>
        <v>30366.783333333333</v>
      </c>
    </row>
    <row r="113" spans="1:105" x14ac:dyDescent="0.25">
      <c r="A113">
        <f>IF(C113&lt;='Batt IN'!$H$43*12,C113,"")</f>
        <v>109</v>
      </c>
      <c r="C113">
        <v>109</v>
      </c>
      <c r="D113" s="21">
        <v>730</v>
      </c>
      <c r="E113" s="1">
        <f>1-'Batt IN'!$E$31</f>
        <v>2.0000000000000018E-2</v>
      </c>
      <c r="F113" s="12">
        <f>('Batt IN'!$E$33*365)/8760</f>
        <v>0</v>
      </c>
      <c r="G113" s="22">
        <f>'Batt IN'!$E$32/8760</f>
        <v>5.7077625570776253E-3</v>
      </c>
      <c r="H113" s="22">
        <f>'Batt IN'!$E$13/8760</f>
        <v>5.5936073059360729E-3</v>
      </c>
      <c r="I113" s="23">
        <f>IF(C113&lt;='Batt IN'!$G$14*12,'Batt IN'!$E$15/8760*'Batt IN'!$G$15,0)</f>
        <v>0</v>
      </c>
      <c r="J113" s="12">
        <f>Z113/'Batt IN'!$E$27/730</f>
        <v>2.4999999999999996E-3</v>
      </c>
      <c r="K113" s="23">
        <f>AA113/'Batt IN'!$E$27/730</f>
        <v>1.6027397260273972E-3</v>
      </c>
      <c r="L113" s="23">
        <f>AB113/'Batt IN'!$E$27/730</f>
        <v>2.0547945205479451E-4</v>
      </c>
      <c r="M113" s="23">
        <f>AC113/'Batt IN'!$E$27/730</f>
        <v>4.7945205479452057E-3</v>
      </c>
      <c r="N113" s="23">
        <f>AD113/'Batt IN'!$E$27/730</f>
        <v>3.4246575342465752E-3</v>
      </c>
      <c r="O113" s="12">
        <f t="shared" si="19"/>
        <v>4.3828767123287697E-2</v>
      </c>
      <c r="P113" s="21">
        <f t="shared" si="20"/>
        <v>698.005</v>
      </c>
      <c r="Q113" s="2">
        <f>IF('Batt IN'!$E$27*'Batt IN'!$E$24&lt;='Batt IN'!$E$28,(('Batt IN'!$E$23*'Batt IN'!$E$27*'Batt IN'!$E$24)/1000)*P113,(('Batt IN'!$E$23*'Batt IN'!$E$28*'Batt IN'!$E$24)/1000)*P113)</f>
        <v>11168.08</v>
      </c>
      <c r="R113" s="2"/>
      <c r="S113" s="77">
        <f>IF(C113&lt;='Batt IN'!$G$14*12,'Batt IN'!$E$15/12,0)</f>
        <v>0</v>
      </c>
      <c r="T113" s="77"/>
      <c r="U113" s="80">
        <f>'Batt IN'!$E$28*('Batt IN'!$G$24/24)*730*(1-O113)</f>
        <v>81433.916666666657</v>
      </c>
      <c r="V113" s="78">
        <f>U113*'Batt IN'!$F$30</f>
        <v>16286.783333333333</v>
      </c>
      <c r="W113" s="78">
        <f>'Batt IN'!$E$28*'Batt IN'!$G$32*('Batt IN'!$E$32/12)*(1+'Batt IN'!$F$30)</f>
        <v>1750.0000000000002</v>
      </c>
      <c r="X113" s="78">
        <f>'Batt IN'!$E$28*'Batt IN'!$G$13*('Batt IN'!$E$13/12)*(1+'Batt IN'!$F$30)</f>
        <v>3184.9999999999995</v>
      </c>
      <c r="Y113" s="33">
        <f>S113*'Batt IN'!$G$15*'Batt IN'!$E$28*(1+'Batt IN'!$F$30)</f>
        <v>0</v>
      </c>
      <c r="Z113" s="33">
        <f>'Batt IN'!$G$16*365/12*(1+'Batt IN'!$F$30)</f>
        <v>1824.9999999999998</v>
      </c>
      <c r="AA113" s="33">
        <f>'Batt IN'!$G$17*'Batt IN'!$E$18*'Batt IN'!$G$18/12*(1+'Batt IN'!$F$30)</f>
        <v>1170</v>
      </c>
      <c r="AB113" s="33">
        <f>'Batt IN'!$G$19*'Batt IN'!$E$20*'Batt IN'!$G$20/12*(1+'Batt IN'!$F$30)</f>
        <v>150</v>
      </c>
      <c r="AC113" s="33">
        <f>'Batt IN'!$G$21*(1+'Batt IN'!$F$30)/12</f>
        <v>3500</v>
      </c>
      <c r="AD113" s="33">
        <f>'Batt IN'!$G$22*(1+'Batt IN'!$F$30)/12</f>
        <v>2500</v>
      </c>
      <c r="AE113" s="33">
        <f t="shared" si="32"/>
        <v>30366.783333333333</v>
      </c>
      <c r="AF113" s="33">
        <f>IF('PV IN'!$F$4="Battery Only",0,AE113*'Batt IN'!$E$29)</f>
        <v>25811.765833333331</v>
      </c>
      <c r="AG113" s="33">
        <f>PVCalcs!L113</f>
        <v>25811.765833333331</v>
      </c>
      <c r="AH113" s="33">
        <f t="shared" si="33"/>
        <v>4555.0175000000017</v>
      </c>
      <c r="AI113" s="33"/>
      <c r="AJ113" s="2">
        <f>IF(AND('Batt IN'!$D$53="Yes",$AL$1&gt;=1),IF($C113='Batt IN'!$H$54*12,-'Batt IN'!$F$54,0),0)</f>
        <v>0</v>
      </c>
      <c r="AK113" s="2">
        <f>IF(AND('Batt IN'!$D$53="Yes",$AL$1&gt;=2),IF($C113='Batt IN'!$H$55*12,-'Batt IN'!$F$55,0),0)</f>
        <v>0</v>
      </c>
      <c r="AL113" s="2">
        <f>IF(AND('Batt IN'!$D$53="Yes",$AL$1&gt;=3),IF($C113='Batt IN'!$H$56*12,-'Batt IN'!$F$56,0),0)</f>
        <v>0</v>
      </c>
      <c r="AM113" s="2">
        <f>IF(AND('Batt IN'!$D$53="Yes",$AL$1&gt;=4),IF($C113='Batt IN'!$H$57*12,-'Batt IN'!$F$57,0),0)</f>
        <v>0</v>
      </c>
      <c r="AN113" s="2">
        <f>IF(AND('Batt IN'!$D$53="Yes",$AL$1&gt;=5),IF($C113='Batt IN'!$H$58*12,-'Batt IN'!$F$58,0),0)</f>
        <v>0</v>
      </c>
      <c r="AO113" s="10">
        <f>IF(AND('Batt IN'!$D$44="YES",$C113&lt;='Batt IN'!$E$44*12),-'Batt IN'!$E$28*'Batt IN'!$E$42/12,0)</f>
        <v>0</v>
      </c>
      <c r="AP113" s="10">
        <f>IF(AND('Batt IN'!$D$46="YES",$C113&lt;='Batt IN'!$E$46*12),-'Batt IN'!$E$28*'Batt IN'!$E$45/12,0)</f>
        <v>0</v>
      </c>
      <c r="AR113" s="10">
        <f>BattLoan!M140</f>
        <v>0</v>
      </c>
      <c r="AS113" s="10">
        <f>'Batt IN'!$G$16*365/12*'Batt IN'!$E$16</f>
        <v>76.041666666666671</v>
      </c>
      <c r="AT113" s="10">
        <f>IF(AND('Batt IN'!$E$18&gt;0,'Batt IN'!$G$18&gt;0),'Batt IN'!$E$17*'Batt IN'!$G$17,0)</f>
        <v>119.44619999999999</v>
      </c>
      <c r="AU113" s="10">
        <f>IF(AND('Batt IN'!$E$20&gt;0,'Batt IN'!$G$20&gt;0),'Batt IN'!$E$19*'Batt IN'!$G$19,0)</f>
        <v>231</v>
      </c>
      <c r="AV113" s="10"/>
      <c r="AW113" s="10"/>
      <c r="AX113" s="10">
        <f>IF('Batt IN'!$E$11="Non-Taxable",Q113,0)</f>
        <v>11168.08</v>
      </c>
      <c r="AY113" s="10">
        <f>IF('Batt IN'!$E$11="Non-Taxable",'Batt IN'!$E$28/1000*'Batt IN'!$G$13*('Batt IN'!$E$13/12)*'Batt IN'!$E$12,0)</f>
        <v>244.42220833333334</v>
      </c>
      <c r="AZ113" s="10">
        <f>IF('Batt IN'!$E$11="Non-Taxable",$S113*'Batt IN'!$G$15*'Batt IN'!$E$28*'Batt IN'!$E$14/1000,0)</f>
        <v>0</v>
      </c>
      <c r="BA113" s="10">
        <f>IF('Batt IN'!$E$11="Non-Taxable",'Batt IN'!$E$21*'Batt IN'!$G$21/12,0)</f>
        <v>437.5</v>
      </c>
      <c r="BB113" s="10">
        <f>IF('Batt IN'!$E$11="Non-Taxable",'Batt IN'!$E$22*'Batt IN'!$G$22/12,0)</f>
        <v>1145.8333333333335</v>
      </c>
      <c r="BC113" s="10">
        <f>IF('Batt IN'!$E$11="Taxable",Q113,0)</f>
        <v>0</v>
      </c>
      <c r="BD113" s="10">
        <f>IF('Batt IN'!$E$11="Taxable",'Batt IN'!$E$28/1000*'Batt IN'!$G$13*('Batt IN'!$E$13/12)*'Batt IN'!$E$12,0)</f>
        <v>0</v>
      </c>
      <c r="BE113" s="10">
        <f>IF('Batt IN'!$E$11="Taxable",$S113*'Batt IN'!$G$15*'Batt IN'!$E$28*'Batt IN'!$E$14/1000,0)</f>
        <v>0</v>
      </c>
      <c r="BF113" s="10">
        <f>IF('Batt IN'!$E$11="Taxable",'Batt IN'!$E$21*'Batt IN'!$G$21/12,0)</f>
        <v>0</v>
      </c>
      <c r="BG113" s="10">
        <f>IF('Batt IN'!$E$11="Taxable",'Batt IN'!$E$22*'Batt IN'!$G$22/12,0)</f>
        <v>0</v>
      </c>
      <c r="BK113" s="10">
        <f>IF('Batt IN'!$N$18="Yes",-BattLoan!H141,-BattLoan!L141)</f>
        <v>0</v>
      </c>
      <c r="BL113" s="10">
        <f>IF('Batt IN'!$N$18="Yes",-BattLoan!F141,0)</f>
        <v>0</v>
      </c>
      <c r="BM113" s="10">
        <f>IF(AND('Batt IN'!$D$44="YES",$C113&lt;='Batt IN'!$E$44*12),0,-'Batt IN'!$E$28*'Batt IN'!$E$42/12)</f>
        <v>-83.333333333333329</v>
      </c>
      <c r="BN113" s="10">
        <f>IF(AND('Batt IN'!$D$46="YES",$C113&lt;='Batt IN'!$E$46*12),0,-'Batt IN'!$E$28*'Batt IN'!$E$45/12)</f>
        <v>-166.66666666666666</v>
      </c>
      <c r="BO113" s="2">
        <f>IF(AND('Batt IN'!$D$41="YES",BattCalcs!C113=ROUNDUP('Batt IN'!$H$41*12,)),-'Batt IN'!$E$41*'Batt IN'!$E$28,0)</f>
        <v>0</v>
      </c>
      <c r="BP113" s="2">
        <f>IF(AND('Batt IN'!$D$53="Yes",$AL$1&gt;=1),0,IF($C113='Batt IN'!$H$54*12,-'Batt IN'!$F$54,0))</f>
        <v>0</v>
      </c>
      <c r="BQ113" s="2">
        <f>IF(AND('Batt IN'!$D$53="Yes",$AL$1&gt;=2),0,IF($C113='Batt IN'!$H$55*12,-'Batt IN'!$F$55,0))</f>
        <v>0</v>
      </c>
      <c r="BR113" s="2">
        <f>IF(AND('Batt IN'!$D$53="Yes",$AL$1&gt;=3),0,IF($C113='Batt IN'!$H$56*12,-'Batt IN'!$F$56,0))</f>
        <v>0</v>
      </c>
      <c r="BS113" s="2">
        <f>IF(AND('Batt IN'!$D$53="Yes",$AL$1&gt;=4),0,IF($C113='Batt IN'!$H$57*12,-'Batt IN'!$F$57,0))</f>
        <v>0</v>
      </c>
      <c r="BT113" s="2">
        <f>IF(AND('Batt IN'!$D$53="Yes",$AL$1&gt;=5),0,IF($C113='Batt IN'!$H$58*12,-'Batt IN'!$F$58,0))</f>
        <v>0</v>
      </c>
      <c r="BU113" s="2">
        <f>-AH113*PVCalcs!F113</f>
        <v>-365.03601625122235</v>
      </c>
      <c r="BV113" s="2">
        <f>-'Batt IN'!$E$47</f>
        <v>-150</v>
      </c>
      <c r="BW113" s="2">
        <f>-'Batt IN'!$E$49</f>
        <v>-2250</v>
      </c>
      <c r="BX113" s="2">
        <f>IF('Batt IN'!$H$50="No",-(BC113*'Batt IN'!$E$50),-(BC113+BE113)*'Batt IN'!$E$50)</f>
        <v>0</v>
      </c>
      <c r="BY113" s="2">
        <f>IF(C113='Batt IN'!$H$43*12,-'Batt IN'!$E$43,0)</f>
        <v>0</v>
      </c>
      <c r="BZ113" s="38"/>
      <c r="CA113" s="10">
        <f t="shared" si="17"/>
        <v>13422.323408333334</v>
      </c>
      <c r="CB113" s="2">
        <f t="shared" si="21"/>
        <v>-3015.0360162512225</v>
      </c>
      <c r="CC113" s="45">
        <f t="shared" si="22"/>
        <v>10407.287392082111</v>
      </c>
      <c r="CD113" s="43"/>
      <c r="CE113" s="2">
        <f t="shared" si="18"/>
        <v>0</v>
      </c>
      <c r="CF113" s="2">
        <f t="shared" si="23"/>
        <v>-3015.0360162512225</v>
      </c>
      <c r="CG113" s="2"/>
      <c r="CH113" s="2">
        <f t="shared" si="24"/>
        <v>-3015.0360162512225</v>
      </c>
      <c r="CI113" s="45">
        <f>-CH113*'Batt IN'!$E$7</f>
        <v>633.15756341275664</v>
      </c>
      <c r="CJ113" s="48"/>
      <c r="CK113" s="45">
        <f>IF('Batt IN'!$F$4="PV Only",0,IF(C113&gt;'Batt IN'!$H$43*12,0,CC113+CI113))</f>
        <v>0</v>
      </c>
      <c r="CM113" s="10">
        <f t="shared" si="25"/>
        <v>0</v>
      </c>
      <c r="CN113" s="2">
        <f>CK113/(1+('Batt IN'!$G$8))^(C113)</f>
        <v>0</v>
      </c>
      <c r="CO113" s="2">
        <f>IF(C113&lt;='Batt IN'!$O$30*12,CN113+CO112,NA())</f>
        <v>0</v>
      </c>
      <c r="CQ113" s="2">
        <f>CK113/((1+('Batt IN'!$E$8/12))^BattCalcs!C113)</f>
        <v>0</v>
      </c>
      <c r="CS113" s="10">
        <f t="shared" si="26"/>
        <v>-3015.0360162512225</v>
      </c>
      <c r="CT113" s="10">
        <f t="shared" si="27"/>
        <v>0</v>
      </c>
      <c r="CU113" s="10">
        <f t="shared" si="28"/>
        <v>-3015.0360162512225</v>
      </c>
      <c r="CV113" s="10">
        <f t="shared" si="29"/>
        <v>-3015.0360162512225</v>
      </c>
      <c r="CW113" s="2">
        <f t="shared" si="30"/>
        <v>0</v>
      </c>
      <c r="CX113" s="2">
        <f>-(SUM(CV113:CW113)*'PV IN'!$E$8)</f>
        <v>633.15756341275664</v>
      </c>
      <c r="CY113" s="2">
        <f t="shared" si="31"/>
        <v>-2381.8784528384658</v>
      </c>
      <c r="CZ113" s="2">
        <f>IF(C113&lt;='Batt IN'!$H$43*12,CY113/(1+('PV IN'!$G$9))^(C113),0)</f>
        <v>-1529.1501410881353</v>
      </c>
      <c r="DA113" s="33">
        <f>IF(C113&lt;='Batt IN'!$H$43*12,AE113,0)</f>
        <v>30366.783333333333</v>
      </c>
    </row>
    <row r="114" spans="1:105" x14ac:dyDescent="0.25">
      <c r="A114">
        <f>IF(C114&lt;='Batt IN'!$H$43*12,C114,"")</f>
        <v>110</v>
      </c>
      <c r="C114">
        <v>110</v>
      </c>
      <c r="D114" s="21">
        <v>730</v>
      </c>
      <c r="E114" s="1">
        <f>1-'Batt IN'!$E$31</f>
        <v>2.0000000000000018E-2</v>
      </c>
      <c r="F114" s="12">
        <f>('Batt IN'!$E$33*365)/8760</f>
        <v>0</v>
      </c>
      <c r="G114" s="22">
        <f>'Batt IN'!$E$32/8760</f>
        <v>5.7077625570776253E-3</v>
      </c>
      <c r="H114" s="22">
        <f>'Batt IN'!$E$13/8760</f>
        <v>5.5936073059360729E-3</v>
      </c>
      <c r="I114" s="23">
        <f>IF(C114&lt;='Batt IN'!$G$14*12,'Batt IN'!$E$15/8760*'Batt IN'!$G$15,0)</f>
        <v>0</v>
      </c>
      <c r="J114" s="12">
        <f>Z114/'Batt IN'!$E$27/730</f>
        <v>2.4999999999999996E-3</v>
      </c>
      <c r="K114" s="23">
        <f>AA114/'Batt IN'!$E$27/730</f>
        <v>1.6027397260273972E-3</v>
      </c>
      <c r="L114" s="23">
        <f>AB114/'Batt IN'!$E$27/730</f>
        <v>2.0547945205479451E-4</v>
      </c>
      <c r="M114" s="23">
        <f>AC114/'Batt IN'!$E$27/730</f>
        <v>4.7945205479452057E-3</v>
      </c>
      <c r="N114" s="23">
        <f>AD114/'Batt IN'!$E$27/730</f>
        <v>3.4246575342465752E-3</v>
      </c>
      <c r="O114" s="12">
        <f t="shared" si="19"/>
        <v>4.3828767123287697E-2</v>
      </c>
      <c r="P114" s="21">
        <f t="shared" si="20"/>
        <v>698.005</v>
      </c>
      <c r="Q114" s="2">
        <f>IF('Batt IN'!$E$27*'Batt IN'!$E$24&lt;='Batt IN'!$E$28,(('Batt IN'!$E$23*'Batt IN'!$E$27*'Batt IN'!$E$24)/1000)*P114,(('Batt IN'!$E$23*'Batt IN'!$E$28*'Batt IN'!$E$24)/1000)*P114)</f>
        <v>11168.08</v>
      </c>
      <c r="R114" s="2"/>
      <c r="S114" s="77">
        <f>IF(C114&lt;='Batt IN'!$G$14*12,'Batt IN'!$E$15/12,0)</f>
        <v>0</v>
      </c>
      <c r="T114" s="77"/>
      <c r="U114" s="80">
        <f>'Batt IN'!$E$28*('Batt IN'!$G$24/24)*730*(1-O114)</f>
        <v>81433.916666666657</v>
      </c>
      <c r="V114" s="78">
        <f>U114*'Batt IN'!$F$30</f>
        <v>16286.783333333333</v>
      </c>
      <c r="W114" s="78">
        <f>'Batt IN'!$E$28*'Batt IN'!$G$32*('Batt IN'!$E$32/12)*(1+'Batt IN'!$F$30)</f>
        <v>1750.0000000000002</v>
      </c>
      <c r="X114" s="78">
        <f>'Batt IN'!$E$28*'Batt IN'!$G$13*('Batt IN'!$E$13/12)*(1+'Batt IN'!$F$30)</f>
        <v>3184.9999999999995</v>
      </c>
      <c r="Y114" s="33">
        <f>S114*'Batt IN'!$G$15*'Batt IN'!$E$28*(1+'Batt IN'!$F$30)</f>
        <v>0</v>
      </c>
      <c r="Z114" s="33">
        <f>'Batt IN'!$G$16*365/12*(1+'Batt IN'!$F$30)</f>
        <v>1824.9999999999998</v>
      </c>
      <c r="AA114" s="33">
        <f>'Batt IN'!$G$17*'Batt IN'!$E$18*'Batt IN'!$G$18/12*(1+'Batt IN'!$F$30)</f>
        <v>1170</v>
      </c>
      <c r="AB114" s="33">
        <f>'Batt IN'!$G$19*'Batt IN'!$E$20*'Batt IN'!$G$20/12*(1+'Batt IN'!$F$30)</f>
        <v>150</v>
      </c>
      <c r="AC114" s="33">
        <f>'Batt IN'!$G$21*(1+'Batt IN'!$F$30)/12</f>
        <v>3500</v>
      </c>
      <c r="AD114" s="33">
        <f>'Batt IN'!$G$22*(1+'Batt IN'!$F$30)/12</f>
        <v>2500</v>
      </c>
      <c r="AE114" s="33">
        <f t="shared" si="32"/>
        <v>30366.783333333333</v>
      </c>
      <c r="AF114" s="33">
        <f>IF('PV IN'!$F$4="Battery Only",0,AE114*'Batt IN'!$E$29)</f>
        <v>25811.765833333331</v>
      </c>
      <c r="AG114" s="33">
        <f>PVCalcs!L114</f>
        <v>25811.765833333331</v>
      </c>
      <c r="AH114" s="33">
        <f t="shared" si="33"/>
        <v>4555.0175000000017</v>
      </c>
      <c r="AI114" s="33"/>
      <c r="AJ114" s="2">
        <f>IF(AND('Batt IN'!$D$53="Yes",$AL$1&gt;=1),IF($C114='Batt IN'!$H$54*12,-'Batt IN'!$F$54,0),0)</f>
        <v>0</v>
      </c>
      <c r="AK114" s="2">
        <f>IF(AND('Batt IN'!$D$53="Yes",$AL$1&gt;=2),IF($C114='Batt IN'!$H$55*12,-'Batt IN'!$F$55,0),0)</f>
        <v>0</v>
      </c>
      <c r="AL114" s="2">
        <f>IF(AND('Batt IN'!$D$53="Yes",$AL$1&gt;=3),IF($C114='Batt IN'!$H$56*12,-'Batt IN'!$F$56,0),0)</f>
        <v>0</v>
      </c>
      <c r="AM114" s="2">
        <f>IF(AND('Batt IN'!$D$53="Yes",$AL$1&gt;=4),IF($C114='Batt IN'!$H$57*12,-'Batt IN'!$F$57,0),0)</f>
        <v>0</v>
      </c>
      <c r="AN114" s="2">
        <f>IF(AND('Batt IN'!$D$53="Yes",$AL$1&gt;=5),IF($C114='Batt IN'!$H$58*12,-'Batt IN'!$F$58,0),0)</f>
        <v>0</v>
      </c>
      <c r="AO114" s="10">
        <f>IF(AND('Batt IN'!$D$44="YES",$C114&lt;='Batt IN'!$E$44*12),-'Batt IN'!$E$28*'Batt IN'!$E$42/12,0)</f>
        <v>0</v>
      </c>
      <c r="AP114" s="10">
        <f>IF(AND('Batt IN'!$D$46="YES",$C114&lt;='Batt IN'!$E$46*12),-'Batt IN'!$E$28*'Batt IN'!$E$45/12,0)</f>
        <v>0</v>
      </c>
      <c r="AR114" s="10">
        <f>BattLoan!M141</f>
        <v>0</v>
      </c>
      <c r="AS114" s="10">
        <f>'Batt IN'!$G$16*365/12*'Batt IN'!$E$16</f>
        <v>76.041666666666671</v>
      </c>
      <c r="AT114" s="10">
        <f>IF(AND('Batt IN'!$E$18&gt;0,'Batt IN'!$G$18&gt;0),'Batt IN'!$E$17*'Batt IN'!$G$17,0)</f>
        <v>119.44619999999999</v>
      </c>
      <c r="AU114" s="10">
        <f>IF(AND('Batt IN'!$E$20&gt;0,'Batt IN'!$G$20&gt;0),'Batt IN'!$E$19*'Batt IN'!$G$19,0)</f>
        <v>231</v>
      </c>
      <c r="AV114" s="10"/>
      <c r="AW114" s="10"/>
      <c r="AX114" s="10">
        <f>IF('Batt IN'!$E$11="Non-Taxable",Q114,0)</f>
        <v>11168.08</v>
      </c>
      <c r="AY114" s="10">
        <f>IF('Batt IN'!$E$11="Non-Taxable",'Batt IN'!$E$28/1000*'Batt IN'!$G$13*('Batt IN'!$E$13/12)*'Batt IN'!$E$12,0)</f>
        <v>244.42220833333334</v>
      </c>
      <c r="AZ114" s="10">
        <f>IF('Batt IN'!$E$11="Non-Taxable",$S114*'Batt IN'!$G$15*'Batt IN'!$E$28*'Batt IN'!$E$14/1000,0)</f>
        <v>0</v>
      </c>
      <c r="BA114" s="10">
        <f>IF('Batt IN'!$E$11="Non-Taxable",'Batt IN'!$E$21*'Batt IN'!$G$21/12,0)</f>
        <v>437.5</v>
      </c>
      <c r="BB114" s="10">
        <f>IF('Batt IN'!$E$11="Non-Taxable",'Batt IN'!$E$22*'Batt IN'!$G$22/12,0)</f>
        <v>1145.8333333333335</v>
      </c>
      <c r="BC114" s="10">
        <f>IF('Batt IN'!$E$11="Taxable",Q114,0)</f>
        <v>0</v>
      </c>
      <c r="BD114" s="10">
        <f>IF('Batt IN'!$E$11="Taxable",'Batt IN'!$E$28/1000*'Batt IN'!$G$13*('Batt IN'!$E$13/12)*'Batt IN'!$E$12,0)</f>
        <v>0</v>
      </c>
      <c r="BE114" s="10">
        <f>IF('Batt IN'!$E$11="Taxable",$S114*'Batt IN'!$G$15*'Batt IN'!$E$28*'Batt IN'!$E$14/1000,0)</f>
        <v>0</v>
      </c>
      <c r="BF114" s="10">
        <f>IF('Batt IN'!$E$11="Taxable",'Batt IN'!$E$21*'Batt IN'!$G$21/12,0)</f>
        <v>0</v>
      </c>
      <c r="BG114" s="10">
        <f>IF('Batt IN'!$E$11="Taxable",'Batt IN'!$E$22*'Batt IN'!$G$22/12,0)</f>
        <v>0</v>
      </c>
      <c r="BK114" s="10">
        <f>IF('Batt IN'!$N$18="Yes",-BattLoan!H142,-BattLoan!L142)</f>
        <v>0</v>
      </c>
      <c r="BL114" s="10">
        <f>IF('Batt IN'!$N$18="Yes",-BattLoan!F142,0)</f>
        <v>0</v>
      </c>
      <c r="BM114" s="10">
        <f>IF(AND('Batt IN'!$D$44="YES",$C114&lt;='Batt IN'!$E$44*12),0,-'Batt IN'!$E$28*'Batt IN'!$E$42/12)</f>
        <v>-83.333333333333329</v>
      </c>
      <c r="BN114" s="10">
        <f>IF(AND('Batt IN'!$D$46="YES",$C114&lt;='Batt IN'!$E$46*12),0,-'Batt IN'!$E$28*'Batt IN'!$E$45/12)</f>
        <v>-166.66666666666666</v>
      </c>
      <c r="BO114" s="2">
        <f>IF(AND('Batt IN'!$D$41="YES",BattCalcs!C114=ROUNDUP('Batt IN'!$H$41*12,)),-'Batt IN'!$E$41*'Batt IN'!$E$28,0)</f>
        <v>0</v>
      </c>
      <c r="BP114" s="2">
        <f>IF(AND('Batt IN'!$D$53="Yes",$AL$1&gt;=1),0,IF($C114='Batt IN'!$H$54*12,-'Batt IN'!$F$54,0))</f>
        <v>0</v>
      </c>
      <c r="BQ114" s="2">
        <f>IF(AND('Batt IN'!$D$53="Yes",$AL$1&gt;=2),0,IF($C114='Batt IN'!$H$55*12,-'Batt IN'!$F$55,0))</f>
        <v>0</v>
      </c>
      <c r="BR114" s="2">
        <f>IF(AND('Batt IN'!$D$53="Yes",$AL$1&gt;=3),0,IF($C114='Batt IN'!$H$56*12,-'Batt IN'!$F$56,0))</f>
        <v>0</v>
      </c>
      <c r="BS114" s="2">
        <f>IF(AND('Batt IN'!$D$53="Yes",$AL$1&gt;=4),0,IF($C114='Batt IN'!$H$57*12,-'Batt IN'!$F$57,0))</f>
        <v>0</v>
      </c>
      <c r="BT114" s="2">
        <f>IF(AND('Batt IN'!$D$53="Yes",$AL$1&gt;=5),0,IF($C114='Batt IN'!$H$58*12,-'Batt IN'!$F$58,0))</f>
        <v>0</v>
      </c>
      <c r="BU114" s="2">
        <f>-AH114*PVCalcs!F114</f>
        <v>-365.03601625122235</v>
      </c>
      <c r="BV114" s="2">
        <f>-'Batt IN'!$E$47</f>
        <v>-150</v>
      </c>
      <c r="BW114" s="2">
        <f>-'Batt IN'!$E$49</f>
        <v>-2250</v>
      </c>
      <c r="BX114" s="2">
        <f>IF('Batt IN'!$H$50="No",-(BC114*'Batt IN'!$E$50),-(BC114+BE114)*'Batt IN'!$E$50)</f>
        <v>0</v>
      </c>
      <c r="BY114" s="2">
        <f>IF(C114='Batt IN'!$H$43*12,-'Batt IN'!$E$43,0)</f>
        <v>0</v>
      </c>
      <c r="BZ114" s="38"/>
      <c r="CA114" s="10">
        <f t="shared" si="17"/>
        <v>13422.323408333334</v>
      </c>
      <c r="CB114" s="2">
        <f t="shared" si="21"/>
        <v>-3015.0360162512225</v>
      </c>
      <c r="CC114" s="45">
        <f t="shared" si="22"/>
        <v>10407.287392082111</v>
      </c>
      <c r="CD114" s="43"/>
      <c r="CE114" s="2">
        <f t="shared" si="18"/>
        <v>0</v>
      </c>
      <c r="CF114" s="2">
        <f t="shared" si="23"/>
        <v>-3015.0360162512225</v>
      </c>
      <c r="CG114" s="2"/>
      <c r="CH114" s="2">
        <f t="shared" si="24"/>
        <v>-3015.0360162512225</v>
      </c>
      <c r="CI114" s="45">
        <f>-CH114*'Batt IN'!$E$7</f>
        <v>633.15756341275664</v>
      </c>
      <c r="CJ114" s="48"/>
      <c r="CK114" s="45">
        <f>IF('Batt IN'!$F$4="PV Only",0,IF(C114&gt;'Batt IN'!$H$43*12,0,CC114+CI114))</f>
        <v>0</v>
      </c>
      <c r="CM114" s="10">
        <f t="shared" si="25"/>
        <v>0</v>
      </c>
      <c r="CN114" s="2">
        <f>CK114/(1+('Batt IN'!$G$8))^(C114)</f>
        <v>0</v>
      </c>
      <c r="CO114" s="2">
        <f>IF(C114&lt;='Batt IN'!$O$30*12,CN114+CO113,NA())</f>
        <v>0</v>
      </c>
      <c r="CQ114" s="2">
        <f>CK114/((1+('Batt IN'!$E$8/12))^BattCalcs!C114)</f>
        <v>0</v>
      </c>
      <c r="CS114" s="10">
        <f t="shared" si="26"/>
        <v>-3015.0360162512225</v>
      </c>
      <c r="CT114" s="10">
        <f t="shared" si="27"/>
        <v>0</v>
      </c>
      <c r="CU114" s="10">
        <f t="shared" si="28"/>
        <v>-3015.0360162512225</v>
      </c>
      <c r="CV114" s="10">
        <f t="shared" si="29"/>
        <v>-3015.0360162512225</v>
      </c>
      <c r="CW114" s="2">
        <f t="shared" si="30"/>
        <v>0</v>
      </c>
      <c r="CX114" s="2">
        <f>-(SUM(CV114:CW114)*'PV IN'!$E$8)</f>
        <v>633.15756341275664</v>
      </c>
      <c r="CY114" s="2">
        <f t="shared" si="31"/>
        <v>-2381.8784528384658</v>
      </c>
      <c r="CZ114" s="2">
        <f>IF(C114&lt;='Batt IN'!$H$43*12,CY114/(1+('PV IN'!$G$9))^(C114),0)</f>
        <v>-1522.9454727165414</v>
      </c>
      <c r="DA114" s="33">
        <f>IF(C114&lt;='Batt IN'!$H$43*12,AE114,0)</f>
        <v>30366.783333333333</v>
      </c>
    </row>
    <row r="115" spans="1:105" x14ac:dyDescent="0.25">
      <c r="A115">
        <f>IF(C115&lt;='Batt IN'!$H$43*12,C115,"")</f>
        <v>111</v>
      </c>
      <c r="C115">
        <v>111</v>
      </c>
      <c r="D115" s="21">
        <v>730</v>
      </c>
      <c r="E115" s="1">
        <f>1-'Batt IN'!$E$31</f>
        <v>2.0000000000000018E-2</v>
      </c>
      <c r="F115" s="12">
        <f>('Batt IN'!$E$33*365)/8760</f>
        <v>0</v>
      </c>
      <c r="G115" s="22">
        <f>'Batt IN'!$E$32/8760</f>
        <v>5.7077625570776253E-3</v>
      </c>
      <c r="H115" s="22">
        <f>'Batt IN'!$E$13/8760</f>
        <v>5.5936073059360729E-3</v>
      </c>
      <c r="I115" s="23">
        <f>IF(C115&lt;='Batt IN'!$G$14*12,'Batt IN'!$E$15/8760*'Batt IN'!$G$15,0)</f>
        <v>0</v>
      </c>
      <c r="J115" s="12">
        <f>Z115/'Batt IN'!$E$27/730</f>
        <v>2.4999999999999996E-3</v>
      </c>
      <c r="K115" s="23">
        <f>AA115/'Batt IN'!$E$27/730</f>
        <v>1.6027397260273972E-3</v>
      </c>
      <c r="L115" s="23">
        <f>AB115/'Batt IN'!$E$27/730</f>
        <v>2.0547945205479451E-4</v>
      </c>
      <c r="M115" s="23">
        <f>AC115/'Batt IN'!$E$27/730</f>
        <v>4.7945205479452057E-3</v>
      </c>
      <c r="N115" s="23">
        <f>AD115/'Batt IN'!$E$27/730</f>
        <v>3.4246575342465752E-3</v>
      </c>
      <c r="O115" s="12">
        <f t="shared" si="19"/>
        <v>4.3828767123287697E-2</v>
      </c>
      <c r="P115" s="21">
        <f t="shared" si="20"/>
        <v>698.005</v>
      </c>
      <c r="Q115" s="2">
        <f>IF('Batt IN'!$E$27*'Batt IN'!$E$24&lt;='Batt IN'!$E$28,(('Batt IN'!$E$23*'Batt IN'!$E$27*'Batt IN'!$E$24)/1000)*P115,(('Batt IN'!$E$23*'Batt IN'!$E$28*'Batt IN'!$E$24)/1000)*P115)</f>
        <v>11168.08</v>
      </c>
      <c r="R115" s="2"/>
      <c r="S115" s="77">
        <f>IF(C115&lt;='Batt IN'!$G$14*12,'Batt IN'!$E$15/12,0)</f>
        <v>0</v>
      </c>
      <c r="T115" s="77"/>
      <c r="U115" s="80">
        <f>'Batt IN'!$E$28*('Batt IN'!$G$24/24)*730*(1-O115)</f>
        <v>81433.916666666657</v>
      </c>
      <c r="V115" s="78">
        <f>U115*'Batt IN'!$F$30</f>
        <v>16286.783333333333</v>
      </c>
      <c r="W115" s="78">
        <f>'Batt IN'!$E$28*'Batt IN'!$G$32*('Batt IN'!$E$32/12)*(1+'Batt IN'!$F$30)</f>
        <v>1750.0000000000002</v>
      </c>
      <c r="X115" s="78">
        <f>'Batt IN'!$E$28*'Batt IN'!$G$13*('Batt IN'!$E$13/12)*(1+'Batt IN'!$F$30)</f>
        <v>3184.9999999999995</v>
      </c>
      <c r="Y115" s="33">
        <f>S115*'Batt IN'!$G$15*'Batt IN'!$E$28*(1+'Batt IN'!$F$30)</f>
        <v>0</v>
      </c>
      <c r="Z115" s="33">
        <f>'Batt IN'!$G$16*365/12*(1+'Batt IN'!$F$30)</f>
        <v>1824.9999999999998</v>
      </c>
      <c r="AA115" s="33">
        <f>'Batt IN'!$G$17*'Batt IN'!$E$18*'Batt IN'!$G$18/12*(1+'Batt IN'!$F$30)</f>
        <v>1170</v>
      </c>
      <c r="AB115" s="33">
        <f>'Batt IN'!$G$19*'Batt IN'!$E$20*'Batt IN'!$G$20/12*(1+'Batt IN'!$F$30)</f>
        <v>150</v>
      </c>
      <c r="AC115" s="33">
        <f>'Batt IN'!$G$21*(1+'Batt IN'!$F$30)/12</f>
        <v>3500</v>
      </c>
      <c r="AD115" s="33">
        <f>'Batt IN'!$G$22*(1+'Batt IN'!$F$30)/12</f>
        <v>2500</v>
      </c>
      <c r="AE115" s="33">
        <f t="shared" si="32"/>
        <v>30366.783333333333</v>
      </c>
      <c r="AF115" s="33">
        <f>IF('PV IN'!$F$4="Battery Only",0,AE115*'Batt IN'!$E$29)</f>
        <v>25811.765833333331</v>
      </c>
      <c r="AG115" s="33">
        <f>PVCalcs!L115</f>
        <v>25811.765833333331</v>
      </c>
      <c r="AH115" s="33">
        <f t="shared" si="33"/>
        <v>4555.0175000000017</v>
      </c>
      <c r="AI115" s="33"/>
      <c r="AJ115" s="2">
        <f>IF(AND('Batt IN'!$D$53="Yes",$AL$1&gt;=1),IF($C115='Batt IN'!$H$54*12,-'Batt IN'!$F$54,0),0)</f>
        <v>0</v>
      </c>
      <c r="AK115" s="2">
        <f>IF(AND('Batt IN'!$D$53="Yes",$AL$1&gt;=2),IF($C115='Batt IN'!$H$55*12,-'Batt IN'!$F$55,0),0)</f>
        <v>0</v>
      </c>
      <c r="AL115" s="2">
        <f>IF(AND('Batt IN'!$D$53="Yes",$AL$1&gt;=3),IF($C115='Batt IN'!$H$56*12,-'Batt IN'!$F$56,0),0)</f>
        <v>0</v>
      </c>
      <c r="AM115" s="2">
        <f>IF(AND('Batt IN'!$D$53="Yes",$AL$1&gt;=4),IF($C115='Batt IN'!$H$57*12,-'Batt IN'!$F$57,0),0)</f>
        <v>0</v>
      </c>
      <c r="AN115" s="2">
        <f>IF(AND('Batt IN'!$D$53="Yes",$AL$1&gt;=5),IF($C115='Batt IN'!$H$58*12,-'Batt IN'!$F$58,0),0)</f>
        <v>0</v>
      </c>
      <c r="AO115" s="10">
        <f>IF(AND('Batt IN'!$D$44="YES",$C115&lt;='Batt IN'!$E$44*12),-'Batt IN'!$E$28*'Batt IN'!$E$42/12,0)</f>
        <v>0</v>
      </c>
      <c r="AP115" s="10">
        <f>IF(AND('Batt IN'!$D$46="YES",$C115&lt;='Batt IN'!$E$46*12),-'Batt IN'!$E$28*'Batt IN'!$E$45/12,0)</f>
        <v>0</v>
      </c>
      <c r="AR115" s="10">
        <f>BattLoan!M142</f>
        <v>0</v>
      </c>
      <c r="AS115" s="10">
        <f>'Batt IN'!$G$16*365/12*'Batt IN'!$E$16</f>
        <v>76.041666666666671</v>
      </c>
      <c r="AT115" s="10">
        <f>IF(AND('Batt IN'!$E$18&gt;0,'Batt IN'!$G$18&gt;0),'Batt IN'!$E$17*'Batt IN'!$G$17,0)</f>
        <v>119.44619999999999</v>
      </c>
      <c r="AU115" s="10">
        <f>IF(AND('Batt IN'!$E$20&gt;0,'Batt IN'!$G$20&gt;0),'Batt IN'!$E$19*'Batt IN'!$G$19,0)</f>
        <v>231</v>
      </c>
      <c r="AV115" s="10"/>
      <c r="AW115" s="10"/>
      <c r="AX115" s="10">
        <f>IF('Batt IN'!$E$11="Non-Taxable",Q115,0)</f>
        <v>11168.08</v>
      </c>
      <c r="AY115" s="10">
        <f>IF('Batt IN'!$E$11="Non-Taxable",'Batt IN'!$E$28/1000*'Batt IN'!$G$13*('Batt IN'!$E$13/12)*'Batt IN'!$E$12,0)</f>
        <v>244.42220833333334</v>
      </c>
      <c r="AZ115" s="10">
        <f>IF('Batt IN'!$E$11="Non-Taxable",$S115*'Batt IN'!$G$15*'Batt IN'!$E$28*'Batt IN'!$E$14/1000,0)</f>
        <v>0</v>
      </c>
      <c r="BA115" s="10">
        <f>IF('Batt IN'!$E$11="Non-Taxable",'Batt IN'!$E$21*'Batt IN'!$G$21/12,0)</f>
        <v>437.5</v>
      </c>
      <c r="BB115" s="10">
        <f>IF('Batt IN'!$E$11="Non-Taxable",'Batt IN'!$E$22*'Batt IN'!$G$22/12,0)</f>
        <v>1145.8333333333335</v>
      </c>
      <c r="BC115" s="10">
        <f>IF('Batt IN'!$E$11="Taxable",Q115,0)</f>
        <v>0</v>
      </c>
      <c r="BD115" s="10">
        <f>IF('Batt IN'!$E$11="Taxable",'Batt IN'!$E$28/1000*'Batt IN'!$G$13*('Batt IN'!$E$13/12)*'Batt IN'!$E$12,0)</f>
        <v>0</v>
      </c>
      <c r="BE115" s="10">
        <f>IF('Batt IN'!$E$11="Taxable",$S115*'Batt IN'!$G$15*'Batt IN'!$E$28*'Batt IN'!$E$14/1000,0)</f>
        <v>0</v>
      </c>
      <c r="BF115" s="10">
        <f>IF('Batt IN'!$E$11="Taxable",'Batt IN'!$E$21*'Batt IN'!$G$21/12,0)</f>
        <v>0</v>
      </c>
      <c r="BG115" s="10">
        <f>IF('Batt IN'!$E$11="Taxable",'Batt IN'!$E$22*'Batt IN'!$G$22/12,0)</f>
        <v>0</v>
      </c>
      <c r="BK115" s="10">
        <f>IF('Batt IN'!$N$18="Yes",-BattLoan!H143,-BattLoan!L143)</f>
        <v>0</v>
      </c>
      <c r="BL115" s="10">
        <f>IF('Batt IN'!$N$18="Yes",-BattLoan!F143,0)</f>
        <v>0</v>
      </c>
      <c r="BM115" s="10">
        <f>IF(AND('Batt IN'!$D$44="YES",$C115&lt;='Batt IN'!$E$44*12),0,-'Batt IN'!$E$28*'Batt IN'!$E$42/12)</f>
        <v>-83.333333333333329</v>
      </c>
      <c r="BN115" s="10">
        <f>IF(AND('Batt IN'!$D$46="YES",$C115&lt;='Batt IN'!$E$46*12),0,-'Batt IN'!$E$28*'Batt IN'!$E$45/12)</f>
        <v>-166.66666666666666</v>
      </c>
      <c r="BO115" s="2">
        <f>IF(AND('Batt IN'!$D$41="YES",BattCalcs!C115=ROUNDUP('Batt IN'!$H$41*12,)),-'Batt IN'!$E$41*'Batt IN'!$E$28,0)</f>
        <v>0</v>
      </c>
      <c r="BP115" s="2">
        <f>IF(AND('Batt IN'!$D$53="Yes",$AL$1&gt;=1),0,IF($C115='Batt IN'!$H$54*12,-'Batt IN'!$F$54,0))</f>
        <v>0</v>
      </c>
      <c r="BQ115" s="2">
        <f>IF(AND('Batt IN'!$D$53="Yes",$AL$1&gt;=2),0,IF($C115='Batt IN'!$H$55*12,-'Batt IN'!$F$55,0))</f>
        <v>0</v>
      </c>
      <c r="BR115" s="2">
        <f>IF(AND('Batt IN'!$D$53="Yes",$AL$1&gt;=3),0,IF($C115='Batt IN'!$H$56*12,-'Batt IN'!$F$56,0))</f>
        <v>0</v>
      </c>
      <c r="BS115" s="2">
        <f>IF(AND('Batt IN'!$D$53="Yes",$AL$1&gt;=4),0,IF($C115='Batt IN'!$H$57*12,-'Batt IN'!$F$57,0))</f>
        <v>0</v>
      </c>
      <c r="BT115" s="2">
        <f>IF(AND('Batt IN'!$D$53="Yes",$AL$1&gt;=5),0,IF($C115='Batt IN'!$H$58*12,-'Batt IN'!$F$58,0))</f>
        <v>0</v>
      </c>
      <c r="BU115" s="2">
        <f>-AH115*PVCalcs!F115</f>
        <v>-365.03601625122235</v>
      </c>
      <c r="BV115" s="2">
        <f>-'Batt IN'!$E$47</f>
        <v>-150</v>
      </c>
      <c r="BW115" s="2">
        <f>-'Batt IN'!$E$49</f>
        <v>-2250</v>
      </c>
      <c r="BX115" s="2">
        <f>IF('Batt IN'!$H$50="No",-(BC115*'Batt IN'!$E$50),-(BC115+BE115)*'Batt IN'!$E$50)</f>
        <v>0</v>
      </c>
      <c r="BY115" s="2">
        <f>IF(C115='Batt IN'!$H$43*12,-'Batt IN'!$E$43,0)</f>
        <v>0</v>
      </c>
      <c r="BZ115" s="38"/>
      <c r="CA115" s="10">
        <f t="shared" si="17"/>
        <v>13422.323408333334</v>
      </c>
      <c r="CB115" s="2">
        <f t="shared" si="21"/>
        <v>-3015.0360162512225</v>
      </c>
      <c r="CC115" s="45">
        <f t="shared" si="22"/>
        <v>10407.287392082111</v>
      </c>
      <c r="CD115" s="43"/>
      <c r="CE115" s="2">
        <f t="shared" si="18"/>
        <v>0</v>
      </c>
      <c r="CF115" s="2">
        <f t="shared" si="23"/>
        <v>-3015.0360162512225</v>
      </c>
      <c r="CG115" s="2"/>
      <c r="CH115" s="2">
        <f t="shared" si="24"/>
        <v>-3015.0360162512225</v>
      </c>
      <c r="CI115" s="45">
        <f>-CH115*'Batt IN'!$E$7</f>
        <v>633.15756341275664</v>
      </c>
      <c r="CJ115" s="48"/>
      <c r="CK115" s="45">
        <f>IF('Batt IN'!$F$4="PV Only",0,IF(C115&gt;'Batt IN'!$H$43*12,0,CC115+CI115))</f>
        <v>0</v>
      </c>
      <c r="CM115" s="10">
        <f t="shared" si="25"/>
        <v>0</v>
      </c>
      <c r="CN115" s="2">
        <f>CK115/(1+('Batt IN'!$G$8))^(C115)</f>
        <v>0</v>
      </c>
      <c r="CO115" s="2">
        <f>IF(C115&lt;='Batt IN'!$O$30*12,CN115+CO114,NA())</f>
        <v>0</v>
      </c>
      <c r="CQ115" s="2">
        <f>CK115/((1+('Batt IN'!$E$8/12))^BattCalcs!C115)</f>
        <v>0</v>
      </c>
      <c r="CS115" s="10">
        <f t="shared" si="26"/>
        <v>-3015.0360162512225</v>
      </c>
      <c r="CT115" s="10">
        <f t="shared" si="27"/>
        <v>0</v>
      </c>
      <c r="CU115" s="10">
        <f t="shared" si="28"/>
        <v>-3015.0360162512225</v>
      </c>
      <c r="CV115" s="10">
        <f t="shared" si="29"/>
        <v>-3015.0360162512225</v>
      </c>
      <c r="CW115" s="2">
        <f t="shared" si="30"/>
        <v>0</v>
      </c>
      <c r="CX115" s="2">
        <f>-(SUM(CV115:CW115)*'PV IN'!$E$8)</f>
        <v>633.15756341275664</v>
      </c>
      <c r="CY115" s="2">
        <f t="shared" si="31"/>
        <v>-2381.8784528384658</v>
      </c>
      <c r="CZ115" s="2">
        <f>IF(C115&lt;='Batt IN'!$H$43*12,CY115/(1+('PV IN'!$G$9))^(C115),0)</f>
        <v>-1516.7659803617209</v>
      </c>
      <c r="DA115" s="33">
        <f>IF(C115&lt;='Batt IN'!$H$43*12,AE115,0)</f>
        <v>30366.783333333333</v>
      </c>
    </row>
    <row r="116" spans="1:105" x14ac:dyDescent="0.25">
      <c r="A116">
        <f>IF(C116&lt;='Batt IN'!$H$43*12,C116,"")</f>
        <v>112</v>
      </c>
      <c r="C116">
        <v>112</v>
      </c>
      <c r="D116" s="21">
        <v>730</v>
      </c>
      <c r="E116" s="1">
        <f>1-'Batt IN'!$E$31</f>
        <v>2.0000000000000018E-2</v>
      </c>
      <c r="F116" s="12">
        <f>('Batt IN'!$E$33*365)/8760</f>
        <v>0</v>
      </c>
      <c r="G116" s="22">
        <f>'Batt IN'!$E$32/8760</f>
        <v>5.7077625570776253E-3</v>
      </c>
      <c r="H116" s="22">
        <f>'Batt IN'!$E$13/8760</f>
        <v>5.5936073059360729E-3</v>
      </c>
      <c r="I116" s="23">
        <f>IF(C116&lt;='Batt IN'!$G$14*12,'Batt IN'!$E$15/8760*'Batt IN'!$G$15,0)</f>
        <v>0</v>
      </c>
      <c r="J116" s="12">
        <f>Z116/'Batt IN'!$E$27/730</f>
        <v>2.4999999999999996E-3</v>
      </c>
      <c r="K116" s="23">
        <f>AA116/'Batt IN'!$E$27/730</f>
        <v>1.6027397260273972E-3</v>
      </c>
      <c r="L116" s="23">
        <f>AB116/'Batt IN'!$E$27/730</f>
        <v>2.0547945205479451E-4</v>
      </c>
      <c r="M116" s="23">
        <f>AC116/'Batt IN'!$E$27/730</f>
        <v>4.7945205479452057E-3</v>
      </c>
      <c r="N116" s="23">
        <f>AD116/'Batt IN'!$E$27/730</f>
        <v>3.4246575342465752E-3</v>
      </c>
      <c r="O116" s="12">
        <f t="shared" si="19"/>
        <v>4.3828767123287697E-2</v>
      </c>
      <c r="P116" s="21">
        <f t="shared" si="20"/>
        <v>698.005</v>
      </c>
      <c r="Q116" s="2">
        <f>IF('Batt IN'!$E$27*'Batt IN'!$E$24&lt;='Batt IN'!$E$28,(('Batt IN'!$E$23*'Batt IN'!$E$27*'Batt IN'!$E$24)/1000)*P116,(('Batt IN'!$E$23*'Batt IN'!$E$28*'Batt IN'!$E$24)/1000)*P116)</f>
        <v>11168.08</v>
      </c>
      <c r="R116" s="2"/>
      <c r="S116" s="77">
        <f>IF(C116&lt;='Batt IN'!$G$14*12,'Batt IN'!$E$15/12,0)</f>
        <v>0</v>
      </c>
      <c r="T116" s="77"/>
      <c r="U116" s="80">
        <f>'Batt IN'!$E$28*('Batt IN'!$G$24/24)*730*(1-O116)</f>
        <v>81433.916666666657</v>
      </c>
      <c r="V116" s="78">
        <f>U116*'Batt IN'!$F$30</f>
        <v>16286.783333333333</v>
      </c>
      <c r="W116" s="78">
        <f>'Batt IN'!$E$28*'Batt IN'!$G$32*('Batt IN'!$E$32/12)*(1+'Batt IN'!$F$30)</f>
        <v>1750.0000000000002</v>
      </c>
      <c r="X116" s="78">
        <f>'Batt IN'!$E$28*'Batt IN'!$G$13*('Batt IN'!$E$13/12)*(1+'Batt IN'!$F$30)</f>
        <v>3184.9999999999995</v>
      </c>
      <c r="Y116" s="33">
        <f>S116*'Batt IN'!$G$15*'Batt IN'!$E$28*(1+'Batt IN'!$F$30)</f>
        <v>0</v>
      </c>
      <c r="Z116" s="33">
        <f>'Batt IN'!$G$16*365/12*(1+'Batt IN'!$F$30)</f>
        <v>1824.9999999999998</v>
      </c>
      <c r="AA116" s="33">
        <f>'Batt IN'!$G$17*'Batt IN'!$E$18*'Batt IN'!$G$18/12*(1+'Batt IN'!$F$30)</f>
        <v>1170</v>
      </c>
      <c r="AB116" s="33">
        <f>'Batt IN'!$G$19*'Batt IN'!$E$20*'Batt IN'!$G$20/12*(1+'Batt IN'!$F$30)</f>
        <v>150</v>
      </c>
      <c r="AC116" s="33">
        <f>'Batt IN'!$G$21*(1+'Batt IN'!$F$30)/12</f>
        <v>3500</v>
      </c>
      <c r="AD116" s="33">
        <f>'Batt IN'!$G$22*(1+'Batt IN'!$F$30)/12</f>
        <v>2500</v>
      </c>
      <c r="AE116" s="33">
        <f t="shared" si="32"/>
        <v>30366.783333333333</v>
      </c>
      <c r="AF116" s="33">
        <f>IF('PV IN'!$F$4="Battery Only",0,AE116*'Batt IN'!$E$29)</f>
        <v>25811.765833333331</v>
      </c>
      <c r="AG116" s="33">
        <f>PVCalcs!L116</f>
        <v>25811.765833333331</v>
      </c>
      <c r="AH116" s="33">
        <f t="shared" si="33"/>
        <v>4555.0175000000017</v>
      </c>
      <c r="AI116" s="33"/>
      <c r="AJ116" s="2">
        <f>IF(AND('Batt IN'!$D$53="Yes",$AL$1&gt;=1),IF($C116='Batt IN'!$H$54*12,-'Batt IN'!$F$54,0),0)</f>
        <v>0</v>
      </c>
      <c r="AK116" s="2">
        <f>IF(AND('Batt IN'!$D$53="Yes",$AL$1&gt;=2),IF($C116='Batt IN'!$H$55*12,-'Batt IN'!$F$55,0),0)</f>
        <v>0</v>
      </c>
      <c r="AL116" s="2">
        <f>IF(AND('Batt IN'!$D$53="Yes",$AL$1&gt;=3),IF($C116='Batt IN'!$H$56*12,-'Batt IN'!$F$56,0),0)</f>
        <v>0</v>
      </c>
      <c r="AM116" s="2">
        <f>IF(AND('Batt IN'!$D$53="Yes",$AL$1&gt;=4),IF($C116='Batt IN'!$H$57*12,-'Batt IN'!$F$57,0),0)</f>
        <v>0</v>
      </c>
      <c r="AN116" s="2">
        <f>IF(AND('Batt IN'!$D$53="Yes",$AL$1&gt;=5),IF($C116='Batt IN'!$H$58*12,-'Batt IN'!$F$58,0),0)</f>
        <v>0</v>
      </c>
      <c r="AO116" s="10">
        <f>IF(AND('Batt IN'!$D$44="YES",$C116&lt;='Batt IN'!$E$44*12),-'Batt IN'!$E$28*'Batt IN'!$E$42/12,0)</f>
        <v>0</v>
      </c>
      <c r="AP116" s="10">
        <f>IF(AND('Batt IN'!$D$46="YES",$C116&lt;='Batt IN'!$E$46*12),-'Batt IN'!$E$28*'Batt IN'!$E$45/12,0)</f>
        <v>0</v>
      </c>
      <c r="AR116" s="10">
        <f>BattLoan!M143</f>
        <v>0</v>
      </c>
      <c r="AS116" s="10">
        <f>'Batt IN'!$G$16*365/12*'Batt IN'!$E$16</f>
        <v>76.041666666666671</v>
      </c>
      <c r="AT116" s="10">
        <f>IF(AND('Batt IN'!$E$18&gt;0,'Batt IN'!$G$18&gt;0),'Batt IN'!$E$17*'Batt IN'!$G$17,0)</f>
        <v>119.44619999999999</v>
      </c>
      <c r="AU116" s="10">
        <f>IF(AND('Batt IN'!$E$20&gt;0,'Batt IN'!$G$20&gt;0),'Batt IN'!$E$19*'Batt IN'!$G$19,0)</f>
        <v>231</v>
      </c>
      <c r="AV116" s="10"/>
      <c r="AW116" s="10"/>
      <c r="AX116" s="10">
        <f>IF('Batt IN'!$E$11="Non-Taxable",Q116,0)</f>
        <v>11168.08</v>
      </c>
      <c r="AY116" s="10">
        <f>IF('Batt IN'!$E$11="Non-Taxable",'Batt IN'!$E$28/1000*'Batt IN'!$G$13*('Batt IN'!$E$13/12)*'Batt IN'!$E$12,0)</f>
        <v>244.42220833333334</v>
      </c>
      <c r="AZ116" s="10">
        <f>IF('Batt IN'!$E$11="Non-Taxable",$S116*'Batt IN'!$G$15*'Batt IN'!$E$28*'Batt IN'!$E$14/1000,0)</f>
        <v>0</v>
      </c>
      <c r="BA116" s="10">
        <f>IF('Batt IN'!$E$11="Non-Taxable",'Batt IN'!$E$21*'Batt IN'!$G$21/12,0)</f>
        <v>437.5</v>
      </c>
      <c r="BB116" s="10">
        <f>IF('Batt IN'!$E$11="Non-Taxable",'Batt IN'!$E$22*'Batt IN'!$G$22/12,0)</f>
        <v>1145.8333333333335</v>
      </c>
      <c r="BC116" s="10">
        <f>IF('Batt IN'!$E$11="Taxable",Q116,0)</f>
        <v>0</v>
      </c>
      <c r="BD116" s="10">
        <f>IF('Batt IN'!$E$11="Taxable",'Batt IN'!$E$28/1000*'Batt IN'!$G$13*('Batt IN'!$E$13/12)*'Batt IN'!$E$12,0)</f>
        <v>0</v>
      </c>
      <c r="BE116" s="10">
        <f>IF('Batt IN'!$E$11="Taxable",$S116*'Batt IN'!$G$15*'Batt IN'!$E$28*'Batt IN'!$E$14/1000,0)</f>
        <v>0</v>
      </c>
      <c r="BF116" s="10">
        <f>IF('Batt IN'!$E$11="Taxable",'Batt IN'!$E$21*'Batt IN'!$G$21/12,0)</f>
        <v>0</v>
      </c>
      <c r="BG116" s="10">
        <f>IF('Batt IN'!$E$11="Taxable",'Batt IN'!$E$22*'Batt IN'!$G$22/12,0)</f>
        <v>0</v>
      </c>
      <c r="BK116" s="10">
        <f>IF('Batt IN'!$N$18="Yes",-BattLoan!H144,-BattLoan!L144)</f>
        <v>0</v>
      </c>
      <c r="BL116" s="10">
        <f>IF('Batt IN'!$N$18="Yes",-BattLoan!F144,0)</f>
        <v>0</v>
      </c>
      <c r="BM116" s="10">
        <f>IF(AND('Batt IN'!$D$44="YES",$C116&lt;='Batt IN'!$E$44*12),0,-'Batt IN'!$E$28*'Batt IN'!$E$42/12)</f>
        <v>-83.333333333333329</v>
      </c>
      <c r="BN116" s="10">
        <f>IF(AND('Batt IN'!$D$46="YES",$C116&lt;='Batt IN'!$E$46*12),0,-'Batt IN'!$E$28*'Batt IN'!$E$45/12)</f>
        <v>-166.66666666666666</v>
      </c>
      <c r="BO116" s="2">
        <f>IF(AND('Batt IN'!$D$41="YES",BattCalcs!C116=ROUNDUP('Batt IN'!$H$41*12,)),-'Batt IN'!$E$41*'Batt IN'!$E$28,0)</f>
        <v>0</v>
      </c>
      <c r="BP116" s="2">
        <f>IF(AND('Batt IN'!$D$53="Yes",$AL$1&gt;=1),0,IF($C116='Batt IN'!$H$54*12,-'Batt IN'!$F$54,0))</f>
        <v>0</v>
      </c>
      <c r="BQ116" s="2">
        <f>IF(AND('Batt IN'!$D$53="Yes",$AL$1&gt;=2),0,IF($C116='Batt IN'!$H$55*12,-'Batt IN'!$F$55,0))</f>
        <v>0</v>
      </c>
      <c r="BR116" s="2">
        <f>IF(AND('Batt IN'!$D$53="Yes",$AL$1&gt;=3),0,IF($C116='Batt IN'!$H$56*12,-'Batt IN'!$F$56,0))</f>
        <v>0</v>
      </c>
      <c r="BS116" s="2">
        <f>IF(AND('Batt IN'!$D$53="Yes",$AL$1&gt;=4),0,IF($C116='Batt IN'!$H$57*12,-'Batt IN'!$F$57,0))</f>
        <v>0</v>
      </c>
      <c r="BT116" s="2">
        <f>IF(AND('Batt IN'!$D$53="Yes",$AL$1&gt;=5),0,IF($C116='Batt IN'!$H$58*12,-'Batt IN'!$F$58,0))</f>
        <v>0</v>
      </c>
      <c r="BU116" s="2">
        <f>-AH116*PVCalcs!F116</f>
        <v>-365.03601625122235</v>
      </c>
      <c r="BV116" s="2">
        <f>-'Batt IN'!$E$47</f>
        <v>-150</v>
      </c>
      <c r="BW116" s="2">
        <f>-'Batt IN'!$E$49</f>
        <v>-2250</v>
      </c>
      <c r="BX116" s="2">
        <f>IF('Batt IN'!$H$50="No",-(BC116*'Batt IN'!$E$50),-(BC116+BE116)*'Batt IN'!$E$50)</f>
        <v>0</v>
      </c>
      <c r="BY116" s="2">
        <f>IF(C116='Batt IN'!$H$43*12,-'Batt IN'!$E$43,0)</f>
        <v>0</v>
      </c>
      <c r="BZ116" s="38"/>
      <c r="CA116" s="10">
        <f t="shared" si="17"/>
        <v>13422.323408333334</v>
      </c>
      <c r="CB116" s="2">
        <f t="shared" si="21"/>
        <v>-3015.0360162512225</v>
      </c>
      <c r="CC116" s="45">
        <f t="shared" si="22"/>
        <v>10407.287392082111</v>
      </c>
      <c r="CD116" s="43"/>
      <c r="CE116" s="2">
        <f t="shared" si="18"/>
        <v>0</v>
      </c>
      <c r="CF116" s="2">
        <f t="shared" si="23"/>
        <v>-3015.0360162512225</v>
      </c>
      <c r="CG116" s="2"/>
      <c r="CH116" s="2">
        <f t="shared" si="24"/>
        <v>-3015.0360162512225</v>
      </c>
      <c r="CI116" s="45">
        <f>-CH116*'Batt IN'!$E$7</f>
        <v>633.15756341275664</v>
      </c>
      <c r="CJ116" s="48"/>
      <c r="CK116" s="45">
        <f>IF('Batt IN'!$F$4="PV Only",0,IF(C116&gt;'Batt IN'!$H$43*12,0,CC116+CI116))</f>
        <v>0</v>
      </c>
      <c r="CM116" s="10">
        <f t="shared" si="25"/>
        <v>0</v>
      </c>
      <c r="CN116" s="2">
        <f>CK116/(1+('Batt IN'!$G$8))^(C116)</f>
        <v>0</v>
      </c>
      <c r="CO116" s="2">
        <f>IF(C116&lt;='Batt IN'!$O$30*12,CN116+CO115,NA())</f>
        <v>0</v>
      </c>
      <c r="CQ116" s="2">
        <f>CK116/((1+('Batt IN'!$E$8/12))^BattCalcs!C116)</f>
        <v>0</v>
      </c>
      <c r="CS116" s="10">
        <f t="shared" si="26"/>
        <v>-3015.0360162512225</v>
      </c>
      <c r="CT116" s="10">
        <f t="shared" si="27"/>
        <v>0</v>
      </c>
      <c r="CU116" s="10">
        <f t="shared" si="28"/>
        <v>-3015.0360162512225</v>
      </c>
      <c r="CV116" s="10">
        <f t="shared" si="29"/>
        <v>-3015.0360162512225</v>
      </c>
      <c r="CW116" s="2">
        <f t="shared" si="30"/>
        <v>0</v>
      </c>
      <c r="CX116" s="2">
        <f>-(SUM(CV116:CW116)*'PV IN'!$E$8)</f>
        <v>633.15756341275664</v>
      </c>
      <c r="CY116" s="2">
        <f t="shared" si="31"/>
        <v>-2381.8784528384658</v>
      </c>
      <c r="CZ116" s="2">
        <f>IF(C116&lt;='Batt IN'!$H$43*12,CY116/(1+('PV IN'!$G$9))^(C116),0)</f>
        <v>-1510.6115618696533</v>
      </c>
      <c r="DA116" s="33">
        <f>IF(C116&lt;='Batt IN'!$H$43*12,AE116,0)</f>
        <v>30366.783333333333</v>
      </c>
    </row>
    <row r="117" spans="1:105" x14ac:dyDescent="0.25">
      <c r="A117">
        <f>IF(C117&lt;='Batt IN'!$H$43*12,C117,"")</f>
        <v>113</v>
      </c>
      <c r="C117">
        <v>113</v>
      </c>
      <c r="D117" s="21">
        <v>730</v>
      </c>
      <c r="E117" s="1">
        <f>1-'Batt IN'!$E$31</f>
        <v>2.0000000000000018E-2</v>
      </c>
      <c r="F117" s="12">
        <f>('Batt IN'!$E$33*365)/8760</f>
        <v>0</v>
      </c>
      <c r="G117" s="22">
        <f>'Batt IN'!$E$32/8760</f>
        <v>5.7077625570776253E-3</v>
      </c>
      <c r="H117" s="22">
        <f>'Batt IN'!$E$13/8760</f>
        <v>5.5936073059360729E-3</v>
      </c>
      <c r="I117" s="23">
        <f>IF(C117&lt;='Batt IN'!$G$14*12,'Batt IN'!$E$15/8760*'Batt IN'!$G$15,0)</f>
        <v>0</v>
      </c>
      <c r="J117" s="12">
        <f>Z117/'Batt IN'!$E$27/730</f>
        <v>2.4999999999999996E-3</v>
      </c>
      <c r="K117" s="23">
        <f>AA117/'Batt IN'!$E$27/730</f>
        <v>1.6027397260273972E-3</v>
      </c>
      <c r="L117" s="23">
        <f>AB117/'Batt IN'!$E$27/730</f>
        <v>2.0547945205479451E-4</v>
      </c>
      <c r="M117" s="23">
        <f>AC117/'Batt IN'!$E$27/730</f>
        <v>4.7945205479452057E-3</v>
      </c>
      <c r="N117" s="23">
        <f>AD117/'Batt IN'!$E$27/730</f>
        <v>3.4246575342465752E-3</v>
      </c>
      <c r="O117" s="12">
        <f t="shared" si="19"/>
        <v>4.3828767123287697E-2</v>
      </c>
      <c r="P117" s="21">
        <f t="shared" si="20"/>
        <v>698.005</v>
      </c>
      <c r="Q117" s="2">
        <f>IF('Batt IN'!$E$27*'Batt IN'!$E$24&lt;='Batt IN'!$E$28,(('Batt IN'!$E$23*'Batt IN'!$E$27*'Batt IN'!$E$24)/1000)*P117,(('Batt IN'!$E$23*'Batt IN'!$E$28*'Batt IN'!$E$24)/1000)*P117)</f>
        <v>11168.08</v>
      </c>
      <c r="R117" s="2"/>
      <c r="S117" s="77">
        <f>IF(C117&lt;='Batt IN'!$G$14*12,'Batt IN'!$E$15/12,0)</f>
        <v>0</v>
      </c>
      <c r="T117" s="77"/>
      <c r="U117" s="80">
        <f>'Batt IN'!$E$28*('Batt IN'!$G$24/24)*730*(1-O117)</f>
        <v>81433.916666666657</v>
      </c>
      <c r="V117" s="78">
        <f>U117*'Batt IN'!$F$30</f>
        <v>16286.783333333333</v>
      </c>
      <c r="W117" s="78">
        <f>'Batt IN'!$E$28*'Batt IN'!$G$32*('Batt IN'!$E$32/12)*(1+'Batt IN'!$F$30)</f>
        <v>1750.0000000000002</v>
      </c>
      <c r="X117" s="78">
        <f>'Batt IN'!$E$28*'Batt IN'!$G$13*('Batt IN'!$E$13/12)*(1+'Batt IN'!$F$30)</f>
        <v>3184.9999999999995</v>
      </c>
      <c r="Y117" s="33">
        <f>S117*'Batt IN'!$G$15*'Batt IN'!$E$28*(1+'Batt IN'!$F$30)</f>
        <v>0</v>
      </c>
      <c r="Z117" s="33">
        <f>'Batt IN'!$G$16*365/12*(1+'Batt IN'!$F$30)</f>
        <v>1824.9999999999998</v>
      </c>
      <c r="AA117" s="33">
        <f>'Batt IN'!$G$17*'Batt IN'!$E$18*'Batt IN'!$G$18/12*(1+'Batt IN'!$F$30)</f>
        <v>1170</v>
      </c>
      <c r="AB117" s="33">
        <f>'Batt IN'!$G$19*'Batt IN'!$E$20*'Batt IN'!$G$20/12*(1+'Batt IN'!$F$30)</f>
        <v>150</v>
      </c>
      <c r="AC117" s="33">
        <f>'Batt IN'!$G$21*(1+'Batt IN'!$F$30)/12</f>
        <v>3500</v>
      </c>
      <c r="AD117" s="33">
        <f>'Batt IN'!$G$22*(1+'Batt IN'!$F$30)/12</f>
        <v>2500</v>
      </c>
      <c r="AE117" s="33">
        <f t="shared" si="32"/>
        <v>30366.783333333333</v>
      </c>
      <c r="AF117" s="33">
        <f>IF('PV IN'!$F$4="Battery Only",0,AE117*'Batt IN'!$E$29)</f>
        <v>25811.765833333331</v>
      </c>
      <c r="AG117" s="33">
        <f>PVCalcs!L117</f>
        <v>25811.765833333331</v>
      </c>
      <c r="AH117" s="33">
        <f t="shared" si="33"/>
        <v>4555.0175000000017</v>
      </c>
      <c r="AI117" s="33"/>
      <c r="AJ117" s="2">
        <f>IF(AND('Batt IN'!$D$53="Yes",$AL$1&gt;=1),IF($C117='Batt IN'!$H$54*12,-'Batt IN'!$F$54,0),0)</f>
        <v>0</v>
      </c>
      <c r="AK117" s="2">
        <f>IF(AND('Batt IN'!$D$53="Yes",$AL$1&gt;=2),IF($C117='Batt IN'!$H$55*12,-'Batt IN'!$F$55,0),0)</f>
        <v>0</v>
      </c>
      <c r="AL117" s="2">
        <f>IF(AND('Batt IN'!$D$53="Yes",$AL$1&gt;=3),IF($C117='Batt IN'!$H$56*12,-'Batt IN'!$F$56,0),0)</f>
        <v>0</v>
      </c>
      <c r="AM117" s="2">
        <f>IF(AND('Batt IN'!$D$53="Yes",$AL$1&gt;=4),IF($C117='Batt IN'!$H$57*12,-'Batt IN'!$F$57,0),0)</f>
        <v>0</v>
      </c>
      <c r="AN117" s="2">
        <f>IF(AND('Batt IN'!$D$53="Yes",$AL$1&gt;=5),IF($C117='Batt IN'!$H$58*12,-'Batt IN'!$F$58,0),0)</f>
        <v>0</v>
      </c>
      <c r="AO117" s="10">
        <f>IF(AND('Batt IN'!$D$44="YES",$C117&lt;='Batt IN'!$E$44*12),-'Batt IN'!$E$28*'Batt IN'!$E$42/12,0)</f>
        <v>0</v>
      </c>
      <c r="AP117" s="10">
        <f>IF(AND('Batt IN'!$D$46="YES",$C117&lt;='Batt IN'!$E$46*12),-'Batt IN'!$E$28*'Batt IN'!$E$45/12,0)</f>
        <v>0</v>
      </c>
      <c r="AR117" s="10">
        <f>BattLoan!M144</f>
        <v>0</v>
      </c>
      <c r="AS117" s="10">
        <f>'Batt IN'!$G$16*365/12*'Batt IN'!$E$16</f>
        <v>76.041666666666671</v>
      </c>
      <c r="AT117" s="10">
        <f>IF(AND('Batt IN'!$E$18&gt;0,'Batt IN'!$G$18&gt;0),'Batt IN'!$E$17*'Batt IN'!$G$17,0)</f>
        <v>119.44619999999999</v>
      </c>
      <c r="AU117" s="10">
        <f>IF(AND('Batt IN'!$E$20&gt;0,'Batt IN'!$G$20&gt;0),'Batt IN'!$E$19*'Batt IN'!$G$19,0)</f>
        <v>231</v>
      </c>
      <c r="AV117" s="10"/>
      <c r="AW117" s="10"/>
      <c r="AX117" s="10">
        <f>IF('Batt IN'!$E$11="Non-Taxable",Q117,0)</f>
        <v>11168.08</v>
      </c>
      <c r="AY117" s="10">
        <f>IF('Batt IN'!$E$11="Non-Taxable",'Batt IN'!$E$28/1000*'Batt IN'!$G$13*('Batt IN'!$E$13/12)*'Batt IN'!$E$12,0)</f>
        <v>244.42220833333334</v>
      </c>
      <c r="AZ117" s="10">
        <f>IF('Batt IN'!$E$11="Non-Taxable",$S117*'Batt IN'!$G$15*'Batt IN'!$E$28*'Batt IN'!$E$14/1000,0)</f>
        <v>0</v>
      </c>
      <c r="BA117" s="10">
        <f>IF('Batt IN'!$E$11="Non-Taxable",'Batt IN'!$E$21*'Batt IN'!$G$21/12,0)</f>
        <v>437.5</v>
      </c>
      <c r="BB117" s="10">
        <f>IF('Batt IN'!$E$11="Non-Taxable",'Batt IN'!$E$22*'Batt IN'!$G$22/12,0)</f>
        <v>1145.8333333333335</v>
      </c>
      <c r="BC117" s="10">
        <f>IF('Batt IN'!$E$11="Taxable",Q117,0)</f>
        <v>0</v>
      </c>
      <c r="BD117" s="10">
        <f>IF('Batt IN'!$E$11="Taxable",'Batt IN'!$E$28/1000*'Batt IN'!$G$13*('Batt IN'!$E$13/12)*'Batt IN'!$E$12,0)</f>
        <v>0</v>
      </c>
      <c r="BE117" s="10">
        <f>IF('Batt IN'!$E$11="Taxable",$S117*'Batt IN'!$G$15*'Batt IN'!$E$28*'Batt IN'!$E$14/1000,0)</f>
        <v>0</v>
      </c>
      <c r="BF117" s="10">
        <f>IF('Batt IN'!$E$11="Taxable",'Batt IN'!$E$21*'Batt IN'!$G$21/12,0)</f>
        <v>0</v>
      </c>
      <c r="BG117" s="10">
        <f>IF('Batt IN'!$E$11="Taxable",'Batt IN'!$E$22*'Batt IN'!$G$22/12,0)</f>
        <v>0</v>
      </c>
      <c r="BK117" s="10">
        <f>IF('Batt IN'!$N$18="Yes",-BattLoan!H145,-BattLoan!L145)</f>
        <v>0</v>
      </c>
      <c r="BL117" s="10">
        <f>IF('Batt IN'!$N$18="Yes",-BattLoan!F145,0)</f>
        <v>0</v>
      </c>
      <c r="BM117" s="10">
        <f>IF(AND('Batt IN'!$D$44="YES",$C117&lt;='Batt IN'!$E$44*12),0,-'Batt IN'!$E$28*'Batt IN'!$E$42/12)</f>
        <v>-83.333333333333329</v>
      </c>
      <c r="BN117" s="10">
        <f>IF(AND('Batt IN'!$D$46="YES",$C117&lt;='Batt IN'!$E$46*12),0,-'Batt IN'!$E$28*'Batt IN'!$E$45/12)</f>
        <v>-166.66666666666666</v>
      </c>
      <c r="BO117" s="2">
        <f>IF(AND('Batt IN'!$D$41="YES",BattCalcs!C117=ROUNDUP('Batt IN'!$H$41*12,)),-'Batt IN'!$E$41*'Batt IN'!$E$28,0)</f>
        <v>0</v>
      </c>
      <c r="BP117" s="2">
        <f>IF(AND('Batt IN'!$D$53="Yes",$AL$1&gt;=1),0,IF($C117='Batt IN'!$H$54*12,-'Batt IN'!$F$54,0))</f>
        <v>0</v>
      </c>
      <c r="BQ117" s="2">
        <f>IF(AND('Batt IN'!$D$53="Yes",$AL$1&gt;=2),0,IF($C117='Batt IN'!$H$55*12,-'Batt IN'!$F$55,0))</f>
        <v>0</v>
      </c>
      <c r="BR117" s="2">
        <f>IF(AND('Batt IN'!$D$53="Yes",$AL$1&gt;=3),0,IF($C117='Batt IN'!$H$56*12,-'Batt IN'!$F$56,0))</f>
        <v>0</v>
      </c>
      <c r="BS117" s="2">
        <f>IF(AND('Batt IN'!$D$53="Yes",$AL$1&gt;=4),0,IF($C117='Batt IN'!$H$57*12,-'Batt IN'!$F$57,0))</f>
        <v>0</v>
      </c>
      <c r="BT117" s="2">
        <f>IF(AND('Batt IN'!$D$53="Yes",$AL$1&gt;=5),0,IF($C117='Batt IN'!$H$58*12,-'Batt IN'!$F$58,0))</f>
        <v>0</v>
      </c>
      <c r="BU117" s="2">
        <f>-AH117*PVCalcs!F117</f>
        <v>-365.03601625122235</v>
      </c>
      <c r="BV117" s="2">
        <f>-'Batt IN'!$E$47</f>
        <v>-150</v>
      </c>
      <c r="BW117" s="2">
        <f>-'Batt IN'!$E$49</f>
        <v>-2250</v>
      </c>
      <c r="BX117" s="2">
        <f>IF('Batt IN'!$H$50="No",-(BC117*'Batt IN'!$E$50),-(BC117+BE117)*'Batt IN'!$E$50)</f>
        <v>0</v>
      </c>
      <c r="BY117" s="2">
        <f>IF(C117='Batt IN'!$H$43*12,-'Batt IN'!$E$43,0)</f>
        <v>0</v>
      </c>
      <c r="BZ117" s="38"/>
      <c r="CA117" s="10">
        <f t="shared" si="17"/>
        <v>13422.323408333334</v>
      </c>
      <c r="CB117" s="2">
        <f t="shared" si="21"/>
        <v>-3015.0360162512225</v>
      </c>
      <c r="CC117" s="45">
        <f t="shared" si="22"/>
        <v>10407.287392082111</v>
      </c>
      <c r="CD117" s="43"/>
      <c r="CE117" s="2">
        <f t="shared" si="18"/>
        <v>0</v>
      </c>
      <c r="CF117" s="2">
        <f t="shared" si="23"/>
        <v>-3015.0360162512225</v>
      </c>
      <c r="CG117" s="2"/>
      <c r="CH117" s="2">
        <f t="shared" si="24"/>
        <v>-3015.0360162512225</v>
      </c>
      <c r="CI117" s="45">
        <f>-CH117*'Batt IN'!$E$7</f>
        <v>633.15756341275664</v>
      </c>
      <c r="CJ117" s="48"/>
      <c r="CK117" s="45">
        <f>IF('Batt IN'!$F$4="PV Only",0,IF(C117&gt;'Batt IN'!$H$43*12,0,CC117+CI117))</f>
        <v>0</v>
      </c>
      <c r="CM117" s="10">
        <f t="shared" si="25"/>
        <v>0</v>
      </c>
      <c r="CN117" s="2">
        <f>CK117/(1+('Batt IN'!$G$8))^(C117)</f>
        <v>0</v>
      </c>
      <c r="CO117" s="2">
        <f>IF(C117&lt;='Batt IN'!$O$30*12,CN117+CO116,NA())</f>
        <v>0</v>
      </c>
      <c r="CQ117" s="2">
        <f>CK117/((1+('Batt IN'!$E$8/12))^BattCalcs!C117)</f>
        <v>0</v>
      </c>
      <c r="CS117" s="10">
        <f t="shared" si="26"/>
        <v>-3015.0360162512225</v>
      </c>
      <c r="CT117" s="10">
        <f t="shared" si="27"/>
        <v>0</v>
      </c>
      <c r="CU117" s="10">
        <f t="shared" si="28"/>
        <v>-3015.0360162512225</v>
      </c>
      <c r="CV117" s="10">
        <f t="shared" si="29"/>
        <v>-3015.0360162512225</v>
      </c>
      <c r="CW117" s="2">
        <f t="shared" si="30"/>
        <v>0</v>
      </c>
      <c r="CX117" s="2">
        <f>-(SUM(CV117:CW117)*'PV IN'!$E$8)</f>
        <v>633.15756341275664</v>
      </c>
      <c r="CY117" s="2">
        <f t="shared" si="31"/>
        <v>-2381.8784528384658</v>
      </c>
      <c r="CZ117" s="2">
        <f>IF(C117&lt;='Batt IN'!$H$43*12,CY117/(1+('PV IN'!$G$9))^(C117),0)</f>
        <v>-1504.4821155008183</v>
      </c>
      <c r="DA117" s="33">
        <f>IF(C117&lt;='Batt IN'!$H$43*12,AE117,0)</f>
        <v>30366.783333333333</v>
      </c>
    </row>
    <row r="118" spans="1:105" x14ac:dyDescent="0.25">
      <c r="A118">
        <f>IF(C118&lt;='Batt IN'!$H$43*12,C118,"")</f>
        <v>114</v>
      </c>
      <c r="C118">
        <v>114</v>
      </c>
      <c r="D118" s="21">
        <v>730</v>
      </c>
      <c r="E118" s="1">
        <f>1-'Batt IN'!$E$31</f>
        <v>2.0000000000000018E-2</v>
      </c>
      <c r="F118" s="12">
        <f>('Batt IN'!$E$33*365)/8760</f>
        <v>0</v>
      </c>
      <c r="G118" s="22">
        <f>'Batt IN'!$E$32/8760</f>
        <v>5.7077625570776253E-3</v>
      </c>
      <c r="H118" s="22">
        <f>'Batt IN'!$E$13/8760</f>
        <v>5.5936073059360729E-3</v>
      </c>
      <c r="I118" s="23">
        <f>IF(C118&lt;='Batt IN'!$G$14*12,'Batt IN'!$E$15/8760*'Batt IN'!$G$15,0)</f>
        <v>0</v>
      </c>
      <c r="J118" s="12">
        <f>Z118/'Batt IN'!$E$27/730</f>
        <v>2.4999999999999996E-3</v>
      </c>
      <c r="K118" s="23">
        <f>AA118/'Batt IN'!$E$27/730</f>
        <v>1.6027397260273972E-3</v>
      </c>
      <c r="L118" s="23">
        <f>AB118/'Batt IN'!$E$27/730</f>
        <v>2.0547945205479451E-4</v>
      </c>
      <c r="M118" s="23">
        <f>AC118/'Batt IN'!$E$27/730</f>
        <v>4.7945205479452057E-3</v>
      </c>
      <c r="N118" s="23">
        <f>AD118/'Batt IN'!$E$27/730</f>
        <v>3.4246575342465752E-3</v>
      </c>
      <c r="O118" s="12">
        <f t="shared" si="19"/>
        <v>4.3828767123287697E-2</v>
      </c>
      <c r="P118" s="21">
        <f t="shared" si="20"/>
        <v>698.005</v>
      </c>
      <c r="Q118" s="2">
        <f>IF('Batt IN'!$E$27*'Batt IN'!$E$24&lt;='Batt IN'!$E$28,(('Batt IN'!$E$23*'Batt IN'!$E$27*'Batt IN'!$E$24)/1000)*P118,(('Batt IN'!$E$23*'Batt IN'!$E$28*'Batt IN'!$E$24)/1000)*P118)</f>
        <v>11168.08</v>
      </c>
      <c r="R118" s="2"/>
      <c r="S118" s="77">
        <f>IF(C118&lt;='Batt IN'!$G$14*12,'Batt IN'!$E$15/12,0)</f>
        <v>0</v>
      </c>
      <c r="T118" s="77"/>
      <c r="U118" s="80">
        <f>'Batt IN'!$E$28*('Batt IN'!$G$24/24)*730*(1-O118)</f>
        <v>81433.916666666657</v>
      </c>
      <c r="V118" s="78">
        <f>U118*'Batt IN'!$F$30</f>
        <v>16286.783333333333</v>
      </c>
      <c r="W118" s="78">
        <f>'Batt IN'!$E$28*'Batt IN'!$G$32*('Batt IN'!$E$32/12)*(1+'Batt IN'!$F$30)</f>
        <v>1750.0000000000002</v>
      </c>
      <c r="X118" s="78">
        <f>'Batt IN'!$E$28*'Batt IN'!$G$13*('Batt IN'!$E$13/12)*(1+'Batt IN'!$F$30)</f>
        <v>3184.9999999999995</v>
      </c>
      <c r="Y118" s="33">
        <f>S118*'Batt IN'!$G$15*'Batt IN'!$E$28*(1+'Batt IN'!$F$30)</f>
        <v>0</v>
      </c>
      <c r="Z118" s="33">
        <f>'Batt IN'!$G$16*365/12*(1+'Batt IN'!$F$30)</f>
        <v>1824.9999999999998</v>
      </c>
      <c r="AA118" s="33">
        <f>'Batt IN'!$G$17*'Batt IN'!$E$18*'Batt IN'!$G$18/12*(1+'Batt IN'!$F$30)</f>
        <v>1170</v>
      </c>
      <c r="AB118" s="33">
        <f>'Batt IN'!$G$19*'Batt IN'!$E$20*'Batt IN'!$G$20/12*(1+'Batt IN'!$F$30)</f>
        <v>150</v>
      </c>
      <c r="AC118" s="33">
        <f>'Batt IN'!$G$21*(1+'Batt IN'!$F$30)/12</f>
        <v>3500</v>
      </c>
      <c r="AD118" s="33">
        <f>'Batt IN'!$G$22*(1+'Batt IN'!$F$30)/12</f>
        <v>2500</v>
      </c>
      <c r="AE118" s="33">
        <f t="shared" si="32"/>
        <v>30366.783333333333</v>
      </c>
      <c r="AF118" s="33">
        <f>IF('PV IN'!$F$4="Battery Only",0,AE118*'Batt IN'!$E$29)</f>
        <v>25811.765833333331</v>
      </c>
      <c r="AG118" s="33">
        <f>PVCalcs!L118</f>
        <v>25811.765833333331</v>
      </c>
      <c r="AH118" s="33">
        <f t="shared" si="33"/>
        <v>4555.0175000000017</v>
      </c>
      <c r="AI118" s="33"/>
      <c r="AJ118" s="2">
        <f>IF(AND('Batt IN'!$D$53="Yes",$AL$1&gt;=1),IF($C118='Batt IN'!$H$54*12,-'Batt IN'!$F$54,0),0)</f>
        <v>0</v>
      </c>
      <c r="AK118" s="2">
        <f>IF(AND('Batt IN'!$D$53="Yes",$AL$1&gt;=2),IF($C118='Batt IN'!$H$55*12,-'Batt IN'!$F$55,0),0)</f>
        <v>0</v>
      </c>
      <c r="AL118" s="2">
        <f>IF(AND('Batt IN'!$D$53="Yes",$AL$1&gt;=3),IF($C118='Batt IN'!$H$56*12,-'Batt IN'!$F$56,0),0)</f>
        <v>0</v>
      </c>
      <c r="AM118" s="2">
        <f>IF(AND('Batt IN'!$D$53="Yes",$AL$1&gt;=4),IF($C118='Batt IN'!$H$57*12,-'Batt IN'!$F$57,0),0)</f>
        <v>0</v>
      </c>
      <c r="AN118" s="2">
        <f>IF(AND('Batt IN'!$D$53="Yes",$AL$1&gt;=5),IF($C118='Batt IN'!$H$58*12,-'Batt IN'!$F$58,0),0)</f>
        <v>0</v>
      </c>
      <c r="AO118" s="10">
        <f>IF(AND('Batt IN'!$D$44="YES",$C118&lt;='Batt IN'!$E$44*12),-'Batt IN'!$E$28*'Batt IN'!$E$42/12,0)</f>
        <v>0</v>
      </c>
      <c r="AP118" s="10">
        <f>IF(AND('Batt IN'!$D$46="YES",$C118&lt;='Batt IN'!$E$46*12),-'Batt IN'!$E$28*'Batt IN'!$E$45/12,0)</f>
        <v>0</v>
      </c>
      <c r="AR118" s="10">
        <f>BattLoan!M145</f>
        <v>0</v>
      </c>
      <c r="AS118" s="10">
        <f>'Batt IN'!$G$16*365/12*'Batt IN'!$E$16</f>
        <v>76.041666666666671</v>
      </c>
      <c r="AT118" s="10">
        <f>IF(AND('Batt IN'!$E$18&gt;0,'Batt IN'!$G$18&gt;0),'Batt IN'!$E$17*'Batt IN'!$G$17,0)</f>
        <v>119.44619999999999</v>
      </c>
      <c r="AU118" s="10">
        <f>IF(AND('Batt IN'!$E$20&gt;0,'Batt IN'!$G$20&gt;0),'Batt IN'!$E$19*'Batt IN'!$G$19,0)</f>
        <v>231</v>
      </c>
      <c r="AV118" s="10"/>
      <c r="AW118" s="10"/>
      <c r="AX118" s="10">
        <f>IF('Batt IN'!$E$11="Non-Taxable",Q118,0)</f>
        <v>11168.08</v>
      </c>
      <c r="AY118" s="10">
        <f>IF('Batt IN'!$E$11="Non-Taxable",'Batt IN'!$E$28/1000*'Batt IN'!$G$13*('Batt IN'!$E$13/12)*'Batt IN'!$E$12,0)</f>
        <v>244.42220833333334</v>
      </c>
      <c r="AZ118" s="10">
        <f>IF('Batt IN'!$E$11="Non-Taxable",$S118*'Batt IN'!$G$15*'Batt IN'!$E$28*'Batt IN'!$E$14/1000,0)</f>
        <v>0</v>
      </c>
      <c r="BA118" s="10">
        <f>IF('Batt IN'!$E$11="Non-Taxable",'Batt IN'!$E$21*'Batt IN'!$G$21/12,0)</f>
        <v>437.5</v>
      </c>
      <c r="BB118" s="10">
        <f>IF('Batt IN'!$E$11="Non-Taxable",'Batt IN'!$E$22*'Batt IN'!$G$22/12,0)</f>
        <v>1145.8333333333335</v>
      </c>
      <c r="BC118" s="10">
        <f>IF('Batt IN'!$E$11="Taxable",Q118,0)</f>
        <v>0</v>
      </c>
      <c r="BD118" s="10">
        <f>IF('Batt IN'!$E$11="Taxable",'Batt IN'!$E$28/1000*'Batt IN'!$G$13*('Batt IN'!$E$13/12)*'Batt IN'!$E$12,0)</f>
        <v>0</v>
      </c>
      <c r="BE118" s="10">
        <f>IF('Batt IN'!$E$11="Taxable",$S118*'Batt IN'!$G$15*'Batt IN'!$E$28*'Batt IN'!$E$14/1000,0)</f>
        <v>0</v>
      </c>
      <c r="BF118" s="10">
        <f>IF('Batt IN'!$E$11="Taxable",'Batt IN'!$E$21*'Batt IN'!$G$21/12,0)</f>
        <v>0</v>
      </c>
      <c r="BG118" s="10">
        <f>IF('Batt IN'!$E$11="Taxable",'Batt IN'!$E$22*'Batt IN'!$G$22/12,0)</f>
        <v>0</v>
      </c>
      <c r="BK118" s="10">
        <f>IF('Batt IN'!$N$18="Yes",-BattLoan!H146,-BattLoan!L146)</f>
        <v>0</v>
      </c>
      <c r="BL118" s="10">
        <f>IF('Batt IN'!$N$18="Yes",-BattLoan!F146,0)</f>
        <v>0</v>
      </c>
      <c r="BM118" s="10">
        <f>IF(AND('Batt IN'!$D$44="YES",$C118&lt;='Batt IN'!$E$44*12),0,-'Batt IN'!$E$28*'Batt IN'!$E$42/12)</f>
        <v>-83.333333333333329</v>
      </c>
      <c r="BN118" s="10">
        <f>IF(AND('Batt IN'!$D$46="YES",$C118&lt;='Batt IN'!$E$46*12),0,-'Batt IN'!$E$28*'Batt IN'!$E$45/12)</f>
        <v>-166.66666666666666</v>
      </c>
      <c r="BO118" s="2">
        <f>IF(AND('Batt IN'!$D$41="YES",BattCalcs!C118=ROUNDUP('Batt IN'!$H$41*12,)),-'Batt IN'!$E$41*'Batt IN'!$E$28,0)</f>
        <v>0</v>
      </c>
      <c r="BP118" s="2">
        <f>IF(AND('Batt IN'!$D$53="Yes",$AL$1&gt;=1),0,IF($C118='Batt IN'!$H$54*12,-'Batt IN'!$F$54,0))</f>
        <v>0</v>
      </c>
      <c r="BQ118" s="2">
        <f>IF(AND('Batt IN'!$D$53="Yes",$AL$1&gt;=2),0,IF($C118='Batt IN'!$H$55*12,-'Batt IN'!$F$55,0))</f>
        <v>0</v>
      </c>
      <c r="BR118" s="2">
        <f>IF(AND('Batt IN'!$D$53="Yes",$AL$1&gt;=3),0,IF($C118='Batt IN'!$H$56*12,-'Batt IN'!$F$56,0))</f>
        <v>0</v>
      </c>
      <c r="BS118" s="2">
        <f>IF(AND('Batt IN'!$D$53="Yes",$AL$1&gt;=4),0,IF($C118='Batt IN'!$H$57*12,-'Batt IN'!$F$57,0))</f>
        <v>0</v>
      </c>
      <c r="BT118" s="2">
        <f>IF(AND('Batt IN'!$D$53="Yes",$AL$1&gt;=5),0,IF($C118='Batt IN'!$H$58*12,-'Batt IN'!$F$58,0))</f>
        <v>0</v>
      </c>
      <c r="BU118" s="2">
        <f>-AH118*PVCalcs!F118</f>
        <v>-365.03601625122235</v>
      </c>
      <c r="BV118" s="2">
        <f>-'Batt IN'!$E$47</f>
        <v>-150</v>
      </c>
      <c r="BW118" s="2">
        <f>-'Batt IN'!$E$49</f>
        <v>-2250</v>
      </c>
      <c r="BX118" s="2">
        <f>IF('Batt IN'!$H$50="No",-(BC118*'Batt IN'!$E$50),-(BC118+BE118)*'Batt IN'!$E$50)</f>
        <v>0</v>
      </c>
      <c r="BY118" s="2">
        <f>IF(C118='Batt IN'!$H$43*12,-'Batt IN'!$E$43,0)</f>
        <v>0</v>
      </c>
      <c r="BZ118" s="38"/>
      <c r="CA118" s="10">
        <f t="shared" si="17"/>
        <v>13422.323408333334</v>
      </c>
      <c r="CB118" s="2">
        <f t="shared" si="21"/>
        <v>-3015.0360162512225</v>
      </c>
      <c r="CC118" s="45">
        <f t="shared" si="22"/>
        <v>10407.287392082111</v>
      </c>
      <c r="CD118" s="43"/>
      <c r="CE118" s="2">
        <f t="shared" si="18"/>
        <v>0</v>
      </c>
      <c r="CF118" s="2">
        <f t="shared" si="23"/>
        <v>-3015.0360162512225</v>
      </c>
      <c r="CG118" s="2"/>
      <c r="CH118" s="2">
        <f t="shared" si="24"/>
        <v>-3015.0360162512225</v>
      </c>
      <c r="CI118" s="45">
        <f>-CH118*'Batt IN'!$E$7</f>
        <v>633.15756341275664</v>
      </c>
      <c r="CJ118" s="48"/>
      <c r="CK118" s="45">
        <f>IF('Batt IN'!$F$4="PV Only",0,IF(C118&gt;'Batt IN'!$H$43*12,0,CC118+CI118))</f>
        <v>0</v>
      </c>
      <c r="CM118" s="10">
        <f t="shared" si="25"/>
        <v>0</v>
      </c>
      <c r="CN118" s="2">
        <f>CK118/(1+('Batt IN'!$G$8))^(C118)</f>
        <v>0</v>
      </c>
      <c r="CO118" s="2">
        <f>IF(C118&lt;='Batt IN'!$O$30*12,CN118+CO117,NA())</f>
        <v>0</v>
      </c>
      <c r="CQ118" s="2">
        <f>CK118/((1+('Batt IN'!$E$8/12))^BattCalcs!C118)</f>
        <v>0</v>
      </c>
      <c r="CS118" s="10">
        <f t="shared" si="26"/>
        <v>-3015.0360162512225</v>
      </c>
      <c r="CT118" s="10">
        <f t="shared" si="27"/>
        <v>0</v>
      </c>
      <c r="CU118" s="10">
        <f t="shared" si="28"/>
        <v>-3015.0360162512225</v>
      </c>
      <c r="CV118" s="10">
        <f t="shared" si="29"/>
        <v>-3015.0360162512225</v>
      </c>
      <c r="CW118" s="2">
        <f t="shared" si="30"/>
        <v>0</v>
      </c>
      <c r="CX118" s="2">
        <f>-(SUM(CV118:CW118)*'PV IN'!$E$8)</f>
        <v>633.15756341275664</v>
      </c>
      <c r="CY118" s="2">
        <f t="shared" si="31"/>
        <v>-2381.8784528384658</v>
      </c>
      <c r="CZ118" s="2">
        <f>IF(C118&lt;='Batt IN'!$H$43*12,CY118/(1+('PV IN'!$G$9))^(C118),0)</f>
        <v>-1498.3775399285107</v>
      </c>
      <c r="DA118" s="33">
        <f>IF(C118&lt;='Batt IN'!$H$43*12,AE118,0)</f>
        <v>30366.783333333333</v>
      </c>
    </row>
    <row r="119" spans="1:105" x14ac:dyDescent="0.25">
      <c r="A119">
        <f>IF(C119&lt;='Batt IN'!$H$43*12,C119,"")</f>
        <v>115</v>
      </c>
      <c r="C119">
        <v>115</v>
      </c>
      <c r="D119" s="21">
        <v>730</v>
      </c>
      <c r="E119" s="1">
        <f>1-'Batt IN'!$E$31</f>
        <v>2.0000000000000018E-2</v>
      </c>
      <c r="F119" s="12">
        <f>('Batt IN'!$E$33*365)/8760</f>
        <v>0</v>
      </c>
      <c r="G119" s="22">
        <f>'Batt IN'!$E$32/8760</f>
        <v>5.7077625570776253E-3</v>
      </c>
      <c r="H119" s="22">
        <f>'Batt IN'!$E$13/8760</f>
        <v>5.5936073059360729E-3</v>
      </c>
      <c r="I119" s="23">
        <f>IF(C119&lt;='Batt IN'!$G$14*12,'Batt IN'!$E$15/8760*'Batt IN'!$G$15,0)</f>
        <v>0</v>
      </c>
      <c r="J119" s="12">
        <f>Z119/'Batt IN'!$E$27/730</f>
        <v>2.4999999999999996E-3</v>
      </c>
      <c r="K119" s="23">
        <f>AA119/'Batt IN'!$E$27/730</f>
        <v>1.6027397260273972E-3</v>
      </c>
      <c r="L119" s="23">
        <f>AB119/'Batt IN'!$E$27/730</f>
        <v>2.0547945205479451E-4</v>
      </c>
      <c r="M119" s="23">
        <f>AC119/'Batt IN'!$E$27/730</f>
        <v>4.7945205479452057E-3</v>
      </c>
      <c r="N119" s="23">
        <f>AD119/'Batt IN'!$E$27/730</f>
        <v>3.4246575342465752E-3</v>
      </c>
      <c r="O119" s="12">
        <f t="shared" si="19"/>
        <v>4.3828767123287697E-2</v>
      </c>
      <c r="P119" s="21">
        <f t="shared" si="20"/>
        <v>698.005</v>
      </c>
      <c r="Q119" s="2">
        <f>IF('Batt IN'!$E$27*'Batt IN'!$E$24&lt;='Batt IN'!$E$28,(('Batt IN'!$E$23*'Batt IN'!$E$27*'Batt IN'!$E$24)/1000)*P119,(('Batt IN'!$E$23*'Batt IN'!$E$28*'Batt IN'!$E$24)/1000)*P119)</f>
        <v>11168.08</v>
      </c>
      <c r="R119" s="2"/>
      <c r="S119" s="77">
        <f>IF(C119&lt;='Batt IN'!$G$14*12,'Batt IN'!$E$15/12,0)</f>
        <v>0</v>
      </c>
      <c r="T119" s="77"/>
      <c r="U119" s="80">
        <f>'Batt IN'!$E$28*('Batt IN'!$G$24/24)*730*(1-O119)</f>
        <v>81433.916666666657</v>
      </c>
      <c r="V119" s="78">
        <f>U119*'Batt IN'!$F$30</f>
        <v>16286.783333333333</v>
      </c>
      <c r="W119" s="78">
        <f>'Batt IN'!$E$28*'Batt IN'!$G$32*('Batt IN'!$E$32/12)*(1+'Batt IN'!$F$30)</f>
        <v>1750.0000000000002</v>
      </c>
      <c r="X119" s="78">
        <f>'Batt IN'!$E$28*'Batt IN'!$G$13*('Batt IN'!$E$13/12)*(1+'Batt IN'!$F$30)</f>
        <v>3184.9999999999995</v>
      </c>
      <c r="Y119" s="33">
        <f>S119*'Batt IN'!$G$15*'Batt IN'!$E$28*(1+'Batt IN'!$F$30)</f>
        <v>0</v>
      </c>
      <c r="Z119" s="33">
        <f>'Batt IN'!$G$16*365/12*(1+'Batt IN'!$F$30)</f>
        <v>1824.9999999999998</v>
      </c>
      <c r="AA119" s="33">
        <f>'Batt IN'!$G$17*'Batt IN'!$E$18*'Batt IN'!$G$18/12*(1+'Batt IN'!$F$30)</f>
        <v>1170</v>
      </c>
      <c r="AB119" s="33">
        <f>'Batt IN'!$G$19*'Batt IN'!$E$20*'Batt IN'!$G$20/12*(1+'Batt IN'!$F$30)</f>
        <v>150</v>
      </c>
      <c r="AC119" s="33">
        <f>'Batt IN'!$G$21*(1+'Batt IN'!$F$30)/12</f>
        <v>3500</v>
      </c>
      <c r="AD119" s="33">
        <f>'Batt IN'!$G$22*(1+'Batt IN'!$F$30)/12</f>
        <v>2500</v>
      </c>
      <c r="AE119" s="33">
        <f t="shared" si="32"/>
        <v>30366.783333333333</v>
      </c>
      <c r="AF119" s="33">
        <f>IF('PV IN'!$F$4="Battery Only",0,AE119*'Batt IN'!$E$29)</f>
        <v>25811.765833333331</v>
      </c>
      <c r="AG119" s="33">
        <f>PVCalcs!L119</f>
        <v>25811.765833333331</v>
      </c>
      <c r="AH119" s="33">
        <f t="shared" si="33"/>
        <v>4555.0175000000017</v>
      </c>
      <c r="AI119" s="33"/>
      <c r="AJ119" s="2">
        <f>IF(AND('Batt IN'!$D$53="Yes",$AL$1&gt;=1),IF($C119='Batt IN'!$H$54*12,-'Batt IN'!$F$54,0),0)</f>
        <v>0</v>
      </c>
      <c r="AK119" s="2">
        <f>IF(AND('Batt IN'!$D$53="Yes",$AL$1&gt;=2),IF($C119='Batt IN'!$H$55*12,-'Batt IN'!$F$55,0),0)</f>
        <v>0</v>
      </c>
      <c r="AL119" s="2">
        <f>IF(AND('Batt IN'!$D$53="Yes",$AL$1&gt;=3),IF($C119='Batt IN'!$H$56*12,-'Batt IN'!$F$56,0),0)</f>
        <v>0</v>
      </c>
      <c r="AM119" s="2">
        <f>IF(AND('Batt IN'!$D$53="Yes",$AL$1&gt;=4),IF($C119='Batt IN'!$H$57*12,-'Batt IN'!$F$57,0),0)</f>
        <v>0</v>
      </c>
      <c r="AN119" s="2">
        <f>IF(AND('Batt IN'!$D$53="Yes",$AL$1&gt;=5),IF($C119='Batt IN'!$H$58*12,-'Batt IN'!$F$58,0),0)</f>
        <v>0</v>
      </c>
      <c r="AO119" s="10">
        <f>IF(AND('Batt IN'!$D$44="YES",$C119&lt;='Batt IN'!$E$44*12),-'Batt IN'!$E$28*'Batt IN'!$E$42/12,0)</f>
        <v>0</v>
      </c>
      <c r="AP119" s="10">
        <f>IF(AND('Batt IN'!$D$46="YES",$C119&lt;='Batt IN'!$E$46*12),-'Batt IN'!$E$28*'Batt IN'!$E$45/12,0)</f>
        <v>0</v>
      </c>
      <c r="AR119" s="10">
        <f>BattLoan!M146</f>
        <v>0</v>
      </c>
      <c r="AS119" s="10">
        <f>'Batt IN'!$G$16*365/12*'Batt IN'!$E$16</f>
        <v>76.041666666666671</v>
      </c>
      <c r="AT119" s="10">
        <f>IF(AND('Batt IN'!$E$18&gt;0,'Batt IN'!$G$18&gt;0),'Batt IN'!$E$17*'Batt IN'!$G$17,0)</f>
        <v>119.44619999999999</v>
      </c>
      <c r="AU119" s="10">
        <f>IF(AND('Batt IN'!$E$20&gt;0,'Batt IN'!$G$20&gt;0),'Batt IN'!$E$19*'Batt IN'!$G$19,0)</f>
        <v>231</v>
      </c>
      <c r="AV119" s="10"/>
      <c r="AW119" s="10"/>
      <c r="AX119" s="10">
        <f>IF('Batt IN'!$E$11="Non-Taxable",Q119,0)</f>
        <v>11168.08</v>
      </c>
      <c r="AY119" s="10">
        <f>IF('Batt IN'!$E$11="Non-Taxable",'Batt IN'!$E$28/1000*'Batt IN'!$G$13*('Batt IN'!$E$13/12)*'Batt IN'!$E$12,0)</f>
        <v>244.42220833333334</v>
      </c>
      <c r="AZ119" s="10">
        <f>IF('Batt IN'!$E$11="Non-Taxable",$S119*'Batt IN'!$G$15*'Batt IN'!$E$28*'Batt IN'!$E$14/1000,0)</f>
        <v>0</v>
      </c>
      <c r="BA119" s="10">
        <f>IF('Batt IN'!$E$11="Non-Taxable",'Batt IN'!$E$21*'Batt IN'!$G$21/12,0)</f>
        <v>437.5</v>
      </c>
      <c r="BB119" s="10">
        <f>IF('Batt IN'!$E$11="Non-Taxable",'Batt IN'!$E$22*'Batt IN'!$G$22/12,0)</f>
        <v>1145.8333333333335</v>
      </c>
      <c r="BC119" s="10">
        <f>IF('Batt IN'!$E$11="Taxable",Q119,0)</f>
        <v>0</v>
      </c>
      <c r="BD119" s="10">
        <f>IF('Batt IN'!$E$11="Taxable",'Batt IN'!$E$28/1000*'Batt IN'!$G$13*('Batt IN'!$E$13/12)*'Batt IN'!$E$12,0)</f>
        <v>0</v>
      </c>
      <c r="BE119" s="10">
        <f>IF('Batt IN'!$E$11="Taxable",$S119*'Batt IN'!$G$15*'Batt IN'!$E$28*'Batt IN'!$E$14/1000,0)</f>
        <v>0</v>
      </c>
      <c r="BF119" s="10">
        <f>IF('Batt IN'!$E$11="Taxable",'Batt IN'!$E$21*'Batt IN'!$G$21/12,0)</f>
        <v>0</v>
      </c>
      <c r="BG119" s="10">
        <f>IF('Batt IN'!$E$11="Taxable",'Batt IN'!$E$22*'Batt IN'!$G$22/12,0)</f>
        <v>0</v>
      </c>
      <c r="BK119" s="10">
        <f>IF('Batt IN'!$N$18="Yes",-BattLoan!H147,-BattLoan!L147)</f>
        <v>0</v>
      </c>
      <c r="BL119" s="10">
        <f>IF('Batt IN'!$N$18="Yes",-BattLoan!F147,0)</f>
        <v>0</v>
      </c>
      <c r="BM119" s="10">
        <f>IF(AND('Batt IN'!$D$44="YES",$C119&lt;='Batt IN'!$E$44*12),0,-'Batt IN'!$E$28*'Batt IN'!$E$42/12)</f>
        <v>-83.333333333333329</v>
      </c>
      <c r="BN119" s="10">
        <f>IF(AND('Batt IN'!$D$46="YES",$C119&lt;='Batt IN'!$E$46*12),0,-'Batt IN'!$E$28*'Batt IN'!$E$45/12)</f>
        <v>-166.66666666666666</v>
      </c>
      <c r="BO119" s="2">
        <f>IF(AND('Batt IN'!$D$41="YES",BattCalcs!C119=ROUNDUP('Batt IN'!$H$41*12,)),-'Batt IN'!$E$41*'Batt IN'!$E$28,0)</f>
        <v>0</v>
      </c>
      <c r="BP119" s="2">
        <f>IF(AND('Batt IN'!$D$53="Yes",$AL$1&gt;=1),0,IF($C119='Batt IN'!$H$54*12,-'Batt IN'!$F$54,0))</f>
        <v>0</v>
      </c>
      <c r="BQ119" s="2">
        <f>IF(AND('Batt IN'!$D$53="Yes",$AL$1&gt;=2),0,IF($C119='Batt IN'!$H$55*12,-'Batt IN'!$F$55,0))</f>
        <v>0</v>
      </c>
      <c r="BR119" s="2">
        <f>IF(AND('Batt IN'!$D$53="Yes",$AL$1&gt;=3),0,IF($C119='Batt IN'!$H$56*12,-'Batt IN'!$F$56,0))</f>
        <v>0</v>
      </c>
      <c r="BS119" s="2">
        <f>IF(AND('Batt IN'!$D$53="Yes",$AL$1&gt;=4),0,IF($C119='Batt IN'!$H$57*12,-'Batt IN'!$F$57,0))</f>
        <v>0</v>
      </c>
      <c r="BT119" s="2">
        <f>IF(AND('Batt IN'!$D$53="Yes",$AL$1&gt;=5),0,IF($C119='Batt IN'!$H$58*12,-'Batt IN'!$F$58,0))</f>
        <v>0</v>
      </c>
      <c r="BU119" s="2">
        <f>-AH119*PVCalcs!F119</f>
        <v>-365.03601625122235</v>
      </c>
      <c r="BV119" s="2">
        <f>-'Batt IN'!$E$47</f>
        <v>-150</v>
      </c>
      <c r="BW119" s="2">
        <f>-'Batt IN'!$E$49</f>
        <v>-2250</v>
      </c>
      <c r="BX119" s="2">
        <f>IF('Batt IN'!$H$50="No",-(BC119*'Batt IN'!$E$50),-(BC119+BE119)*'Batt IN'!$E$50)</f>
        <v>0</v>
      </c>
      <c r="BY119" s="2">
        <f>IF(C119='Batt IN'!$H$43*12,-'Batt IN'!$E$43,0)</f>
        <v>0</v>
      </c>
      <c r="BZ119" s="38"/>
      <c r="CA119" s="10">
        <f t="shared" si="17"/>
        <v>13422.323408333334</v>
      </c>
      <c r="CB119" s="2">
        <f t="shared" si="21"/>
        <v>-3015.0360162512225</v>
      </c>
      <c r="CC119" s="45">
        <f t="shared" si="22"/>
        <v>10407.287392082111</v>
      </c>
      <c r="CD119" s="43"/>
      <c r="CE119" s="2">
        <f t="shared" si="18"/>
        <v>0</v>
      </c>
      <c r="CF119" s="2">
        <f t="shared" si="23"/>
        <v>-3015.0360162512225</v>
      </c>
      <c r="CG119" s="2"/>
      <c r="CH119" s="2">
        <f t="shared" si="24"/>
        <v>-3015.0360162512225</v>
      </c>
      <c r="CI119" s="45">
        <f>-CH119*'Batt IN'!$E$7</f>
        <v>633.15756341275664</v>
      </c>
      <c r="CJ119" s="48"/>
      <c r="CK119" s="45">
        <f>IF('Batt IN'!$F$4="PV Only",0,IF(C119&gt;'Batt IN'!$H$43*12,0,CC119+CI119))</f>
        <v>0</v>
      </c>
      <c r="CM119" s="10">
        <f t="shared" si="25"/>
        <v>0</v>
      </c>
      <c r="CN119" s="2">
        <f>CK119/(1+('Batt IN'!$G$8))^(C119)</f>
        <v>0</v>
      </c>
      <c r="CO119" s="2">
        <f>IF(C119&lt;='Batt IN'!$O$30*12,CN119+CO118,NA())</f>
        <v>0</v>
      </c>
      <c r="CQ119" s="2">
        <f>CK119/((1+('Batt IN'!$E$8/12))^BattCalcs!C119)</f>
        <v>0</v>
      </c>
      <c r="CS119" s="10">
        <f t="shared" si="26"/>
        <v>-3015.0360162512225</v>
      </c>
      <c r="CT119" s="10">
        <f t="shared" si="27"/>
        <v>0</v>
      </c>
      <c r="CU119" s="10">
        <f t="shared" si="28"/>
        <v>-3015.0360162512225</v>
      </c>
      <c r="CV119" s="10">
        <f t="shared" si="29"/>
        <v>-3015.0360162512225</v>
      </c>
      <c r="CW119" s="2">
        <f t="shared" si="30"/>
        <v>0</v>
      </c>
      <c r="CX119" s="2">
        <f>-(SUM(CV119:CW119)*'PV IN'!$E$8)</f>
        <v>633.15756341275664</v>
      </c>
      <c r="CY119" s="2">
        <f t="shared" si="31"/>
        <v>-2381.8784528384658</v>
      </c>
      <c r="CZ119" s="2">
        <f>IF(C119&lt;='Batt IN'!$H$43*12,CY119/(1+('PV IN'!$G$9))^(C119),0)</f>
        <v>-1492.2977342371705</v>
      </c>
      <c r="DA119" s="33">
        <f>IF(C119&lt;='Batt IN'!$H$43*12,AE119,0)</f>
        <v>30366.783333333333</v>
      </c>
    </row>
    <row r="120" spans="1:105" x14ac:dyDescent="0.25">
      <c r="A120">
        <f>IF(C120&lt;='Batt IN'!$H$43*12,C120,"")</f>
        <v>116</v>
      </c>
      <c r="C120">
        <v>116</v>
      </c>
      <c r="D120" s="21">
        <v>730</v>
      </c>
      <c r="E120" s="1">
        <f>1-'Batt IN'!$E$31</f>
        <v>2.0000000000000018E-2</v>
      </c>
      <c r="F120" s="12">
        <f>('Batt IN'!$E$33*365)/8760</f>
        <v>0</v>
      </c>
      <c r="G120" s="22">
        <f>'Batt IN'!$E$32/8760</f>
        <v>5.7077625570776253E-3</v>
      </c>
      <c r="H120" s="22">
        <f>'Batt IN'!$E$13/8760</f>
        <v>5.5936073059360729E-3</v>
      </c>
      <c r="I120" s="23">
        <f>IF(C120&lt;='Batt IN'!$G$14*12,'Batt IN'!$E$15/8760*'Batt IN'!$G$15,0)</f>
        <v>0</v>
      </c>
      <c r="J120" s="12">
        <f>Z120/'Batt IN'!$E$27/730</f>
        <v>2.4999999999999996E-3</v>
      </c>
      <c r="K120" s="23">
        <f>AA120/'Batt IN'!$E$27/730</f>
        <v>1.6027397260273972E-3</v>
      </c>
      <c r="L120" s="23">
        <f>AB120/'Batt IN'!$E$27/730</f>
        <v>2.0547945205479451E-4</v>
      </c>
      <c r="M120" s="23">
        <f>AC120/'Batt IN'!$E$27/730</f>
        <v>4.7945205479452057E-3</v>
      </c>
      <c r="N120" s="23">
        <f>AD120/'Batt IN'!$E$27/730</f>
        <v>3.4246575342465752E-3</v>
      </c>
      <c r="O120" s="12">
        <f t="shared" si="19"/>
        <v>4.3828767123287697E-2</v>
      </c>
      <c r="P120" s="21">
        <f t="shared" si="20"/>
        <v>698.005</v>
      </c>
      <c r="Q120" s="2">
        <f>IF('Batt IN'!$E$27*'Batt IN'!$E$24&lt;='Batt IN'!$E$28,(('Batt IN'!$E$23*'Batt IN'!$E$27*'Batt IN'!$E$24)/1000)*P120,(('Batt IN'!$E$23*'Batt IN'!$E$28*'Batt IN'!$E$24)/1000)*P120)</f>
        <v>11168.08</v>
      </c>
      <c r="R120" s="2"/>
      <c r="S120" s="77">
        <f>IF(C120&lt;='Batt IN'!$G$14*12,'Batt IN'!$E$15/12,0)</f>
        <v>0</v>
      </c>
      <c r="T120" s="77"/>
      <c r="U120" s="80">
        <f>'Batt IN'!$E$28*('Batt IN'!$G$24/24)*730*(1-O120)</f>
        <v>81433.916666666657</v>
      </c>
      <c r="V120" s="78">
        <f>U120*'Batt IN'!$F$30</f>
        <v>16286.783333333333</v>
      </c>
      <c r="W120" s="78">
        <f>'Batt IN'!$E$28*'Batt IN'!$G$32*('Batt IN'!$E$32/12)*(1+'Batt IN'!$F$30)</f>
        <v>1750.0000000000002</v>
      </c>
      <c r="X120" s="78">
        <f>'Batt IN'!$E$28*'Batt IN'!$G$13*('Batt IN'!$E$13/12)*(1+'Batt IN'!$F$30)</f>
        <v>3184.9999999999995</v>
      </c>
      <c r="Y120" s="33">
        <f>S120*'Batt IN'!$G$15*'Batt IN'!$E$28*(1+'Batt IN'!$F$30)</f>
        <v>0</v>
      </c>
      <c r="Z120" s="33">
        <f>'Batt IN'!$G$16*365/12*(1+'Batt IN'!$F$30)</f>
        <v>1824.9999999999998</v>
      </c>
      <c r="AA120" s="33">
        <f>'Batt IN'!$G$17*'Batt IN'!$E$18*'Batt IN'!$G$18/12*(1+'Batt IN'!$F$30)</f>
        <v>1170</v>
      </c>
      <c r="AB120" s="33">
        <f>'Batt IN'!$G$19*'Batt IN'!$E$20*'Batt IN'!$G$20/12*(1+'Batt IN'!$F$30)</f>
        <v>150</v>
      </c>
      <c r="AC120" s="33">
        <f>'Batt IN'!$G$21*(1+'Batt IN'!$F$30)/12</f>
        <v>3500</v>
      </c>
      <c r="AD120" s="33">
        <f>'Batt IN'!$G$22*(1+'Batt IN'!$F$30)/12</f>
        <v>2500</v>
      </c>
      <c r="AE120" s="33">
        <f t="shared" si="32"/>
        <v>30366.783333333333</v>
      </c>
      <c r="AF120" s="33">
        <f>IF('PV IN'!$F$4="Battery Only",0,AE120*'Batt IN'!$E$29)</f>
        <v>25811.765833333331</v>
      </c>
      <c r="AG120" s="33">
        <f>PVCalcs!L120</f>
        <v>25811.765833333331</v>
      </c>
      <c r="AH120" s="33">
        <f t="shared" si="33"/>
        <v>4555.0175000000017</v>
      </c>
      <c r="AI120" s="33"/>
      <c r="AJ120" s="2">
        <f>IF(AND('Batt IN'!$D$53="Yes",$AL$1&gt;=1),IF($C120='Batt IN'!$H$54*12,-'Batt IN'!$F$54,0),0)</f>
        <v>0</v>
      </c>
      <c r="AK120" s="2">
        <f>IF(AND('Batt IN'!$D$53="Yes",$AL$1&gt;=2),IF($C120='Batt IN'!$H$55*12,-'Batt IN'!$F$55,0),0)</f>
        <v>0</v>
      </c>
      <c r="AL120" s="2">
        <f>IF(AND('Batt IN'!$D$53="Yes",$AL$1&gt;=3),IF($C120='Batt IN'!$H$56*12,-'Batt IN'!$F$56,0),0)</f>
        <v>0</v>
      </c>
      <c r="AM120" s="2">
        <f>IF(AND('Batt IN'!$D$53="Yes",$AL$1&gt;=4),IF($C120='Batt IN'!$H$57*12,-'Batt IN'!$F$57,0),0)</f>
        <v>0</v>
      </c>
      <c r="AN120" s="2">
        <f>IF(AND('Batt IN'!$D$53="Yes",$AL$1&gt;=5),IF($C120='Batt IN'!$H$58*12,-'Batt IN'!$F$58,0),0)</f>
        <v>0</v>
      </c>
      <c r="AO120" s="10">
        <f>IF(AND('Batt IN'!$D$44="YES",$C120&lt;='Batt IN'!$E$44*12),-'Batt IN'!$E$28*'Batt IN'!$E$42/12,0)</f>
        <v>0</v>
      </c>
      <c r="AP120" s="10">
        <f>IF(AND('Batt IN'!$D$46="YES",$C120&lt;='Batt IN'!$E$46*12),-'Batt IN'!$E$28*'Batt IN'!$E$45/12,0)</f>
        <v>0</v>
      </c>
      <c r="AR120" s="10">
        <f>BattLoan!M147</f>
        <v>0</v>
      </c>
      <c r="AS120" s="10">
        <f>'Batt IN'!$G$16*365/12*'Batt IN'!$E$16</f>
        <v>76.041666666666671</v>
      </c>
      <c r="AT120" s="10">
        <f>IF(AND('Batt IN'!$E$18&gt;0,'Batt IN'!$G$18&gt;0),'Batt IN'!$E$17*'Batt IN'!$G$17,0)</f>
        <v>119.44619999999999</v>
      </c>
      <c r="AU120" s="10">
        <f>IF(AND('Batt IN'!$E$20&gt;0,'Batt IN'!$G$20&gt;0),'Batt IN'!$E$19*'Batt IN'!$G$19,0)</f>
        <v>231</v>
      </c>
      <c r="AV120" s="10"/>
      <c r="AW120" s="10"/>
      <c r="AX120" s="10">
        <f>IF('Batt IN'!$E$11="Non-Taxable",Q120,0)</f>
        <v>11168.08</v>
      </c>
      <c r="AY120" s="10">
        <f>IF('Batt IN'!$E$11="Non-Taxable",'Batt IN'!$E$28/1000*'Batt IN'!$G$13*('Batt IN'!$E$13/12)*'Batt IN'!$E$12,0)</f>
        <v>244.42220833333334</v>
      </c>
      <c r="AZ120" s="10">
        <f>IF('Batt IN'!$E$11="Non-Taxable",$S120*'Batt IN'!$G$15*'Batt IN'!$E$28*'Batt IN'!$E$14/1000,0)</f>
        <v>0</v>
      </c>
      <c r="BA120" s="10">
        <f>IF('Batt IN'!$E$11="Non-Taxable",'Batt IN'!$E$21*'Batt IN'!$G$21/12,0)</f>
        <v>437.5</v>
      </c>
      <c r="BB120" s="10">
        <f>IF('Batt IN'!$E$11="Non-Taxable",'Batt IN'!$E$22*'Batt IN'!$G$22/12,0)</f>
        <v>1145.8333333333335</v>
      </c>
      <c r="BC120" s="10">
        <f>IF('Batt IN'!$E$11="Taxable",Q120,0)</f>
        <v>0</v>
      </c>
      <c r="BD120" s="10">
        <f>IF('Batt IN'!$E$11="Taxable",'Batt IN'!$E$28/1000*'Batt IN'!$G$13*('Batt IN'!$E$13/12)*'Batt IN'!$E$12,0)</f>
        <v>0</v>
      </c>
      <c r="BE120" s="10">
        <f>IF('Batt IN'!$E$11="Taxable",$S120*'Batt IN'!$G$15*'Batt IN'!$E$28*'Batt IN'!$E$14/1000,0)</f>
        <v>0</v>
      </c>
      <c r="BF120" s="10">
        <f>IF('Batt IN'!$E$11="Taxable",'Batt IN'!$E$21*'Batt IN'!$G$21/12,0)</f>
        <v>0</v>
      </c>
      <c r="BG120" s="10">
        <f>IF('Batt IN'!$E$11="Taxable",'Batt IN'!$E$22*'Batt IN'!$G$22/12,0)</f>
        <v>0</v>
      </c>
      <c r="BK120" s="10">
        <f>IF('Batt IN'!$N$18="Yes",-BattLoan!H148,-BattLoan!L148)</f>
        <v>0</v>
      </c>
      <c r="BL120" s="10">
        <f>IF('Batt IN'!$N$18="Yes",-BattLoan!F148,0)</f>
        <v>0</v>
      </c>
      <c r="BM120" s="10">
        <f>IF(AND('Batt IN'!$D$44="YES",$C120&lt;='Batt IN'!$E$44*12),0,-'Batt IN'!$E$28*'Batt IN'!$E$42/12)</f>
        <v>-83.333333333333329</v>
      </c>
      <c r="BN120" s="10">
        <f>IF(AND('Batt IN'!$D$46="YES",$C120&lt;='Batt IN'!$E$46*12),0,-'Batt IN'!$E$28*'Batt IN'!$E$45/12)</f>
        <v>-166.66666666666666</v>
      </c>
      <c r="BO120" s="2">
        <f>IF(AND('Batt IN'!$D$41="YES",BattCalcs!C120=ROUNDUP('Batt IN'!$H$41*12,)),-'Batt IN'!$E$41*'Batt IN'!$E$28,0)</f>
        <v>0</v>
      </c>
      <c r="BP120" s="2">
        <f>IF(AND('Batt IN'!$D$53="Yes",$AL$1&gt;=1),0,IF($C120='Batt IN'!$H$54*12,-'Batt IN'!$F$54,0))</f>
        <v>0</v>
      </c>
      <c r="BQ120" s="2">
        <f>IF(AND('Batt IN'!$D$53="Yes",$AL$1&gt;=2),0,IF($C120='Batt IN'!$H$55*12,-'Batt IN'!$F$55,0))</f>
        <v>0</v>
      </c>
      <c r="BR120" s="2">
        <f>IF(AND('Batt IN'!$D$53="Yes",$AL$1&gt;=3),0,IF($C120='Batt IN'!$H$56*12,-'Batt IN'!$F$56,0))</f>
        <v>0</v>
      </c>
      <c r="BS120" s="2">
        <f>IF(AND('Batt IN'!$D$53="Yes",$AL$1&gt;=4),0,IF($C120='Batt IN'!$H$57*12,-'Batt IN'!$F$57,0))</f>
        <v>0</v>
      </c>
      <c r="BT120" s="2">
        <f>IF(AND('Batt IN'!$D$53="Yes",$AL$1&gt;=5),0,IF($C120='Batt IN'!$H$58*12,-'Batt IN'!$F$58,0))</f>
        <v>0</v>
      </c>
      <c r="BU120" s="2">
        <f>-AH120*PVCalcs!F120</f>
        <v>-365.03601625122235</v>
      </c>
      <c r="BV120" s="2">
        <f>-'Batt IN'!$E$47</f>
        <v>-150</v>
      </c>
      <c r="BW120" s="2">
        <f>-'Batt IN'!$E$49</f>
        <v>-2250</v>
      </c>
      <c r="BX120" s="2">
        <f>IF('Batt IN'!$H$50="No",-(BC120*'Batt IN'!$E$50),-(BC120+BE120)*'Batt IN'!$E$50)</f>
        <v>0</v>
      </c>
      <c r="BY120" s="2">
        <f>IF(C120='Batt IN'!$H$43*12,-'Batt IN'!$E$43,0)</f>
        <v>0</v>
      </c>
      <c r="BZ120" s="38"/>
      <c r="CA120" s="10">
        <f t="shared" si="17"/>
        <v>13422.323408333334</v>
      </c>
      <c r="CB120" s="2">
        <f t="shared" si="21"/>
        <v>-3015.0360162512225</v>
      </c>
      <c r="CC120" s="45">
        <f t="shared" si="22"/>
        <v>10407.287392082111</v>
      </c>
      <c r="CD120" s="43"/>
      <c r="CE120" s="2">
        <f t="shared" si="18"/>
        <v>0</v>
      </c>
      <c r="CF120" s="2">
        <f t="shared" si="23"/>
        <v>-3015.0360162512225</v>
      </c>
      <c r="CG120" s="2"/>
      <c r="CH120" s="2">
        <f t="shared" si="24"/>
        <v>-3015.0360162512225</v>
      </c>
      <c r="CI120" s="45">
        <f>-CH120*'Batt IN'!$E$7</f>
        <v>633.15756341275664</v>
      </c>
      <c r="CJ120" s="48"/>
      <c r="CK120" s="45">
        <f>IF('Batt IN'!$F$4="PV Only",0,IF(C120&gt;'Batt IN'!$H$43*12,0,CC120+CI120))</f>
        <v>0</v>
      </c>
      <c r="CM120" s="10">
        <f t="shared" si="25"/>
        <v>0</v>
      </c>
      <c r="CN120" s="2">
        <f>CK120/(1+('Batt IN'!$G$8))^(C120)</f>
        <v>0</v>
      </c>
      <c r="CO120" s="2">
        <f>IF(C120&lt;='Batt IN'!$O$30*12,CN120+CO119,NA())</f>
        <v>0</v>
      </c>
      <c r="CQ120" s="2">
        <f>CK120/((1+('Batt IN'!$E$8/12))^BattCalcs!C120)</f>
        <v>0</v>
      </c>
      <c r="CS120" s="10">
        <f t="shared" si="26"/>
        <v>-3015.0360162512225</v>
      </c>
      <c r="CT120" s="10">
        <f t="shared" si="27"/>
        <v>0</v>
      </c>
      <c r="CU120" s="10">
        <f t="shared" si="28"/>
        <v>-3015.0360162512225</v>
      </c>
      <c r="CV120" s="10">
        <f t="shared" si="29"/>
        <v>-3015.0360162512225</v>
      </c>
      <c r="CW120" s="2">
        <f t="shared" si="30"/>
        <v>0</v>
      </c>
      <c r="CX120" s="2">
        <f>-(SUM(CV120:CW120)*'PV IN'!$E$8)</f>
        <v>633.15756341275664</v>
      </c>
      <c r="CY120" s="2">
        <f t="shared" si="31"/>
        <v>-2381.8784528384658</v>
      </c>
      <c r="CZ120" s="2">
        <f>IF(C120&lt;='Batt IN'!$H$43*12,CY120/(1+('PV IN'!$G$9))^(C120),0)</f>
        <v>-1486.2425979207103</v>
      </c>
      <c r="DA120" s="33">
        <f>IF(C120&lt;='Batt IN'!$H$43*12,AE120,0)</f>
        <v>30366.783333333333</v>
      </c>
    </row>
    <row r="121" spans="1:105" x14ac:dyDescent="0.25">
      <c r="A121">
        <f>IF(C121&lt;='Batt IN'!$H$43*12,C121,"")</f>
        <v>117</v>
      </c>
      <c r="C121">
        <v>117</v>
      </c>
      <c r="D121" s="21">
        <v>730</v>
      </c>
      <c r="E121" s="1">
        <f>1-'Batt IN'!$E$31</f>
        <v>2.0000000000000018E-2</v>
      </c>
      <c r="F121" s="12">
        <f>('Batt IN'!$E$33*365)/8760</f>
        <v>0</v>
      </c>
      <c r="G121" s="22">
        <f>'Batt IN'!$E$32/8760</f>
        <v>5.7077625570776253E-3</v>
      </c>
      <c r="H121" s="22">
        <f>'Batt IN'!$E$13/8760</f>
        <v>5.5936073059360729E-3</v>
      </c>
      <c r="I121" s="23">
        <f>IF(C121&lt;='Batt IN'!$G$14*12,'Batt IN'!$E$15/8760*'Batt IN'!$G$15,0)</f>
        <v>0</v>
      </c>
      <c r="J121" s="12">
        <f>Z121/'Batt IN'!$E$27/730</f>
        <v>2.4999999999999996E-3</v>
      </c>
      <c r="K121" s="23">
        <f>AA121/'Batt IN'!$E$27/730</f>
        <v>1.6027397260273972E-3</v>
      </c>
      <c r="L121" s="23">
        <f>AB121/'Batt IN'!$E$27/730</f>
        <v>2.0547945205479451E-4</v>
      </c>
      <c r="M121" s="23">
        <f>AC121/'Batt IN'!$E$27/730</f>
        <v>4.7945205479452057E-3</v>
      </c>
      <c r="N121" s="23">
        <f>AD121/'Batt IN'!$E$27/730</f>
        <v>3.4246575342465752E-3</v>
      </c>
      <c r="O121" s="12">
        <f t="shared" si="19"/>
        <v>4.3828767123287697E-2</v>
      </c>
      <c r="P121" s="21">
        <f t="shared" si="20"/>
        <v>698.005</v>
      </c>
      <c r="Q121" s="2">
        <f>IF('Batt IN'!$E$27*'Batt IN'!$E$24&lt;='Batt IN'!$E$28,(('Batt IN'!$E$23*'Batt IN'!$E$27*'Batt IN'!$E$24)/1000)*P121,(('Batt IN'!$E$23*'Batt IN'!$E$28*'Batt IN'!$E$24)/1000)*P121)</f>
        <v>11168.08</v>
      </c>
      <c r="R121" s="2"/>
      <c r="S121" s="77">
        <f>IF(C121&lt;='Batt IN'!$G$14*12,'Batt IN'!$E$15/12,0)</f>
        <v>0</v>
      </c>
      <c r="T121" s="77"/>
      <c r="U121" s="80">
        <f>'Batt IN'!$E$28*('Batt IN'!$G$24/24)*730*(1-O121)</f>
        <v>81433.916666666657</v>
      </c>
      <c r="V121" s="78">
        <f>U121*'Batt IN'!$F$30</f>
        <v>16286.783333333333</v>
      </c>
      <c r="W121" s="78">
        <f>'Batt IN'!$E$28*'Batt IN'!$G$32*('Batt IN'!$E$32/12)*(1+'Batt IN'!$F$30)</f>
        <v>1750.0000000000002</v>
      </c>
      <c r="X121" s="78">
        <f>'Batt IN'!$E$28*'Batt IN'!$G$13*('Batt IN'!$E$13/12)*(1+'Batt IN'!$F$30)</f>
        <v>3184.9999999999995</v>
      </c>
      <c r="Y121" s="33">
        <f>S121*'Batt IN'!$G$15*'Batt IN'!$E$28*(1+'Batt IN'!$F$30)</f>
        <v>0</v>
      </c>
      <c r="Z121" s="33">
        <f>'Batt IN'!$G$16*365/12*(1+'Batt IN'!$F$30)</f>
        <v>1824.9999999999998</v>
      </c>
      <c r="AA121" s="33">
        <f>'Batt IN'!$G$17*'Batt IN'!$E$18*'Batt IN'!$G$18/12*(1+'Batt IN'!$F$30)</f>
        <v>1170</v>
      </c>
      <c r="AB121" s="33">
        <f>'Batt IN'!$G$19*'Batt IN'!$E$20*'Batt IN'!$G$20/12*(1+'Batt IN'!$F$30)</f>
        <v>150</v>
      </c>
      <c r="AC121" s="33">
        <f>'Batt IN'!$G$21*(1+'Batt IN'!$F$30)/12</f>
        <v>3500</v>
      </c>
      <c r="AD121" s="33">
        <f>'Batt IN'!$G$22*(1+'Batt IN'!$F$30)/12</f>
        <v>2500</v>
      </c>
      <c r="AE121" s="33">
        <f t="shared" si="32"/>
        <v>30366.783333333333</v>
      </c>
      <c r="AF121" s="33">
        <f>IF('PV IN'!$F$4="Battery Only",0,AE121*'Batt IN'!$E$29)</f>
        <v>25811.765833333331</v>
      </c>
      <c r="AG121" s="33">
        <f>PVCalcs!L121</f>
        <v>25811.765833333331</v>
      </c>
      <c r="AH121" s="33">
        <f t="shared" si="33"/>
        <v>4555.0175000000017</v>
      </c>
      <c r="AI121" s="33"/>
      <c r="AJ121" s="2">
        <f>IF(AND('Batt IN'!$D$53="Yes",$AL$1&gt;=1),IF($C121='Batt IN'!$H$54*12,-'Batt IN'!$F$54,0),0)</f>
        <v>0</v>
      </c>
      <c r="AK121" s="2">
        <f>IF(AND('Batt IN'!$D$53="Yes",$AL$1&gt;=2),IF($C121='Batt IN'!$H$55*12,-'Batt IN'!$F$55,0),0)</f>
        <v>0</v>
      </c>
      <c r="AL121" s="2">
        <f>IF(AND('Batt IN'!$D$53="Yes",$AL$1&gt;=3),IF($C121='Batt IN'!$H$56*12,-'Batt IN'!$F$56,0),0)</f>
        <v>0</v>
      </c>
      <c r="AM121" s="2">
        <f>IF(AND('Batt IN'!$D$53="Yes",$AL$1&gt;=4),IF($C121='Batt IN'!$H$57*12,-'Batt IN'!$F$57,0),0)</f>
        <v>0</v>
      </c>
      <c r="AN121" s="2">
        <f>IF(AND('Batt IN'!$D$53="Yes",$AL$1&gt;=5),IF($C121='Batt IN'!$H$58*12,-'Batt IN'!$F$58,0),0)</f>
        <v>0</v>
      </c>
      <c r="AO121" s="10">
        <f>IF(AND('Batt IN'!$D$44="YES",$C121&lt;='Batt IN'!$E$44*12),-'Batt IN'!$E$28*'Batt IN'!$E$42/12,0)</f>
        <v>0</v>
      </c>
      <c r="AP121" s="10">
        <f>IF(AND('Batt IN'!$D$46="YES",$C121&lt;='Batt IN'!$E$46*12),-'Batt IN'!$E$28*'Batt IN'!$E$45/12,0)</f>
        <v>0</v>
      </c>
      <c r="AR121" s="10">
        <f>BattLoan!M148</f>
        <v>0</v>
      </c>
      <c r="AS121" s="10">
        <f>'Batt IN'!$G$16*365/12*'Batt IN'!$E$16</f>
        <v>76.041666666666671</v>
      </c>
      <c r="AT121" s="10">
        <f>IF(AND('Batt IN'!$E$18&gt;0,'Batt IN'!$G$18&gt;0),'Batt IN'!$E$17*'Batt IN'!$G$17,0)</f>
        <v>119.44619999999999</v>
      </c>
      <c r="AU121" s="10">
        <f>IF(AND('Batt IN'!$E$20&gt;0,'Batt IN'!$G$20&gt;0),'Batt IN'!$E$19*'Batt IN'!$G$19,0)</f>
        <v>231</v>
      </c>
      <c r="AV121" s="10"/>
      <c r="AW121" s="10"/>
      <c r="AX121" s="10">
        <f>IF('Batt IN'!$E$11="Non-Taxable",Q121,0)</f>
        <v>11168.08</v>
      </c>
      <c r="AY121" s="10">
        <f>IF('Batt IN'!$E$11="Non-Taxable",'Batt IN'!$E$28/1000*'Batt IN'!$G$13*('Batt IN'!$E$13/12)*'Batt IN'!$E$12,0)</f>
        <v>244.42220833333334</v>
      </c>
      <c r="AZ121" s="10">
        <f>IF('Batt IN'!$E$11="Non-Taxable",$S121*'Batt IN'!$G$15*'Batt IN'!$E$28*'Batt IN'!$E$14/1000,0)</f>
        <v>0</v>
      </c>
      <c r="BA121" s="10">
        <f>IF('Batt IN'!$E$11="Non-Taxable",'Batt IN'!$E$21*'Batt IN'!$G$21/12,0)</f>
        <v>437.5</v>
      </c>
      <c r="BB121" s="10">
        <f>IF('Batt IN'!$E$11="Non-Taxable",'Batt IN'!$E$22*'Batt IN'!$G$22/12,0)</f>
        <v>1145.8333333333335</v>
      </c>
      <c r="BC121" s="10">
        <f>IF('Batt IN'!$E$11="Taxable",Q121,0)</f>
        <v>0</v>
      </c>
      <c r="BD121" s="10">
        <f>IF('Batt IN'!$E$11="Taxable",'Batt IN'!$E$28/1000*'Batt IN'!$G$13*('Batt IN'!$E$13/12)*'Batt IN'!$E$12,0)</f>
        <v>0</v>
      </c>
      <c r="BE121" s="10">
        <f>IF('Batt IN'!$E$11="Taxable",$S121*'Batt IN'!$G$15*'Batt IN'!$E$28*'Batt IN'!$E$14/1000,0)</f>
        <v>0</v>
      </c>
      <c r="BF121" s="10">
        <f>IF('Batt IN'!$E$11="Taxable",'Batt IN'!$E$21*'Batt IN'!$G$21/12,0)</f>
        <v>0</v>
      </c>
      <c r="BG121" s="10">
        <f>IF('Batt IN'!$E$11="Taxable",'Batt IN'!$E$22*'Batt IN'!$G$22/12,0)</f>
        <v>0</v>
      </c>
      <c r="BK121" s="10">
        <f>IF('Batt IN'!$N$18="Yes",-BattLoan!H149,-BattLoan!L149)</f>
        <v>0</v>
      </c>
      <c r="BL121" s="10">
        <f>IF('Batt IN'!$N$18="Yes",-BattLoan!F149,0)</f>
        <v>0</v>
      </c>
      <c r="BM121" s="10">
        <f>IF(AND('Batt IN'!$D$44="YES",$C121&lt;='Batt IN'!$E$44*12),0,-'Batt IN'!$E$28*'Batt IN'!$E$42/12)</f>
        <v>-83.333333333333329</v>
      </c>
      <c r="BN121" s="10">
        <f>IF(AND('Batt IN'!$D$46="YES",$C121&lt;='Batt IN'!$E$46*12),0,-'Batt IN'!$E$28*'Batt IN'!$E$45/12)</f>
        <v>-166.66666666666666</v>
      </c>
      <c r="BO121" s="2">
        <f>IF(AND('Batt IN'!$D$41="YES",BattCalcs!C121=ROUNDUP('Batt IN'!$H$41*12,)),-'Batt IN'!$E$41*'Batt IN'!$E$28,0)</f>
        <v>0</v>
      </c>
      <c r="BP121" s="2">
        <f>IF(AND('Batt IN'!$D$53="Yes",$AL$1&gt;=1),0,IF($C121='Batt IN'!$H$54*12,-'Batt IN'!$F$54,0))</f>
        <v>0</v>
      </c>
      <c r="BQ121" s="2">
        <f>IF(AND('Batt IN'!$D$53="Yes",$AL$1&gt;=2),0,IF($C121='Batt IN'!$H$55*12,-'Batt IN'!$F$55,0))</f>
        <v>0</v>
      </c>
      <c r="BR121" s="2">
        <f>IF(AND('Batt IN'!$D$53="Yes",$AL$1&gt;=3),0,IF($C121='Batt IN'!$H$56*12,-'Batt IN'!$F$56,0))</f>
        <v>0</v>
      </c>
      <c r="BS121" s="2">
        <f>IF(AND('Batt IN'!$D$53="Yes",$AL$1&gt;=4),0,IF($C121='Batt IN'!$H$57*12,-'Batt IN'!$F$57,0))</f>
        <v>0</v>
      </c>
      <c r="BT121" s="2">
        <f>IF(AND('Batt IN'!$D$53="Yes",$AL$1&gt;=5),0,IF($C121='Batt IN'!$H$58*12,-'Batt IN'!$F$58,0))</f>
        <v>0</v>
      </c>
      <c r="BU121" s="2">
        <f>-AH121*PVCalcs!F121</f>
        <v>-365.03601625122235</v>
      </c>
      <c r="BV121" s="2">
        <f>-'Batt IN'!$E$47</f>
        <v>-150</v>
      </c>
      <c r="BW121" s="2">
        <f>-'Batt IN'!$E$49</f>
        <v>-2250</v>
      </c>
      <c r="BX121" s="2">
        <f>IF('Batt IN'!$H$50="No",-(BC121*'Batt IN'!$E$50),-(BC121+BE121)*'Batt IN'!$E$50)</f>
        <v>0</v>
      </c>
      <c r="BY121" s="2">
        <f>IF(C121='Batt IN'!$H$43*12,-'Batt IN'!$E$43,0)</f>
        <v>0</v>
      </c>
      <c r="BZ121" s="38"/>
      <c r="CA121" s="10">
        <f t="shared" si="17"/>
        <v>13422.323408333334</v>
      </c>
      <c r="CB121" s="2">
        <f t="shared" si="21"/>
        <v>-3015.0360162512225</v>
      </c>
      <c r="CC121" s="45">
        <f t="shared" si="22"/>
        <v>10407.287392082111</v>
      </c>
      <c r="CD121" s="43"/>
      <c r="CE121" s="2">
        <f t="shared" si="18"/>
        <v>0</v>
      </c>
      <c r="CF121" s="2">
        <f t="shared" si="23"/>
        <v>-3015.0360162512225</v>
      </c>
      <c r="CG121" s="2"/>
      <c r="CH121" s="2">
        <f t="shared" si="24"/>
        <v>-3015.0360162512225</v>
      </c>
      <c r="CI121" s="45">
        <f>-CH121*'Batt IN'!$E$7</f>
        <v>633.15756341275664</v>
      </c>
      <c r="CJ121" s="48"/>
      <c r="CK121" s="45">
        <f>IF('Batt IN'!$F$4="PV Only",0,IF(C121&gt;'Batt IN'!$H$43*12,0,CC121+CI121))</f>
        <v>0</v>
      </c>
      <c r="CM121" s="10">
        <f t="shared" si="25"/>
        <v>0</v>
      </c>
      <c r="CN121" s="2">
        <f>CK121/(1+('Batt IN'!$G$8))^(C121)</f>
        <v>0</v>
      </c>
      <c r="CO121" s="2">
        <f>IF(C121&lt;='Batt IN'!$O$30*12,CN121+CO120,NA())</f>
        <v>0</v>
      </c>
      <c r="CQ121" s="2">
        <f>CK121/((1+('Batt IN'!$E$8/12))^BattCalcs!C121)</f>
        <v>0</v>
      </c>
      <c r="CS121" s="10">
        <f t="shared" si="26"/>
        <v>-3015.0360162512225</v>
      </c>
      <c r="CT121" s="10">
        <f t="shared" si="27"/>
        <v>0</v>
      </c>
      <c r="CU121" s="10">
        <f t="shared" si="28"/>
        <v>-3015.0360162512225</v>
      </c>
      <c r="CV121" s="10">
        <f t="shared" si="29"/>
        <v>-3015.0360162512225</v>
      </c>
      <c r="CW121" s="2">
        <f t="shared" si="30"/>
        <v>0</v>
      </c>
      <c r="CX121" s="2">
        <f>-(SUM(CV121:CW121)*'PV IN'!$E$8)</f>
        <v>633.15756341275664</v>
      </c>
      <c r="CY121" s="2">
        <f t="shared" si="31"/>
        <v>-2381.8784528384658</v>
      </c>
      <c r="CZ121" s="2">
        <f>IF(C121&lt;='Batt IN'!$H$43*12,CY121/(1+('PV IN'!$G$9))^(C121),0)</f>
        <v>-1480.2120308808562</v>
      </c>
      <c r="DA121" s="33">
        <f>IF(C121&lt;='Batt IN'!$H$43*12,AE121,0)</f>
        <v>30366.783333333333</v>
      </c>
    </row>
    <row r="122" spans="1:105" x14ac:dyDescent="0.25">
      <c r="A122">
        <f>IF(C122&lt;='Batt IN'!$H$43*12,C122,"")</f>
        <v>118</v>
      </c>
      <c r="C122">
        <v>118</v>
      </c>
      <c r="D122" s="21">
        <v>730</v>
      </c>
      <c r="E122" s="1">
        <f>1-'Batt IN'!$E$31</f>
        <v>2.0000000000000018E-2</v>
      </c>
      <c r="F122" s="12">
        <f>('Batt IN'!$E$33*365)/8760</f>
        <v>0</v>
      </c>
      <c r="G122" s="22">
        <f>'Batt IN'!$E$32/8760</f>
        <v>5.7077625570776253E-3</v>
      </c>
      <c r="H122" s="22">
        <f>'Batt IN'!$E$13/8760</f>
        <v>5.5936073059360729E-3</v>
      </c>
      <c r="I122" s="23">
        <f>IF(C122&lt;='Batt IN'!$G$14*12,'Batt IN'!$E$15/8760*'Batt IN'!$G$15,0)</f>
        <v>0</v>
      </c>
      <c r="J122" s="12">
        <f>Z122/'Batt IN'!$E$27/730</f>
        <v>2.4999999999999996E-3</v>
      </c>
      <c r="K122" s="23">
        <f>AA122/'Batt IN'!$E$27/730</f>
        <v>1.6027397260273972E-3</v>
      </c>
      <c r="L122" s="23">
        <f>AB122/'Batt IN'!$E$27/730</f>
        <v>2.0547945205479451E-4</v>
      </c>
      <c r="M122" s="23">
        <f>AC122/'Batt IN'!$E$27/730</f>
        <v>4.7945205479452057E-3</v>
      </c>
      <c r="N122" s="23">
        <f>AD122/'Batt IN'!$E$27/730</f>
        <v>3.4246575342465752E-3</v>
      </c>
      <c r="O122" s="12">
        <f t="shared" si="19"/>
        <v>4.3828767123287697E-2</v>
      </c>
      <c r="P122" s="21">
        <f t="shared" si="20"/>
        <v>698.005</v>
      </c>
      <c r="Q122" s="2">
        <f>IF('Batt IN'!$E$27*'Batt IN'!$E$24&lt;='Batt IN'!$E$28,(('Batt IN'!$E$23*'Batt IN'!$E$27*'Batt IN'!$E$24)/1000)*P122,(('Batt IN'!$E$23*'Batt IN'!$E$28*'Batt IN'!$E$24)/1000)*P122)</f>
        <v>11168.08</v>
      </c>
      <c r="R122" s="2"/>
      <c r="S122" s="77">
        <f>IF(C122&lt;='Batt IN'!$G$14*12,'Batt IN'!$E$15/12,0)</f>
        <v>0</v>
      </c>
      <c r="T122" s="77"/>
      <c r="U122" s="80">
        <f>'Batt IN'!$E$28*('Batt IN'!$G$24/24)*730*(1-O122)</f>
        <v>81433.916666666657</v>
      </c>
      <c r="V122" s="78">
        <f>U122*'Batt IN'!$F$30</f>
        <v>16286.783333333333</v>
      </c>
      <c r="W122" s="78">
        <f>'Batt IN'!$E$28*'Batt IN'!$G$32*('Batt IN'!$E$32/12)*(1+'Batt IN'!$F$30)</f>
        <v>1750.0000000000002</v>
      </c>
      <c r="X122" s="78">
        <f>'Batt IN'!$E$28*'Batt IN'!$G$13*('Batt IN'!$E$13/12)*(1+'Batt IN'!$F$30)</f>
        <v>3184.9999999999995</v>
      </c>
      <c r="Y122" s="33">
        <f>S122*'Batt IN'!$G$15*'Batt IN'!$E$28*(1+'Batt IN'!$F$30)</f>
        <v>0</v>
      </c>
      <c r="Z122" s="33">
        <f>'Batt IN'!$G$16*365/12*(1+'Batt IN'!$F$30)</f>
        <v>1824.9999999999998</v>
      </c>
      <c r="AA122" s="33">
        <f>'Batt IN'!$G$17*'Batt IN'!$E$18*'Batt IN'!$G$18/12*(1+'Batt IN'!$F$30)</f>
        <v>1170</v>
      </c>
      <c r="AB122" s="33">
        <f>'Batt IN'!$G$19*'Batt IN'!$E$20*'Batt IN'!$G$20/12*(1+'Batt IN'!$F$30)</f>
        <v>150</v>
      </c>
      <c r="AC122" s="33">
        <f>'Batt IN'!$G$21*(1+'Batt IN'!$F$30)/12</f>
        <v>3500</v>
      </c>
      <c r="AD122" s="33">
        <f>'Batt IN'!$G$22*(1+'Batt IN'!$F$30)/12</f>
        <v>2500</v>
      </c>
      <c r="AE122" s="33">
        <f t="shared" si="32"/>
        <v>30366.783333333333</v>
      </c>
      <c r="AF122" s="33">
        <f>IF('PV IN'!$F$4="Battery Only",0,AE122*'Batt IN'!$E$29)</f>
        <v>25811.765833333331</v>
      </c>
      <c r="AG122" s="33">
        <f>PVCalcs!L122</f>
        <v>25811.765833333331</v>
      </c>
      <c r="AH122" s="33">
        <f t="shared" si="33"/>
        <v>4555.0175000000017</v>
      </c>
      <c r="AI122" s="33"/>
      <c r="AJ122" s="2">
        <f>IF(AND('Batt IN'!$D$53="Yes",$AL$1&gt;=1),IF($C122='Batt IN'!$H$54*12,-'Batt IN'!$F$54,0),0)</f>
        <v>0</v>
      </c>
      <c r="AK122" s="2">
        <f>IF(AND('Batt IN'!$D$53="Yes",$AL$1&gt;=2),IF($C122='Batt IN'!$H$55*12,-'Batt IN'!$F$55,0),0)</f>
        <v>0</v>
      </c>
      <c r="AL122" s="2">
        <f>IF(AND('Batt IN'!$D$53="Yes",$AL$1&gt;=3),IF($C122='Batt IN'!$H$56*12,-'Batt IN'!$F$56,0),0)</f>
        <v>0</v>
      </c>
      <c r="AM122" s="2">
        <f>IF(AND('Batt IN'!$D$53="Yes",$AL$1&gt;=4),IF($C122='Batt IN'!$H$57*12,-'Batt IN'!$F$57,0),0)</f>
        <v>0</v>
      </c>
      <c r="AN122" s="2">
        <f>IF(AND('Batt IN'!$D$53="Yes",$AL$1&gt;=5),IF($C122='Batt IN'!$H$58*12,-'Batt IN'!$F$58,0),0)</f>
        <v>0</v>
      </c>
      <c r="AO122" s="10">
        <f>IF(AND('Batt IN'!$D$44="YES",$C122&lt;='Batt IN'!$E$44*12),-'Batt IN'!$E$28*'Batt IN'!$E$42/12,0)</f>
        <v>0</v>
      </c>
      <c r="AP122" s="10">
        <f>IF(AND('Batt IN'!$D$46="YES",$C122&lt;='Batt IN'!$E$46*12),-'Batt IN'!$E$28*'Batt IN'!$E$45/12,0)</f>
        <v>0</v>
      </c>
      <c r="AR122" s="10">
        <f>BattLoan!M149</f>
        <v>0</v>
      </c>
      <c r="AS122" s="10">
        <f>'Batt IN'!$G$16*365/12*'Batt IN'!$E$16</f>
        <v>76.041666666666671</v>
      </c>
      <c r="AT122" s="10">
        <f>IF(AND('Batt IN'!$E$18&gt;0,'Batt IN'!$G$18&gt;0),'Batt IN'!$E$17*'Batt IN'!$G$17,0)</f>
        <v>119.44619999999999</v>
      </c>
      <c r="AU122" s="10">
        <f>IF(AND('Batt IN'!$E$20&gt;0,'Batt IN'!$G$20&gt;0),'Batt IN'!$E$19*'Batt IN'!$G$19,0)</f>
        <v>231</v>
      </c>
      <c r="AV122" s="10"/>
      <c r="AW122" s="10"/>
      <c r="AX122" s="10">
        <f>IF('Batt IN'!$E$11="Non-Taxable",Q122,0)</f>
        <v>11168.08</v>
      </c>
      <c r="AY122" s="10">
        <f>IF('Batt IN'!$E$11="Non-Taxable",'Batt IN'!$E$28/1000*'Batt IN'!$G$13*('Batt IN'!$E$13/12)*'Batt IN'!$E$12,0)</f>
        <v>244.42220833333334</v>
      </c>
      <c r="AZ122" s="10">
        <f>IF('Batt IN'!$E$11="Non-Taxable",$S122*'Batt IN'!$G$15*'Batt IN'!$E$28*'Batt IN'!$E$14/1000,0)</f>
        <v>0</v>
      </c>
      <c r="BA122" s="10">
        <f>IF('Batt IN'!$E$11="Non-Taxable",'Batt IN'!$E$21*'Batt IN'!$G$21/12,0)</f>
        <v>437.5</v>
      </c>
      <c r="BB122" s="10">
        <f>IF('Batt IN'!$E$11="Non-Taxable",'Batt IN'!$E$22*'Batt IN'!$G$22/12,0)</f>
        <v>1145.8333333333335</v>
      </c>
      <c r="BC122" s="10">
        <f>IF('Batt IN'!$E$11="Taxable",Q122,0)</f>
        <v>0</v>
      </c>
      <c r="BD122" s="10">
        <f>IF('Batt IN'!$E$11="Taxable",'Batt IN'!$E$28/1000*'Batt IN'!$G$13*('Batt IN'!$E$13/12)*'Batt IN'!$E$12,0)</f>
        <v>0</v>
      </c>
      <c r="BE122" s="10">
        <f>IF('Batt IN'!$E$11="Taxable",$S122*'Batt IN'!$G$15*'Batt IN'!$E$28*'Batt IN'!$E$14/1000,0)</f>
        <v>0</v>
      </c>
      <c r="BF122" s="10">
        <f>IF('Batt IN'!$E$11="Taxable",'Batt IN'!$E$21*'Batt IN'!$G$21/12,0)</f>
        <v>0</v>
      </c>
      <c r="BG122" s="10">
        <f>IF('Batt IN'!$E$11="Taxable",'Batt IN'!$E$22*'Batt IN'!$G$22/12,0)</f>
        <v>0</v>
      </c>
      <c r="BK122" s="10">
        <f>IF('Batt IN'!$N$18="Yes",-BattLoan!H150,-BattLoan!L150)</f>
        <v>0</v>
      </c>
      <c r="BL122" s="10">
        <f>IF('Batt IN'!$N$18="Yes",-BattLoan!F150,0)</f>
        <v>0</v>
      </c>
      <c r="BM122" s="10">
        <f>IF(AND('Batt IN'!$D$44="YES",$C122&lt;='Batt IN'!$E$44*12),0,-'Batt IN'!$E$28*'Batt IN'!$E$42/12)</f>
        <v>-83.333333333333329</v>
      </c>
      <c r="BN122" s="10">
        <f>IF(AND('Batt IN'!$D$46="YES",$C122&lt;='Batt IN'!$E$46*12),0,-'Batt IN'!$E$28*'Batt IN'!$E$45/12)</f>
        <v>-166.66666666666666</v>
      </c>
      <c r="BO122" s="2">
        <f>IF(AND('Batt IN'!$D$41="YES",BattCalcs!C122=ROUNDUP('Batt IN'!$H$41*12,)),-'Batt IN'!$E$41*'Batt IN'!$E$28,0)</f>
        <v>0</v>
      </c>
      <c r="BP122" s="2">
        <f>IF(AND('Batt IN'!$D$53="Yes",$AL$1&gt;=1),0,IF($C122='Batt IN'!$H$54*12,-'Batt IN'!$F$54,0))</f>
        <v>0</v>
      </c>
      <c r="BQ122" s="2">
        <f>IF(AND('Batt IN'!$D$53="Yes",$AL$1&gt;=2),0,IF($C122='Batt IN'!$H$55*12,-'Batt IN'!$F$55,0))</f>
        <v>0</v>
      </c>
      <c r="BR122" s="2">
        <f>IF(AND('Batt IN'!$D$53="Yes",$AL$1&gt;=3),0,IF($C122='Batt IN'!$H$56*12,-'Batt IN'!$F$56,0))</f>
        <v>0</v>
      </c>
      <c r="BS122" s="2">
        <f>IF(AND('Batt IN'!$D$53="Yes",$AL$1&gt;=4),0,IF($C122='Batt IN'!$H$57*12,-'Batt IN'!$F$57,0))</f>
        <v>0</v>
      </c>
      <c r="BT122" s="2">
        <f>IF(AND('Batt IN'!$D$53="Yes",$AL$1&gt;=5),0,IF($C122='Batt IN'!$H$58*12,-'Batt IN'!$F$58,0))</f>
        <v>0</v>
      </c>
      <c r="BU122" s="2">
        <f>-AH122*PVCalcs!F122</f>
        <v>-365.03601625122235</v>
      </c>
      <c r="BV122" s="2">
        <f>-'Batt IN'!$E$47</f>
        <v>-150</v>
      </c>
      <c r="BW122" s="2">
        <f>-'Batt IN'!$E$49</f>
        <v>-2250</v>
      </c>
      <c r="BX122" s="2">
        <f>IF('Batt IN'!$H$50="No",-(BC122*'Batt IN'!$E$50),-(BC122+BE122)*'Batt IN'!$E$50)</f>
        <v>0</v>
      </c>
      <c r="BY122" s="2">
        <f>IF(C122='Batt IN'!$H$43*12,-'Batt IN'!$E$43,0)</f>
        <v>0</v>
      </c>
      <c r="BZ122" s="38"/>
      <c r="CA122" s="10">
        <f t="shared" si="17"/>
        <v>13422.323408333334</v>
      </c>
      <c r="CB122" s="2">
        <f t="shared" si="21"/>
        <v>-3015.0360162512225</v>
      </c>
      <c r="CC122" s="45">
        <f t="shared" si="22"/>
        <v>10407.287392082111</v>
      </c>
      <c r="CD122" s="43"/>
      <c r="CE122" s="2">
        <f t="shared" si="18"/>
        <v>0</v>
      </c>
      <c r="CF122" s="2">
        <f t="shared" si="23"/>
        <v>-3015.0360162512225</v>
      </c>
      <c r="CG122" s="2"/>
      <c r="CH122" s="2">
        <f t="shared" si="24"/>
        <v>-3015.0360162512225</v>
      </c>
      <c r="CI122" s="45">
        <f>-CH122*'Batt IN'!$E$7</f>
        <v>633.15756341275664</v>
      </c>
      <c r="CJ122" s="48"/>
      <c r="CK122" s="45">
        <f>IF('Batt IN'!$F$4="PV Only",0,IF(C122&gt;'Batt IN'!$H$43*12,0,CC122+CI122))</f>
        <v>0</v>
      </c>
      <c r="CM122" s="10">
        <f t="shared" si="25"/>
        <v>0</v>
      </c>
      <c r="CN122" s="2">
        <f>CK122/(1+('Batt IN'!$G$8))^(C122)</f>
        <v>0</v>
      </c>
      <c r="CO122" s="2">
        <f>IF(C122&lt;='Batt IN'!$O$30*12,CN122+CO121,NA())</f>
        <v>0</v>
      </c>
      <c r="CQ122" s="2">
        <f>CK122/((1+('Batt IN'!$E$8/12))^BattCalcs!C122)</f>
        <v>0</v>
      </c>
      <c r="CS122" s="10">
        <f t="shared" si="26"/>
        <v>-3015.0360162512225</v>
      </c>
      <c r="CT122" s="10">
        <f t="shared" si="27"/>
        <v>0</v>
      </c>
      <c r="CU122" s="10">
        <f t="shared" si="28"/>
        <v>-3015.0360162512225</v>
      </c>
      <c r="CV122" s="10">
        <f t="shared" si="29"/>
        <v>-3015.0360162512225</v>
      </c>
      <c r="CW122" s="2">
        <f t="shared" si="30"/>
        <v>0</v>
      </c>
      <c r="CX122" s="2">
        <f>-(SUM(CV122:CW122)*'PV IN'!$E$8)</f>
        <v>633.15756341275664</v>
      </c>
      <c r="CY122" s="2">
        <f t="shared" si="31"/>
        <v>-2381.8784528384658</v>
      </c>
      <c r="CZ122" s="2">
        <f>IF(C122&lt;='Batt IN'!$H$43*12,CY122/(1+('PV IN'!$G$9))^(C122),0)</f>
        <v>-1474.2059334254918</v>
      </c>
      <c r="DA122" s="33">
        <f>IF(C122&lt;='Batt IN'!$H$43*12,AE122,0)</f>
        <v>30366.783333333333</v>
      </c>
    </row>
    <row r="123" spans="1:105" x14ac:dyDescent="0.25">
      <c r="A123">
        <f>IF(C123&lt;='Batt IN'!$H$43*12,C123,"")</f>
        <v>119</v>
      </c>
      <c r="C123">
        <v>119</v>
      </c>
      <c r="D123" s="21">
        <v>730</v>
      </c>
      <c r="E123" s="1">
        <f>1-'Batt IN'!$E$31</f>
        <v>2.0000000000000018E-2</v>
      </c>
      <c r="F123" s="12">
        <f>('Batt IN'!$E$33*365)/8760</f>
        <v>0</v>
      </c>
      <c r="G123" s="22">
        <f>'Batt IN'!$E$32/8760</f>
        <v>5.7077625570776253E-3</v>
      </c>
      <c r="H123" s="22">
        <f>'Batt IN'!$E$13/8760</f>
        <v>5.5936073059360729E-3</v>
      </c>
      <c r="I123" s="23">
        <f>IF(C123&lt;='Batt IN'!$G$14*12,'Batt IN'!$E$15/8760*'Batt IN'!$G$15,0)</f>
        <v>0</v>
      </c>
      <c r="J123" s="12">
        <f>Z123/'Batt IN'!$E$27/730</f>
        <v>2.4999999999999996E-3</v>
      </c>
      <c r="K123" s="23">
        <f>AA123/'Batt IN'!$E$27/730</f>
        <v>1.6027397260273972E-3</v>
      </c>
      <c r="L123" s="23">
        <f>AB123/'Batt IN'!$E$27/730</f>
        <v>2.0547945205479451E-4</v>
      </c>
      <c r="M123" s="23">
        <f>AC123/'Batt IN'!$E$27/730</f>
        <v>4.7945205479452057E-3</v>
      </c>
      <c r="N123" s="23">
        <f>AD123/'Batt IN'!$E$27/730</f>
        <v>3.4246575342465752E-3</v>
      </c>
      <c r="O123" s="12">
        <f t="shared" si="19"/>
        <v>4.3828767123287697E-2</v>
      </c>
      <c r="P123" s="21">
        <f t="shared" si="20"/>
        <v>698.005</v>
      </c>
      <c r="Q123" s="2">
        <f>IF('Batt IN'!$E$27*'Batt IN'!$E$24&lt;='Batt IN'!$E$28,(('Batt IN'!$E$23*'Batt IN'!$E$27*'Batt IN'!$E$24)/1000)*P123,(('Batt IN'!$E$23*'Batt IN'!$E$28*'Batt IN'!$E$24)/1000)*P123)</f>
        <v>11168.08</v>
      </c>
      <c r="R123" s="2"/>
      <c r="S123" s="77">
        <f>IF(C123&lt;='Batt IN'!$G$14*12,'Batt IN'!$E$15/12,0)</f>
        <v>0</v>
      </c>
      <c r="T123" s="77"/>
      <c r="U123" s="80">
        <f>'Batt IN'!$E$28*('Batt IN'!$G$24/24)*730*(1-O123)</f>
        <v>81433.916666666657</v>
      </c>
      <c r="V123" s="78">
        <f>U123*'Batt IN'!$F$30</f>
        <v>16286.783333333333</v>
      </c>
      <c r="W123" s="78">
        <f>'Batt IN'!$E$28*'Batt IN'!$G$32*('Batt IN'!$E$32/12)*(1+'Batt IN'!$F$30)</f>
        <v>1750.0000000000002</v>
      </c>
      <c r="X123" s="78">
        <f>'Batt IN'!$E$28*'Batt IN'!$G$13*('Batt IN'!$E$13/12)*(1+'Batt IN'!$F$30)</f>
        <v>3184.9999999999995</v>
      </c>
      <c r="Y123" s="33">
        <f>S123*'Batt IN'!$G$15*'Batt IN'!$E$28*(1+'Batt IN'!$F$30)</f>
        <v>0</v>
      </c>
      <c r="Z123" s="33">
        <f>'Batt IN'!$G$16*365/12*(1+'Batt IN'!$F$30)</f>
        <v>1824.9999999999998</v>
      </c>
      <c r="AA123" s="33">
        <f>'Batt IN'!$G$17*'Batt IN'!$E$18*'Batt IN'!$G$18/12*(1+'Batt IN'!$F$30)</f>
        <v>1170</v>
      </c>
      <c r="AB123" s="33">
        <f>'Batt IN'!$G$19*'Batt IN'!$E$20*'Batt IN'!$G$20/12*(1+'Batt IN'!$F$30)</f>
        <v>150</v>
      </c>
      <c r="AC123" s="33">
        <f>'Batt IN'!$G$21*(1+'Batt IN'!$F$30)/12</f>
        <v>3500</v>
      </c>
      <c r="AD123" s="33">
        <f>'Batt IN'!$G$22*(1+'Batt IN'!$F$30)/12</f>
        <v>2500</v>
      </c>
      <c r="AE123" s="33">
        <f t="shared" si="32"/>
        <v>30366.783333333333</v>
      </c>
      <c r="AF123" s="33">
        <f>IF('PV IN'!$F$4="Battery Only",0,AE123*'Batt IN'!$E$29)</f>
        <v>25811.765833333331</v>
      </c>
      <c r="AG123" s="33">
        <f>PVCalcs!L123</f>
        <v>25811.765833333331</v>
      </c>
      <c r="AH123" s="33">
        <f t="shared" si="33"/>
        <v>4555.0175000000017</v>
      </c>
      <c r="AI123" s="33"/>
      <c r="AJ123" s="2">
        <f>IF(AND('Batt IN'!$D$53="Yes",$AL$1&gt;=1),IF($C123='Batt IN'!$H$54*12,-'Batt IN'!$F$54,0),0)</f>
        <v>0</v>
      </c>
      <c r="AK123" s="2">
        <f>IF(AND('Batt IN'!$D$53="Yes",$AL$1&gt;=2),IF($C123='Batt IN'!$H$55*12,-'Batt IN'!$F$55,0),0)</f>
        <v>0</v>
      </c>
      <c r="AL123" s="2">
        <f>IF(AND('Batt IN'!$D$53="Yes",$AL$1&gt;=3),IF($C123='Batt IN'!$H$56*12,-'Batt IN'!$F$56,0),0)</f>
        <v>0</v>
      </c>
      <c r="AM123" s="2">
        <f>IF(AND('Batt IN'!$D$53="Yes",$AL$1&gt;=4),IF($C123='Batt IN'!$H$57*12,-'Batt IN'!$F$57,0),0)</f>
        <v>0</v>
      </c>
      <c r="AN123" s="2">
        <f>IF(AND('Batt IN'!$D$53="Yes",$AL$1&gt;=5),IF($C123='Batt IN'!$H$58*12,-'Batt IN'!$F$58,0),0)</f>
        <v>0</v>
      </c>
      <c r="AO123" s="10">
        <f>IF(AND('Batt IN'!$D$44="YES",$C123&lt;='Batt IN'!$E$44*12),-'Batt IN'!$E$28*'Batt IN'!$E$42/12,0)</f>
        <v>0</v>
      </c>
      <c r="AP123" s="10">
        <f>IF(AND('Batt IN'!$D$46="YES",$C123&lt;='Batt IN'!$E$46*12),-'Batt IN'!$E$28*'Batt IN'!$E$45/12,0)</f>
        <v>0</v>
      </c>
      <c r="AR123" s="10">
        <f>BattLoan!M150</f>
        <v>0</v>
      </c>
      <c r="AS123" s="10">
        <f>'Batt IN'!$G$16*365/12*'Batt IN'!$E$16</f>
        <v>76.041666666666671</v>
      </c>
      <c r="AT123" s="10">
        <f>IF(AND('Batt IN'!$E$18&gt;0,'Batt IN'!$G$18&gt;0),'Batt IN'!$E$17*'Batt IN'!$G$17,0)</f>
        <v>119.44619999999999</v>
      </c>
      <c r="AU123" s="10">
        <f>IF(AND('Batt IN'!$E$20&gt;0,'Batt IN'!$G$20&gt;0),'Batt IN'!$E$19*'Batt IN'!$G$19,0)</f>
        <v>231</v>
      </c>
      <c r="AV123" s="10"/>
      <c r="AW123" s="10"/>
      <c r="AX123" s="10">
        <f>IF('Batt IN'!$E$11="Non-Taxable",Q123,0)</f>
        <v>11168.08</v>
      </c>
      <c r="AY123" s="10">
        <f>IF('Batt IN'!$E$11="Non-Taxable",'Batt IN'!$E$28/1000*'Batt IN'!$G$13*('Batt IN'!$E$13/12)*'Batt IN'!$E$12,0)</f>
        <v>244.42220833333334</v>
      </c>
      <c r="AZ123" s="10">
        <f>IF('Batt IN'!$E$11="Non-Taxable",$S123*'Batt IN'!$G$15*'Batt IN'!$E$28*'Batt IN'!$E$14/1000,0)</f>
        <v>0</v>
      </c>
      <c r="BA123" s="10">
        <f>IF('Batt IN'!$E$11="Non-Taxable",'Batt IN'!$E$21*'Batt IN'!$G$21/12,0)</f>
        <v>437.5</v>
      </c>
      <c r="BB123" s="10">
        <f>IF('Batt IN'!$E$11="Non-Taxable",'Batt IN'!$E$22*'Batt IN'!$G$22/12,0)</f>
        <v>1145.8333333333335</v>
      </c>
      <c r="BC123" s="10">
        <f>IF('Batt IN'!$E$11="Taxable",Q123,0)</f>
        <v>0</v>
      </c>
      <c r="BD123" s="10">
        <f>IF('Batt IN'!$E$11="Taxable",'Batt IN'!$E$28/1000*'Batt IN'!$G$13*('Batt IN'!$E$13/12)*'Batt IN'!$E$12,0)</f>
        <v>0</v>
      </c>
      <c r="BE123" s="10">
        <f>IF('Batt IN'!$E$11="Taxable",$S123*'Batt IN'!$G$15*'Batt IN'!$E$28*'Batt IN'!$E$14/1000,0)</f>
        <v>0</v>
      </c>
      <c r="BF123" s="10">
        <f>IF('Batt IN'!$E$11="Taxable",'Batt IN'!$E$21*'Batt IN'!$G$21/12,0)</f>
        <v>0</v>
      </c>
      <c r="BG123" s="10">
        <f>IF('Batt IN'!$E$11="Taxable",'Batt IN'!$E$22*'Batt IN'!$G$22/12,0)</f>
        <v>0</v>
      </c>
      <c r="BK123" s="10">
        <f>IF('Batt IN'!$N$18="Yes",-BattLoan!H151,-BattLoan!L151)</f>
        <v>0</v>
      </c>
      <c r="BL123" s="10">
        <f>IF('Batt IN'!$N$18="Yes",-BattLoan!F151,0)</f>
        <v>0</v>
      </c>
      <c r="BM123" s="10">
        <f>IF(AND('Batt IN'!$D$44="YES",$C123&lt;='Batt IN'!$E$44*12),0,-'Batt IN'!$E$28*'Batt IN'!$E$42/12)</f>
        <v>-83.333333333333329</v>
      </c>
      <c r="BN123" s="10">
        <f>IF(AND('Batt IN'!$D$46="YES",$C123&lt;='Batt IN'!$E$46*12),0,-'Batt IN'!$E$28*'Batt IN'!$E$45/12)</f>
        <v>-166.66666666666666</v>
      </c>
      <c r="BO123" s="2">
        <f>IF(AND('Batt IN'!$D$41="YES",BattCalcs!C123=ROUNDUP('Batt IN'!$H$41*12,)),-'Batt IN'!$E$41*'Batt IN'!$E$28,0)</f>
        <v>0</v>
      </c>
      <c r="BP123" s="2">
        <f>IF(AND('Batt IN'!$D$53="Yes",$AL$1&gt;=1),0,IF($C123='Batt IN'!$H$54*12,-'Batt IN'!$F$54,0))</f>
        <v>0</v>
      </c>
      <c r="BQ123" s="2">
        <f>IF(AND('Batt IN'!$D$53="Yes",$AL$1&gt;=2),0,IF($C123='Batt IN'!$H$55*12,-'Batt IN'!$F$55,0))</f>
        <v>0</v>
      </c>
      <c r="BR123" s="2">
        <f>IF(AND('Batt IN'!$D$53="Yes",$AL$1&gt;=3),0,IF($C123='Batt IN'!$H$56*12,-'Batt IN'!$F$56,0))</f>
        <v>0</v>
      </c>
      <c r="BS123" s="2">
        <f>IF(AND('Batt IN'!$D$53="Yes",$AL$1&gt;=4),0,IF($C123='Batt IN'!$H$57*12,-'Batt IN'!$F$57,0))</f>
        <v>0</v>
      </c>
      <c r="BT123" s="2">
        <f>IF(AND('Batt IN'!$D$53="Yes",$AL$1&gt;=5),0,IF($C123='Batt IN'!$H$58*12,-'Batt IN'!$F$58,0))</f>
        <v>0</v>
      </c>
      <c r="BU123" s="2">
        <f>-AH123*PVCalcs!F123</f>
        <v>-365.03601625122235</v>
      </c>
      <c r="BV123" s="2">
        <f>-'Batt IN'!$E$47</f>
        <v>-150</v>
      </c>
      <c r="BW123" s="2">
        <f>-'Batt IN'!$E$49</f>
        <v>-2250</v>
      </c>
      <c r="BX123" s="2">
        <f>IF('Batt IN'!$H$50="No",-(BC123*'Batt IN'!$E$50),-(BC123+BE123)*'Batt IN'!$E$50)</f>
        <v>0</v>
      </c>
      <c r="BY123" s="2">
        <f>IF(C123='Batt IN'!$H$43*12,-'Batt IN'!$E$43,0)</f>
        <v>0</v>
      </c>
      <c r="BZ123" s="38"/>
      <c r="CA123" s="10">
        <f t="shared" si="17"/>
        <v>13422.323408333334</v>
      </c>
      <c r="CB123" s="2">
        <f t="shared" si="21"/>
        <v>-3015.0360162512225</v>
      </c>
      <c r="CC123" s="45">
        <f t="shared" si="22"/>
        <v>10407.287392082111</v>
      </c>
      <c r="CD123" s="43"/>
      <c r="CE123" s="2">
        <f t="shared" si="18"/>
        <v>0</v>
      </c>
      <c r="CF123" s="2">
        <f t="shared" si="23"/>
        <v>-3015.0360162512225</v>
      </c>
      <c r="CG123" s="2"/>
      <c r="CH123" s="2">
        <f t="shared" si="24"/>
        <v>-3015.0360162512225</v>
      </c>
      <c r="CI123" s="45">
        <f>-CH123*'Batt IN'!$E$7</f>
        <v>633.15756341275664</v>
      </c>
      <c r="CJ123" s="48"/>
      <c r="CK123" s="45">
        <f>IF('Batt IN'!$F$4="PV Only",0,IF(C123&gt;'Batt IN'!$H$43*12,0,CC123+CI123))</f>
        <v>0</v>
      </c>
      <c r="CM123" s="10">
        <f t="shared" si="25"/>
        <v>0</v>
      </c>
      <c r="CN123" s="2">
        <f>CK123/(1+('Batt IN'!$G$8))^(C123)</f>
        <v>0</v>
      </c>
      <c r="CO123" s="2">
        <f>IF(C123&lt;='Batt IN'!$O$30*12,CN123+CO122,NA())</f>
        <v>0</v>
      </c>
      <c r="CQ123" s="2">
        <f>CK123/((1+('Batt IN'!$E$8/12))^BattCalcs!C123)</f>
        <v>0</v>
      </c>
      <c r="CS123" s="10">
        <f t="shared" si="26"/>
        <v>-3015.0360162512225</v>
      </c>
      <c r="CT123" s="10">
        <f t="shared" si="27"/>
        <v>0</v>
      </c>
      <c r="CU123" s="10">
        <f t="shared" si="28"/>
        <v>-3015.0360162512225</v>
      </c>
      <c r="CV123" s="10">
        <f t="shared" si="29"/>
        <v>-3015.0360162512225</v>
      </c>
      <c r="CW123" s="2">
        <f t="shared" si="30"/>
        <v>0</v>
      </c>
      <c r="CX123" s="2">
        <f>-(SUM(CV123:CW123)*'PV IN'!$E$8)</f>
        <v>633.15756341275664</v>
      </c>
      <c r="CY123" s="2">
        <f t="shared" si="31"/>
        <v>-2381.8784528384658</v>
      </c>
      <c r="CZ123" s="2">
        <f>IF(C123&lt;='Batt IN'!$H$43*12,CY123/(1+('PV IN'!$G$9))^(C123),0)</f>
        <v>-1468.2242062670111</v>
      </c>
      <c r="DA123" s="33">
        <f>IF(C123&lt;='Batt IN'!$H$43*12,AE123,0)</f>
        <v>30366.783333333333</v>
      </c>
    </row>
    <row r="124" spans="1:105" x14ac:dyDescent="0.25">
      <c r="A124">
        <f>IF(C124&lt;='Batt IN'!$H$43*12,C124,"")</f>
        <v>120</v>
      </c>
      <c r="B124">
        <v>10</v>
      </c>
      <c r="C124">
        <v>120</v>
      </c>
      <c r="D124" s="21">
        <v>730</v>
      </c>
      <c r="E124" s="1">
        <f>1-'Batt IN'!$E$31</f>
        <v>2.0000000000000018E-2</v>
      </c>
      <c r="F124" s="12">
        <f>('Batt IN'!$E$33*365)/8760</f>
        <v>0</v>
      </c>
      <c r="G124" s="22">
        <f>'Batt IN'!$E$32/8760</f>
        <v>5.7077625570776253E-3</v>
      </c>
      <c r="H124" s="22">
        <f>'Batt IN'!$E$13/8760</f>
        <v>5.5936073059360729E-3</v>
      </c>
      <c r="I124" s="23">
        <f>IF(C124&lt;='Batt IN'!$G$14*12,'Batt IN'!$E$15/8760*'Batt IN'!$G$15,0)</f>
        <v>0</v>
      </c>
      <c r="J124" s="12">
        <f>Z124/'Batt IN'!$E$27/730</f>
        <v>2.4999999999999996E-3</v>
      </c>
      <c r="K124" s="23">
        <f>AA124/'Batt IN'!$E$27/730</f>
        <v>1.6027397260273972E-3</v>
      </c>
      <c r="L124" s="23">
        <f>AB124/'Batt IN'!$E$27/730</f>
        <v>2.0547945205479451E-4</v>
      </c>
      <c r="M124" s="23">
        <f>AC124/'Batt IN'!$E$27/730</f>
        <v>4.7945205479452057E-3</v>
      </c>
      <c r="N124" s="23">
        <f>AD124/'Batt IN'!$E$27/730</f>
        <v>3.4246575342465752E-3</v>
      </c>
      <c r="O124" s="12">
        <f t="shared" si="19"/>
        <v>4.3828767123287697E-2</v>
      </c>
      <c r="P124" s="21">
        <f t="shared" si="20"/>
        <v>698.005</v>
      </c>
      <c r="Q124" s="2">
        <f>IF('Batt IN'!$E$27*'Batt IN'!$E$24&lt;='Batt IN'!$E$28,(('Batt IN'!$E$23*'Batt IN'!$E$27*'Batt IN'!$E$24)/1000)*P124,(('Batt IN'!$E$23*'Batt IN'!$E$28*'Batt IN'!$E$24)/1000)*P124)</f>
        <v>11168.08</v>
      </c>
      <c r="R124" s="2"/>
      <c r="S124" s="77">
        <f>IF(C124&lt;='Batt IN'!$G$14*12,'Batt IN'!$E$15/12,0)</f>
        <v>0</v>
      </c>
      <c r="T124" s="77"/>
      <c r="U124" s="80">
        <f>'Batt IN'!$E$28*('Batt IN'!$G$24/24)*730*(1-O124)</f>
        <v>81433.916666666657</v>
      </c>
      <c r="V124" s="78">
        <f>U124*'Batt IN'!$F$30</f>
        <v>16286.783333333333</v>
      </c>
      <c r="W124" s="78">
        <f>'Batt IN'!$E$28*'Batt IN'!$G$32*('Batt IN'!$E$32/12)*(1+'Batt IN'!$F$30)</f>
        <v>1750.0000000000002</v>
      </c>
      <c r="X124" s="78">
        <f>'Batt IN'!$E$28*'Batt IN'!$G$13*('Batt IN'!$E$13/12)*(1+'Batt IN'!$F$30)</f>
        <v>3184.9999999999995</v>
      </c>
      <c r="Y124" s="33">
        <f>S124*'Batt IN'!$G$15*'Batt IN'!$E$28*(1+'Batt IN'!$F$30)</f>
        <v>0</v>
      </c>
      <c r="Z124" s="33">
        <f>'Batt IN'!$G$16*365/12*(1+'Batt IN'!$F$30)</f>
        <v>1824.9999999999998</v>
      </c>
      <c r="AA124" s="33">
        <f>'Batt IN'!$G$17*'Batt IN'!$E$18*'Batt IN'!$G$18/12*(1+'Batt IN'!$F$30)</f>
        <v>1170</v>
      </c>
      <c r="AB124" s="33">
        <f>'Batt IN'!$G$19*'Batt IN'!$E$20*'Batt IN'!$G$20/12*(1+'Batt IN'!$F$30)</f>
        <v>150</v>
      </c>
      <c r="AC124" s="33">
        <f>'Batt IN'!$G$21*(1+'Batt IN'!$F$30)/12</f>
        <v>3500</v>
      </c>
      <c r="AD124" s="33">
        <f>'Batt IN'!$G$22*(1+'Batt IN'!$F$30)/12</f>
        <v>2500</v>
      </c>
      <c r="AE124" s="33">
        <f t="shared" si="32"/>
        <v>30366.783333333333</v>
      </c>
      <c r="AF124" s="33">
        <f>IF('PV IN'!$F$4="Battery Only",0,AE124*'Batt IN'!$E$29)</f>
        <v>25811.765833333331</v>
      </c>
      <c r="AG124" s="33">
        <f>PVCalcs!L124</f>
        <v>25811.765833333331</v>
      </c>
      <c r="AH124" s="33">
        <f t="shared" si="33"/>
        <v>4555.0175000000017</v>
      </c>
      <c r="AI124" s="33"/>
      <c r="AJ124" s="2">
        <f>IF(AND('Batt IN'!$D$53="Yes",$AL$1&gt;=1),IF($C124='Batt IN'!$H$54*12,-'Batt IN'!$F$54,0),0)</f>
        <v>0</v>
      </c>
      <c r="AK124" s="2">
        <f>IF(AND('Batt IN'!$D$53="Yes",$AL$1&gt;=2),IF($C124='Batt IN'!$H$55*12,-'Batt IN'!$F$55,0),0)</f>
        <v>0</v>
      </c>
      <c r="AL124" s="2">
        <f>IF(AND('Batt IN'!$D$53="Yes",$AL$1&gt;=3),IF($C124='Batt IN'!$H$56*12,-'Batt IN'!$F$56,0),0)</f>
        <v>0</v>
      </c>
      <c r="AM124" s="2">
        <f>IF(AND('Batt IN'!$D$53="Yes",$AL$1&gt;=4),IF($C124='Batt IN'!$H$57*12,-'Batt IN'!$F$57,0),0)</f>
        <v>0</v>
      </c>
      <c r="AN124" s="2">
        <f>IF(AND('Batt IN'!$D$53="Yes",$AL$1&gt;=5),IF($C124='Batt IN'!$H$58*12,-'Batt IN'!$F$58,0),0)</f>
        <v>0</v>
      </c>
      <c r="AO124" s="10">
        <f>IF(AND('Batt IN'!$D$44="YES",$C124&lt;='Batt IN'!$E$44*12),-'Batt IN'!$E$28*'Batt IN'!$E$42/12,0)</f>
        <v>0</v>
      </c>
      <c r="AP124" s="10">
        <f>IF(AND('Batt IN'!$D$46="YES",$C124&lt;='Batt IN'!$E$46*12),-'Batt IN'!$E$28*'Batt IN'!$E$45/12,0)</f>
        <v>0</v>
      </c>
      <c r="AR124" s="10">
        <f>BattLoan!M151</f>
        <v>0</v>
      </c>
      <c r="AS124" s="10">
        <f>'Batt IN'!$G$16*365/12*'Batt IN'!$E$16</f>
        <v>76.041666666666671</v>
      </c>
      <c r="AT124" s="10">
        <f>IF(AND('Batt IN'!$E$18&gt;0,'Batt IN'!$G$18&gt;0),'Batt IN'!$E$17*'Batt IN'!$G$17,0)</f>
        <v>119.44619999999999</v>
      </c>
      <c r="AU124" s="10">
        <f>IF(AND('Batt IN'!$E$20&gt;0,'Batt IN'!$G$20&gt;0),'Batt IN'!$E$19*'Batt IN'!$G$19,0)</f>
        <v>231</v>
      </c>
      <c r="AV124" s="10"/>
      <c r="AW124" s="10"/>
      <c r="AX124" s="10">
        <f>IF('Batt IN'!$E$11="Non-Taxable",Q124,0)</f>
        <v>11168.08</v>
      </c>
      <c r="AY124" s="10">
        <f>IF('Batt IN'!$E$11="Non-Taxable",'Batt IN'!$E$28/1000*'Batt IN'!$G$13*('Batt IN'!$E$13/12)*'Batt IN'!$E$12,0)</f>
        <v>244.42220833333334</v>
      </c>
      <c r="AZ124" s="10">
        <f>IF('Batt IN'!$E$11="Non-Taxable",$S124*'Batt IN'!$G$15*'Batt IN'!$E$28*'Batt IN'!$E$14/1000,0)</f>
        <v>0</v>
      </c>
      <c r="BA124" s="10">
        <f>IF('Batt IN'!$E$11="Non-Taxable",'Batt IN'!$E$21*'Batt IN'!$G$21/12,0)</f>
        <v>437.5</v>
      </c>
      <c r="BB124" s="10">
        <f>IF('Batt IN'!$E$11="Non-Taxable",'Batt IN'!$E$22*'Batt IN'!$G$22/12,0)</f>
        <v>1145.8333333333335</v>
      </c>
      <c r="BC124" s="10">
        <f>IF('Batt IN'!$E$11="Taxable",Q124,0)</f>
        <v>0</v>
      </c>
      <c r="BD124" s="10">
        <f>IF('Batt IN'!$E$11="Taxable",'Batt IN'!$E$28/1000*'Batt IN'!$G$13*('Batt IN'!$E$13/12)*'Batt IN'!$E$12,0)</f>
        <v>0</v>
      </c>
      <c r="BE124" s="10">
        <f>IF('Batt IN'!$E$11="Taxable",$S124*'Batt IN'!$G$15*'Batt IN'!$E$28*'Batt IN'!$E$14/1000,0)</f>
        <v>0</v>
      </c>
      <c r="BF124" s="10">
        <f>IF('Batt IN'!$E$11="Taxable",'Batt IN'!$E$21*'Batt IN'!$G$21/12,0)</f>
        <v>0</v>
      </c>
      <c r="BG124" s="10">
        <f>IF('Batt IN'!$E$11="Taxable",'Batt IN'!$E$22*'Batt IN'!$G$22/12,0)</f>
        <v>0</v>
      </c>
      <c r="BK124" s="10">
        <f>IF('Batt IN'!$N$18="Yes",-BattLoan!H152,-BattLoan!L152)</f>
        <v>0</v>
      </c>
      <c r="BL124" s="10">
        <f>IF('Batt IN'!$N$18="Yes",-BattLoan!F152,0)</f>
        <v>0</v>
      </c>
      <c r="BM124" s="10">
        <f>IF(AND('Batt IN'!$D$44="YES",$C124&lt;='Batt IN'!$E$44*12),0,-'Batt IN'!$E$28*'Batt IN'!$E$42/12)</f>
        <v>-83.333333333333329</v>
      </c>
      <c r="BN124" s="10">
        <f>IF(AND('Batt IN'!$D$46="YES",$C124&lt;='Batt IN'!$E$46*12),0,-'Batt IN'!$E$28*'Batt IN'!$E$45/12)</f>
        <v>-166.66666666666666</v>
      </c>
      <c r="BO124" s="2">
        <f>IF(AND('Batt IN'!$D$41="YES",BattCalcs!C124=ROUNDUP('Batt IN'!$H$41*12,)),-'Batt IN'!$E$41*'Batt IN'!$E$28,0)</f>
        <v>0</v>
      </c>
      <c r="BP124" s="2">
        <f>IF(AND('Batt IN'!$D$53="Yes",$AL$1&gt;=1),0,IF($C124='Batt IN'!$H$54*12,-'Batt IN'!$F$54,0))</f>
        <v>0</v>
      </c>
      <c r="BQ124" s="2">
        <f>IF(AND('Batt IN'!$D$53="Yes",$AL$1&gt;=2),0,IF($C124='Batt IN'!$H$55*12,-'Batt IN'!$F$55,0))</f>
        <v>-50000</v>
      </c>
      <c r="BR124" s="2">
        <f>IF(AND('Batt IN'!$D$53="Yes",$AL$1&gt;=3),0,IF($C124='Batt IN'!$H$56*12,-'Batt IN'!$F$56,0))</f>
        <v>0</v>
      </c>
      <c r="BS124" s="2">
        <f>IF(AND('Batt IN'!$D$53="Yes",$AL$1&gt;=4),0,IF($C124='Batt IN'!$H$57*12,-'Batt IN'!$F$57,0))</f>
        <v>0</v>
      </c>
      <c r="BT124" s="2">
        <f>IF(AND('Batt IN'!$D$53="Yes",$AL$1&gt;=5),0,IF($C124='Batt IN'!$H$58*12,-'Batt IN'!$F$58,0))</f>
        <v>0</v>
      </c>
      <c r="BU124" s="2">
        <f>-AH124*PVCalcs!F124</f>
        <v>-365.03601625122235</v>
      </c>
      <c r="BV124" s="2">
        <f>-'Batt IN'!$E$47</f>
        <v>-150</v>
      </c>
      <c r="BW124" s="2">
        <f>-'Batt IN'!$E$49</f>
        <v>-2250</v>
      </c>
      <c r="BX124" s="2">
        <f>IF('Batt IN'!$H$50="No",-(BC124*'Batt IN'!$E$50),-(BC124+BE124)*'Batt IN'!$E$50)</f>
        <v>0</v>
      </c>
      <c r="BY124" s="2">
        <f>IF(C124='Batt IN'!$H$43*12,-'Batt IN'!$E$43,0)</f>
        <v>0</v>
      </c>
      <c r="BZ124" s="38"/>
      <c r="CA124" s="10">
        <f t="shared" si="17"/>
        <v>13422.323408333334</v>
      </c>
      <c r="CB124" s="2">
        <f t="shared" si="21"/>
        <v>-53015.036016251222</v>
      </c>
      <c r="CC124" s="45">
        <f t="shared" si="22"/>
        <v>-39592.712607917885</v>
      </c>
      <c r="CD124" s="43"/>
      <c r="CE124" s="2">
        <f t="shared" si="18"/>
        <v>0</v>
      </c>
      <c r="CF124" s="2">
        <f t="shared" si="23"/>
        <v>-53015.036016251222</v>
      </c>
      <c r="CG124" s="2"/>
      <c r="CH124" s="2">
        <f t="shared" si="24"/>
        <v>-53015.036016251222</v>
      </c>
      <c r="CI124" s="45">
        <f>-CH124*'Batt IN'!$E$7</f>
        <v>11133.157563412757</v>
      </c>
      <c r="CJ124" s="48"/>
      <c r="CK124" s="45">
        <f>IF('Batt IN'!$F$4="PV Only",0,IF(C124&gt;'Batt IN'!$H$43*12,0,CC124+CI124))</f>
        <v>0</v>
      </c>
      <c r="CM124" s="10">
        <f t="shared" si="25"/>
        <v>0</v>
      </c>
      <c r="CN124" s="2">
        <f>CK124/(1+('Batt IN'!$G$8))^(C124)</f>
        <v>0</v>
      </c>
      <c r="CO124" s="2">
        <f>IF(C124&lt;='Batt IN'!$O$30*12,CN124+CO123,NA())</f>
        <v>0</v>
      </c>
      <c r="CQ124" s="2">
        <f>CK124/((1+('Batt IN'!$E$8/12))^BattCalcs!C124)</f>
        <v>0</v>
      </c>
      <c r="CS124" s="10">
        <f t="shared" si="26"/>
        <v>-53015.036016251222</v>
      </c>
      <c r="CT124" s="10">
        <f t="shared" si="27"/>
        <v>0</v>
      </c>
      <c r="CU124" s="10">
        <f t="shared" si="28"/>
        <v>-53015.036016251222</v>
      </c>
      <c r="CV124" s="10">
        <f t="shared" si="29"/>
        <v>-53015.036016251222</v>
      </c>
      <c r="CW124" s="2">
        <f t="shared" si="30"/>
        <v>0</v>
      </c>
      <c r="CX124" s="2">
        <f>-(SUM(CV124:CW124)*'PV IN'!$E$8)</f>
        <v>11133.157563412757</v>
      </c>
      <c r="CY124" s="2">
        <f t="shared" si="31"/>
        <v>-41881.878452838464</v>
      </c>
      <c r="CZ124" s="2">
        <f>IF(C124&lt;='Batt IN'!$H$43*12,CY124/(1+('PV IN'!$G$9))^(C124),0)</f>
        <v>-25711.840265380397</v>
      </c>
      <c r="DA124" s="33">
        <f>IF(C124&lt;='Batt IN'!$H$43*12,AE124,0)</f>
        <v>30366.783333333333</v>
      </c>
    </row>
    <row r="125" spans="1:105" x14ac:dyDescent="0.25">
      <c r="A125">
        <f>IF(C125&lt;='Batt IN'!$H$43*12,C125,"")</f>
        <v>121</v>
      </c>
      <c r="C125">
        <v>121</v>
      </c>
      <c r="D125" s="21">
        <v>730</v>
      </c>
      <c r="E125" s="1">
        <f>1-'Batt IN'!$E$31</f>
        <v>2.0000000000000018E-2</v>
      </c>
      <c r="F125" s="12">
        <f>('Batt IN'!$E$33*365)/8760</f>
        <v>0</v>
      </c>
      <c r="G125" s="22">
        <f>'Batt IN'!$E$32/8760</f>
        <v>5.7077625570776253E-3</v>
      </c>
      <c r="H125" s="22">
        <f>'Batt IN'!$E$13/8760</f>
        <v>5.5936073059360729E-3</v>
      </c>
      <c r="I125" s="23">
        <f>IF(C125&lt;='Batt IN'!$G$14*12,'Batt IN'!$E$15/8760*'Batt IN'!$G$15,0)</f>
        <v>0</v>
      </c>
      <c r="J125" s="12">
        <f>Z125/'Batt IN'!$E$27/730</f>
        <v>2.4999999999999996E-3</v>
      </c>
      <c r="K125" s="23">
        <f>AA125/'Batt IN'!$E$27/730</f>
        <v>1.6027397260273972E-3</v>
      </c>
      <c r="L125" s="23">
        <f>AB125/'Batt IN'!$E$27/730</f>
        <v>2.0547945205479451E-4</v>
      </c>
      <c r="M125" s="23">
        <f>AC125/'Batt IN'!$E$27/730</f>
        <v>4.7945205479452057E-3</v>
      </c>
      <c r="N125" s="23">
        <f>AD125/'Batt IN'!$E$27/730</f>
        <v>3.4246575342465752E-3</v>
      </c>
      <c r="O125" s="12">
        <f t="shared" si="19"/>
        <v>4.3828767123287697E-2</v>
      </c>
      <c r="P125" s="21">
        <f t="shared" si="20"/>
        <v>698.005</v>
      </c>
      <c r="Q125" s="2">
        <f>IF('Batt IN'!$E$27*'Batt IN'!$E$24&lt;='Batt IN'!$E$28,(('Batt IN'!$E$23*'Batt IN'!$E$27*'Batt IN'!$E$24)/1000)*P125,(('Batt IN'!$E$23*'Batt IN'!$E$28*'Batt IN'!$E$24)/1000)*P125)</f>
        <v>11168.08</v>
      </c>
      <c r="R125" s="2"/>
      <c r="S125" s="77">
        <f>IF(C125&lt;='Batt IN'!$G$14*12,'Batt IN'!$E$15/12,0)</f>
        <v>0</v>
      </c>
      <c r="T125" s="77"/>
      <c r="U125" s="80">
        <f>'Batt IN'!$E$28*('Batt IN'!$G$24/24)*730*(1-O125)</f>
        <v>81433.916666666657</v>
      </c>
      <c r="V125" s="78">
        <f>U125*'Batt IN'!$F$30</f>
        <v>16286.783333333333</v>
      </c>
      <c r="W125" s="78">
        <f>'Batt IN'!$E$28*'Batt IN'!$G$32*('Batt IN'!$E$32/12)*(1+'Batt IN'!$F$30)</f>
        <v>1750.0000000000002</v>
      </c>
      <c r="X125" s="78">
        <f>'Batt IN'!$E$28*'Batt IN'!$G$13*('Batt IN'!$E$13/12)*(1+'Batt IN'!$F$30)</f>
        <v>3184.9999999999995</v>
      </c>
      <c r="Y125" s="33">
        <f>S125*'Batt IN'!$G$15*'Batt IN'!$E$28*(1+'Batt IN'!$F$30)</f>
        <v>0</v>
      </c>
      <c r="Z125" s="33">
        <f>'Batt IN'!$G$16*365/12*(1+'Batt IN'!$F$30)</f>
        <v>1824.9999999999998</v>
      </c>
      <c r="AA125" s="33">
        <f>'Batt IN'!$G$17*'Batt IN'!$E$18*'Batt IN'!$G$18/12*(1+'Batt IN'!$F$30)</f>
        <v>1170</v>
      </c>
      <c r="AB125" s="33">
        <f>'Batt IN'!$G$19*'Batt IN'!$E$20*'Batt IN'!$G$20/12*(1+'Batt IN'!$F$30)</f>
        <v>150</v>
      </c>
      <c r="AC125" s="33">
        <f>'Batt IN'!$G$21*(1+'Batt IN'!$F$30)/12</f>
        <v>3500</v>
      </c>
      <c r="AD125" s="33">
        <f>'Batt IN'!$G$22*(1+'Batt IN'!$F$30)/12</f>
        <v>2500</v>
      </c>
      <c r="AE125" s="33">
        <f t="shared" si="32"/>
        <v>30366.783333333333</v>
      </c>
      <c r="AF125" s="33">
        <f>IF('PV IN'!$F$4="Battery Only",0,AE125*'Batt IN'!$E$29)</f>
        <v>25811.765833333331</v>
      </c>
      <c r="AG125" s="33">
        <f>PVCalcs!L125</f>
        <v>25811.765833333331</v>
      </c>
      <c r="AH125" s="33">
        <f t="shared" si="33"/>
        <v>4555.0175000000017</v>
      </c>
      <c r="AI125" s="33"/>
      <c r="AJ125" s="2">
        <f>IF(AND('Batt IN'!$D$53="Yes",$AL$1&gt;=1),IF($C125='Batt IN'!$H$54*12,-'Batt IN'!$F$54,0),0)</f>
        <v>0</v>
      </c>
      <c r="AK125" s="2">
        <f>IF(AND('Batt IN'!$D$53="Yes",$AL$1&gt;=2),IF($C125='Batt IN'!$H$55*12,-'Batt IN'!$F$55,0),0)</f>
        <v>0</v>
      </c>
      <c r="AL125" s="2">
        <f>IF(AND('Batt IN'!$D$53="Yes",$AL$1&gt;=3),IF($C125='Batt IN'!$H$56*12,-'Batt IN'!$F$56,0),0)</f>
        <v>0</v>
      </c>
      <c r="AM125" s="2">
        <f>IF(AND('Batt IN'!$D$53="Yes",$AL$1&gt;=4),IF($C125='Batt IN'!$H$57*12,-'Batt IN'!$F$57,0),0)</f>
        <v>0</v>
      </c>
      <c r="AN125" s="2">
        <f>IF(AND('Batt IN'!$D$53="Yes",$AL$1&gt;=5),IF($C125='Batt IN'!$H$58*12,-'Batt IN'!$F$58,0),0)</f>
        <v>0</v>
      </c>
      <c r="AO125" s="10">
        <f>IF(AND('Batt IN'!$D$44="YES",$C125&lt;='Batt IN'!$E$44*12),-'Batt IN'!$E$28*'Batt IN'!$E$42/12,0)</f>
        <v>0</v>
      </c>
      <c r="AP125" s="10">
        <f>IF(AND('Batt IN'!$D$46="YES",$C125&lt;='Batt IN'!$E$46*12),-'Batt IN'!$E$28*'Batt IN'!$E$45/12,0)</f>
        <v>0</v>
      </c>
      <c r="AR125" s="10">
        <f>BattLoan!M152</f>
        <v>0</v>
      </c>
      <c r="AS125" s="10">
        <f>'Batt IN'!$G$16*365/12*'Batt IN'!$E$16</f>
        <v>76.041666666666671</v>
      </c>
      <c r="AT125" s="10">
        <f>IF(AND('Batt IN'!$E$18&gt;0,'Batt IN'!$G$18&gt;0),'Batt IN'!$E$17*'Batt IN'!$G$17,0)</f>
        <v>119.44619999999999</v>
      </c>
      <c r="AU125" s="10">
        <f>IF(AND('Batt IN'!$E$20&gt;0,'Batt IN'!$G$20&gt;0),'Batt IN'!$E$19*'Batt IN'!$G$19,0)</f>
        <v>231</v>
      </c>
      <c r="AV125" s="10"/>
      <c r="AW125" s="10"/>
      <c r="AX125" s="10">
        <f>IF('Batt IN'!$E$11="Non-Taxable",Q125,0)</f>
        <v>11168.08</v>
      </c>
      <c r="AY125" s="10">
        <f>IF('Batt IN'!$E$11="Non-Taxable",'Batt IN'!$E$28/1000*'Batt IN'!$G$13*('Batt IN'!$E$13/12)*'Batt IN'!$E$12,0)</f>
        <v>244.42220833333334</v>
      </c>
      <c r="AZ125" s="10">
        <f>IF('Batt IN'!$E$11="Non-Taxable",$S125*'Batt IN'!$G$15*'Batt IN'!$E$28*'Batt IN'!$E$14/1000,0)</f>
        <v>0</v>
      </c>
      <c r="BA125" s="10">
        <f>IF('Batt IN'!$E$11="Non-Taxable",'Batt IN'!$E$21*'Batt IN'!$G$21/12,0)</f>
        <v>437.5</v>
      </c>
      <c r="BB125" s="10">
        <f>IF('Batt IN'!$E$11="Non-Taxable",'Batt IN'!$E$22*'Batt IN'!$G$22/12,0)</f>
        <v>1145.8333333333335</v>
      </c>
      <c r="BC125" s="10">
        <f>IF('Batt IN'!$E$11="Taxable",Q125,0)</f>
        <v>0</v>
      </c>
      <c r="BD125" s="10">
        <f>IF('Batt IN'!$E$11="Taxable",'Batt IN'!$E$28/1000*'Batt IN'!$G$13*('Batt IN'!$E$13/12)*'Batt IN'!$E$12,0)</f>
        <v>0</v>
      </c>
      <c r="BE125" s="10">
        <f>IF('Batt IN'!$E$11="Taxable",$S125*'Batt IN'!$G$15*'Batt IN'!$E$28*'Batt IN'!$E$14/1000,0)</f>
        <v>0</v>
      </c>
      <c r="BF125" s="10">
        <f>IF('Batt IN'!$E$11="Taxable",'Batt IN'!$E$21*'Batt IN'!$G$21/12,0)</f>
        <v>0</v>
      </c>
      <c r="BG125" s="10">
        <f>IF('Batt IN'!$E$11="Taxable",'Batt IN'!$E$22*'Batt IN'!$G$22/12,0)</f>
        <v>0</v>
      </c>
      <c r="BK125" s="10">
        <f>IF('Batt IN'!$N$18="Yes",-BattLoan!H153,-BattLoan!L153)</f>
        <v>0</v>
      </c>
      <c r="BL125" s="10">
        <f>IF('Batt IN'!$N$18="Yes",-BattLoan!F153,0)</f>
        <v>0</v>
      </c>
      <c r="BM125" s="10">
        <f>IF(AND('Batt IN'!$D$44="YES",$C125&lt;='Batt IN'!$E$44*12),0,-'Batt IN'!$E$28*'Batt IN'!$E$42/12)</f>
        <v>-83.333333333333329</v>
      </c>
      <c r="BN125" s="10">
        <f>IF(AND('Batt IN'!$D$46="YES",$C125&lt;='Batt IN'!$E$46*12),0,-'Batt IN'!$E$28*'Batt IN'!$E$45/12)</f>
        <v>-166.66666666666666</v>
      </c>
      <c r="BO125" s="2">
        <f>IF(AND('Batt IN'!$D$41="YES",BattCalcs!C125=ROUNDUP('Batt IN'!$H$41*12,)),-'Batt IN'!$E$41*'Batt IN'!$E$28,0)</f>
        <v>0</v>
      </c>
      <c r="BP125" s="2">
        <f>IF(AND('Batt IN'!$D$53="Yes",$AL$1&gt;=1),0,IF($C125='Batt IN'!$H$54*12,-'Batt IN'!$F$54,0))</f>
        <v>0</v>
      </c>
      <c r="BQ125" s="2">
        <f>IF(AND('Batt IN'!$D$53="Yes",$AL$1&gt;=2),0,IF($C125='Batt IN'!$H$55*12,-'Batt IN'!$F$55,0))</f>
        <v>0</v>
      </c>
      <c r="BR125" s="2">
        <f>IF(AND('Batt IN'!$D$53="Yes",$AL$1&gt;=3),0,IF($C125='Batt IN'!$H$56*12,-'Batt IN'!$F$56,0))</f>
        <v>0</v>
      </c>
      <c r="BS125" s="2">
        <f>IF(AND('Batt IN'!$D$53="Yes",$AL$1&gt;=4),0,IF($C125='Batt IN'!$H$57*12,-'Batt IN'!$F$57,0))</f>
        <v>0</v>
      </c>
      <c r="BT125" s="2">
        <f>IF(AND('Batt IN'!$D$53="Yes",$AL$1&gt;=5),0,IF($C125='Batt IN'!$H$58*12,-'Batt IN'!$F$58,0))</f>
        <v>0</v>
      </c>
      <c r="BU125" s="2">
        <f>-AH125*PVCalcs!F125</f>
        <v>-367.85560019676569</v>
      </c>
      <c r="BV125" s="2">
        <f>-'Batt IN'!$E$47</f>
        <v>-150</v>
      </c>
      <c r="BW125" s="2">
        <f>-'Batt IN'!$E$49</f>
        <v>-2250</v>
      </c>
      <c r="BX125" s="2">
        <f>IF('Batt IN'!$H$50="No",-(BC125*'Batt IN'!$E$50),-(BC125+BE125)*'Batt IN'!$E$50)</f>
        <v>0</v>
      </c>
      <c r="BY125" s="2">
        <f>IF(C125='Batt IN'!$H$43*12,-'Batt IN'!$E$43,0)</f>
        <v>0</v>
      </c>
      <c r="BZ125" s="38"/>
      <c r="CA125" s="10">
        <f t="shared" si="17"/>
        <v>13422.323408333334</v>
      </c>
      <c r="CB125" s="2">
        <f t="shared" si="21"/>
        <v>-3017.8556001967654</v>
      </c>
      <c r="CC125" s="45">
        <f t="shared" si="22"/>
        <v>10404.467808136567</v>
      </c>
      <c r="CD125" s="43"/>
      <c r="CE125" s="2">
        <f t="shared" si="18"/>
        <v>0</v>
      </c>
      <c r="CF125" s="2">
        <f t="shared" si="23"/>
        <v>-3017.8556001967654</v>
      </c>
      <c r="CG125" s="2"/>
      <c r="CH125" s="2">
        <f t="shared" si="24"/>
        <v>-3017.8556001967654</v>
      </c>
      <c r="CI125" s="45">
        <f>-CH125*'Batt IN'!$E$7</f>
        <v>633.74967604132075</v>
      </c>
      <c r="CJ125" s="48"/>
      <c r="CK125" s="45">
        <f>IF('Batt IN'!$F$4="PV Only",0,IF(C125&gt;'Batt IN'!$H$43*12,0,CC125+CI125))</f>
        <v>0</v>
      </c>
      <c r="CM125" s="10">
        <f t="shared" si="25"/>
        <v>0</v>
      </c>
      <c r="CN125" s="2">
        <f>CK125/(1+('Batt IN'!$G$8))^(C125)</f>
        <v>0</v>
      </c>
      <c r="CO125" s="2">
        <f>IF(C125&lt;='Batt IN'!$O$30*12,CN125+CO124,NA())</f>
        <v>0</v>
      </c>
      <c r="CQ125" s="2">
        <f>CK125/((1+('Batt IN'!$E$8/12))^BattCalcs!C125)</f>
        <v>0</v>
      </c>
      <c r="CS125" s="10">
        <f t="shared" si="26"/>
        <v>-3017.8556001967654</v>
      </c>
      <c r="CT125" s="10">
        <f t="shared" si="27"/>
        <v>0</v>
      </c>
      <c r="CU125" s="10">
        <f t="shared" si="28"/>
        <v>-3017.8556001967654</v>
      </c>
      <c r="CV125" s="10">
        <f t="shared" si="29"/>
        <v>-3017.8556001967654</v>
      </c>
      <c r="CW125" s="2">
        <f t="shared" si="30"/>
        <v>0</v>
      </c>
      <c r="CX125" s="2">
        <f>-(SUM(CV125:CW125)*'PV IN'!$E$8)</f>
        <v>633.74967604132075</v>
      </c>
      <c r="CY125" s="2">
        <f t="shared" si="31"/>
        <v>-2384.1059241554449</v>
      </c>
      <c r="CZ125" s="2">
        <f>IF(C125&lt;='Batt IN'!$H$43*12,CY125/(1+('PV IN'!$G$9))^(C125),0)</f>
        <v>-1457.6953932132467</v>
      </c>
      <c r="DA125" s="33">
        <f>IF(C125&lt;='Batt IN'!$H$43*12,AE125,0)</f>
        <v>30366.783333333333</v>
      </c>
    </row>
    <row r="126" spans="1:105" x14ac:dyDescent="0.25">
      <c r="A126">
        <f>IF(C126&lt;='Batt IN'!$H$43*12,C126,"")</f>
        <v>122</v>
      </c>
      <c r="C126">
        <v>122</v>
      </c>
      <c r="D126" s="21">
        <v>730</v>
      </c>
      <c r="E126" s="1">
        <f>1-'Batt IN'!$E$31</f>
        <v>2.0000000000000018E-2</v>
      </c>
      <c r="F126" s="12">
        <f>('Batt IN'!$E$33*365)/8760</f>
        <v>0</v>
      </c>
      <c r="G126" s="22">
        <f>'Batt IN'!$E$32/8760</f>
        <v>5.7077625570776253E-3</v>
      </c>
      <c r="H126" s="22">
        <f>'Batt IN'!$E$13/8760</f>
        <v>5.5936073059360729E-3</v>
      </c>
      <c r="I126" s="23">
        <f>IF(C126&lt;='Batt IN'!$G$14*12,'Batt IN'!$E$15/8760*'Batt IN'!$G$15,0)</f>
        <v>0</v>
      </c>
      <c r="J126" s="12">
        <f>Z126/'Batt IN'!$E$27/730</f>
        <v>2.4999999999999996E-3</v>
      </c>
      <c r="K126" s="23">
        <f>AA126/'Batt IN'!$E$27/730</f>
        <v>1.6027397260273972E-3</v>
      </c>
      <c r="L126" s="23">
        <f>AB126/'Batt IN'!$E$27/730</f>
        <v>2.0547945205479451E-4</v>
      </c>
      <c r="M126" s="23">
        <f>AC126/'Batt IN'!$E$27/730</f>
        <v>4.7945205479452057E-3</v>
      </c>
      <c r="N126" s="23">
        <f>AD126/'Batt IN'!$E$27/730</f>
        <v>3.4246575342465752E-3</v>
      </c>
      <c r="O126" s="12">
        <f t="shared" si="19"/>
        <v>4.3828767123287697E-2</v>
      </c>
      <c r="P126" s="21">
        <f t="shared" si="20"/>
        <v>698.005</v>
      </c>
      <c r="Q126" s="2">
        <f>IF('Batt IN'!$E$27*'Batt IN'!$E$24&lt;='Batt IN'!$E$28,(('Batt IN'!$E$23*'Batt IN'!$E$27*'Batt IN'!$E$24)/1000)*P126,(('Batt IN'!$E$23*'Batt IN'!$E$28*'Batt IN'!$E$24)/1000)*P126)</f>
        <v>11168.08</v>
      </c>
      <c r="R126" s="2"/>
      <c r="S126" s="77">
        <f>IF(C126&lt;='Batt IN'!$G$14*12,'Batt IN'!$E$15/12,0)</f>
        <v>0</v>
      </c>
      <c r="T126" s="77"/>
      <c r="U126" s="80">
        <f>'Batt IN'!$E$28*('Batt IN'!$G$24/24)*730*(1-O126)</f>
        <v>81433.916666666657</v>
      </c>
      <c r="V126" s="78">
        <f>U126*'Batt IN'!$F$30</f>
        <v>16286.783333333333</v>
      </c>
      <c r="W126" s="78">
        <f>'Batt IN'!$E$28*'Batt IN'!$G$32*('Batt IN'!$E$32/12)*(1+'Batt IN'!$F$30)</f>
        <v>1750.0000000000002</v>
      </c>
      <c r="X126" s="78">
        <f>'Batt IN'!$E$28*'Batt IN'!$G$13*('Batt IN'!$E$13/12)*(1+'Batt IN'!$F$30)</f>
        <v>3184.9999999999995</v>
      </c>
      <c r="Y126" s="33">
        <f>S126*'Batt IN'!$G$15*'Batt IN'!$E$28*(1+'Batt IN'!$F$30)</f>
        <v>0</v>
      </c>
      <c r="Z126" s="33">
        <f>'Batt IN'!$G$16*365/12*(1+'Batt IN'!$F$30)</f>
        <v>1824.9999999999998</v>
      </c>
      <c r="AA126" s="33">
        <f>'Batt IN'!$G$17*'Batt IN'!$E$18*'Batt IN'!$G$18/12*(1+'Batt IN'!$F$30)</f>
        <v>1170</v>
      </c>
      <c r="AB126" s="33">
        <f>'Batt IN'!$G$19*'Batt IN'!$E$20*'Batt IN'!$G$20/12*(1+'Batt IN'!$F$30)</f>
        <v>150</v>
      </c>
      <c r="AC126" s="33">
        <f>'Batt IN'!$G$21*(1+'Batt IN'!$F$30)/12</f>
        <v>3500</v>
      </c>
      <c r="AD126" s="33">
        <f>'Batt IN'!$G$22*(1+'Batt IN'!$F$30)/12</f>
        <v>2500</v>
      </c>
      <c r="AE126" s="33">
        <f t="shared" si="32"/>
        <v>30366.783333333333</v>
      </c>
      <c r="AF126" s="33">
        <f>IF('PV IN'!$F$4="Battery Only",0,AE126*'Batt IN'!$E$29)</f>
        <v>25811.765833333331</v>
      </c>
      <c r="AG126" s="33">
        <f>PVCalcs!L126</f>
        <v>25811.765833333331</v>
      </c>
      <c r="AH126" s="33">
        <f t="shared" si="33"/>
        <v>4555.0175000000017</v>
      </c>
      <c r="AI126" s="33"/>
      <c r="AJ126" s="2">
        <f>IF(AND('Batt IN'!$D$53="Yes",$AL$1&gt;=1),IF($C126='Batt IN'!$H$54*12,-'Batt IN'!$F$54,0),0)</f>
        <v>0</v>
      </c>
      <c r="AK126" s="2">
        <f>IF(AND('Batt IN'!$D$53="Yes",$AL$1&gt;=2),IF($C126='Batt IN'!$H$55*12,-'Batt IN'!$F$55,0),0)</f>
        <v>0</v>
      </c>
      <c r="AL126" s="2">
        <f>IF(AND('Batt IN'!$D$53="Yes",$AL$1&gt;=3),IF($C126='Batt IN'!$H$56*12,-'Batt IN'!$F$56,0),0)</f>
        <v>0</v>
      </c>
      <c r="AM126" s="2">
        <f>IF(AND('Batt IN'!$D$53="Yes",$AL$1&gt;=4),IF($C126='Batt IN'!$H$57*12,-'Batt IN'!$F$57,0),0)</f>
        <v>0</v>
      </c>
      <c r="AN126" s="2">
        <f>IF(AND('Batt IN'!$D$53="Yes",$AL$1&gt;=5),IF($C126='Batt IN'!$H$58*12,-'Batt IN'!$F$58,0),0)</f>
        <v>0</v>
      </c>
      <c r="AO126" s="10">
        <f>IF(AND('Batt IN'!$D$44="YES",$C126&lt;='Batt IN'!$E$44*12),-'Batt IN'!$E$28*'Batt IN'!$E$42/12,0)</f>
        <v>0</v>
      </c>
      <c r="AP126" s="10">
        <f>IF(AND('Batt IN'!$D$46="YES",$C126&lt;='Batt IN'!$E$46*12),-'Batt IN'!$E$28*'Batt IN'!$E$45/12,0)</f>
        <v>0</v>
      </c>
      <c r="AR126" s="10">
        <f>BattLoan!M153</f>
        <v>0</v>
      </c>
      <c r="AS126" s="10">
        <f>'Batt IN'!$G$16*365/12*'Batt IN'!$E$16</f>
        <v>76.041666666666671</v>
      </c>
      <c r="AT126" s="10">
        <f>IF(AND('Batt IN'!$E$18&gt;0,'Batt IN'!$G$18&gt;0),'Batt IN'!$E$17*'Batt IN'!$G$17,0)</f>
        <v>119.44619999999999</v>
      </c>
      <c r="AU126" s="10">
        <f>IF(AND('Batt IN'!$E$20&gt;0,'Batt IN'!$G$20&gt;0),'Batt IN'!$E$19*'Batt IN'!$G$19,0)</f>
        <v>231</v>
      </c>
      <c r="AV126" s="10"/>
      <c r="AW126" s="10"/>
      <c r="AX126" s="10">
        <f>IF('Batt IN'!$E$11="Non-Taxable",Q126,0)</f>
        <v>11168.08</v>
      </c>
      <c r="AY126" s="10">
        <f>IF('Batt IN'!$E$11="Non-Taxable",'Batt IN'!$E$28/1000*'Batt IN'!$G$13*('Batt IN'!$E$13/12)*'Batt IN'!$E$12,0)</f>
        <v>244.42220833333334</v>
      </c>
      <c r="AZ126" s="10">
        <f>IF('Batt IN'!$E$11="Non-Taxable",$S126*'Batt IN'!$G$15*'Batt IN'!$E$28*'Batt IN'!$E$14/1000,0)</f>
        <v>0</v>
      </c>
      <c r="BA126" s="10">
        <f>IF('Batt IN'!$E$11="Non-Taxable",'Batt IN'!$E$21*'Batt IN'!$G$21/12,0)</f>
        <v>437.5</v>
      </c>
      <c r="BB126" s="10">
        <f>IF('Batt IN'!$E$11="Non-Taxable",'Batt IN'!$E$22*'Batt IN'!$G$22/12,0)</f>
        <v>1145.8333333333335</v>
      </c>
      <c r="BC126" s="10">
        <f>IF('Batt IN'!$E$11="Taxable",Q126,0)</f>
        <v>0</v>
      </c>
      <c r="BD126" s="10">
        <f>IF('Batt IN'!$E$11="Taxable",'Batt IN'!$E$28/1000*'Batt IN'!$G$13*('Batt IN'!$E$13/12)*'Batt IN'!$E$12,0)</f>
        <v>0</v>
      </c>
      <c r="BE126" s="10">
        <f>IF('Batt IN'!$E$11="Taxable",$S126*'Batt IN'!$G$15*'Batt IN'!$E$28*'Batt IN'!$E$14/1000,0)</f>
        <v>0</v>
      </c>
      <c r="BF126" s="10">
        <f>IF('Batt IN'!$E$11="Taxable",'Batt IN'!$E$21*'Batt IN'!$G$21/12,0)</f>
        <v>0</v>
      </c>
      <c r="BG126" s="10">
        <f>IF('Batt IN'!$E$11="Taxable",'Batt IN'!$E$22*'Batt IN'!$G$22/12,0)</f>
        <v>0</v>
      </c>
      <c r="BK126" s="10">
        <f>IF('Batt IN'!$N$18="Yes",-BattLoan!H154,-BattLoan!L154)</f>
        <v>0</v>
      </c>
      <c r="BL126" s="10">
        <f>IF('Batt IN'!$N$18="Yes",-BattLoan!F154,0)</f>
        <v>0</v>
      </c>
      <c r="BM126" s="10">
        <f>IF(AND('Batt IN'!$D$44="YES",$C126&lt;='Batt IN'!$E$44*12),0,-'Batt IN'!$E$28*'Batt IN'!$E$42/12)</f>
        <v>-83.333333333333329</v>
      </c>
      <c r="BN126" s="10">
        <f>IF(AND('Batt IN'!$D$46="YES",$C126&lt;='Batt IN'!$E$46*12),0,-'Batt IN'!$E$28*'Batt IN'!$E$45/12)</f>
        <v>-166.66666666666666</v>
      </c>
      <c r="BO126" s="2">
        <f>IF(AND('Batt IN'!$D$41="YES",BattCalcs!C126=ROUNDUP('Batt IN'!$H$41*12,)),-'Batt IN'!$E$41*'Batt IN'!$E$28,0)</f>
        <v>0</v>
      </c>
      <c r="BP126" s="2">
        <f>IF(AND('Batt IN'!$D$53="Yes",$AL$1&gt;=1),0,IF($C126='Batt IN'!$H$54*12,-'Batt IN'!$F$54,0))</f>
        <v>0</v>
      </c>
      <c r="BQ126" s="2">
        <f>IF(AND('Batt IN'!$D$53="Yes",$AL$1&gt;=2),0,IF($C126='Batt IN'!$H$55*12,-'Batt IN'!$F$55,0))</f>
        <v>0</v>
      </c>
      <c r="BR126" s="2">
        <f>IF(AND('Batt IN'!$D$53="Yes",$AL$1&gt;=3),0,IF($C126='Batt IN'!$H$56*12,-'Batt IN'!$F$56,0))</f>
        <v>0</v>
      </c>
      <c r="BS126" s="2">
        <f>IF(AND('Batt IN'!$D$53="Yes",$AL$1&gt;=4),0,IF($C126='Batt IN'!$H$57*12,-'Batt IN'!$F$57,0))</f>
        <v>0</v>
      </c>
      <c r="BT126" s="2">
        <f>IF(AND('Batt IN'!$D$53="Yes",$AL$1&gt;=5),0,IF($C126='Batt IN'!$H$58*12,-'Batt IN'!$F$58,0))</f>
        <v>0</v>
      </c>
      <c r="BU126" s="2">
        <f>-AH126*PVCalcs!F126</f>
        <v>-367.85560019676569</v>
      </c>
      <c r="BV126" s="2">
        <f>-'Batt IN'!$E$47</f>
        <v>-150</v>
      </c>
      <c r="BW126" s="2">
        <f>-'Batt IN'!$E$49</f>
        <v>-2250</v>
      </c>
      <c r="BX126" s="2">
        <f>IF('Batt IN'!$H$50="No",-(BC126*'Batt IN'!$E$50),-(BC126+BE126)*'Batt IN'!$E$50)</f>
        <v>0</v>
      </c>
      <c r="BY126" s="2">
        <f>IF(C126='Batt IN'!$H$43*12,-'Batt IN'!$E$43,0)</f>
        <v>0</v>
      </c>
      <c r="BZ126" s="38"/>
      <c r="CA126" s="10">
        <f t="shared" si="17"/>
        <v>13422.323408333334</v>
      </c>
      <c r="CB126" s="2">
        <f t="shared" si="21"/>
        <v>-3017.8556001967654</v>
      </c>
      <c r="CC126" s="45">
        <f t="shared" si="22"/>
        <v>10404.467808136567</v>
      </c>
      <c r="CD126" s="43"/>
      <c r="CE126" s="2">
        <f t="shared" si="18"/>
        <v>0</v>
      </c>
      <c r="CF126" s="2">
        <f t="shared" si="23"/>
        <v>-3017.8556001967654</v>
      </c>
      <c r="CG126" s="2"/>
      <c r="CH126" s="2">
        <f t="shared" si="24"/>
        <v>-3017.8556001967654</v>
      </c>
      <c r="CI126" s="45">
        <f>-CH126*'Batt IN'!$E$7</f>
        <v>633.74967604132075</v>
      </c>
      <c r="CJ126" s="48"/>
      <c r="CK126" s="45">
        <f>IF('Batt IN'!$F$4="PV Only",0,IF(C126&gt;'Batt IN'!$H$43*12,0,CC126+CI126))</f>
        <v>0</v>
      </c>
      <c r="CM126" s="10">
        <f t="shared" si="25"/>
        <v>0</v>
      </c>
      <c r="CN126" s="2">
        <f>CK126/(1+('Batt IN'!$G$8))^(C126)</f>
        <v>0</v>
      </c>
      <c r="CO126" s="2">
        <f>IF(C126&lt;='Batt IN'!$O$30*12,CN126+CO125,NA())</f>
        <v>0</v>
      </c>
      <c r="CQ126" s="2">
        <f>CK126/((1+('Batt IN'!$E$8/12))^BattCalcs!C126)</f>
        <v>0</v>
      </c>
      <c r="CS126" s="10">
        <f t="shared" si="26"/>
        <v>-3017.8556001967654</v>
      </c>
      <c r="CT126" s="10">
        <f t="shared" si="27"/>
        <v>0</v>
      </c>
      <c r="CU126" s="10">
        <f t="shared" si="28"/>
        <v>-3017.8556001967654</v>
      </c>
      <c r="CV126" s="10">
        <f t="shared" si="29"/>
        <v>-3017.8556001967654</v>
      </c>
      <c r="CW126" s="2">
        <f t="shared" si="30"/>
        <v>0</v>
      </c>
      <c r="CX126" s="2">
        <f>-(SUM(CV126:CW126)*'PV IN'!$E$8)</f>
        <v>633.74967604132075</v>
      </c>
      <c r="CY126" s="2">
        <f t="shared" si="31"/>
        <v>-2384.1059241554449</v>
      </c>
      <c r="CZ126" s="2">
        <f>IF(C126&lt;='Batt IN'!$H$43*12,CY126/(1+('PV IN'!$G$9))^(C126),0)</f>
        <v>-1451.7806591013616</v>
      </c>
      <c r="DA126" s="33">
        <f>IF(C126&lt;='Batt IN'!$H$43*12,AE126,0)</f>
        <v>30366.783333333333</v>
      </c>
    </row>
    <row r="127" spans="1:105" x14ac:dyDescent="0.25">
      <c r="A127">
        <f>IF(C127&lt;='Batt IN'!$H$43*12,C127,"")</f>
        <v>123</v>
      </c>
      <c r="C127">
        <v>123</v>
      </c>
      <c r="D127" s="21">
        <v>730</v>
      </c>
      <c r="E127" s="1">
        <f>1-'Batt IN'!$E$31</f>
        <v>2.0000000000000018E-2</v>
      </c>
      <c r="F127" s="12">
        <f>('Batt IN'!$E$33*365)/8760</f>
        <v>0</v>
      </c>
      <c r="G127" s="22">
        <f>'Batt IN'!$E$32/8760</f>
        <v>5.7077625570776253E-3</v>
      </c>
      <c r="H127" s="22">
        <f>'Batt IN'!$E$13/8760</f>
        <v>5.5936073059360729E-3</v>
      </c>
      <c r="I127" s="23">
        <f>IF(C127&lt;='Batt IN'!$G$14*12,'Batt IN'!$E$15/8760*'Batt IN'!$G$15,0)</f>
        <v>0</v>
      </c>
      <c r="J127" s="12">
        <f>Z127/'Batt IN'!$E$27/730</f>
        <v>2.4999999999999996E-3</v>
      </c>
      <c r="K127" s="23">
        <f>AA127/'Batt IN'!$E$27/730</f>
        <v>1.6027397260273972E-3</v>
      </c>
      <c r="L127" s="23">
        <f>AB127/'Batt IN'!$E$27/730</f>
        <v>2.0547945205479451E-4</v>
      </c>
      <c r="M127" s="23">
        <f>AC127/'Batt IN'!$E$27/730</f>
        <v>4.7945205479452057E-3</v>
      </c>
      <c r="N127" s="23">
        <f>AD127/'Batt IN'!$E$27/730</f>
        <v>3.4246575342465752E-3</v>
      </c>
      <c r="O127" s="12">
        <f t="shared" si="19"/>
        <v>4.3828767123287697E-2</v>
      </c>
      <c r="P127" s="21">
        <f t="shared" si="20"/>
        <v>698.005</v>
      </c>
      <c r="Q127" s="2">
        <f>IF('Batt IN'!$E$27*'Batt IN'!$E$24&lt;='Batt IN'!$E$28,(('Batt IN'!$E$23*'Batt IN'!$E$27*'Batt IN'!$E$24)/1000)*P127,(('Batt IN'!$E$23*'Batt IN'!$E$28*'Batt IN'!$E$24)/1000)*P127)</f>
        <v>11168.08</v>
      </c>
      <c r="R127" s="2"/>
      <c r="S127" s="77">
        <f>IF(C127&lt;='Batt IN'!$G$14*12,'Batt IN'!$E$15/12,0)</f>
        <v>0</v>
      </c>
      <c r="T127" s="77"/>
      <c r="U127" s="80">
        <f>'Batt IN'!$E$28*('Batt IN'!$G$24/24)*730*(1-O127)</f>
        <v>81433.916666666657</v>
      </c>
      <c r="V127" s="78">
        <f>U127*'Batt IN'!$F$30</f>
        <v>16286.783333333333</v>
      </c>
      <c r="W127" s="78">
        <f>'Batt IN'!$E$28*'Batt IN'!$G$32*('Batt IN'!$E$32/12)*(1+'Batt IN'!$F$30)</f>
        <v>1750.0000000000002</v>
      </c>
      <c r="X127" s="78">
        <f>'Batt IN'!$E$28*'Batt IN'!$G$13*('Batt IN'!$E$13/12)*(1+'Batt IN'!$F$30)</f>
        <v>3184.9999999999995</v>
      </c>
      <c r="Y127" s="33">
        <f>S127*'Batt IN'!$G$15*'Batt IN'!$E$28*(1+'Batt IN'!$F$30)</f>
        <v>0</v>
      </c>
      <c r="Z127" s="33">
        <f>'Batt IN'!$G$16*365/12*(1+'Batt IN'!$F$30)</f>
        <v>1824.9999999999998</v>
      </c>
      <c r="AA127" s="33">
        <f>'Batt IN'!$G$17*'Batt IN'!$E$18*'Batt IN'!$G$18/12*(1+'Batt IN'!$F$30)</f>
        <v>1170</v>
      </c>
      <c r="AB127" s="33">
        <f>'Batt IN'!$G$19*'Batt IN'!$E$20*'Batt IN'!$G$20/12*(1+'Batt IN'!$F$30)</f>
        <v>150</v>
      </c>
      <c r="AC127" s="33">
        <f>'Batt IN'!$G$21*(1+'Batt IN'!$F$30)/12</f>
        <v>3500</v>
      </c>
      <c r="AD127" s="33">
        <f>'Batt IN'!$G$22*(1+'Batt IN'!$F$30)/12</f>
        <v>2500</v>
      </c>
      <c r="AE127" s="33">
        <f t="shared" si="32"/>
        <v>30366.783333333333</v>
      </c>
      <c r="AF127" s="33">
        <f>IF('PV IN'!$F$4="Battery Only",0,AE127*'Batt IN'!$E$29)</f>
        <v>25811.765833333331</v>
      </c>
      <c r="AG127" s="33">
        <f>PVCalcs!L127</f>
        <v>25811.765833333331</v>
      </c>
      <c r="AH127" s="33">
        <f t="shared" si="33"/>
        <v>4555.0175000000017</v>
      </c>
      <c r="AI127" s="33"/>
      <c r="AJ127" s="2">
        <f>IF(AND('Batt IN'!$D$53="Yes",$AL$1&gt;=1),IF($C127='Batt IN'!$H$54*12,-'Batt IN'!$F$54,0),0)</f>
        <v>0</v>
      </c>
      <c r="AK127" s="2">
        <f>IF(AND('Batt IN'!$D$53="Yes",$AL$1&gt;=2),IF($C127='Batt IN'!$H$55*12,-'Batt IN'!$F$55,0),0)</f>
        <v>0</v>
      </c>
      <c r="AL127" s="2">
        <f>IF(AND('Batt IN'!$D$53="Yes",$AL$1&gt;=3),IF($C127='Batt IN'!$H$56*12,-'Batt IN'!$F$56,0),0)</f>
        <v>0</v>
      </c>
      <c r="AM127" s="2">
        <f>IF(AND('Batt IN'!$D$53="Yes",$AL$1&gt;=4),IF($C127='Batt IN'!$H$57*12,-'Batt IN'!$F$57,0),0)</f>
        <v>0</v>
      </c>
      <c r="AN127" s="2">
        <f>IF(AND('Batt IN'!$D$53="Yes",$AL$1&gt;=5),IF($C127='Batt IN'!$H$58*12,-'Batt IN'!$F$58,0),0)</f>
        <v>0</v>
      </c>
      <c r="AO127" s="10">
        <f>IF(AND('Batt IN'!$D$44="YES",$C127&lt;='Batt IN'!$E$44*12),-'Batt IN'!$E$28*'Batt IN'!$E$42/12,0)</f>
        <v>0</v>
      </c>
      <c r="AP127" s="10">
        <f>IF(AND('Batt IN'!$D$46="YES",$C127&lt;='Batt IN'!$E$46*12),-'Batt IN'!$E$28*'Batt IN'!$E$45/12,0)</f>
        <v>0</v>
      </c>
      <c r="AR127" s="10">
        <f>BattLoan!M154</f>
        <v>0</v>
      </c>
      <c r="AS127" s="10">
        <f>'Batt IN'!$G$16*365/12*'Batt IN'!$E$16</f>
        <v>76.041666666666671</v>
      </c>
      <c r="AT127" s="10">
        <f>IF(AND('Batt IN'!$E$18&gt;0,'Batt IN'!$G$18&gt;0),'Batt IN'!$E$17*'Batt IN'!$G$17,0)</f>
        <v>119.44619999999999</v>
      </c>
      <c r="AU127" s="10">
        <f>IF(AND('Batt IN'!$E$20&gt;0,'Batt IN'!$G$20&gt;0),'Batt IN'!$E$19*'Batt IN'!$G$19,0)</f>
        <v>231</v>
      </c>
      <c r="AV127" s="10"/>
      <c r="AW127" s="10"/>
      <c r="AX127" s="10">
        <f>IF('Batt IN'!$E$11="Non-Taxable",Q127,0)</f>
        <v>11168.08</v>
      </c>
      <c r="AY127" s="10">
        <f>IF('Batt IN'!$E$11="Non-Taxable",'Batt IN'!$E$28/1000*'Batt IN'!$G$13*('Batt IN'!$E$13/12)*'Batt IN'!$E$12,0)</f>
        <v>244.42220833333334</v>
      </c>
      <c r="AZ127" s="10">
        <f>IF('Batt IN'!$E$11="Non-Taxable",$S127*'Batt IN'!$G$15*'Batt IN'!$E$28*'Batt IN'!$E$14/1000,0)</f>
        <v>0</v>
      </c>
      <c r="BA127" s="10">
        <f>IF('Batt IN'!$E$11="Non-Taxable",'Batt IN'!$E$21*'Batt IN'!$G$21/12,0)</f>
        <v>437.5</v>
      </c>
      <c r="BB127" s="10">
        <f>IF('Batt IN'!$E$11="Non-Taxable",'Batt IN'!$E$22*'Batt IN'!$G$22/12,0)</f>
        <v>1145.8333333333335</v>
      </c>
      <c r="BC127" s="10">
        <f>IF('Batt IN'!$E$11="Taxable",Q127,0)</f>
        <v>0</v>
      </c>
      <c r="BD127" s="10">
        <f>IF('Batt IN'!$E$11="Taxable",'Batt IN'!$E$28/1000*'Batt IN'!$G$13*('Batt IN'!$E$13/12)*'Batt IN'!$E$12,0)</f>
        <v>0</v>
      </c>
      <c r="BE127" s="10">
        <f>IF('Batt IN'!$E$11="Taxable",$S127*'Batt IN'!$G$15*'Batt IN'!$E$28*'Batt IN'!$E$14/1000,0)</f>
        <v>0</v>
      </c>
      <c r="BF127" s="10">
        <f>IF('Batt IN'!$E$11="Taxable",'Batt IN'!$E$21*'Batt IN'!$G$21/12,0)</f>
        <v>0</v>
      </c>
      <c r="BG127" s="10">
        <f>IF('Batt IN'!$E$11="Taxable",'Batt IN'!$E$22*'Batt IN'!$G$22/12,0)</f>
        <v>0</v>
      </c>
      <c r="BK127" s="10">
        <f>IF('Batt IN'!$N$18="Yes",-BattLoan!H155,-BattLoan!L155)</f>
        <v>0</v>
      </c>
      <c r="BL127" s="10">
        <f>IF('Batt IN'!$N$18="Yes",-BattLoan!F155,0)</f>
        <v>0</v>
      </c>
      <c r="BM127" s="10">
        <f>IF(AND('Batt IN'!$D$44="YES",$C127&lt;='Batt IN'!$E$44*12),0,-'Batt IN'!$E$28*'Batt IN'!$E$42/12)</f>
        <v>-83.333333333333329</v>
      </c>
      <c r="BN127" s="10">
        <f>IF(AND('Batt IN'!$D$46="YES",$C127&lt;='Batt IN'!$E$46*12),0,-'Batt IN'!$E$28*'Batt IN'!$E$45/12)</f>
        <v>-166.66666666666666</v>
      </c>
      <c r="BO127" s="2">
        <f>IF(AND('Batt IN'!$D$41="YES",BattCalcs!C127=ROUNDUP('Batt IN'!$H$41*12,)),-'Batt IN'!$E$41*'Batt IN'!$E$28,0)</f>
        <v>0</v>
      </c>
      <c r="BP127" s="2">
        <f>IF(AND('Batt IN'!$D$53="Yes",$AL$1&gt;=1),0,IF($C127='Batt IN'!$H$54*12,-'Batt IN'!$F$54,0))</f>
        <v>0</v>
      </c>
      <c r="BQ127" s="2">
        <f>IF(AND('Batt IN'!$D$53="Yes",$AL$1&gt;=2),0,IF($C127='Batt IN'!$H$55*12,-'Batt IN'!$F$55,0))</f>
        <v>0</v>
      </c>
      <c r="BR127" s="2">
        <f>IF(AND('Batt IN'!$D$53="Yes",$AL$1&gt;=3),0,IF($C127='Batt IN'!$H$56*12,-'Batt IN'!$F$56,0))</f>
        <v>0</v>
      </c>
      <c r="BS127" s="2">
        <f>IF(AND('Batt IN'!$D$53="Yes",$AL$1&gt;=4),0,IF($C127='Batt IN'!$H$57*12,-'Batt IN'!$F$57,0))</f>
        <v>0</v>
      </c>
      <c r="BT127" s="2">
        <f>IF(AND('Batt IN'!$D$53="Yes",$AL$1&gt;=5),0,IF($C127='Batt IN'!$H$58*12,-'Batt IN'!$F$58,0))</f>
        <v>0</v>
      </c>
      <c r="BU127" s="2">
        <f>-AH127*PVCalcs!F127</f>
        <v>-367.85560019676569</v>
      </c>
      <c r="BV127" s="2">
        <f>-'Batt IN'!$E$47</f>
        <v>-150</v>
      </c>
      <c r="BW127" s="2">
        <f>-'Batt IN'!$E$49</f>
        <v>-2250</v>
      </c>
      <c r="BX127" s="2">
        <f>IF('Batt IN'!$H$50="No",-(BC127*'Batt IN'!$E$50),-(BC127+BE127)*'Batt IN'!$E$50)</f>
        <v>0</v>
      </c>
      <c r="BY127" s="2">
        <f>IF(C127='Batt IN'!$H$43*12,-'Batt IN'!$E$43,0)</f>
        <v>0</v>
      </c>
      <c r="BZ127" s="38"/>
      <c r="CA127" s="10">
        <f t="shared" si="17"/>
        <v>13422.323408333334</v>
      </c>
      <c r="CB127" s="2">
        <f t="shared" si="21"/>
        <v>-3017.8556001967654</v>
      </c>
      <c r="CC127" s="45">
        <f t="shared" si="22"/>
        <v>10404.467808136567</v>
      </c>
      <c r="CD127" s="43"/>
      <c r="CE127" s="2">
        <f t="shared" si="18"/>
        <v>0</v>
      </c>
      <c r="CF127" s="2">
        <f t="shared" si="23"/>
        <v>-3017.8556001967654</v>
      </c>
      <c r="CG127" s="2"/>
      <c r="CH127" s="2">
        <f t="shared" si="24"/>
        <v>-3017.8556001967654</v>
      </c>
      <c r="CI127" s="45">
        <f>-CH127*'Batt IN'!$E$7</f>
        <v>633.74967604132075</v>
      </c>
      <c r="CJ127" s="48"/>
      <c r="CK127" s="45">
        <f>IF('Batt IN'!$F$4="PV Only",0,IF(C127&gt;'Batt IN'!$H$43*12,0,CC127+CI127))</f>
        <v>0</v>
      </c>
      <c r="CM127" s="10">
        <f t="shared" si="25"/>
        <v>0</v>
      </c>
      <c r="CN127" s="2">
        <f>CK127/(1+('Batt IN'!$G$8))^(C127)</f>
        <v>0</v>
      </c>
      <c r="CO127" s="2">
        <f>IF(C127&lt;='Batt IN'!$O$30*12,CN127+CO126,NA())</f>
        <v>0</v>
      </c>
      <c r="CQ127" s="2">
        <f>CK127/((1+('Batt IN'!$E$8/12))^BattCalcs!C127)</f>
        <v>0</v>
      </c>
      <c r="CS127" s="10">
        <f t="shared" si="26"/>
        <v>-3017.8556001967654</v>
      </c>
      <c r="CT127" s="10">
        <f t="shared" si="27"/>
        <v>0</v>
      </c>
      <c r="CU127" s="10">
        <f t="shared" si="28"/>
        <v>-3017.8556001967654</v>
      </c>
      <c r="CV127" s="10">
        <f t="shared" si="29"/>
        <v>-3017.8556001967654</v>
      </c>
      <c r="CW127" s="2">
        <f t="shared" si="30"/>
        <v>0</v>
      </c>
      <c r="CX127" s="2">
        <f>-(SUM(CV127:CW127)*'PV IN'!$E$8)</f>
        <v>633.74967604132075</v>
      </c>
      <c r="CY127" s="2">
        <f t="shared" si="31"/>
        <v>-2384.1059241554449</v>
      </c>
      <c r="CZ127" s="2">
        <f>IF(C127&lt;='Batt IN'!$H$43*12,CY127/(1+('PV IN'!$G$9))^(C127),0)</f>
        <v>-1445.8899245711286</v>
      </c>
      <c r="DA127" s="33">
        <f>IF(C127&lt;='Batt IN'!$H$43*12,AE127,0)</f>
        <v>30366.783333333333</v>
      </c>
    </row>
    <row r="128" spans="1:105" x14ac:dyDescent="0.25">
      <c r="A128">
        <f>IF(C128&lt;='Batt IN'!$H$43*12,C128,"")</f>
        <v>124</v>
      </c>
      <c r="C128">
        <v>124</v>
      </c>
      <c r="D128" s="21">
        <v>730</v>
      </c>
      <c r="E128" s="1">
        <f>1-'Batt IN'!$E$31</f>
        <v>2.0000000000000018E-2</v>
      </c>
      <c r="F128" s="12">
        <f>('Batt IN'!$E$33*365)/8760</f>
        <v>0</v>
      </c>
      <c r="G128" s="22">
        <f>'Batt IN'!$E$32/8760</f>
        <v>5.7077625570776253E-3</v>
      </c>
      <c r="H128" s="22">
        <f>'Batt IN'!$E$13/8760</f>
        <v>5.5936073059360729E-3</v>
      </c>
      <c r="I128" s="23">
        <f>IF(C128&lt;='Batt IN'!$G$14*12,'Batt IN'!$E$15/8760*'Batt IN'!$G$15,0)</f>
        <v>0</v>
      </c>
      <c r="J128" s="12">
        <f>Z128/'Batt IN'!$E$27/730</f>
        <v>2.4999999999999996E-3</v>
      </c>
      <c r="K128" s="23">
        <f>AA128/'Batt IN'!$E$27/730</f>
        <v>1.6027397260273972E-3</v>
      </c>
      <c r="L128" s="23">
        <f>AB128/'Batt IN'!$E$27/730</f>
        <v>2.0547945205479451E-4</v>
      </c>
      <c r="M128" s="23">
        <f>AC128/'Batt IN'!$E$27/730</f>
        <v>4.7945205479452057E-3</v>
      </c>
      <c r="N128" s="23">
        <f>AD128/'Batt IN'!$E$27/730</f>
        <v>3.4246575342465752E-3</v>
      </c>
      <c r="O128" s="12">
        <f t="shared" si="19"/>
        <v>4.3828767123287697E-2</v>
      </c>
      <c r="P128" s="21">
        <f t="shared" si="20"/>
        <v>698.005</v>
      </c>
      <c r="Q128" s="2">
        <f>IF('Batt IN'!$E$27*'Batt IN'!$E$24&lt;='Batt IN'!$E$28,(('Batt IN'!$E$23*'Batt IN'!$E$27*'Batt IN'!$E$24)/1000)*P128,(('Batt IN'!$E$23*'Batt IN'!$E$28*'Batt IN'!$E$24)/1000)*P128)</f>
        <v>11168.08</v>
      </c>
      <c r="R128" s="2"/>
      <c r="S128" s="77">
        <f>IF(C128&lt;='Batt IN'!$G$14*12,'Batt IN'!$E$15/12,0)</f>
        <v>0</v>
      </c>
      <c r="T128" s="77"/>
      <c r="U128" s="80">
        <f>'Batt IN'!$E$28*('Batt IN'!$G$24/24)*730*(1-O128)</f>
        <v>81433.916666666657</v>
      </c>
      <c r="V128" s="78">
        <f>U128*'Batt IN'!$F$30</f>
        <v>16286.783333333333</v>
      </c>
      <c r="W128" s="78">
        <f>'Batt IN'!$E$28*'Batt IN'!$G$32*('Batt IN'!$E$32/12)*(1+'Batt IN'!$F$30)</f>
        <v>1750.0000000000002</v>
      </c>
      <c r="X128" s="78">
        <f>'Batt IN'!$E$28*'Batt IN'!$G$13*('Batt IN'!$E$13/12)*(1+'Batt IN'!$F$30)</f>
        <v>3184.9999999999995</v>
      </c>
      <c r="Y128" s="33">
        <f>S128*'Batt IN'!$G$15*'Batt IN'!$E$28*(1+'Batt IN'!$F$30)</f>
        <v>0</v>
      </c>
      <c r="Z128" s="33">
        <f>'Batt IN'!$G$16*365/12*(1+'Batt IN'!$F$30)</f>
        <v>1824.9999999999998</v>
      </c>
      <c r="AA128" s="33">
        <f>'Batt IN'!$G$17*'Batt IN'!$E$18*'Batt IN'!$G$18/12*(1+'Batt IN'!$F$30)</f>
        <v>1170</v>
      </c>
      <c r="AB128" s="33">
        <f>'Batt IN'!$G$19*'Batt IN'!$E$20*'Batt IN'!$G$20/12*(1+'Batt IN'!$F$30)</f>
        <v>150</v>
      </c>
      <c r="AC128" s="33">
        <f>'Batt IN'!$G$21*(1+'Batt IN'!$F$30)/12</f>
        <v>3500</v>
      </c>
      <c r="AD128" s="33">
        <f>'Batt IN'!$G$22*(1+'Batt IN'!$F$30)/12</f>
        <v>2500</v>
      </c>
      <c r="AE128" s="33">
        <f t="shared" si="32"/>
        <v>30366.783333333333</v>
      </c>
      <c r="AF128" s="33">
        <f>IF('PV IN'!$F$4="Battery Only",0,AE128*'Batt IN'!$E$29)</f>
        <v>25811.765833333331</v>
      </c>
      <c r="AG128" s="33">
        <f>PVCalcs!L128</f>
        <v>25811.765833333331</v>
      </c>
      <c r="AH128" s="33">
        <f t="shared" si="33"/>
        <v>4555.0175000000017</v>
      </c>
      <c r="AI128" s="33"/>
      <c r="AJ128" s="2">
        <f>IF(AND('Batt IN'!$D$53="Yes",$AL$1&gt;=1),IF($C128='Batt IN'!$H$54*12,-'Batt IN'!$F$54,0),0)</f>
        <v>0</v>
      </c>
      <c r="AK128" s="2">
        <f>IF(AND('Batt IN'!$D$53="Yes",$AL$1&gt;=2),IF($C128='Batt IN'!$H$55*12,-'Batt IN'!$F$55,0),0)</f>
        <v>0</v>
      </c>
      <c r="AL128" s="2">
        <f>IF(AND('Batt IN'!$D$53="Yes",$AL$1&gt;=3),IF($C128='Batt IN'!$H$56*12,-'Batt IN'!$F$56,0),0)</f>
        <v>0</v>
      </c>
      <c r="AM128" s="2">
        <f>IF(AND('Batt IN'!$D$53="Yes",$AL$1&gt;=4),IF($C128='Batt IN'!$H$57*12,-'Batt IN'!$F$57,0),0)</f>
        <v>0</v>
      </c>
      <c r="AN128" s="2">
        <f>IF(AND('Batt IN'!$D$53="Yes",$AL$1&gt;=5),IF($C128='Batt IN'!$H$58*12,-'Batt IN'!$F$58,0),0)</f>
        <v>0</v>
      </c>
      <c r="AO128" s="10">
        <f>IF(AND('Batt IN'!$D$44="YES",$C128&lt;='Batt IN'!$E$44*12),-'Batt IN'!$E$28*'Batt IN'!$E$42/12,0)</f>
        <v>0</v>
      </c>
      <c r="AP128" s="10">
        <f>IF(AND('Batt IN'!$D$46="YES",$C128&lt;='Batt IN'!$E$46*12),-'Batt IN'!$E$28*'Batt IN'!$E$45/12,0)</f>
        <v>0</v>
      </c>
      <c r="AR128" s="10">
        <f>BattLoan!M155</f>
        <v>0</v>
      </c>
      <c r="AS128" s="10">
        <f>'Batt IN'!$G$16*365/12*'Batt IN'!$E$16</f>
        <v>76.041666666666671</v>
      </c>
      <c r="AT128" s="10">
        <f>IF(AND('Batt IN'!$E$18&gt;0,'Batt IN'!$G$18&gt;0),'Batt IN'!$E$17*'Batt IN'!$G$17,0)</f>
        <v>119.44619999999999</v>
      </c>
      <c r="AU128" s="10">
        <f>IF(AND('Batt IN'!$E$20&gt;0,'Batt IN'!$G$20&gt;0),'Batt IN'!$E$19*'Batt IN'!$G$19,0)</f>
        <v>231</v>
      </c>
      <c r="AV128" s="10"/>
      <c r="AW128" s="10"/>
      <c r="AX128" s="10">
        <f>IF('Batt IN'!$E$11="Non-Taxable",Q128,0)</f>
        <v>11168.08</v>
      </c>
      <c r="AY128" s="10">
        <f>IF('Batt IN'!$E$11="Non-Taxable",'Batt IN'!$E$28/1000*'Batt IN'!$G$13*('Batt IN'!$E$13/12)*'Batt IN'!$E$12,0)</f>
        <v>244.42220833333334</v>
      </c>
      <c r="AZ128" s="10">
        <f>IF('Batt IN'!$E$11="Non-Taxable",$S128*'Batt IN'!$G$15*'Batt IN'!$E$28*'Batt IN'!$E$14/1000,0)</f>
        <v>0</v>
      </c>
      <c r="BA128" s="10">
        <f>IF('Batt IN'!$E$11="Non-Taxable",'Batt IN'!$E$21*'Batt IN'!$G$21/12,0)</f>
        <v>437.5</v>
      </c>
      <c r="BB128" s="10">
        <f>IF('Batt IN'!$E$11="Non-Taxable",'Batt IN'!$E$22*'Batt IN'!$G$22/12,0)</f>
        <v>1145.8333333333335</v>
      </c>
      <c r="BC128" s="10">
        <f>IF('Batt IN'!$E$11="Taxable",Q128,0)</f>
        <v>0</v>
      </c>
      <c r="BD128" s="10">
        <f>IF('Batt IN'!$E$11="Taxable",'Batt IN'!$E$28/1000*'Batt IN'!$G$13*('Batt IN'!$E$13/12)*'Batt IN'!$E$12,0)</f>
        <v>0</v>
      </c>
      <c r="BE128" s="10">
        <f>IF('Batt IN'!$E$11="Taxable",$S128*'Batt IN'!$G$15*'Batt IN'!$E$28*'Batt IN'!$E$14/1000,0)</f>
        <v>0</v>
      </c>
      <c r="BF128" s="10">
        <f>IF('Batt IN'!$E$11="Taxable",'Batt IN'!$E$21*'Batt IN'!$G$21/12,0)</f>
        <v>0</v>
      </c>
      <c r="BG128" s="10">
        <f>IF('Batt IN'!$E$11="Taxable",'Batt IN'!$E$22*'Batt IN'!$G$22/12,0)</f>
        <v>0</v>
      </c>
      <c r="BK128" s="10">
        <f>IF('Batt IN'!$N$18="Yes",-BattLoan!H156,-BattLoan!L156)</f>
        <v>0</v>
      </c>
      <c r="BL128" s="10">
        <f>IF('Batt IN'!$N$18="Yes",-BattLoan!F156,0)</f>
        <v>0</v>
      </c>
      <c r="BM128" s="10">
        <f>IF(AND('Batt IN'!$D$44="YES",$C128&lt;='Batt IN'!$E$44*12),0,-'Batt IN'!$E$28*'Batt IN'!$E$42/12)</f>
        <v>-83.333333333333329</v>
      </c>
      <c r="BN128" s="10">
        <f>IF(AND('Batt IN'!$D$46="YES",$C128&lt;='Batt IN'!$E$46*12),0,-'Batt IN'!$E$28*'Batt IN'!$E$45/12)</f>
        <v>-166.66666666666666</v>
      </c>
      <c r="BO128" s="2">
        <f>IF(AND('Batt IN'!$D$41="YES",BattCalcs!C128=ROUNDUP('Batt IN'!$H$41*12,)),-'Batt IN'!$E$41*'Batt IN'!$E$28,0)</f>
        <v>0</v>
      </c>
      <c r="BP128" s="2">
        <f>IF(AND('Batt IN'!$D$53="Yes",$AL$1&gt;=1),0,IF($C128='Batt IN'!$H$54*12,-'Batt IN'!$F$54,0))</f>
        <v>0</v>
      </c>
      <c r="BQ128" s="2">
        <f>IF(AND('Batt IN'!$D$53="Yes",$AL$1&gt;=2),0,IF($C128='Batt IN'!$H$55*12,-'Batt IN'!$F$55,0))</f>
        <v>0</v>
      </c>
      <c r="BR128" s="2">
        <f>IF(AND('Batt IN'!$D$53="Yes",$AL$1&gt;=3),0,IF($C128='Batt IN'!$H$56*12,-'Batt IN'!$F$56,0))</f>
        <v>0</v>
      </c>
      <c r="BS128" s="2">
        <f>IF(AND('Batt IN'!$D$53="Yes",$AL$1&gt;=4),0,IF($C128='Batt IN'!$H$57*12,-'Batt IN'!$F$57,0))</f>
        <v>0</v>
      </c>
      <c r="BT128" s="2">
        <f>IF(AND('Batt IN'!$D$53="Yes",$AL$1&gt;=5),0,IF($C128='Batt IN'!$H$58*12,-'Batt IN'!$F$58,0))</f>
        <v>0</v>
      </c>
      <c r="BU128" s="2">
        <f>-AH128*PVCalcs!F128</f>
        <v>-367.85560019676569</v>
      </c>
      <c r="BV128" s="2">
        <f>-'Batt IN'!$E$47</f>
        <v>-150</v>
      </c>
      <c r="BW128" s="2">
        <f>-'Batt IN'!$E$49</f>
        <v>-2250</v>
      </c>
      <c r="BX128" s="2">
        <f>IF('Batt IN'!$H$50="No",-(BC128*'Batt IN'!$E$50),-(BC128+BE128)*'Batt IN'!$E$50)</f>
        <v>0</v>
      </c>
      <c r="BY128" s="2">
        <f>IF(C128='Batt IN'!$H$43*12,-'Batt IN'!$E$43,0)</f>
        <v>0</v>
      </c>
      <c r="BZ128" s="38"/>
      <c r="CA128" s="10">
        <f t="shared" si="17"/>
        <v>13422.323408333334</v>
      </c>
      <c r="CB128" s="2">
        <f t="shared" si="21"/>
        <v>-3017.8556001967654</v>
      </c>
      <c r="CC128" s="45">
        <f t="shared" si="22"/>
        <v>10404.467808136567</v>
      </c>
      <c r="CD128" s="43"/>
      <c r="CE128" s="2">
        <f t="shared" si="18"/>
        <v>0</v>
      </c>
      <c r="CF128" s="2">
        <f t="shared" si="23"/>
        <v>-3017.8556001967654</v>
      </c>
      <c r="CG128" s="2"/>
      <c r="CH128" s="2">
        <f t="shared" si="24"/>
        <v>-3017.8556001967654</v>
      </c>
      <c r="CI128" s="45">
        <f>-CH128*'Batt IN'!$E$7</f>
        <v>633.74967604132075</v>
      </c>
      <c r="CJ128" s="48"/>
      <c r="CK128" s="45">
        <f>IF('Batt IN'!$F$4="PV Only",0,IF(C128&gt;'Batt IN'!$H$43*12,0,CC128+CI128))</f>
        <v>0</v>
      </c>
      <c r="CM128" s="10">
        <f t="shared" si="25"/>
        <v>0</v>
      </c>
      <c r="CN128" s="2">
        <f>CK128/(1+('Batt IN'!$G$8))^(C128)</f>
        <v>0</v>
      </c>
      <c r="CO128" s="2">
        <f>IF(C128&lt;='Batt IN'!$O$30*12,CN128+CO127,NA())</f>
        <v>0</v>
      </c>
      <c r="CQ128" s="2">
        <f>CK128/((1+('Batt IN'!$E$8/12))^BattCalcs!C128)</f>
        <v>0</v>
      </c>
      <c r="CS128" s="10">
        <f t="shared" si="26"/>
        <v>-3017.8556001967654</v>
      </c>
      <c r="CT128" s="10">
        <f t="shared" si="27"/>
        <v>0</v>
      </c>
      <c r="CU128" s="10">
        <f t="shared" si="28"/>
        <v>-3017.8556001967654</v>
      </c>
      <c r="CV128" s="10">
        <f t="shared" si="29"/>
        <v>-3017.8556001967654</v>
      </c>
      <c r="CW128" s="2">
        <f t="shared" si="30"/>
        <v>0</v>
      </c>
      <c r="CX128" s="2">
        <f>-(SUM(CV128:CW128)*'PV IN'!$E$8)</f>
        <v>633.74967604132075</v>
      </c>
      <c r="CY128" s="2">
        <f t="shared" si="31"/>
        <v>-2384.1059241554449</v>
      </c>
      <c r="CZ128" s="2">
        <f>IF(C128&lt;='Batt IN'!$H$43*12,CY128/(1+('PV IN'!$G$9))^(C128),0)</f>
        <v>-1440.0230922420226</v>
      </c>
      <c r="DA128" s="33">
        <f>IF(C128&lt;='Batt IN'!$H$43*12,AE128,0)</f>
        <v>30366.783333333333</v>
      </c>
    </row>
    <row r="129" spans="1:105" x14ac:dyDescent="0.25">
      <c r="A129">
        <f>IF(C129&lt;='Batt IN'!$H$43*12,C129,"")</f>
        <v>125</v>
      </c>
      <c r="C129">
        <v>125</v>
      </c>
      <c r="D129" s="21">
        <v>730</v>
      </c>
      <c r="E129" s="1">
        <f>1-'Batt IN'!$E$31</f>
        <v>2.0000000000000018E-2</v>
      </c>
      <c r="F129" s="12">
        <f>('Batt IN'!$E$33*365)/8760</f>
        <v>0</v>
      </c>
      <c r="G129" s="22">
        <f>'Batt IN'!$E$32/8760</f>
        <v>5.7077625570776253E-3</v>
      </c>
      <c r="H129" s="22">
        <f>'Batt IN'!$E$13/8760</f>
        <v>5.5936073059360729E-3</v>
      </c>
      <c r="I129" s="23">
        <f>IF(C129&lt;='Batt IN'!$G$14*12,'Batt IN'!$E$15/8760*'Batt IN'!$G$15,0)</f>
        <v>0</v>
      </c>
      <c r="J129" s="12">
        <f>Z129/'Batt IN'!$E$27/730</f>
        <v>2.4999999999999996E-3</v>
      </c>
      <c r="K129" s="23">
        <f>AA129/'Batt IN'!$E$27/730</f>
        <v>1.6027397260273972E-3</v>
      </c>
      <c r="L129" s="23">
        <f>AB129/'Batt IN'!$E$27/730</f>
        <v>2.0547945205479451E-4</v>
      </c>
      <c r="M129" s="23">
        <f>AC129/'Batt IN'!$E$27/730</f>
        <v>4.7945205479452057E-3</v>
      </c>
      <c r="N129" s="23">
        <f>AD129/'Batt IN'!$E$27/730</f>
        <v>3.4246575342465752E-3</v>
      </c>
      <c r="O129" s="12">
        <f t="shared" si="19"/>
        <v>4.3828767123287697E-2</v>
      </c>
      <c r="P129" s="21">
        <f t="shared" si="20"/>
        <v>698.005</v>
      </c>
      <c r="Q129" s="2">
        <f>IF('Batt IN'!$E$27*'Batt IN'!$E$24&lt;='Batt IN'!$E$28,(('Batt IN'!$E$23*'Batt IN'!$E$27*'Batt IN'!$E$24)/1000)*P129,(('Batt IN'!$E$23*'Batt IN'!$E$28*'Batt IN'!$E$24)/1000)*P129)</f>
        <v>11168.08</v>
      </c>
      <c r="R129" s="2"/>
      <c r="S129" s="77">
        <f>IF(C129&lt;='Batt IN'!$G$14*12,'Batt IN'!$E$15/12,0)</f>
        <v>0</v>
      </c>
      <c r="T129" s="77"/>
      <c r="U129" s="80">
        <f>'Batt IN'!$E$28*('Batt IN'!$G$24/24)*730*(1-O129)</f>
        <v>81433.916666666657</v>
      </c>
      <c r="V129" s="78">
        <f>U129*'Batt IN'!$F$30</f>
        <v>16286.783333333333</v>
      </c>
      <c r="W129" s="78">
        <f>'Batt IN'!$E$28*'Batt IN'!$G$32*('Batt IN'!$E$32/12)*(1+'Batt IN'!$F$30)</f>
        <v>1750.0000000000002</v>
      </c>
      <c r="X129" s="78">
        <f>'Batt IN'!$E$28*'Batt IN'!$G$13*('Batt IN'!$E$13/12)*(1+'Batt IN'!$F$30)</f>
        <v>3184.9999999999995</v>
      </c>
      <c r="Y129" s="33">
        <f>S129*'Batt IN'!$G$15*'Batt IN'!$E$28*(1+'Batt IN'!$F$30)</f>
        <v>0</v>
      </c>
      <c r="Z129" s="33">
        <f>'Batt IN'!$G$16*365/12*(1+'Batt IN'!$F$30)</f>
        <v>1824.9999999999998</v>
      </c>
      <c r="AA129" s="33">
        <f>'Batt IN'!$G$17*'Batt IN'!$E$18*'Batt IN'!$G$18/12*(1+'Batt IN'!$F$30)</f>
        <v>1170</v>
      </c>
      <c r="AB129" s="33">
        <f>'Batt IN'!$G$19*'Batt IN'!$E$20*'Batt IN'!$G$20/12*(1+'Batt IN'!$F$30)</f>
        <v>150</v>
      </c>
      <c r="AC129" s="33">
        <f>'Batt IN'!$G$21*(1+'Batt IN'!$F$30)/12</f>
        <v>3500</v>
      </c>
      <c r="AD129" s="33">
        <f>'Batt IN'!$G$22*(1+'Batt IN'!$F$30)/12</f>
        <v>2500</v>
      </c>
      <c r="AE129" s="33">
        <f t="shared" si="32"/>
        <v>30366.783333333333</v>
      </c>
      <c r="AF129" s="33">
        <f>IF('PV IN'!$F$4="Battery Only",0,AE129*'Batt IN'!$E$29)</f>
        <v>25811.765833333331</v>
      </c>
      <c r="AG129" s="33">
        <f>PVCalcs!L129</f>
        <v>25811.765833333331</v>
      </c>
      <c r="AH129" s="33">
        <f t="shared" si="33"/>
        <v>4555.0175000000017</v>
      </c>
      <c r="AI129" s="33"/>
      <c r="AJ129" s="2">
        <f>IF(AND('Batt IN'!$D$53="Yes",$AL$1&gt;=1),IF($C129='Batt IN'!$H$54*12,-'Batt IN'!$F$54,0),0)</f>
        <v>0</v>
      </c>
      <c r="AK129" s="2">
        <f>IF(AND('Batt IN'!$D$53="Yes",$AL$1&gt;=2),IF($C129='Batt IN'!$H$55*12,-'Batt IN'!$F$55,0),0)</f>
        <v>0</v>
      </c>
      <c r="AL129" s="2">
        <f>IF(AND('Batt IN'!$D$53="Yes",$AL$1&gt;=3),IF($C129='Batt IN'!$H$56*12,-'Batt IN'!$F$56,0),0)</f>
        <v>0</v>
      </c>
      <c r="AM129" s="2">
        <f>IF(AND('Batt IN'!$D$53="Yes",$AL$1&gt;=4),IF($C129='Batt IN'!$H$57*12,-'Batt IN'!$F$57,0),0)</f>
        <v>0</v>
      </c>
      <c r="AN129" s="2">
        <f>IF(AND('Batt IN'!$D$53="Yes",$AL$1&gt;=5),IF($C129='Batt IN'!$H$58*12,-'Batt IN'!$F$58,0),0)</f>
        <v>0</v>
      </c>
      <c r="AO129" s="10">
        <f>IF(AND('Batt IN'!$D$44="YES",$C129&lt;='Batt IN'!$E$44*12),-'Batt IN'!$E$28*'Batt IN'!$E$42/12,0)</f>
        <v>0</v>
      </c>
      <c r="AP129" s="10">
        <f>IF(AND('Batt IN'!$D$46="YES",$C129&lt;='Batt IN'!$E$46*12),-'Batt IN'!$E$28*'Batt IN'!$E$45/12,0)</f>
        <v>0</v>
      </c>
      <c r="AR129" s="10">
        <f>BattLoan!M156</f>
        <v>0</v>
      </c>
      <c r="AS129" s="10">
        <f>'Batt IN'!$G$16*365/12*'Batt IN'!$E$16</f>
        <v>76.041666666666671</v>
      </c>
      <c r="AT129" s="10">
        <f>IF(AND('Batt IN'!$E$18&gt;0,'Batt IN'!$G$18&gt;0),'Batt IN'!$E$17*'Batt IN'!$G$17,0)</f>
        <v>119.44619999999999</v>
      </c>
      <c r="AU129" s="10">
        <f>IF(AND('Batt IN'!$E$20&gt;0,'Batt IN'!$G$20&gt;0),'Batt IN'!$E$19*'Batt IN'!$G$19,0)</f>
        <v>231</v>
      </c>
      <c r="AV129" s="10"/>
      <c r="AW129" s="10"/>
      <c r="AX129" s="10">
        <f>IF('Batt IN'!$E$11="Non-Taxable",Q129,0)</f>
        <v>11168.08</v>
      </c>
      <c r="AY129" s="10">
        <f>IF('Batt IN'!$E$11="Non-Taxable",'Batt IN'!$E$28/1000*'Batt IN'!$G$13*('Batt IN'!$E$13/12)*'Batt IN'!$E$12,0)</f>
        <v>244.42220833333334</v>
      </c>
      <c r="AZ129" s="10">
        <f>IF('Batt IN'!$E$11="Non-Taxable",$S129*'Batt IN'!$G$15*'Batt IN'!$E$28*'Batt IN'!$E$14/1000,0)</f>
        <v>0</v>
      </c>
      <c r="BA129" s="10">
        <f>IF('Batt IN'!$E$11="Non-Taxable",'Batt IN'!$E$21*'Batt IN'!$G$21/12,0)</f>
        <v>437.5</v>
      </c>
      <c r="BB129" s="10">
        <f>IF('Batt IN'!$E$11="Non-Taxable",'Batt IN'!$E$22*'Batt IN'!$G$22/12,0)</f>
        <v>1145.8333333333335</v>
      </c>
      <c r="BC129" s="10">
        <f>IF('Batt IN'!$E$11="Taxable",Q129,0)</f>
        <v>0</v>
      </c>
      <c r="BD129" s="10">
        <f>IF('Batt IN'!$E$11="Taxable",'Batt IN'!$E$28/1000*'Batt IN'!$G$13*('Batt IN'!$E$13/12)*'Batt IN'!$E$12,0)</f>
        <v>0</v>
      </c>
      <c r="BE129" s="10">
        <f>IF('Batt IN'!$E$11="Taxable",$S129*'Batt IN'!$G$15*'Batt IN'!$E$28*'Batt IN'!$E$14/1000,0)</f>
        <v>0</v>
      </c>
      <c r="BF129" s="10">
        <f>IF('Batt IN'!$E$11="Taxable",'Batt IN'!$E$21*'Batt IN'!$G$21/12,0)</f>
        <v>0</v>
      </c>
      <c r="BG129" s="10">
        <f>IF('Batt IN'!$E$11="Taxable",'Batt IN'!$E$22*'Batt IN'!$G$22/12,0)</f>
        <v>0</v>
      </c>
      <c r="BK129" s="10">
        <f>IF('Batt IN'!$N$18="Yes",-BattLoan!H157,-BattLoan!L157)</f>
        <v>0</v>
      </c>
      <c r="BL129" s="10">
        <f>IF('Batt IN'!$N$18="Yes",-BattLoan!F157,0)</f>
        <v>0</v>
      </c>
      <c r="BM129" s="10">
        <f>IF(AND('Batt IN'!$D$44="YES",$C129&lt;='Batt IN'!$E$44*12),0,-'Batt IN'!$E$28*'Batt IN'!$E$42/12)</f>
        <v>-83.333333333333329</v>
      </c>
      <c r="BN129" s="10">
        <f>IF(AND('Batt IN'!$D$46="YES",$C129&lt;='Batt IN'!$E$46*12),0,-'Batt IN'!$E$28*'Batt IN'!$E$45/12)</f>
        <v>-166.66666666666666</v>
      </c>
      <c r="BO129" s="2">
        <f>IF(AND('Batt IN'!$D$41="YES",BattCalcs!C129=ROUNDUP('Batt IN'!$H$41*12,)),-'Batt IN'!$E$41*'Batt IN'!$E$28,0)</f>
        <v>0</v>
      </c>
      <c r="BP129" s="2">
        <f>IF(AND('Batt IN'!$D$53="Yes",$AL$1&gt;=1),0,IF($C129='Batt IN'!$H$54*12,-'Batt IN'!$F$54,0))</f>
        <v>0</v>
      </c>
      <c r="BQ129" s="2">
        <f>IF(AND('Batt IN'!$D$53="Yes",$AL$1&gt;=2),0,IF($C129='Batt IN'!$H$55*12,-'Batt IN'!$F$55,0))</f>
        <v>0</v>
      </c>
      <c r="BR129" s="2">
        <f>IF(AND('Batt IN'!$D$53="Yes",$AL$1&gt;=3),0,IF($C129='Batt IN'!$H$56*12,-'Batt IN'!$F$56,0))</f>
        <v>0</v>
      </c>
      <c r="BS129" s="2">
        <f>IF(AND('Batt IN'!$D$53="Yes",$AL$1&gt;=4),0,IF($C129='Batt IN'!$H$57*12,-'Batt IN'!$F$57,0))</f>
        <v>0</v>
      </c>
      <c r="BT129" s="2">
        <f>IF(AND('Batt IN'!$D$53="Yes",$AL$1&gt;=5),0,IF($C129='Batt IN'!$H$58*12,-'Batt IN'!$F$58,0))</f>
        <v>0</v>
      </c>
      <c r="BU129" s="2">
        <f>-AH129*PVCalcs!F129</f>
        <v>-367.85560019676569</v>
      </c>
      <c r="BV129" s="2">
        <f>-'Batt IN'!$E$47</f>
        <v>-150</v>
      </c>
      <c r="BW129" s="2">
        <f>-'Batt IN'!$E$49</f>
        <v>-2250</v>
      </c>
      <c r="BX129" s="2">
        <f>IF('Batt IN'!$H$50="No",-(BC129*'Batt IN'!$E$50),-(BC129+BE129)*'Batt IN'!$E$50)</f>
        <v>0</v>
      </c>
      <c r="BY129" s="2">
        <f>IF(C129='Batt IN'!$H$43*12,-'Batt IN'!$E$43,0)</f>
        <v>0</v>
      </c>
      <c r="BZ129" s="38"/>
      <c r="CA129" s="10">
        <f t="shared" si="17"/>
        <v>13422.323408333334</v>
      </c>
      <c r="CB129" s="2">
        <f t="shared" si="21"/>
        <v>-3017.8556001967654</v>
      </c>
      <c r="CC129" s="45">
        <f t="shared" si="22"/>
        <v>10404.467808136567</v>
      </c>
      <c r="CD129" s="43"/>
      <c r="CE129" s="2">
        <f t="shared" si="18"/>
        <v>0</v>
      </c>
      <c r="CF129" s="2">
        <f t="shared" si="23"/>
        <v>-3017.8556001967654</v>
      </c>
      <c r="CG129" s="2"/>
      <c r="CH129" s="2">
        <f t="shared" si="24"/>
        <v>-3017.8556001967654</v>
      </c>
      <c r="CI129" s="45">
        <f>-CH129*'Batt IN'!$E$7</f>
        <v>633.74967604132075</v>
      </c>
      <c r="CJ129" s="48"/>
      <c r="CK129" s="45">
        <f>IF('Batt IN'!$F$4="PV Only",0,IF(C129&gt;'Batt IN'!$H$43*12,0,CC129+CI129))</f>
        <v>0</v>
      </c>
      <c r="CM129" s="10">
        <f t="shared" si="25"/>
        <v>0</v>
      </c>
      <c r="CN129" s="2">
        <f>CK129/(1+('Batt IN'!$G$8))^(C129)</f>
        <v>0</v>
      </c>
      <c r="CO129" s="2">
        <f>IF(C129&lt;='Batt IN'!$O$30*12,CN129+CO128,NA())</f>
        <v>0</v>
      </c>
      <c r="CQ129" s="2">
        <f>CK129/((1+('Batt IN'!$E$8/12))^BattCalcs!C129)</f>
        <v>0</v>
      </c>
      <c r="CS129" s="10">
        <f t="shared" si="26"/>
        <v>-3017.8556001967654</v>
      </c>
      <c r="CT129" s="10">
        <f t="shared" si="27"/>
        <v>0</v>
      </c>
      <c r="CU129" s="10">
        <f t="shared" si="28"/>
        <v>-3017.8556001967654</v>
      </c>
      <c r="CV129" s="10">
        <f t="shared" si="29"/>
        <v>-3017.8556001967654</v>
      </c>
      <c r="CW129" s="2">
        <f t="shared" si="30"/>
        <v>0</v>
      </c>
      <c r="CX129" s="2">
        <f>-(SUM(CV129:CW129)*'PV IN'!$E$8)</f>
        <v>633.74967604132075</v>
      </c>
      <c r="CY129" s="2">
        <f t="shared" si="31"/>
        <v>-2384.1059241554449</v>
      </c>
      <c r="CZ129" s="2">
        <f>IF(C129&lt;='Batt IN'!$H$43*12,CY129/(1+('PV IN'!$G$9))^(C129),0)</f>
        <v>-1434.1800651286474</v>
      </c>
      <c r="DA129" s="33">
        <f>IF(C129&lt;='Batt IN'!$H$43*12,AE129,0)</f>
        <v>30366.783333333333</v>
      </c>
    </row>
    <row r="130" spans="1:105" x14ac:dyDescent="0.25">
      <c r="A130">
        <f>IF(C130&lt;='Batt IN'!$H$43*12,C130,"")</f>
        <v>126</v>
      </c>
      <c r="C130">
        <v>126</v>
      </c>
      <c r="D130" s="21">
        <v>730</v>
      </c>
      <c r="E130" s="1">
        <f>1-'Batt IN'!$E$31</f>
        <v>2.0000000000000018E-2</v>
      </c>
      <c r="F130" s="12">
        <f>('Batt IN'!$E$33*365)/8760</f>
        <v>0</v>
      </c>
      <c r="G130" s="22">
        <f>'Batt IN'!$E$32/8760</f>
        <v>5.7077625570776253E-3</v>
      </c>
      <c r="H130" s="22">
        <f>'Batt IN'!$E$13/8760</f>
        <v>5.5936073059360729E-3</v>
      </c>
      <c r="I130" s="23">
        <f>IF(C130&lt;='Batt IN'!$G$14*12,'Batt IN'!$E$15/8760*'Batt IN'!$G$15,0)</f>
        <v>0</v>
      </c>
      <c r="J130" s="12">
        <f>Z130/'Batt IN'!$E$27/730</f>
        <v>2.4999999999999996E-3</v>
      </c>
      <c r="K130" s="23">
        <f>AA130/'Batt IN'!$E$27/730</f>
        <v>1.6027397260273972E-3</v>
      </c>
      <c r="L130" s="23">
        <f>AB130/'Batt IN'!$E$27/730</f>
        <v>2.0547945205479451E-4</v>
      </c>
      <c r="M130" s="23">
        <f>AC130/'Batt IN'!$E$27/730</f>
        <v>4.7945205479452057E-3</v>
      </c>
      <c r="N130" s="23">
        <f>AD130/'Batt IN'!$E$27/730</f>
        <v>3.4246575342465752E-3</v>
      </c>
      <c r="O130" s="12">
        <f t="shared" si="19"/>
        <v>4.3828767123287697E-2</v>
      </c>
      <c r="P130" s="21">
        <f t="shared" si="20"/>
        <v>698.005</v>
      </c>
      <c r="Q130" s="2">
        <f>IF('Batt IN'!$E$27*'Batt IN'!$E$24&lt;='Batt IN'!$E$28,(('Batt IN'!$E$23*'Batt IN'!$E$27*'Batt IN'!$E$24)/1000)*P130,(('Batt IN'!$E$23*'Batt IN'!$E$28*'Batt IN'!$E$24)/1000)*P130)</f>
        <v>11168.08</v>
      </c>
      <c r="R130" s="2"/>
      <c r="S130" s="77">
        <f>IF(C130&lt;='Batt IN'!$G$14*12,'Batt IN'!$E$15/12,0)</f>
        <v>0</v>
      </c>
      <c r="T130" s="77"/>
      <c r="U130" s="80">
        <f>'Batt IN'!$E$28*('Batt IN'!$G$24/24)*730*(1-O130)</f>
        <v>81433.916666666657</v>
      </c>
      <c r="V130" s="78">
        <f>U130*'Batt IN'!$F$30</f>
        <v>16286.783333333333</v>
      </c>
      <c r="W130" s="78">
        <f>'Batt IN'!$E$28*'Batt IN'!$G$32*('Batt IN'!$E$32/12)*(1+'Batt IN'!$F$30)</f>
        <v>1750.0000000000002</v>
      </c>
      <c r="X130" s="78">
        <f>'Batt IN'!$E$28*'Batt IN'!$G$13*('Batt IN'!$E$13/12)*(1+'Batt IN'!$F$30)</f>
        <v>3184.9999999999995</v>
      </c>
      <c r="Y130" s="33">
        <f>S130*'Batt IN'!$G$15*'Batt IN'!$E$28*(1+'Batt IN'!$F$30)</f>
        <v>0</v>
      </c>
      <c r="Z130" s="33">
        <f>'Batt IN'!$G$16*365/12*(1+'Batt IN'!$F$30)</f>
        <v>1824.9999999999998</v>
      </c>
      <c r="AA130" s="33">
        <f>'Batt IN'!$G$17*'Batt IN'!$E$18*'Batt IN'!$G$18/12*(1+'Batt IN'!$F$30)</f>
        <v>1170</v>
      </c>
      <c r="AB130" s="33">
        <f>'Batt IN'!$G$19*'Batt IN'!$E$20*'Batt IN'!$G$20/12*(1+'Batt IN'!$F$30)</f>
        <v>150</v>
      </c>
      <c r="AC130" s="33">
        <f>'Batt IN'!$G$21*(1+'Batt IN'!$F$30)/12</f>
        <v>3500</v>
      </c>
      <c r="AD130" s="33">
        <f>'Batt IN'!$G$22*(1+'Batt IN'!$F$30)/12</f>
        <v>2500</v>
      </c>
      <c r="AE130" s="33">
        <f t="shared" si="32"/>
        <v>30366.783333333333</v>
      </c>
      <c r="AF130" s="33">
        <f>IF('PV IN'!$F$4="Battery Only",0,AE130*'Batt IN'!$E$29)</f>
        <v>25811.765833333331</v>
      </c>
      <c r="AG130" s="33">
        <f>PVCalcs!L130</f>
        <v>25811.765833333331</v>
      </c>
      <c r="AH130" s="33">
        <f t="shared" si="33"/>
        <v>4555.0175000000017</v>
      </c>
      <c r="AI130" s="33"/>
      <c r="AJ130" s="2">
        <f>IF(AND('Batt IN'!$D$53="Yes",$AL$1&gt;=1),IF($C130='Batt IN'!$H$54*12,-'Batt IN'!$F$54,0),0)</f>
        <v>0</v>
      </c>
      <c r="AK130" s="2">
        <f>IF(AND('Batt IN'!$D$53="Yes",$AL$1&gt;=2),IF($C130='Batt IN'!$H$55*12,-'Batt IN'!$F$55,0),0)</f>
        <v>0</v>
      </c>
      <c r="AL130" s="2">
        <f>IF(AND('Batt IN'!$D$53="Yes",$AL$1&gt;=3),IF($C130='Batt IN'!$H$56*12,-'Batt IN'!$F$56,0),0)</f>
        <v>0</v>
      </c>
      <c r="AM130" s="2">
        <f>IF(AND('Batt IN'!$D$53="Yes",$AL$1&gt;=4),IF($C130='Batt IN'!$H$57*12,-'Batt IN'!$F$57,0),0)</f>
        <v>0</v>
      </c>
      <c r="AN130" s="2">
        <f>IF(AND('Batt IN'!$D$53="Yes",$AL$1&gt;=5),IF($C130='Batt IN'!$H$58*12,-'Batt IN'!$F$58,0),0)</f>
        <v>0</v>
      </c>
      <c r="AO130" s="10">
        <f>IF(AND('Batt IN'!$D$44="YES",$C130&lt;='Batt IN'!$E$44*12),-'Batt IN'!$E$28*'Batt IN'!$E$42/12,0)</f>
        <v>0</v>
      </c>
      <c r="AP130" s="10">
        <f>IF(AND('Batt IN'!$D$46="YES",$C130&lt;='Batt IN'!$E$46*12),-'Batt IN'!$E$28*'Batt IN'!$E$45/12,0)</f>
        <v>0</v>
      </c>
      <c r="AR130" s="10">
        <f>BattLoan!M157</f>
        <v>0</v>
      </c>
      <c r="AS130" s="10">
        <f>'Batt IN'!$G$16*365/12*'Batt IN'!$E$16</f>
        <v>76.041666666666671</v>
      </c>
      <c r="AT130" s="10">
        <f>IF(AND('Batt IN'!$E$18&gt;0,'Batt IN'!$G$18&gt;0),'Batt IN'!$E$17*'Batt IN'!$G$17,0)</f>
        <v>119.44619999999999</v>
      </c>
      <c r="AU130" s="10">
        <f>IF(AND('Batt IN'!$E$20&gt;0,'Batt IN'!$G$20&gt;0),'Batt IN'!$E$19*'Batt IN'!$G$19,0)</f>
        <v>231</v>
      </c>
      <c r="AV130" s="10"/>
      <c r="AW130" s="10"/>
      <c r="AX130" s="10">
        <f>IF('Batt IN'!$E$11="Non-Taxable",Q130,0)</f>
        <v>11168.08</v>
      </c>
      <c r="AY130" s="10">
        <f>IF('Batt IN'!$E$11="Non-Taxable",'Batt IN'!$E$28/1000*'Batt IN'!$G$13*('Batt IN'!$E$13/12)*'Batt IN'!$E$12,0)</f>
        <v>244.42220833333334</v>
      </c>
      <c r="AZ130" s="10">
        <f>IF('Batt IN'!$E$11="Non-Taxable",$S130*'Batt IN'!$G$15*'Batt IN'!$E$28*'Batt IN'!$E$14/1000,0)</f>
        <v>0</v>
      </c>
      <c r="BA130" s="10">
        <f>IF('Batt IN'!$E$11="Non-Taxable",'Batt IN'!$E$21*'Batt IN'!$G$21/12,0)</f>
        <v>437.5</v>
      </c>
      <c r="BB130" s="10">
        <f>IF('Batt IN'!$E$11="Non-Taxable",'Batt IN'!$E$22*'Batt IN'!$G$22/12,0)</f>
        <v>1145.8333333333335</v>
      </c>
      <c r="BC130" s="10">
        <f>IF('Batt IN'!$E$11="Taxable",Q130,0)</f>
        <v>0</v>
      </c>
      <c r="BD130" s="10">
        <f>IF('Batt IN'!$E$11="Taxable",'Batt IN'!$E$28/1000*'Batt IN'!$G$13*('Batt IN'!$E$13/12)*'Batt IN'!$E$12,0)</f>
        <v>0</v>
      </c>
      <c r="BE130" s="10">
        <f>IF('Batt IN'!$E$11="Taxable",$S130*'Batt IN'!$G$15*'Batt IN'!$E$28*'Batt IN'!$E$14/1000,0)</f>
        <v>0</v>
      </c>
      <c r="BF130" s="10">
        <f>IF('Batt IN'!$E$11="Taxable",'Batt IN'!$E$21*'Batt IN'!$G$21/12,0)</f>
        <v>0</v>
      </c>
      <c r="BG130" s="10">
        <f>IF('Batt IN'!$E$11="Taxable",'Batt IN'!$E$22*'Batt IN'!$G$22/12,0)</f>
        <v>0</v>
      </c>
      <c r="BK130" s="10">
        <f>IF('Batt IN'!$N$18="Yes",-BattLoan!H158,-BattLoan!L158)</f>
        <v>0</v>
      </c>
      <c r="BL130" s="10">
        <f>IF('Batt IN'!$N$18="Yes",-BattLoan!F158,0)</f>
        <v>0</v>
      </c>
      <c r="BM130" s="10">
        <f>IF(AND('Batt IN'!$D$44="YES",$C130&lt;='Batt IN'!$E$44*12),0,-'Batt IN'!$E$28*'Batt IN'!$E$42/12)</f>
        <v>-83.333333333333329</v>
      </c>
      <c r="BN130" s="10">
        <f>IF(AND('Batt IN'!$D$46="YES",$C130&lt;='Batt IN'!$E$46*12),0,-'Batt IN'!$E$28*'Batt IN'!$E$45/12)</f>
        <v>-166.66666666666666</v>
      </c>
      <c r="BO130" s="2">
        <f>IF(AND('Batt IN'!$D$41="YES",BattCalcs!C130=ROUNDUP('Batt IN'!$H$41*12,)),-'Batt IN'!$E$41*'Batt IN'!$E$28,0)</f>
        <v>0</v>
      </c>
      <c r="BP130" s="2">
        <f>IF(AND('Batt IN'!$D$53="Yes",$AL$1&gt;=1),0,IF($C130='Batt IN'!$H$54*12,-'Batt IN'!$F$54,0))</f>
        <v>0</v>
      </c>
      <c r="BQ130" s="2">
        <f>IF(AND('Batt IN'!$D$53="Yes",$AL$1&gt;=2),0,IF($C130='Batt IN'!$H$55*12,-'Batt IN'!$F$55,0))</f>
        <v>0</v>
      </c>
      <c r="BR130" s="2">
        <f>IF(AND('Batt IN'!$D$53="Yes",$AL$1&gt;=3),0,IF($C130='Batt IN'!$H$56*12,-'Batt IN'!$F$56,0))</f>
        <v>0</v>
      </c>
      <c r="BS130" s="2">
        <f>IF(AND('Batt IN'!$D$53="Yes",$AL$1&gt;=4),0,IF($C130='Batt IN'!$H$57*12,-'Batt IN'!$F$57,0))</f>
        <v>0</v>
      </c>
      <c r="BT130" s="2">
        <f>IF(AND('Batt IN'!$D$53="Yes",$AL$1&gt;=5),0,IF($C130='Batt IN'!$H$58*12,-'Batt IN'!$F$58,0))</f>
        <v>0</v>
      </c>
      <c r="BU130" s="2">
        <f>-AH130*PVCalcs!F130</f>
        <v>-367.85560019676569</v>
      </c>
      <c r="BV130" s="2">
        <f>-'Batt IN'!$E$47</f>
        <v>-150</v>
      </c>
      <c r="BW130" s="2">
        <f>-'Batt IN'!$E$49</f>
        <v>-2250</v>
      </c>
      <c r="BX130" s="2">
        <f>IF('Batt IN'!$H$50="No",-(BC130*'Batt IN'!$E$50),-(BC130+BE130)*'Batt IN'!$E$50)</f>
        <v>0</v>
      </c>
      <c r="BY130" s="2">
        <f>IF(C130='Batt IN'!$H$43*12,-'Batt IN'!$E$43,0)</f>
        <v>0</v>
      </c>
      <c r="BZ130" s="38"/>
      <c r="CA130" s="10">
        <f t="shared" si="17"/>
        <v>13422.323408333334</v>
      </c>
      <c r="CB130" s="2">
        <f t="shared" si="21"/>
        <v>-3017.8556001967654</v>
      </c>
      <c r="CC130" s="45">
        <f t="shared" si="22"/>
        <v>10404.467808136567</v>
      </c>
      <c r="CD130" s="43"/>
      <c r="CE130" s="2">
        <f t="shared" si="18"/>
        <v>0</v>
      </c>
      <c r="CF130" s="2">
        <f t="shared" si="23"/>
        <v>-3017.8556001967654</v>
      </c>
      <c r="CG130" s="2"/>
      <c r="CH130" s="2">
        <f t="shared" si="24"/>
        <v>-3017.8556001967654</v>
      </c>
      <c r="CI130" s="45">
        <f>-CH130*'Batt IN'!$E$7</f>
        <v>633.74967604132075</v>
      </c>
      <c r="CJ130" s="48"/>
      <c r="CK130" s="45">
        <f>IF('Batt IN'!$F$4="PV Only",0,IF(C130&gt;'Batt IN'!$H$43*12,0,CC130+CI130))</f>
        <v>0</v>
      </c>
      <c r="CM130" s="10">
        <f t="shared" si="25"/>
        <v>0</v>
      </c>
      <c r="CN130" s="2">
        <f>CK130/(1+('Batt IN'!$G$8))^(C130)</f>
        <v>0</v>
      </c>
      <c r="CO130" s="2">
        <f>IF(C130&lt;='Batt IN'!$O$30*12,CN130+CO129,NA())</f>
        <v>0</v>
      </c>
      <c r="CQ130" s="2">
        <f>CK130/((1+('Batt IN'!$E$8/12))^BattCalcs!C130)</f>
        <v>0</v>
      </c>
      <c r="CS130" s="10">
        <f t="shared" si="26"/>
        <v>-3017.8556001967654</v>
      </c>
      <c r="CT130" s="10">
        <f t="shared" si="27"/>
        <v>0</v>
      </c>
      <c r="CU130" s="10">
        <f t="shared" si="28"/>
        <v>-3017.8556001967654</v>
      </c>
      <c r="CV130" s="10">
        <f t="shared" si="29"/>
        <v>-3017.8556001967654</v>
      </c>
      <c r="CW130" s="2">
        <f t="shared" si="30"/>
        <v>0</v>
      </c>
      <c r="CX130" s="2">
        <f>-(SUM(CV130:CW130)*'PV IN'!$E$8)</f>
        <v>633.74967604132075</v>
      </c>
      <c r="CY130" s="2">
        <f t="shared" si="31"/>
        <v>-2384.1059241554449</v>
      </c>
      <c r="CZ130" s="2">
        <f>IF(C130&lt;='Batt IN'!$H$43*12,CY130/(1+('PV IN'!$G$9))^(C130),0)</f>
        <v>-1428.3607466391352</v>
      </c>
      <c r="DA130" s="33">
        <f>IF(C130&lt;='Batt IN'!$H$43*12,AE130,0)</f>
        <v>30366.783333333333</v>
      </c>
    </row>
    <row r="131" spans="1:105" x14ac:dyDescent="0.25">
      <c r="A131">
        <f>IF(C131&lt;='Batt IN'!$H$43*12,C131,"")</f>
        <v>127</v>
      </c>
      <c r="C131">
        <v>127</v>
      </c>
      <c r="D131" s="21">
        <v>730</v>
      </c>
      <c r="E131" s="1">
        <f>1-'Batt IN'!$E$31</f>
        <v>2.0000000000000018E-2</v>
      </c>
      <c r="F131" s="12">
        <f>('Batt IN'!$E$33*365)/8760</f>
        <v>0</v>
      </c>
      <c r="G131" s="22">
        <f>'Batt IN'!$E$32/8760</f>
        <v>5.7077625570776253E-3</v>
      </c>
      <c r="H131" s="22">
        <f>'Batt IN'!$E$13/8760</f>
        <v>5.5936073059360729E-3</v>
      </c>
      <c r="I131" s="23">
        <f>IF(C131&lt;='Batt IN'!$G$14*12,'Batt IN'!$E$15/8760*'Batt IN'!$G$15,0)</f>
        <v>0</v>
      </c>
      <c r="J131" s="12">
        <f>Z131/'Batt IN'!$E$27/730</f>
        <v>2.4999999999999996E-3</v>
      </c>
      <c r="K131" s="23">
        <f>AA131/'Batt IN'!$E$27/730</f>
        <v>1.6027397260273972E-3</v>
      </c>
      <c r="L131" s="23">
        <f>AB131/'Batt IN'!$E$27/730</f>
        <v>2.0547945205479451E-4</v>
      </c>
      <c r="M131" s="23">
        <f>AC131/'Batt IN'!$E$27/730</f>
        <v>4.7945205479452057E-3</v>
      </c>
      <c r="N131" s="23">
        <f>AD131/'Batt IN'!$E$27/730</f>
        <v>3.4246575342465752E-3</v>
      </c>
      <c r="O131" s="12">
        <f t="shared" si="19"/>
        <v>4.3828767123287697E-2</v>
      </c>
      <c r="P131" s="21">
        <f t="shared" si="20"/>
        <v>698.005</v>
      </c>
      <c r="Q131" s="2">
        <f>IF('Batt IN'!$E$27*'Batt IN'!$E$24&lt;='Batt IN'!$E$28,(('Batt IN'!$E$23*'Batt IN'!$E$27*'Batt IN'!$E$24)/1000)*P131,(('Batt IN'!$E$23*'Batt IN'!$E$28*'Batt IN'!$E$24)/1000)*P131)</f>
        <v>11168.08</v>
      </c>
      <c r="R131" s="2"/>
      <c r="S131" s="77">
        <f>IF(C131&lt;='Batt IN'!$G$14*12,'Batt IN'!$E$15/12,0)</f>
        <v>0</v>
      </c>
      <c r="T131" s="77"/>
      <c r="U131" s="80">
        <f>'Batt IN'!$E$28*('Batt IN'!$G$24/24)*730*(1-O131)</f>
        <v>81433.916666666657</v>
      </c>
      <c r="V131" s="78">
        <f>U131*'Batt IN'!$F$30</f>
        <v>16286.783333333333</v>
      </c>
      <c r="W131" s="78">
        <f>'Batt IN'!$E$28*'Batt IN'!$G$32*('Batt IN'!$E$32/12)*(1+'Batt IN'!$F$30)</f>
        <v>1750.0000000000002</v>
      </c>
      <c r="X131" s="78">
        <f>'Batt IN'!$E$28*'Batt IN'!$G$13*('Batt IN'!$E$13/12)*(1+'Batt IN'!$F$30)</f>
        <v>3184.9999999999995</v>
      </c>
      <c r="Y131" s="33">
        <f>S131*'Batt IN'!$G$15*'Batt IN'!$E$28*(1+'Batt IN'!$F$30)</f>
        <v>0</v>
      </c>
      <c r="Z131" s="33">
        <f>'Batt IN'!$G$16*365/12*(1+'Batt IN'!$F$30)</f>
        <v>1824.9999999999998</v>
      </c>
      <c r="AA131" s="33">
        <f>'Batt IN'!$G$17*'Batt IN'!$E$18*'Batt IN'!$G$18/12*(1+'Batt IN'!$F$30)</f>
        <v>1170</v>
      </c>
      <c r="AB131" s="33">
        <f>'Batt IN'!$G$19*'Batt IN'!$E$20*'Batt IN'!$G$20/12*(1+'Batt IN'!$F$30)</f>
        <v>150</v>
      </c>
      <c r="AC131" s="33">
        <f>'Batt IN'!$G$21*(1+'Batt IN'!$F$30)/12</f>
        <v>3500</v>
      </c>
      <c r="AD131" s="33">
        <f>'Batt IN'!$G$22*(1+'Batt IN'!$F$30)/12</f>
        <v>2500</v>
      </c>
      <c r="AE131" s="33">
        <f t="shared" si="32"/>
        <v>30366.783333333333</v>
      </c>
      <c r="AF131" s="33">
        <f>IF('PV IN'!$F$4="Battery Only",0,AE131*'Batt IN'!$E$29)</f>
        <v>25811.765833333331</v>
      </c>
      <c r="AG131" s="33">
        <f>PVCalcs!L131</f>
        <v>25811.765833333331</v>
      </c>
      <c r="AH131" s="33">
        <f t="shared" si="33"/>
        <v>4555.0175000000017</v>
      </c>
      <c r="AI131" s="33"/>
      <c r="AJ131" s="2">
        <f>IF(AND('Batt IN'!$D$53="Yes",$AL$1&gt;=1),IF($C131='Batt IN'!$H$54*12,-'Batt IN'!$F$54,0),0)</f>
        <v>0</v>
      </c>
      <c r="AK131" s="2">
        <f>IF(AND('Batt IN'!$D$53="Yes",$AL$1&gt;=2),IF($C131='Batt IN'!$H$55*12,-'Batt IN'!$F$55,0),0)</f>
        <v>0</v>
      </c>
      <c r="AL131" s="2">
        <f>IF(AND('Batt IN'!$D$53="Yes",$AL$1&gt;=3),IF($C131='Batt IN'!$H$56*12,-'Batt IN'!$F$56,0),0)</f>
        <v>0</v>
      </c>
      <c r="AM131" s="2">
        <f>IF(AND('Batt IN'!$D$53="Yes",$AL$1&gt;=4),IF($C131='Batt IN'!$H$57*12,-'Batt IN'!$F$57,0),0)</f>
        <v>0</v>
      </c>
      <c r="AN131" s="2">
        <f>IF(AND('Batt IN'!$D$53="Yes",$AL$1&gt;=5),IF($C131='Batt IN'!$H$58*12,-'Batt IN'!$F$58,0),0)</f>
        <v>0</v>
      </c>
      <c r="AO131" s="10">
        <f>IF(AND('Batt IN'!$D$44="YES",$C131&lt;='Batt IN'!$E$44*12),-'Batt IN'!$E$28*'Batt IN'!$E$42/12,0)</f>
        <v>0</v>
      </c>
      <c r="AP131" s="10">
        <f>IF(AND('Batt IN'!$D$46="YES",$C131&lt;='Batt IN'!$E$46*12),-'Batt IN'!$E$28*'Batt IN'!$E$45/12,0)</f>
        <v>0</v>
      </c>
      <c r="AR131" s="10">
        <f>BattLoan!M158</f>
        <v>0</v>
      </c>
      <c r="AS131" s="10">
        <f>'Batt IN'!$G$16*365/12*'Batt IN'!$E$16</f>
        <v>76.041666666666671</v>
      </c>
      <c r="AT131" s="10">
        <f>IF(AND('Batt IN'!$E$18&gt;0,'Batt IN'!$G$18&gt;0),'Batt IN'!$E$17*'Batt IN'!$G$17,0)</f>
        <v>119.44619999999999</v>
      </c>
      <c r="AU131" s="10">
        <f>IF(AND('Batt IN'!$E$20&gt;0,'Batt IN'!$G$20&gt;0),'Batt IN'!$E$19*'Batt IN'!$G$19,0)</f>
        <v>231</v>
      </c>
      <c r="AV131" s="10"/>
      <c r="AW131" s="10"/>
      <c r="AX131" s="10">
        <f>IF('Batt IN'!$E$11="Non-Taxable",Q131,0)</f>
        <v>11168.08</v>
      </c>
      <c r="AY131" s="10">
        <f>IF('Batt IN'!$E$11="Non-Taxable",'Batt IN'!$E$28/1000*'Batt IN'!$G$13*('Batt IN'!$E$13/12)*'Batt IN'!$E$12,0)</f>
        <v>244.42220833333334</v>
      </c>
      <c r="AZ131" s="10">
        <f>IF('Batt IN'!$E$11="Non-Taxable",$S131*'Batt IN'!$G$15*'Batt IN'!$E$28*'Batt IN'!$E$14/1000,0)</f>
        <v>0</v>
      </c>
      <c r="BA131" s="10">
        <f>IF('Batt IN'!$E$11="Non-Taxable",'Batt IN'!$E$21*'Batt IN'!$G$21/12,0)</f>
        <v>437.5</v>
      </c>
      <c r="BB131" s="10">
        <f>IF('Batt IN'!$E$11="Non-Taxable",'Batt IN'!$E$22*'Batt IN'!$G$22/12,0)</f>
        <v>1145.8333333333335</v>
      </c>
      <c r="BC131" s="10">
        <f>IF('Batt IN'!$E$11="Taxable",Q131,0)</f>
        <v>0</v>
      </c>
      <c r="BD131" s="10">
        <f>IF('Batt IN'!$E$11="Taxable",'Batt IN'!$E$28/1000*'Batt IN'!$G$13*('Batt IN'!$E$13/12)*'Batt IN'!$E$12,0)</f>
        <v>0</v>
      </c>
      <c r="BE131" s="10">
        <f>IF('Batt IN'!$E$11="Taxable",$S131*'Batt IN'!$G$15*'Batt IN'!$E$28*'Batt IN'!$E$14/1000,0)</f>
        <v>0</v>
      </c>
      <c r="BF131" s="10">
        <f>IF('Batt IN'!$E$11="Taxable",'Batt IN'!$E$21*'Batt IN'!$G$21/12,0)</f>
        <v>0</v>
      </c>
      <c r="BG131" s="10">
        <f>IF('Batt IN'!$E$11="Taxable",'Batt IN'!$E$22*'Batt IN'!$G$22/12,0)</f>
        <v>0</v>
      </c>
      <c r="BK131" s="10">
        <f>IF('Batt IN'!$N$18="Yes",-BattLoan!H159,-BattLoan!L159)</f>
        <v>0</v>
      </c>
      <c r="BL131" s="10">
        <f>IF('Batt IN'!$N$18="Yes",-BattLoan!F159,0)</f>
        <v>0</v>
      </c>
      <c r="BM131" s="10">
        <f>IF(AND('Batt IN'!$D$44="YES",$C131&lt;='Batt IN'!$E$44*12),0,-'Batt IN'!$E$28*'Batt IN'!$E$42/12)</f>
        <v>-83.333333333333329</v>
      </c>
      <c r="BN131" s="10">
        <f>IF(AND('Batt IN'!$D$46="YES",$C131&lt;='Batt IN'!$E$46*12),0,-'Batt IN'!$E$28*'Batt IN'!$E$45/12)</f>
        <v>-166.66666666666666</v>
      </c>
      <c r="BO131" s="2">
        <f>IF(AND('Batt IN'!$D$41="YES",BattCalcs!C131=ROUNDUP('Batt IN'!$H$41*12,)),-'Batt IN'!$E$41*'Batt IN'!$E$28,0)</f>
        <v>0</v>
      </c>
      <c r="BP131" s="2">
        <f>IF(AND('Batt IN'!$D$53="Yes",$AL$1&gt;=1),0,IF($C131='Batt IN'!$H$54*12,-'Batt IN'!$F$54,0))</f>
        <v>0</v>
      </c>
      <c r="BQ131" s="2">
        <f>IF(AND('Batt IN'!$D$53="Yes",$AL$1&gt;=2),0,IF($C131='Batt IN'!$H$55*12,-'Batt IN'!$F$55,0))</f>
        <v>0</v>
      </c>
      <c r="BR131" s="2">
        <f>IF(AND('Batt IN'!$D$53="Yes",$AL$1&gt;=3),0,IF($C131='Batt IN'!$H$56*12,-'Batt IN'!$F$56,0))</f>
        <v>0</v>
      </c>
      <c r="BS131" s="2">
        <f>IF(AND('Batt IN'!$D$53="Yes",$AL$1&gt;=4),0,IF($C131='Batt IN'!$H$57*12,-'Batt IN'!$F$57,0))</f>
        <v>0</v>
      </c>
      <c r="BT131" s="2">
        <f>IF(AND('Batt IN'!$D$53="Yes",$AL$1&gt;=5),0,IF($C131='Batt IN'!$H$58*12,-'Batt IN'!$F$58,0))</f>
        <v>0</v>
      </c>
      <c r="BU131" s="2">
        <f>-AH131*PVCalcs!F131</f>
        <v>-367.85560019676569</v>
      </c>
      <c r="BV131" s="2">
        <f>-'Batt IN'!$E$47</f>
        <v>-150</v>
      </c>
      <c r="BW131" s="2">
        <f>-'Batt IN'!$E$49</f>
        <v>-2250</v>
      </c>
      <c r="BX131" s="2">
        <f>IF('Batt IN'!$H$50="No",-(BC131*'Batt IN'!$E$50),-(BC131+BE131)*'Batt IN'!$E$50)</f>
        <v>0</v>
      </c>
      <c r="BY131" s="2">
        <f>IF(C131='Batt IN'!$H$43*12,-'Batt IN'!$E$43,0)</f>
        <v>0</v>
      </c>
      <c r="BZ131" s="38"/>
      <c r="CA131" s="10">
        <f t="shared" si="17"/>
        <v>13422.323408333334</v>
      </c>
      <c r="CB131" s="2">
        <f t="shared" si="21"/>
        <v>-3017.8556001967654</v>
      </c>
      <c r="CC131" s="45">
        <f t="shared" si="22"/>
        <v>10404.467808136567</v>
      </c>
      <c r="CD131" s="43"/>
      <c r="CE131" s="2">
        <f t="shared" si="18"/>
        <v>0</v>
      </c>
      <c r="CF131" s="2">
        <f t="shared" si="23"/>
        <v>-3017.8556001967654</v>
      </c>
      <c r="CG131" s="2"/>
      <c r="CH131" s="2">
        <f t="shared" si="24"/>
        <v>-3017.8556001967654</v>
      </c>
      <c r="CI131" s="45">
        <f>-CH131*'Batt IN'!$E$7</f>
        <v>633.74967604132075</v>
      </c>
      <c r="CJ131" s="48"/>
      <c r="CK131" s="45">
        <f>IF('Batt IN'!$F$4="PV Only",0,IF(C131&gt;'Batt IN'!$H$43*12,0,CC131+CI131))</f>
        <v>0</v>
      </c>
      <c r="CM131" s="10">
        <f t="shared" si="25"/>
        <v>0</v>
      </c>
      <c r="CN131" s="2">
        <f>CK131/(1+('Batt IN'!$G$8))^(C131)</f>
        <v>0</v>
      </c>
      <c r="CO131" s="2">
        <f>IF(C131&lt;='Batt IN'!$O$30*12,CN131+CO130,NA())</f>
        <v>0</v>
      </c>
      <c r="CQ131" s="2">
        <f>CK131/((1+('Batt IN'!$E$8/12))^BattCalcs!C131)</f>
        <v>0</v>
      </c>
      <c r="CS131" s="10">
        <f t="shared" si="26"/>
        <v>-3017.8556001967654</v>
      </c>
      <c r="CT131" s="10">
        <f t="shared" si="27"/>
        <v>0</v>
      </c>
      <c r="CU131" s="10">
        <f t="shared" si="28"/>
        <v>-3017.8556001967654</v>
      </c>
      <c r="CV131" s="10">
        <f t="shared" si="29"/>
        <v>-3017.8556001967654</v>
      </c>
      <c r="CW131" s="2">
        <f t="shared" si="30"/>
        <v>0</v>
      </c>
      <c r="CX131" s="2">
        <f>-(SUM(CV131:CW131)*'PV IN'!$E$8)</f>
        <v>633.74967604132075</v>
      </c>
      <c r="CY131" s="2">
        <f t="shared" si="31"/>
        <v>-2384.1059241554449</v>
      </c>
      <c r="CZ131" s="2">
        <f>IF(C131&lt;='Batt IN'!$H$43*12,CY131/(1+('PV IN'!$G$9))^(C131),0)</f>
        <v>-1422.5650405735478</v>
      </c>
      <c r="DA131" s="33">
        <f>IF(C131&lt;='Batt IN'!$H$43*12,AE131,0)</f>
        <v>30366.783333333333</v>
      </c>
    </row>
    <row r="132" spans="1:105" x14ac:dyDescent="0.25">
      <c r="A132">
        <f>IF(C132&lt;='Batt IN'!$H$43*12,C132,"")</f>
        <v>128</v>
      </c>
      <c r="C132">
        <v>128</v>
      </c>
      <c r="D132" s="21">
        <v>730</v>
      </c>
      <c r="E132" s="1">
        <f>1-'Batt IN'!$E$31</f>
        <v>2.0000000000000018E-2</v>
      </c>
      <c r="F132" s="12">
        <f>('Batt IN'!$E$33*365)/8760</f>
        <v>0</v>
      </c>
      <c r="G132" s="22">
        <f>'Batt IN'!$E$32/8760</f>
        <v>5.7077625570776253E-3</v>
      </c>
      <c r="H132" s="22">
        <f>'Batt IN'!$E$13/8760</f>
        <v>5.5936073059360729E-3</v>
      </c>
      <c r="I132" s="23">
        <f>IF(C132&lt;='Batt IN'!$G$14*12,'Batt IN'!$E$15/8760*'Batt IN'!$G$15,0)</f>
        <v>0</v>
      </c>
      <c r="J132" s="12">
        <f>Z132/'Batt IN'!$E$27/730</f>
        <v>2.4999999999999996E-3</v>
      </c>
      <c r="K132" s="23">
        <f>AA132/'Batt IN'!$E$27/730</f>
        <v>1.6027397260273972E-3</v>
      </c>
      <c r="L132" s="23">
        <f>AB132/'Batt IN'!$E$27/730</f>
        <v>2.0547945205479451E-4</v>
      </c>
      <c r="M132" s="23">
        <f>AC132/'Batt IN'!$E$27/730</f>
        <v>4.7945205479452057E-3</v>
      </c>
      <c r="N132" s="23">
        <f>AD132/'Batt IN'!$E$27/730</f>
        <v>3.4246575342465752E-3</v>
      </c>
      <c r="O132" s="12">
        <f t="shared" si="19"/>
        <v>4.3828767123287697E-2</v>
      </c>
      <c r="P132" s="21">
        <f t="shared" si="20"/>
        <v>698.005</v>
      </c>
      <c r="Q132" s="2">
        <f>IF('Batt IN'!$E$27*'Batt IN'!$E$24&lt;='Batt IN'!$E$28,(('Batt IN'!$E$23*'Batt IN'!$E$27*'Batt IN'!$E$24)/1000)*P132,(('Batt IN'!$E$23*'Batt IN'!$E$28*'Batt IN'!$E$24)/1000)*P132)</f>
        <v>11168.08</v>
      </c>
      <c r="R132" s="2"/>
      <c r="S132" s="77">
        <f>IF(C132&lt;='Batt IN'!$G$14*12,'Batt IN'!$E$15/12,0)</f>
        <v>0</v>
      </c>
      <c r="T132" s="77"/>
      <c r="U132" s="80">
        <f>'Batt IN'!$E$28*('Batt IN'!$G$24/24)*730*(1-O132)</f>
        <v>81433.916666666657</v>
      </c>
      <c r="V132" s="78">
        <f>U132*'Batt IN'!$F$30</f>
        <v>16286.783333333333</v>
      </c>
      <c r="W132" s="78">
        <f>'Batt IN'!$E$28*'Batt IN'!$G$32*('Batt IN'!$E$32/12)*(1+'Batt IN'!$F$30)</f>
        <v>1750.0000000000002</v>
      </c>
      <c r="X132" s="78">
        <f>'Batt IN'!$E$28*'Batt IN'!$G$13*('Batt IN'!$E$13/12)*(1+'Batt IN'!$F$30)</f>
        <v>3184.9999999999995</v>
      </c>
      <c r="Y132" s="33">
        <f>S132*'Batt IN'!$G$15*'Batt IN'!$E$28*(1+'Batt IN'!$F$30)</f>
        <v>0</v>
      </c>
      <c r="Z132" s="33">
        <f>'Batt IN'!$G$16*365/12*(1+'Batt IN'!$F$30)</f>
        <v>1824.9999999999998</v>
      </c>
      <c r="AA132" s="33">
        <f>'Batt IN'!$G$17*'Batt IN'!$E$18*'Batt IN'!$G$18/12*(1+'Batt IN'!$F$30)</f>
        <v>1170</v>
      </c>
      <c r="AB132" s="33">
        <f>'Batt IN'!$G$19*'Batt IN'!$E$20*'Batt IN'!$G$20/12*(1+'Batt IN'!$F$30)</f>
        <v>150</v>
      </c>
      <c r="AC132" s="33">
        <f>'Batt IN'!$G$21*(1+'Batt IN'!$F$30)/12</f>
        <v>3500</v>
      </c>
      <c r="AD132" s="33">
        <f>'Batt IN'!$G$22*(1+'Batt IN'!$F$30)/12</f>
        <v>2500</v>
      </c>
      <c r="AE132" s="33">
        <f t="shared" si="32"/>
        <v>30366.783333333333</v>
      </c>
      <c r="AF132" s="33">
        <f>IF('PV IN'!$F$4="Battery Only",0,AE132*'Batt IN'!$E$29)</f>
        <v>25811.765833333331</v>
      </c>
      <c r="AG132" s="33">
        <f>PVCalcs!L132</f>
        <v>25811.765833333331</v>
      </c>
      <c r="AH132" s="33">
        <f t="shared" si="33"/>
        <v>4555.0175000000017</v>
      </c>
      <c r="AI132" s="33"/>
      <c r="AJ132" s="2">
        <f>IF(AND('Batt IN'!$D$53="Yes",$AL$1&gt;=1),IF($C132='Batt IN'!$H$54*12,-'Batt IN'!$F$54,0),0)</f>
        <v>0</v>
      </c>
      <c r="AK132" s="2">
        <f>IF(AND('Batt IN'!$D$53="Yes",$AL$1&gt;=2),IF($C132='Batt IN'!$H$55*12,-'Batt IN'!$F$55,0),0)</f>
        <v>0</v>
      </c>
      <c r="AL132" s="2">
        <f>IF(AND('Batt IN'!$D$53="Yes",$AL$1&gt;=3),IF($C132='Batt IN'!$H$56*12,-'Batt IN'!$F$56,0),0)</f>
        <v>0</v>
      </c>
      <c r="AM132" s="2">
        <f>IF(AND('Batt IN'!$D$53="Yes",$AL$1&gt;=4),IF($C132='Batt IN'!$H$57*12,-'Batt IN'!$F$57,0),0)</f>
        <v>0</v>
      </c>
      <c r="AN132" s="2">
        <f>IF(AND('Batt IN'!$D$53="Yes",$AL$1&gt;=5),IF($C132='Batt IN'!$H$58*12,-'Batt IN'!$F$58,0),0)</f>
        <v>0</v>
      </c>
      <c r="AO132" s="10">
        <f>IF(AND('Batt IN'!$D$44="YES",$C132&lt;='Batt IN'!$E$44*12),-'Batt IN'!$E$28*'Batt IN'!$E$42/12,0)</f>
        <v>0</v>
      </c>
      <c r="AP132" s="10">
        <f>IF(AND('Batt IN'!$D$46="YES",$C132&lt;='Batt IN'!$E$46*12),-'Batt IN'!$E$28*'Batt IN'!$E$45/12,0)</f>
        <v>0</v>
      </c>
      <c r="AR132" s="10">
        <f>BattLoan!M159</f>
        <v>0</v>
      </c>
      <c r="AS132" s="10">
        <f>'Batt IN'!$G$16*365/12*'Batt IN'!$E$16</f>
        <v>76.041666666666671</v>
      </c>
      <c r="AT132" s="10">
        <f>IF(AND('Batt IN'!$E$18&gt;0,'Batt IN'!$G$18&gt;0),'Batt IN'!$E$17*'Batt IN'!$G$17,0)</f>
        <v>119.44619999999999</v>
      </c>
      <c r="AU132" s="10">
        <f>IF(AND('Batt IN'!$E$20&gt;0,'Batt IN'!$G$20&gt;0),'Batt IN'!$E$19*'Batt IN'!$G$19,0)</f>
        <v>231</v>
      </c>
      <c r="AV132" s="10"/>
      <c r="AW132" s="10"/>
      <c r="AX132" s="10">
        <f>IF('Batt IN'!$E$11="Non-Taxable",Q132,0)</f>
        <v>11168.08</v>
      </c>
      <c r="AY132" s="10">
        <f>IF('Batt IN'!$E$11="Non-Taxable",'Batt IN'!$E$28/1000*'Batt IN'!$G$13*('Batt IN'!$E$13/12)*'Batt IN'!$E$12,0)</f>
        <v>244.42220833333334</v>
      </c>
      <c r="AZ132" s="10">
        <f>IF('Batt IN'!$E$11="Non-Taxable",$S132*'Batt IN'!$G$15*'Batt IN'!$E$28*'Batt IN'!$E$14/1000,0)</f>
        <v>0</v>
      </c>
      <c r="BA132" s="10">
        <f>IF('Batt IN'!$E$11="Non-Taxable",'Batt IN'!$E$21*'Batt IN'!$G$21/12,0)</f>
        <v>437.5</v>
      </c>
      <c r="BB132" s="10">
        <f>IF('Batt IN'!$E$11="Non-Taxable",'Batt IN'!$E$22*'Batt IN'!$G$22/12,0)</f>
        <v>1145.8333333333335</v>
      </c>
      <c r="BC132" s="10">
        <f>IF('Batt IN'!$E$11="Taxable",Q132,0)</f>
        <v>0</v>
      </c>
      <c r="BD132" s="10">
        <f>IF('Batt IN'!$E$11="Taxable",'Batt IN'!$E$28/1000*'Batt IN'!$G$13*('Batt IN'!$E$13/12)*'Batt IN'!$E$12,0)</f>
        <v>0</v>
      </c>
      <c r="BE132" s="10">
        <f>IF('Batt IN'!$E$11="Taxable",$S132*'Batt IN'!$G$15*'Batt IN'!$E$28*'Batt IN'!$E$14/1000,0)</f>
        <v>0</v>
      </c>
      <c r="BF132" s="10">
        <f>IF('Batt IN'!$E$11="Taxable",'Batt IN'!$E$21*'Batt IN'!$G$21/12,0)</f>
        <v>0</v>
      </c>
      <c r="BG132" s="10">
        <f>IF('Batt IN'!$E$11="Taxable",'Batt IN'!$E$22*'Batt IN'!$G$22/12,0)</f>
        <v>0</v>
      </c>
      <c r="BK132" s="10">
        <f>IF('Batt IN'!$N$18="Yes",-BattLoan!H160,-BattLoan!L160)</f>
        <v>0</v>
      </c>
      <c r="BL132" s="10">
        <f>IF('Batt IN'!$N$18="Yes",-BattLoan!F160,0)</f>
        <v>0</v>
      </c>
      <c r="BM132" s="10">
        <f>IF(AND('Batt IN'!$D$44="YES",$C132&lt;='Batt IN'!$E$44*12),0,-'Batt IN'!$E$28*'Batt IN'!$E$42/12)</f>
        <v>-83.333333333333329</v>
      </c>
      <c r="BN132" s="10">
        <f>IF(AND('Batt IN'!$D$46="YES",$C132&lt;='Batt IN'!$E$46*12),0,-'Batt IN'!$E$28*'Batt IN'!$E$45/12)</f>
        <v>-166.66666666666666</v>
      </c>
      <c r="BO132" s="2">
        <f>IF(AND('Batt IN'!$D$41="YES",BattCalcs!C132=ROUNDUP('Batt IN'!$H$41*12,)),-'Batt IN'!$E$41*'Batt IN'!$E$28,0)</f>
        <v>0</v>
      </c>
      <c r="BP132" s="2">
        <f>IF(AND('Batt IN'!$D$53="Yes",$AL$1&gt;=1),0,IF($C132='Batt IN'!$H$54*12,-'Batt IN'!$F$54,0))</f>
        <v>0</v>
      </c>
      <c r="BQ132" s="2">
        <f>IF(AND('Batt IN'!$D$53="Yes",$AL$1&gt;=2),0,IF($C132='Batt IN'!$H$55*12,-'Batt IN'!$F$55,0))</f>
        <v>0</v>
      </c>
      <c r="BR132" s="2">
        <f>IF(AND('Batt IN'!$D$53="Yes",$AL$1&gt;=3),0,IF($C132='Batt IN'!$H$56*12,-'Batt IN'!$F$56,0))</f>
        <v>0</v>
      </c>
      <c r="BS132" s="2">
        <f>IF(AND('Batt IN'!$D$53="Yes",$AL$1&gt;=4),0,IF($C132='Batt IN'!$H$57*12,-'Batt IN'!$F$57,0))</f>
        <v>0</v>
      </c>
      <c r="BT132" s="2">
        <f>IF(AND('Batt IN'!$D$53="Yes",$AL$1&gt;=5),0,IF($C132='Batt IN'!$H$58*12,-'Batt IN'!$F$58,0))</f>
        <v>0</v>
      </c>
      <c r="BU132" s="2">
        <f>-AH132*PVCalcs!F132</f>
        <v>-367.85560019676569</v>
      </c>
      <c r="BV132" s="2">
        <f>-'Batt IN'!$E$47</f>
        <v>-150</v>
      </c>
      <c r="BW132" s="2">
        <f>-'Batt IN'!$E$49</f>
        <v>-2250</v>
      </c>
      <c r="BX132" s="2">
        <f>IF('Batt IN'!$H$50="No",-(BC132*'Batt IN'!$E$50),-(BC132+BE132)*'Batt IN'!$E$50)</f>
        <v>0</v>
      </c>
      <c r="BY132" s="2">
        <f>IF(C132='Batt IN'!$H$43*12,-'Batt IN'!$E$43,0)</f>
        <v>0</v>
      </c>
      <c r="BZ132" s="38"/>
      <c r="CA132" s="10">
        <f t="shared" ref="CA132:CA195" si="34">SUM(AR132:BH132)</f>
        <v>13422.323408333334</v>
      </c>
      <c r="CB132" s="2">
        <f t="shared" si="21"/>
        <v>-3017.8556001967654</v>
      </c>
      <c r="CC132" s="45">
        <f t="shared" si="22"/>
        <v>10404.467808136567</v>
      </c>
      <c r="CD132" s="43"/>
      <c r="CE132" s="2">
        <f t="shared" ref="CE132:CE195" si="35">SUM(BC132:BH132)</f>
        <v>0</v>
      </c>
      <c r="CF132" s="2">
        <f t="shared" si="23"/>
        <v>-3017.8556001967654</v>
      </c>
      <c r="CG132" s="2"/>
      <c r="CH132" s="2">
        <f t="shared" si="24"/>
        <v>-3017.8556001967654</v>
      </c>
      <c r="CI132" s="45">
        <f>-CH132*'Batt IN'!$E$7</f>
        <v>633.74967604132075</v>
      </c>
      <c r="CJ132" s="48"/>
      <c r="CK132" s="45">
        <f>IF('Batt IN'!$F$4="PV Only",0,IF(C132&gt;'Batt IN'!$H$43*12,0,CC132+CI132))</f>
        <v>0</v>
      </c>
      <c r="CM132" s="10">
        <f t="shared" si="25"/>
        <v>0</v>
      </c>
      <c r="CN132" s="2">
        <f>CK132/(1+('Batt IN'!$G$8))^(C132)</f>
        <v>0</v>
      </c>
      <c r="CO132" s="2">
        <f>IF(C132&lt;='Batt IN'!$O$30*12,CN132+CO131,NA())</f>
        <v>0</v>
      </c>
      <c r="CQ132" s="2">
        <f>CK132/((1+('Batt IN'!$E$8/12))^BattCalcs!C132)</f>
        <v>0</v>
      </c>
      <c r="CS132" s="10">
        <f t="shared" si="26"/>
        <v>-3017.8556001967654</v>
      </c>
      <c r="CT132" s="10">
        <f t="shared" si="27"/>
        <v>0</v>
      </c>
      <c r="CU132" s="10">
        <f t="shared" si="28"/>
        <v>-3017.8556001967654</v>
      </c>
      <c r="CV132" s="10">
        <f t="shared" si="29"/>
        <v>-3017.8556001967654</v>
      </c>
      <c r="CW132" s="2">
        <f t="shared" si="30"/>
        <v>0</v>
      </c>
      <c r="CX132" s="2">
        <f>-(SUM(CV132:CW132)*'PV IN'!$E$8)</f>
        <v>633.74967604132075</v>
      </c>
      <c r="CY132" s="2">
        <f t="shared" si="31"/>
        <v>-2384.1059241554449</v>
      </c>
      <c r="CZ132" s="2">
        <f>IF(C132&lt;='Batt IN'!$H$43*12,CY132/(1+('PV IN'!$G$9))^(C132),0)</f>
        <v>-1416.7928511222874</v>
      </c>
      <c r="DA132" s="33">
        <f>IF(C132&lt;='Batt IN'!$H$43*12,AE132,0)</f>
        <v>30366.783333333333</v>
      </c>
    </row>
    <row r="133" spans="1:105" x14ac:dyDescent="0.25">
      <c r="A133">
        <f>IF(C133&lt;='Batt IN'!$H$43*12,C133,"")</f>
        <v>129</v>
      </c>
      <c r="C133">
        <v>129</v>
      </c>
      <c r="D133" s="21">
        <v>730</v>
      </c>
      <c r="E133" s="1">
        <f>1-'Batt IN'!$E$31</f>
        <v>2.0000000000000018E-2</v>
      </c>
      <c r="F133" s="12">
        <f>('Batt IN'!$E$33*365)/8760</f>
        <v>0</v>
      </c>
      <c r="G133" s="22">
        <f>'Batt IN'!$E$32/8760</f>
        <v>5.7077625570776253E-3</v>
      </c>
      <c r="H133" s="22">
        <f>'Batt IN'!$E$13/8760</f>
        <v>5.5936073059360729E-3</v>
      </c>
      <c r="I133" s="23">
        <f>IF(C133&lt;='Batt IN'!$G$14*12,'Batt IN'!$E$15/8760*'Batt IN'!$G$15,0)</f>
        <v>0</v>
      </c>
      <c r="J133" s="12">
        <f>Z133/'Batt IN'!$E$27/730</f>
        <v>2.4999999999999996E-3</v>
      </c>
      <c r="K133" s="23">
        <f>AA133/'Batt IN'!$E$27/730</f>
        <v>1.6027397260273972E-3</v>
      </c>
      <c r="L133" s="23">
        <f>AB133/'Batt IN'!$E$27/730</f>
        <v>2.0547945205479451E-4</v>
      </c>
      <c r="M133" s="23">
        <f>AC133/'Batt IN'!$E$27/730</f>
        <v>4.7945205479452057E-3</v>
      </c>
      <c r="N133" s="23">
        <f>AD133/'Batt IN'!$E$27/730</f>
        <v>3.4246575342465752E-3</v>
      </c>
      <c r="O133" s="12">
        <f t="shared" ref="O133:O196" si="36">SUM(E133:N133)</f>
        <v>4.3828767123287697E-2</v>
      </c>
      <c r="P133" s="21">
        <f t="shared" ref="P133:P196" si="37">D133*(1-O133)</f>
        <v>698.005</v>
      </c>
      <c r="Q133" s="2">
        <f>IF('Batt IN'!$E$27*'Batt IN'!$E$24&lt;='Batt IN'!$E$28,(('Batt IN'!$E$23*'Batt IN'!$E$27*'Batt IN'!$E$24)/1000)*P133,(('Batt IN'!$E$23*'Batt IN'!$E$28*'Batt IN'!$E$24)/1000)*P133)</f>
        <v>11168.08</v>
      </c>
      <c r="R133" s="2"/>
      <c r="S133" s="77">
        <f>IF(C133&lt;='Batt IN'!$G$14*12,'Batt IN'!$E$15/12,0)</f>
        <v>0</v>
      </c>
      <c r="T133" s="77"/>
      <c r="U133" s="80">
        <f>'Batt IN'!$E$28*('Batt IN'!$G$24/24)*730*(1-O133)</f>
        <v>81433.916666666657</v>
      </c>
      <c r="V133" s="78">
        <f>U133*'Batt IN'!$F$30</f>
        <v>16286.783333333333</v>
      </c>
      <c r="W133" s="78">
        <f>'Batt IN'!$E$28*'Batt IN'!$G$32*('Batt IN'!$E$32/12)*(1+'Batt IN'!$F$30)</f>
        <v>1750.0000000000002</v>
      </c>
      <c r="X133" s="78">
        <f>'Batt IN'!$E$28*'Batt IN'!$G$13*('Batt IN'!$E$13/12)*(1+'Batt IN'!$F$30)</f>
        <v>3184.9999999999995</v>
      </c>
      <c r="Y133" s="33">
        <f>S133*'Batt IN'!$G$15*'Batt IN'!$E$28*(1+'Batt IN'!$F$30)</f>
        <v>0</v>
      </c>
      <c r="Z133" s="33">
        <f>'Batt IN'!$G$16*365/12*(1+'Batt IN'!$F$30)</f>
        <v>1824.9999999999998</v>
      </c>
      <c r="AA133" s="33">
        <f>'Batt IN'!$G$17*'Batt IN'!$E$18*'Batt IN'!$G$18/12*(1+'Batt IN'!$F$30)</f>
        <v>1170</v>
      </c>
      <c r="AB133" s="33">
        <f>'Batt IN'!$G$19*'Batt IN'!$E$20*'Batt IN'!$G$20/12*(1+'Batt IN'!$F$30)</f>
        <v>150</v>
      </c>
      <c r="AC133" s="33">
        <f>'Batt IN'!$G$21*(1+'Batt IN'!$F$30)/12</f>
        <v>3500</v>
      </c>
      <c r="AD133" s="33">
        <f>'Batt IN'!$G$22*(1+'Batt IN'!$F$30)/12</f>
        <v>2500</v>
      </c>
      <c r="AE133" s="33">
        <f t="shared" si="32"/>
        <v>30366.783333333333</v>
      </c>
      <c r="AF133" s="33">
        <f>IF('PV IN'!$F$4="Battery Only",0,AE133*'Batt IN'!$E$29)</f>
        <v>25811.765833333331</v>
      </c>
      <c r="AG133" s="33">
        <f>PVCalcs!L133</f>
        <v>25811.765833333331</v>
      </c>
      <c r="AH133" s="33">
        <f t="shared" si="33"/>
        <v>4555.0175000000017</v>
      </c>
      <c r="AI133" s="33"/>
      <c r="AJ133" s="2">
        <f>IF(AND('Batt IN'!$D$53="Yes",$AL$1&gt;=1),IF($C133='Batt IN'!$H$54*12,-'Batt IN'!$F$54,0),0)</f>
        <v>0</v>
      </c>
      <c r="AK133" s="2">
        <f>IF(AND('Batt IN'!$D$53="Yes",$AL$1&gt;=2),IF($C133='Batt IN'!$H$55*12,-'Batt IN'!$F$55,0),0)</f>
        <v>0</v>
      </c>
      <c r="AL133" s="2">
        <f>IF(AND('Batt IN'!$D$53="Yes",$AL$1&gt;=3),IF($C133='Batt IN'!$H$56*12,-'Batt IN'!$F$56,0),0)</f>
        <v>0</v>
      </c>
      <c r="AM133" s="2">
        <f>IF(AND('Batt IN'!$D$53="Yes",$AL$1&gt;=4),IF($C133='Batt IN'!$H$57*12,-'Batt IN'!$F$57,0),0)</f>
        <v>0</v>
      </c>
      <c r="AN133" s="2">
        <f>IF(AND('Batt IN'!$D$53="Yes",$AL$1&gt;=5),IF($C133='Batt IN'!$H$58*12,-'Batt IN'!$F$58,0),0)</f>
        <v>0</v>
      </c>
      <c r="AO133" s="10">
        <f>IF(AND('Batt IN'!$D$44="YES",$C133&lt;='Batt IN'!$E$44*12),-'Batt IN'!$E$28*'Batt IN'!$E$42/12,0)</f>
        <v>0</v>
      </c>
      <c r="AP133" s="10">
        <f>IF(AND('Batt IN'!$D$46="YES",$C133&lt;='Batt IN'!$E$46*12),-'Batt IN'!$E$28*'Batt IN'!$E$45/12,0)</f>
        <v>0</v>
      </c>
      <c r="AR133" s="10">
        <f>BattLoan!M160</f>
        <v>0</v>
      </c>
      <c r="AS133" s="10">
        <f>'Batt IN'!$G$16*365/12*'Batt IN'!$E$16</f>
        <v>76.041666666666671</v>
      </c>
      <c r="AT133" s="10">
        <f>IF(AND('Batt IN'!$E$18&gt;0,'Batt IN'!$G$18&gt;0),'Batt IN'!$E$17*'Batt IN'!$G$17,0)</f>
        <v>119.44619999999999</v>
      </c>
      <c r="AU133" s="10">
        <f>IF(AND('Batt IN'!$E$20&gt;0,'Batt IN'!$G$20&gt;0),'Batt IN'!$E$19*'Batt IN'!$G$19,0)</f>
        <v>231</v>
      </c>
      <c r="AV133" s="10"/>
      <c r="AW133" s="10"/>
      <c r="AX133" s="10">
        <f>IF('Batt IN'!$E$11="Non-Taxable",Q133,0)</f>
        <v>11168.08</v>
      </c>
      <c r="AY133" s="10">
        <f>IF('Batt IN'!$E$11="Non-Taxable",'Batt IN'!$E$28/1000*'Batt IN'!$G$13*('Batt IN'!$E$13/12)*'Batt IN'!$E$12,0)</f>
        <v>244.42220833333334</v>
      </c>
      <c r="AZ133" s="10">
        <f>IF('Batt IN'!$E$11="Non-Taxable",$S133*'Batt IN'!$G$15*'Batt IN'!$E$28*'Batt IN'!$E$14/1000,0)</f>
        <v>0</v>
      </c>
      <c r="BA133" s="10">
        <f>IF('Batt IN'!$E$11="Non-Taxable",'Batt IN'!$E$21*'Batt IN'!$G$21/12,0)</f>
        <v>437.5</v>
      </c>
      <c r="BB133" s="10">
        <f>IF('Batt IN'!$E$11="Non-Taxable",'Batt IN'!$E$22*'Batt IN'!$G$22/12,0)</f>
        <v>1145.8333333333335</v>
      </c>
      <c r="BC133" s="10">
        <f>IF('Batt IN'!$E$11="Taxable",Q133,0)</f>
        <v>0</v>
      </c>
      <c r="BD133" s="10">
        <f>IF('Batt IN'!$E$11="Taxable",'Batt IN'!$E$28/1000*'Batt IN'!$G$13*('Batt IN'!$E$13/12)*'Batt IN'!$E$12,0)</f>
        <v>0</v>
      </c>
      <c r="BE133" s="10">
        <f>IF('Batt IN'!$E$11="Taxable",$S133*'Batt IN'!$G$15*'Batt IN'!$E$28*'Batt IN'!$E$14/1000,0)</f>
        <v>0</v>
      </c>
      <c r="BF133" s="10">
        <f>IF('Batt IN'!$E$11="Taxable",'Batt IN'!$E$21*'Batt IN'!$G$21/12,0)</f>
        <v>0</v>
      </c>
      <c r="BG133" s="10">
        <f>IF('Batt IN'!$E$11="Taxable",'Batt IN'!$E$22*'Batt IN'!$G$22/12,0)</f>
        <v>0</v>
      </c>
      <c r="BK133" s="10">
        <f>IF('Batt IN'!$N$18="Yes",-BattLoan!H161,-BattLoan!L161)</f>
        <v>0</v>
      </c>
      <c r="BL133" s="10">
        <f>IF('Batt IN'!$N$18="Yes",-BattLoan!F161,0)</f>
        <v>0</v>
      </c>
      <c r="BM133" s="10">
        <f>IF(AND('Batt IN'!$D$44="YES",$C133&lt;='Batt IN'!$E$44*12),0,-'Batt IN'!$E$28*'Batt IN'!$E$42/12)</f>
        <v>-83.333333333333329</v>
      </c>
      <c r="BN133" s="10">
        <f>IF(AND('Batt IN'!$D$46="YES",$C133&lt;='Batt IN'!$E$46*12),0,-'Batt IN'!$E$28*'Batt IN'!$E$45/12)</f>
        <v>-166.66666666666666</v>
      </c>
      <c r="BO133" s="2">
        <f>IF(AND('Batt IN'!$D$41="YES",BattCalcs!C133=ROUNDUP('Batt IN'!$H$41*12,)),-'Batt IN'!$E$41*'Batt IN'!$E$28,0)</f>
        <v>0</v>
      </c>
      <c r="BP133" s="2">
        <f>IF(AND('Batt IN'!$D$53="Yes",$AL$1&gt;=1),0,IF($C133='Batt IN'!$H$54*12,-'Batt IN'!$F$54,0))</f>
        <v>0</v>
      </c>
      <c r="BQ133" s="2">
        <f>IF(AND('Batt IN'!$D$53="Yes",$AL$1&gt;=2),0,IF($C133='Batt IN'!$H$55*12,-'Batt IN'!$F$55,0))</f>
        <v>0</v>
      </c>
      <c r="BR133" s="2">
        <f>IF(AND('Batt IN'!$D$53="Yes",$AL$1&gt;=3),0,IF($C133='Batt IN'!$H$56*12,-'Batt IN'!$F$56,0))</f>
        <v>0</v>
      </c>
      <c r="BS133" s="2">
        <f>IF(AND('Batt IN'!$D$53="Yes",$AL$1&gt;=4),0,IF($C133='Batt IN'!$H$57*12,-'Batt IN'!$F$57,0))</f>
        <v>0</v>
      </c>
      <c r="BT133" s="2">
        <f>IF(AND('Batt IN'!$D$53="Yes",$AL$1&gt;=5),0,IF($C133='Batt IN'!$H$58*12,-'Batt IN'!$F$58,0))</f>
        <v>0</v>
      </c>
      <c r="BU133" s="2">
        <f>-AH133*PVCalcs!F133</f>
        <v>-367.85560019676569</v>
      </c>
      <c r="BV133" s="2">
        <f>-'Batt IN'!$E$47</f>
        <v>-150</v>
      </c>
      <c r="BW133" s="2">
        <f>-'Batt IN'!$E$49</f>
        <v>-2250</v>
      </c>
      <c r="BX133" s="2">
        <f>IF('Batt IN'!$H$50="No",-(BC133*'Batt IN'!$E$50),-(BC133+BE133)*'Batt IN'!$E$50)</f>
        <v>0</v>
      </c>
      <c r="BY133" s="2">
        <f>IF(C133='Batt IN'!$H$43*12,-'Batt IN'!$E$43,0)</f>
        <v>0</v>
      </c>
      <c r="BZ133" s="38"/>
      <c r="CA133" s="10">
        <f t="shared" si="34"/>
        <v>13422.323408333334</v>
      </c>
      <c r="CB133" s="2">
        <f t="shared" ref="CB133:CB196" si="38">SUM(BJ133:BY133)</f>
        <v>-3017.8556001967654</v>
      </c>
      <c r="CC133" s="45">
        <f t="shared" ref="CC133:CC196" si="39">SUM(CA133:CB133)</f>
        <v>10404.467808136567</v>
      </c>
      <c r="CD133" s="43"/>
      <c r="CE133" s="2">
        <f t="shared" si="35"/>
        <v>0</v>
      </c>
      <c r="CF133" s="2">
        <f t="shared" ref="CF133:CF196" si="40">SUM(BL133:BY133)</f>
        <v>-3017.8556001967654</v>
      </c>
      <c r="CG133" s="2"/>
      <c r="CH133" s="2">
        <f t="shared" ref="CH133:CH196" si="41">SUM(CE133:CG133)</f>
        <v>-3017.8556001967654</v>
      </c>
      <c r="CI133" s="45">
        <f>-CH133*'Batt IN'!$E$7</f>
        <v>633.74967604132075</v>
      </c>
      <c r="CJ133" s="48"/>
      <c r="CK133" s="45">
        <f>IF('Batt IN'!$F$4="PV Only",0,IF(C133&gt;'Batt IN'!$H$43*12,0,CC133+CI133))</f>
        <v>0</v>
      </c>
      <c r="CM133" s="10">
        <f t="shared" ref="CM133:CM196" si="42">CM132+CK133</f>
        <v>0</v>
      </c>
      <c r="CN133" s="2">
        <f>CK133/(1+('Batt IN'!$G$8))^(C133)</f>
        <v>0</v>
      </c>
      <c r="CO133" s="2">
        <f>IF(C133&lt;='Batt IN'!$O$30*12,CN133+CO132,NA())</f>
        <v>0</v>
      </c>
      <c r="CQ133" s="2">
        <f>CK133/((1+('Batt IN'!$E$8/12))^BattCalcs!C133)</f>
        <v>0</v>
      </c>
      <c r="CS133" s="10">
        <f t="shared" ref="CS133:CS196" si="43">CB133</f>
        <v>-3017.8556001967654</v>
      </c>
      <c r="CT133" s="10">
        <f t="shared" ref="CT133:CT196" si="44">AV133+BH133</f>
        <v>0</v>
      </c>
      <c r="CU133" s="10">
        <f t="shared" ref="CU133:CU196" si="45">CS133+CT133</f>
        <v>-3017.8556001967654</v>
      </c>
      <c r="CV133" s="10">
        <f t="shared" ref="CV133:CV196" si="46">SUM(BL133:BX133)</f>
        <v>-3017.8556001967654</v>
      </c>
      <c r="CW133" s="2">
        <f t="shared" ref="CW133:CW196" si="47">CG133</f>
        <v>0</v>
      </c>
      <c r="CX133" s="2">
        <f>-(SUM(CV133:CW133)*'PV IN'!$E$8)</f>
        <v>633.74967604132075</v>
      </c>
      <c r="CY133" s="2">
        <f t="shared" ref="CY133:CY196" si="48">CU133+CX133</f>
        <v>-2384.1059241554449</v>
      </c>
      <c r="CZ133" s="2">
        <f>IF(C133&lt;='Batt IN'!$H$43*12,CY133/(1+('PV IN'!$G$9))^(C133),0)</f>
        <v>-1411.0440828645128</v>
      </c>
      <c r="DA133" s="33">
        <f>IF(C133&lt;='Batt IN'!$H$43*12,AE133,0)</f>
        <v>30366.783333333333</v>
      </c>
    </row>
    <row r="134" spans="1:105" x14ac:dyDescent="0.25">
      <c r="A134">
        <f>IF(C134&lt;='Batt IN'!$H$43*12,C134,"")</f>
        <v>130</v>
      </c>
      <c r="C134">
        <v>130</v>
      </c>
      <c r="D134" s="21">
        <v>730</v>
      </c>
      <c r="E134" s="1">
        <f>1-'Batt IN'!$E$31</f>
        <v>2.0000000000000018E-2</v>
      </c>
      <c r="F134" s="12">
        <f>('Batt IN'!$E$33*365)/8760</f>
        <v>0</v>
      </c>
      <c r="G134" s="22">
        <f>'Batt IN'!$E$32/8760</f>
        <v>5.7077625570776253E-3</v>
      </c>
      <c r="H134" s="22">
        <f>'Batt IN'!$E$13/8760</f>
        <v>5.5936073059360729E-3</v>
      </c>
      <c r="I134" s="23">
        <f>IF(C134&lt;='Batt IN'!$G$14*12,'Batt IN'!$E$15/8760*'Batt IN'!$G$15,0)</f>
        <v>0</v>
      </c>
      <c r="J134" s="12">
        <f>Z134/'Batt IN'!$E$27/730</f>
        <v>2.4999999999999996E-3</v>
      </c>
      <c r="K134" s="23">
        <f>AA134/'Batt IN'!$E$27/730</f>
        <v>1.6027397260273972E-3</v>
      </c>
      <c r="L134" s="23">
        <f>AB134/'Batt IN'!$E$27/730</f>
        <v>2.0547945205479451E-4</v>
      </c>
      <c r="M134" s="23">
        <f>AC134/'Batt IN'!$E$27/730</f>
        <v>4.7945205479452057E-3</v>
      </c>
      <c r="N134" s="23">
        <f>AD134/'Batt IN'!$E$27/730</f>
        <v>3.4246575342465752E-3</v>
      </c>
      <c r="O134" s="12">
        <f t="shared" si="36"/>
        <v>4.3828767123287697E-2</v>
      </c>
      <c r="P134" s="21">
        <f t="shared" si="37"/>
        <v>698.005</v>
      </c>
      <c r="Q134" s="2">
        <f>IF('Batt IN'!$E$27*'Batt IN'!$E$24&lt;='Batt IN'!$E$28,(('Batt IN'!$E$23*'Batt IN'!$E$27*'Batt IN'!$E$24)/1000)*P134,(('Batt IN'!$E$23*'Batt IN'!$E$28*'Batt IN'!$E$24)/1000)*P134)</f>
        <v>11168.08</v>
      </c>
      <c r="R134" s="2"/>
      <c r="S134" s="77">
        <f>IF(C134&lt;='Batt IN'!$G$14*12,'Batt IN'!$E$15/12,0)</f>
        <v>0</v>
      </c>
      <c r="T134" s="77"/>
      <c r="U134" s="80">
        <f>'Batt IN'!$E$28*('Batt IN'!$G$24/24)*730*(1-O134)</f>
        <v>81433.916666666657</v>
      </c>
      <c r="V134" s="78">
        <f>U134*'Batt IN'!$F$30</f>
        <v>16286.783333333333</v>
      </c>
      <c r="W134" s="78">
        <f>'Batt IN'!$E$28*'Batt IN'!$G$32*('Batt IN'!$E$32/12)*(1+'Batt IN'!$F$30)</f>
        <v>1750.0000000000002</v>
      </c>
      <c r="X134" s="78">
        <f>'Batt IN'!$E$28*'Batt IN'!$G$13*('Batt IN'!$E$13/12)*(1+'Batt IN'!$F$30)</f>
        <v>3184.9999999999995</v>
      </c>
      <c r="Y134" s="33">
        <f>S134*'Batt IN'!$G$15*'Batt IN'!$E$28*(1+'Batt IN'!$F$30)</f>
        <v>0</v>
      </c>
      <c r="Z134" s="33">
        <f>'Batt IN'!$G$16*365/12*(1+'Batt IN'!$F$30)</f>
        <v>1824.9999999999998</v>
      </c>
      <c r="AA134" s="33">
        <f>'Batt IN'!$G$17*'Batt IN'!$E$18*'Batt IN'!$G$18/12*(1+'Batt IN'!$F$30)</f>
        <v>1170</v>
      </c>
      <c r="AB134" s="33">
        <f>'Batt IN'!$G$19*'Batt IN'!$E$20*'Batt IN'!$G$20/12*(1+'Batt IN'!$F$30)</f>
        <v>150</v>
      </c>
      <c r="AC134" s="33">
        <f>'Batt IN'!$G$21*(1+'Batt IN'!$F$30)/12</f>
        <v>3500</v>
      </c>
      <c r="AD134" s="33">
        <f>'Batt IN'!$G$22*(1+'Batt IN'!$F$30)/12</f>
        <v>2500</v>
      </c>
      <c r="AE134" s="33">
        <f t="shared" ref="AE134:AE197" si="49">SUM(V134:AD134)</f>
        <v>30366.783333333333</v>
      </c>
      <c r="AF134" s="33">
        <f>IF('PV IN'!$F$4="Battery Only",0,AE134*'Batt IN'!$E$29)</f>
        <v>25811.765833333331</v>
      </c>
      <c r="AG134" s="33">
        <f>PVCalcs!L134</f>
        <v>25811.765833333331</v>
      </c>
      <c r="AH134" s="33">
        <f t="shared" ref="AH134:AH197" si="50">AE134-AG134</f>
        <v>4555.0175000000017</v>
      </c>
      <c r="AI134" s="33"/>
      <c r="AJ134" s="2">
        <f>IF(AND('Batt IN'!$D$53="Yes",$AL$1&gt;=1),IF($C134='Batt IN'!$H$54*12,-'Batt IN'!$F$54,0),0)</f>
        <v>0</v>
      </c>
      <c r="AK134" s="2">
        <f>IF(AND('Batt IN'!$D$53="Yes",$AL$1&gt;=2),IF($C134='Batt IN'!$H$55*12,-'Batt IN'!$F$55,0),0)</f>
        <v>0</v>
      </c>
      <c r="AL134" s="2">
        <f>IF(AND('Batt IN'!$D$53="Yes",$AL$1&gt;=3),IF($C134='Batt IN'!$H$56*12,-'Batt IN'!$F$56,0),0)</f>
        <v>0</v>
      </c>
      <c r="AM134" s="2">
        <f>IF(AND('Batt IN'!$D$53="Yes",$AL$1&gt;=4),IF($C134='Batt IN'!$H$57*12,-'Batt IN'!$F$57,0),0)</f>
        <v>0</v>
      </c>
      <c r="AN134" s="2">
        <f>IF(AND('Batt IN'!$D$53="Yes",$AL$1&gt;=5),IF($C134='Batt IN'!$H$58*12,-'Batt IN'!$F$58,0),0)</f>
        <v>0</v>
      </c>
      <c r="AO134" s="10">
        <f>IF(AND('Batt IN'!$D$44="YES",$C134&lt;='Batt IN'!$E$44*12),-'Batt IN'!$E$28*'Batt IN'!$E$42/12,0)</f>
        <v>0</v>
      </c>
      <c r="AP134" s="10">
        <f>IF(AND('Batt IN'!$D$46="YES",$C134&lt;='Batt IN'!$E$46*12),-'Batt IN'!$E$28*'Batt IN'!$E$45/12,0)</f>
        <v>0</v>
      </c>
      <c r="AR134" s="10">
        <f>BattLoan!M161</f>
        <v>0</v>
      </c>
      <c r="AS134" s="10">
        <f>'Batt IN'!$G$16*365/12*'Batt IN'!$E$16</f>
        <v>76.041666666666671</v>
      </c>
      <c r="AT134" s="10">
        <f>IF(AND('Batt IN'!$E$18&gt;0,'Batt IN'!$G$18&gt;0),'Batt IN'!$E$17*'Batt IN'!$G$17,0)</f>
        <v>119.44619999999999</v>
      </c>
      <c r="AU134" s="10">
        <f>IF(AND('Batt IN'!$E$20&gt;0,'Batt IN'!$G$20&gt;0),'Batt IN'!$E$19*'Batt IN'!$G$19,0)</f>
        <v>231</v>
      </c>
      <c r="AV134" s="10"/>
      <c r="AW134" s="10"/>
      <c r="AX134" s="10">
        <f>IF('Batt IN'!$E$11="Non-Taxable",Q134,0)</f>
        <v>11168.08</v>
      </c>
      <c r="AY134" s="10">
        <f>IF('Batt IN'!$E$11="Non-Taxable",'Batt IN'!$E$28/1000*'Batt IN'!$G$13*('Batt IN'!$E$13/12)*'Batt IN'!$E$12,0)</f>
        <v>244.42220833333334</v>
      </c>
      <c r="AZ134" s="10">
        <f>IF('Batt IN'!$E$11="Non-Taxable",$S134*'Batt IN'!$G$15*'Batt IN'!$E$28*'Batt IN'!$E$14/1000,0)</f>
        <v>0</v>
      </c>
      <c r="BA134" s="10">
        <f>IF('Batt IN'!$E$11="Non-Taxable",'Batt IN'!$E$21*'Batt IN'!$G$21/12,0)</f>
        <v>437.5</v>
      </c>
      <c r="BB134" s="10">
        <f>IF('Batt IN'!$E$11="Non-Taxable",'Batt IN'!$E$22*'Batt IN'!$G$22/12,0)</f>
        <v>1145.8333333333335</v>
      </c>
      <c r="BC134" s="10">
        <f>IF('Batt IN'!$E$11="Taxable",Q134,0)</f>
        <v>0</v>
      </c>
      <c r="BD134" s="10">
        <f>IF('Batt IN'!$E$11="Taxable",'Batt IN'!$E$28/1000*'Batt IN'!$G$13*('Batt IN'!$E$13/12)*'Batt IN'!$E$12,0)</f>
        <v>0</v>
      </c>
      <c r="BE134" s="10">
        <f>IF('Batt IN'!$E$11="Taxable",$S134*'Batt IN'!$G$15*'Batt IN'!$E$28*'Batt IN'!$E$14/1000,0)</f>
        <v>0</v>
      </c>
      <c r="BF134" s="10">
        <f>IF('Batt IN'!$E$11="Taxable",'Batt IN'!$E$21*'Batt IN'!$G$21/12,0)</f>
        <v>0</v>
      </c>
      <c r="BG134" s="10">
        <f>IF('Batt IN'!$E$11="Taxable",'Batt IN'!$E$22*'Batt IN'!$G$22/12,0)</f>
        <v>0</v>
      </c>
      <c r="BK134" s="10">
        <f>IF('Batt IN'!$N$18="Yes",-BattLoan!H162,-BattLoan!L162)</f>
        <v>0</v>
      </c>
      <c r="BL134" s="10">
        <f>IF('Batt IN'!$N$18="Yes",-BattLoan!F162,0)</f>
        <v>0</v>
      </c>
      <c r="BM134" s="10">
        <f>IF(AND('Batt IN'!$D$44="YES",$C134&lt;='Batt IN'!$E$44*12),0,-'Batt IN'!$E$28*'Batt IN'!$E$42/12)</f>
        <v>-83.333333333333329</v>
      </c>
      <c r="BN134" s="10">
        <f>IF(AND('Batt IN'!$D$46="YES",$C134&lt;='Batt IN'!$E$46*12),0,-'Batt IN'!$E$28*'Batt IN'!$E$45/12)</f>
        <v>-166.66666666666666</v>
      </c>
      <c r="BO134" s="2">
        <f>IF(AND('Batt IN'!$D$41="YES",BattCalcs!C134=ROUNDUP('Batt IN'!$H$41*12,)),-'Batt IN'!$E$41*'Batt IN'!$E$28,0)</f>
        <v>0</v>
      </c>
      <c r="BP134" s="2">
        <f>IF(AND('Batt IN'!$D$53="Yes",$AL$1&gt;=1),0,IF($C134='Batt IN'!$H$54*12,-'Batt IN'!$F$54,0))</f>
        <v>0</v>
      </c>
      <c r="BQ134" s="2">
        <f>IF(AND('Batt IN'!$D$53="Yes",$AL$1&gt;=2),0,IF($C134='Batt IN'!$H$55*12,-'Batt IN'!$F$55,0))</f>
        <v>0</v>
      </c>
      <c r="BR134" s="2">
        <f>IF(AND('Batt IN'!$D$53="Yes",$AL$1&gt;=3),0,IF($C134='Batt IN'!$H$56*12,-'Batt IN'!$F$56,0))</f>
        <v>0</v>
      </c>
      <c r="BS134" s="2">
        <f>IF(AND('Batt IN'!$D$53="Yes",$AL$1&gt;=4),0,IF($C134='Batt IN'!$H$57*12,-'Batt IN'!$F$57,0))</f>
        <v>0</v>
      </c>
      <c r="BT134" s="2">
        <f>IF(AND('Batt IN'!$D$53="Yes",$AL$1&gt;=5),0,IF($C134='Batt IN'!$H$58*12,-'Batt IN'!$F$58,0))</f>
        <v>0</v>
      </c>
      <c r="BU134" s="2">
        <f>-AH134*PVCalcs!F134</f>
        <v>-367.85560019676569</v>
      </c>
      <c r="BV134" s="2">
        <f>-'Batt IN'!$E$47</f>
        <v>-150</v>
      </c>
      <c r="BW134" s="2">
        <f>-'Batt IN'!$E$49</f>
        <v>-2250</v>
      </c>
      <c r="BX134" s="2">
        <f>IF('Batt IN'!$H$50="No",-(BC134*'Batt IN'!$E$50),-(BC134+BE134)*'Batt IN'!$E$50)</f>
        <v>0</v>
      </c>
      <c r="BY134" s="2">
        <f>IF(C134='Batt IN'!$H$43*12,-'Batt IN'!$E$43,0)</f>
        <v>0</v>
      </c>
      <c r="BZ134" s="38"/>
      <c r="CA134" s="10">
        <f t="shared" si="34"/>
        <v>13422.323408333334</v>
      </c>
      <c r="CB134" s="2">
        <f t="shared" si="38"/>
        <v>-3017.8556001967654</v>
      </c>
      <c r="CC134" s="45">
        <f t="shared" si="39"/>
        <v>10404.467808136567</v>
      </c>
      <c r="CD134" s="43"/>
      <c r="CE134" s="2">
        <f t="shared" si="35"/>
        <v>0</v>
      </c>
      <c r="CF134" s="2">
        <f t="shared" si="40"/>
        <v>-3017.8556001967654</v>
      </c>
      <c r="CG134" s="2"/>
      <c r="CH134" s="2">
        <f t="shared" si="41"/>
        <v>-3017.8556001967654</v>
      </c>
      <c r="CI134" s="45">
        <f>-CH134*'Batt IN'!$E$7</f>
        <v>633.74967604132075</v>
      </c>
      <c r="CJ134" s="48"/>
      <c r="CK134" s="45">
        <f>IF('Batt IN'!$F$4="PV Only",0,IF(C134&gt;'Batt IN'!$H$43*12,0,CC134+CI134))</f>
        <v>0</v>
      </c>
      <c r="CM134" s="10">
        <f t="shared" si="42"/>
        <v>0</v>
      </c>
      <c r="CN134" s="2">
        <f>CK134/(1+('Batt IN'!$G$8))^(C134)</f>
        <v>0</v>
      </c>
      <c r="CO134" s="2">
        <f>IF(C134&lt;='Batt IN'!$O$30*12,CN134+CO133,NA())</f>
        <v>0</v>
      </c>
      <c r="CQ134" s="2">
        <f>CK134/((1+('Batt IN'!$E$8/12))^BattCalcs!C134)</f>
        <v>0</v>
      </c>
      <c r="CS134" s="10">
        <f t="shared" si="43"/>
        <v>-3017.8556001967654</v>
      </c>
      <c r="CT134" s="10">
        <f t="shared" si="44"/>
        <v>0</v>
      </c>
      <c r="CU134" s="10">
        <f t="shared" si="45"/>
        <v>-3017.8556001967654</v>
      </c>
      <c r="CV134" s="10">
        <f t="shared" si="46"/>
        <v>-3017.8556001967654</v>
      </c>
      <c r="CW134" s="2">
        <f t="shared" si="47"/>
        <v>0</v>
      </c>
      <c r="CX134" s="2">
        <f>-(SUM(CV134:CW134)*'PV IN'!$E$8)</f>
        <v>633.74967604132075</v>
      </c>
      <c r="CY134" s="2">
        <f t="shared" si="48"/>
        <v>-2384.1059241554449</v>
      </c>
      <c r="CZ134" s="2">
        <f>IF(C134&lt;='Batt IN'!$H$43*12,CY134/(1+('PV IN'!$G$9))^(C134),0)</f>
        <v>-1405.3186407665612</v>
      </c>
      <c r="DA134" s="33">
        <f>IF(C134&lt;='Batt IN'!$H$43*12,AE134,0)</f>
        <v>30366.783333333333</v>
      </c>
    </row>
    <row r="135" spans="1:105" x14ac:dyDescent="0.25">
      <c r="A135">
        <f>IF(C135&lt;='Batt IN'!$H$43*12,C135,"")</f>
        <v>131</v>
      </c>
      <c r="C135">
        <v>131</v>
      </c>
      <c r="D135" s="21">
        <v>730</v>
      </c>
      <c r="E135" s="1">
        <f>1-'Batt IN'!$E$31</f>
        <v>2.0000000000000018E-2</v>
      </c>
      <c r="F135" s="12">
        <f>('Batt IN'!$E$33*365)/8760</f>
        <v>0</v>
      </c>
      <c r="G135" s="22">
        <f>'Batt IN'!$E$32/8760</f>
        <v>5.7077625570776253E-3</v>
      </c>
      <c r="H135" s="22">
        <f>'Batt IN'!$E$13/8760</f>
        <v>5.5936073059360729E-3</v>
      </c>
      <c r="I135" s="23">
        <f>IF(C135&lt;='Batt IN'!$G$14*12,'Batt IN'!$E$15/8760*'Batt IN'!$G$15,0)</f>
        <v>0</v>
      </c>
      <c r="J135" s="12">
        <f>Z135/'Batt IN'!$E$27/730</f>
        <v>2.4999999999999996E-3</v>
      </c>
      <c r="K135" s="23">
        <f>AA135/'Batt IN'!$E$27/730</f>
        <v>1.6027397260273972E-3</v>
      </c>
      <c r="L135" s="23">
        <f>AB135/'Batt IN'!$E$27/730</f>
        <v>2.0547945205479451E-4</v>
      </c>
      <c r="M135" s="23">
        <f>AC135/'Batt IN'!$E$27/730</f>
        <v>4.7945205479452057E-3</v>
      </c>
      <c r="N135" s="23">
        <f>AD135/'Batt IN'!$E$27/730</f>
        <v>3.4246575342465752E-3</v>
      </c>
      <c r="O135" s="12">
        <f t="shared" si="36"/>
        <v>4.3828767123287697E-2</v>
      </c>
      <c r="P135" s="21">
        <f t="shared" si="37"/>
        <v>698.005</v>
      </c>
      <c r="Q135" s="2">
        <f>IF('Batt IN'!$E$27*'Batt IN'!$E$24&lt;='Batt IN'!$E$28,(('Batt IN'!$E$23*'Batt IN'!$E$27*'Batt IN'!$E$24)/1000)*P135,(('Batt IN'!$E$23*'Batt IN'!$E$28*'Batt IN'!$E$24)/1000)*P135)</f>
        <v>11168.08</v>
      </c>
      <c r="R135" s="2"/>
      <c r="S135" s="77">
        <f>IF(C135&lt;='Batt IN'!$G$14*12,'Batt IN'!$E$15/12,0)</f>
        <v>0</v>
      </c>
      <c r="T135" s="77"/>
      <c r="U135" s="80">
        <f>'Batt IN'!$E$28*('Batt IN'!$G$24/24)*730*(1-O135)</f>
        <v>81433.916666666657</v>
      </c>
      <c r="V135" s="78">
        <f>U135*'Batt IN'!$F$30</f>
        <v>16286.783333333333</v>
      </c>
      <c r="W135" s="78">
        <f>'Batt IN'!$E$28*'Batt IN'!$G$32*('Batt IN'!$E$32/12)*(1+'Batt IN'!$F$30)</f>
        <v>1750.0000000000002</v>
      </c>
      <c r="X135" s="78">
        <f>'Batt IN'!$E$28*'Batt IN'!$G$13*('Batt IN'!$E$13/12)*(1+'Batt IN'!$F$30)</f>
        <v>3184.9999999999995</v>
      </c>
      <c r="Y135" s="33">
        <f>S135*'Batt IN'!$G$15*'Batt IN'!$E$28*(1+'Batt IN'!$F$30)</f>
        <v>0</v>
      </c>
      <c r="Z135" s="33">
        <f>'Batt IN'!$G$16*365/12*(1+'Batt IN'!$F$30)</f>
        <v>1824.9999999999998</v>
      </c>
      <c r="AA135" s="33">
        <f>'Batt IN'!$G$17*'Batt IN'!$E$18*'Batt IN'!$G$18/12*(1+'Batt IN'!$F$30)</f>
        <v>1170</v>
      </c>
      <c r="AB135" s="33">
        <f>'Batt IN'!$G$19*'Batt IN'!$E$20*'Batt IN'!$G$20/12*(1+'Batt IN'!$F$30)</f>
        <v>150</v>
      </c>
      <c r="AC135" s="33">
        <f>'Batt IN'!$G$21*(1+'Batt IN'!$F$30)/12</f>
        <v>3500</v>
      </c>
      <c r="AD135" s="33">
        <f>'Batt IN'!$G$22*(1+'Batt IN'!$F$30)/12</f>
        <v>2500</v>
      </c>
      <c r="AE135" s="33">
        <f t="shared" si="49"/>
        <v>30366.783333333333</v>
      </c>
      <c r="AF135" s="33">
        <f>IF('PV IN'!$F$4="Battery Only",0,AE135*'Batt IN'!$E$29)</f>
        <v>25811.765833333331</v>
      </c>
      <c r="AG135" s="33">
        <f>PVCalcs!L135</f>
        <v>25811.765833333331</v>
      </c>
      <c r="AH135" s="33">
        <f t="shared" si="50"/>
        <v>4555.0175000000017</v>
      </c>
      <c r="AI135" s="33"/>
      <c r="AJ135" s="2">
        <f>IF(AND('Batt IN'!$D$53="Yes",$AL$1&gt;=1),IF($C135='Batt IN'!$H$54*12,-'Batt IN'!$F$54,0),0)</f>
        <v>0</v>
      </c>
      <c r="AK135" s="2">
        <f>IF(AND('Batt IN'!$D$53="Yes",$AL$1&gt;=2),IF($C135='Batt IN'!$H$55*12,-'Batt IN'!$F$55,0),0)</f>
        <v>0</v>
      </c>
      <c r="AL135" s="2">
        <f>IF(AND('Batt IN'!$D$53="Yes",$AL$1&gt;=3),IF($C135='Batt IN'!$H$56*12,-'Batt IN'!$F$56,0),0)</f>
        <v>0</v>
      </c>
      <c r="AM135" s="2">
        <f>IF(AND('Batt IN'!$D$53="Yes",$AL$1&gt;=4),IF($C135='Batt IN'!$H$57*12,-'Batt IN'!$F$57,0),0)</f>
        <v>0</v>
      </c>
      <c r="AN135" s="2">
        <f>IF(AND('Batt IN'!$D$53="Yes",$AL$1&gt;=5),IF($C135='Batt IN'!$H$58*12,-'Batt IN'!$F$58,0),0)</f>
        <v>0</v>
      </c>
      <c r="AO135" s="10">
        <f>IF(AND('Batt IN'!$D$44="YES",$C135&lt;='Batt IN'!$E$44*12),-'Batt IN'!$E$28*'Batt IN'!$E$42/12,0)</f>
        <v>0</v>
      </c>
      <c r="AP135" s="10">
        <f>IF(AND('Batt IN'!$D$46="YES",$C135&lt;='Batt IN'!$E$46*12),-'Batt IN'!$E$28*'Batt IN'!$E$45/12,0)</f>
        <v>0</v>
      </c>
      <c r="AR135" s="10">
        <f>BattLoan!M162</f>
        <v>0</v>
      </c>
      <c r="AS135" s="10">
        <f>'Batt IN'!$G$16*365/12*'Batt IN'!$E$16</f>
        <v>76.041666666666671</v>
      </c>
      <c r="AT135" s="10">
        <f>IF(AND('Batt IN'!$E$18&gt;0,'Batt IN'!$G$18&gt;0),'Batt IN'!$E$17*'Batt IN'!$G$17,0)</f>
        <v>119.44619999999999</v>
      </c>
      <c r="AU135" s="10">
        <f>IF(AND('Batt IN'!$E$20&gt;0,'Batt IN'!$G$20&gt;0),'Batt IN'!$E$19*'Batt IN'!$G$19,0)</f>
        <v>231</v>
      </c>
      <c r="AV135" s="10"/>
      <c r="AW135" s="10"/>
      <c r="AX135" s="10">
        <f>IF('Batt IN'!$E$11="Non-Taxable",Q135,0)</f>
        <v>11168.08</v>
      </c>
      <c r="AY135" s="10">
        <f>IF('Batt IN'!$E$11="Non-Taxable",'Batt IN'!$E$28/1000*'Batt IN'!$G$13*('Batt IN'!$E$13/12)*'Batt IN'!$E$12,0)</f>
        <v>244.42220833333334</v>
      </c>
      <c r="AZ135" s="10">
        <f>IF('Batt IN'!$E$11="Non-Taxable",$S135*'Batt IN'!$G$15*'Batt IN'!$E$28*'Batt IN'!$E$14/1000,0)</f>
        <v>0</v>
      </c>
      <c r="BA135" s="10">
        <f>IF('Batt IN'!$E$11="Non-Taxable",'Batt IN'!$E$21*'Batt IN'!$G$21/12,0)</f>
        <v>437.5</v>
      </c>
      <c r="BB135" s="10">
        <f>IF('Batt IN'!$E$11="Non-Taxable",'Batt IN'!$E$22*'Batt IN'!$G$22/12,0)</f>
        <v>1145.8333333333335</v>
      </c>
      <c r="BC135" s="10">
        <f>IF('Batt IN'!$E$11="Taxable",Q135,0)</f>
        <v>0</v>
      </c>
      <c r="BD135" s="10">
        <f>IF('Batt IN'!$E$11="Taxable",'Batt IN'!$E$28/1000*'Batt IN'!$G$13*('Batt IN'!$E$13/12)*'Batt IN'!$E$12,0)</f>
        <v>0</v>
      </c>
      <c r="BE135" s="10">
        <f>IF('Batt IN'!$E$11="Taxable",$S135*'Batt IN'!$G$15*'Batt IN'!$E$28*'Batt IN'!$E$14/1000,0)</f>
        <v>0</v>
      </c>
      <c r="BF135" s="10">
        <f>IF('Batt IN'!$E$11="Taxable",'Batt IN'!$E$21*'Batt IN'!$G$21/12,0)</f>
        <v>0</v>
      </c>
      <c r="BG135" s="10">
        <f>IF('Batt IN'!$E$11="Taxable",'Batt IN'!$E$22*'Batt IN'!$G$22/12,0)</f>
        <v>0</v>
      </c>
      <c r="BK135" s="10">
        <f>IF('Batt IN'!$N$18="Yes",-BattLoan!H163,-BattLoan!L163)</f>
        <v>0</v>
      </c>
      <c r="BL135" s="10">
        <f>IF('Batt IN'!$N$18="Yes",-BattLoan!F163,0)</f>
        <v>0</v>
      </c>
      <c r="BM135" s="10">
        <f>IF(AND('Batt IN'!$D$44="YES",$C135&lt;='Batt IN'!$E$44*12),0,-'Batt IN'!$E$28*'Batt IN'!$E$42/12)</f>
        <v>-83.333333333333329</v>
      </c>
      <c r="BN135" s="10">
        <f>IF(AND('Batt IN'!$D$46="YES",$C135&lt;='Batt IN'!$E$46*12),0,-'Batt IN'!$E$28*'Batt IN'!$E$45/12)</f>
        <v>-166.66666666666666</v>
      </c>
      <c r="BO135" s="2">
        <f>IF(AND('Batt IN'!$D$41="YES",BattCalcs!C135=ROUNDUP('Batt IN'!$H$41*12,)),-'Batt IN'!$E$41*'Batt IN'!$E$28,0)</f>
        <v>0</v>
      </c>
      <c r="BP135" s="2">
        <f>IF(AND('Batt IN'!$D$53="Yes",$AL$1&gt;=1),0,IF($C135='Batt IN'!$H$54*12,-'Batt IN'!$F$54,0))</f>
        <v>0</v>
      </c>
      <c r="BQ135" s="2">
        <f>IF(AND('Batt IN'!$D$53="Yes",$AL$1&gt;=2),0,IF($C135='Batt IN'!$H$55*12,-'Batt IN'!$F$55,0))</f>
        <v>0</v>
      </c>
      <c r="BR135" s="2">
        <f>IF(AND('Batt IN'!$D$53="Yes",$AL$1&gt;=3),0,IF($C135='Batt IN'!$H$56*12,-'Batt IN'!$F$56,0))</f>
        <v>0</v>
      </c>
      <c r="BS135" s="2">
        <f>IF(AND('Batt IN'!$D$53="Yes",$AL$1&gt;=4),0,IF($C135='Batt IN'!$H$57*12,-'Batt IN'!$F$57,0))</f>
        <v>0</v>
      </c>
      <c r="BT135" s="2">
        <f>IF(AND('Batt IN'!$D$53="Yes",$AL$1&gt;=5),0,IF($C135='Batt IN'!$H$58*12,-'Batt IN'!$F$58,0))</f>
        <v>0</v>
      </c>
      <c r="BU135" s="2">
        <f>-AH135*PVCalcs!F135</f>
        <v>-367.85560019676569</v>
      </c>
      <c r="BV135" s="2">
        <f>-'Batt IN'!$E$47</f>
        <v>-150</v>
      </c>
      <c r="BW135" s="2">
        <f>-'Batt IN'!$E$49</f>
        <v>-2250</v>
      </c>
      <c r="BX135" s="2">
        <f>IF('Batt IN'!$H$50="No",-(BC135*'Batt IN'!$E$50),-(BC135+BE135)*'Batt IN'!$E$50)</f>
        <v>0</v>
      </c>
      <c r="BY135" s="2">
        <f>IF(C135='Batt IN'!$H$43*12,-'Batt IN'!$E$43,0)</f>
        <v>0</v>
      </c>
      <c r="BZ135" s="38"/>
      <c r="CA135" s="10">
        <f t="shared" si="34"/>
        <v>13422.323408333334</v>
      </c>
      <c r="CB135" s="2">
        <f t="shared" si="38"/>
        <v>-3017.8556001967654</v>
      </c>
      <c r="CC135" s="45">
        <f t="shared" si="39"/>
        <v>10404.467808136567</v>
      </c>
      <c r="CD135" s="43"/>
      <c r="CE135" s="2">
        <f t="shared" si="35"/>
        <v>0</v>
      </c>
      <c r="CF135" s="2">
        <f t="shared" si="40"/>
        <v>-3017.8556001967654</v>
      </c>
      <c r="CG135" s="2"/>
      <c r="CH135" s="2">
        <f t="shared" si="41"/>
        <v>-3017.8556001967654</v>
      </c>
      <c r="CI135" s="45">
        <f>-CH135*'Batt IN'!$E$7</f>
        <v>633.74967604132075</v>
      </c>
      <c r="CJ135" s="48"/>
      <c r="CK135" s="45">
        <f>IF('Batt IN'!$F$4="PV Only",0,IF(C135&gt;'Batt IN'!$H$43*12,0,CC135+CI135))</f>
        <v>0</v>
      </c>
      <c r="CM135" s="10">
        <f t="shared" si="42"/>
        <v>0</v>
      </c>
      <c r="CN135" s="2">
        <f>CK135/(1+('Batt IN'!$G$8))^(C135)</f>
        <v>0</v>
      </c>
      <c r="CO135" s="2">
        <f>IF(C135&lt;='Batt IN'!$O$30*12,CN135+CO134,NA())</f>
        <v>0</v>
      </c>
      <c r="CQ135" s="2">
        <f>CK135/((1+('Batt IN'!$E$8/12))^BattCalcs!C135)</f>
        <v>0</v>
      </c>
      <c r="CS135" s="10">
        <f t="shared" si="43"/>
        <v>-3017.8556001967654</v>
      </c>
      <c r="CT135" s="10">
        <f t="shared" si="44"/>
        <v>0</v>
      </c>
      <c r="CU135" s="10">
        <f t="shared" si="45"/>
        <v>-3017.8556001967654</v>
      </c>
      <c r="CV135" s="10">
        <f t="shared" si="46"/>
        <v>-3017.8556001967654</v>
      </c>
      <c r="CW135" s="2">
        <f t="shared" si="47"/>
        <v>0</v>
      </c>
      <c r="CX135" s="2">
        <f>-(SUM(CV135:CW135)*'PV IN'!$E$8)</f>
        <v>633.74967604132075</v>
      </c>
      <c r="CY135" s="2">
        <f t="shared" si="48"/>
        <v>-2384.1059241554449</v>
      </c>
      <c r="CZ135" s="2">
        <f>IF(C135&lt;='Batt IN'!$H$43*12,CY135/(1+('PV IN'!$G$9))^(C135),0)</f>
        <v>-1399.6164301803781</v>
      </c>
      <c r="DA135" s="33">
        <f>IF(C135&lt;='Batt IN'!$H$43*12,AE135,0)</f>
        <v>30366.783333333333</v>
      </c>
    </row>
    <row r="136" spans="1:105" x14ac:dyDescent="0.25">
      <c r="A136">
        <f>IF(C136&lt;='Batt IN'!$H$43*12,C136,"")</f>
        <v>132</v>
      </c>
      <c r="B136">
        <v>11</v>
      </c>
      <c r="C136">
        <v>132</v>
      </c>
      <c r="D136" s="21">
        <v>730</v>
      </c>
      <c r="E136" s="1">
        <f>1-'Batt IN'!$E$31</f>
        <v>2.0000000000000018E-2</v>
      </c>
      <c r="F136" s="12">
        <f>('Batt IN'!$E$33*365)/8760</f>
        <v>0</v>
      </c>
      <c r="G136" s="22">
        <f>'Batt IN'!$E$32/8760</f>
        <v>5.7077625570776253E-3</v>
      </c>
      <c r="H136" s="22">
        <f>'Batt IN'!$E$13/8760</f>
        <v>5.5936073059360729E-3</v>
      </c>
      <c r="I136" s="23">
        <f>IF(C136&lt;='Batt IN'!$G$14*12,'Batt IN'!$E$15/8760*'Batt IN'!$G$15,0)</f>
        <v>0</v>
      </c>
      <c r="J136" s="12">
        <f>Z136/'Batt IN'!$E$27/730</f>
        <v>2.4999999999999996E-3</v>
      </c>
      <c r="K136" s="23">
        <f>AA136/'Batt IN'!$E$27/730</f>
        <v>1.6027397260273972E-3</v>
      </c>
      <c r="L136" s="23">
        <f>AB136/'Batt IN'!$E$27/730</f>
        <v>2.0547945205479451E-4</v>
      </c>
      <c r="M136" s="23">
        <f>AC136/'Batt IN'!$E$27/730</f>
        <v>4.7945205479452057E-3</v>
      </c>
      <c r="N136" s="23">
        <f>AD136/'Batt IN'!$E$27/730</f>
        <v>3.4246575342465752E-3</v>
      </c>
      <c r="O136" s="12">
        <f t="shared" si="36"/>
        <v>4.3828767123287697E-2</v>
      </c>
      <c r="P136" s="21">
        <f t="shared" si="37"/>
        <v>698.005</v>
      </c>
      <c r="Q136" s="2">
        <f>IF('Batt IN'!$E$27*'Batt IN'!$E$24&lt;='Batt IN'!$E$28,(('Batt IN'!$E$23*'Batt IN'!$E$27*'Batt IN'!$E$24)/1000)*P136,(('Batt IN'!$E$23*'Batt IN'!$E$28*'Batt IN'!$E$24)/1000)*P136)</f>
        <v>11168.08</v>
      </c>
      <c r="R136" s="2"/>
      <c r="S136" s="77">
        <f>IF(C136&lt;='Batt IN'!$G$14*12,'Batt IN'!$E$15/12,0)</f>
        <v>0</v>
      </c>
      <c r="T136" s="77"/>
      <c r="U136" s="80">
        <f>'Batt IN'!$E$28*('Batt IN'!$G$24/24)*730*(1-O136)</f>
        <v>81433.916666666657</v>
      </c>
      <c r="V136" s="78">
        <f>U136*'Batt IN'!$F$30</f>
        <v>16286.783333333333</v>
      </c>
      <c r="W136" s="78">
        <f>'Batt IN'!$E$28*'Batt IN'!$G$32*('Batt IN'!$E$32/12)*(1+'Batt IN'!$F$30)</f>
        <v>1750.0000000000002</v>
      </c>
      <c r="X136" s="78">
        <f>'Batt IN'!$E$28*'Batt IN'!$G$13*('Batt IN'!$E$13/12)*(1+'Batt IN'!$F$30)</f>
        <v>3184.9999999999995</v>
      </c>
      <c r="Y136" s="33">
        <f>S136*'Batt IN'!$G$15*'Batt IN'!$E$28*(1+'Batt IN'!$F$30)</f>
        <v>0</v>
      </c>
      <c r="Z136" s="33">
        <f>'Batt IN'!$G$16*365/12*(1+'Batt IN'!$F$30)</f>
        <v>1824.9999999999998</v>
      </c>
      <c r="AA136" s="33">
        <f>'Batt IN'!$G$17*'Batt IN'!$E$18*'Batt IN'!$G$18/12*(1+'Batt IN'!$F$30)</f>
        <v>1170</v>
      </c>
      <c r="AB136" s="33">
        <f>'Batt IN'!$G$19*'Batt IN'!$E$20*'Batt IN'!$G$20/12*(1+'Batt IN'!$F$30)</f>
        <v>150</v>
      </c>
      <c r="AC136" s="33">
        <f>'Batt IN'!$G$21*(1+'Batt IN'!$F$30)/12</f>
        <v>3500</v>
      </c>
      <c r="AD136" s="33">
        <f>'Batt IN'!$G$22*(1+'Batt IN'!$F$30)/12</f>
        <v>2500</v>
      </c>
      <c r="AE136" s="33">
        <f t="shared" si="49"/>
        <v>30366.783333333333</v>
      </c>
      <c r="AF136" s="33">
        <f>IF('PV IN'!$F$4="Battery Only",0,AE136*'Batt IN'!$E$29)</f>
        <v>25811.765833333331</v>
      </c>
      <c r="AG136" s="33">
        <f>PVCalcs!L136</f>
        <v>25811.765833333331</v>
      </c>
      <c r="AH136" s="33">
        <f t="shared" si="50"/>
        <v>4555.0175000000017</v>
      </c>
      <c r="AI136" s="33"/>
      <c r="AJ136" s="2">
        <f>IF(AND('Batt IN'!$D$53="Yes",$AL$1&gt;=1),IF($C136='Batt IN'!$H$54*12,-'Batt IN'!$F$54,0),0)</f>
        <v>0</v>
      </c>
      <c r="AK136" s="2">
        <f>IF(AND('Batt IN'!$D$53="Yes",$AL$1&gt;=2),IF($C136='Batt IN'!$H$55*12,-'Batt IN'!$F$55,0),0)</f>
        <v>0</v>
      </c>
      <c r="AL136" s="2">
        <f>IF(AND('Batt IN'!$D$53="Yes",$AL$1&gt;=3),IF($C136='Batt IN'!$H$56*12,-'Batt IN'!$F$56,0),0)</f>
        <v>0</v>
      </c>
      <c r="AM136" s="2">
        <f>IF(AND('Batt IN'!$D$53="Yes",$AL$1&gt;=4),IF($C136='Batt IN'!$H$57*12,-'Batt IN'!$F$57,0),0)</f>
        <v>0</v>
      </c>
      <c r="AN136" s="2">
        <f>IF(AND('Batt IN'!$D$53="Yes",$AL$1&gt;=5),IF($C136='Batt IN'!$H$58*12,-'Batt IN'!$F$58,0),0)</f>
        <v>0</v>
      </c>
      <c r="AO136" s="10">
        <f>IF(AND('Batt IN'!$D$44="YES",$C136&lt;='Batt IN'!$E$44*12),-'Batt IN'!$E$28*'Batt IN'!$E$42/12,0)</f>
        <v>0</v>
      </c>
      <c r="AP136" s="10">
        <f>IF(AND('Batt IN'!$D$46="YES",$C136&lt;='Batt IN'!$E$46*12),-'Batt IN'!$E$28*'Batt IN'!$E$45/12,0)</f>
        <v>0</v>
      </c>
      <c r="AR136" s="10">
        <f>BattLoan!M163</f>
        <v>0</v>
      </c>
      <c r="AS136" s="10">
        <f>'Batt IN'!$G$16*365/12*'Batt IN'!$E$16</f>
        <v>76.041666666666671</v>
      </c>
      <c r="AT136" s="10">
        <f>IF(AND('Batt IN'!$E$18&gt;0,'Batt IN'!$G$18&gt;0),'Batt IN'!$E$17*'Batt IN'!$G$17,0)</f>
        <v>119.44619999999999</v>
      </c>
      <c r="AU136" s="10">
        <f>IF(AND('Batt IN'!$E$20&gt;0,'Batt IN'!$G$20&gt;0),'Batt IN'!$E$19*'Batt IN'!$G$19,0)</f>
        <v>231</v>
      </c>
      <c r="AV136" s="10"/>
      <c r="AW136" s="10"/>
      <c r="AX136" s="10">
        <f>IF('Batt IN'!$E$11="Non-Taxable",Q136,0)</f>
        <v>11168.08</v>
      </c>
      <c r="AY136" s="10">
        <f>IF('Batt IN'!$E$11="Non-Taxable",'Batt IN'!$E$28/1000*'Batt IN'!$G$13*('Batt IN'!$E$13/12)*'Batt IN'!$E$12,0)</f>
        <v>244.42220833333334</v>
      </c>
      <c r="AZ136" s="10">
        <f>IF('Batt IN'!$E$11="Non-Taxable",$S136*'Batt IN'!$G$15*'Batt IN'!$E$28*'Batt IN'!$E$14/1000,0)</f>
        <v>0</v>
      </c>
      <c r="BA136" s="10">
        <f>IF('Batt IN'!$E$11="Non-Taxable",'Batt IN'!$E$21*'Batt IN'!$G$21/12,0)</f>
        <v>437.5</v>
      </c>
      <c r="BB136" s="10">
        <f>IF('Batt IN'!$E$11="Non-Taxable",'Batt IN'!$E$22*'Batt IN'!$G$22/12,0)</f>
        <v>1145.8333333333335</v>
      </c>
      <c r="BC136" s="10">
        <f>IF('Batt IN'!$E$11="Taxable",Q136,0)</f>
        <v>0</v>
      </c>
      <c r="BD136" s="10">
        <f>IF('Batt IN'!$E$11="Taxable",'Batt IN'!$E$28/1000*'Batt IN'!$G$13*('Batt IN'!$E$13/12)*'Batt IN'!$E$12,0)</f>
        <v>0</v>
      </c>
      <c r="BE136" s="10">
        <f>IF('Batt IN'!$E$11="Taxable",$S136*'Batt IN'!$G$15*'Batt IN'!$E$28*'Batt IN'!$E$14/1000,0)</f>
        <v>0</v>
      </c>
      <c r="BF136" s="10">
        <f>IF('Batt IN'!$E$11="Taxable",'Batt IN'!$E$21*'Batt IN'!$G$21/12,0)</f>
        <v>0</v>
      </c>
      <c r="BG136" s="10">
        <f>IF('Batt IN'!$E$11="Taxable",'Batt IN'!$E$22*'Batt IN'!$G$22/12,0)</f>
        <v>0</v>
      </c>
      <c r="BK136" s="10">
        <f>IF('Batt IN'!$N$18="Yes",-BattLoan!H164,-BattLoan!L164)</f>
        <v>0</v>
      </c>
      <c r="BL136" s="10">
        <f>IF('Batt IN'!$N$18="Yes",-BattLoan!F164,0)</f>
        <v>0</v>
      </c>
      <c r="BM136" s="10">
        <f>IF(AND('Batt IN'!$D$44="YES",$C136&lt;='Batt IN'!$E$44*12),0,-'Batt IN'!$E$28*'Batt IN'!$E$42/12)</f>
        <v>-83.333333333333329</v>
      </c>
      <c r="BN136" s="10">
        <f>IF(AND('Batt IN'!$D$46="YES",$C136&lt;='Batt IN'!$E$46*12),0,-'Batt IN'!$E$28*'Batt IN'!$E$45/12)</f>
        <v>-166.66666666666666</v>
      </c>
      <c r="BO136" s="2">
        <f>IF(AND('Batt IN'!$D$41="YES",BattCalcs!C136=ROUNDUP('Batt IN'!$H$41*12,)),-'Batt IN'!$E$41*'Batt IN'!$E$28,0)</f>
        <v>0</v>
      </c>
      <c r="BP136" s="2">
        <f>IF(AND('Batt IN'!$D$53="Yes",$AL$1&gt;=1),0,IF($C136='Batt IN'!$H$54*12,-'Batt IN'!$F$54,0))</f>
        <v>0</v>
      </c>
      <c r="BQ136" s="2">
        <f>IF(AND('Batt IN'!$D$53="Yes",$AL$1&gt;=2),0,IF($C136='Batt IN'!$H$55*12,-'Batt IN'!$F$55,0))</f>
        <v>0</v>
      </c>
      <c r="BR136" s="2">
        <f>IF(AND('Batt IN'!$D$53="Yes",$AL$1&gt;=3),0,IF($C136='Batt IN'!$H$56*12,-'Batt IN'!$F$56,0))</f>
        <v>0</v>
      </c>
      <c r="BS136" s="2">
        <f>IF(AND('Batt IN'!$D$53="Yes",$AL$1&gt;=4),0,IF($C136='Batt IN'!$H$57*12,-'Batt IN'!$F$57,0))</f>
        <v>0</v>
      </c>
      <c r="BT136" s="2">
        <f>IF(AND('Batt IN'!$D$53="Yes",$AL$1&gt;=5),0,IF($C136='Batt IN'!$H$58*12,-'Batt IN'!$F$58,0))</f>
        <v>0</v>
      </c>
      <c r="BU136" s="2">
        <f>-AH136*PVCalcs!F136</f>
        <v>-367.85560019676569</v>
      </c>
      <c r="BV136" s="2">
        <f>-'Batt IN'!$E$47</f>
        <v>-150</v>
      </c>
      <c r="BW136" s="2">
        <f>-'Batt IN'!$E$49</f>
        <v>-2250</v>
      </c>
      <c r="BX136" s="2">
        <f>IF('Batt IN'!$H$50="No",-(BC136*'Batt IN'!$E$50),-(BC136+BE136)*'Batt IN'!$E$50)</f>
        <v>0</v>
      </c>
      <c r="BY136" s="2">
        <f>IF(C136='Batt IN'!$H$43*12,-'Batt IN'!$E$43,0)</f>
        <v>0</v>
      </c>
      <c r="BZ136" s="38"/>
      <c r="CA136" s="10">
        <f t="shared" si="34"/>
        <v>13422.323408333334</v>
      </c>
      <c r="CB136" s="2">
        <f t="shared" si="38"/>
        <v>-3017.8556001967654</v>
      </c>
      <c r="CC136" s="45">
        <f t="shared" si="39"/>
        <v>10404.467808136567</v>
      </c>
      <c r="CD136" s="43"/>
      <c r="CE136" s="2">
        <f t="shared" si="35"/>
        <v>0</v>
      </c>
      <c r="CF136" s="2">
        <f t="shared" si="40"/>
        <v>-3017.8556001967654</v>
      </c>
      <c r="CG136" s="2"/>
      <c r="CH136" s="2">
        <f t="shared" si="41"/>
        <v>-3017.8556001967654</v>
      </c>
      <c r="CI136" s="45">
        <f>-CH136*'Batt IN'!$E$7</f>
        <v>633.74967604132075</v>
      </c>
      <c r="CJ136" s="48"/>
      <c r="CK136" s="45">
        <f>IF('Batt IN'!$F$4="PV Only",0,IF(C136&gt;'Batt IN'!$H$43*12,0,CC136+CI136))</f>
        <v>0</v>
      </c>
      <c r="CM136" s="10">
        <f t="shared" si="42"/>
        <v>0</v>
      </c>
      <c r="CN136" s="2">
        <f>CK136/(1+('Batt IN'!$G$8))^(C136)</f>
        <v>0</v>
      </c>
      <c r="CO136" s="2">
        <f>IF(C136&lt;='Batt IN'!$O$30*12,CN136+CO135,NA())</f>
        <v>0</v>
      </c>
      <c r="CQ136" s="2">
        <f>CK136/((1+('Batt IN'!$E$8/12))^BattCalcs!C136)</f>
        <v>0</v>
      </c>
      <c r="CS136" s="10">
        <f t="shared" si="43"/>
        <v>-3017.8556001967654</v>
      </c>
      <c r="CT136" s="10">
        <f t="shared" si="44"/>
        <v>0</v>
      </c>
      <c r="CU136" s="10">
        <f t="shared" si="45"/>
        <v>-3017.8556001967654</v>
      </c>
      <c r="CV136" s="10">
        <f t="shared" si="46"/>
        <v>-3017.8556001967654</v>
      </c>
      <c r="CW136" s="2">
        <f t="shared" si="47"/>
        <v>0</v>
      </c>
      <c r="CX136" s="2">
        <f>-(SUM(CV136:CW136)*'PV IN'!$E$8)</f>
        <v>633.74967604132075</v>
      </c>
      <c r="CY136" s="2">
        <f t="shared" si="48"/>
        <v>-2384.1059241554449</v>
      </c>
      <c r="CZ136" s="2">
        <f>IF(C136&lt;='Batt IN'!$H$43*12,CY136/(1+('PV IN'!$G$9))^(C136),0)</f>
        <v>-1393.9373568419526</v>
      </c>
      <c r="DA136" s="33">
        <f>IF(C136&lt;='Batt IN'!$H$43*12,AE136,0)</f>
        <v>30366.783333333333</v>
      </c>
    </row>
    <row r="137" spans="1:105" x14ac:dyDescent="0.25">
      <c r="A137">
        <f>IF(C137&lt;='Batt IN'!$H$43*12,C137,"")</f>
        <v>133</v>
      </c>
      <c r="C137">
        <v>133</v>
      </c>
      <c r="D137" s="21">
        <v>730</v>
      </c>
      <c r="E137" s="1">
        <f>1-'Batt IN'!$E$31</f>
        <v>2.0000000000000018E-2</v>
      </c>
      <c r="F137" s="12">
        <f>('Batt IN'!$E$33*365)/8760</f>
        <v>0</v>
      </c>
      <c r="G137" s="22">
        <f>'Batt IN'!$E$32/8760</f>
        <v>5.7077625570776253E-3</v>
      </c>
      <c r="H137" s="22">
        <f>'Batt IN'!$E$13/8760</f>
        <v>5.5936073059360729E-3</v>
      </c>
      <c r="I137" s="23">
        <f>IF(C137&lt;='Batt IN'!$G$14*12,'Batt IN'!$E$15/8760*'Batt IN'!$G$15,0)</f>
        <v>0</v>
      </c>
      <c r="J137" s="12">
        <f>Z137/'Batt IN'!$E$27/730</f>
        <v>2.4999999999999996E-3</v>
      </c>
      <c r="K137" s="23">
        <f>AA137/'Batt IN'!$E$27/730</f>
        <v>1.6027397260273972E-3</v>
      </c>
      <c r="L137" s="23">
        <f>AB137/'Batt IN'!$E$27/730</f>
        <v>2.0547945205479451E-4</v>
      </c>
      <c r="M137" s="23">
        <f>AC137/'Batt IN'!$E$27/730</f>
        <v>4.7945205479452057E-3</v>
      </c>
      <c r="N137" s="23">
        <f>AD137/'Batt IN'!$E$27/730</f>
        <v>3.4246575342465752E-3</v>
      </c>
      <c r="O137" s="12">
        <f t="shared" si="36"/>
        <v>4.3828767123287697E-2</v>
      </c>
      <c r="P137" s="21">
        <f t="shared" si="37"/>
        <v>698.005</v>
      </c>
      <c r="Q137" s="2">
        <f>IF('Batt IN'!$E$27*'Batt IN'!$E$24&lt;='Batt IN'!$E$28,(('Batt IN'!$E$23*'Batt IN'!$E$27*'Batt IN'!$E$24)/1000)*P137,(('Batt IN'!$E$23*'Batt IN'!$E$28*'Batt IN'!$E$24)/1000)*P137)</f>
        <v>11168.08</v>
      </c>
      <c r="R137" s="2"/>
      <c r="S137" s="77">
        <f>IF(C137&lt;='Batt IN'!$G$14*12,'Batt IN'!$E$15/12,0)</f>
        <v>0</v>
      </c>
      <c r="T137" s="77"/>
      <c r="U137" s="80">
        <f>'Batt IN'!$E$28*('Batt IN'!$G$24/24)*730*(1-O137)</f>
        <v>81433.916666666657</v>
      </c>
      <c r="V137" s="78">
        <f>U137*'Batt IN'!$F$30</f>
        <v>16286.783333333333</v>
      </c>
      <c r="W137" s="78">
        <f>'Batt IN'!$E$28*'Batt IN'!$G$32*('Batt IN'!$E$32/12)*(1+'Batt IN'!$F$30)</f>
        <v>1750.0000000000002</v>
      </c>
      <c r="X137" s="78">
        <f>'Batt IN'!$E$28*'Batt IN'!$G$13*('Batt IN'!$E$13/12)*(1+'Batt IN'!$F$30)</f>
        <v>3184.9999999999995</v>
      </c>
      <c r="Y137" s="33">
        <f>S137*'Batt IN'!$G$15*'Batt IN'!$E$28*(1+'Batt IN'!$F$30)</f>
        <v>0</v>
      </c>
      <c r="Z137" s="33">
        <f>'Batt IN'!$G$16*365/12*(1+'Batt IN'!$F$30)</f>
        <v>1824.9999999999998</v>
      </c>
      <c r="AA137" s="33">
        <f>'Batt IN'!$G$17*'Batt IN'!$E$18*'Batt IN'!$G$18/12*(1+'Batt IN'!$F$30)</f>
        <v>1170</v>
      </c>
      <c r="AB137" s="33">
        <f>'Batt IN'!$G$19*'Batt IN'!$E$20*'Batt IN'!$G$20/12*(1+'Batt IN'!$F$30)</f>
        <v>150</v>
      </c>
      <c r="AC137" s="33">
        <f>'Batt IN'!$G$21*(1+'Batt IN'!$F$30)/12</f>
        <v>3500</v>
      </c>
      <c r="AD137" s="33">
        <f>'Batt IN'!$G$22*(1+'Batt IN'!$F$30)/12</f>
        <v>2500</v>
      </c>
      <c r="AE137" s="33">
        <f t="shared" si="49"/>
        <v>30366.783333333333</v>
      </c>
      <c r="AF137" s="33">
        <f>IF('PV IN'!$F$4="Battery Only",0,AE137*'Batt IN'!$E$29)</f>
        <v>25811.765833333331</v>
      </c>
      <c r="AG137" s="33">
        <f>PVCalcs!L137</f>
        <v>25811.765833333331</v>
      </c>
      <c r="AH137" s="33">
        <f t="shared" si="50"/>
        <v>4555.0175000000017</v>
      </c>
      <c r="AI137" s="33"/>
      <c r="AJ137" s="2">
        <f>IF(AND('Batt IN'!$D$53="Yes",$AL$1&gt;=1),IF($C137='Batt IN'!$H$54*12,-'Batt IN'!$F$54,0),0)</f>
        <v>0</v>
      </c>
      <c r="AK137" s="2">
        <f>IF(AND('Batt IN'!$D$53="Yes",$AL$1&gt;=2),IF($C137='Batt IN'!$H$55*12,-'Batt IN'!$F$55,0),0)</f>
        <v>0</v>
      </c>
      <c r="AL137" s="2">
        <f>IF(AND('Batt IN'!$D$53="Yes",$AL$1&gt;=3),IF($C137='Batt IN'!$H$56*12,-'Batt IN'!$F$56,0),0)</f>
        <v>0</v>
      </c>
      <c r="AM137" s="2">
        <f>IF(AND('Batt IN'!$D$53="Yes",$AL$1&gt;=4),IF($C137='Batt IN'!$H$57*12,-'Batt IN'!$F$57,0),0)</f>
        <v>0</v>
      </c>
      <c r="AN137" s="2">
        <f>IF(AND('Batt IN'!$D$53="Yes",$AL$1&gt;=5),IF($C137='Batt IN'!$H$58*12,-'Batt IN'!$F$58,0),0)</f>
        <v>0</v>
      </c>
      <c r="AO137" s="10">
        <f>IF(AND('Batt IN'!$D$44="YES",$C137&lt;='Batt IN'!$E$44*12),-'Batt IN'!$E$28*'Batt IN'!$E$42/12,0)</f>
        <v>0</v>
      </c>
      <c r="AP137" s="10">
        <f>IF(AND('Batt IN'!$D$46="YES",$C137&lt;='Batt IN'!$E$46*12),-'Batt IN'!$E$28*'Batt IN'!$E$45/12,0)</f>
        <v>0</v>
      </c>
      <c r="AR137" s="10">
        <f>BattLoan!M164</f>
        <v>0</v>
      </c>
      <c r="AS137" s="10">
        <f>'Batt IN'!$G$16*365/12*'Batt IN'!$E$16</f>
        <v>76.041666666666671</v>
      </c>
      <c r="AT137" s="10">
        <f>IF(AND('Batt IN'!$E$18&gt;0,'Batt IN'!$G$18&gt;0),'Batt IN'!$E$17*'Batt IN'!$G$17,0)</f>
        <v>119.44619999999999</v>
      </c>
      <c r="AU137" s="10">
        <f>IF(AND('Batt IN'!$E$20&gt;0,'Batt IN'!$G$20&gt;0),'Batt IN'!$E$19*'Batt IN'!$G$19,0)</f>
        <v>231</v>
      </c>
      <c r="AV137" s="10"/>
      <c r="AW137" s="10"/>
      <c r="AX137" s="10">
        <f>IF('Batt IN'!$E$11="Non-Taxable",Q137,0)</f>
        <v>11168.08</v>
      </c>
      <c r="AY137" s="10">
        <f>IF('Batt IN'!$E$11="Non-Taxable",'Batt IN'!$E$28/1000*'Batt IN'!$G$13*('Batt IN'!$E$13/12)*'Batt IN'!$E$12,0)</f>
        <v>244.42220833333334</v>
      </c>
      <c r="AZ137" s="10">
        <f>IF('Batt IN'!$E$11="Non-Taxable",$S137*'Batt IN'!$G$15*'Batt IN'!$E$28*'Batt IN'!$E$14/1000,0)</f>
        <v>0</v>
      </c>
      <c r="BA137" s="10">
        <f>IF('Batt IN'!$E$11="Non-Taxable",'Batt IN'!$E$21*'Batt IN'!$G$21/12,0)</f>
        <v>437.5</v>
      </c>
      <c r="BB137" s="10">
        <f>IF('Batt IN'!$E$11="Non-Taxable",'Batt IN'!$E$22*'Batt IN'!$G$22/12,0)</f>
        <v>1145.8333333333335</v>
      </c>
      <c r="BC137" s="10">
        <f>IF('Batt IN'!$E$11="Taxable",Q137,0)</f>
        <v>0</v>
      </c>
      <c r="BD137" s="10">
        <f>IF('Batt IN'!$E$11="Taxable",'Batt IN'!$E$28/1000*'Batt IN'!$G$13*('Batt IN'!$E$13/12)*'Batt IN'!$E$12,0)</f>
        <v>0</v>
      </c>
      <c r="BE137" s="10">
        <f>IF('Batt IN'!$E$11="Taxable",$S137*'Batt IN'!$G$15*'Batt IN'!$E$28*'Batt IN'!$E$14/1000,0)</f>
        <v>0</v>
      </c>
      <c r="BF137" s="10">
        <f>IF('Batt IN'!$E$11="Taxable",'Batt IN'!$E$21*'Batt IN'!$G$21/12,0)</f>
        <v>0</v>
      </c>
      <c r="BG137" s="10">
        <f>IF('Batt IN'!$E$11="Taxable",'Batt IN'!$E$22*'Batt IN'!$G$22/12,0)</f>
        <v>0</v>
      </c>
      <c r="BK137" s="10">
        <f>IF('Batt IN'!$N$18="Yes",-BattLoan!H165,-BattLoan!L165)</f>
        <v>0</v>
      </c>
      <c r="BL137" s="10">
        <f>IF('Batt IN'!$N$18="Yes",-BattLoan!F165,0)</f>
        <v>0</v>
      </c>
      <c r="BM137" s="10">
        <f>IF(AND('Batt IN'!$D$44="YES",$C137&lt;='Batt IN'!$E$44*12),0,-'Batt IN'!$E$28*'Batt IN'!$E$42/12)</f>
        <v>-83.333333333333329</v>
      </c>
      <c r="BN137" s="10">
        <f>IF(AND('Batt IN'!$D$46="YES",$C137&lt;='Batt IN'!$E$46*12),0,-'Batt IN'!$E$28*'Batt IN'!$E$45/12)</f>
        <v>-166.66666666666666</v>
      </c>
      <c r="BO137" s="2">
        <f>IF(AND('Batt IN'!$D$41="YES",BattCalcs!C137=ROUNDUP('Batt IN'!$H$41*12,)),-'Batt IN'!$E$41*'Batt IN'!$E$28,0)</f>
        <v>0</v>
      </c>
      <c r="BP137" s="2">
        <f>IF(AND('Batt IN'!$D$53="Yes",$AL$1&gt;=1),0,IF($C137='Batt IN'!$H$54*12,-'Batt IN'!$F$54,0))</f>
        <v>0</v>
      </c>
      <c r="BQ137" s="2">
        <f>IF(AND('Batt IN'!$D$53="Yes",$AL$1&gt;=2),0,IF($C137='Batt IN'!$H$55*12,-'Batt IN'!$F$55,0))</f>
        <v>0</v>
      </c>
      <c r="BR137" s="2">
        <f>IF(AND('Batt IN'!$D$53="Yes",$AL$1&gt;=3),0,IF($C137='Batt IN'!$H$56*12,-'Batt IN'!$F$56,0))</f>
        <v>0</v>
      </c>
      <c r="BS137" s="2">
        <f>IF(AND('Batt IN'!$D$53="Yes",$AL$1&gt;=4),0,IF($C137='Batt IN'!$H$57*12,-'Batt IN'!$F$57,0))</f>
        <v>0</v>
      </c>
      <c r="BT137" s="2">
        <f>IF(AND('Batt IN'!$D$53="Yes",$AL$1&gt;=5),0,IF($C137='Batt IN'!$H$58*12,-'Batt IN'!$F$58,0))</f>
        <v>0</v>
      </c>
      <c r="BU137" s="2">
        <f>-AH137*PVCalcs!F137</f>
        <v>-366.03497660793875</v>
      </c>
      <c r="BV137" s="2">
        <f>-'Batt IN'!$E$47</f>
        <v>-150</v>
      </c>
      <c r="BW137" s="2">
        <f>-'Batt IN'!$E$49</f>
        <v>-2250</v>
      </c>
      <c r="BX137" s="2">
        <f>IF('Batt IN'!$H$50="No",-(BC137*'Batt IN'!$E$50),-(BC137+BE137)*'Batt IN'!$E$50)</f>
        <v>0</v>
      </c>
      <c r="BY137" s="2">
        <f>IF(C137='Batt IN'!$H$43*12,-'Batt IN'!$E$43,0)</f>
        <v>0</v>
      </c>
      <c r="BZ137" s="38"/>
      <c r="CA137" s="10">
        <f t="shared" si="34"/>
        <v>13422.323408333334</v>
      </c>
      <c r="CB137" s="2">
        <f t="shared" si="38"/>
        <v>-3016.0349766079389</v>
      </c>
      <c r="CC137" s="45">
        <f t="shared" si="39"/>
        <v>10406.288431725396</v>
      </c>
      <c r="CD137" s="43"/>
      <c r="CE137" s="2">
        <f t="shared" si="35"/>
        <v>0</v>
      </c>
      <c r="CF137" s="2">
        <f t="shared" si="40"/>
        <v>-3016.0349766079389</v>
      </c>
      <c r="CG137" s="2"/>
      <c r="CH137" s="2">
        <f t="shared" si="41"/>
        <v>-3016.0349766079389</v>
      </c>
      <c r="CI137" s="45">
        <f>-CH137*'Batt IN'!$E$7</f>
        <v>633.3673450876671</v>
      </c>
      <c r="CJ137" s="48"/>
      <c r="CK137" s="45">
        <f>IF('Batt IN'!$F$4="PV Only",0,IF(C137&gt;'Batt IN'!$H$43*12,0,CC137+CI137))</f>
        <v>0</v>
      </c>
      <c r="CM137" s="10">
        <f t="shared" si="42"/>
        <v>0</v>
      </c>
      <c r="CN137" s="2">
        <f>CK137/(1+('Batt IN'!$G$8))^(C137)</f>
        <v>0</v>
      </c>
      <c r="CO137" s="2">
        <f>IF(C137&lt;='Batt IN'!$O$30*12,CN137+CO136,NA())</f>
        <v>0</v>
      </c>
      <c r="CQ137" s="2">
        <f>CK137/((1+('Batt IN'!$E$8/12))^BattCalcs!C137)</f>
        <v>0</v>
      </c>
      <c r="CS137" s="10">
        <f t="shared" si="43"/>
        <v>-3016.0349766079389</v>
      </c>
      <c r="CT137" s="10">
        <f t="shared" si="44"/>
        <v>0</v>
      </c>
      <c r="CU137" s="10">
        <f t="shared" si="45"/>
        <v>-3016.0349766079389</v>
      </c>
      <c r="CV137" s="10">
        <f t="shared" si="46"/>
        <v>-3016.0349766079389</v>
      </c>
      <c r="CW137" s="2">
        <f t="shared" si="47"/>
        <v>0</v>
      </c>
      <c r="CX137" s="2">
        <f>-(SUM(CV137:CW137)*'PV IN'!$E$8)</f>
        <v>633.3673450876671</v>
      </c>
      <c r="CY137" s="2">
        <f t="shared" si="48"/>
        <v>-2382.6676315202717</v>
      </c>
      <c r="CZ137" s="2">
        <f>IF(C137&lt;='Batt IN'!$H$43*12,CY137/(1+('PV IN'!$G$9))^(C137),0)</f>
        <v>-1387.4437991459454</v>
      </c>
      <c r="DA137" s="33">
        <f>IF(C137&lt;='Batt IN'!$H$43*12,AE137,0)</f>
        <v>30366.783333333333</v>
      </c>
    </row>
    <row r="138" spans="1:105" x14ac:dyDescent="0.25">
      <c r="A138">
        <f>IF(C138&lt;='Batt IN'!$H$43*12,C138,"")</f>
        <v>134</v>
      </c>
      <c r="C138">
        <v>134</v>
      </c>
      <c r="D138" s="21">
        <v>730</v>
      </c>
      <c r="E138" s="1">
        <f>1-'Batt IN'!$E$31</f>
        <v>2.0000000000000018E-2</v>
      </c>
      <c r="F138" s="12">
        <f>('Batt IN'!$E$33*365)/8760</f>
        <v>0</v>
      </c>
      <c r="G138" s="22">
        <f>'Batt IN'!$E$32/8760</f>
        <v>5.7077625570776253E-3</v>
      </c>
      <c r="H138" s="22">
        <f>'Batt IN'!$E$13/8760</f>
        <v>5.5936073059360729E-3</v>
      </c>
      <c r="I138" s="23">
        <f>IF(C138&lt;='Batt IN'!$G$14*12,'Batt IN'!$E$15/8760*'Batt IN'!$G$15,0)</f>
        <v>0</v>
      </c>
      <c r="J138" s="12">
        <f>Z138/'Batt IN'!$E$27/730</f>
        <v>2.4999999999999996E-3</v>
      </c>
      <c r="K138" s="23">
        <f>AA138/'Batt IN'!$E$27/730</f>
        <v>1.6027397260273972E-3</v>
      </c>
      <c r="L138" s="23">
        <f>AB138/'Batt IN'!$E$27/730</f>
        <v>2.0547945205479451E-4</v>
      </c>
      <c r="M138" s="23">
        <f>AC138/'Batt IN'!$E$27/730</f>
        <v>4.7945205479452057E-3</v>
      </c>
      <c r="N138" s="23">
        <f>AD138/'Batt IN'!$E$27/730</f>
        <v>3.4246575342465752E-3</v>
      </c>
      <c r="O138" s="12">
        <f t="shared" si="36"/>
        <v>4.3828767123287697E-2</v>
      </c>
      <c r="P138" s="21">
        <f t="shared" si="37"/>
        <v>698.005</v>
      </c>
      <c r="Q138" s="2">
        <f>IF('Batt IN'!$E$27*'Batt IN'!$E$24&lt;='Batt IN'!$E$28,(('Batt IN'!$E$23*'Batt IN'!$E$27*'Batt IN'!$E$24)/1000)*P138,(('Batt IN'!$E$23*'Batt IN'!$E$28*'Batt IN'!$E$24)/1000)*P138)</f>
        <v>11168.08</v>
      </c>
      <c r="R138" s="2"/>
      <c r="S138" s="77">
        <f>IF(C138&lt;='Batt IN'!$G$14*12,'Batt IN'!$E$15/12,0)</f>
        <v>0</v>
      </c>
      <c r="T138" s="77"/>
      <c r="U138" s="80">
        <f>'Batt IN'!$E$28*('Batt IN'!$G$24/24)*730*(1-O138)</f>
        <v>81433.916666666657</v>
      </c>
      <c r="V138" s="78">
        <f>U138*'Batt IN'!$F$30</f>
        <v>16286.783333333333</v>
      </c>
      <c r="W138" s="78">
        <f>'Batt IN'!$E$28*'Batt IN'!$G$32*('Batt IN'!$E$32/12)*(1+'Batt IN'!$F$30)</f>
        <v>1750.0000000000002</v>
      </c>
      <c r="X138" s="78">
        <f>'Batt IN'!$E$28*'Batt IN'!$G$13*('Batt IN'!$E$13/12)*(1+'Batt IN'!$F$30)</f>
        <v>3184.9999999999995</v>
      </c>
      <c r="Y138" s="33">
        <f>S138*'Batt IN'!$G$15*'Batt IN'!$E$28*(1+'Batt IN'!$F$30)</f>
        <v>0</v>
      </c>
      <c r="Z138" s="33">
        <f>'Batt IN'!$G$16*365/12*(1+'Batt IN'!$F$30)</f>
        <v>1824.9999999999998</v>
      </c>
      <c r="AA138" s="33">
        <f>'Batt IN'!$G$17*'Batt IN'!$E$18*'Batt IN'!$G$18/12*(1+'Batt IN'!$F$30)</f>
        <v>1170</v>
      </c>
      <c r="AB138" s="33">
        <f>'Batt IN'!$G$19*'Batt IN'!$E$20*'Batt IN'!$G$20/12*(1+'Batt IN'!$F$30)</f>
        <v>150</v>
      </c>
      <c r="AC138" s="33">
        <f>'Batt IN'!$G$21*(1+'Batt IN'!$F$30)/12</f>
        <v>3500</v>
      </c>
      <c r="AD138" s="33">
        <f>'Batt IN'!$G$22*(1+'Batt IN'!$F$30)/12</f>
        <v>2500</v>
      </c>
      <c r="AE138" s="33">
        <f t="shared" si="49"/>
        <v>30366.783333333333</v>
      </c>
      <c r="AF138" s="33">
        <f>IF('PV IN'!$F$4="Battery Only",0,AE138*'Batt IN'!$E$29)</f>
        <v>25811.765833333331</v>
      </c>
      <c r="AG138" s="33">
        <f>PVCalcs!L138</f>
        <v>25811.765833333331</v>
      </c>
      <c r="AH138" s="33">
        <f t="shared" si="50"/>
        <v>4555.0175000000017</v>
      </c>
      <c r="AI138" s="33"/>
      <c r="AJ138" s="2">
        <f>IF(AND('Batt IN'!$D$53="Yes",$AL$1&gt;=1),IF($C138='Batt IN'!$H$54*12,-'Batt IN'!$F$54,0),0)</f>
        <v>0</v>
      </c>
      <c r="AK138" s="2">
        <f>IF(AND('Batt IN'!$D$53="Yes",$AL$1&gt;=2),IF($C138='Batt IN'!$H$55*12,-'Batt IN'!$F$55,0),0)</f>
        <v>0</v>
      </c>
      <c r="AL138" s="2">
        <f>IF(AND('Batt IN'!$D$53="Yes",$AL$1&gt;=3),IF($C138='Batt IN'!$H$56*12,-'Batt IN'!$F$56,0),0)</f>
        <v>0</v>
      </c>
      <c r="AM138" s="2">
        <f>IF(AND('Batt IN'!$D$53="Yes",$AL$1&gt;=4),IF($C138='Batt IN'!$H$57*12,-'Batt IN'!$F$57,0),0)</f>
        <v>0</v>
      </c>
      <c r="AN138" s="2">
        <f>IF(AND('Batt IN'!$D$53="Yes",$AL$1&gt;=5),IF($C138='Batt IN'!$H$58*12,-'Batt IN'!$F$58,0),0)</f>
        <v>0</v>
      </c>
      <c r="AO138" s="10">
        <f>IF(AND('Batt IN'!$D$44="YES",$C138&lt;='Batt IN'!$E$44*12),-'Batt IN'!$E$28*'Batt IN'!$E$42/12,0)</f>
        <v>0</v>
      </c>
      <c r="AP138" s="10">
        <f>IF(AND('Batt IN'!$D$46="YES",$C138&lt;='Batt IN'!$E$46*12),-'Batt IN'!$E$28*'Batt IN'!$E$45/12,0)</f>
        <v>0</v>
      </c>
      <c r="AR138" s="10">
        <f>BattLoan!M165</f>
        <v>0</v>
      </c>
      <c r="AS138" s="10">
        <f>'Batt IN'!$G$16*365/12*'Batt IN'!$E$16</f>
        <v>76.041666666666671</v>
      </c>
      <c r="AT138" s="10">
        <f>IF(AND('Batt IN'!$E$18&gt;0,'Batt IN'!$G$18&gt;0),'Batt IN'!$E$17*'Batt IN'!$G$17,0)</f>
        <v>119.44619999999999</v>
      </c>
      <c r="AU138" s="10">
        <f>IF(AND('Batt IN'!$E$20&gt;0,'Batt IN'!$G$20&gt;0),'Batt IN'!$E$19*'Batt IN'!$G$19,0)</f>
        <v>231</v>
      </c>
      <c r="AV138" s="10"/>
      <c r="AW138" s="10"/>
      <c r="AX138" s="10">
        <f>IF('Batt IN'!$E$11="Non-Taxable",Q138,0)</f>
        <v>11168.08</v>
      </c>
      <c r="AY138" s="10">
        <f>IF('Batt IN'!$E$11="Non-Taxable",'Batt IN'!$E$28/1000*'Batt IN'!$G$13*('Batt IN'!$E$13/12)*'Batt IN'!$E$12,0)</f>
        <v>244.42220833333334</v>
      </c>
      <c r="AZ138" s="10">
        <f>IF('Batt IN'!$E$11="Non-Taxable",$S138*'Batt IN'!$G$15*'Batt IN'!$E$28*'Batt IN'!$E$14/1000,0)</f>
        <v>0</v>
      </c>
      <c r="BA138" s="10">
        <f>IF('Batt IN'!$E$11="Non-Taxable",'Batt IN'!$E$21*'Batt IN'!$G$21/12,0)</f>
        <v>437.5</v>
      </c>
      <c r="BB138" s="10">
        <f>IF('Batt IN'!$E$11="Non-Taxable",'Batt IN'!$E$22*'Batt IN'!$G$22/12,0)</f>
        <v>1145.8333333333335</v>
      </c>
      <c r="BC138" s="10">
        <f>IF('Batt IN'!$E$11="Taxable",Q138,0)</f>
        <v>0</v>
      </c>
      <c r="BD138" s="10">
        <f>IF('Batt IN'!$E$11="Taxable",'Batt IN'!$E$28/1000*'Batt IN'!$G$13*('Batt IN'!$E$13/12)*'Batt IN'!$E$12,0)</f>
        <v>0</v>
      </c>
      <c r="BE138" s="10">
        <f>IF('Batt IN'!$E$11="Taxable",$S138*'Batt IN'!$G$15*'Batt IN'!$E$28*'Batt IN'!$E$14/1000,0)</f>
        <v>0</v>
      </c>
      <c r="BF138" s="10">
        <f>IF('Batt IN'!$E$11="Taxable",'Batt IN'!$E$21*'Batt IN'!$G$21/12,0)</f>
        <v>0</v>
      </c>
      <c r="BG138" s="10">
        <f>IF('Batt IN'!$E$11="Taxable",'Batt IN'!$E$22*'Batt IN'!$G$22/12,0)</f>
        <v>0</v>
      </c>
      <c r="BK138" s="10">
        <f>IF('Batt IN'!$N$18="Yes",-BattLoan!H166,-BattLoan!L166)</f>
        <v>0</v>
      </c>
      <c r="BL138" s="10">
        <f>IF('Batt IN'!$N$18="Yes",-BattLoan!F166,0)</f>
        <v>0</v>
      </c>
      <c r="BM138" s="10">
        <f>IF(AND('Batt IN'!$D$44="YES",$C138&lt;='Batt IN'!$E$44*12),0,-'Batt IN'!$E$28*'Batt IN'!$E$42/12)</f>
        <v>-83.333333333333329</v>
      </c>
      <c r="BN138" s="10">
        <f>IF(AND('Batt IN'!$D$46="YES",$C138&lt;='Batt IN'!$E$46*12),0,-'Batt IN'!$E$28*'Batt IN'!$E$45/12)</f>
        <v>-166.66666666666666</v>
      </c>
      <c r="BO138" s="2">
        <f>IF(AND('Batt IN'!$D$41="YES",BattCalcs!C138=ROUNDUP('Batt IN'!$H$41*12,)),-'Batt IN'!$E$41*'Batt IN'!$E$28,0)</f>
        <v>0</v>
      </c>
      <c r="BP138" s="2">
        <f>IF(AND('Batt IN'!$D$53="Yes",$AL$1&gt;=1),0,IF($C138='Batt IN'!$H$54*12,-'Batt IN'!$F$54,0))</f>
        <v>0</v>
      </c>
      <c r="BQ138" s="2">
        <f>IF(AND('Batt IN'!$D$53="Yes",$AL$1&gt;=2),0,IF($C138='Batt IN'!$H$55*12,-'Batt IN'!$F$55,0))</f>
        <v>0</v>
      </c>
      <c r="BR138" s="2">
        <f>IF(AND('Batt IN'!$D$53="Yes",$AL$1&gt;=3),0,IF($C138='Batt IN'!$H$56*12,-'Batt IN'!$F$56,0))</f>
        <v>0</v>
      </c>
      <c r="BS138" s="2">
        <f>IF(AND('Batt IN'!$D$53="Yes",$AL$1&gt;=4),0,IF($C138='Batt IN'!$H$57*12,-'Batt IN'!$F$57,0))</f>
        <v>0</v>
      </c>
      <c r="BT138" s="2">
        <f>IF(AND('Batt IN'!$D$53="Yes",$AL$1&gt;=5),0,IF($C138='Batt IN'!$H$58*12,-'Batt IN'!$F$58,0))</f>
        <v>0</v>
      </c>
      <c r="BU138" s="2">
        <f>-AH138*PVCalcs!F138</f>
        <v>-366.03497660793875</v>
      </c>
      <c r="BV138" s="2">
        <f>-'Batt IN'!$E$47</f>
        <v>-150</v>
      </c>
      <c r="BW138" s="2">
        <f>-'Batt IN'!$E$49</f>
        <v>-2250</v>
      </c>
      <c r="BX138" s="2">
        <f>IF('Batt IN'!$H$50="No",-(BC138*'Batt IN'!$E$50),-(BC138+BE138)*'Batt IN'!$E$50)</f>
        <v>0</v>
      </c>
      <c r="BY138" s="2">
        <f>IF(C138='Batt IN'!$H$43*12,-'Batt IN'!$E$43,0)</f>
        <v>0</v>
      </c>
      <c r="BZ138" s="38"/>
      <c r="CA138" s="10">
        <f t="shared" si="34"/>
        <v>13422.323408333334</v>
      </c>
      <c r="CB138" s="2">
        <f t="shared" si="38"/>
        <v>-3016.0349766079389</v>
      </c>
      <c r="CC138" s="45">
        <f t="shared" si="39"/>
        <v>10406.288431725396</v>
      </c>
      <c r="CD138" s="43"/>
      <c r="CE138" s="2">
        <f t="shared" si="35"/>
        <v>0</v>
      </c>
      <c r="CF138" s="2">
        <f t="shared" si="40"/>
        <v>-3016.0349766079389</v>
      </c>
      <c r="CG138" s="2"/>
      <c r="CH138" s="2">
        <f t="shared" si="41"/>
        <v>-3016.0349766079389</v>
      </c>
      <c r="CI138" s="45">
        <f>-CH138*'Batt IN'!$E$7</f>
        <v>633.3673450876671</v>
      </c>
      <c r="CJ138" s="48"/>
      <c r="CK138" s="45">
        <f>IF('Batt IN'!$F$4="PV Only",0,IF(C138&gt;'Batt IN'!$H$43*12,0,CC138+CI138))</f>
        <v>0</v>
      </c>
      <c r="CM138" s="10">
        <f t="shared" si="42"/>
        <v>0</v>
      </c>
      <c r="CN138" s="2">
        <f>CK138/(1+('Batt IN'!$G$8))^(C138)</f>
        <v>0</v>
      </c>
      <c r="CO138" s="2">
        <f>IF(C138&lt;='Batt IN'!$O$30*12,CN138+CO137,NA())</f>
        <v>0</v>
      </c>
      <c r="CQ138" s="2">
        <f>CK138/((1+('Batt IN'!$E$8/12))^BattCalcs!C138)</f>
        <v>0</v>
      </c>
      <c r="CS138" s="10">
        <f t="shared" si="43"/>
        <v>-3016.0349766079389</v>
      </c>
      <c r="CT138" s="10">
        <f t="shared" si="44"/>
        <v>0</v>
      </c>
      <c r="CU138" s="10">
        <f t="shared" si="45"/>
        <v>-3016.0349766079389</v>
      </c>
      <c r="CV138" s="10">
        <f t="shared" si="46"/>
        <v>-3016.0349766079389</v>
      </c>
      <c r="CW138" s="2">
        <f t="shared" si="47"/>
        <v>0</v>
      </c>
      <c r="CX138" s="2">
        <f>-(SUM(CV138:CW138)*'PV IN'!$E$8)</f>
        <v>633.3673450876671</v>
      </c>
      <c r="CY138" s="2">
        <f t="shared" si="48"/>
        <v>-2382.6676315202717</v>
      </c>
      <c r="CZ138" s="2">
        <f>IF(C138&lt;='Batt IN'!$H$43*12,CY138/(1+('PV IN'!$G$9))^(C138),0)</f>
        <v>-1381.814117385723</v>
      </c>
      <c r="DA138" s="33">
        <f>IF(C138&lt;='Batt IN'!$H$43*12,AE138,0)</f>
        <v>30366.783333333333</v>
      </c>
    </row>
    <row r="139" spans="1:105" x14ac:dyDescent="0.25">
      <c r="A139">
        <f>IF(C139&lt;='Batt IN'!$H$43*12,C139,"")</f>
        <v>135</v>
      </c>
      <c r="C139">
        <v>135</v>
      </c>
      <c r="D139" s="21">
        <v>730</v>
      </c>
      <c r="E139" s="1">
        <f>1-'Batt IN'!$E$31</f>
        <v>2.0000000000000018E-2</v>
      </c>
      <c r="F139" s="12">
        <f>('Batt IN'!$E$33*365)/8760</f>
        <v>0</v>
      </c>
      <c r="G139" s="22">
        <f>'Batt IN'!$E$32/8760</f>
        <v>5.7077625570776253E-3</v>
      </c>
      <c r="H139" s="22">
        <f>'Batt IN'!$E$13/8760</f>
        <v>5.5936073059360729E-3</v>
      </c>
      <c r="I139" s="23">
        <f>IF(C139&lt;='Batt IN'!$G$14*12,'Batt IN'!$E$15/8760*'Batt IN'!$G$15,0)</f>
        <v>0</v>
      </c>
      <c r="J139" s="12">
        <f>Z139/'Batt IN'!$E$27/730</f>
        <v>2.4999999999999996E-3</v>
      </c>
      <c r="K139" s="23">
        <f>AA139/'Batt IN'!$E$27/730</f>
        <v>1.6027397260273972E-3</v>
      </c>
      <c r="L139" s="23">
        <f>AB139/'Batt IN'!$E$27/730</f>
        <v>2.0547945205479451E-4</v>
      </c>
      <c r="M139" s="23">
        <f>AC139/'Batt IN'!$E$27/730</f>
        <v>4.7945205479452057E-3</v>
      </c>
      <c r="N139" s="23">
        <f>AD139/'Batt IN'!$E$27/730</f>
        <v>3.4246575342465752E-3</v>
      </c>
      <c r="O139" s="12">
        <f t="shared" si="36"/>
        <v>4.3828767123287697E-2</v>
      </c>
      <c r="P139" s="21">
        <f t="shared" si="37"/>
        <v>698.005</v>
      </c>
      <c r="Q139" s="2">
        <f>IF('Batt IN'!$E$27*'Batt IN'!$E$24&lt;='Batt IN'!$E$28,(('Batt IN'!$E$23*'Batt IN'!$E$27*'Batt IN'!$E$24)/1000)*P139,(('Batt IN'!$E$23*'Batt IN'!$E$28*'Batt IN'!$E$24)/1000)*P139)</f>
        <v>11168.08</v>
      </c>
      <c r="R139" s="2"/>
      <c r="S139" s="77">
        <f>IF(C139&lt;='Batt IN'!$G$14*12,'Batt IN'!$E$15/12,0)</f>
        <v>0</v>
      </c>
      <c r="T139" s="77"/>
      <c r="U139" s="80">
        <f>'Batt IN'!$E$28*('Batt IN'!$G$24/24)*730*(1-O139)</f>
        <v>81433.916666666657</v>
      </c>
      <c r="V139" s="78">
        <f>U139*'Batt IN'!$F$30</f>
        <v>16286.783333333333</v>
      </c>
      <c r="W139" s="78">
        <f>'Batt IN'!$E$28*'Batt IN'!$G$32*('Batt IN'!$E$32/12)*(1+'Batt IN'!$F$30)</f>
        <v>1750.0000000000002</v>
      </c>
      <c r="X139" s="78">
        <f>'Batt IN'!$E$28*'Batt IN'!$G$13*('Batt IN'!$E$13/12)*(1+'Batt IN'!$F$30)</f>
        <v>3184.9999999999995</v>
      </c>
      <c r="Y139" s="33">
        <f>S139*'Batt IN'!$G$15*'Batt IN'!$E$28*(1+'Batt IN'!$F$30)</f>
        <v>0</v>
      </c>
      <c r="Z139" s="33">
        <f>'Batt IN'!$G$16*365/12*(1+'Batt IN'!$F$30)</f>
        <v>1824.9999999999998</v>
      </c>
      <c r="AA139" s="33">
        <f>'Batt IN'!$G$17*'Batt IN'!$E$18*'Batt IN'!$G$18/12*(1+'Batt IN'!$F$30)</f>
        <v>1170</v>
      </c>
      <c r="AB139" s="33">
        <f>'Batt IN'!$G$19*'Batt IN'!$E$20*'Batt IN'!$G$20/12*(1+'Batt IN'!$F$30)</f>
        <v>150</v>
      </c>
      <c r="AC139" s="33">
        <f>'Batt IN'!$G$21*(1+'Batt IN'!$F$30)/12</f>
        <v>3500</v>
      </c>
      <c r="AD139" s="33">
        <f>'Batt IN'!$G$22*(1+'Batt IN'!$F$30)/12</f>
        <v>2500</v>
      </c>
      <c r="AE139" s="33">
        <f t="shared" si="49"/>
        <v>30366.783333333333</v>
      </c>
      <c r="AF139" s="33">
        <f>IF('PV IN'!$F$4="Battery Only",0,AE139*'Batt IN'!$E$29)</f>
        <v>25811.765833333331</v>
      </c>
      <c r="AG139" s="33">
        <f>PVCalcs!L139</f>
        <v>25811.765833333331</v>
      </c>
      <c r="AH139" s="33">
        <f t="shared" si="50"/>
        <v>4555.0175000000017</v>
      </c>
      <c r="AI139" s="33"/>
      <c r="AJ139" s="2">
        <f>IF(AND('Batt IN'!$D$53="Yes",$AL$1&gt;=1),IF($C139='Batt IN'!$H$54*12,-'Batt IN'!$F$54,0),0)</f>
        <v>0</v>
      </c>
      <c r="AK139" s="2">
        <f>IF(AND('Batt IN'!$D$53="Yes",$AL$1&gt;=2),IF($C139='Batt IN'!$H$55*12,-'Batt IN'!$F$55,0),0)</f>
        <v>0</v>
      </c>
      <c r="AL139" s="2">
        <f>IF(AND('Batt IN'!$D$53="Yes",$AL$1&gt;=3),IF($C139='Batt IN'!$H$56*12,-'Batt IN'!$F$56,0),0)</f>
        <v>0</v>
      </c>
      <c r="AM139" s="2">
        <f>IF(AND('Batt IN'!$D$53="Yes",$AL$1&gt;=4),IF($C139='Batt IN'!$H$57*12,-'Batt IN'!$F$57,0),0)</f>
        <v>0</v>
      </c>
      <c r="AN139" s="2">
        <f>IF(AND('Batt IN'!$D$53="Yes",$AL$1&gt;=5),IF($C139='Batt IN'!$H$58*12,-'Batt IN'!$F$58,0),0)</f>
        <v>0</v>
      </c>
      <c r="AO139" s="10">
        <f>IF(AND('Batt IN'!$D$44="YES",$C139&lt;='Batt IN'!$E$44*12),-'Batt IN'!$E$28*'Batt IN'!$E$42/12,0)</f>
        <v>0</v>
      </c>
      <c r="AP139" s="10">
        <f>IF(AND('Batt IN'!$D$46="YES",$C139&lt;='Batt IN'!$E$46*12),-'Batt IN'!$E$28*'Batt IN'!$E$45/12,0)</f>
        <v>0</v>
      </c>
      <c r="AR139" s="10">
        <f>BattLoan!M166</f>
        <v>0</v>
      </c>
      <c r="AS139" s="10">
        <f>'Batt IN'!$G$16*365/12*'Batt IN'!$E$16</f>
        <v>76.041666666666671</v>
      </c>
      <c r="AT139" s="10">
        <f>IF(AND('Batt IN'!$E$18&gt;0,'Batt IN'!$G$18&gt;0),'Batt IN'!$E$17*'Batt IN'!$G$17,0)</f>
        <v>119.44619999999999</v>
      </c>
      <c r="AU139" s="10">
        <f>IF(AND('Batt IN'!$E$20&gt;0,'Batt IN'!$G$20&gt;0),'Batt IN'!$E$19*'Batt IN'!$G$19,0)</f>
        <v>231</v>
      </c>
      <c r="AV139" s="10"/>
      <c r="AW139" s="10"/>
      <c r="AX139" s="10">
        <f>IF('Batt IN'!$E$11="Non-Taxable",Q139,0)</f>
        <v>11168.08</v>
      </c>
      <c r="AY139" s="10">
        <f>IF('Batt IN'!$E$11="Non-Taxable",'Batt IN'!$E$28/1000*'Batt IN'!$G$13*('Batt IN'!$E$13/12)*'Batt IN'!$E$12,0)</f>
        <v>244.42220833333334</v>
      </c>
      <c r="AZ139" s="10">
        <f>IF('Batt IN'!$E$11="Non-Taxable",$S139*'Batt IN'!$G$15*'Batt IN'!$E$28*'Batt IN'!$E$14/1000,0)</f>
        <v>0</v>
      </c>
      <c r="BA139" s="10">
        <f>IF('Batt IN'!$E$11="Non-Taxable",'Batt IN'!$E$21*'Batt IN'!$G$21/12,0)</f>
        <v>437.5</v>
      </c>
      <c r="BB139" s="10">
        <f>IF('Batt IN'!$E$11="Non-Taxable",'Batt IN'!$E$22*'Batt IN'!$G$22/12,0)</f>
        <v>1145.8333333333335</v>
      </c>
      <c r="BC139" s="10">
        <f>IF('Batt IN'!$E$11="Taxable",Q139,0)</f>
        <v>0</v>
      </c>
      <c r="BD139" s="10">
        <f>IF('Batt IN'!$E$11="Taxable",'Batt IN'!$E$28/1000*'Batt IN'!$G$13*('Batt IN'!$E$13/12)*'Batt IN'!$E$12,0)</f>
        <v>0</v>
      </c>
      <c r="BE139" s="10">
        <f>IF('Batt IN'!$E$11="Taxable",$S139*'Batt IN'!$G$15*'Batt IN'!$E$28*'Batt IN'!$E$14/1000,0)</f>
        <v>0</v>
      </c>
      <c r="BF139" s="10">
        <f>IF('Batt IN'!$E$11="Taxable",'Batt IN'!$E$21*'Batt IN'!$G$21/12,0)</f>
        <v>0</v>
      </c>
      <c r="BG139" s="10">
        <f>IF('Batt IN'!$E$11="Taxable",'Batt IN'!$E$22*'Batt IN'!$G$22/12,0)</f>
        <v>0</v>
      </c>
      <c r="BK139" s="10">
        <f>IF('Batt IN'!$N$18="Yes",-BattLoan!H167,-BattLoan!L167)</f>
        <v>0</v>
      </c>
      <c r="BL139" s="10">
        <f>IF('Batt IN'!$N$18="Yes",-BattLoan!F167,0)</f>
        <v>0</v>
      </c>
      <c r="BM139" s="10">
        <f>IF(AND('Batt IN'!$D$44="YES",$C139&lt;='Batt IN'!$E$44*12),0,-'Batt IN'!$E$28*'Batt IN'!$E$42/12)</f>
        <v>-83.333333333333329</v>
      </c>
      <c r="BN139" s="10">
        <f>IF(AND('Batt IN'!$D$46="YES",$C139&lt;='Batt IN'!$E$46*12),0,-'Batt IN'!$E$28*'Batt IN'!$E$45/12)</f>
        <v>-166.66666666666666</v>
      </c>
      <c r="BO139" s="2">
        <f>IF(AND('Batt IN'!$D$41="YES",BattCalcs!C139=ROUNDUP('Batt IN'!$H$41*12,)),-'Batt IN'!$E$41*'Batt IN'!$E$28,0)</f>
        <v>0</v>
      </c>
      <c r="BP139" s="2">
        <f>IF(AND('Batt IN'!$D$53="Yes",$AL$1&gt;=1),0,IF($C139='Batt IN'!$H$54*12,-'Batt IN'!$F$54,0))</f>
        <v>0</v>
      </c>
      <c r="BQ139" s="2">
        <f>IF(AND('Batt IN'!$D$53="Yes",$AL$1&gt;=2),0,IF($C139='Batt IN'!$H$55*12,-'Batt IN'!$F$55,0))</f>
        <v>0</v>
      </c>
      <c r="BR139" s="2">
        <f>IF(AND('Batt IN'!$D$53="Yes",$AL$1&gt;=3),0,IF($C139='Batt IN'!$H$56*12,-'Batt IN'!$F$56,0))</f>
        <v>0</v>
      </c>
      <c r="BS139" s="2">
        <f>IF(AND('Batt IN'!$D$53="Yes",$AL$1&gt;=4),0,IF($C139='Batt IN'!$H$57*12,-'Batt IN'!$F$57,0))</f>
        <v>0</v>
      </c>
      <c r="BT139" s="2">
        <f>IF(AND('Batt IN'!$D$53="Yes",$AL$1&gt;=5),0,IF($C139='Batt IN'!$H$58*12,-'Batt IN'!$F$58,0))</f>
        <v>0</v>
      </c>
      <c r="BU139" s="2">
        <f>-AH139*PVCalcs!F139</f>
        <v>-366.03497660793875</v>
      </c>
      <c r="BV139" s="2">
        <f>-'Batt IN'!$E$47</f>
        <v>-150</v>
      </c>
      <c r="BW139" s="2">
        <f>-'Batt IN'!$E$49</f>
        <v>-2250</v>
      </c>
      <c r="BX139" s="2">
        <f>IF('Batt IN'!$H$50="No",-(BC139*'Batt IN'!$E$50),-(BC139+BE139)*'Batt IN'!$E$50)</f>
        <v>0</v>
      </c>
      <c r="BY139" s="2">
        <f>IF(C139='Batt IN'!$H$43*12,-'Batt IN'!$E$43,0)</f>
        <v>0</v>
      </c>
      <c r="BZ139" s="38"/>
      <c r="CA139" s="10">
        <f t="shared" si="34"/>
        <v>13422.323408333334</v>
      </c>
      <c r="CB139" s="2">
        <f t="shared" si="38"/>
        <v>-3016.0349766079389</v>
      </c>
      <c r="CC139" s="45">
        <f t="shared" si="39"/>
        <v>10406.288431725396</v>
      </c>
      <c r="CD139" s="43"/>
      <c r="CE139" s="2">
        <f t="shared" si="35"/>
        <v>0</v>
      </c>
      <c r="CF139" s="2">
        <f t="shared" si="40"/>
        <v>-3016.0349766079389</v>
      </c>
      <c r="CG139" s="2"/>
      <c r="CH139" s="2">
        <f t="shared" si="41"/>
        <v>-3016.0349766079389</v>
      </c>
      <c r="CI139" s="45">
        <f>-CH139*'Batt IN'!$E$7</f>
        <v>633.3673450876671</v>
      </c>
      <c r="CJ139" s="48"/>
      <c r="CK139" s="45">
        <f>IF('Batt IN'!$F$4="PV Only",0,IF(C139&gt;'Batt IN'!$H$43*12,0,CC139+CI139))</f>
        <v>0</v>
      </c>
      <c r="CM139" s="10">
        <f t="shared" si="42"/>
        <v>0</v>
      </c>
      <c r="CN139" s="2">
        <f>CK139/(1+('Batt IN'!$G$8))^(C139)</f>
        <v>0</v>
      </c>
      <c r="CO139" s="2">
        <f>IF(C139&lt;='Batt IN'!$O$30*12,CN139+CO138,NA())</f>
        <v>0</v>
      </c>
      <c r="CQ139" s="2">
        <f>CK139/((1+('Batt IN'!$E$8/12))^BattCalcs!C139)</f>
        <v>0</v>
      </c>
      <c r="CS139" s="10">
        <f t="shared" si="43"/>
        <v>-3016.0349766079389</v>
      </c>
      <c r="CT139" s="10">
        <f t="shared" si="44"/>
        <v>0</v>
      </c>
      <c r="CU139" s="10">
        <f t="shared" si="45"/>
        <v>-3016.0349766079389</v>
      </c>
      <c r="CV139" s="10">
        <f t="shared" si="46"/>
        <v>-3016.0349766079389</v>
      </c>
      <c r="CW139" s="2">
        <f t="shared" si="47"/>
        <v>0</v>
      </c>
      <c r="CX139" s="2">
        <f>-(SUM(CV139:CW139)*'PV IN'!$E$8)</f>
        <v>633.3673450876671</v>
      </c>
      <c r="CY139" s="2">
        <f t="shared" si="48"/>
        <v>-2382.6676315202717</v>
      </c>
      <c r="CZ139" s="2">
        <f>IF(C139&lt;='Batt IN'!$H$43*12,CY139/(1+('PV IN'!$G$9))^(C139),0)</f>
        <v>-1376.2072785808268</v>
      </c>
      <c r="DA139" s="33">
        <f>IF(C139&lt;='Batt IN'!$H$43*12,AE139,0)</f>
        <v>30366.783333333333</v>
      </c>
    </row>
    <row r="140" spans="1:105" x14ac:dyDescent="0.25">
      <c r="A140">
        <f>IF(C140&lt;='Batt IN'!$H$43*12,C140,"")</f>
        <v>136</v>
      </c>
      <c r="C140">
        <v>136</v>
      </c>
      <c r="D140" s="21">
        <v>730</v>
      </c>
      <c r="E140" s="1">
        <f>1-'Batt IN'!$E$31</f>
        <v>2.0000000000000018E-2</v>
      </c>
      <c r="F140" s="12">
        <f>('Batt IN'!$E$33*365)/8760</f>
        <v>0</v>
      </c>
      <c r="G140" s="22">
        <f>'Batt IN'!$E$32/8760</f>
        <v>5.7077625570776253E-3</v>
      </c>
      <c r="H140" s="22">
        <f>'Batt IN'!$E$13/8760</f>
        <v>5.5936073059360729E-3</v>
      </c>
      <c r="I140" s="23">
        <f>IF(C140&lt;='Batt IN'!$G$14*12,'Batt IN'!$E$15/8760*'Batt IN'!$G$15,0)</f>
        <v>0</v>
      </c>
      <c r="J140" s="12">
        <f>Z140/'Batt IN'!$E$27/730</f>
        <v>2.4999999999999996E-3</v>
      </c>
      <c r="K140" s="23">
        <f>AA140/'Batt IN'!$E$27/730</f>
        <v>1.6027397260273972E-3</v>
      </c>
      <c r="L140" s="23">
        <f>AB140/'Batt IN'!$E$27/730</f>
        <v>2.0547945205479451E-4</v>
      </c>
      <c r="M140" s="23">
        <f>AC140/'Batt IN'!$E$27/730</f>
        <v>4.7945205479452057E-3</v>
      </c>
      <c r="N140" s="23">
        <f>AD140/'Batt IN'!$E$27/730</f>
        <v>3.4246575342465752E-3</v>
      </c>
      <c r="O140" s="12">
        <f t="shared" si="36"/>
        <v>4.3828767123287697E-2</v>
      </c>
      <c r="P140" s="21">
        <f t="shared" si="37"/>
        <v>698.005</v>
      </c>
      <c r="Q140" s="2">
        <f>IF('Batt IN'!$E$27*'Batt IN'!$E$24&lt;='Batt IN'!$E$28,(('Batt IN'!$E$23*'Batt IN'!$E$27*'Batt IN'!$E$24)/1000)*P140,(('Batt IN'!$E$23*'Batt IN'!$E$28*'Batt IN'!$E$24)/1000)*P140)</f>
        <v>11168.08</v>
      </c>
      <c r="R140" s="2"/>
      <c r="S140" s="77">
        <f>IF(C140&lt;='Batt IN'!$G$14*12,'Batt IN'!$E$15/12,0)</f>
        <v>0</v>
      </c>
      <c r="T140" s="77"/>
      <c r="U140" s="80">
        <f>'Batt IN'!$E$28*('Batt IN'!$G$24/24)*730*(1-O140)</f>
        <v>81433.916666666657</v>
      </c>
      <c r="V140" s="78">
        <f>U140*'Batt IN'!$F$30</f>
        <v>16286.783333333333</v>
      </c>
      <c r="W140" s="78">
        <f>'Batt IN'!$E$28*'Batt IN'!$G$32*('Batt IN'!$E$32/12)*(1+'Batt IN'!$F$30)</f>
        <v>1750.0000000000002</v>
      </c>
      <c r="X140" s="78">
        <f>'Batt IN'!$E$28*'Batt IN'!$G$13*('Batt IN'!$E$13/12)*(1+'Batt IN'!$F$30)</f>
        <v>3184.9999999999995</v>
      </c>
      <c r="Y140" s="33">
        <f>S140*'Batt IN'!$G$15*'Batt IN'!$E$28*(1+'Batt IN'!$F$30)</f>
        <v>0</v>
      </c>
      <c r="Z140" s="33">
        <f>'Batt IN'!$G$16*365/12*(1+'Batt IN'!$F$30)</f>
        <v>1824.9999999999998</v>
      </c>
      <c r="AA140" s="33">
        <f>'Batt IN'!$G$17*'Batt IN'!$E$18*'Batt IN'!$G$18/12*(1+'Batt IN'!$F$30)</f>
        <v>1170</v>
      </c>
      <c r="AB140" s="33">
        <f>'Batt IN'!$G$19*'Batt IN'!$E$20*'Batt IN'!$G$20/12*(1+'Batt IN'!$F$30)</f>
        <v>150</v>
      </c>
      <c r="AC140" s="33">
        <f>'Batt IN'!$G$21*(1+'Batt IN'!$F$30)/12</f>
        <v>3500</v>
      </c>
      <c r="AD140" s="33">
        <f>'Batt IN'!$G$22*(1+'Batt IN'!$F$30)/12</f>
        <v>2500</v>
      </c>
      <c r="AE140" s="33">
        <f t="shared" si="49"/>
        <v>30366.783333333333</v>
      </c>
      <c r="AF140" s="33">
        <f>IF('PV IN'!$F$4="Battery Only",0,AE140*'Batt IN'!$E$29)</f>
        <v>25811.765833333331</v>
      </c>
      <c r="AG140" s="33">
        <f>PVCalcs!L140</f>
        <v>25811.765833333331</v>
      </c>
      <c r="AH140" s="33">
        <f t="shared" si="50"/>
        <v>4555.0175000000017</v>
      </c>
      <c r="AI140" s="33"/>
      <c r="AJ140" s="2">
        <f>IF(AND('Batt IN'!$D$53="Yes",$AL$1&gt;=1),IF($C140='Batt IN'!$H$54*12,-'Batt IN'!$F$54,0),0)</f>
        <v>0</v>
      </c>
      <c r="AK140" s="2">
        <f>IF(AND('Batt IN'!$D$53="Yes",$AL$1&gt;=2),IF($C140='Batt IN'!$H$55*12,-'Batt IN'!$F$55,0),0)</f>
        <v>0</v>
      </c>
      <c r="AL140" s="2">
        <f>IF(AND('Batt IN'!$D$53="Yes",$AL$1&gt;=3),IF($C140='Batt IN'!$H$56*12,-'Batt IN'!$F$56,0),0)</f>
        <v>0</v>
      </c>
      <c r="AM140" s="2">
        <f>IF(AND('Batt IN'!$D$53="Yes",$AL$1&gt;=4),IF($C140='Batt IN'!$H$57*12,-'Batt IN'!$F$57,0),0)</f>
        <v>0</v>
      </c>
      <c r="AN140" s="2">
        <f>IF(AND('Batt IN'!$D$53="Yes",$AL$1&gt;=5),IF($C140='Batt IN'!$H$58*12,-'Batt IN'!$F$58,0),0)</f>
        <v>0</v>
      </c>
      <c r="AO140" s="10">
        <f>IF(AND('Batt IN'!$D$44="YES",$C140&lt;='Batt IN'!$E$44*12),-'Batt IN'!$E$28*'Batt IN'!$E$42/12,0)</f>
        <v>0</v>
      </c>
      <c r="AP140" s="10">
        <f>IF(AND('Batt IN'!$D$46="YES",$C140&lt;='Batt IN'!$E$46*12),-'Batt IN'!$E$28*'Batt IN'!$E$45/12,0)</f>
        <v>0</v>
      </c>
      <c r="AR140" s="10">
        <f>BattLoan!M167</f>
        <v>0</v>
      </c>
      <c r="AS140" s="10">
        <f>'Batt IN'!$G$16*365/12*'Batt IN'!$E$16</f>
        <v>76.041666666666671</v>
      </c>
      <c r="AT140" s="10">
        <f>IF(AND('Batt IN'!$E$18&gt;0,'Batt IN'!$G$18&gt;0),'Batt IN'!$E$17*'Batt IN'!$G$17,0)</f>
        <v>119.44619999999999</v>
      </c>
      <c r="AU140" s="10">
        <f>IF(AND('Batt IN'!$E$20&gt;0,'Batt IN'!$G$20&gt;0),'Batt IN'!$E$19*'Batt IN'!$G$19,0)</f>
        <v>231</v>
      </c>
      <c r="AV140" s="10"/>
      <c r="AW140" s="10"/>
      <c r="AX140" s="10">
        <f>IF('Batt IN'!$E$11="Non-Taxable",Q140,0)</f>
        <v>11168.08</v>
      </c>
      <c r="AY140" s="10">
        <f>IF('Batt IN'!$E$11="Non-Taxable",'Batt IN'!$E$28/1000*'Batt IN'!$G$13*('Batt IN'!$E$13/12)*'Batt IN'!$E$12,0)</f>
        <v>244.42220833333334</v>
      </c>
      <c r="AZ140" s="10">
        <f>IF('Batt IN'!$E$11="Non-Taxable",$S140*'Batt IN'!$G$15*'Batt IN'!$E$28*'Batt IN'!$E$14/1000,0)</f>
        <v>0</v>
      </c>
      <c r="BA140" s="10">
        <f>IF('Batt IN'!$E$11="Non-Taxable",'Batt IN'!$E$21*'Batt IN'!$G$21/12,0)</f>
        <v>437.5</v>
      </c>
      <c r="BB140" s="10">
        <f>IF('Batt IN'!$E$11="Non-Taxable",'Batt IN'!$E$22*'Batt IN'!$G$22/12,0)</f>
        <v>1145.8333333333335</v>
      </c>
      <c r="BC140" s="10">
        <f>IF('Batt IN'!$E$11="Taxable",Q140,0)</f>
        <v>0</v>
      </c>
      <c r="BD140" s="10">
        <f>IF('Batt IN'!$E$11="Taxable",'Batt IN'!$E$28/1000*'Batt IN'!$G$13*('Batt IN'!$E$13/12)*'Batt IN'!$E$12,0)</f>
        <v>0</v>
      </c>
      <c r="BE140" s="10">
        <f>IF('Batt IN'!$E$11="Taxable",$S140*'Batt IN'!$G$15*'Batt IN'!$E$28*'Batt IN'!$E$14/1000,0)</f>
        <v>0</v>
      </c>
      <c r="BF140" s="10">
        <f>IF('Batt IN'!$E$11="Taxable",'Batt IN'!$E$21*'Batt IN'!$G$21/12,0)</f>
        <v>0</v>
      </c>
      <c r="BG140" s="10">
        <f>IF('Batt IN'!$E$11="Taxable",'Batt IN'!$E$22*'Batt IN'!$G$22/12,0)</f>
        <v>0</v>
      </c>
      <c r="BK140" s="10">
        <f>IF('Batt IN'!$N$18="Yes",-BattLoan!H168,-BattLoan!L168)</f>
        <v>0</v>
      </c>
      <c r="BL140" s="10">
        <f>IF('Batt IN'!$N$18="Yes",-BattLoan!F168,0)</f>
        <v>0</v>
      </c>
      <c r="BM140" s="10">
        <f>IF(AND('Batt IN'!$D$44="YES",$C140&lt;='Batt IN'!$E$44*12),0,-'Batt IN'!$E$28*'Batt IN'!$E$42/12)</f>
        <v>-83.333333333333329</v>
      </c>
      <c r="BN140" s="10">
        <f>IF(AND('Batt IN'!$D$46="YES",$C140&lt;='Batt IN'!$E$46*12),0,-'Batt IN'!$E$28*'Batt IN'!$E$45/12)</f>
        <v>-166.66666666666666</v>
      </c>
      <c r="BO140" s="2">
        <f>IF(AND('Batt IN'!$D$41="YES",BattCalcs!C140=ROUNDUP('Batt IN'!$H$41*12,)),-'Batt IN'!$E$41*'Batt IN'!$E$28,0)</f>
        <v>0</v>
      </c>
      <c r="BP140" s="2">
        <f>IF(AND('Batt IN'!$D$53="Yes",$AL$1&gt;=1),0,IF($C140='Batt IN'!$H$54*12,-'Batt IN'!$F$54,0))</f>
        <v>0</v>
      </c>
      <c r="BQ140" s="2">
        <f>IF(AND('Batt IN'!$D$53="Yes",$AL$1&gt;=2),0,IF($C140='Batt IN'!$H$55*12,-'Batt IN'!$F$55,0))</f>
        <v>0</v>
      </c>
      <c r="BR140" s="2">
        <f>IF(AND('Batt IN'!$D$53="Yes",$AL$1&gt;=3),0,IF($C140='Batt IN'!$H$56*12,-'Batt IN'!$F$56,0))</f>
        <v>0</v>
      </c>
      <c r="BS140" s="2">
        <f>IF(AND('Batt IN'!$D$53="Yes",$AL$1&gt;=4),0,IF($C140='Batt IN'!$H$57*12,-'Batt IN'!$F$57,0))</f>
        <v>0</v>
      </c>
      <c r="BT140" s="2">
        <f>IF(AND('Batt IN'!$D$53="Yes",$AL$1&gt;=5),0,IF($C140='Batt IN'!$H$58*12,-'Batt IN'!$F$58,0))</f>
        <v>0</v>
      </c>
      <c r="BU140" s="2">
        <f>-AH140*PVCalcs!F140</f>
        <v>-366.03497660793875</v>
      </c>
      <c r="BV140" s="2">
        <f>-'Batt IN'!$E$47</f>
        <v>-150</v>
      </c>
      <c r="BW140" s="2">
        <f>-'Batt IN'!$E$49</f>
        <v>-2250</v>
      </c>
      <c r="BX140" s="2">
        <f>IF('Batt IN'!$H$50="No",-(BC140*'Batt IN'!$E$50),-(BC140+BE140)*'Batt IN'!$E$50)</f>
        <v>0</v>
      </c>
      <c r="BY140" s="2">
        <f>IF(C140='Batt IN'!$H$43*12,-'Batt IN'!$E$43,0)</f>
        <v>0</v>
      </c>
      <c r="BZ140" s="38"/>
      <c r="CA140" s="10">
        <f t="shared" si="34"/>
        <v>13422.323408333334</v>
      </c>
      <c r="CB140" s="2">
        <f t="shared" si="38"/>
        <v>-3016.0349766079389</v>
      </c>
      <c r="CC140" s="45">
        <f t="shared" si="39"/>
        <v>10406.288431725396</v>
      </c>
      <c r="CD140" s="43"/>
      <c r="CE140" s="2">
        <f t="shared" si="35"/>
        <v>0</v>
      </c>
      <c r="CF140" s="2">
        <f t="shared" si="40"/>
        <v>-3016.0349766079389</v>
      </c>
      <c r="CG140" s="2"/>
      <c r="CH140" s="2">
        <f t="shared" si="41"/>
        <v>-3016.0349766079389</v>
      </c>
      <c r="CI140" s="45">
        <f>-CH140*'Batt IN'!$E$7</f>
        <v>633.3673450876671</v>
      </c>
      <c r="CJ140" s="48"/>
      <c r="CK140" s="45">
        <f>IF('Batt IN'!$F$4="PV Only",0,IF(C140&gt;'Batt IN'!$H$43*12,0,CC140+CI140))</f>
        <v>0</v>
      </c>
      <c r="CM140" s="10">
        <f t="shared" si="42"/>
        <v>0</v>
      </c>
      <c r="CN140" s="2">
        <f>CK140/(1+('Batt IN'!$G$8))^(C140)</f>
        <v>0</v>
      </c>
      <c r="CO140" s="2">
        <f>IF(C140&lt;='Batt IN'!$O$30*12,CN140+CO139,NA())</f>
        <v>0</v>
      </c>
      <c r="CQ140" s="2">
        <f>CK140/((1+('Batt IN'!$E$8/12))^BattCalcs!C140)</f>
        <v>0</v>
      </c>
      <c r="CS140" s="10">
        <f t="shared" si="43"/>
        <v>-3016.0349766079389</v>
      </c>
      <c r="CT140" s="10">
        <f t="shared" si="44"/>
        <v>0</v>
      </c>
      <c r="CU140" s="10">
        <f t="shared" si="45"/>
        <v>-3016.0349766079389</v>
      </c>
      <c r="CV140" s="10">
        <f t="shared" si="46"/>
        <v>-3016.0349766079389</v>
      </c>
      <c r="CW140" s="2">
        <f t="shared" si="47"/>
        <v>0</v>
      </c>
      <c r="CX140" s="2">
        <f>-(SUM(CV140:CW140)*'PV IN'!$E$8)</f>
        <v>633.3673450876671</v>
      </c>
      <c r="CY140" s="2">
        <f t="shared" si="48"/>
        <v>-2382.6676315202717</v>
      </c>
      <c r="CZ140" s="2">
        <f>IF(C140&lt;='Batt IN'!$H$43*12,CY140/(1+('PV IN'!$G$9))^(C140),0)</f>
        <v>-1370.623190043849</v>
      </c>
      <c r="DA140" s="33">
        <f>IF(C140&lt;='Batt IN'!$H$43*12,AE140,0)</f>
        <v>30366.783333333333</v>
      </c>
    </row>
    <row r="141" spans="1:105" x14ac:dyDescent="0.25">
      <c r="A141">
        <f>IF(C141&lt;='Batt IN'!$H$43*12,C141,"")</f>
        <v>137</v>
      </c>
      <c r="C141">
        <v>137</v>
      </c>
      <c r="D141" s="21">
        <v>730</v>
      </c>
      <c r="E141" s="1">
        <f>1-'Batt IN'!$E$31</f>
        <v>2.0000000000000018E-2</v>
      </c>
      <c r="F141" s="12">
        <f>('Batt IN'!$E$33*365)/8760</f>
        <v>0</v>
      </c>
      <c r="G141" s="22">
        <f>'Batt IN'!$E$32/8760</f>
        <v>5.7077625570776253E-3</v>
      </c>
      <c r="H141" s="22">
        <f>'Batt IN'!$E$13/8760</f>
        <v>5.5936073059360729E-3</v>
      </c>
      <c r="I141" s="23">
        <f>IF(C141&lt;='Batt IN'!$G$14*12,'Batt IN'!$E$15/8760*'Batt IN'!$G$15,0)</f>
        <v>0</v>
      </c>
      <c r="J141" s="12">
        <f>Z141/'Batt IN'!$E$27/730</f>
        <v>2.4999999999999996E-3</v>
      </c>
      <c r="K141" s="23">
        <f>AA141/'Batt IN'!$E$27/730</f>
        <v>1.6027397260273972E-3</v>
      </c>
      <c r="L141" s="23">
        <f>AB141/'Batt IN'!$E$27/730</f>
        <v>2.0547945205479451E-4</v>
      </c>
      <c r="M141" s="23">
        <f>AC141/'Batt IN'!$E$27/730</f>
        <v>4.7945205479452057E-3</v>
      </c>
      <c r="N141" s="23">
        <f>AD141/'Batt IN'!$E$27/730</f>
        <v>3.4246575342465752E-3</v>
      </c>
      <c r="O141" s="12">
        <f t="shared" si="36"/>
        <v>4.3828767123287697E-2</v>
      </c>
      <c r="P141" s="21">
        <f t="shared" si="37"/>
        <v>698.005</v>
      </c>
      <c r="Q141" s="2">
        <f>IF('Batt IN'!$E$27*'Batt IN'!$E$24&lt;='Batt IN'!$E$28,(('Batt IN'!$E$23*'Batt IN'!$E$27*'Batt IN'!$E$24)/1000)*P141,(('Batt IN'!$E$23*'Batt IN'!$E$28*'Batt IN'!$E$24)/1000)*P141)</f>
        <v>11168.08</v>
      </c>
      <c r="R141" s="2"/>
      <c r="S141" s="77">
        <f>IF(C141&lt;='Batt IN'!$G$14*12,'Batt IN'!$E$15/12,0)</f>
        <v>0</v>
      </c>
      <c r="T141" s="77"/>
      <c r="U141" s="80">
        <f>'Batt IN'!$E$28*('Batt IN'!$G$24/24)*730*(1-O141)</f>
        <v>81433.916666666657</v>
      </c>
      <c r="V141" s="78">
        <f>U141*'Batt IN'!$F$30</f>
        <v>16286.783333333333</v>
      </c>
      <c r="W141" s="78">
        <f>'Batt IN'!$E$28*'Batt IN'!$G$32*('Batt IN'!$E$32/12)*(1+'Batt IN'!$F$30)</f>
        <v>1750.0000000000002</v>
      </c>
      <c r="X141" s="78">
        <f>'Batt IN'!$E$28*'Batt IN'!$G$13*('Batt IN'!$E$13/12)*(1+'Batt IN'!$F$30)</f>
        <v>3184.9999999999995</v>
      </c>
      <c r="Y141" s="33">
        <f>S141*'Batt IN'!$G$15*'Batt IN'!$E$28*(1+'Batt IN'!$F$30)</f>
        <v>0</v>
      </c>
      <c r="Z141" s="33">
        <f>'Batt IN'!$G$16*365/12*(1+'Batt IN'!$F$30)</f>
        <v>1824.9999999999998</v>
      </c>
      <c r="AA141" s="33">
        <f>'Batt IN'!$G$17*'Batt IN'!$E$18*'Batt IN'!$G$18/12*(1+'Batt IN'!$F$30)</f>
        <v>1170</v>
      </c>
      <c r="AB141" s="33">
        <f>'Batt IN'!$G$19*'Batt IN'!$E$20*'Batt IN'!$G$20/12*(1+'Batt IN'!$F$30)</f>
        <v>150</v>
      </c>
      <c r="AC141" s="33">
        <f>'Batt IN'!$G$21*(1+'Batt IN'!$F$30)/12</f>
        <v>3500</v>
      </c>
      <c r="AD141" s="33">
        <f>'Batt IN'!$G$22*(1+'Batt IN'!$F$30)/12</f>
        <v>2500</v>
      </c>
      <c r="AE141" s="33">
        <f t="shared" si="49"/>
        <v>30366.783333333333</v>
      </c>
      <c r="AF141" s="33">
        <f>IF('PV IN'!$F$4="Battery Only",0,AE141*'Batt IN'!$E$29)</f>
        <v>25811.765833333331</v>
      </c>
      <c r="AG141" s="33">
        <f>PVCalcs!L141</f>
        <v>25811.765833333331</v>
      </c>
      <c r="AH141" s="33">
        <f t="shared" si="50"/>
        <v>4555.0175000000017</v>
      </c>
      <c r="AI141" s="33"/>
      <c r="AJ141" s="2">
        <f>IF(AND('Batt IN'!$D$53="Yes",$AL$1&gt;=1),IF($C141='Batt IN'!$H$54*12,-'Batt IN'!$F$54,0),0)</f>
        <v>0</v>
      </c>
      <c r="AK141" s="2">
        <f>IF(AND('Batt IN'!$D$53="Yes",$AL$1&gt;=2),IF($C141='Batt IN'!$H$55*12,-'Batt IN'!$F$55,0),0)</f>
        <v>0</v>
      </c>
      <c r="AL141" s="2">
        <f>IF(AND('Batt IN'!$D$53="Yes",$AL$1&gt;=3),IF($C141='Batt IN'!$H$56*12,-'Batt IN'!$F$56,0),0)</f>
        <v>0</v>
      </c>
      <c r="AM141" s="2">
        <f>IF(AND('Batt IN'!$D$53="Yes",$AL$1&gt;=4),IF($C141='Batt IN'!$H$57*12,-'Batt IN'!$F$57,0),0)</f>
        <v>0</v>
      </c>
      <c r="AN141" s="2">
        <f>IF(AND('Batt IN'!$D$53="Yes",$AL$1&gt;=5),IF($C141='Batt IN'!$H$58*12,-'Batt IN'!$F$58,0),0)</f>
        <v>0</v>
      </c>
      <c r="AO141" s="10">
        <f>IF(AND('Batt IN'!$D$44="YES",$C141&lt;='Batt IN'!$E$44*12),-'Batt IN'!$E$28*'Batt IN'!$E$42/12,0)</f>
        <v>0</v>
      </c>
      <c r="AP141" s="10">
        <f>IF(AND('Batt IN'!$D$46="YES",$C141&lt;='Batt IN'!$E$46*12),-'Batt IN'!$E$28*'Batt IN'!$E$45/12,0)</f>
        <v>0</v>
      </c>
      <c r="AR141" s="10">
        <f>BattLoan!M168</f>
        <v>0</v>
      </c>
      <c r="AS141" s="10">
        <f>'Batt IN'!$G$16*365/12*'Batt IN'!$E$16</f>
        <v>76.041666666666671</v>
      </c>
      <c r="AT141" s="10">
        <f>IF(AND('Batt IN'!$E$18&gt;0,'Batt IN'!$G$18&gt;0),'Batt IN'!$E$17*'Batt IN'!$G$17,0)</f>
        <v>119.44619999999999</v>
      </c>
      <c r="AU141" s="10">
        <f>IF(AND('Batt IN'!$E$20&gt;0,'Batt IN'!$G$20&gt;0),'Batt IN'!$E$19*'Batt IN'!$G$19,0)</f>
        <v>231</v>
      </c>
      <c r="AV141" s="10"/>
      <c r="AW141" s="10"/>
      <c r="AX141" s="10">
        <f>IF('Batt IN'!$E$11="Non-Taxable",Q141,0)</f>
        <v>11168.08</v>
      </c>
      <c r="AY141" s="10">
        <f>IF('Batt IN'!$E$11="Non-Taxable",'Batt IN'!$E$28/1000*'Batt IN'!$G$13*('Batt IN'!$E$13/12)*'Batt IN'!$E$12,0)</f>
        <v>244.42220833333334</v>
      </c>
      <c r="AZ141" s="10">
        <f>IF('Batt IN'!$E$11="Non-Taxable",$S141*'Batt IN'!$G$15*'Batt IN'!$E$28*'Batt IN'!$E$14/1000,0)</f>
        <v>0</v>
      </c>
      <c r="BA141" s="10">
        <f>IF('Batt IN'!$E$11="Non-Taxable",'Batt IN'!$E$21*'Batt IN'!$G$21/12,0)</f>
        <v>437.5</v>
      </c>
      <c r="BB141" s="10">
        <f>IF('Batt IN'!$E$11="Non-Taxable",'Batt IN'!$E$22*'Batt IN'!$G$22/12,0)</f>
        <v>1145.8333333333335</v>
      </c>
      <c r="BC141" s="10">
        <f>IF('Batt IN'!$E$11="Taxable",Q141,0)</f>
        <v>0</v>
      </c>
      <c r="BD141" s="10">
        <f>IF('Batt IN'!$E$11="Taxable",'Batt IN'!$E$28/1000*'Batt IN'!$G$13*('Batt IN'!$E$13/12)*'Batt IN'!$E$12,0)</f>
        <v>0</v>
      </c>
      <c r="BE141" s="10">
        <f>IF('Batt IN'!$E$11="Taxable",$S141*'Batt IN'!$G$15*'Batt IN'!$E$28*'Batt IN'!$E$14/1000,0)</f>
        <v>0</v>
      </c>
      <c r="BF141" s="10">
        <f>IF('Batt IN'!$E$11="Taxable",'Batt IN'!$E$21*'Batt IN'!$G$21/12,0)</f>
        <v>0</v>
      </c>
      <c r="BG141" s="10">
        <f>IF('Batt IN'!$E$11="Taxable",'Batt IN'!$E$22*'Batt IN'!$G$22/12,0)</f>
        <v>0</v>
      </c>
      <c r="BK141" s="10">
        <f>IF('Batt IN'!$N$18="Yes",-BattLoan!H169,-BattLoan!L169)</f>
        <v>0</v>
      </c>
      <c r="BL141" s="10">
        <f>IF('Batt IN'!$N$18="Yes",-BattLoan!F169,0)</f>
        <v>0</v>
      </c>
      <c r="BM141" s="10">
        <f>IF(AND('Batt IN'!$D$44="YES",$C141&lt;='Batt IN'!$E$44*12),0,-'Batt IN'!$E$28*'Batt IN'!$E$42/12)</f>
        <v>-83.333333333333329</v>
      </c>
      <c r="BN141" s="10">
        <f>IF(AND('Batt IN'!$D$46="YES",$C141&lt;='Batt IN'!$E$46*12),0,-'Batt IN'!$E$28*'Batt IN'!$E$45/12)</f>
        <v>-166.66666666666666</v>
      </c>
      <c r="BO141" s="2">
        <f>IF(AND('Batt IN'!$D$41="YES",BattCalcs!C141=ROUNDUP('Batt IN'!$H$41*12,)),-'Batt IN'!$E$41*'Batt IN'!$E$28,0)</f>
        <v>0</v>
      </c>
      <c r="BP141" s="2">
        <f>IF(AND('Batt IN'!$D$53="Yes",$AL$1&gt;=1),0,IF($C141='Batt IN'!$H$54*12,-'Batt IN'!$F$54,0))</f>
        <v>0</v>
      </c>
      <c r="BQ141" s="2">
        <f>IF(AND('Batt IN'!$D$53="Yes",$AL$1&gt;=2),0,IF($C141='Batt IN'!$H$55*12,-'Batt IN'!$F$55,0))</f>
        <v>0</v>
      </c>
      <c r="BR141" s="2">
        <f>IF(AND('Batt IN'!$D$53="Yes",$AL$1&gt;=3),0,IF($C141='Batt IN'!$H$56*12,-'Batt IN'!$F$56,0))</f>
        <v>0</v>
      </c>
      <c r="BS141" s="2">
        <f>IF(AND('Batt IN'!$D$53="Yes",$AL$1&gt;=4),0,IF($C141='Batt IN'!$H$57*12,-'Batt IN'!$F$57,0))</f>
        <v>0</v>
      </c>
      <c r="BT141" s="2">
        <f>IF(AND('Batt IN'!$D$53="Yes",$AL$1&gt;=5),0,IF($C141='Batt IN'!$H$58*12,-'Batt IN'!$F$58,0))</f>
        <v>0</v>
      </c>
      <c r="BU141" s="2">
        <f>-AH141*PVCalcs!F141</f>
        <v>-366.03497660793875</v>
      </c>
      <c r="BV141" s="2">
        <f>-'Batt IN'!$E$47</f>
        <v>-150</v>
      </c>
      <c r="BW141" s="2">
        <f>-'Batt IN'!$E$49</f>
        <v>-2250</v>
      </c>
      <c r="BX141" s="2">
        <f>IF('Batt IN'!$H$50="No",-(BC141*'Batt IN'!$E$50),-(BC141+BE141)*'Batt IN'!$E$50)</f>
        <v>0</v>
      </c>
      <c r="BY141" s="2">
        <f>IF(C141='Batt IN'!$H$43*12,-'Batt IN'!$E$43,0)</f>
        <v>0</v>
      </c>
      <c r="BZ141" s="38"/>
      <c r="CA141" s="10">
        <f t="shared" si="34"/>
        <v>13422.323408333334</v>
      </c>
      <c r="CB141" s="2">
        <f t="shared" si="38"/>
        <v>-3016.0349766079389</v>
      </c>
      <c r="CC141" s="45">
        <f t="shared" si="39"/>
        <v>10406.288431725396</v>
      </c>
      <c r="CD141" s="43"/>
      <c r="CE141" s="2">
        <f t="shared" si="35"/>
        <v>0</v>
      </c>
      <c r="CF141" s="2">
        <f t="shared" si="40"/>
        <v>-3016.0349766079389</v>
      </c>
      <c r="CG141" s="2"/>
      <c r="CH141" s="2">
        <f t="shared" si="41"/>
        <v>-3016.0349766079389</v>
      </c>
      <c r="CI141" s="45">
        <f>-CH141*'Batt IN'!$E$7</f>
        <v>633.3673450876671</v>
      </c>
      <c r="CJ141" s="48"/>
      <c r="CK141" s="45">
        <f>IF('Batt IN'!$F$4="PV Only",0,IF(C141&gt;'Batt IN'!$H$43*12,0,CC141+CI141))</f>
        <v>0</v>
      </c>
      <c r="CM141" s="10">
        <f t="shared" si="42"/>
        <v>0</v>
      </c>
      <c r="CN141" s="2">
        <f>CK141/(1+('Batt IN'!$G$8))^(C141)</f>
        <v>0</v>
      </c>
      <c r="CO141" s="2">
        <f>IF(C141&lt;='Batt IN'!$O$30*12,CN141+CO140,NA())</f>
        <v>0</v>
      </c>
      <c r="CQ141" s="2">
        <f>CK141/((1+('Batt IN'!$E$8/12))^BattCalcs!C141)</f>
        <v>0</v>
      </c>
      <c r="CS141" s="10">
        <f t="shared" si="43"/>
        <v>-3016.0349766079389</v>
      </c>
      <c r="CT141" s="10">
        <f t="shared" si="44"/>
        <v>0</v>
      </c>
      <c r="CU141" s="10">
        <f t="shared" si="45"/>
        <v>-3016.0349766079389</v>
      </c>
      <c r="CV141" s="10">
        <f t="shared" si="46"/>
        <v>-3016.0349766079389</v>
      </c>
      <c r="CW141" s="2">
        <f t="shared" si="47"/>
        <v>0</v>
      </c>
      <c r="CX141" s="2">
        <f>-(SUM(CV141:CW141)*'PV IN'!$E$8)</f>
        <v>633.3673450876671</v>
      </c>
      <c r="CY141" s="2">
        <f t="shared" si="48"/>
        <v>-2382.6676315202717</v>
      </c>
      <c r="CZ141" s="2">
        <f>IF(C141&lt;='Batt IN'!$H$43*12,CY141/(1+('PV IN'!$G$9))^(C141),0)</f>
        <v>-1365.0617594634698</v>
      </c>
      <c r="DA141" s="33">
        <f>IF(C141&lt;='Batt IN'!$H$43*12,AE141,0)</f>
        <v>30366.783333333333</v>
      </c>
    </row>
    <row r="142" spans="1:105" x14ac:dyDescent="0.25">
      <c r="A142">
        <f>IF(C142&lt;='Batt IN'!$H$43*12,C142,"")</f>
        <v>138</v>
      </c>
      <c r="C142">
        <v>138</v>
      </c>
      <c r="D142" s="21">
        <v>730</v>
      </c>
      <c r="E142" s="1">
        <f>1-'Batt IN'!$E$31</f>
        <v>2.0000000000000018E-2</v>
      </c>
      <c r="F142" s="12">
        <f>('Batt IN'!$E$33*365)/8760</f>
        <v>0</v>
      </c>
      <c r="G142" s="22">
        <f>'Batt IN'!$E$32/8760</f>
        <v>5.7077625570776253E-3</v>
      </c>
      <c r="H142" s="22">
        <f>'Batt IN'!$E$13/8760</f>
        <v>5.5936073059360729E-3</v>
      </c>
      <c r="I142" s="23">
        <f>IF(C142&lt;='Batt IN'!$G$14*12,'Batt IN'!$E$15/8760*'Batt IN'!$G$15,0)</f>
        <v>0</v>
      </c>
      <c r="J142" s="12">
        <f>Z142/'Batt IN'!$E$27/730</f>
        <v>2.4999999999999996E-3</v>
      </c>
      <c r="K142" s="23">
        <f>AA142/'Batt IN'!$E$27/730</f>
        <v>1.6027397260273972E-3</v>
      </c>
      <c r="L142" s="23">
        <f>AB142/'Batt IN'!$E$27/730</f>
        <v>2.0547945205479451E-4</v>
      </c>
      <c r="M142" s="23">
        <f>AC142/'Batt IN'!$E$27/730</f>
        <v>4.7945205479452057E-3</v>
      </c>
      <c r="N142" s="23">
        <f>AD142/'Batt IN'!$E$27/730</f>
        <v>3.4246575342465752E-3</v>
      </c>
      <c r="O142" s="12">
        <f t="shared" si="36"/>
        <v>4.3828767123287697E-2</v>
      </c>
      <c r="P142" s="21">
        <f t="shared" si="37"/>
        <v>698.005</v>
      </c>
      <c r="Q142" s="2">
        <f>IF('Batt IN'!$E$27*'Batt IN'!$E$24&lt;='Batt IN'!$E$28,(('Batt IN'!$E$23*'Batt IN'!$E$27*'Batt IN'!$E$24)/1000)*P142,(('Batt IN'!$E$23*'Batt IN'!$E$28*'Batt IN'!$E$24)/1000)*P142)</f>
        <v>11168.08</v>
      </c>
      <c r="R142" s="2"/>
      <c r="S142" s="77">
        <f>IF(C142&lt;='Batt IN'!$G$14*12,'Batt IN'!$E$15/12,0)</f>
        <v>0</v>
      </c>
      <c r="T142" s="77"/>
      <c r="U142" s="80">
        <f>'Batt IN'!$E$28*('Batt IN'!$G$24/24)*730*(1-O142)</f>
        <v>81433.916666666657</v>
      </c>
      <c r="V142" s="78">
        <f>U142*'Batt IN'!$F$30</f>
        <v>16286.783333333333</v>
      </c>
      <c r="W142" s="78">
        <f>'Batt IN'!$E$28*'Batt IN'!$G$32*('Batt IN'!$E$32/12)*(1+'Batt IN'!$F$30)</f>
        <v>1750.0000000000002</v>
      </c>
      <c r="X142" s="78">
        <f>'Batt IN'!$E$28*'Batt IN'!$G$13*('Batt IN'!$E$13/12)*(1+'Batt IN'!$F$30)</f>
        <v>3184.9999999999995</v>
      </c>
      <c r="Y142" s="33">
        <f>S142*'Batt IN'!$G$15*'Batt IN'!$E$28*(1+'Batt IN'!$F$30)</f>
        <v>0</v>
      </c>
      <c r="Z142" s="33">
        <f>'Batt IN'!$G$16*365/12*(1+'Batt IN'!$F$30)</f>
        <v>1824.9999999999998</v>
      </c>
      <c r="AA142" s="33">
        <f>'Batt IN'!$G$17*'Batt IN'!$E$18*'Batt IN'!$G$18/12*(1+'Batt IN'!$F$30)</f>
        <v>1170</v>
      </c>
      <c r="AB142" s="33">
        <f>'Batt IN'!$G$19*'Batt IN'!$E$20*'Batt IN'!$G$20/12*(1+'Batt IN'!$F$30)</f>
        <v>150</v>
      </c>
      <c r="AC142" s="33">
        <f>'Batt IN'!$G$21*(1+'Batt IN'!$F$30)/12</f>
        <v>3500</v>
      </c>
      <c r="AD142" s="33">
        <f>'Batt IN'!$G$22*(1+'Batt IN'!$F$30)/12</f>
        <v>2500</v>
      </c>
      <c r="AE142" s="33">
        <f t="shared" si="49"/>
        <v>30366.783333333333</v>
      </c>
      <c r="AF142" s="33">
        <f>IF('PV IN'!$F$4="Battery Only",0,AE142*'Batt IN'!$E$29)</f>
        <v>25811.765833333331</v>
      </c>
      <c r="AG142" s="33">
        <f>PVCalcs!L142</f>
        <v>25811.765833333331</v>
      </c>
      <c r="AH142" s="33">
        <f t="shared" si="50"/>
        <v>4555.0175000000017</v>
      </c>
      <c r="AI142" s="33"/>
      <c r="AJ142" s="2">
        <f>IF(AND('Batt IN'!$D$53="Yes",$AL$1&gt;=1),IF($C142='Batt IN'!$H$54*12,-'Batt IN'!$F$54,0),0)</f>
        <v>0</v>
      </c>
      <c r="AK142" s="2">
        <f>IF(AND('Batt IN'!$D$53="Yes",$AL$1&gt;=2),IF($C142='Batt IN'!$H$55*12,-'Batt IN'!$F$55,0),0)</f>
        <v>0</v>
      </c>
      <c r="AL142" s="2">
        <f>IF(AND('Batt IN'!$D$53="Yes",$AL$1&gt;=3),IF($C142='Batt IN'!$H$56*12,-'Batt IN'!$F$56,0),0)</f>
        <v>0</v>
      </c>
      <c r="AM142" s="2">
        <f>IF(AND('Batt IN'!$D$53="Yes",$AL$1&gt;=4),IF($C142='Batt IN'!$H$57*12,-'Batt IN'!$F$57,0),0)</f>
        <v>0</v>
      </c>
      <c r="AN142" s="2">
        <f>IF(AND('Batt IN'!$D$53="Yes",$AL$1&gt;=5),IF($C142='Batt IN'!$H$58*12,-'Batt IN'!$F$58,0),0)</f>
        <v>0</v>
      </c>
      <c r="AO142" s="10">
        <f>IF(AND('Batt IN'!$D$44="YES",$C142&lt;='Batt IN'!$E$44*12),-'Batt IN'!$E$28*'Batt IN'!$E$42/12,0)</f>
        <v>0</v>
      </c>
      <c r="AP142" s="10">
        <f>IF(AND('Batt IN'!$D$46="YES",$C142&lt;='Batt IN'!$E$46*12),-'Batt IN'!$E$28*'Batt IN'!$E$45/12,0)</f>
        <v>0</v>
      </c>
      <c r="AR142" s="10">
        <f>BattLoan!M169</f>
        <v>0</v>
      </c>
      <c r="AS142" s="10">
        <f>'Batt IN'!$G$16*365/12*'Batt IN'!$E$16</f>
        <v>76.041666666666671</v>
      </c>
      <c r="AT142" s="10">
        <f>IF(AND('Batt IN'!$E$18&gt;0,'Batt IN'!$G$18&gt;0),'Batt IN'!$E$17*'Batt IN'!$G$17,0)</f>
        <v>119.44619999999999</v>
      </c>
      <c r="AU142" s="10">
        <f>IF(AND('Batt IN'!$E$20&gt;0,'Batt IN'!$G$20&gt;0),'Batt IN'!$E$19*'Batt IN'!$G$19,0)</f>
        <v>231</v>
      </c>
      <c r="AV142" s="10"/>
      <c r="AW142" s="10"/>
      <c r="AX142" s="10">
        <f>IF('Batt IN'!$E$11="Non-Taxable",Q142,0)</f>
        <v>11168.08</v>
      </c>
      <c r="AY142" s="10">
        <f>IF('Batt IN'!$E$11="Non-Taxable",'Batt IN'!$E$28/1000*'Batt IN'!$G$13*('Batt IN'!$E$13/12)*'Batt IN'!$E$12,0)</f>
        <v>244.42220833333334</v>
      </c>
      <c r="AZ142" s="10">
        <f>IF('Batt IN'!$E$11="Non-Taxable",$S142*'Batt IN'!$G$15*'Batt IN'!$E$28*'Batt IN'!$E$14/1000,0)</f>
        <v>0</v>
      </c>
      <c r="BA142" s="10">
        <f>IF('Batt IN'!$E$11="Non-Taxable",'Batt IN'!$E$21*'Batt IN'!$G$21/12,0)</f>
        <v>437.5</v>
      </c>
      <c r="BB142" s="10">
        <f>IF('Batt IN'!$E$11="Non-Taxable",'Batt IN'!$E$22*'Batt IN'!$G$22/12,0)</f>
        <v>1145.8333333333335</v>
      </c>
      <c r="BC142" s="10">
        <f>IF('Batt IN'!$E$11="Taxable",Q142,0)</f>
        <v>0</v>
      </c>
      <c r="BD142" s="10">
        <f>IF('Batt IN'!$E$11="Taxable",'Batt IN'!$E$28/1000*'Batt IN'!$G$13*('Batt IN'!$E$13/12)*'Batt IN'!$E$12,0)</f>
        <v>0</v>
      </c>
      <c r="BE142" s="10">
        <f>IF('Batt IN'!$E$11="Taxable",$S142*'Batt IN'!$G$15*'Batt IN'!$E$28*'Batt IN'!$E$14/1000,0)</f>
        <v>0</v>
      </c>
      <c r="BF142" s="10">
        <f>IF('Batt IN'!$E$11="Taxable",'Batt IN'!$E$21*'Batt IN'!$G$21/12,0)</f>
        <v>0</v>
      </c>
      <c r="BG142" s="10">
        <f>IF('Batt IN'!$E$11="Taxable",'Batt IN'!$E$22*'Batt IN'!$G$22/12,0)</f>
        <v>0</v>
      </c>
      <c r="BK142" s="10">
        <f>IF('Batt IN'!$N$18="Yes",-BattLoan!H170,-BattLoan!L170)</f>
        <v>0</v>
      </c>
      <c r="BL142" s="10">
        <f>IF('Batt IN'!$N$18="Yes",-BattLoan!F170,0)</f>
        <v>0</v>
      </c>
      <c r="BM142" s="10">
        <f>IF(AND('Batt IN'!$D$44="YES",$C142&lt;='Batt IN'!$E$44*12),0,-'Batt IN'!$E$28*'Batt IN'!$E$42/12)</f>
        <v>-83.333333333333329</v>
      </c>
      <c r="BN142" s="10">
        <f>IF(AND('Batt IN'!$D$46="YES",$C142&lt;='Batt IN'!$E$46*12),0,-'Batt IN'!$E$28*'Batt IN'!$E$45/12)</f>
        <v>-166.66666666666666</v>
      </c>
      <c r="BO142" s="2">
        <f>IF(AND('Batt IN'!$D$41="YES",BattCalcs!C142=ROUNDUP('Batt IN'!$H$41*12,)),-'Batt IN'!$E$41*'Batt IN'!$E$28,0)</f>
        <v>0</v>
      </c>
      <c r="BP142" s="2">
        <f>IF(AND('Batt IN'!$D$53="Yes",$AL$1&gt;=1),0,IF($C142='Batt IN'!$H$54*12,-'Batt IN'!$F$54,0))</f>
        <v>0</v>
      </c>
      <c r="BQ142" s="2">
        <f>IF(AND('Batt IN'!$D$53="Yes",$AL$1&gt;=2),0,IF($C142='Batt IN'!$H$55*12,-'Batt IN'!$F$55,0))</f>
        <v>0</v>
      </c>
      <c r="BR142" s="2">
        <f>IF(AND('Batt IN'!$D$53="Yes",$AL$1&gt;=3),0,IF($C142='Batt IN'!$H$56*12,-'Batt IN'!$F$56,0))</f>
        <v>0</v>
      </c>
      <c r="BS142" s="2">
        <f>IF(AND('Batt IN'!$D$53="Yes",$AL$1&gt;=4),0,IF($C142='Batt IN'!$H$57*12,-'Batt IN'!$F$57,0))</f>
        <v>0</v>
      </c>
      <c r="BT142" s="2">
        <f>IF(AND('Batt IN'!$D$53="Yes",$AL$1&gt;=5),0,IF($C142='Batt IN'!$H$58*12,-'Batt IN'!$F$58,0))</f>
        <v>0</v>
      </c>
      <c r="BU142" s="2">
        <f>-AH142*PVCalcs!F142</f>
        <v>-366.03497660793875</v>
      </c>
      <c r="BV142" s="2">
        <f>-'Batt IN'!$E$47</f>
        <v>-150</v>
      </c>
      <c r="BW142" s="2">
        <f>-'Batt IN'!$E$49</f>
        <v>-2250</v>
      </c>
      <c r="BX142" s="2">
        <f>IF('Batt IN'!$H$50="No",-(BC142*'Batt IN'!$E$50),-(BC142+BE142)*'Batt IN'!$E$50)</f>
        <v>0</v>
      </c>
      <c r="BY142" s="2">
        <f>IF(C142='Batt IN'!$H$43*12,-'Batt IN'!$E$43,0)</f>
        <v>0</v>
      </c>
      <c r="BZ142" s="38"/>
      <c r="CA142" s="10">
        <f t="shared" si="34"/>
        <v>13422.323408333334</v>
      </c>
      <c r="CB142" s="2">
        <f t="shared" si="38"/>
        <v>-3016.0349766079389</v>
      </c>
      <c r="CC142" s="45">
        <f t="shared" si="39"/>
        <v>10406.288431725396</v>
      </c>
      <c r="CD142" s="43"/>
      <c r="CE142" s="2">
        <f t="shared" si="35"/>
        <v>0</v>
      </c>
      <c r="CF142" s="2">
        <f t="shared" si="40"/>
        <v>-3016.0349766079389</v>
      </c>
      <c r="CG142" s="2"/>
      <c r="CH142" s="2">
        <f t="shared" si="41"/>
        <v>-3016.0349766079389</v>
      </c>
      <c r="CI142" s="45">
        <f>-CH142*'Batt IN'!$E$7</f>
        <v>633.3673450876671</v>
      </c>
      <c r="CJ142" s="48"/>
      <c r="CK142" s="45">
        <f>IF('Batt IN'!$F$4="PV Only",0,IF(C142&gt;'Batt IN'!$H$43*12,0,CC142+CI142))</f>
        <v>0</v>
      </c>
      <c r="CM142" s="10">
        <f t="shared" si="42"/>
        <v>0</v>
      </c>
      <c r="CN142" s="2">
        <f>CK142/(1+('Batt IN'!$G$8))^(C142)</f>
        <v>0</v>
      </c>
      <c r="CO142" s="2">
        <f>IF(C142&lt;='Batt IN'!$O$30*12,CN142+CO141,NA())</f>
        <v>0</v>
      </c>
      <c r="CQ142" s="2">
        <f>CK142/((1+('Batt IN'!$E$8/12))^BattCalcs!C142)</f>
        <v>0</v>
      </c>
      <c r="CS142" s="10">
        <f t="shared" si="43"/>
        <v>-3016.0349766079389</v>
      </c>
      <c r="CT142" s="10">
        <f t="shared" si="44"/>
        <v>0</v>
      </c>
      <c r="CU142" s="10">
        <f t="shared" si="45"/>
        <v>-3016.0349766079389</v>
      </c>
      <c r="CV142" s="10">
        <f t="shared" si="46"/>
        <v>-3016.0349766079389</v>
      </c>
      <c r="CW142" s="2">
        <f t="shared" si="47"/>
        <v>0</v>
      </c>
      <c r="CX142" s="2">
        <f>-(SUM(CV142:CW142)*'PV IN'!$E$8)</f>
        <v>633.3673450876671</v>
      </c>
      <c r="CY142" s="2">
        <f t="shared" si="48"/>
        <v>-2382.6676315202717</v>
      </c>
      <c r="CZ142" s="2">
        <f>IF(C142&lt;='Batt IN'!$H$43*12,CY142/(1+('PV IN'!$G$9))^(C142),0)</f>
        <v>-1359.5228949029313</v>
      </c>
      <c r="DA142" s="33">
        <f>IF(C142&lt;='Batt IN'!$H$43*12,AE142,0)</f>
        <v>30366.783333333333</v>
      </c>
    </row>
    <row r="143" spans="1:105" x14ac:dyDescent="0.25">
      <c r="A143">
        <f>IF(C143&lt;='Batt IN'!$H$43*12,C143,"")</f>
        <v>139</v>
      </c>
      <c r="C143">
        <v>139</v>
      </c>
      <c r="D143" s="21">
        <v>730</v>
      </c>
      <c r="E143" s="1">
        <f>1-'Batt IN'!$E$31</f>
        <v>2.0000000000000018E-2</v>
      </c>
      <c r="F143" s="12">
        <f>('Batt IN'!$E$33*365)/8760</f>
        <v>0</v>
      </c>
      <c r="G143" s="22">
        <f>'Batt IN'!$E$32/8760</f>
        <v>5.7077625570776253E-3</v>
      </c>
      <c r="H143" s="22">
        <f>'Batt IN'!$E$13/8760</f>
        <v>5.5936073059360729E-3</v>
      </c>
      <c r="I143" s="23">
        <f>IF(C143&lt;='Batt IN'!$G$14*12,'Batt IN'!$E$15/8760*'Batt IN'!$G$15,0)</f>
        <v>0</v>
      </c>
      <c r="J143" s="12">
        <f>Z143/'Batt IN'!$E$27/730</f>
        <v>2.4999999999999996E-3</v>
      </c>
      <c r="K143" s="23">
        <f>AA143/'Batt IN'!$E$27/730</f>
        <v>1.6027397260273972E-3</v>
      </c>
      <c r="L143" s="23">
        <f>AB143/'Batt IN'!$E$27/730</f>
        <v>2.0547945205479451E-4</v>
      </c>
      <c r="M143" s="23">
        <f>AC143/'Batt IN'!$E$27/730</f>
        <v>4.7945205479452057E-3</v>
      </c>
      <c r="N143" s="23">
        <f>AD143/'Batt IN'!$E$27/730</f>
        <v>3.4246575342465752E-3</v>
      </c>
      <c r="O143" s="12">
        <f t="shared" si="36"/>
        <v>4.3828767123287697E-2</v>
      </c>
      <c r="P143" s="21">
        <f t="shared" si="37"/>
        <v>698.005</v>
      </c>
      <c r="Q143" s="2">
        <f>IF('Batt IN'!$E$27*'Batt IN'!$E$24&lt;='Batt IN'!$E$28,(('Batt IN'!$E$23*'Batt IN'!$E$27*'Batt IN'!$E$24)/1000)*P143,(('Batt IN'!$E$23*'Batt IN'!$E$28*'Batt IN'!$E$24)/1000)*P143)</f>
        <v>11168.08</v>
      </c>
      <c r="R143" s="2"/>
      <c r="S143" s="77">
        <f>IF(C143&lt;='Batt IN'!$G$14*12,'Batt IN'!$E$15/12,0)</f>
        <v>0</v>
      </c>
      <c r="T143" s="77"/>
      <c r="U143" s="80">
        <f>'Batt IN'!$E$28*('Batt IN'!$G$24/24)*730*(1-O143)</f>
        <v>81433.916666666657</v>
      </c>
      <c r="V143" s="78">
        <f>U143*'Batt IN'!$F$30</f>
        <v>16286.783333333333</v>
      </c>
      <c r="W143" s="78">
        <f>'Batt IN'!$E$28*'Batt IN'!$G$32*('Batt IN'!$E$32/12)*(1+'Batt IN'!$F$30)</f>
        <v>1750.0000000000002</v>
      </c>
      <c r="X143" s="78">
        <f>'Batt IN'!$E$28*'Batt IN'!$G$13*('Batt IN'!$E$13/12)*(1+'Batt IN'!$F$30)</f>
        <v>3184.9999999999995</v>
      </c>
      <c r="Y143" s="33">
        <f>S143*'Batt IN'!$G$15*'Batt IN'!$E$28*(1+'Batt IN'!$F$30)</f>
        <v>0</v>
      </c>
      <c r="Z143" s="33">
        <f>'Batt IN'!$G$16*365/12*(1+'Batt IN'!$F$30)</f>
        <v>1824.9999999999998</v>
      </c>
      <c r="AA143" s="33">
        <f>'Batt IN'!$G$17*'Batt IN'!$E$18*'Batt IN'!$G$18/12*(1+'Batt IN'!$F$30)</f>
        <v>1170</v>
      </c>
      <c r="AB143" s="33">
        <f>'Batt IN'!$G$19*'Batt IN'!$E$20*'Batt IN'!$G$20/12*(1+'Batt IN'!$F$30)</f>
        <v>150</v>
      </c>
      <c r="AC143" s="33">
        <f>'Batt IN'!$G$21*(1+'Batt IN'!$F$30)/12</f>
        <v>3500</v>
      </c>
      <c r="AD143" s="33">
        <f>'Batt IN'!$G$22*(1+'Batt IN'!$F$30)/12</f>
        <v>2500</v>
      </c>
      <c r="AE143" s="33">
        <f t="shared" si="49"/>
        <v>30366.783333333333</v>
      </c>
      <c r="AF143" s="33">
        <f>IF('PV IN'!$F$4="Battery Only",0,AE143*'Batt IN'!$E$29)</f>
        <v>25811.765833333331</v>
      </c>
      <c r="AG143" s="33">
        <f>PVCalcs!L143</f>
        <v>25811.765833333331</v>
      </c>
      <c r="AH143" s="33">
        <f t="shared" si="50"/>
        <v>4555.0175000000017</v>
      </c>
      <c r="AI143" s="33"/>
      <c r="AJ143" s="2">
        <f>IF(AND('Batt IN'!$D$53="Yes",$AL$1&gt;=1),IF($C143='Batt IN'!$H$54*12,-'Batt IN'!$F$54,0),0)</f>
        <v>0</v>
      </c>
      <c r="AK143" s="2">
        <f>IF(AND('Batt IN'!$D$53="Yes",$AL$1&gt;=2),IF($C143='Batt IN'!$H$55*12,-'Batt IN'!$F$55,0),0)</f>
        <v>0</v>
      </c>
      <c r="AL143" s="2">
        <f>IF(AND('Batt IN'!$D$53="Yes",$AL$1&gt;=3),IF($C143='Batt IN'!$H$56*12,-'Batt IN'!$F$56,0),0)</f>
        <v>0</v>
      </c>
      <c r="AM143" s="2">
        <f>IF(AND('Batt IN'!$D$53="Yes",$AL$1&gt;=4),IF($C143='Batt IN'!$H$57*12,-'Batt IN'!$F$57,0),0)</f>
        <v>0</v>
      </c>
      <c r="AN143" s="2">
        <f>IF(AND('Batt IN'!$D$53="Yes",$AL$1&gt;=5),IF($C143='Batt IN'!$H$58*12,-'Batt IN'!$F$58,0),0)</f>
        <v>0</v>
      </c>
      <c r="AO143" s="10">
        <f>IF(AND('Batt IN'!$D$44="YES",$C143&lt;='Batt IN'!$E$44*12),-'Batt IN'!$E$28*'Batt IN'!$E$42/12,0)</f>
        <v>0</v>
      </c>
      <c r="AP143" s="10">
        <f>IF(AND('Batt IN'!$D$46="YES",$C143&lt;='Batt IN'!$E$46*12),-'Batt IN'!$E$28*'Batt IN'!$E$45/12,0)</f>
        <v>0</v>
      </c>
      <c r="AR143" s="10">
        <f>BattLoan!M170</f>
        <v>0</v>
      </c>
      <c r="AS143" s="10">
        <f>'Batt IN'!$G$16*365/12*'Batt IN'!$E$16</f>
        <v>76.041666666666671</v>
      </c>
      <c r="AT143" s="10">
        <f>IF(AND('Batt IN'!$E$18&gt;0,'Batt IN'!$G$18&gt;0),'Batt IN'!$E$17*'Batt IN'!$G$17,0)</f>
        <v>119.44619999999999</v>
      </c>
      <c r="AU143" s="10">
        <f>IF(AND('Batt IN'!$E$20&gt;0,'Batt IN'!$G$20&gt;0),'Batt IN'!$E$19*'Batt IN'!$G$19,0)</f>
        <v>231</v>
      </c>
      <c r="AV143" s="10"/>
      <c r="AW143" s="10"/>
      <c r="AX143" s="10">
        <f>IF('Batt IN'!$E$11="Non-Taxable",Q143,0)</f>
        <v>11168.08</v>
      </c>
      <c r="AY143" s="10">
        <f>IF('Batt IN'!$E$11="Non-Taxable",'Batt IN'!$E$28/1000*'Batt IN'!$G$13*('Batt IN'!$E$13/12)*'Batt IN'!$E$12,0)</f>
        <v>244.42220833333334</v>
      </c>
      <c r="AZ143" s="10">
        <f>IF('Batt IN'!$E$11="Non-Taxable",$S143*'Batt IN'!$G$15*'Batt IN'!$E$28*'Batt IN'!$E$14/1000,0)</f>
        <v>0</v>
      </c>
      <c r="BA143" s="10">
        <f>IF('Batt IN'!$E$11="Non-Taxable",'Batt IN'!$E$21*'Batt IN'!$G$21/12,0)</f>
        <v>437.5</v>
      </c>
      <c r="BB143" s="10">
        <f>IF('Batt IN'!$E$11="Non-Taxable",'Batt IN'!$E$22*'Batt IN'!$G$22/12,0)</f>
        <v>1145.8333333333335</v>
      </c>
      <c r="BC143" s="10">
        <f>IF('Batt IN'!$E$11="Taxable",Q143,0)</f>
        <v>0</v>
      </c>
      <c r="BD143" s="10">
        <f>IF('Batt IN'!$E$11="Taxable",'Batt IN'!$E$28/1000*'Batt IN'!$G$13*('Batt IN'!$E$13/12)*'Batt IN'!$E$12,0)</f>
        <v>0</v>
      </c>
      <c r="BE143" s="10">
        <f>IF('Batt IN'!$E$11="Taxable",$S143*'Batt IN'!$G$15*'Batt IN'!$E$28*'Batt IN'!$E$14/1000,0)</f>
        <v>0</v>
      </c>
      <c r="BF143" s="10">
        <f>IF('Batt IN'!$E$11="Taxable",'Batt IN'!$E$21*'Batt IN'!$G$21/12,0)</f>
        <v>0</v>
      </c>
      <c r="BG143" s="10">
        <f>IF('Batt IN'!$E$11="Taxable",'Batt IN'!$E$22*'Batt IN'!$G$22/12,0)</f>
        <v>0</v>
      </c>
      <c r="BK143" s="10">
        <f>IF('Batt IN'!$N$18="Yes",-BattLoan!H171,-BattLoan!L171)</f>
        <v>0</v>
      </c>
      <c r="BL143" s="10">
        <f>IF('Batt IN'!$N$18="Yes",-BattLoan!F171,0)</f>
        <v>0</v>
      </c>
      <c r="BM143" s="10">
        <f>IF(AND('Batt IN'!$D$44="YES",$C143&lt;='Batt IN'!$E$44*12),0,-'Batt IN'!$E$28*'Batt IN'!$E$42/12)</f>
        <v>-83.333333333333329</v>
      </c>
      <c r="BN143" s="10">
        <f>IF(AND('Batt IN'!$D$46="YES",$C143&lt;='Batt IN'!$E$46*12),0,-'Batt IN'!$E$28*'Batt IN'!$E$45/12)</f>
        <v>-166.66666666666666</v>
      </c>
      <c r="BO143" s="2">
        <f>IF(AND('Batt IN'!$D$41="YES",BattCalcs!C143=ROUNDUP('Batt IN'!$H$41*12,)),-'Batt IN'!$E$41*'Batt IN'!$E$28,0)</f>
        <v>0</v>
      </c>
      <c r="BP143" s="2">
        <f>IF(AND('Batt IN'!$D$53="Yes",$AL$1&gt;=1),0,IF($C143='Batt IN'!$H$54*12,-'Batt IN'!$F$54,0))</f>
        <v>0</v>
      </c>
      <c r="BQ143" s="2">
        <f>IF(AND('Batt IN'!$D$53="Yes",$AL$1&gt;=2),0,IF($C143='Batt IN'!$H$55*12,-'Batt IN'!$F$55,0))</f>
        <v>0</v>
      </c>
      <c r="BR143" s="2">
        <f>IF(AND('Batt IN'!$D$53="Yes",$AL$1&gt;=3),0,IF($C143='Batt IN'!$H$56*12,-'Batt IN'!$F$56,0))</f>
        <v>0</v>
      </c>
      <c r="BS143" s="2">
        <f>IF(AND('Batt IN'!$D$53="Yes",$AL$1&gt;=4),0,IF($C143='Batt IN'!$H$57*12,-'Batt IN'!$F$57,0))</f>
        <v>0</v>
      </c>
      <c r="BT143" s="2">
        <f>IF(AND('Batt IN'!$D$53="Yes",$AL$1&gt;=5),0,IF($C143='Batt IN'!$H$58*12,-'Batt IN'!$F$58,0))</f>
        <v>0</v>
      </c>
      <c r="BU143" s="2">
        <f>-AH143*PVCalcs!F143</f>
        <v>-366.03497660793875</v>
      </c>
      <c r="BV143" s="2">
        <f>-'Batt IN'!$E$47</f>
        <v>-150</v>
      </c>
      <c r="BW143" s="2">
        <f>-'Batt IN'!$E$49</f>
        <v>-2250</v>
      </c>
      <c r="BX143" s="2">
        <f>IF('Batt IN'!$H$50="No",-(BC143*'Batt IN'!$E$50),-(BC143+BE143)*'Batt IN'!$E$50)</f>
        <v>0</v>
      </c>
      <c r="BY143" s="2">
        <f>IF(C143='Batt IN'!$H$43*12,-'Batt IN'!$E$43,0)</f>
        <v>0</v>
      </c>
      <c r="BZ143" s="38"/>
      <c r="CA143" s="10">
        <f t="shared" si="34"/>
        <v>13422.323408333334</v>
      </c>
      <c r="CB143" s="2">
        <f t="shared" si="38"/>
        <v>-3016.0349766079389</v>
      </c>
      <c r="CC143" s="45">
        <f t="shared" si="39"/>
        <v>10406.288431725396</v>
      </c>
      <c r="CD143" s="43"/>
      <c r="CE143" s="2">
        <f t="shared" si="35"/>
        <v>0</v>
      </c>
      <c r="CF143" s="2">
        <f t="shared" si="40"/>
        <v>-3016.0349766079389</v>
      </c>
      <c r="CG143" s="2"/>
      <c r="CH143" s="2">
        <f t="shared" si="41"/>
        <v>-3016.0349766079389</v>
      </c>
      <c r="CI143" s="45">
        <f>-CH143*'Batt IN'!$E$7</f>
        <v>633.3673450876671</v>
      </c>
      <c r="CJ143" s="48"/>
      <c r="CK143" s="45">
        <f>IF('Batt IN'!$F$4="PV Only",0,IF(C143&gt;'Batt IN'!$H$43*12,0,CC143+CI143))</f>
        <v>0</v>
      </c>
      <c r="CM143" s="10">
        <f t="shared" si="42"/>
        <v>0</v>
      </c>
      <c r="CN143" s="2">
        <f>CK143/(1+('Batt IN'!$G$8))^(C143)</f>
        <v>0</v>
      </c>
      <c r="CO143" s="2">
        <f>IF(C143&lt;='Batt IN'!$O$30*12,CN143+CO142,NA())</f>
        <v>0</v>
      </c>
      <c r="CQ143" s="2">
        <f>CK143/((1+('Batt IN'!$E$8/12))^BattCalcs!C143)</f>
        <v>0</v>
      </c>
      <c r="CS143" s="10">
        <f t="shared" si="43"/>
        <v>-3016.0349766079389</v>
      </c>
      <c r="CT143" s="10">
        <f t="shared" si="44"/>
        <v>0</v>
      </c>
      <c r="CU143" s="10">
        <f t="shared" si="45"/>
        <v>-3016.0349766079389</v>
      </c>
      <c r="CV143" s="10">
        <f t="shared" si="46"/>
        <v>-3016.0349766079389</v>
      </c>
      <c r="CW143" s="2">
        <f t="shared" si="47"/>
        <v>0</v>
      </c>
      <c r="CX143" s="2">
        <f>-(SUM(CV143:CW143)*'PV IN'!$E$8)</f>
        <v>633.3673450876671</v>
      </c>
      <c r="CY143" s="2">
        <f t="shared" si="48"/>
        <v>-2382.6676315202717</v>
      </c>
      <c r="CZ143" s="2">
        <f>IF(C143&lt;='Batt IN'!$H$43*12,CY143/(1+('PV IN'!$G$9))^(C143),0)</f>
        <v>-1354.0065047985172</v>
      </c>
      <c r="DA143" s="33">
        <f>IF(C143&lt;='Batt IN'!$H$43*12,AE143,0)</f>
        <v>30366.783333333333</v>
      </c>
    </row>
    <row r="144" spans="1:105" x14ac:dyDescent="0.25">
      <c r="A144">
        <f>IF(C144&lt;='Batt IN'!$H$43*12,C144,"")</f>
        <v>140</v>
      </c>
      <c r="C144">
        <v>140</v>
      </c>
      <c r="D144" s="21">
        <v>730</v>
      </c>
      <c r="E144" s="1">
        <f>1-'Batt IN'!$E$31</f>
        <v>2.0000000000000018E-2</v>
      </c>
      <c r="F144" s="12">
        <f>('Batt IN'!$E$33*365)/8760</f>
        <v>0</v>
      </c>
      <c r="G144" s="22">
        <f>'Batt IN'!$E$32/8760</f>
        <v>5.7077625570776253E-3</v>
      </c>
      <c r="H144" s="22">
        <f>'Batt IN'!$E$13/8760</f>
        <v>5.5936073059360729E-3</v>
      </c>
      <c r="I144" s="23">
        <f>IF(C144&lt;='Batt IN'!$G$14*12,'Batt IN'!$E$15/8760*'Batt IN'!$G$15,0)</f>
        <v>0</v>
      </c>
      <c r="J144" s="12">
        <f>Z144/'Batt IN'!$E$27/730</f>
        <v>2.4999999999999996E-3</v>
      </c>
      <c r="K144" s="23">
        <f>AA144/'Batt IN'!$E$27/730</f>
        <v>1.6027397260273972E-3</v>
      </c>
      <c r="L144" s="23">
        <f>AB144/'Batt IN'!$E$27/730</f>
        <v>2.0547945205479451E-4</v>
      </c>
      <c r="M144" s="23">
        <f>AC144/'Batt IN'!$E$27/730</f>
        <v>4.7945205479452057E-3</v>
      </c>
      <c r="N144" s="23">
        <f>AD144/'Batt IN'!$E$27/730</f>
        <v>3.4246575342465752E-3</v>
      </c>
      <c r="O144" s="12">
        <f t="shared" si="36"/>
        <v>4.3828767123287697E-2</v>
      </c>
      <c r="P144" s="21">
        <f t="shared" si="37"/>
        <v>698.005</v>
      </c>
      <c r="Q144" s="2">
        <f>IF('Batt IN'!$E$27*'Batt IN'!$E$24&lt;='Batt IN'!$E$28,(('Batt IN'!$E$23*'Batt IN'!$E$27*'Batt IN'!$E$24)/1000)*P144,(('Batt IN'!$E$23*'Batt IN'!$E$28*'Batt IN'!$E$24)/1000)*P144)</f>
        <v>11168.08</v>
      </c>
      <c r="R144" s="2"/>
      <c r="S144" s="77">
        <f>IF(C144&lt;='Batt IN'!$G$14*12,'Batt IN'!$E$15/12,0)</f>
        <v>0</v>
      </c>
      <c r="T144" s="77"/>
      <c r="U144" s="80">
        <f>'Batt IN'!$E$28*('Batt IN'!$G$24/24)*730*(1-O144)</f>
        <v>81433.916666666657</v>
      </c>
      <c r="V144" s="78">
        <f>U144*'Batt IN'!$F$30</f>
        <v>16286.783333333333</v>
      </c>
      <c r="W144" s="78">
        <f>'Batt IN'!$E$28*'Batt IN'!$G$32*('Batt IN'!$E$32/12)*(1+'Batt IN'!$F$30)</f>
        <v>1750.0000000000002</v>
      </c>
      <c r="X144" s="78">
        <f>'Batt IN'!$E$28*'Batt IN'!$G$13*('Batt IN'!$E$13/12)*(1+'Batt IN'!$F$30)</f>
        <v>3184.9999999999995</v>
      </c>
      <c r="Y144" s="33">
        <f>S144*'Batt IN'!$G$15*'Batt IN'!$E$28*(1+'Batt IN'!$F$30)</f>
        <v>0</v>
      </c>
      <c r="Z144" s="33">
        <f>'Batt IN'!$G$16*365/12*(1+'Batt IN'!$F$30)</f>
        <v>1824.9999999999998</v>
      </c>
      <c r="AA144" s="33">
        <f>'Batt IN'!$G$17*'Batt IN'!$E$18*'Batt IN'!$G$18/12*(1+'Batt IN'!$F$30)</f>
        <v>1170</v>
      </c>
      <c r="AB144" s="33">
        <f>'Batt IN'!$G$19*'Batt IN'!$E$20*'Batt IN'!$G$20/12*(1+'Batt IN'!$F$30)</f>
        <v>150</v>
      </c>
      <c r="AC144" s="33">
        <f>'Batt IN'!$G$21*(1+'Batt IN'!$F$30)/12</f>
        <v>3500</v>
      </c>
      <c r="AD144" s="33">
        <f>'Batt IN'!$G$22*(1+'Batt IN'!$F$30)/12</f>
        <v>2500</v>
      </c>
      <c r="AE144" s="33">
        <f t="shared" si="49"/>
        <v>30366.783333333333</v>
      </c>
      <c r="AF144" s="33">
        <f>IF('PV IN'!$F$4="Battery Only",0,AE144*'Batt IN'!$E$29)</f>
        <v>25811.765833333331</v>
      </c>
      <c r="AG144" s="33">
        <f>PVCalcs!L144</f>
        <v>25811.765833333331</v>
      </c>
      <c r="AH144" s="33">
        <f t="shared" si="50"/>
        <v>4555.0175000000017</v>
      </c>
      <c r="AI144" s="33"/>
      <c r="AJ144" s="2">
        <f>IF(AND('Batt IN'!$D$53="Yes",$AL$1&gt;=1),IF($C144='Batt IN'!$H$54*12,-'Batt IN'!$F$54,0),0)</f>
        <v>0</v>
      </c>
      <c r="AK144" s="2">
        <f>IF(AND('Batt IN'!$D$53="Yes",$AL$1&gt;=2),IF($C144='Batt IN'!$H$55*12,-'Batt IN'!$F$55,0),0)</f>
        <v>0</v>
      </c>
      <c r="AL144" s="2">
        <f>IF(AND('Batt IN'!$D$53="Yes",$AL$1&gt;=3),IF($C144='Batt IN'!$H$56*12,-'Batt IN'!$F$56,0),0)</f>
        <v>0</v>
      </c>
      <c r="AM144" s="2">
        <f>IF(AND('Batt IN'!$D$53="Yes",$AL$1&gt;=4),IF($C144='Batt IN'!$H$57*12,-'Batt IN'!$F$57,0),0)</f>
        <v>0</v>
      </c>
      <c r="AN144" s="2">
        <f>IF(AND('Batt IN'!$D$53="Yes",$AL$1&gt;=5),IF($C144='Batt IN'!$H$58*12,-'Batt IN'!$F$58,0),0)</f>
        <v>0</v>
      </c>
      <c r="AO144" s="10">
        <f>IF(AND('Batt IN'!$D$44="YES",$C144&lt;='Batt IN'!$E$44*12),-'Batt IN'!$E$28*'Batt IN'!$E$42/12,0)</f>
        <v>0</v>
      </c>
      <c r="AP144" s="10">
        <f>IF(AND('Batt IN'!$D$46="YES",$C144&lt;='Batt IN'!$E$46*12),-'Batt IN'!$E$28*'Batt IN'!$E$45/12,0)</f>
        <v>0</v>
      </c>
      <c r="AR144" s="10">
        <f>BattLoan!M171</f>
        <v>0</v>
      </c>
      <c r="AS144" s="10">
        <f>'Batt IN'!$G$16*365/12*'Batt IN'!$E$16</f>
        <v>76.041666666666671</v>
      </c>
      <c r="AT144" s="10">
        <f>IF(AND('Batt IN'!$E$18&gt;0,'Batt IN'!$G$18&gt;0),'Batt IN'!$E$17*'Batt IN'!$G$17,0)</f>
        <v>119.44619999999999</v>
      </c>
      <c r="AU144" s="10">
        <f>IF(AND('Batt IN'!$E$20&gt;0,'Batt IN'!$G$20&gt;0),'Batt IN'!$E$19*'Batt IN'!$G$19,0)</f>
        <v>231</v>
      </c>
      <c r="AV144" s="10"/>
      <c r="AW144" s="10"/>
      <c r="AX144" s="10">
        <f>IF('Batt IN'!$E$11="Non-Taxable",Q144,0)</f>
        <v>11168.08</v>
      </c>
      <c r="AY144" s="10">
        <f>IF('Batt IN'!$E$11="Non-Taxable",'Batt IN'!$E$28/1000*'Batt IN'!$G$13*('Batt IN'!$E$13/12)*'Batt IN'!$E$12,0)</f>
        <v>244.42220833333334</v>
      </c>
      <c r="AZ144" s="10">
        <f>IF('Batt IN'!$E$11="Non-Taxable",$S144*'Batt IN'!$G$15*'Batt IN'!$E$28*'Batt IN'!$E$14/1000,0)</f>
        <v>0</v>
      </c>
      <c r="BA144" s="10">
        <f>IF('Batt IN'!$E$11="Non-Taxable",'Batt IN'!$E$21*'Batt IN'!$G$21/12,0)</f>
        <v>437.5</v>
      </c>
      <c r="BB144" s="10">
        <f>IF('Batt IN'!$E$11="Non-Taxable",'Batt IN'!$E$22*'Batt IN'!$G$22/12,0)</f>
        <v>1145.8333333333335</v>
      </c>
      <c r="BC144" s="10">
        <f>IF('Batt IN'!$E$11="Taxable",Q144,0)</f>
        <v>0</v>
      </c>
      <c r="BD144" s="10">
        <f>IF('Batt IN'!$E$11="Taxable",'Batt IN'!$E$28/1000*'Batt IN'!$G$13*('Batt IN'!$E$13/12)*'Batt IN'!$E$12,0)</f>
        <v>0</v>
      </c>
      <c r="BE144" s="10">
        <f>IF('Batt IN'!$E$11="Taxable",$S144*'Batt IN'!$G$15*'Batt IN'!$E$28*'Batt IN'!$E$14/1000,0)</f>
        <v>0</v>
      </c>
      <c r="BF144" s="10">
        <f>IF('Batt IN'!$E$11="Taxable",'Batt IN'!$E$21*'Batt IN'!$G$21/12,0)</f>
        <v>0</v>
      </c>
      <c r="BG144" s="10">
        <f>IF('Batt IN'!$E$11="Taxable",'Batt IN'!$E$22*'Batt IN'!$G$22/12,0)</f>
        <v>0</v>
      </c>
      <c r="BK144" s="10">
        <f>IF('Batt IN'!$N$18="Yes",-BattLoan!H172,-BattLoan!L172)</f>
        <v>0</v>
      </c>
      <c r="BL144" s="10">
        <f>IF('Batt IN'!$N$18="Yes",-BattLoan!F172,0)</f>
        <v>0</v>
      </c>
      <c r="BM144" s="10">
        <f>IF(AND('Batt IN'!$D$44="YES",$C144&lt;='Batt IN'!$E$44*12),0,-'Batt IN'!$E$28*'Batt IN'!$E$42/12)</f>
        <v>-83.333333333333329</v>
      </c>
      <c r="BN144" s="10">
        <f>IF(AND('Batt IN'!$D$46="YES",$C144&lt;='Batt IN'!$E$46*12),0,-'Batt IN'!$E$28*'Batt IN'!$E$45/12)</f>
        <v>-166.66666666666666</v>
      </c>
      <c r="BO144" s="2">
        <f>IF(AND('Batt IN'!$D$41="YES",BattCalcs!C144=ROUNDUP('Batt IN'!$H$41*12,)),-'Batt IN'!$E$41*'Batt IN'!$E$28,0)</f>
        <v>0</v>
      </c>
      <c r="BP144" s="2">
        <f>IF(AND('Batt IN'!$D$53="Yes",$AL$1&gt;=1),0,IF($C144='Batt IN'!$H$54*12,-'Batt IN'!$F$54,0))</f>
        <v>0</v>
      </c>
      <c r="BQ144" s="2">
        <f>IF(AND('Batt IN'!$D$53="Yes",$AL$1&gt;=2),0,IF($C144='Batt IN'!$H$55*12,-'Batt IN'!$F$55,0))</f>
        <v>0</v>
      </c>
      <c r="BR144" s="2">
        <f>IF(AND('Batt IN'!$D$53="Yes",$AL$1&gt;=3),0,IF($C144='Batt IN'!$H$56*12,-'Batt IN'!$F$56,0))</f>
        <v>0</v>
      </c>
      <c r="BS144" s="2">
        <f>IF(AND('Batt IN'!$D$53="Yes",$AL$1&gt;=4),0,IF($C144='Batt IN'!$H$57*12,-'Batt IN'!$F$57,0))</f>
        <v>0</v>
      </c>
      <c r="BT144" s="2">
        <f>IF(AND('Batt IN'!$D$53="Yes",$AL$1&gt;=5),0,IF($C144='Batt IN'!$H$58*12,-'Batt IN'!$F$58,0))</f>
        <v>0</v>
      </c>
      <c r="BU144" s="2">
        <f>-AH144*PVCalcs!F144</f>
        <v>-366.03497660793875</v>
      </c>
      <c r="BV144" s="2">
        <f>-'Batt IN'!$E$47</f>
        <v>-150</v>
      </c>
      <c r="BW144" s="2">
        <f>-'Batt IN'!$E$49</f>
        <v>-2250</v>
      </c>
      <c r="BX144" s="2">
        <f>IF('Batt IN'!$H$50="No",-(BC144*'Batt IN'!$E$50),-(BC144+BE144)*'Batt IN'!$E$50)</f>
        <v>0</v>
      </c>
      <c r="BY144" s="2">
        <f>IF(C144='Batt IN'!$H$43*12,-'Batt IN'!$E$43,0)</f>
        <v>0</v>
      </c>
      <c r="BZ144" s="38"/>
      <c r="CA144" s="10">
        <f t="shared" si="34"/>
        <v>13422.323408333334</v>
      </c>
      <c r="CB144" s="2">
        <f t="shared" si="38"/>
        <v>-3016.0349766079389</v>
      </c>
      <c r="CC144" s="45">
        <f t="shared" si="39"/>
        <v>10406.288431725396</v>
      </c>
      <c r="CD144" s="43"/>
      <c r="CE144" s="2">
        <f t="shared" si="35"/>
        <v>0</v>
      </c>
      <c r="CF144" s="2">
        <f t="shared" si="40"/>
        <v>-3016.0349766079389</v>
      </c>
      <c r="CG144" s="2"/>
      <c r="CH144" s="2">
        <f t="shared" si="41"/>
        <v>-3016.0349766079389</v>
      </c>
      <c r="CI144" s="45">
        <f>-CH144*'Batt IN'!$E$7</f>
        <v>633.3673450876671</v>
      </c>
      <c r="CJ144" s="48"/>
      <c r="CK144" s="45">
        <f>IF('Batt IN'!$F$4="PV Only",0,IF(C144&gt;'Batt IN'!$H$43*12,0,CC144+CI144))</f>
        <v>0</v>
      </c>
      <c r="CM144" s="10">
        <f t="shared" si="42"/>
        <v>0</v>
      </c>
      <c r="CN144" s="2">
        <f>CK144/(1+('Batt IN'!$G$8))^(C144)</f>
        <v>0</v>
      </c>
      <c r="CO144" s="2">
        <f>IF(C144&lt;='Batt IN'!$O$30*12,CN144+CO143,NA())</f>
        <v>0</v>
      </c>
      <c r="CQ144" s="2">
        <f>CK144/((1+('Batt IN'!$E$8/12))^BattCalcs!C144)</f>
        <v>0</v>
      </c>
      <c r="CS144" s="10">
        <f t="shared" si="43"/>
        <v>-3016.0349766079389</v>
      </c>
      <c r="CT144" s="10">
        <f t="shared" si="44"/>
        <v>0</v>
      </c>
      <c r="CU144" s="10">
        <f t="shared" si="45"/>
        <v>-3016.0349766079389</v>
      </c>
      <c r="CV144" s="10">
        <f t="shared" si="46"/>
        <v>-3016.0349766079389</v>
      </c>
      <c r="CW144" s="2">
        <f t="shared" si="47"/>
        <v>0</v>
      </c>
      <c r="CX144" s="2">
        <f>-(SUM(CV144:CW144)*'PV IN'!$E$8)</f>
        <v>633.3673450876671</v>
      </c>
      <c r="CY144" s="2">
        <f t="shared" si="48"/>
        <v>-2382.6676315202717</v>
      </c>
      <c r="CZ144" s="2">
        <f>IF(C144&lt;='Batt IN'!$H$43*12,CY144/(1+('PV IN'!$G$9))^(C144),0)</f>
        <v>-1348.5124979580391</v>
      </c>
      <c r="DA144" s="33">
        <f>IF(C144&lt;='Batt IN'!$H$43*12,AE144,0)</f>
        <v>30366.783333333333</v>
      </c>
    </row>
    <row r="145" spans="1:105" x14ac:dyDescent="0.25">
      <c r="A145">
        <f>IF(C145&lt;='Batt IN'!$H$43*12,C145,"")</f>
        <v>141</v>
      </c>
      <c r="C145">
        <v>141</v>
      </c>
      <c r="D145" s="21">
        <v>730</v>
      </c>
      <c r="E145" s="1">
        <f>1-'Batt IN'!$E$31</f>
        <v>2.0000000000000018E-2</v>
      </c>
      <c r="F145" s="12">
        <f>('Batt IN'!$E$33*365)/8760</f>
        <v>0</v>
      </c>
      <c r="G145" s="22">
        <f>'Batt IN'!$E$32/8760</f>
        <v>5.7077625570776253E-3</v>
      </c>
      <c r="H145" s="22">
        <f>'Batt IN'!$E$13/8760</f>
        <v>5.5936073059360729E-3</v>
      </c>
      <c r="I145" s="23">
        <f>IF(C145&lt;='Batt IN'!$G$14*12,'Batt IN'!$E$15/8760*'Batt IN'!$G$15,0)</f>
        <v>0</v>
      </c>
      <c r="J145" s="12">
        <f>Z145/'Batt IN'!$E$27/730</f>
        <v>2.4999999999999996E-3</v>
      </c>
      <c r="K145" s="23">
        <f>AA145/'Batt IN'!$E$27/730</f>
        <v>1.6027397260273972E-3</v>
      </c>
      <c r="L145" s="23">
        <f>AB145/'Batt IN'!$E$27/730</f>
        <v>2.0547945205479451E-4</v>
      </c>
      <c r="M145" s="23">
        <f>AC145/'Batt IN'!$E$27/730</f>
        <v>4.7945205479452057E-3</v>
      </c>
      <c r="N145" s="23">
        <f>AD145/'Batt IN'!$E$27/730</f>
        <v>3.4246575342465752E-3</v>
      </c>
      <c r="O145" s="12">
        <f t="shared" si="36"/>
        <v>4.3828767123287697E-2</v>
      </c>
      <c r="P145" s="21">
        <f t="shared" si="37"/>
        <v>698.005</v>
      </c>
      <c r="Q145" s="2">
        <f>IF('Batt IN'!$E$27*'Batt IN'!$E$24&lt;='Batt IN'!$E$28,(('Batt IN'!$E$23*'Batt IN'!$E$27*'Batt IN'!$E$24)/1000)*P145,(('Batt IN'!$E$23*'Batt IN'!$E$28*'Batt IN'!$E$24)/1000)*P145)</f>
        <v>11168.08</v>
      </c>
      <c r="R145" s="2"/>
      <c r="S145" s="77">
        <f>IF(C145&lt;='Batt IN'!$G$14*12,'Batt IN'!$E$15/12,0)</f>
        <v>0</v>
      </c>
      <c r="T145" s="77"/>
      <c r="U145" s="80">
        <f>'Batt IN'!$E$28*('Batt IN'!$G$24/24)*730*(1-O145)</f>
        <v>81433.916666666657</v>
      </c>
      <c r="V145" s="78">
        <f>U145*'Batt IN'!$F$30</f>
        <v>16286.783333333333</v>
      </c>
      <c r="W145" s="78">
        <f>'Batt IN'!$E$28*'Batt IN'!$G$32*('Batt IN'!$E$32/12)*(1+'Batt IN'!$F$30)</f>
        <v>1750.0000000000002</v>
      </c>
      <c r="X145" s="78">
        <f>'Batt IN'!$E$28*'Batt IN'!$G$13*('Batt IN'!$E$13/12)*(1+'Batt IN'!$F$30)</f>
        <v>3184.9999999999995</v>
      </c>
      <c r="Y145" s="33">
        <f>S145*'Batt IN'!$G$15*'Batt IN'!$E$28*(1+'Batt IN'!$F$30)</f>
        <v>0</v>
      </c>
      <c r="Z145" s="33">
        <f>'Batt IN'!$G$16*365/12*(1+'Batt IN'!$F$30)</f>
        <v>1824.9999999999998</v>
      </c>
      <c r="AA145" s="33">
        <f>'Batt IN'!$G$17*'Batt IN'!$E$18*'Batt IN'!$G$18/12*(1+'Batt IN'!$F$30)</f>
        <v>1170</v>
      </c>
      <c r="AB145" s="33">
        <f>'Batt IN'!$G$19*'Batt IN'!$E$20*'Batt IN'!$G$20/12*(1+'Batt IN'!$F$30)</f>
        <v>150</v>
      </c>
      <c r="AC145" s="33">
        <f>'Batt IN'!$G$21*(1+'Batt IN'!$F$30)/12</f>
        <v>3500</v>
      </c>
      <c r="AD145" s="33">
        <f>'Batt IN'!$G$22*(1+'Batt IN'!$F$30)/12</f>
        <v>2500</v>
      </c>
      <c r="AE145" s="33">
        <f t="shared" si="49"/>
        <v>30366.783333333333</v>
      </c>
      <c r="AF145" s="33">
        <f>IF('PV IN'!$F$4="Battery Only",0,AE145*'Batt IN'!$E$29)</f>
        <v>25811.765833333331</v>
      </c>
      <c r="AG145" s="33">
        <f>PVCalcs!L145</f>
        <v>25811.765833333331</v>
      </c>
      <c r="AH145" s="33">
        <f t="shared" si="50"/>
        <v>4555.0175000000017</v>
      </c>
      <c r="AI145" s="33"/>
      <c r="AJ145" s="2">
        <f>IF(AND('Batt IN'!$D$53="Yes",$AL$1&gt;=1),IF($C145='Batt IN'!$H$54*12,-'Batt IN'!$F$54,0),0)</f>
        <v>0</v>
      </c>
      <c r="AK145" s="2">
        <f>IF(AND('Batt IN'!$D$53="Yes",$AL$1&gt;=2),IF($C145='Batt IN'!$H$55*12,-'Batt IN'!$F$55,0),0)</f>
        <v>0</v>
      </c>
      <c r="AL145" s="2">
        <f>IF(AND('Batt IN'!$D$53="Yes",$AL$1&gt;=3),IF($C145='Batt IN'!$H$56*12,-'Batt IN'!$F$56,0),0)</f>
        <v>0</v>
      </c>
      <c r="AM145" s="2">
        <f>IF(AND('Batt IN'!$D$53="Yes",$AL$1&gt;=4),IF($C145='Batt IN'!$H$57*12,-'Batt IN'!$F$57,0),0)</f>
        <v>0</v>
      </c>
      <c r="AN145" s="2">
        <f>IF(AND('Batt IN'!$D$53="Yes",$AL$1&gt;=5),IF($C145='Batt IN'!$H$58*12,-'Batt IN'!$F$58,0),0)</f>
        <v>0</v>
      </c>
      <c r="AO145" s="10">
        <f>IF(AND('Batt IN'!$D$44="YES",$C145&lt;='Batt IN'!$E$44*12),-'Batt IN'!$E$28*'Batt IN'!$E$42/12,0)</f>
        <v>0</v>
      </c>
      <c r="AP145" s="10">
        <f>IF(AND('Batt IN'!$D$46="YES",$C145&lt;='Batt IN'!$E$46*12),-'Batt IN'!$E$28*'Batt IN'!$E$45/12,0)</f>
        <v>0</v>
      </c>
      <c r="AR145" s="10">
        <f>BattLoan!M172</f>
        <v>0</v>
      </c>
      <c r="AS145" s="10">
        <f>'Batt IN'!$G$16*365/12*'Batt IN'!$E$16</f>
        <v>76.041666666666671</v>
      </c>
      <c r="AT145" s="10">
        <f>IF(AND('Batt IN'!$E$18&gt;0,'Batt IN'!$G$18&gt;0),'Batt IN'!$E$17*'Batt IN'!$G$17,0)</f>
        <v>119.44619999999999</v>
      </c>
      <c r="AU145" s="10">
        <f>IF(AND('Batt IN'!$E$20&gt;0,'Batt IN'!$G$20&gt;0),'Batt IN'!$E$19*'Batt IN'!$G$19,0)</f>
        <v>231</v>
      </c>
      <c r="AV145" s="10"/>
      <c r="AW145" s="10"/>
      <c r="AX145" s="10">
        <f>IF('Batt IN'!$E$11="Non-Taxable",Q145,0)</f>
        <v>11168.08</v>
      </c>
      <c r="AY145" s="10">
        <f>IF('Batt IN'!$E$11="Non-Taxable",'Batt IN'!$E$28/1000*'Batt IN'!$G$13*('Batt IN'!$E$13/12)*'Batt IN'!$E$12,0)</f>
        <v>244.42220833333334</v>
      </c>
      <c r="AZ145" s="10">
        <f>IF('Batt IN'!$E$11="Non-Taxable",$S145*'Batt IN'!$G$15*'Batt IN'!$E$28*'Batt IN'!$E$14/1000,0)</f>
        <v>0</v>
      </c>
      <c r="BA145" s="10">
        <f>IF('Batt IN'!$E$11="Non-Taxable",'Batt IN'!$E$21*'Batt IN'!$G$21/12,0)</f>
        <v>437.5</v>
      </c>
      <c r="BB145" s="10">
        <f>IF('Batt IN'!$E$11="Non-Taxable",'Batt IN'!$E$22*'Batt IN'!$G$22/12,0)</f>
        <v>1145.8333333333335</v>
      </c>
      <c r="BC145" s="10">
        <f>IF('Batt IN'!$E$11="Taxable",Q145,0)</f>
        <v>0</v>
      </c>
      <c r="BD145" s="10">
        <f>IF('Batt IN'!$E$11="Taxable",'Batt IN'!$E$28/1000*'Batt IN'!$G$13*('Batt IN'!$E$13/12)*'Batt IN'!$E$12,0)</f>
        <v>0</v>
      </c>
      <c r="BE145" s="10">
        <f>IF('Batt IN'!$E$11="Taxable",$S145*'Batt IN'!$G$15*'Batt IN'!$E$28*'Batt IN'!$E$14/1000,0)</f>
        <v>0</v>
      </c>
      <c r="BF145" s="10">
        <f>IF('Batt IN'!$E$11="Taxable",'Batt IN'!$E$21*'Batt IN'!$G$21/12,0)</f>
        <v>0</v>
      </c>
      <c r="BG145" s="10">
        <f>IF('Batt IN'!$E$11="Taxable",'Batt IN'!$E$22*'Batt IN'!$G$22/12,0)</f>
        <v>0</v>
      </c>
      <c r="BK145" s="10">
        <f>IF('Batt IN'!$N$18="Yes",-BattLoan!H173,-BattLoan!L173)</f>
        <v>0</v>
      </c>
      <c r="BL145" s="10">
        <f>IF('Batt IN'!$N$18="Yes",-BattLoan!F173,0)</f>
        <v>0</v>
      </c>
      <c r="BM145" s="10">
        <f>IF(AND('Batt IN'!$D$44="YES",$C145&lt;='Batt IN'!$E$44*12),0,-'Batt IN'!$E$28*'Batt IN'!$E$42/12)</f>
        <v>-83.333333333333329</v>
      </c>
      <c r="BN145" s="10">
        <f>IF(AND('Batt IN'!$D$46="YES",$C145&lt;='Batt IN'!$E$46*12),0,-'Batt IN'!$E$28*'Batt IN'!$E$45/12)</f>
        <v>-166.66666666666666</v>
      </c>
      <c r="BO145" s="2">
        <f>IF(AND('Batt IN'!$D$41="YES",BattCalcs!C145=ROUNDUP('Batt IN'!$H$41*12,)),-'Batt IN'!$E$41*'Batt IN'!$E$28,0)</f>
        <v>0</v>
      </c>
      <c r="BP145" s="2">
        <f>IF(AND('Batt IN'!$D$53="Yes",$AL$1&gt;=1),0,IF($C145='Batt IN'!$H$54*12,-'Batt IN'!$F$54,0))</f>
        <v>0</v>
      </c>
      <c r="BQ145" s="2">
        <f>IF(AND('Batt IN'!$D$53="Yes",$AL$1&gt;=2),0,IF($C145='Batt IN'!$H$55*12,-'Batt IN'!$F$55,0))</f>
        <v>0</v>
      </c>
      <c r="BR145" s="2">
        <f>IF(AND('Batt IN'!$D$53="Yes",$AL$1&gt;=3),0,IF($C145='Batt IN'!$H$56*12,-'Batt IN'!$F$56,0))</f>
        <v>0</v>
      </c>
      <c r="BS145" s="2">
        <f>IF(AND('Batt IN'!$D$53="Yes",$AL$1&gt;=4),0,IF($C145='Batt IN'!$H$57*12,-'Batt IN'!$F$57,0))</f>
        <v>0</v>
      </c>
      <c r="BT145" s="2">
        <f>IF(AND('Batt IN'!$D$53="Yes",$AL$1&gt;=5),0,IF($C145='Batt IN'!$H$58*12,-'Batt IN'!$F$58,0))</f>
        <v>0</v>
      </c>
      <c r="BU145" s="2">
        <f>-AH145*PVCalcs!F145</f>
        <v>-366.03497660793875</v>
      </c>
      <c r="BV145" s="2">
        <f>-'Batt IN'!$E$47</f>
        <v>-150</v>
      </c>
      <c r="BW145" s="2">
        <f>-'Batt IN'!$E$49</f>
        <v>-2250</v>
      </c>
      <c r="BX145" s="2">
        <f>IF('Batt IN'!$H$50="No",-(BC145*'Batt IN'!$E$50),-(BC145+BE145)*'Batt IN'!$E$50)</f>
        <v>0</v>
      </c>
      <c r="BY145" s="2">
        <f>IF(C145='Batt IN'!$H$43*12,-'Batt IN'!$E$43,0)</f>
        <v>0</v>
      </c>
      <c r="BZ145" s="38"/>
      <c r="CA145" s="10">
        <f t="shared" si="34"/>
        <v>13422.323408333334</v>
      </c>
      <c r="CB145" s="2">
        <f t="shared" si="38"/>
        <v>-3016.0349766079389</v>
      </c>
      <c r="CC145" s="45">
        <f t="shared" si="39"/>
        <v>10406.288431725396</v>
      </c>
      <c r="CD145" s="43"/>
      <c r="CE145" s="2">
        <f t="shared" si="35"/>
        <v>0</v>
      </c>
      <c r="CF145" s="2">
        <f t="shared" si="40"/>
        <v>-3016.0349766079389</v>
      </c>
      <c r="CG145" s="2"/>
      <c r="CH145" s="2">
        <f t="shared" si="41"/>
        <v>-3016.0349766079389</v>
      </c>
      <c r="CI145" s="45">
        <f>-CH145*'Batt IN'!$E$7</f>
        <v>633.3673450876671</v>
      </c>
      <c r="CJ145" s="48"/>
      <c r="CK145" s="45">
        <f>IF('Batt IN'!$F$4="PV Only",0,IF(C145&gt;'Batt IN'!$H$43*12,0,CC145+CI145))</f>
        <v>0</v>
      </c>
      <c r="CM145" s="10">
        <f t="shared" si="42"/>
        <v>0</v>
      </c>
      <c r="CN145" s="2">
        <f>CK145/(1+('Batt IN'!$G$8))^(C145)</f>
        <v>0</v>
      </c>
      <c r="CO145" s="2">
        <f>IF(C145&lt;='Batt IN'!$O$30*12,CN145+CO144,NA())</f>
        <v>0</v>
      </c>
      <c r="CQ145" s="2">
        <f>CK145/((1+('Batt IN'!$E$8/12))^BattCalcs!C145)</f>
        <v>0</v>
      </c>
      <c r="CS145" s="10">
        <f t="shared" si="43"/>
        <v>-3016.0349766079389</v>
      </c>
      <c r="CT145" s="10">
        <f t="shared" si="44"/>
        <v>0</v>
      </c>
      <c r="CU145" s="10">
        <f t="shared" si="45"/>
        <v>-3016.0349766079389</v>
      </c>
      <c r="CV145" s="10">
        <f t="shared" si="46"/>
        <v>-3016.0349766079389</v>
      </c>
      <c r="CW145" s="2">
        <f t="shared" si="47"/>
        <v>0</v>
      </c>
      <c r="CX145" s="2">
        <f>-(SUM(CV145:CW145)*'PV IN'!$E$8)</f>
        <v>633.3673450876671</v>
      </c>
      <c r="CY145" s="2">
        <f t="shared" si="48"/>
        <v>-2382.6676315202717</v>
      </c>
      <c r="CZ145" s="2">
        <f>IF(C145&lt;='Batt IN'!$H$43*12,CY145/(1+('PV IN'!$G$9))^(C145),0)</f>
        <v>-1343.0407835593305</v>
      </c>
      <c r="DA145" s="33">
        <f>IF(C145&lt;='Batt IN'!$H$43*12,AE145,0)</f>
        <v>30366.783333333333</v>
      </c>
    </row>
    <row r="146" spans="1:105" x14ac:dyDescent="0.25">
      <c r="A146">
        <f>IF(C146&lt;='Batt IN'!$H$43*12,C146,"")</f>
        <v>142</v>
      </c>
      <c r="C146">
        <v>142</v>
      </c>
      <c r="D146" s="21">
        <v>730</v>
      </c>
      <c r="E146" s="1">
        <f>1-'Batt IN'!$E$31</f>
        <v>2.0000000000000018E-2</v>
      </c>
      <c r="F146" s="12">
        <f>('Batt IN'!$E$33*365)/8760</f>
        <v>0</v>
      </c>
      <c r="G146" s="22">
        <f>'Batt IN'!$E$32/8760</f>
        <v>5.7077625570776253E-3</v>
      </c>
      <c r="H146" s="22">
        <f>'Batt IN'!$E$13/8760</f>
        <v>5.5936073059360729E-3</v>
      </c>
      <c r="I146" s="23">
        <f>IF(C146&lt;='Batt IN'!$G$14*12,'Batt IN'!$E$15/8760*'Batt IN'!$G$15,0)</f>
        <v>0</v>
      </c>
      <c r="J146" s="12">
        <f>Z146/'Batt IN'!$E$27/730</f>
        <v>2.4999999999999996E-3</v>
      </c>
      <c r="K146" s="23">
        <f>AA146/'Batt IN'!$E$27/730</f>
        <v>1.6027397260273972E-3</v>
      </c>
      <c r="L146" s="23">
        <f>AB146/'Batt IN'!$E$27/730</f>
        <v>2.0547945205479451E-4</v>
      </c>
      <c r="M146" s="23">
        <f>AC146/'Batt IN'!$E$27/730</f>
        <v>4.7945205479452057E-3</v>
      </c>
      <c r="N146" s="23">
        <f>AD146/'Batt IN'!$E$27/730</f>
        <v>3.4246575342465752E-3</v>
      </c>
      <c r="O146" s="12">
        <f t="shared" si="36"/>
        <v>4.3828767123287697E-2</v>
      </c>
      <c r="P146" s="21">
        <f t="shared" si="37"/>
        <v>698.005</v>
      </c>
      <c r="Q146" s="2">
        <f>IF('Batt IN'!$E$27*'Batt IN'!$E$24&lt;='Batt IN'!$E$28,(('Batt IN'!$E$23*'Batt IN'!$E$27*'Batt IN'!$E$24)/1000)*P146,(('Batt IN'!$E$23*'Batt IN'!$E$28*'Batt IN'!$E$24)/1000)*P146)</f>
        <v>11168.08</v>
      </c>
      <c r="R146" s="2"/>
      <c r="S146" s="77">
        <f>IF(C146&lt;='Batt IN'!$G$14*12,'Batt IN'!$E$15/12,0)</f>
        <v>0</v>
      </c>
      <c r="T146" s="77"/>
      <c r="U146" s="80">
        <f>'Batt IN'!$E$28*('Batt IN'!$G$24/24)*730*(1-O146)</f>
        <v>81433.916666666657</v>
      </c>
      <c r="V146" s="78">
        <f>U146*'Batt IN'!$F$30</f>
        <v>16286.783333333333</v>
      </c>
      <c r="W146" s="78">
        <f>'Batt IN'!$E$28*'Batt IN'!$G$32*('Batt IN'!$E$32/12)*(1+'Batt IN'!$F$30)</f>
        <v>1750.0000000000002</v>
      </c>
      <c r="X146" s="78">
        <f>'Batt IN'!$E$28*'Batt IN'!$G$13*('Batt IN'!$E$13/12)*(1+'Batt IN'!$F$30)</f>
        <v>3184.9999999999995</v>
      </c>
      <c r="Y146" s="33">
        <f>S146*'Batt IN'!$G$15*'Batt IN'!$E$28*(1+'Batt IN'!$F$30)</f>
        <v>0</v>
      </c>
      <c r="Z146" s="33">
        <f>'Batt IN'!$G$16*365/12*(1+'Batt IN'!$F$30)</f>
        <v>1824.9999999999998</v>
      </c>
      <c r="AA146" s="33">
        <f>'Batt IN'!$G$17*'Batt IN'!$E$18*'Batt IN'!$G$18/12*(1+'Batt IN'!$F$30)</f>
        <v>1170</v>
      </c>
      <c r="AB146" s="33">
        <f>'Batt IN'!$G$19*'Batt IN'!$E$20*'Batt IN'!$G$20/12*(1+'Batt IN'!$F$30)</f>
        <v>150</v>
      </c>
      <c r="AC146" s="33">
        <f>'Batt IN'!$G$21*(1+'Batt IN'!$F$30)/12</f>
        <v>3500</v>
      </c>
      <c r="AD146" s="33">
        <f>'Batt IN'!$G$22*(1+'Batt IN'!$F$30)/12</f>
        <v>2500</v>
      </c>
      <c r="AE146" s="33">
        <f t="shared" si="49"/>
        <v>30366.783333333333</v>
      </c>
      <c r="AF146" s="33">
        <f>IF('PV IN'!$F$4="Battery Only",0,AE146*'Batt IN'!$E$29)</f>
        <v>25811.765833333331</v>
      </c>
      <c r="AG146" s="33">
        <f>PVCalcs!L146</f>
        <v>25811.765833333331</v>
      </c>
      <c r="AH146" s="33">
        <f t="shared" si="50"/>
        <v>4555.0175000000017</v>
      </c>
      <c r="AI146" s="33"/>
      <c r="AJ146" s="2">
        <f>IF(AND('Batt IN'!$D$53="Yes",$AL$1&gt;=1),IF($C146='Batt IN'!$H$54*12,-'Batt IN'!$F$54,0),0)</f>
        <v>0</v>
      </c>
      <c r="AK146" s="2">
        <f>IF(AND('Batt IN'!$D$53="Yes",$AL$1&gt;=2),IF($C146='Batt IN'!$H$55*12,-'Batt IN'!$F$55,0),0)</f>
        <v>0</v>
      </c>
      <c r="AL146" s="2">
        <f>IF(AND('Batt IN'!$D$53="Yes",$AL$1&gt;=3),IF($C146='Batt IN'!$H$56*12,-'Batt IN'!$F$56,0),0)</f>
        <v>0</v>
      </c>
      <c r="AM146" s="2">
        <f>IF(AND('Batt IN'!$D$53="Yes",$AL$1&gt;=4),IF($C146='Batt IN'!$H$57*12,-'Batt IN'!$F$57,0),0)</f>
        <v>0</v>
      </c>
      <c r="AN146" s="2">
        <f>IF(AND('Batt IN'!$D$53="Yes",$AL$1&gt;=5),IF($C146='Batt IN'!$H$58*12,-'Batt IN'!$F$58,0),0)</f>
        <v>0</v>
      </c>
      <c r="AO146" s="10">
        <f>IF(AND('Batt IN'!$D$44="YES",$C146&lt;='Batt IN'!$E$44*12),-'Batt IN'!$E$28*'Batt IN'!$E$42/12,0)</f>
        <v>0</v>
      </c>
      <c r="AP146" s="10">
        <f>IF(AND('Batt IN'!$D$46="YES",$C146&lt;='Batt IN'!$E$46*12),-'Batt IN'!$E$28*'Batt IN'!$E$45/12,0)</f>
        <v>0</v>
      </c>
      <c r="AR146" s="10">
        <f>BattLoan!M173</f>
        <v>0</v>
      </c>
      <c r="AS146" s="10">
        <f>'Batt IN'!$G$16*365/12*'Batt IN'!$E$16</f>
        <v>76.041666666666671</v>
      </c>
      <c r="AT146" s="10">
        <f>IF(AND('Batt IN'!$E$18&gt;0,'Batt IN'!$G$18&gt;0),'Batt IN'!$E$17*'Batt IN'!$G$17,0)</f>
        <v>119.44619999999999</v>
      </c>
      <c r="AU146" s="10">
        <f>IF(AND('Batt IN'!$E$20&gt;0,'Batt IN'!$G$20&gt;0),'Batt IN'!$E$19*'Batt IN'!$G$19,0)</f>
        <v>231</v>
      </c>
      <c r="AV146" s="10"/>
      <c r="AW146" s="10"/>
      <c r="AX146" s="10">
        <f>IF('Batt IN'!$E$11="Non-Taxable",Q146,0)</f>
        <v>11168.08</v>
      </c>
      <c r="AY146" s="10">
        <f>IF('Batt IN'!$E$11="Non-Taxable",'Batt IN'!$E$28/1000*'Batt IN'!$G$13*('Batt IN'!$E$13/12)*'Batt IN'!$E$12,0)</f>
        <v>244.42220833333334</v>
      </c>
      <c r="AZ146" s="10">
        <f>IF('Batt IN'!$E$11="Non-Taxable",$S146*'Batt IN'!$G$15*'Batt IN'!$E$28*'Batt IN'!$E$14/1000,0)</f>
        <v>0</v>
      </c>
      <c r="BA146" s="10">
        <f>IF('Batt IN'!$E$11="Non-Taxable",'Batt IN'!$E$21*'Batt IN'!$G$21/12,0)</f>
        <v>437.5</v>
      </c>
      <c r="BB146" s="10">
        <f>IF('Batt IN'!$E$11="Non-Taxable",'Batt IN'!$E$22*'Batt IN'!$G$22/12,0)</f>
        <v>1145.8333333333335</v>
      </c>
      <c r="BC146" s="10">
        <f>IF('Batt IN'!$E$11="Taxable",Q146,0)</f>
        <v>0</v>
      </c>
      <c r="BD146" s="10">
        <f>IF('Batt IN'!$E$11="Taxable",'Batt IN'!$E$28/1000*'Batt IN'!$G$13*('Batt IN'!$E$13/12)*'Batt IN'!$E$12,0)</f>
        <v>0</v>
      </c>
      <c r="BE146" s="10">
        <f>IF('Batt IN'!$E$11="Taxable",$S146*'Batt IN'!$G$15*'Batt IN'!$E$28*'Batt IN'!$E$14/1000,0)</f>
        <v>0</v>
      </c>
      <c r="BF146" s="10">
        <f>IF('Batt IN'!$E$11="Taxable",'Batt IN'!$E$21*'Batt IN'!$G$21/12,0)</f>
        <v>0</v>
      </c>
      <c r="BG146" s="10">
        <f>IF('Batt IN'!$E$11="Taxable",'Batt IN'!$E$22*'Batt IN'!$G$22/12,0)</f>
        <v>0</v>
      </c>
      <c r="BK146" s="10">
        <f>IF('Batt IN'!$N$18="Yes",-BattLoan!H174,-BattLoan!L174)</f>
        <v>0</v>
      </c>
      <c r="BL146" s="10">
        <f>IF('Batt IN'!$N$18="Yes",-BattLoan!F174,0)</f>
        <v>0</v>
      </c>
      <c r="BM146" s="10">
        <f>IF(AND('Batt IN'!$D$44="YES",$C146&lt;='Batt IN'!$E$44*12),0,-'Batt IN'!$E$28*'Batt IN'!$E$42/12)</f>
        <v>-83.333333333333329</v>
      </c>
      <c r="BN146" s="10">
        <f>IF(AND('Batt IN'!$D$46="YES",$C146&lt;='Batt IN'!$E$46*12),0,-'Batt IN'!$E$28*'Batt IN'!$E$45/12)</f>
        <v>-166.66666666666666</v>
      </c>
      <c r="BO146" s="2">
        <f>IF(AND('Batt IN'!$D$41="YES",BattCalcs!C146=ROUNDUP('Batt IN'!$H$41*12,)),-'Batt IN'!$E$41*'Batt IN'!$E$28,0)</f>
        <v>0</v>
      </c>
      <c r="BP146" s="2">
        <f>IF(AND('Batt IN'!$D$53="Yes",$AL$1&gt;=1),0,IF($C146='Batt IN'!$H$54*12,-'Batt IN'!$F$54,0))</f>
        <v>0</v>
      </c>
      <c r="BQ146" s="2">
        <f>IF(AND('Batt IN'!$D$53="Yes",$AL$1&gt;=2),0,IF($C146='Batt IN'!$H$55*12,-'Batt IN'!$F$55,0))</f>
        <v>0</v>
      </c>
      <c r="BR146" s="2">
        <f>IF(AND('Batt IN'!$D$53="Yes",$AL$1&gt;=3),0,IF($C146='Batt IN'!$H$56*12,-'Batt IN'!$F$56,0))</f>
        <v>0</v>
      </c>
      <c r="BS146" s="2">
        <f>IF(AND('Batt IN'!$D$53="Yes",$AL$1&gt;=4),0,IF($C146='Batt IN'!$H$57*12,-'Batt IN'!$F$57,0))</f>
        <v>0</v>
      </c>
      <c r="BT146" s="2">
        <f>IF(AND('Batt IN'!$D$53="Yes",$AL$1&gt;=5),0,IF($C146='Batt IN'!$H$58*12,-'Batt IN'!$F$58,0))</f>
        <v>0</v>
      </c>
      <c r="BU146" s="2">
        <f>-AH146*PVCalcs!F146</f>
        <v>-366.03497660793875</v>
      </c>
      <c r="BV146" s="2">
        <f>-'Batt IN'!$E$47</f>
        <v>-150</v>
      </c>
      <c r="BW146" s="2">
        <f>-'Batt IN'!$E$49</f>
        <v>-2250</v>
      </c>
      <c r="BX146" s="2">
        <f>IF('Batt IN'!$H$50="No",-(BC146*'Batt IN'!$E$50),-(BC146+BE146)*'Batt IN'!$E$50)</f>
        <v>0</v>
      </c>
      <c r="BY146" s="2">
        <f>IF(C146='Batt IN'!$H$43*12,-'Batt IN'!$E$43,0)</f>
        <v>0</v>
      </c>
      <c r="BZ146" s="38"/>
      <c r="CA146" s="10">
        <f t="shared" si="34"/>
        <v>13422.323408333334</v>
      </c>
      <c r="CB146" s="2">
        <f t="shared" si="38"/>
        <v>-3016.0349766079389</v>
      </c>
      <c r="CC146" s="45">
        <f t="shared" si="39"/>
        <v>10406.288431725396</v>
      </c>
      <c r="CD146" s="43"/>
      <c r="CE146" s="2">
        <f t="shared" si="35"/>
        <v>0</v>
      </c>
      <c r="CF146" s="2">
        <f t="shared" si="40"/>
        <v>-3016.0349766079389</v>
      </c>
      <c r="CG146" s="2"/>
      <c r="CH146" s="2">
        <f t="shared" si="41"/>
        <v>-3016.0349766079389</v>
      </c>
      <c r="CI146" s="45">
        <f>-CH146*'Batt IN'!$E$7</f>
        <v>633.3673450876671</v>
      </c>
      <c r="CJ146" s="48"/>
      <c r="CK146" s="45">
        <f>IF('Batt IN'!$F$4="PV Only",0,IF(C146&gt;'Batt IN'!$H$43*12,0,CC146+CI146))</f>
        <v>0</v>
      </c>
      <c r="CM146" s="10">
        <f t="shared" si="42"/>
        <v>0</v>
      </c>
      <c r="CN146" s="2">
        <f>CK146/(1+('Batt IN'!$G$8))^(C146)</f>
        <v>0</v>
      </c>
      <c r="CO146" s="2">
        <f>IF(C146&lt;='Batt IN'!$O$30*12,CN146+CO145,NA())</f>
        <v>0</v>
      </c>
      <c r="CQ146" s="2">
        <f>CK146/((1+('Batt IN'!$E$8/12))^BattCalcs!C146)</f>
        <v>0</v>
      </c>
      <c r="CS146" s="10">
        <f t="shared" si="43"/>
        <v>-3016.0349766079389</v>
      </c>
      <c r="CT146" s="10">
        <f t="shared" si="44"/>
        <v>0</v>
      </c>
      <c r="CU146" s="10">
        <f t="shared" si="45"/>
        <v>-3016.0349766079389</v>
      </c>
      <c r="CV146" s="10">
        <f t="shared" si="46"/>
        <v>-3016.0349766079389</v>
      </c>
      <c r="CW146" s="2">
        <f t="shared" si="47"/>
        <v>0</v>
      </c>
      <c r="CX146" s="2">
        <f>-(SUM(CV146:CW146)*'PV IN'!$E$8)</f>
        <v>633.3673450876671</v>
      </c>
      <c r="CY146" s="2">
        <f t="shared" si="48"/>
        <v>-2382.6676315202717</v>
      </c>
      <c r="CZ146" s="2">
        <f>IF(C146&lt;='Batt IN'!$H$43*12,CY146/(1+('PV IN'!$G$9))^(C146),0)</f>
        <v>-1337.5912711487429</v>
      </c>
      <c r="DA146" s="33">
        <f>IF(C146&lt;='Batt IN'!$H$43*12,AE146,0)</f>
        <v>30366.783333333333</v>
      </c>
    </row>
    <row r="147" spans="1:105" x14ac:dyDescent="0.25">
      <c r="A147">
        <f>IF(C147&lt;='Batt IN'!$H$43*12,C147,"")</f>
        <v>143</v>
      </c>
      <c r="C147">
        <v>143</v>
      </c>
      <c r="D147" s="21">
        <v>730</v>
      </c>
      <c r="E147" s="1">
        <f>1-'Batt IN'!$E$31</f>
        <v>2.0000000000000018E-2</v>
      </c>
      <c r="F147" s="12">
        <f>('Batt IN'!$E$33*365)/8760</f>
        <v>0</v>
      </c>
      <c r="G147" s="22">
        <f>'Batt IN'!$E$32/8760</f>
        <v>5.7077625570776253E-3</v>
      </c>
      <c r="H147" s="22">
        <f>'Batt IN'!$E$13/8760</f>
        <v>5.5936073059360729E-3</v>
      </c>
      <c r="I147" s="23">
        <f>IF(C147&lt;='Batt IN'!$G$14*12,'Batt IN'!$E$15/8760*'Batt IN'!$G$15,0)</f>
        <v>0</v>
      </c>
      <c r="J147" s="12">
        <f>Z147/'Batt IN'!$E$27/730</f>
        <v>2.4999999999999996E-3</v>
      </c>
      <c r="K147" s="23">
        <f>AA147/'Batt IN'!$E$27/730</f>
        <v>1.6027397260273972E-3</v>
      </c>
      <c r="L147" s="23">
        <f>AB147/'Batt IN'!$E$27/730</f>
        <v>2.0547945205479451E-4</v>
      </c>
      <c r="M147" s="23">
        <f>AC147/'Batt IN'!$E$27/730</f>
        <v>4.7945205479452057E-3</v>
      </c>
      <c r="N147" s="23">
        <f>AD147/'Batt IN'!$E$27/730</f>
        <v>3.4246575342465752E-3</v>
      </c>
      <c r="O147" s="12">
        <f t="shared" si="36"/>
        <v>4.3828767123287697E-2</v>
      </c>
      <c r="P147" s="21">
        <f t="shared" si="37"/>
        <v>698.005</v>
      </c>
      <c r="Q147" s="2">
        <f>IF('Batt IN'!$E$27*'Batt IN'!$E$24&lt;='Batt IN'!$E$28,(('Batt IN'!$E$23*'Batt IN'!$E$27*'Batt IN'!$E$24)/1000)*P147,(('Batt IN'!$E$23*'Batt IN'!$E$28*'Batt IN'!$E$24)/1000)*P147)</f>
        <v>11168.08</v>
      </c>
      <c r="R147" s="2"/>
      <c r="S147" s="77">
        <f>IF(C147&lt;='Batt IN'!$G$14*12,'Batt IN'!$E$15/12,0)</f>
        <v>0</v>
      </c>
      <c r="T147" s="77"/>
      <c r="U147" s="80">
        <f>'Batt IN'!$E$28*('Batt IN'!$G$24/24)*730*(1-O147)</f>
        <v>81433.916666666657</v>
      </c>
      <c r="V147" s="78">
        <f>U147*'Batt IN'!$F$30</f>
        <v>16286.783333333333</v>
      </c>
      <c r="W147" s="78">
        <f>'Batt IN'!$E$28*'Batt IN'!$G$32*('Batt IN'!$E$32/12)*(1+'Batt IN'!$F$30)</f>
        <v>1750.0000000000002</v>
      </c>
      <c r="X147" s="78">
        <f>'Batt IN'!$E$28*'Batt IN'!$G$13*('Batt IN'!$E$13/12)*(1+'Batt IN'!$F$30)</f>
        <v>3184.9999999999995</v>
      </c>
      <c r="Y147" s="33">
        <f>S147*'Batt IN'!$G$15*'Batt IN'!$E$28*(1+'Batt IN'!$F$30)</f>
        <v>0</v>
      </c>
      <c r="Z147" s="33">
        <f>'Batt IN'!$G$16*365/12*(1+'Batt IN'!$F$30)</f>
        <v>1824.9999999999998</v>
      </c>
      <c r="AA147" s="33">
        <f>'Batt IN'!$G$17*'Batt IN'!$E$18*'Batt IN'!$G$18/12*(1+'Batt IN'!$F$30)</f>
        <v>1170</v>
      </c>
      <c r="AB147" s="33">
        <f>'Batt IN'!$G$19*'Batt IN'!$E$20*'Batt IN'!$G$20/12*(1+'Batt IN'!$F$30)</f>
        <v>150</v>
      </c>
      <c r="AC147" s="33">
        <f>'Batt IN'!$G$21*(1+'Batt IN'!$F$30)/12</f>
        <v>3500</v>
      </c>
      <c r="AD147" s="33">
        <f>'Batt IN'!$G$22*(1+'Batt IN'!$F$30)/12</f>
        <v>2500</v>
      </c>
      <c r="AE147" s="33">
        <f t="shared" si="49"/>
        <v>30366.783333333333</v>
      </c>
      <c r="AF147" s="33">
        <f>IF('PV IN'!$F$4="Battery Only",0,AE147*'Batt IN'!$E$29)</f>
        <v>25811.765833333331</v>
      </c>
      <c r="AG147" s="33">
        <f>PVCalcs!L147</f>
        <v>25811.765833333331</v>
      </c>
      <c r="AH147" s="33">
        <f t="shared" si="50"/>
        <v>4555.0175000000017</v>
      </c>
      <c r="AI147" s="33"/>
      <c r="AJ147" s="2">
        <f>IF(AND('Batt IN'!$D$53="Yes",$AL$1&gt;=1),IF($C147='Batt IN'!$H$54*12,-'Batt IN'!$F$54,0),0)</f>
        <v>0</v>
      </c>
      <c r="AK147" s="2">
        <f>IF(AND('Batt IN'!$D$53="Yes",$AL$1&gt;=2),IF($C147='Batt IN'!$H$55*12,-'Batt IN'!$F$55,0),0)</f>
        <v>0</v>
      </c>
      <c r="AL147" s="2">
        <f>IF(AND('Batt IN'!$D$53="Yes",$AL$1&gt;=3),IF($C147='Batt IN'!$H$56*12,-'Batt IN'!$F$56,0),0)</f>
        <v>0</v>
      </c>
      <c r="AM147" s="2">
        <f>IF(AND('Batt IN'!$D$53="Yes",$AL$1&gt;=4),IF($C147='Batt IN'!$H$57*12,-'Batt IN'!$F$57,0),0)</f>
        <v>0</v>
      </c>
      <c r="AN147" s="2">
        <f>IF(AND('Batt IN'!$D$53="Yes",$AL$1&gt;=5),IF($C147='Batt IN'!$H$58*12,-'Batt IN'!$F$58,0),0)</f>
        <v>0</v>
      </c>
      <c r="AO147" s="10">
        <f>IF(AND('Batt IN'!$D$44="YES",$C147&lt;='Batt IN'!$E$44*12),-'Batt IN'!$E$28*'Batt IN'!$E$42/12,0)</f>
        <v>0</v>
      </c>
      <c r="AP147" s="10">
        <f>IF(AND('Batt IN'!$D$46="YES",$C147&lt;='Batt IN'!$E$46*12),-'Batt IN'!$E$28*'Batt IN'!$E$45/12,0)</f>
        <v>0</v>
      </c>
      <c r="AR147" s="10">
        <f>BattLoan!M174</f>
        <v>0</v>
      </c>
      <c r="AS147" s="10">
        <f>'Batt IN'!$G$16*365/12*'Batt IN'!$E$16</f>
        <v>76.041666666666671</v>
      </c>
      <c r="AT147" s="10">
        <f>IF(AND('Batt IN'!$E$18&gt;0,'Batt IN'!$G$18&gt;0),'Batt IN'!$E$17*'Batt IN'!$G$17,0)</f>
        <v>119.44619999999999</v>
      </c>
      <c r="AU147" s="10">
        <f>IF(AND('Batt IN'!$E$20&gt;0,'Batt IN'!$G$20&gt;0),'Batt IN'!$E$19*'Batt IN'!$G$19,0)</f>
        <v>231</v>
      </c>
      <c r="AV147" s="10"/>
      <c r="AW147" s="10"/>
      <c r="AX147" s="10">
        <f>IF('Batt IN'!$E$11="Non-Taxable",Q147,0)</f>
        <v>11168.08</v>
      </c>
      <c r="AY147" s="10">
        <f>IF('Batt IN'!$E$11="Non-Taxable",'Batt IN'!$E$28/1000*'Batt IN'!$G$13*('Batt IN'!$E$13/12)*'Batt IN'!$E$12,0)</f>
        <v>244.42220833333334</v>
      </c>
      <c r="AZ147" s="10">
        <f>IF('Batt IN'!$E$11="Non-Taxable",$S147*'Batt IN'!$G$15*'Batt IN'!$E$28*'Batt IN'!$E$14/1000,0)</f>
        <v>0</v>
      </c>
      <c r="BA147" s="10">
        <f>IF('Batt IN'!$E$11="Non-Taxable",'Batt IN'!$E$21*'Batt IN'!$G$21/12,0)</f>
        <v>437.5</v>
      </c>
      <c r="BB147" s="10">
        <f>IF('Batt IN'!$E$11="Non-Taxable",'Batt IN'!$E$22*'Batt IN'!$G$22/12,0)</f>
        <v>1145.8333333333335</v>
      </c>
      <c r="BC147" s="10">
        <f>IF('Batt IN'!$E$11="Taxable",Q147,0)</f>
        <v>0</v>
      </c>
      <c r="BD147" s="10">
        <f>IF('Batt IN'!$E$11="Taxable",'Batt IN'!$E$28/1000*'Batt IN'!$G$13*('Batt IN'!$E$13/12)*'Batt IN'!$E$12,0)</f>
        <v>0</v>
      </c>
      <c r="BE147" s="10">
        <f>IF('Batt IN'!$E$11="Taxable",$S147*'Batt IN'!$G$15*'Batt IN'!$E$28*'Batt IN'!$E$14/1000,0)</f>
        <v>0</v>
      </c>
      <c r="BF147" s="10">
        <f>IF('Batt IN'!$E$11="Taxable",'Batt IN'!$E$21*'Batt IN'!$G$21/12,0)</f>
        <v>0</v>
      </c>
      <c r="BG147" s="10">
        <f>IF('Batt IN'!$E$11="Taxable",'Batt IN'!$E$22*'Batt IN'!$G$22/12,0)</f>
        <v>0</v>
      </c>
      <c r="BK147" s="10">
        <f>IF('Batt IN'!$N$18="Yes",-BattLoan!H175,-BattLoan!L175)</f>
        <v>0</v>
      </c>
      <c r="BL147" s="10">
        <f>IF('Batt IN'!$N$18="Yes",-BattLoan!F175,0)</f>
        <v>0</v>
      </c>
      <c r="BM147" s="10">
        <f>IF(AND('Batt IN'!$D$44="YES",$C147&lt;='Batt IN'!$E$44*12),0,-'Batt IN'!$E$28*'Batt IN'!$E$42/12)</f>
        <v>-83.333333333333329</v>
      </c>
      <c r="BN147" s="10">
        <f>IF(AND('Batt IN'!$D$46="YES",$C147&lt;='Batt IN'!$E$46*12),0,-'Batt IN'!$E$28*'Batt IN'!$E$45/12)</f>
        <v>-166.66666666666666</v>
      </c>
      <c r="BO147" s="2">
        <f>IF(AND('Batt IN'!$D$41="YES",BattCalcs!C147=ROUNDUP('Batt IN'!$H$41*12,)),-'Batt IN'!$E$41*'Batt IN'!$E$28,0)</f>
        <v>0</v>
      </c>
      <c r="BP147" s="2">
        <f>IF(AND('Batt IN'!$D$53="Yes",$AL$1&gt;=1),0,IF($C147='Batt IN'!$H$54*12,-'Batt IN'!$F$54,0))</f>
        <v>0</v>
      </c>
      <c r="BQ147" s="2">
        <f>IF(AND('Batt IN'!$D$53="Yes",$AL$1&gt;=2),0,IF($C147='Batt IN'!$H$55*12,-'Batt IN'!$F$55,0))</f>
        <v>0</v>
      </c>
      <c r="BR147" s="2">
        <f>IF(AND('Batt IN'!$D$53="Yes",$AL$1&gt;=3),0,IF($C147='Batt IN'!$H$56*12,-'Batt IN'!$F$56,0))</f>
        <v>0</v>
      </c>
      <c r="BS147" s="2">
        <f>IF(AND('Batt IN'!$D$53="Yes",$AL$1&gt;=4),0,IF($C147='Batt IN'!$H$57*12,-'Batt IN'!$F$57,0))</f>
        <v>0</v>
      </c>
      <c r="BT147" s="2">
        <f>IF(AND('Batt IN'!$D$53="Yes",$AL$1&gt;=5),0,IF($C147='Batt IN'!$H$58*12,-'Batt IN'!$F$58,0))</f>
        <v>0</v>
      </c>
      <c r="BU147" s="2">
        <f>-AH147*PVCalcs!F147</f>
        <v>-366.03497660793875</v>
      </c>
      <c r="BV147" s="2">
        <f>-'Batt IN'!$E$47</f>
        <v>-150</v>
      </c>
      <c r="BW147" s="2">
        <f>-'Batt IN'!$E$49</f>
        <v>-2250</v>
      </c>
      <c r="BX147" s="2">
        <f>IF('Batt IN'!$H$50="No",-(BC147*'Batt IN'!$E$50),-(BC147+BE147)*'Batt IN'!$E$50)</f>
        <v>0</v>
      </c>
      <c r="BY147" s="2">
        <f>IF(C147='Batt IN'!$H$43*12,-'Batt IN'!$E$43,0)</f>
        <v>0</v>
      </c>
      <c r="BZ147" s="38"/>
      <c r="CA147" s="10">
        <f t="shared" si="34"/>
        <v>13422.323408333334</v>
      </c>
      <c r="CB147" s="2">
        <f t="shared" si="38"/>
        <v>-3016.0349766079389</v>
      </c>
      <c r="CC147" s="45">
        <f t="shared" si="39"/>
        <v>10406.288431725396</v>
      </c>
      <c r="CD147" s="43"/>
      <c r="CE147" s="2">
        <f t="shared" si="35"/>
        <v>0</v>
      </c>
      <c r="CF147" s="2">
        <f t="shared" si="40"/>
        <v>-3016.0349766079389</v>
      </c>
      <c r="CG147" s="2"/>
      <c r="CH147" s="2">
        <f t="shared" si="41"/>
        <v>-3016.0349766079389</v>
      </c>
      <c r="CI147" s="45">
        <f>-CH147*'Batt IN'!$E$7</f>
        <v>633.3673450876671</v>
      </c>
      <c r="CJ147" s="48"/>
      <c r="CK147" s="45">
        <f>IF('Batt IN'!$F$4="PV Only",0,IF(C147&gt;'Batt IN'!$H$43*12,0,CC147+CI147))</f>
        <v>0</v>
      </c>
      <c r="CM147" s="10">
        <f t="shared" si="42"/>
        <v>0</v>
      </c>
      <c r="CN147" s="2">
        <f>CK147/(1+('Batt IN'!$G$8))^(C147)</f>
        <v>0</v>
      </c>
      <c r="CO147" s="2">
        <f>IF(C147&lt;='Batt IN'!$O$30*12,CN147+CO146,NA())</f>
        <v>0</v>
      </c>
      <c r="CQ147" s="2">
        <f>CK147/((1+('Batt IN'!$E$8/12))^BattCalcs!C147)</f>
        <v>0</v>
      </c>
      <c r="CS147" s="10">
        <f t="shared" si="43"/>
        <v>-3016.0349766079389</v>
      </c>
      <c r="CT147" s="10">
        <f t="shared" si="44"/>
        <v>0</v>
      </c>
      <c r="CU147" s="10">
        <f t="shared" si="45"/>
        <v>-3016.0349766079389</v>
      </c>
      <c r="CV147" s="10">
        <f t="shared" si="46"/>
        <v>-3016.0349766079389</v>
      </c>
      <c r="CW147" s="2">
        <f t="shared" si="47"/>
        <v>0</v>
      </c>
      <c r="CX147" s="2">
        <f>-(SUM(CV147:CW147)*'PV IN'!$E$8)</f>
        <v>633.3673450876671</v>
      </c>
      <c r="CY147" s="2">
        <f t="shared" si="48"/>
        <v>-2382.6676315202717</v>
      </c>
      <c r="CZ147" s="2">
        <f>IF(C147&lt;='Batt IN'!$H$43*12,CY147/(1+('PV IN'!$G$9))^(C147),0)</f>
        <v>-1332.1638706396527</v>
      </c>
      <c r="DA147" s="33">
        <f>IF(C147&lt;='Batt IN'!$H$43*12,AE147,0)</f>
        <v>30366.783333333333</v>
      </c>
    </row>
    <row r="148" spans="1:105" x14ac:dyDescent="0.25">
      <c r="A148">
        <f>IF(C148&lt;='Batt IN'!$H$43*12,C148,"")</f>
        <v>144</v>
      </c>
      <c r="B148">
        <v>12</v>
      </c>
      <c r="C148">
        <v>144</v>
      </c>
      <c r="D148" s="21">
        <v>730</v>
      </c>
      <c r="E148" s="1">
        <f>1-'Batt IN'!$E$31</f>
        <v>2.0000000000000018E-2</v>
      </c>
      <c r="F148" s="12">
        <f>('Batt IN'!$E$33*365)/8760</f>
        <v>0</v>
      </c>
      <c r="G148" s="22">
        <f>'Batt IN'!$E$32/8760</f>
        <v>5.7077625570776253E-3</v>
      </c>
      <c r="H148" s="22">
        <f>'Batt IN'!$E$13/8760</f>
        <v>5.5936073059360729E-3</v>
      </c>
      <c r="I148" s="23">
        <f>IF(C148&lt;='Batt IN'!$G$14*12,'Batt IN'!$E$15/8760*'Batt IN'!$G$15,0)</f>
        <v>0</v>
      </c>
      <c r="J148" s="12">
        <f>Z148/'Batt IN'!$E$27/730</f>
        <v>2.4999999999999996E-3</v>
      </c>
      <c r="K148" s="23">
        <f>AA148/'Batt IN'!$E$27/730</f>
        <v>1.6027397260273972E-3</v>
      </c>
      <c r="L148" s="23">
        <f>AB148/'Batt IN'!$E$27/730</f>
        <v>2.0547945205479451E-4</v>
      </c>
      <c r="M148" s="23">
        <f>AC148/'Batt IN'!$E$27/730</f>
        <v>4.7945205479452057E-3</v>
      </c>
      <c r="N148" s="23">
        <f>AD148/'Batt IN'!$E$27/730</f>
        <v>3.4246575342465752E-3</v>
      </c>
      <c r="O148" s="12">
        <f t="shared" si="36"/>
        <v>4.3828767123287697E-2</v>
      </c>
      <c r="P148" s="21">
        <f t="shared" si="37"/>
        <v>698.005</v>
      </c>
      <c r="Q148" s="2">
        <f>IF('Batt IN'!$E$27*'Batt IN'!$E$24&lt;='Batt IN'!$E$28,(('Batt IN'!$E$23*'Batt IN'!$E$27*'Batt IN'!$E$24)/1000)*P148,(('Batt IN'!$E$23*'Batt IN'!$E$28*'Batt IN'!$E$24)/1000)*P148)</f>
        <v>11168.08</v>
      </c>
      <c r="R148" s="2"/>
      <c r="S148" s="77">
        <f>IF(C148&lt;='Batt IN'!$G$14*12,'Batt IN'!$E$15/12,0)</f>
        <v>0</v>
      </c>
      <c r="T148" s="77"/>
      <c r="U148" s="80">
        <f>'Batt IN'!$E$28*('Batt IN'!$G$24/24)*730*(1-O148)</f>
        <v>81433.916666666657</v>
      </c>
      <c r="V148" s="78">
        <f>U148*'Batt IN'!$F$30</f>
        <v>16286.783333333333</v>
      </c>
      <c r="W148" s="78">
        <f>'Batt IN'!$E$28*'Batt IN'!$G$32*('Batt IN'!$E$32/12)*(1+'Batt IN'!$F$30)</f>
        <v>1750.0000000000002</v>
      </c>
      <c r="X148" s="78">
        <f>'Batt IN'!$E$28*'Batt IN'!$G$13*('Batt IN'!$E$13/12)*(1+'Batt IN'!$F$30)</f>
        <v>3184.9999999999995</v>
      </c>
      <c r="Y148" s="33">
        <f>S148*'Batt IN'!$G$15*'Batt IN'!$E$28*(1+'Batt IN'!$F$30)</f>
        <v>0</v>
      </c>
      <c r="Z148" s="33">
        <f>'Batt IN'!$G$16*365/12*(1+'Batt IN'!$F$30)</f>
        <v>1824.9999999999998</v>
      </c>
      <c r="AA148" s="33">
        <f>'Batt IN'!$G$17*'Batt IN'!$E$18*'Batt IN'!$G$18/12*(1+'Batt IN'!$F$30)</f>
        <v>1170</v>
      </c>
      <c r="AB148" s="33">
        <f>'Batt IN'!$G$19*'Batt IN'!$E$20*'Batt IN'!$G$20/12*(1+'Batt IN'!$F$30)</f>
        <v>150</v>
      </c>
      <c r="AC148" s="33">
        <f>'Batt IN'!$G$21*(1+'Batt IN'!$F$30)/12</f>
        <v>3500</v>
      </c>
      <c r="AD148" s="33">
        <f>'Batt IN'!$G$22*(1+'Batt IN'!$F$30)/12</f>
        <v>2500</v>
      </c>
      <c r="AE148" s="33">
        <f t="shared" si="49"/>
        <v>30366.783333333333</v>
      </c>
      <c r="AF148" s="33">
        <f>IF('PV IN'!$F$4="Battery Only",0,AE148*'Batt IN'!$E$29)</f>
        <v>25811.765833333331</v>
      </c>
      <c r="AG148" s="33">
        <f>PVCalcs!L148</f>
        <v>25811.765833333331</v>
      </c>
      <c r="AH148" s="33">
        <f t="shared" si="50"/>
        <v>4555.0175000000017</v>
      </c>
      <c r="AI148" s="33"/>
      <c r="AJ148" s="2">
        <f>IF(AND('Batt IN'!$D$53="Yes",$AL$1&gt;=1),IF($C148='Batt IN'!$H$54*12,-'Batt IN'!$F$54,0),0)</f>
        <v>0</v>
      </c>
      <c r="AK148" s="2">
        <f>IF(AND('Batt IN'!$D$53="Yes",$AL$1&gt;=2),IF($C148='Batt IN'!$H$55*12,-'Batt IN'!$F$55,0),0)</f>
        <v>0</v>
      </c>
      <c r="AL148" s="2">
        <f>IF(AND('Batt IN'!$D$53="Yes",$AL$1&gt;=3),IF($C148='Batt IN'!$H$56*12,-'Batt IN'!$F$56,0),0)</f>
        <v>0</v>
      </c>
      <c r="AM148" s="2">
        <f>IF(AND('Batt IN'!$D$53="Yes",$AL$1&gt;=4),IF($C148='Batt IN'!$H$57*12,-'Batt IN'!$F$57,0),0)</f>
        <v>0</v>
      </c>
      <c r="AN148" s="2">
        <f>IF(AND('Batt IN'!$D$53="Yes",$AL$1&gt;=5),IF($C148='Batt IN'!$H$58*12,-'Batt IN'!$F$58,0),0)</f>
        <v>0</v>
      </c>
      <c r="AO148" s="10">
        <f>IF(AND('Batt IN'!$D$44="YES",$C148&lt;='Batt IN'!$E$44*12),-'Batt IN'!$E$28*'Batt IN'!$E$42/12,0)</f>
        <v>0</v>
      </c>
      <c r="AP148" s="10">
        <f>IF(AND('Batt IN'!$D$46="YES",$C148&lt;='Batt IN'!$E$46*12),-'Batt IN'!$E$28*'Batt IN'!$E$45/12,0)</f>
        <v>0</v>
      </c>
      <c r="AR148" s="10">
        <f>BattLoan!M175</f>
        <v>0</v>
      </c>
      <c r="AS148" s="10">
        <f>'Batt IN'!$G$16*365/12*'Batt IN'!$E$16</f>
        <v>76.041666666666671</v>
      </c>
      <c r="AT148" s="10">
        <f>IF(AND('Batt IN'!$E$18&gt;0,'Batt IN'!$G$18&gt;0),'Batt IN'!$E$17*'Batt IN'!$G$17,0)</f>
        <v>119.44619999999999</v>
      </c>
      <c r="AU148" s="10">
        <f>IF(AND('Batt IN'!$E$20&gt;0,'Batt IN'!$G$20&gt;0),'Batt IN'!$E$19*'Batt IN'!$G$19,0)</f>
        <v>231</v>
      </c>
      <c r="AV148" s="10"/>
      <c r="AW148" s="10"/>
      <c r="AX148" s="10">
        <f>IF('Batt IN'!$E$11="Non-Taxable",Q148,0)</f>
        <v>11168.08</v>
      </c>
      <c r="AY148" s="10">
        <f>IF('Batt IN'!$E$11="Non-Taxable",'Batt IN'!$E$28/1000*'Batt IN'!$G$13*('Batt IN'!$E$13/12)*'Batt IN'!$E$12,0)</f>
        <v>244.42220833333334</v>
      </c>
      <c r="AZ148" s="10">
        <f>IF('Batt IN'!$E$11="Non-Taxable",$S148*'Batt IN'!$G$15*'Batt IN'!$E$28*'Batt IN'!$E$14/1000,0)</f>
        <v>0</v>
      </c>
      <c r="BA148" s="10">
        <f>IF('Batt IN'!$E$11="Non-Taxable",'Batt IN'!$E$21*'Batt IN'!$G$21/12,0)</f>
        <v>437.5</v>
      </c>
      <c r="BB148" s="10">
        <f>IF('Batt IN'!$E$11="Non-Taxable",'Batt IN'!$E$22*'Batt IN'!$G$22/12,0)</f>
        <v>1145.8333333333335</v>
      </c>
      <c r="BC148" s="10">
        <f>IF('Batt IN'!$E$11="Taxable",Q148,0)</f>
        <v>0</v>
      </c>
      <c r="BD148" s="10">
        <f>IF('Batt IN'!$E$11="Taxable",'Batt IN'!$E$28/1000*'Batt IN'!$G$13*('Batt IN'!$E$13/12)*'Batt IN'!$E$12,0)</f>
        <v>0</v>
      </c>
      <c r="BE148" s="10">
        <f>IF('Batt IN'!$E$11="Taxable",$S148*'Batt IN'!$G$15*'Batt IN'!$E$28*'Batt IN'!$E$14/1000,0)</f>
        <v>0</v>
      </c>
      <c r="BF148" s="10">
        <f>IF('Batt IN'!$E$11="Taxable",'Batt IN'!$E$21*'Batt IN'!$G$21/12,0)</f>
        <v>0</v>
      </c>
      <c r="BG148" s="10">
        <f>IF('Batt IN'!$E$11="Taxable",'Batt IN'!$E$22*'Batt IN'!$G$22/12,0)</f>
        <v>0</v>
      </c>
      <c r="BK148" s="10">
        <f>IF('Batt IN'!$N$18="Yes",-BattLoan!H176,-BattLoan!L176)</f>
        <v>0</v>
      </c>
      <c r="BL148" s="10">
        <f>IF('Batt IN'!$N$18="Yes",-BattLoan!F176,0)</f>
        <v>0</v>
      </c>
      <c r="BM148" s="10">
        <f>IF(AND('Batt IN'!$D$44="YES",$C148&lt;='Batt IN'!$E$44*12),0,-'Batt IN'!$E$28*'Batt IN'!$E$42/12)</f>
        <v>-83.333333333333329</v>
      </c>
      <c r="BN148" s="10">
        <f>IF(AND('Batt IN'!$D$46="YES",$C148&lt;='Batt IN'!$E$46*12),0,-'Batt IN'!$E$28*'Batt IN'!$E$45/12)</f>
        <v>-166.66666666666666</v>
      </c>
      <c r="BO148" s="2">
        <f>IF(AND('Batt IN'!$D$41="YES",BattCalcs!C148=ROUNDUP('Batt IN'!$H$41*12,)),-'Batt IN'!$E$41*'Batt IN'!$E$28,0)</f>
        <v>0</v>
      </c>
      <c r="BP148" s="2">
        <f>IF(AND('Batt IN'!$D$53="Yes",$AL$1&gt;=1),0,IF($C148='Batt IN'!$H$54*12,-'Batt IN'!$F$54,0))</f>
        <v>0</v>
      </c>
      <c r="BQ148" s="2">
        <f>IF(AND('Batt IN'!$D$53="Yes",$AL$1&gt;=2),0,IF($C148='Batt IN'!$H$55*12,-'Batt IN'!$F$55,0))</f>
        <v>0</v>
      </c>
      <c r="BR148" s="2">
        <f>IF(AND('Batt IN'!$D$53="Yes",$AL$1&gt;=3),0,IF($C148='Batt IN'!$H$56*12,-'Batt IN'!$F$56,0))</f>
        <v>0</v>
      </c>
      <c r="BS148" s="2">
        <f>IF(AND('Batt IN'!$D$53="Yes",$AL$1&gt;=4),0,IF($C148='Batt IN'!$H$57*12,-'Batt IN'!$F$57,0))</f>
        <v>0</v>
      </c>
      <c r="BT148" s="2">
        <f>IF(AND('Batt IN'!$D$53="Yes",$AL$1&gt;=5),0,IF($C148='Batt IN'!$H$58*12,-'Batt IN'!$F$58,0))</f>
        <v>0</v>
      </c>
      <c r="BU148" s="2">
        <f>-AH148*PVCalcs!F148</f>
        <v>-366.03497660793875</v>
      </c>
      <c r="BV148" s="2">
        <f>-'Batt IN'!$E$47</f>
        <v>-150</v>
      </c>
      <c r="BW148" s="2">
        <f>-'Batt IN'!$E$49</f>
        <v>-2250</v>
      </c>
      <c r="BX148" s="2">
        <f>IF('Batt IN'!$H$50="No",-(BC148*'Batt IN'!$E$50),-(BC148+BE148)*'Batt IN'!$E$50)</f>
        <v>0</v>
      </c>
      <c r="BY148" s="2">
        <f>IF(C148='Batt IN'!$H$43*12,-'Batt IN'!$E$43,0)</f>
        <v>0</v>
      </c>
      <c r="BZ148" s="38"/>
      <c r="CA148" s="10">
        <f t="shared" si="34"/>
        <v>13422.323408333334</v>
      </c>
      <c r="CB148" s="2">
        <f t="shared" si="38"/>
        <v>-3016.0349766079389</v>
      </c>
      <c r="CC148" s="45">
        <f t="shared" si="39"/>
        <v>10406.288431725396</v>
      </c>
      <c r="CD148" s="43"/>
      <c r="CE148" s="2">
        <f t="shared" si="35"/>
        <v>0</v>
      </c>
      <c r="CF148" s="2">
        <f t="shared" si="40"/>
        <v>-3016.0349766079389</v>
      </c>
      <c r="CG148" s="2"/>
      <c r="CH148" s="2">
        <f t="shared" si="41"/>
        <v>-3016.0349766079389</v>
      </c>
      <c r="CI148" s="45">
        <f>-CH148*'Batt IN'!$E$7</f>
        <v>633.3673450876671</v>
      </c>
      <c r="CJ148" s="48"/>
      <c r="CK148" s="45">
        <f>IF('Batt IN'!$F$4="PV Only",0,IF(C148&gt;'Batt IN'!$H$43*12,0,CC148+CI148))</f>
        <v>0</v>
      </c>
      <c r="CM148" s="10">
        <f t="shared" si="42"/>
        <v>0</v>
      </c>
      <c r="CN148" s="2">
        <f>CK148/(1+('Batt IN'!$G$8))^(C148)</f>
        <v>0</v>
      </c>
      <c r="CO148" s="2">
        <f>IF(C148&lt;='Batt IN'!$O$30*12,CN148+CO147,NA())</f>
        <v>0</v>
      </c>
      <c r="CQ148" s="2">
        <f>CK148/((1+('Batt IN'!$E$8/12))^BattCalcs!C148)</f>
        <v>0</v>
      </c>
      <c r="CS148" s="10">
        <f t="shared" si="43"/>
        <v>-3016.0349766079389</v>
      </c>
      <c r="CT148" s="10">
        <f t="shared" si="44"/>
        <v>0</v>
      </c>
      <c r="CU148" s="10">
        <f t="shared" si="45"/>
        <v>-3016.0349766079389</v>
      </c>
      <c r="CV148" s="10">
        <f t="shared" si="46"/>
        <v>-3016.0349766079389</v>
      </c>
      <c r="CW148" s="2">
        <f t="shared" si="47"/>
        <v>0</v>
      </c>
      <c r="CX148" s="2">
        <f>-(SUM(CV148:CW148)*'PV IN'!$E$8)</f>
        <v>633.3673450876671</v>
      </c>
      <c r="CY148" s="2">
        <f t="shared" si="48"/>
        <v>-2382.6676315202717</v>
      </c>
      <c r="CZ148" s="2">
        <f>IF(C148&lt;='Batt IN'!$H$43*12,CY148/(1+('PV IN'!$G$9))^(C148),0)</f>
        <v>-1326.7584923109712</v>
      </c>
      <c r="DA148" s="33">
        <f>IF(C148&lt;='Batt IN'!$H$43*12,AE148,0)</f>
        <v>30366.783333333333</v>
      </c>
    </row>
    <row r="149" spans="1:105" x14ac:dyDescent="0.25">
      <c r="A149">
        <f>IF(C149&lt;='Batt IN'!$H$43*12,C149,"")</f>
        <v>145</v>
      </c>
      <c r="C149">
        <v>145</v>
      </c>
      <c r="D149" s="21">
        <v>730</v>
      </c>
      <c r="E149" s="1">
        <f>1-'Batt IN'!$E$31</f>
        <v>2.0000000000000018E-2</v>
      </c>
      <c r="F149" s="12">
        <f>('Batt IN'!$E$33*365)/8760</f>
        <v>0</v>
      </c>
      <c r="G149" s="22">
        <f>'Batt IN'!$E$32/8760</f>
        <v>5.7077625570776253E-3</v>
      </c>
      <c r="H149" s="22">
        <f>'Batt IN'!$E$13/8760</f>
        <v>5.5936073059360729E-3</v>
      </c>
      <c r="I149" s="23">
        <f>IF(C149&lt;='Batt IN'!$G$14*12,'Batt IN'!$E$15/8760*'Batt IN'!$G$15,0)</f>
        <v>0</v>
      </c>
      <c r="J149" s="12">
        <f>Z149/'Batt IN'!$E$27/730</f>
        <v>2.4999999999999996E-3</v>
      </c>
      <c r="K149" s="23">
        <f>AA149/'Batt IN'!$E$27/730</f>
        <v>1.6027397260273972E-3</v>
      </c>
      <c r="L149" s="23">
        <f>AB149/'Batt IN'!$E$27/730</f>
        <v>2.0547945205479451E-4</v>
      </c>
      <c r="M149" s="23">
        <f>AC149/'Batt IN'!$E$27/730</f>
        <v>4.7945205479452057E-3</v>
      </c>
      <c r="N149" s="23">
        <f>AD149/'Batt IN'!$E$27/730</f>
        <v>3.4246575342465752E-3</v>
      </c>
      <c r="O149" s="12">
        <f t="shared" si="36"/>
        <v>4.3828767123287697E-2</v>
      </c>
      <c r="P149" s="21">
        <f t="shared" si="37"/>
        <v>698.005</v>
      </c>
      <c r="Q149" s="2">
        <f>IF('Batt IN'!$E$27*'Batt IN'!$E$24&lt;='Batt IN'!$E$28,(('Batt IN'!$E$23*'Batt IN'!$E$27*'Batt IN'!$E$24)/1000)*P149,(('Batt IN'!$E$23*'Batt IN'!$E$28*'Batt IN'!$E$24)/1000)*P149)</f>
        <v>11168.08</v>
      </c>
      <c r="R149" s="2"/>
      <c r="S149" s="77">
        <f>IF(C149&lt;='Batt IN'!$G$14*12,'Batt IN'!$E$15/12,0)</f>
        <v>0</v>
      </c>
      <c r="T149" s="77"/>
      <c r="U149" s="80">
        <f>'Batt IN'!$E$28*('Batt IN'!$G$24/24)*730*(1-O149)</f>
        <v>81433.916666666657</v>
      </c>
      <c r="V149" s="78">
        <f>U149*'Batt IN'!$F$30</f>
        <v>16286.783333333333</v>
      </c>
      <c r="W149" s="78">
        <f>'Batt IN'!$E$28*'Batt IN'!$G$32*('Batt IN'!$E$32/12)*(1+'Batt IN'!$F$30)</f>
        <v>1750.0000000000002</v>
      </c>
      <c r="X149" s="78">
        <f>'Batt IN'!$E$28*'Batt IN'!$G$13*('Batt IN'!$E$13/12)*(1+'Batt IN'!$F$30)</f>
        <v>3184.9999999999995</v>
      </c>
      <c r="Y149" s="33">
        <f>S149*'Batt IN'!$G$15*'Batt IN'!$E$28*(1+'Batt IN'!$F$30)</f>
        <v>0</v>
      </c>
      <c r="Z149" s="33">
        <f>'Batt IN'!$G$16*365/12*(1+'Batt IN'!$F$30)</f>
        <v>1824.9999999999998</v>
      </c>
      <c r="AA149" s="33">
        <f>'Batt IN'!$G$17*'Batt IN'!$E$18*'Batt IN'!$G$18/12*(1+'Batt IN'!$F$30)</f>
        <v>1170</v>
      </c>
      <c r="AB149" s="33">
        <f>'Batt IN'!$G$19*'Batt IN'!$E$20*'Batt IN'!$G$20/12*(1+'Batt IN'!$F$30)</f>
        <v>150</v>
      </c>
      <c r="AC149" s="33">
        <f>'Batt IN'!$G$21*(1+'Batt IN'!$F$30)/12</f>
        <v>3500</v>
      </c>
      <c r="AD149" s="33">
        <f>'Batt IN'!$G$22*(1+'Batt IN'!$F$30)/12</f>
        <v>2500</v>
      </c>
      <c r="AE149" s="33">
        <f t="shared" si="49"/>
        <v>30366.783333333333</v>
      </c>
      <c r="AF149" s="33">
        <f>IF('PV IN'!$F$4="Battery Only",0,AE149*'Batt IN'!$E$29)</f>
        <v>25811.765833333331</v>
      </c>
      <c r="AG149" s="33">
        <f>PVCalcs!L149</f>
        <v>25811.765833333331</v>
      </c>
      <c r="AH149" s="33">
        <f t="shared" si="50"/>
        <v>4555.0175000000017</v>
      </c>
      <c r="AI149" s="33"/>
      <c r="AJ149" s="2">
        <f>IF(AND('Batt IN'!$D$53="Yes",$AL$1&gt;=1),IF($C149='Batt IN'!$H$54*12,-'Batt IN'!$F$54,0),0)</f>
        <v>0</v>
      </c>
      <c r="AK149" s="2">
        <f>IF(AND('Batt IN'!$D$53="Yes",$AL$1&gt;=2),IF($C149='Batt IN'!$H$55*12,-'Batt IN'!$F$55,0),0)</f>
        <v>0</v>
      </c>
      <c r="AL149" s="2">
        <f>IF(AND('Batt IN'!$D$53="Yes",$AL$1&gt;=3),IF($C149='Batt IN'!$H$56*12,-'Batt IN'!$F$56,0),0)</f>
        <v>0</v>
      </c>
      <c r="AM149" s="2">
        <f>IF(AND('Batt IN'!$D$53="Yes",$AL$1&gt;=4),IF($C149='Batt IN'!$H$57*12,-'Batt IN'!$F$57,0),0)</f>
        <v>0</v>
      </c>
      <c r="AN149" s="2">
        <f>IF(AND('Batt IN'!$D$53="Yes",$AL$1&gt;=5),IF($C149='Batt IN'!$H$58*12,-'Batt IN'!$F$58,0),0)</f>
        <v>0</v>
      </c>
      <c r="AO149" s="10">
        <f>IF(AND('Batt IN'!$D$44="YES",$C149&lt;='Batt IN'!$E$44*12),-'Batt IN'!$E$28*'Batt IN'!$E$42/12,0)</f>
        <v>0</v>
      </c>
      <c r="AP149" s="10">
        <f>IF(AND('Batt IN'!$D$46="YES",$C149&lt;='Batt IN'!$E$46*12),-'Batt IN'!$E$28*'Batt IN'!$E$45/12,0)</f>
        <v>0</v>
      </c>
      <c r="AR149" s="10">
        <f>BattLoan!M176</f>
        <v>0</v>
      </c>
      <c r="AS149" s="10">
        <f>'Batt IN'!$G$16*365/12*'Batt IN'!$E$16</f>
        <v>76.041666666666671</v>
      </c>
      <c r="AT149" s="10">
        <f>IF(AND('Batt IN'!$E$18&gt;0,'Batt IN'!$G$18&gt;0),'Batt IN'!$E$17*'Batt IN'!$G$17,0)</f>
        <v>119.44619999999999</v>
      </c>
      <c r="AU149" s="10">
        <f>IF(AND('Batt IN'!$E$20&gt;0,'Batt IN'!$G$20&gt;0),'Batt IN'!$E$19*'Batt IN'!$G$19,0)</f>
        <v>231</v>
      </c>
      <c r="AV149" s="10"/>
      <c r="AW149" s="10"/>
      <c r="AX149" s="10">
        <f>IF('Batt IN'!$E$11="Non-Taxable",Q149,0)</f>
        <v>11168.08</v>
      </c>
      <c r="AY149" s="10">
        <f>IF('Batt IN'!$E$11="Non-Taxable",'Batt IN'!$E$28/1000*'Batt IN'!$G$13*('Batt IN'!$E$13/12)*'Batt IN'!$E$12,0)</f>
        <v>244.42220833333334</v>
      </c>
      <c r="AZ149" s="10">
        <f>IF('Batt IN'!$E$11="Non-Taxable",$S149*'Batt IN'!$G$15*'Batt IN'!$E$28*'Batt IN'!$E$14/1000,0)</f>
        <v>0</v>
      </c>
      <c r="BA149" s="10">
        <f>IF('Batt IN'!$E$11="Non-Taxable",'Batt IN'!$E$21*'Batt IN'!$G$21/12,0)</f>
        <v>437.5</v>
      </c>
      <c r="BB149" s="10">
        <f>IF('Batt IN'!$E$11="Non-Taxable",'Batt IN'!$E$22*'Batt IN'!$G$22/12,0)</f>
        <v>1145.8333333333335</v>
      </c>
      <c r="BC149" s="10">
        <f>IF('Batt IN'!$E$11="Taxable",Q149,0)</f>
        <v>0</v>
      </c>
      <c r="BD149" s="10">
        <f>IF('Batt IN'!$E$11="Taxable",'Batt IN'!$E$28/1000*'Batt IN'!$G$13*('Batt IN'!$E$13/12)*'Batt IN'!$E$12,0)</f>
        <v>0</v>
      </c>
      <c r="BE149" s="10">
        <f>IF('Batt IN'!$E$11="Taxable",$S149*'Batt IN'!$G$15*'Batt IN'!$E$28*'Batt IN'!$E$14/1000,0)</f>
        <v>0</v>
      </c>
      <c r="BF149" s="10">
        <f>IF('Batt IN'!$E$11="Taxable",'Batt IN'!$E$21*'Batt IN'!$G$21/12,0)</f>
        <v>0</v>
      </c>
      <c r="BG149" s="10">
        <f>IF('Batt IN'!$E$11="Taxable",'Batt IN'!$E$22*'Batt IN'!$G$22/12,0)</f>
        <v>0</v>
      </c>
      <c r="BK149" s="10">
        <f>IF('Batt IN'!$N$18="Yes",-BattLoan!H177,-BattLoan!L177)</f>
        <v>0</v>
      </c>
      <c r="BL149" s="10">
        <f>IF('Batt IN'!$N$18="Yes",-BattLoan!F177,0)</f>
        <v>0</v>
      </c>
      <c r="BM149" s="10">
        <f>IF(AND('Batt IN'!$D$44="YES",$C149&lt;='Batt IN'!$E$44*12),0,-'Batt IN'!$E$28*'Batt IN'!$E$42/12)</f>
        <v>-83.333333333333329</v>
      </c>
      <c r="BN149" s="10">
        <f>IF(AND('Batt IN'!$D$46="YES",$C149&lt;='Batt IN'!$E$46*12),0,-'Batt IN'!$E$28*'Batt IN'!$E$45/12)</f>
        <v>-166.66666666666666</v>
      </c>
      <c r="BO149" s="2">
        <f>IF(AND('Batt IN'!$D$41="YES",BattCalcs!C149=ROUNDUP('Batt IN'!$H$41*12,)),-'Batt IN'!$E$41*'Batt IN'!$E$28,0)</f>
        <v>0</v>
      </c>
      <c r="BP149" s="2">
        <f>IF(AND('Batt IN'!$D$53="Yes",$AL$1&gt;=1),0,IF($C149='Batt IN'!$H$54*12,-'Batt IN'!$F$54,0))</f>
        <v>0</v>
      </c>
      <c r="BQ149" s="2">
        <f>IF(AND('Batt IN'!$D$53="Yes",$AL$1&gt;=2),0,IF($C149='Batt IN'!$H$55*12,-'Batt IN'!$F$55,0))</f>
        <v>0</v>
      </c>
      <c r="BR149" s="2">
        <f>IF(AND('Batt IN'!$D$53="Yes",$AL$1&gt;=3),0,IF($C149='Batt IN'!$H$56*12,-'Batt IN'!$F$56,0))</f>
        <v>0</v>
      </c>
      <c r="BS149" s="2">
        <f>IF(AND('Batt IN'!$D$53="Yes",$AL$1&gt;=4),0,IF($C149='Batt IN'!$H$57*12,-'Batt IN'!$F$57,0))</f>
        <v>0</v>
      </c>
      <c r="BT149" s="2">
        <f>IF(AND('Batt IN'!$D$53="Yes",$AL$1&gt;=5),0,IF($C149='Batt IN'!$H$58*12,-'Batt IN'!$F$58,0))</f>
        <v>0</v>
      </c>
      <c r="BU149" s="2">
        <f>-AH149*PVCalcs!F149</f>
        <v>-367.15144220703252</v>
      </c>
      <c r="BV149" s="2">
        <f>-'Batt IN'!$E$47</f>
        <v>-150</v>
      </c>
      <c r="BW149" s="2">
        <f>-'Batt IN'!$E$49</f>
        <v>-2250</v>
      </c>
      <c r="BX149" s="2">
        <f>IF('Batt IN'!$H$50="No",-(BC149*'Batt IN'!$E$50),-(BC149+BE149)*'Batt IN'!$E$50)</f>
        <v>0</v>
      </c>
      <c r="BY149" s="2">
        <f>IF(C149='Batt IN'!$H$43*12,-'Batt IN'!$E$43,0)</f>
        <v>0</v>
      </c>
      <c r="BZ149" s="38"/>
      <c r="CA149" s="10">
        <f t="shared" si="34"/>
        <v>13422.323408333334</v>
      </c>
      <c r="CB149" s="2">
        <f t="shared" si="38"/>
        <v>-3017.1514422070322</v>
      </c>
      <c r="CC149" s="45">
        <f t="shared" si="39"/>
        <v>10405.171966126301</v>
      </c>
      <c r="CD149" s="43"/>
      <c r="CE149" s="2">
        <f t="shared" si="35"/>
        <v>0</v>
      </c>
      <c r="CF149" s="2">
        <f t="shared" si="40"/>
        <v>-3017.1514422070322</v>
      </c>
      <c r="CG149" s="2"/>
      <c r="CH149" s="2">
        <f t="shared" si="41"/>
        <v>-3017.1514422070322</v>
      </c>
      <c r="CI149" s="45">
        <f>-CH149*'Batt IN'!$E$7</f>
        <v>633.60180286347679</v>
      </c>
      <c r="CJ149" s="48"/>
      <c r="CK149" s="45">
        <f>IF('Batt IN'!$F$4="PV Only",0,IF(C149&gt;'Batt IN'!$H$43*12,0,CC149+CI149))</f>
        <v>0</v>
      </c>
      <c r="CM149" s="10">
        <f t="shared" si="42"/>
        <v>0</v>
      </c>
      <c r="CN149" s="2">
        <f>CK149/(1+('Batt IN'!$G$8))^(C149)</f>
        <v>0</v>
      </c>
      <c r="CO149" s="2">
        <f>IF(C149&lt;='Batt IN'!$O$30*12,CN149+CO148,NA())</f>
        <v>0</v>
      </c>
      <c r="CQ149" s="2">
        <f>CK149/((1+('Batt IN'!$E$8/12))^BattCalcs!C149)</f>
        <v>0</v>
      </c>
      <c r="CS149" s="10">
        <f t="shared" si="43"/>
        <v>-3017.1514422070322</v>
      </c>
      <c r="CT149" s="10">
        <f t="shared" si="44"/>
        <v>0</v>
      </c>
      <c r="CU149" s="10">
        <f t="shared" si="45"/>
        <v>-3017.1514422070322</v>
      </c>
      <c r="CV149" s="10">
        <f t="shared" si="46"/>
        <v>-3017.1514422070322</v>
      </c>
      <c r="CW149" s="2">
        <f t="shared" si="47"/>
        <v>0</v>
      </c>
      <c r="CX149" s="2">
        <f>-(SUM(CV149:CW149)*'PV IN'!$E$8)</f>
        <v>633.60180286347679</v>
      </c>
      <c r="CY149" s="2">
        <f t="shared" si="48"/>
        <v>-2383.5496393435556</v>
      </c>
      <c r="CZ149" s="2">
        <f>IF(C149&lt;='Batt IN'!$H$43*12,CY149/(1+('PV IN'!$G$9))^(C149),0)</f>
        <v>-1321.8641889391909</v>
      </c>
      <c r="DA149" s="33">
        <f>IF(C149&lt;='Batt IN'!$H$43*12,AE149,0)</f>
        <v>30366.783333333333</v>
      </c>
    </row>
    <row r="150" spans="1:105" x14ac:dyDescent="0.25">
      <c r="A150">
        <f>IF(C150&lt;='Batt IN'!$H$43*12,C150,"")</f>
        <v>146</v>
      </c>
      <c r="C150">
        <v>146</v>
      </c>
      <c r="D150" s="21">
        <v>730</v>
      </c>
      <c r="E150" s="1">
        <f>1-'Batt IN'!$E$31</f>
        <v>2.0000000000000018E-2</v>
      </c>
      <c r="F150" s="12">
        <f>('Batt IN'!$E$33*365)/8760</f>
        <v>0</v>
      </c>
      <c r="G150" s="22">
        <f>'Batt IN'!$E$32/8760</f>
        <v>5.7077625570776253E-3</v>
      </c>
      <c r="H150" s="22">
        <f>'Batt IN'!$E$13/8760</f>
        <v>5.5936073059360729E-3</v>
      </c>
      <c r="I150" s="23">
        <f>IF(C150&lt;='Batt IN'!$G$14*12,'Batt IN'!$E$15/8760*'Batt IN'!$G$15,0)</f>
        <v>0</v>
      </c>
      <c r="J150" s="12">
        <f>Z150/'Batt IN'!$E$27/730</f>
        <v>2.4999999999999996E-3</v>
      </c>
      <c r="K150" s="23">
        <f>AA150/'Batt IN'!$E$27/730</f>
        <v>1.6027397260273972E-3</v>
      </c>
      <c r="L150" s="23">
        <f>AB150/'Batt IN'!$E$27/730</f>
        <v>2.0547945205479451E-4</v>
      </c>
      <c r="M150" s="23">
        <f>AC150/'Batt IN'!$E$27/730</f>
        <v>4.7945205479452057E-3</v>
      </c>
      <c r="N150" s="23">
        <f>AD150/'Batt IN'!$E$27/730</f>
        <v>3.4246575342465752E-3</v>
      </c>
      <c r="O150" s="12">
        <f t="shared" si="36"/>
        <v>4.3828767123287697E-2</v>
      </c>
      <c r="P150" s="21">
        <f t="shared" si="37"/>
        <v>698.005</v>
      </c>
      <c r="Q150" s="2">
        <f>IF('Batt IN'!$E$27*'Batt IN'!$E$24&lt;='Batt IN'!$E$28,(('Batt IN'!$E$23*'Batt IN'!$E$27*'Batt IN'!$E$24)/1000)*P150,(('Batt IN'!$E$23*'Batt IN'!$E$28*'Batt IN'!$E$24)/1000)*P150)</f>
        <v>11168.08</v>
      </c>
      <c r="R150" s="2"/>
      <c r="S150" s="77">
        <f>IF(C150&lt;='Batt IN'!$G$14*12,'Batt IN'!$E$15/12,0)</f>
        <v>0</v>
      </c>
      <c r="T150" s="77"/>
      <c r="U150" s="80">
        <f>'Batt IN'!$E$28*('Batt IN'!$G$24/24)*730*(1-O150)</f>
        <v>81433.916666666657</v>
      </c>
      <c r="V150" s="78">
        <f>U150*'Batt IN'!$F$30</f>
        <v>16286.783333333333</v>
      </c>
      <c r="W150" s="78">
        <f>'Batt IN'!$E$28*'Batt IN'!$G$32*('Batt IN'!$E$32/12)*(1+'Batt IN'!$F$30)</f>
        <v>1750.0000000000002</v>
      </c>
      <c r="X150" s="78">
        <f>'Batt IN'!$E$28*'Batt IN'!$G$13*('Batt IN'!$E$13/12)*(1+'Batt IN'!$F$30)</f>
        <v>3184.9999999999995</v>
      </c>
      <c r="Y150" s="33">
        <f>S150*'Batt IN'!$G$15*'Batt IN'!$E$28*(1+'Batt IN'!$F$30)</f>
        <v>0</v>
      </c>
      <c r="Z150" s="33">
        <f>'Batt IN'!$G$16*365/12*(1+'Batt IN'!$F$30)</f>
        <v>1824.9999999999998</v>
      </c>
      <c r="AA150" s="33">
        <f>'Batt IN'!$G$17*'Batt IN'!$E$18*'Batt IN'!$G$18/12*(1+'Batt IN'!$F$30)</f>
        <v>1170</v>
      </c>
      <c r="AB150" s="33">
        <f>'Batt IN'!$G$19*'Batt IN'!$E$20*'Batt IN'!$G$20/12*(1+'Batt IN'!$F$30)</f>
        <v>150</v>
      </c>
      <c r="AC150" s="33">
        <f>'Batt IN'!$G$21*(1+'Batt IN'!$F$30)/12</f>
        <v>3500</v>
      </c>
      <c r="AD150" s="33">
        <f>'Batt IN'!$G$22*(1+'Batt IN'!$F$30)/12</f>
        <v>2500</v>
      </c>
      <c r="AE150" s="33">
        <f t="shared" si="49"/>
        <v>30366.783333333333</v>
      </c>
      <c r="AF150" s="33">
        <f>IF('PV IN'!$F$4="Battery Only",0,AE150*'Batt IN'!$E$29)</f>
        <v>25811.765833333331</v>
      </c>
      <c r="AG150" s="33">
        <f>PVCalcs!L150</f>
        <v>25811.765833333331</v>
      </c>
      <c r="AH150" s="33">
        <f t="shared" si="50"/>
        <v>4555.0175000000017</v>
      </c>
      <c r="AI150" s="33"/>
      <c r="AJ150" s="2">
        <f>IF(AND('Batt IN'!$D$53="Yes",$AL$1&gt;=1),IF($C150='Batt IN'!$H$54*12,-'Batt IN'!$F$54,0),0)</f>
        <v>0</v>
      </c>
      <c r="AK150" s="2">
        <f>IF(AND('Batt IN'!$D$53="Yes",$AL$1&gt;=2),IF($C150='Batt IN'!$H$55*12,-'Batt IN'!$F$55,0),0)</f>
        <v>0</v>
      </c>
      <c r="AL150" s="2">
        <f>IF(AND('Batt IN'!$D$53="Yes",$AL$1&gt;=3),IF($C150='Batt IN'!$H$56*12,-'Batt IN'!$F$56,0),0)</f>
        <v>0</v>
      </c>
      <c r="AM150" s="2">
        <f>IF(AND('Batt IN'!$D$53="Yes",$AL$1&gt;=4),IF($C150='Batt IN'!$H$57*12,-'Batt IN'!$F$57,0),0)</f>
        <v>0</v>
      </c>
      <c r="AN150" s="2">
        <f>IF(AND('Batt IN'!$D$53="Yes",$AL$1&gt;=5),IF($C150='Batt IN'!$H$58*12,-'Batt IN'!$F$58,0),0)</f>
        <v>0</v>
      </c>
      <c r="AO150" s="10">
        <f>IF(AND('Batt IN'!$D$44="YES",$C150&lt;='Batt IN'!$E$44*12),-'Batt IN'!$E$28*'Batt IN'!$E$42/12,0)</f>
        <v>0</v>
      </c>
      <c r="AP150" s="10">
        <f>IF(AND('Batt IN'!$D$46="YES",$C150&lt;='Batt IN'!$E$46*12),-'Batt IN'!$E$28*'Batt IN'!$E$45/12,0)</f>
        <v>0</v>
      </c>
      <c r="AR150" s="10">
        <f>BattLoan!M177</f>
        <v>0</v>
      </c>
      <c r="AS150" s="10">
        <f>'Batt IN'!$G$16*365/12*'Batt IN'!$E$16</f>
        <v>76.041666666666671</v>
      </c>
      <c r="AT150" s="10">
        <f>IF(AND('Batt IN'!$E$18&gt;0,'Batt IN'!$G$18&gt;0),'Batt IN'!$E$17*'Batt IN'!$G$17,0)</f>
        <v>119.44619999999999</v>
      </c>
      <c r="AU150" s="10">
        <f>IF(AND('Batt IN'!$E$20&gt;0,'Batt IN'!$G$20&gt;0),'Batt IN'!$E$19*'Batt IN'!$G$19,0)</f>
        <v>231</v>
      </c>
      <c r="AV150" s="10"/>
      <c r="AW150" s="10"/>
      <c r="AX150" s="10">
        <f>IF('Batt IN'!$E$11="Non-Taxable",Q150,0)</f>
        <v>11168.08</v>
      </c>
      <c r="AY150" s="10">
        <f>IF('Batt IN'!$E$11="Non-Taxable",'Batt IN'!$E$28/1000*'Batt IN'!$G$13*('Batt IN'!$E$13/12)*'Batt IN'!$E$12,0)</f>
        <v>244.42220833333334</v>
      </c>
      <c r="AZ150" s="10">
        <f>IF('Batt IN'!$E$11="Non-Taxable",$S150*'Batt IN'!$G$15*'Batt IN'!$E$28*'Batt IN'!$E$14/1000,0)</f>
        <v>0</v>
      </c>
      <c r="BA150" s="10">
        <f>IF('Batt IN'!$E$11="Non-Taxable",'Batt IN'!$E$21*'Batt IN'!$G$21/12,0)</f>
        <v>437.5</v>
      </c>
      <c r="BB150" s="10">
        <f>IF('Batt IN'!$E$11="Non-Taxable",'Batt IN'!$E$22*'Batt IN'!$G$22/12,0)</f>
        <v>1145.8333333333335</v>
      </c>
      <c r="BC150" s="10">
        <f>IF('Batt IN'!$E$11="Taxable",Q150,0)</f>
        <v>0</v>
      </c>
      <c r="BD150" s="10">
        <f>IF('Batt IN'!$E$11="Taxable",'Batt IN'!$E$28/1000*'Batt IN'!$G$13*('Batt IN'!$E$13/12)*'Batt IN'!$E$12,0)</f>
        <v>0</v>
      </c>
      <c r="BE150" s="10">
        <f>IF('Batt IN'!$E$11="Taxable",$S150*'Batt IN'!$G$15*'Batt IN'!$E$28*'Batt IN'!$E$14/1000,0)</f>
        <v>0</v>
      </c>
      <c r="BF150" s="10">
        <f>IF('Batt IN'!$E$11="Taxable",'Batt IN'!$E$21*'Batt IN'!$G$21/12,0)</f>
        <v>0</v>
      </c>
      <c r="BG150" s="10">
        <f>IF('Batt IN'!$E$11="Taxable",'Batt IN'!$E$22*'Batt IN'!$G$22/12,0)</f>
        <v>0</v>
      </c>
      <c r="BK150" s="10">
        <f>IF('Batt IN'!$N$18="Yes",-BattLoan!H178,-BattLoan!L178)</f>
        <v>0</v>
      </c>
      <c r="BL150" s="10">
        <f>IF('Batt IN'!$N$18="Yes",-BattLoan!F178,0)</f>
        <v>0</v>
      </c>
      <c r="BM150" s="10">
        <f>IF(AND('Batt IN'!$D$44="YES",$C150&lt;='Batt IN'!$E$44*12),0,-'Batt IN'!$E$28*'Batt IN'!$E$42/12)</f>
        <v>-83.333333333333329</v>
      </c>
      <c r="BN150" s="10">
        <f>IF(AND('Batt IN'!$D$46="YES",$C150&lt;='Batt IN'!$E$46*12),0,-'Batt IN'!$E$28*'Batt IN'!$E$45/12)</f>
        <v>-166.66666666666666</v>
      </c>
      <c r="BO150" s="2">
        <f>IF(AND('Batt IN'!$D$41="YES",BattCalcs!C150=ROUNDUP('Batt IN'!$H$41*12,)),-'Batt IN'!$E$41*'Batt IN'!$E$28,0)</f>
        <v>0</v>
      </c>
      <c r="BP150" s="2">
        <f>IF(AND('Batt IN'!$D$53="Yes",$AL$1&gt;=1),0,IF($C150='Batt IN'!$H$54*12,-'Batt IN'!$F$54,0))</f>
        <v>0</v>
      </c>
      <c r="BQ150" s="2">
        <f>IF(AND('Batt IN'!$D$53="Yes",$AL$1&gt;=2),0,IF($C150='Batt IN'!$H$55*12,-'Batt IN'!$F$55,0))</f>
        <v>0</v>
      </c>
      <c r="BR150" s="2">
        <f>IF(AND('Batt IN'!$D$53="Yes",$AL$1&gt;=3),0,IF($C150='Batt IN'!$H$56*12,-'Batt IN'!$F$56,0))</f>
        <v>0</v>
      </c>
      <c r="BS150" s="2">
        <f>IF(AND('Batt IN'!$D$53="Yes",$AL$1&gt;=4),0,IF($C150='Batt IN'!$H$57*12,-'Batt IN'!$F$57,0))</f>
        <v>0</v>
      </c>
      <c r="BT150" s="2">
        <f>IF(AND('Batt IN'!$D$53="Yes",$AL$1&gt;=5),0,IF($C150='Batt IN'!$H$58*12,-'Batt IN'!$F$58,0))</f>
        <v>0</v>
      </c>
      <c r="BU150" s="2">
        <f>-AH150*PVCalcs!F150</f>
        <v>-367.15144220703252</v>
      </c>
      <c r="BV150" s="2">
        <f>-'Batt IN'!$E$47</f>
        <v>-150</v>
      </c>
      <c r="BW150" s="2">
        <f>-'Batt IN'!$E$49</f>
        <v>-2250</v>
      </c>
      <c r="BX150" s="2">
        <f>IF('Batt IN'!$H$50="No",-(BC150*'Batt IN'!$E$50),-(BC150+BE150)*'Batt IN'!$E$50)</f>
        <v>0</v>
      </c>
      <c r="BY150" s="2">
        <f>IF(C150='Batt IN'!$H$43*12,-'Batt IN'!$E$43,0)</f>
        <v>0</v>
      </c>
      <c r="BZ150" s="38"/>
      <c r="CA150" s="10">
        <f t="shared" si="34"/>
        <v>13422.323408333334</v>
      </c>
      <c r="CB150" s="2">
        <f t="shared" si="38"/>
        <v>-3017.1514422070322</v>
      </c>
      <c r="CC150" s="45">
        <f t="shared" si="39"/>
        <v>10405.171966126301</v>
      </c>
      <c r="CD150" s="43"/>
      <c r="CE150" s="2">
        <f t="shared" si="35"/>
        <v>0</v>
      </c>
      <c r="CF150" s="2">
        <f t="shared" si="40"/>
        <v>-3017.1514422070322</v>
      </c>
      <c r="CG150" s="2"/>
      <c r="CH150" s="2">
        <f t="shared" si="41"/>
        <v>-3017.1514422070322</v>
      </c>
      <c r="CI150" s="45">
        <f>-CH150*'Batt IN'!$E$7</f>
        <v>633.60180286347679</v>
      </c>
      <c r="CJ150" s="48"/>
      <c r="CK150" s="45">
        <f>IF('Batt IN'!$F$4="PV Only",0,IF(C150&gt;'Batt IN'!$H$43*12,0,CC150+CI150))</f>
        <v>0</v>
      </c>
      <c r="CM150" s="10">
        <f t="shared" si="42"/>
        <v>0</v>
      </c>
      <c r="CN150" s="2">
        <f>CK150/(1+('Batt IN'!$G$8))^(C150)</f>
        <v>0</v>
      </c>
      <c r="CO150" s="2">
        <f>IF(C150&lt;='Batt IN'!$O$30*12,CN150+CO149,NA())</f>
        <v>0</v>
      </c>
      <c r="CQ150" s="2">
        <f>CK150/((1+('Batt IN'!$E$8/12))^BattCalcs!C150)</f>
        <v>0</v>
      </c>
      <c r="CS150" s="10">
        <f t="shared" si="43"/>
        <v>-3017.1514422070322</v>
      </c>
      <c r="CT150" s="10">
        <f t="shared" si="44"/>
        <v>0</v>
      </c>
      <c r="CU150" s="10">
        <f t="shared" si="45"/>
        <v>-3017.1514422070322</v>
      </c>
      <c r="CV150" s="10">
        <f t="shared" si="46"/>
        <v>-3017.1514422070322</v>
      </c>
      <c r="CW150" s="2">
        <f t="shared" si="47"/>
        <v>0</v>
      </c>
      <c r="CX150" s="2">
        <f>-(SUM(CV150:CW150)*'PV IN'!$E$8)</f>
        <v>633.60180286347679</v>
      </c>
      <c r="CY150" s="2">
        <f t="shared" si="48"/>
        <v>-2383.5496393435556</v>
      </c>
      <c r="CZ150" s="2">
        <f>IF(C150&lt;='Batt IN'!$H$43*12,CY150/(1+('PV IN'!$G$9))^(C150),0)</f>
        <v>-1316.5006025232631</v>
      </c>
      <c r="DA150" s="33">
        <f>IF(C150&lt;='Batt IN'!$H$43*12,AE150,0)</f>
        <v>30366.783333333333</v>
      </c>
    </row>
    <row r="151" spans="1:105" x14ac:dyDescent="0.25">
      <c r="A151">
        <f>IF(C151&lt;='Batt IN'!$H$43*12,C151,"")</f>
        <v>147</v>
      </c>
      <c r="C151">
        <v>147</v>
      </c>
      <c r="D151" s="21">
        <v>730</v>
      </c>
      <c r="E151" s="1">
        <f>1-'Batt IN'!$E$31</f>
        <v>2.0000000000000018E-2</v>
      </c>
      <c r="F151" s="12">
        <f>('Batt IN'!$E$33*365)/8760</f>
        <v>0</v>
      </c>
      <c r="G151" s="22">
        <f>'Batt IN'!$E$32/8760</f>
        <v>5.7077625570776253E-3</v>
      </c>
      <c r="H151" s="22">
        <f>'Batt IN'!$E$13/8760</f>
        <v>5.5936073059360729E-3</v>
      </c>
      <c r="I151" s="23">
        <f>IF(C151&lt;='Batt IN'!$G$14*12,'Batt IN'!$E$15/8760*'Batt IN'!$G$15,0)</f>
        <v>0</v>
      </c>
      <c r="J151" s="12">
        <f>Z151/'Batt IN'!$E$27/730</f>
        <v>2.4999999999999996E-3</v>
      </c>
      <c r="K151" s="23">
        <f>AA151/'Batt IN'!$E$27/730</f>
        <v>1.6027397260273972E-3</v>
      </c>
      <c r="L151" s="23">
        <f>AB151/'Batt IN'!$E$27/730</f>
        <v>2.0547945205479451E-4</v>
      </c>
      <c r="M151" s="23">
        <f>AC151/'Batt IN'!$E$27/730</f>
        <v>4.7945205479452057E-3</v>
      </c>
      <c r="N151" s="23">
        <f>AD151/'Batt IN'!$E$27/730</f>
        <v>3.4246575342465752E-3</v>
      </c>
      <c r="O151" s="12">
        <f t="shared" si="36"/>
        <v>4.3828767123287697E-2</v>
      </c>
      <c r="P151" s="21">
        <f t="shared" si="37"/>
        <v>698.005</v>
      </c>
      <c r="Q151" s="2">
        <f>IF('Batt IN'!$E$27*'Batt IN'!$E$24&lt;='Batt IN'!$E$28,(('Batt IN'!$E$23*'Batt IN'!$E$27*'Batt IN'!$E$24)/1000)*P151,(('Batt IN'!$E$23*'Batt IN'!$E$28*'Batt IN'!$E$24)/1000)*P151)</f>
        <v>11168.08</v>
      </c>
      <c r="R151" s="2"/>
      <c r="S151" s="77">
        <f>IF(C151&lt;='Batt IN'!$G$14*12,'Batt IN'!$E$15/12,0)</f>
        <v>0</v>
      </c>
      <c r="T151" s="77"/>
      <c r="U151" s="80">
        <f>'Batt IN'!$E$28*('Batt IN'!$G$24/24)*730*(1-O151)</f>
        <v>81433.916666666657</v>
      </c>
      <c r="V151" s="78">
        <f>U151*'Batt IN'!$F$30</f>
        <v>16286.783333333333</v>
      </c>
      <c r="W151" s="78">
        <f>'Batt IN'!$E$28*'Batt IN'!$G$32*('Batt IN'!$E$32/12)*(1+'Batt IN'!$F$30)</f>
        <v>1750.0000000000002</v>
      </c>
      <c r="X151" s="78">
        <f>'Batt IN'!$E$28*'Batt IN'!$G$13*('Batt IN'!$E$13/12)*(1+'Batt IN'!$F$30)</f>
        <v>3184.9999999999995</v>
      </c>
      <c r="Y151" s="33">
        <f>S151*'Batt IN'!$G$15*'Batt IN'!$E$28*(1+'Batt IN'!$F$30)</f>
        <v>0</v>
      </c>
      <c r="Z151" s="33">
        <f>'Batt IN'!$G$16*365/12*(1+'Batt IN'!$F$30)</f>
        <v>1824.9999999999998</v>
      </c>
      <c r="AA151" s="33">
        <f>'Batt IN'!$G$17*'Batt IN'!$E$18*'Batt IN'!$G$18/12*(1+'Batt IN'!$F$30)</f>
        <v>1170</v>
      </c>
      <c r="AB151" s="33">
        <f>'Batt IN'!$G$19*'Batt IN'!$E$20*'Batt IN'!$G$20/12*(1+'Batt IN'!$F$30)</f>
        <v>150</v>
      </c>
      <c r="AC151" s="33">
        <f>'Batt IN'!$G$21*(1+'Batt IN'!$F$30)/12</f>
        <v>3500</v>
      </c>
      <c r="AD151" s="33">
        <f>'Batt IN'!$G$22*(1+'Batt IN'!$F$30)/12</f>
        <v>2500</v>
      </c>
      <c r="AE151" s="33">
        <f t="shared" si="49"/>
        <v>30366.783333333333</v>
      </c>
      <c r="AF151" s="33">
        <f>IF('PV IN'!$F$4="Battery Only",0,AE151*'Batt IN'!$E$29)</f>
        <v>25811.765833333331</v>
      </c>
      <c r="AG151" s="33">
        <f>PVCalcs!L151</f>
        <v>25811.765833333331</v>
      </c>
      <c r="AH151" s="33">
        <f t="shared" si="50"/>
        <v>4555.0175000000017</v>
      </c>
      <c r="AI151" s="33"/>
      <c r="AJ151" s="2">
        <f>IF(AND('Batt IN'!$D$53="Yes",$AL$1&gt;=1),IF($C151='Batt IN'!$H$54*12,-'Batt IN'!$F$54,0),0)</f>
        <v>0</v>
      </c>
      <c r="AK151" s="2">
        <f>IF(AND('Batt IN'!$D$53="Yes",$AL$1&gt;=2),IF($C151='Batt IN'!$H$55*12,-'Batt IN'!$F$55,0),0)</f>
        <v>0</v>
      </c>
      <c r="AL151" s="2">
        <f>IF(AND('Batt IN'!$D$53="Yes",$AL$1&gt;=3),IF($C151='Batt IN'!$H$56*12,-'Batt IN'!$F$56,0),0)</f>
        <v>0</v>
      </c>
      <c r="AM151" s="2">
        <f>IF(AND('Batt IN'!$D$53="Yes",$AL$1&gt;=4),IF($C151='Batt IN'!$H$57*12,-'Batt IN'!$F$57,0),0)</f>
        <v>0</v>
      </c>
      <c r="AN151" s="2">
        <f>IF(AND('Batt IN'!$D$53="Yes",$AL$1&gt;=5),IF($C151='Batt IN'!$H$58*12,-'Batt IN'!$F$58,0),0)</f>
        <v>0</v>
      </c>
      <c r="AO151" s="10">
        <f>IF(AND('Batt IN'!$D$44="YES",$C151&lt;='Batt IN'!$E$44*12),-'Batt IN'!$E$28*'Batt IN'!$E$42/12,0)</f>
        <v>0</v>
      </c>
      <c r="AP151" s="10">
        <f>IF(AND('Batt IN'!$D$46="YES",$C151&lt;='Batt IN'!$E$46*12),-'Batt IN'!$E$28*'Batt IN'!$E$45/12,0)</f>
        <v>0</v>
      </c>
      <c r="AR151" s="10">
        <f>BattLoan!M178</f>
        <v>0</v>
      </c>
      <c r="AS151" s="10">
        <f>'Batt IN'!$G$16*365/12*'Batt IN'!$E$16</f>
        <v>76.041666666666671</v>
      </c>
      <c r="AT151" s="10">
        <f>IF(AND('Batt IN'!$E$18&gt;0,'Batt IN'!$G$18&gt;0),'Batt IN'!$E$17*'Batt IN'!$G$17,0)</f>
        <v>119.44619999999999</v>
      </c>
      <c r="AU151" s="10">
        <f>IF(AND('Batt IN'!$E$20&gt;0,'Batt IN'!$G$20&gt;0),'Batt IN'!$E$19*'Batt IN'!$G$19,0)</f>
        <v>231</v>
      </c>
      <c r="AV151" s="10"/>
      <c r="AW151" s="10"/>
      <c r="AX151" s="10">
        <f>IF('Batt IN'!$E$11="Non-Taxable",Q151,0)</f>
        <v>11168.08</v>
      </c>
      <c r="AY151" s="10">
        <f>IF('Batt IN'!$E$11="Non-Taxable",'Batt IN'!$E$28/1000*'Batt IN'!$G$13*('Batt IN'!$E$13/12)*'Batt IN'!$E$12,0)</f>
        <v>244.42220833333334</v>
      </c>
      <c r="AZ151" s="10">
        <f>IF('Batt IN'!$E$11="Non-Taxable",$S151*'Batt IN'!$G$15*'Batt IN'!$E$28*'Batt IN'!$E$14/1000,0)</f>
        <v>0</v>
      </c>
      <c r="BA151" s="10">
        <f>IF('Batt IN'!$E$11="Non-Taxable",'Batt IN'!$E$21*'Batt IN'!$G$21/12,0)</f>
        <v>437.5</v>
      </c>
      <c r="BB151" s="10">
        <f>IF('Batt IN'!$E$11="Non-Taxable",'Batt IN'!$E$22*'Batt IN'!$G$22/12,0)</f>
        <v>1145.8333333333335</v>
      </c>
      <c r="BC151" s="10">
        <f>IF('Batt IN'!$E$11="Taxable",Q151,0)</f>
        <v>0</v>
      </c>
      <c r="BD151" s="10">
        <f>IF('Batt IN'!$E$11="Taxable",'Batt IN'!$E$28/1000*'Batt IN'!$G$13*('Batt IN'!$E$13/12)*'Batt IN'!$E$12,0)</f>
        <v>0</v>
      </c>
      <c r="BE151" s="10">
        <f>IF('Batt IN'!$E$11="Taxable",$S151*'Batt IN'!$G$15*'Batt IN'!$E$28*'Batt IN'!$E$14/1000,0)</f>
        <v>0</v>
      </c>
      <c r="BF151" s="10">
        <f>IF('Batt IN'!$E$11="Taxable",'Batt IN'!$E$21*'Batt IN'!$G$21/12,0)</f>
        <v>0</v>
      </c>
      <c r="BG151" s="10">
        <f>IF('Batt IN'!$E$11="Taxable",'Batt IN'!$E$22*'Batt IN'!$G$22/12,0)</f>
        <v>0</v>
      </c>
      <c r="BK151" s="10">
        <f>IF('Batt IN'!$N$18="Yes",-BattLoan!H179,-BattLoan!L179)</f>
        <v>0</v>
      </c>
      <c r="BL151" s="10">
        <f>IF('Batt IN'!$N$18="Yes",-BattLoan!F179,0)</f>
        <v>0</v>
      </c>
      <c r="BM151" s="10">
        <f>IF(AND('Batt IN'!$D$44="YES",$C151&lt;='Batt IN'!$E$44*12),0,-'Batt IN'!$E$28*'Batt IN'!$E$42/12)</f>
        <v>-83.333333333333329</v>
      </c>
      <c r="BN151" s="10">
        <f>IF(AND('Batt IN'!$D$46="YES",$C151&lt;='Batt IN'!$E$46*12),0,-'Batt IN'!$E$28*'Batt IN'!$E$45/12)</f>
        <v>-166.66666666666666</v>
      </c>
      <c r="BO151" s="2">
        <f>IF(AND('Batt IN'!$D$41="YES",BattCalcs!C151=ROUNDUP('Batt IN'!$H$41*12,)),-'Batt IN'!$E$41*'Batt IN'!$E$28,0)</f>
        <v>0</v>
      </c>
      <c r="BP151" s="2">
        <f>IF(AND('Batt IN'!$D$53="Yes",$AL$1&gt;=1),0,IF($C151='Batt IN'!$H$54*12,-'Batt IN'!$F$54,0))</f>
        <v>0</v>
      </c>
      <c r="BQ151" s="2">
        <f>IF(AND('Batt IN'!$D$53="Yes",$AL$1&gt;=2),0,IF($C151='Batt IN'!$H$55*12,-'Batt IN'!$F$55,0))</f>
        <v>0</v>
      </c>
      <c r="BR151" s="2">
        <f>IF(AND('Batt IN'!$D$53="Yes",$AL$1&gt;=3),0,IF($C151='Batt IN'!$H$56*12,-'Batt IN'!$F$56,0))</f>
        <v>0</v>
      </c>
      <c r="BS151" s="2">
        <f>IF(AND('Batt IN'!$D$53="Yes",$AL$1&gt;=4),0,IF($C151='Batt IN'!$H$57*12,-'Batt IN'!$F$57,0))</f>
        <v>0</v>
      </c>
      <c r="BT151" s="2">
        <f>IF(AND('Batt IN'!$D$53="Yes",$AL$1&gt;=5),0,IF($C151='Batt IN'!$H$58*12,-'Batt IN'!$F$58,0))</f>
        <v>0</v>
      </c>
      <c r="BU151" s="2">
        <f>-AH151*PVCalcs!F151</f>
        <v>-367.15144220703252</v>
      </c>
      <c r="BV151" s="2">
        <f>-'Batt IN'!$E$47</f>
        <v>-150</v>
      </c>
      <c r="BW151" s="2">
        <f>-'Batt IN'!$E$49</f>
        <v>-2250</v>
      </c>
      <c r="BX151" s="2">
        <f>IF('Batt IN'!$H$50="No",-(BC151*'Batt IN'!$E$50),-(BC151+BE151)*'Batt IN'!$E$50)</f>
        <v>0</v>
      </c>
      <c r="BY151" s="2">
        <f>IF(C151='Batt IN'!$H$43*12,-'Batt IN'!$E$43,0)</f>
        <v>0</v>
      </c>
      <c r="BZ151" s="38"/>
      <c r="CA151" s="10">
        <f t="shared" si="34"/>
        <v>13422.323408333334</v>
      </c>
      <c r="CB151" s="2">
        <f t="shared" si="38"/>
        <v>-3017.1514422070322</v>
      </c>
      <c r="CC151" s="45">
        <f t="shared" si="39"/>
        <v>10405.171966126301</v>
      </c>
      <c r="CD151" s="43"/>
      <c r="CE151" s="2">
        <f t="shared" si="35"/>
        <v>0</v>
      </c>
      <c r="CF151" s="2">
        <f t="shared" si="40"/>
        <v>-3017.1514422070322</v>
      </c>
      <c r="CG151" s="2"/>
      <c r="CH151" s="2">
        <f t="shared" si="41"/>
        <v>-3017.1514422070322</v>
      </c>
      <c r="CI151" s="45">
        <f>-CH151*'Batt IN'!$E$7</f>
        <v>633.60180286347679</v>
      </c>
      <c r="CJ151" s="48"/>
      <c r="CK151" s="45">
        <f>IF('Batt IN'!$F$4="PV Only",0,IF(C151&gt;'Batt IN'!$H$43*12,0,CC151+CI151))</f>
        <v>0</v>
      </c>
      <c r="CM151" s="10">
        <f t="shared" si="42"/>
        <v>0</v>
      </c>
      <c r="CN151" s="2">
        <f>CK151/(1+('Batt IN'!$G$8))^(C151)</f>
        <v>0</v>
      </c>
      <c r="CO151" s="2">
        <f>IF(C151&lt;='Batt IN'!$O$30*12,CN151+CO150,NA())</f>
        <v>0</v>
      </c>
      <c r="CQ151" s="2">
        <f>CK151/((1+('Batt IN'!$E$8/12))^BattCalcs!C151)</f>
        <v>0</v>
      </c>
      <c r="CS151" s="10">
        <f t="shared" si="43"/>
        <v>-3017.1514422070322</v>
      </c>
      <c r="CT151" s="10">
        <f t="shared" si="44"/>
        <v>0</v>
      </c>
      <c r="CU151" s="10">
        <f t="shared" si="45"/>
        <v>-3017.1514422070322</v>
      </c>
      <c r="CV151" s="10">
        <f t="shared" si="46"/>
        <v>-3017.1514422070322</v>
      </c>
      <c r="CW151" s="2">
        <f t="shared" si="47"/>
        <v>0</v>
      </c>
      <c r="CX151" s="2">
        <f>-(SUM(CV151:CW151)*'PV IN'!$E$8)</f>
        <v>633.60180286347679</v>
      </c>
      <c r="CY151" s="2">
        <f t="shared" si="48"/>
        <v>-2383.5496393435556</v>
      </c>
      <c r="CZ151" s="2">
        <f>IF(C151&lt;='Batt IN'!$H$43*12,CY151/(1+('PV IN'!$G$9))^(C151),0)</f>
        <v>-1311.1587793561489</v>
      </c>
      <c r="DA151" s="33">
        <f>IF(C151&lt;='Batt IN'!$H$43*12,AE151,0)</f>
        <v>30366.783333333333</v>
      </c>
    </row>
    <row r="152" spans="1:105" x14ac:dyDescent="0.25">
      <c r="A152">
        <f>IF(C152&lt;='Batt IN'!$H$43*12,C152,"")</f>
        <v>148</v>
      </c>
      <c r="C152">
        <v>148</v>
      </c>
      <c r="D152" s="21">
        <v>730</v>
      </c>
      <c r="E152" s="1">
        <f>1-'Batt IN'!$E$31</f>
        <v>2.0000000000000018E-2</v>
      </c>
      <c r="F152" s="12">
        <f>('Batt IN'!$E$33*365)/8760</f>
        <v>0</v>
      </c>
      <c r="G152" s="22">
        <f>'Batt IN'!$E$32/8760</f>
        <v>5.7077625570776253E-3</v>
      </c>
      <c r="H152" s="22">
        <f>'Batt IN'!$E$13/8760</f>
        <v>5.5936073059360729E-3</v>
      </c>
      <c r="I152" s="23">
        <f>IF(C152&lt;='Batt IN'!$G$14*12,'Batt IN'!$E$15/8760*'Batt IN'!$G$15,0)</f>
        <v>0</v>
      </c>
      <c r="J152" s="12">
        <f>Z152/'Batt IN'!$E$27/730</f>
        <v>2.4999999999999996E-3</v>
      </c>
      <c r="K152" s="23">
        <f>AA152/'Batt IN'!$E$27/730</f>
        <v>1.6027397260273972E-3</v>
      </c>
      <c r="L152" s="23">
        <f>AB152/'Batt IN'!$E$27/730</f>
        <v>2.0547945205479451E-4</v>
      </c>
      <c r="M152" s="23">
        <f>AC152/'Batt IN'!$E$27/730</f>
        <v>4.7945205479452057E-3</v>
      </c>
      <c r="N152" s="23">
        <f>AD152/'Batt IN'!$E$27/730</f>
        <v>3.4246575342465752E-3</v>
      </c>
      <c r="O152" s="12">
        <f t="shared" si="36"/>
        <v>4.3828767123287697E-2</v>
      </c>
      <c r="P152" s="21">
        <f t="shared" si="37"/>
        <v>698.005</v>
      </c>
      <c r="Q152" s="2">
        <f>IF('Batt IN'!$E$27*'Batt IN'!$E$24&lt;='Batt IN'!$E$28,(('Batt IN'!$E$23*'Batt IN'!$E$27*'Batt IN'!$E$24)/1000)*P152,(('Batt IN'!$E$23*'Batt IN'!$E$28*'Batt IN'!$E$24)/1000)*P152)</f>
        <v>11168.08</v>
      </c>
      <c r="R152" s="2"/>
      <c r="S152" s="77">
        <f>IF(C152&lt;='Batt IN'!$G$14*12,'Batt IN'!$E$15/12,0)</f>
        <v>0</v>
      </c>
      <c r="T152" s="77"/>
      <c r="U152" s="80">
        <f>'Batt IN'!$E$28*('Batt IN'!$G$24/24)*730*(1-O152)</f>
        <v>81433.916666666657</v>
      </c>
      <c r="V152" s="78">
        <f>U152*'Batt IN'!$F$30</f>
        <v>16286.783333333333</v>
      </c>
      <c r="W152" s="78">
        <f>'Batt IN'!$E$28*'Batt IN'!$G$32*('Batt IN'!$E$32/12)*(1+'Batt IN'!$F$30)</f>
        <v>1750.0000000000002</v>
      </c>
      <c r="X152" s="78">
        <f>'Batt IN'!$E$28*'Batt IN'!$G$13*('Batt IN'!$E$13/12)*(1+'Batt IN'!$F$30)</f>
        <v>3184.9999999999995</v>
      </c>
      <c r="Y152" s="33">
        <f>S152*'Batt IN'!$G$15*'Batt IN'!$E$28*(1+'Batt IN'!$F$30)</f>
        <v>0</v>
      </c>
      <c r="Z152" s="33">
        <f>'Batt IN'!$G$16*365/12*(1+'Batt IN'!$F$30)</f>
        <v>1824.9999999999998</v>
      </c>
      <c r="AA152" s="33">
        <f>'Batt IN'!$G$17*'Batt IN'!$E$18*'Batt IN'!$G$18/12*(1+'Batt IN'!$F$30)</f>
        <v>1170</v>
      </c>
      <c r="AB152" s="33">
        <f>'Batt IN'!$G$19*'Batt IN'!$E$20*'Batt IN'!$G$20/12*(1+'Batt IN'!$F$30)</f>
        <v>150</v>
      </c>
      <c r="AC152" s="33">
        <f>'Batt IN'!$G$21*(1+'Batt IN'!$F$30)/12</f>
        <v>3500</v>
      </c>
      <c r="AD152" s="33">
        <f>'Batt IN'!$G$22*(1+'Batt IN'!$F$30)/12</f>
        <v>2500</v>
      </c>
      <c r="AE152" s="33">
        <f t="shared" si="49"/>
        <v>30366.783333333333</v>
      </c>
      <c r="AF152" s="33">
        <f>IF('PV IN'!$F$4="Battery Only",0,AE152*'Batt IN'!$E$29)</f>
        <v>25811.765833333331</v>
      </c>
      <c r="AG152" s="33">
        <f>PVCalcs!L152</f>
        <v>25811.765833333331</v>
      </c>
      <c r="AH152" s="33">
        <f t="shared" si="50"/>
        <v>4555.0175000000017</v>
      </c>
      <c r="AI152" s="33"/>
      <c r="AJ152" s="2">
        <f>IF(AND('Batt IN'!$D$53="Yes",$AL$1&gt;=1),IF($C152='Batt IN'!$H$54*12,-'Batt IN'!$F$54,0),0)</f>
        <v>0</v>
      </c>
      <c r="AK152" s="2">
        <f>IF(AND('Batt IN'!$D$53="Yes",$AL$1&gt;=2),IF($C152='Batt IN'!$H$55*12,-'Batt IN'!$F$55,0),0)</f>
        <v>0</v>
      </c>
      <c r="AL152" s="2">
        <f>IF(AND('Batt IN'!$D$53="Yes",$AL$1&gt;=3),IF($C152='Batt IN'!$H$56*12,-'Batt IN'!$F$56,0),0)</f>
        <v>0</v>
      </c>
      <c r="AM152" s="2">
        <f>IF(AND('Batt IN'!$D$53="Yes",$AL$1&gt;=4),IF($C152='Batt IN'!$H$57*12,-'Batt IN'!$F$57,0),0)</f>
        <v>0</v>
      </c>
      <c r="AN152" s="2">
        <f>IF(AND('Batt IN'!$D$53="Yes",$AL$1&gt;=5),IF($C152='Batt IN'!$H$58*12,-'Batt IN'!$F$58,0),0)</f>
        <v>0</v>
      </c>
      <c r="AO152" s="10">
        <f>IF(AND('Batt IN'!$D$44="YES",$C152&lt;='Batt IN'!$E$44*12),-'Batt IN'!$E$28*'Batt IN'!$E$42/12,0)</f>
        <v>0</v>
      </c>
      <c r="AP152" s="10">
        <f>IF(AND('Batt IN'!$D$46="YES",$C152&lt;='Batt IN'!$E$46*12),-'Batt IN'!$E$28*'Batt IN'!$E$45/12,0)</f>
        <v>0</v>
      </c>
      <c r="AR152" s="10">
        <f>BattLoan!M179</f>
        <v>0</v>
      </c>
      <c r="AS152" s="10">
        <f>'Batt IN'!$G$16*365/12*'Batt IN'!$E$16</f>
        <v>76.041666666666671</v>
      </c>
      <c r="AT152" s="10">
        <f>IF(AND('Batt IN'!$E$18&gt;0,'Batt IN'!$G$18&gt;0),'Batt IN'!$E$17*'Batt IN'!$G$17,0)</f>
        <v>119.44619999999999</v>
      </c>
      <c r="AU152" s="10">
        <f>IF(AND('Batt IN'!$E$20&gt;0,'Batt IN'!$G$20&gt;0),'Batt IN'!$E$19*'Batt IN'!$G$19,0)</f>
        <v>231</v>
      </c>
      <c r="AV152" s="10"/>
      <c r="AW152" s="10"/>
      <c r="AX152" s="10">
        <f>IF('Batt IN'!$E$11="Non-Taxable",Q152,0)</f>
        <v>11168.08</v>
      </c>
      <c r="AY152" s="10">
        <f>IF('Batt IN'!$E$11="Non-Taxable",'Batt IN'!$E$28/1000*'Batt IN'!$G$13*('Batt IN'!$E$13/12)*'Batt IN'!$E$12,0)</f>
        <v>244.42220833333334</v>
      </c>
      <c r="AZ152" s="10">
        <f>IF('Batt IN'!$E$11="Non-Taxable",$S152*'Batt IN'!$G$15*'Batt IN'!$E$28*'Batt IN'!$E$14/1000,0)</f>
        <v>0</v>
      </c>
      <c r="BA152" s="10">
        <f>IF('Batt IN'!$E$11="Non-Taxable",'Batt IN'!$E$21*'Batt IN'!$G$21/12,0)</f>
        <v>437.5</v>
      </c>
      <c r="BB152" s="10">
        <f>IF('Batt IN'!$E$11="Non-Taxable",'Batt IN'!$E$22*'Batt IN'!$G$22/12,0)</f>
        <v>1145.8333333333335</v>
      </c>
      <c r="BC152" s="10">
        <f>IF('Batt IN'!$E$11="Taxable",Q152,0)</f>
        <v>0</v>
      </c>
      <c r="BD152" s="10">
        <f>IF('Batt IN'!$E$11="Taxable",'Batt IN'!$E$28/1000*'Batt IN'!$G$13*('Batt IN'!$E$13/12)*'Batt IN'!$E$12,0)</f>
        <v>0</v>
      </c>
      <c r="BE152" s="10">
        <f>IF('Batt IN'!$E$11="Taxable",$S152*'Batt IN'!$G$15*'Batt IN'!$E$28*'Batt IN'!$E$14/1000,0)</f>
        <v>0</v>
      </c>
      <c r="BF152" s="10">
        <f>IF('Batt IN'!$E$11="Taxable",'Batt IN'!$E$21*'Batt IN'!$G$21/12,0)</f>
        <v>0</v>
      </c>
      <c r="BG152" s="10">
        <f>IF('Batt IN'!$E$11="Taxable",'Batt IN'!$E$22*'Batt IN'!$G$22/12,0)</f>
        <v>0</v>
      </c>
      <c r="BK152" s="10">
        <f>IF('Batt IN'!$N$18="Yes",-BattLoan!H180,-BattLoan!L180)</f>
        <v>0</v>
      </c>
      <c r="BL152" s="10">
        <f>IF('Batt IN'!$N$18="Yes",-BattLoan!F180,0)</f>
        <v>0</v>
      </c>
      <c r="BM152" s="10">
        <f>IF(AND('Batt IN'!$D$44="YES",$C152&lt;='Batt IN'!$E$44*12),0,-'Batt IN'!$E$28*'Batt IN'!$E$42/12)</f>
        <v>-83.333333333333329</v>
      </c>
      <c r="BN152" s="10">
        <f>IF(AND('Batt IN'!$D$46="YES",$C152&lt;='Batt IN'!$E$46*12),0,-'Batt IN'!$E$28*'Batt IN'!$E$45/12)</f>
        <v>-166.66666666666666</v>
      </c>
      <c r="BO152" s="2">
        <f>IF(AND('Batt IN'!$D$41="YES",BattCalcs!C152=ROUNDUP('Batt IN'!$H$41*12,)),-'Batt IN'!$E$41*'Batt IN'!$E$28,0)</f>
        <v>0</v>
      </c>
      <c r="BP152" s="2">
        <f>IF(AND('Batt IN'!$D$53="Yes",$AL$1&gt;=1),0,IF($C152='Batt IN'!$H$54*12,-'Batt IN'!$F$54,0))</f>
        <v>0</v>
      </c>
      <c r="BQ152" s="2">
        <f>IF(AND('Batt IN'!$D$53="Yes",$AL$1&gt;=2),0,IF($C152='Batt IN'!$H$55*12,-'Batt IN'!$F$55,0))</f>
        <v>0</v>
      </c>
      <c r="BR152" s="2">
        <f>IF(AND('Batt IN'!$D$53="Yes",$AL$1&gt;=3),0,IF($C152='Batt IN'!$H$56*12,-'Batt IN'!$F$56,0))</f>
        <v>0</v>
      </c>
      <c r="BS152" s="2">
        <f>IF(AND('Batt IN'!$D$53="Yes",$AL$1&gt;=4),0,IF($C152='Batt IN'!$H$57*12,-'Batt IN'!$F$57,0))</f>
        <v>0</v>
      </c>
      <c r="BT152" s="2">
        <f>IF(AND('Batt IN'!$D$53="Yes",$AL$1&gt;=5),0,IF($C152='Batt IN'!$H$58*12,-'Batt IN'!$F$58,0))</f>
        <v>0</v>
      </c>
      <c r="BU152" s="2">
        <f>-AH152*PVCalcs!F152</f>
        <v>-367.15144220703252</v>
      </c>
      <c r="BV152" s="2">
        <f>-'Batt IN'!$E$47</f>
        <v>-150</v>
      </c>
      <c r="BW152" s="2">
        <f>-'Batt IN'!$E$49</f>
        <v>-2250</v>
      </c>
      <c r="BX152" s="2">
        <f>IF('Batt IN'!$H$50="No",-(BC152*'Batt IN'!$E$50),-(BC152+BE152)*'Batt IN'!$E$50)</f>
        <v>0</v>
      </c>
      <c r="BY152" s="2">
        <f>IF(C152='Batt IN'!$H$43*12,-'Batt IN'!$E$43,0)</f>
        <v>0</v>
      </c>
      <c r="BZ152" s="38"/>
      <c r="CA152" s="10">
        <f t="shared" si="34"/>
        <v>13422.323408333334</v>
      </c>
      <c r="CB152" s="2">
        <f t="shared" si="38"/>
        <v>-3017.1514422070322</v>
      </c>
      <c r="CC152" s="45">
        <f t="shared" si="39"/>
        <v>10405.171966126301</v>
      </c>
      <c r="CD152" s="43"/>
      <c r="CE152" s="2">
        <f t="shared" si="35"/>
        <v>0</v>
      </c>
      <c r="CF152" s="2">
        <f t="shared" si="40"/>
        <v>-3017.1514422070322</v>
      </c>
      <c r="CG152" s="2"/>
      <c r="CH152" s="2">
        <f t="shared" si="41"/>
        <v>-3017.1514422070322</v>
      </c>
      <c r="CI152" s="45">
        <f>-CH152*'Batt IN'!$E$7</f>
        <v>633.60180286347679</v>
      </c>
      <c r="CJ152" s="48"/>
      <c r="CK152" s="45">
        <f>IF('Batt IN'!$F$4="PV Only",0,IF(C152&gt;'Batt IN'!$H$43*12,0,CC152+CI152))</f>
        <v>0</v>
      </c>
      <c r="CM152" s="10">
        <f t="shared" si="42"/>
        <v>0</v>
      </c>
      <c r="CN152" s="2">
        <f>CK152/(1+('Batt IN'!$G$8))^(C152)</f>
        <v>0</v>
      </c>
      <c r="CO152" s="2">
        <f>IF(C152&lt;='Batt IN'!$O$30*12,CN152+CO151,NA())</f>
        <v>0</v>
      </c>
      <c r="CQ152" s="2">
        <f>CK152/((1+('Batt IN'!$E$8/12))^BattCalcs!C152)</f>
        <v>0</v>
      </c>
      <c r="CS152" s="10">
        <f t="shared" si="43"/>
        <v>-3017.1514422070322</v>
      </c>
      <c r="CT152" s="10">
        <f t="shared" si="44"/>
        <v>0</v>
      </c>
      <c r="CU152" s="10">
        <f t="shared" si="45"/>
        <v>-3017.1514422070322</v>
      </c>
      <c r="CV152" s="10">
        <f t="shared" si="46"/>
        <v>-3017.1514422070322</v>
      </c>
      <c r="CW152" s="2">
        <f t="shared" si="47"/>
        <v>0</v>
      </c>
      <c r="CX152" s="2">
        <f>-(SUM(CV152:CW152)*'PV IN'!$E$8)</f>
        <v>633.60180286347679</v>
      </c>
      <c r="CY152" s="2">
        <f t="shared" si="48"/>
        <v>-2383.5496393435556</v>
      </c>
      <c r="CZ152" s="2">
        <f>IF(C152&lt;='Batt IN'!$H$43*12,CY152/(1+('PV IN'!$G$9))^(C152),0)</f>
        <v>-1305.8386311314496</v>
      </c>
      <c r="DA152" s="33">
        <f>IF(C152&lt;='Batt IN'!$H$43*12,AE152,0)</f>
        <v>30366.783333333333</v>
      </c>
    </row>
    <row r="153" spans="1:105" x14ac:dyDescent="0.25">
      <c r="A153">
        <f>IF(C153&lt;='Batt IN'!$H$43*12,C153,"")</f>
        <v>149</v>
      </c>
      <c r="C153">
        <v>149</v>
      </c>
      <c r="D153" s="21">
        <v>730</v>
      </c>
      <c r="E153" s="1">
        <f>1-'Batt IN'!$E$31</f>
        <v>2.0000000000000018E-2</v>
      </c>
      <c r="F153" s="12">
        <f>('Batt IN'!$E$33*365)/8760</f>
        <v>0</v>
      </c>
      <c r="G153" s="22">
        <f>'Batt IN'!$E$32/8760</f>
        <v>5.7077625570776253E-3</v>
      </c>
      <c r="H153" s="22">
        <f>'Batt IN'!$E$13/8760</f>
        <v>5.5936073059360729E-3</v>
      </c>
      <c r="I153" s="23">
        <f>IF(C153&lt;='Batt IN'!$G$14*12,'Batt IN'!$E$15/8760*'Batt IN'!$G$15,0)</f>
        <v>0</v>
      </c>
      <c r="J153" s="12">
        <f>Z153/'Batt IN'!$E$27/730</f>
        <v>2.4999999999999996E-3</v>
      </c>
      <c r="K153" s="23">
        <f>AA153/'Batt IN'!$E$27/730</f>
        <v>1.6027397260273972E-3</v>
      </c>
      <c r="L153" s="23">
        <f>AB153/'Batt IN'!$E$27/730</f>
        <v>2.0547945205479451E-4</v>
      </c>
      <c r="M153" s="23">
        <f>AC153/'Batt IN'!$E$27/730</f>
        <v>4.7945205479452057E-3</v>
      </c>
      <c r="N153" s="23">
        <f>AD153/'Batt IN'!$E$27/730</f>
        <v>3.4246575342465752E-3</v>
      </c>
      <c r="O153" s="12">
        <f t="shared" si="36"/>
        <v>4.3828767123287697E-2</v>
      </c>
      <c r="P153" s="21">
        <f t="shared" si="37"/>
        <v>698.005</v>
      </c>
      <c r="Q153" s="2">
        <f>IF('Batt IN'!$E$27*'Batt IN'!$E$24&lt;='Batt IN'!$E$28,(('Batt IN'!$E$23*'Batt IN'!$E$27*'Batt IN'!$E$24)/1000)*P153,(('Batt IN'!$E$23*'Batt IN'!$E$28*'Batt IN'!$E$24)/1000)*P153)</f>
        <v>11168.08</v>
      </c>
      <c r="R153" s="2"/>
      <c r="S153" s="77">
        <f>IF(C153&lt;='Batt IN'!$G$14*12,'Batt IN'!$E$15/12,0)</f>
        <v>0</v>
      </c>
      <c r="T153" s="77"/>
      <c r="U153" s="80">
        <f>'Batt IN'!$E$28*('Batt IN'!$G$24/24)*730*(1-O153)</f>
        <v>81433.916666666657</v>
      </c>
      <c r="V153" s="78">
        <f>U153*'Batt IN'!$F$30</f>
        <v>16286.783333333333</v>
      </c>
      <c r="W153" s="78">
        <f>'Batt IN'!$E$28*'Batt IN'!$G$32*('Batt IN'!$E$32/12)*(1+'Batt IN'!$F$30)</f>
        <v>1750.0000000000002</v>
      </c>
      <c r="X153" s="78">
        <f>'Batt IN'!$E$28*'Batt IN'!$G$13*('Batt IN'!$E$13/12)*(1+'Batt IN'!$F$30)</f>
        <v>3184.9999999999995</v>
      </c>
      <c r="Y153" s="33">
        <f>S153*'Batt IN'!$G$15*'Batt IN'!$E$28*(1+'Batt IN'!$F$30)</f>
        <v>0</v>
      </c>
      <c r="Z153" s="33">
        <f>'Batt IN'!$G$16*365/12*(1+'Batt IN'!$F$30)</f>
        <v>1824.9999999999998</v>
      </c>
      <c r="AA153" s="33">
        <f>'Batt IN'!$G$17*'Batt IN'!$E$18*'Batt IN'!$G$18/12*(1+'Batt IN'!$F$30)</f>
        <v>1170</v>
      </c>
      <c r="AB153" s="33">
        <f>'Batt IN'!$G$19*'Batt IN'!$E$20*'Batt IN'!$G$20/12*(1+'Batt IN'!$F$30)</f>
        <v>150</v>
      </c>
      <c r="AC153" s="33">
        <f>'Batt IN'!$G$21*(1+'Batt IN'!$F$30)/12</f>
        <v>3500</v>
      </c>
      <c r="AD153" s="33">
        <f>'Batt IN'!$G$22*(1+'Batt IN'!$F$30)/12</f>
        <v>2500</v>
      </c>
      <c r="AE153" s="33">
        <f t="shared" si="49"/>
        <v>30366.783333333333</v>
      </c>
      <c r="AF153" s="33">
        <f>IF('PV IN'!$F$4="Battery Only",0,AE153*'Batt IN'!$E$29)</f>
        <v>25811.765833333331</v>
      </c>
      <c r="AG153" s="33">
        <f>PVCalcs!L153</f>
        <v>25811.765833333331</v>
      </c>
      <c r="AH153" s="33">
        <f t="shared" si="50"/>
        <v>4555.0175000000017</v>
      </c>
      <c r="AI153" s="33"/>
      <c r="AJ153" s="2">
        <f>IF(AND('Batt IN'!$D$53="Yes",$AL$1&gt;=1),IF($C153='Batt IN'!$H$54*12,-'Batt IN'!$F$54,0),0)</f>
        <v>0</v>
      </c>
      <c r="AK153" s="2">
        <f>IF(AND('Batt IN'!$D$53="Yes",$AL$1&gt;=2),IF($C153='Batt IN'!$H$55*12,-'Batt IN'!$F$55,0),0)</f>
        <v>0</v>
      </c>
      <c r="AL153" s="2">
        <f>IF(AND('Batt IN'!$D$53="Yes",$AL$1&gt;=3),IF($C153='Batt IN'!$H$56*12,-'Batt IN'!$F$56,0),0)</f>
        <v>0</v>
      </c>
      <c r="AM153" s="2">
        <f>IF(AND('Batt IN'!$D$53="Yes",$AL$1&gt;=4),IF($C153='Batt IN'!$H$57*12,-'Batt IN'!$F$57,0),0)</f>
        <v>0</v>
      </c>
      <c r="AN153" s="2">
        <f>IF(AND('Batt IN'!$D$53="Yes",$AL$1&gt;=5),IF($C153='Batt IN'!$H$58*12,-'Batt IN'!$F$58,0),0)</f>
        <v>0</v>
      </c>
      <c r="AO153" s="10">
        <f>IF(AND('Batt IN'!$D$44="YES",$C153&lt;='Batt IN'!$E$44*12),-'Batt IN'!$E$28*'Batt IN'!$E$42/12,0)</f>
        <v>0</v>
      </c>
      <c r="AP153" s="10">
        <f>IF(AND('Batt IN'!$D$46="YES",$C153&lt;='Batt IN'!$E$46*12),-'Batt IN'!$E$28*'Batt IN'!$E$45/12,0)</f>
        <v>0</v>
      </c>
      <c r="AR153" s="10">
        <f>BattLoan!M180</f>
        <v>0</v>
      </c>
      <c r="AS153" s="10">
        <f>'Batt IN'!$G$16*365/12*'Batt IN'!$E$16</f>
        <v>76.041666666666671</v>
      </c>
      <c r="AT153" s="10">
        <f>IF(AND('Batt IN'!$E$18&gt;0,'Batt IN'!$G$18&gt;0),'Batt IN'!$E$17*'Batt IN'!$G$17,0)</f>
        <v>119.44619999999999</v>
      </c>
      <c r="AU153" s="10">
        <f>IF(AND('Batt IN'!$E$20&gt;0,'Batt IN'!$G$20&gt;0),'Batt IN'!$E$19*'Batt IN'!$G$19,0)</f>
        <v>231</v>
      </c>
      <c r="AV153" s="10"/>
      <c r="AW153" s="10"/>
      <c r="AX153" s="10">
        <f>IF('Batt IN'!$E$11="Non-Taxable",Q153,0)</f>
        <v>11168.08</v>
      </c>
      <c r="AY153" s="10">
        <f>IF('Batt IN'!$E$11="Non-Taxable",'Batt IN'!$E$28/1000*'Batt IN'!$G$13*('Batt IN'!$E$13/12)*'Batt IN'!$E$12,0)</f>
        <v>244.42220833333334</v>
      </c>
      <c r="AZ153" s="10">
        <f>IF('Batt IN'!$E$11="Non-Taxable",$S153*'Batt IN'!$G$15*'Batt IN'!$E$28*'Batt IN'!$E$14/1000,0)</f>
        <v>0</v>
      </c>
      <c r="BA153" s="10">
        <f>IF('Batt IN'!$E$11="Non-Taxable",'Batt IN'!$E$21*'Batt IN'!$G$21/12,0)</f>
        <v>437.5</v>
      </c>
      <c r="BB153" s="10">
        <f>IF('Batt IN'!$E$11="Non-Taxable",'Batt IN'!$E$22*'Batt IN'!$G$22/12,0)</f>
        <v>1145.8333333333335</v>
      </c>
      <c r="BC153" s="10">
        <f>IF('Batt IN'!$E$11="Taxable",Q153,0)</f>
        <v>0</v>
      </c>
      <c r="BD153" s="10">
        <f>IF('Batt IN'!$E$11="Taxable",'Batt IN'!$E$28/1000*'Batt IN'!$G$13*('Batt IN'!$E$13/12)*'Batt IN'!$E$12,0)</f>
        <v>0</v>
      </c>
      <c r="BE153" s="10">
        <f>IF('Batt IN'!$E$11="Taxable",$S153*'Batt IN'!$G$15*'Batt IN'!$E$28*'Batt IN'!$E$14/1000,0)</f>
        <v>0</v>
      </c>
      <c r="BF153" s="10">
        <f>IF('Batt IN'!$E$11="Taxable",'Batt IN'!$E$21*'Batt IN'!$G$21/12,0)</f>
        <v>0</v>
      </c>
      <c r="BG153" s="10">
        <f>IF('Batt IN'!$E$11="Taxable",'Batt IN'!$E$22*'Batt IN'!$G$22/12,0)</f>
        <v>0</v>
      </c>
      <c r="BK153" s="10">
        <f>IF('Batt IN'!$N$18="Yes",-BattLoan!H181,-BattLoan!L181)</f>
        <v>0</v>
      </c>
      <c r="BL153" s="10">
        <f>IF('Batt IN'!$N$18="Yes",-BattLoan!F181,0)</f>
        <v>0</v>
      </c>
      <c r="BM153" s="10">
        <f>IF(AND('Batt IN'!$D$44="YES",$C153&lt;='Batt IN'!$E$44*12),0,-'Batt IN'!$E$28*'Batt IN'!$E$42/12)</f>
        <v>-83.333333333333329</v>
      </c>
      <c r="BN153" s="10">
        <f>IF(AND('Batt IN'!$D$46="YES",$C153&lt;='Batt IN'!$E$46*12),0,-'Batt IN'!$E$28*'Batt IN'!$E$45/12)</f>
        <v>-166.66666666666666</v>
      </c>
      <c r="BO153" s="2">
        <f>IF(AND('Batt IN'!$D$41="YES",BattCalcs!C153=ROUNDUP('Batt IN'!$H$41*12,)),-'Batt IN'!$E$41*'Batt IN'!$E$28,0)</f>
        <v>0</v>
      </c>
      <c r="BP153" s="2">
        <f>IF(AND('Batt IN'!$D$53="Yes",$AL$1&gt;=1),0,IF($C153='Batt IN'!$H$54*12,-'Batt IN'!$F$54,0))</f>
        <v>0</v>
      </c>
      <c r="BQ153" s="2">
        <f>IF(AND('Batt IN'!$D$53="Yes",$AL$1&gt;=2),0,IF($C153='Batt IN'!$H$55*12,-'Batt IN'!$F$55,0))</f>
        <v>0</v>
      </c>
      <c r="BR153" s="2">
        <f>IF(AND('Batt IN'!$D$53="Yes",$AL$1&gt;=3),0,IF($C153='Batt IN'!$H$56*12,-'Batt IN'!$F$56,0))</f>
        <v>0</v>
      </c>
      <c r="BS153" s="2">
        <f>IF(AND('Batt IN'!$D$53="Yes",$AL$1&gt;=4),0,IF($C153='Batt IN'!$H$57*12,-'Batt IN'!$F$57,0))</f>
        <v>0</v>
      </c>
      <c r="BT153" s="2">
        <f>IF(AND('Batt IN'!$D$53="Yes",$AL$1&gt;=5),0,IF($C153='Batt IN'!$H$58*12,-'Batt IN'!$F$58,0))</f>
        <v>0</v>
      </c>
      <c r="BU153" s="2">
        <f>-AH153*PVCalcs!F153</f>
        <v>-367.15144220703252</v>
      </c>
      <c r="BV153" s="2">
        <f>-'Batt IN'!$E$47</f>
        <v>-150</v>
      </c>
      <c r="BW153" s="2">
        <f>-'Batt IN'!$E$49</f>
        <v>-2250</v>
      </c>
      <c r="BX153" s="2">
        <f>IF('Batt IN'!$H$50="No",-(BC153*'Batt IN'!$E$50),-(BC153+BE153)*'Batt IN'!$E$50)</f>
        <v>0</v>
      </c>
      <c r="BY153" s="2">
        <f>IF(C153='Batt IN'!$H$43*12,-'Batt IN'!$E$43,0)</f>
        <v>0</v>
      </c>
      <c r="BZ153" s="38"/>
      <c r="CA153" s="10">
        <f t="shared" si="34"/>
        <v>13422.323408333334</v>
      </c>
      <c r="CB153" s="2">
        <f t="shared" si="38"/>
        <v>-3017.1514422070322</v>
      </c>
      <c r="CC153" s="45">
        <f t="shared" si="39"/>
        <v>10405.171966126301</v>
      </c>
      <c r="CD153" s="43"/>
      <c r="CE153" s="2">
        <f t="shared" si="35"/>
        <v>0</v>
      </c>
      <c r="CF153" s="2">
        <f t="shared" si="40"/>
        <v>-3017.1514422070322</v>
      </c>
      <c r="CG153" s="2"/>
      <c r="CH153" s="2">
        <f t="shared" si="41"/>
        <v>-3017.1514422070322</v>
      </c>
      <c r="CI153" s="45">
        <f>-CH153*'Batt IN'!$E$7</f>
        <v>633.60180286347679</v>
      </c>
      <c r="CJ153" s="48"/>
      <c r="CK153" s="45">
        <f>IF('Batt IN'!$F$4="PV Only",0,IF(C153&gt;'Batt IN'!$H$43*12,0,CC153+CI153))</f>
        <v>0</v>
      </c>
      <c r="CM153" s="10">
        <f t="shared" si="42"/>
        <v>0</v>
      </c>
      <c r="CN153" s="2">
        <f>CK153/(1+('Batt IN'!$G$8))^(C153)</f>
        <v>0</v>
      </c>
      <c r="CO153" s="2">
        <f>IF(C153&lt;='Batt IN'!$O$30*12,CN153+CO152,NA())</f>
        <v>0</v>
      </c>
      <c r="CQ153" s="2">
        <f>CK153/((1+('Batt IN'!$E$8/12))^BattCalcs!C153)</f>
        <v>0</v>
      </c>
      <c r="CS153" s="10">
        <f t="shared" si="43"/>
        <v>-3017.1514422070322</v>
      </c>
      <c r="CT153" s="10">
        <f t="shared" si="44"/>
        <v>0</v>
      </c>
      <c r="CU153" s="10">
        <f t="shared" si="45"/>
        <v>-3017.1514422070322</v>
      </c>
      <c r="CV153" s="10">
        <f t="shared" si="46"/>
        <v>-3017.1514422070322</v>
      </c>
      <c r="CW153" s="2">
        <f t="shared" si="47"/>
        <v>0</v>
      </c>
      <c r="CX153" s="2">
        <f>-(SUM(CV153:CW153)*'PV IN'!$E$8)</f>
        <v>633.60180286347679</v>
      </c>
      <c r="CY153" s="2">
        <f t="shared" si="48"/>
        <v>-2383.5496393435556</v>
      </c>
      <c r="CZ153" s="2">
        <f>IF(C153&lt;='Batt IN'!$H$43*12,CY153/(1+('PV IN'!$G$9))^(C153),0)</f>
        <v>-1300.5400699010777</v>
      </c>
      <c r="DA153" s="33">
        <f>IF(C153&lt;='Batt IN'!$H$43*12,AE153,0)</f>
        <v>30366.783333333333</v>
      </c>
    </row>
    <row r="154" spans="1:105" x14ac:dyDescent="0.25">
      <c r="A154">
        <f>IF(C154&lt;='Batt IN'!$H$43*12,C154,"")</f>
        <v>150</v>
      </c>
      <c r="C154">
        <v>150</v>
      </c>
      <c r="D154" s="21">
        <v>730</v>
      </c>
      <c r="E154" s="1">
        <f>1-'Batt IN'!$E$31</f>
        <v>2.0000000000000018E-2</v>
      </c>
      <c r="F154" s="12">
        <f>('Batt IN'!$E$33*365)/8760</f>
        <v>0</v>
      </c>
      <c r="G154" s="22">
        <f>'Batt IN'!$E$32/8760</f>
        <v>5.7077625570776253E-3</v>
      </c>
      <c r="H154" s="22">
        <f>'Batt IN'!$E$13/8760</f>
        <v>5.5936073059360729E-3</v>
      </c>
      <c r="I154" s="23">
        <f>IF(C154&lt;='Batt IN'!$G$14*12,'Batt IN'!$E$15/8760*'Batt IN'!$G$15,0)</f>
        <v>0</v>
      </c>
      <c r="J154" s="12">
        <f>Z154/'Batt IN'!$E$27/730</f>
        <v>2.4999999999999996E-3</v>
      </c>
      <c r="K154" s="23">
        <f>AA154/'Batt IN'!$E$27/730</f>
        <v>1.6027397260273972E-3</v>
      </c>
      <c r="L154" s="23">
        <f>AB154/'Batt IN'!$E$27/730</f>
        <v>2.0547945205479451E-4</v>
      </c>
      <c r="M154" s="23">
        <f>AC154/'Batt IN'!$E$27/730</f>
        <v>4.7945205479452057E-3</v>
      </c>
      <c r="N154" s="23">
        <f>AD154/'Batt IN'!$E$27/730</f>
        <v>3.4246575342465752E-3</v>
      </c>
      <c r="O154" s="12">
        <f t="shared" si="36"/>
        <v>4.3828767123287697E-2</v>
      </c>
      <c r="P154" s="21">
        <f t="shared" si="37"/>
        <v>698.005</v>
      </c>
      <c r="Q154" s="2">
        <f>IF('Batt IN'!$E$27*'Batt IN'!$E$24&lt;='Batt IN'!$E$28,(('Batt IN'!$E$23*'Batt IN'!$E$27*'Batt IN'!$E$24)/1000)*P154,(('Batt IN'!$E$23*'Batt IN'!$E$28*'Batt IN'!$E$24)/1000)*P154)</f>
        <v>11168.08</v>
      </c>
      <c r="R154" s="2"/>
      <c r="S154" s="77">
        <f>IF(C154&lt;='Batt IN'!$G$14*12,'Batt IN'!$E$15/12,0)</f>
        <v>0</v>
      </c>
      <c r="T154" s="77"/>
      <c r="U154" s="80">
        <f>'Batt IN'!$E$28*('Batt IN'!$G$24/24)*730*(1-O154)</f>
        <v>81433.916666666657</v>
      </c>
      <c r="V154" s="78">
        <f>U154*'Batt IN'!$F$30</f>
        <v>16286.783333333333</v>
      </c>
      <c r="W154" s="78">
        <f>'Batt IN'!$E$28*'Batt IN'!$G$32*('Batt IN'!$E$32/12)*(1+'Batt IN'!$F$30)</f>
        <v>1750.0000000000002</v>
      </c>
      <c r="X154" s="78">
        <f>'Batt IN'!$E$28*'Batt IN'!$G$13*('Batt IN'!$E$13/12)*(1+'Batt IN'!$F$30)</f>
        <v>3184.9999999999995</v>
      </c>
      <c r="Y154" s="33">
        <f>S154*'Batt IN'!$G$15*'Batt IN'!$E$28*(1+'Batt IN'!$F$30)</f>
        <v>0</v>
      </c>
      <c r="Z154" s="33">
        <f>'Batt IN'!$G$16*365/12*(1+'Batt IN'!$F$30)</f>
        <v>1824.9999999999998</v>
      </c>
      <c r="AA154" s="33">
        <f>'Batt IN'!$G$17*'Batt IN'!$E$18*'Batt IN'!$G$18/12*(1+'Batt IN'!$F$30)</f>
        <v>1170</v>
      </c>
      <c r="AB154" s="33">
        <f>'Batt IN'!$G$19*'Batt IN'!$E$20*'Batt IN'!$G$20/12*(1+'Batt IN'!$F$30)</f>
        <v>150</v>
      </c>
      <c r="AC154" s="33">
        <f>'Batt IN'!$G$21*(1+'Batt IN'!$F$30)/12</f>
        <v>3500</v>
      </c>
      <c r="AD154" s="33">
        <f>'Batt IN'!$G$22*(1+'Batt IN'!$F$30)/12</f>
        <v>2500</v>
      </c>
      <c r="AE154" s="33">
        <f t="shared" si="49"/>
        <v>30366.783333333333</v>
      </c>
      <c r="AF154" s="33">
        <f>IF('PV IN'!$F$4="Battery Only",0,AE154*'Batt IN'!$E$29)</f>
        <v>25811.765833333331</v>
      </c>
      <c r="AG154" s="33">
        <f>PVCalcs!L154</f>
        <v>25811.765833333331</v>
      </c>
      <c r="AH154" s="33">
        <f t="shared" si="50"/>
        <v>4555.0175000000017</v>
      </c>
      <c r="AI154" s="33"/>
      <c r="AJ154" s="2">
        <f>IF(AND('Batt IN'!$D$53="Yes",$AL$1&gt;=1),IF($C154='Batt IN'!$H$54*12,-'Batt IN'!$F$54,0),0)</f>
        <v>0</v>
      </c>
      <c r="AK154" s="2">
        <f>IF(AND('Batt IN'!$D$53="Yes",$AL$1&gt;=2),IF($C154='Batt IN'!$H$55*12,-'Batt IN'!$F$55,0),0)</f>
        <v>0</v>
      </c>
      <c r="AL154" s="2">
        <f>IF(AND('Batt IN'!$D$53="Yes",$AL$1&gt;=3),IF($C154='Batt IN'!$H$56*12,-'Batt IN'!$F$56,0),0)</f>
        <v>0</v>
      </c>
      <c r="AM154" s="2">
        <f>IF(AND('Batt IN'!$D$53="Yes",$AL$1&gt;=4),IF($C154='Batt IN'!$H$57*12,-'Batt IN'!$F$57,0),0)</f>
        <v>0</v>
      </c>
      <c r="AN154" s="2">
        <f>IF(AND('Batt IN'!$D$53="Yes",$AL$1&gt;=5),IF($C154='Batt IN'!$H$58*12,-'Batt IN'!$F$58,0),0)</f>
        <v>0</v>
      </c>
      <c r="AO154" s="10">
        <f>IF(AND('Batt IN'!$D$44="YES",$C154&lt;='Batt IN'!$E$44*12),-'Batt IN'!$E$28*'Batt IN'!$E$42/12,0)</f>
        <v>0</v>
      </c>
      <c r="AP154" s="10">
        <f>IF(AND('Batt IN'!$D$46="YES",$C154&lt;='Batt IN'!$E$46*12),-'Batt IN'!$E$28*'Batt IN'!$E$45/12,0)</f>
        <v>0</v>
      </c>
      <c r="AR154" s="10">
        <f>BattLoan!M181</f>
        <v>0</v>
      </c>
      <c r="AS154" s="10">
        <f>'Batt IN'!$G$16*365/12*'Batt IN'!$E$16</f>
        <v>76.041666666666671</v>
      </c>
      <c r="AT154" s="10">
        <f>IF(AND('Batt IN'!$E$18&gt;0,'Batt IN'!$G$18&gt;0),'Batt IN'!$E$17*'Batt IN'!$G$17,0)</f>
        <v>119.44619999999999</v>
      </c>
      <c r="AU154" s="10">
        <f>IF(AND('Batt IN'!$E$20&gt;0,'Batt IN'!$G$20&gt;0),'Batt IN'!$E$19*'Batt IN'!$G$19,0)</f>
        <v>231</v>
      </c>
      <c r="AV154" s="10"/>
      <c r="AW154" s="10"/>
      <c r="AX154" s="10">
        <f>IF('Batt IN'!$E$11="Non-Taxable",Q154,0)</f>
        <v>11168.08</v>
      </c>
      <c r="AY154" s="10">
        <f>IF('Batt IN'!$E$11="Non-Taxable",'Batt IN'!$E$28/1000*'Batt IN'!$G$13*('Batt IN'!$E$13/12)*'Batt IN'!$E$12,0)</f>
        <v>244.42220833333334</v>
      </c>
      <c r="AZ154" s="10">
        <f>IF('Batt IN'!$E$11="Non-Taxable",$S154*'Batt IN'!$G$15*'Batt IN'!$E$28*'Batt IN'!$E$14/1000,0)</f>
        <v>0</v>
      </c>
      <c r="BA154" s="10">
        <f>IF('Batt IN'!$E$11="Non-Taxable",'Batt IN'!$E$21*'Batt IN'!$G$21/12,0)</f>
        <v>437.5</v>
      </c>
      <c r="BB154" s="10">
        <f>IF('Batt IN'!$E$11="Non-Taxable",'Batt IN'!$E$22*'Batt IN'!$G$22/12,0)</f>
        <v>1145.8333333333335</v>
      </c>
      <c r="BC154" s="10">
        <f>IF('Batt IN'!$E$11="Taxable",Q154,0)</f>
        <v>0</v>
      </c>
      <c r="BD154" s="10">
        <f>IF('Batt IN'!$E$11="Taxable",'Batt IN'!$E$28/1000*'Batt IN'!$G$13*('Batt IN'!$E$13/12)*'Batt IN'!$E$12,0)</f>
        <v>0</v>
      </c>
      <c r="BE154" s="10">
        <f>IF('Batt IN'!$E$11="Taxable",$S154*'Batt IN'!$G$15*'Batt IN'!$E$28*'Batt IN'!$E$14/1000,0)</f>
        <v>0</v>
      </c>
      <c r="BF154" s="10">
        <f>IF('Batt IN'!$E$11="Taxable",'Batt IN'!$E$21*'Batt IN'!$G$21/12,0)</f>
        <v>0</v>
      </c>
      <c r="BG154" s="10">
        <f>IF('Batt IN'!$E$11="Taxable",'Batt IN'!$E$22*'Batt IN'!$G$22/12,0)</f>
        <v>0</v>
      </c>
      <c r="BK154" s="10">
        <f>IF('Batt IN'!$N$18="Yes",-BattLoan!H182,-BattLoan!L182)</f>
        <v>0</v>
      </c>
      <c r="BL154" s="10">
        <f>IF('Batt IN'!$N$18="Yes",-BattLoan!F182,0)</f>
        <v>0</v>
      </c>
      <c r="BM154" s="10">
        <f>IF(AND('Batt IN'!$D$44="YES",$C154&lt;='Batt IN'!$E$44*12),0,-'Batt IN'!$E$28*'Batt IN'!$E$42/12)</f>
        <v>-83.333333333333329</v>
      </c>
      <c r="BN154" s="10">
        <f>IF(AND('Batt IN'!$D$46="YES",$C154&lt;='Batt IN'!$E$46*12),0,-'Batt IN'!$E$28*'Batt IN'!$E$45/12)</f>
        <v>-166.66666666666666</v>
      </c>
      <c r="BO154" s="2">
        <f>IF(AND('Batt IN'!$D$41="YES",BattCalcs!C154=ROUNDUP('Batt IN'!$H$41*12,)),-'Batt IN'!$E$41*'Batt IN'!$E$28,0)</f>
        <v>0</v>
      </c>
      <c r="BP154" s="2">
        <f>IF(AND('Batt IN'!$D$53="Yes",$AL$1&gt;=1),0,IF($C154='Batt IN'!$H$54*12,-'Batt IN'!$F$54,0))</f>
        <v>0</v>
      </c>
      <c r="BQ154" s="2">
        <f>IF(AND('Batt IN'!$D$53="Yes",$AL$1&gt;=2),0,IF($C154='Batt IN'!$H$55*12,-'Batt IN'!$F$55,0))</f>
        <v>0</v>
      </c>
      <c r="BR154" s="2">
        <f>IF(AND('Batt IN'!$D$53="Yes",$AL$1&gt;=3),0,IF($C154='Batt IN'!$H$56*12,-'Batt IN'!$F$56,0))</f>
        <v>0</v>
      </c>
      <c r="BS154" s="2">
        <f>IF(AND('Batt IN'!$D$53="Yes",$AL$1&gt;=4),0,IF($C154='Batt IN'!$H$57*12,-'Batt IN'!$F$57,0))</f>
        <v>0</v>
      </c>
      <c r="BT154" s="2">
        <f>IF(AND('Batt IN'!$D$53="Yes",$AL$1&gt;=5),0,IF($C154='Batt IN'!$H$58*12,-'Batt IN'!$F$58,0))</f>
        <v>0</v>
      </c>
      <c r="BU154" s="2">
        <f>-AH154*PVCalcs!F154</f>
        <v>-367.15144220703252</v>
      </c>
      <c r="BV154" s="2">
        <f>-'Batt IN'!$E$47</f>
        <v>-150</v>
      </c>
      <c r="BW154" s="2">
        <f>-'Batt IN'!$E$49</f>
        <v>-2250</v>
      </c>
      <c r="BX154" s="2">
        <f>IF('Batt IN'!$H$50="No",-(BC154*'Batt IN'!$E$50),-(BC154+BE154)*'Batt IN'!$E$50)</f>
        <v>0</v>
      </c>
      <c r="BY154" s="2">
        <f>IF(C154='Batt IN'!$H$43*12,-'Batt IN'!$E$43,0)</f>
        <v>0</v>
      </c>
      <c r="BZ154" s="38"/>
      <c r="CA154" s="10">
        <f t="shared" si="34"/>
        <v>13422.323408333334</v>
      </c>
      <c r="CB154" s="2">
        <f t="shared" si="38"/>
        <v>-3017.1514422070322</v>
      </c>
      <c r="CC154" s="45">
        <f t="shared" si="39"/>
        <v>10405.171966126301</v>
      </c>
      <c r="CD154" s="43"/>
      <c r="CE154" s="2">
        <f t="shared" si="35"/>
        <v>0</v>
      </c>
      <c r="CF154" s="2">
        <f t="shared" si="40"/>
        <v>-3017.1514422070322</v>
      </c>
      <c r="CG154" s="2"/>
      <c r="CH154" s="2">
        <f t="shared" si="41"/>
        <v>-3017.1514422070322</v>
      </c>
      <c r="CI154" s="45">
        <f>-CH154*'Batt IN'!$E$7</f>
        <v>633.60180286347679</v>
      </c>
      <c r="CJ154" s="48"/>
      <c r="CK154" s="45">
        <f>IF('Batt IN'!$F$4="PV Only",0,IF(C154&gt;'Batt IN'!$H$43*12,0,CC154+CI154))</f>
        <v>0</v>
      </c>
      <c r="CM154" s="10">
        <f t="shared" si="42"/>
        <v>0</v>
      </c>
      <c r="CN154" s="2">
        <f>CK154/(1+('Batt IN'!$G$8))^(C154)</f>
        <v>0</v>
      </c>
      <c r="CO154" s="2">
        <f>IF(C154&lt;='Batt IN'!$O$30*12,CN154+CO153,NA())</f>
        <v>0</v>
      </c>
      <c r="CQ154" s="2">
        <f>CK154/((1+('Batt IN'!$E$8/12))^BattCalcs!C154)</f>
        <v>0</v>
      </c>
      <c r="CS154" s="10">
        <f t="shared" si="43"/>
        <v>-3017.1514422070322</v>
      </c>
      <c r="CT154" s="10">
        <f t="shared" si="44"/>
        <v>0</v>
      </c>
      <c r="CU154" s="10">
        <f t="shared" si="45"/>
        <v>-3017.1514422070322</v>
      </c>
      <c r="CV154" s="10">
        <f t="shared" si="46"/>
        <v>-3017.1514422070322</v>
      </c>
      <c r="CW154" s="2">
        <f t="shared" si="47"/>
        <v>0</v>
      </c>
      <c r="CX154" s="2">
        <f>-(SUM(CV154:CW154)*'PV IN'!$E$8)</f>
        <v>633.60180286347679</v>
      </c>
      <c r="CY154" s="2">
        <f t="shared" si="48"/>
        <v>-2383.5496393435556</v>
      </c>
      <c r="CZ154" s="2">
        <f>IF(C154&lt;='Batt IN'!$H$43*12,CY154/(1+('PV IN'!$G$9))^(C154),0)</f>
        <v>-1295.2630080738043</v>
      </c>
      <c r="DA154" s="33">
        <f>IF(C154&lt;='Batt IN'!$H$43*12,AE154,0)</f>
        <v>30366.783333333333</v>
      </c>
    </row>
    <row r="155" spans="1:105" x14ac:dyDescent="0.25">
      <c r="A155">
        <f>IF(C155&lt;='Batt IN'!$H$43*12,C155,"")</f>
        <v>151</v>
      </c>
      <c r="C155">
        <v>151</v>
      </c>
      <c r="D155" s="21">
        <v>730</v>
      </c>
      <c r="E155" s="1">
        <f>1-'Batt IN'!$E$31</f>
        <v>2.0000000000000018E-2</v>
      </c>
      <c r="F155" s="12">
        <f>('Batt IN'!$E$33*365)/8760</f>
        <v>0</v>
      </c>
      <c r="G155" s="22">
        <f>'Batt IN'!$E$32/8760</f>
        <v>5.7077625570776253E-3</v>
      </c>
      <c r="H155" s="22">
        <f>'Batt IN'!$E$13/8760</f>
        <v>5.5936073059360729E-3</v>
      </c>
      <c r="I155" s="23">
        <f>IF(C155&lt;='Batt IN'!$G$14*12,'Batt IN'!$E$15/8760*'Batt IN'!$G$15,0)</f>
        <v>0</v>
      </c>
      <c r="J155" s="12">
        <f>Z155/'Batt IN'!$E$27/730</f>
        <v>2.4999999999999996E-3</v>
      </c>
      <c r="K155" s="23">
        <f>AA155/'Batt IN'!$E$27/730</f>
        <v>1.6027397260273972E-3</v>
      </c>
      <c r="L155" s="23">
        <f>AB155/'Batt IN'!$E$27/730</f>
        <v>2.0547945205479451E-4</v>
      </c>
      <c r="M155" s="23">
        <f>AC155/'Batt IN'!$E$27/730</f>
        <v>4.7945205479452057E-3</v>
      </c>
      <c r="N155" s="23">
        <f>AD155/'Batt IN'!$E$27/730</f>
        <v>3.4246575342465752E-3</v>
      </c>
      <c r="O155" s="12">
        <f t="shared" si="36"/>
        <v>4.3828767123287697E-2</v>
      </c>
      <c r="P155" s="21">
        <f t="shared" si="37"/>
        <v>698.005</v>
      </c>
      <c r="Q155" s="2">
        <f>IF('Batt IN'!$E$27*'Batt IN'!$E$24&lt;='Batt IN'!$E$28,(('Batt IN'!$E$23*'Batt IN'!$E$27*'Batt IN'!$E$24)/1000)*P155,(('Batt IN'!$E$23*'Batt IN'!$E$28*'Batt IN'!$E$24)/1000)*P155)</f>
        <v>11168.08</v>
      </c>
      <c r="R155" s="2"/>
      <c r="S155" s="77">
        <f>IF(C155&lt;='Batt IN'!$G$14*12,'Batt IN'!$E$15/12,0)</f>
        <v>0</v>
      </c>
      <c r="T155" s="77"/>
      <c r="U155" s="80">
        <f>'Batt IN'!$E$28*('Batt IN'!$G$24/24)*730*(1-O155)</f>
        <v>81433.916666666657</v>
      </c>
      <c r="V155" s="78">
        <f>U155*'Batt IN'!$F$30</f>
        <v>16286.783333333333</v>
      </c>
      <c r="W155" s="78">
        <f>'Batt IN'!$E$28*'Batt IN'!$G$32*('Batt IN'!$E$32/12)*(1+'Batt IN'!$F$30)</f>
        <v>1750.0000000000002</v>
      </c>
      <c r="X155" s="78">
        <f>'Batt IN'!$E$28*'Batt IN'!$G$13*('Batt IN'!$E$13/12)*(1+'Batt IN'!$F$30)</f>
        <v>3184.9999999999995</v>
      </c>
      <c r="Y155" s="33">
        <f>S155*'Batt IN'!$G$15*'Batt IN'!$E$28*(1+'Batt IN'!$F$30)</f>
        <v>0</v>
      </c>
      <c r="Z155" s="33">
        <f>'Batt IN'!$G$16*365/12*(1+'Batt IN'!$F$30)</f>
        <v>1824.9999999999998</v>
      </c>
      <c r="AA155" s="33">
        <f>'Batt IN'!$G$17*'Batt IN'!$E$18*'Batt IN'!$G$18/12*(1+'Batt IN'!$F$30)</f>
        <v>1170</v>
      </c>
      <c r="AB155" s="33">
        <f>'Batt IN'!$G$19*'Batt IN'!$E$20*'Batt IN'!$G$20/12*(1+'Batt IN'!$F$30)</f>
        <v>150</v>
      </c>
      <c r="AC155" s="33">
        <f>'Batt IN'!$G$21*(1+'Batt IN'!$F$30)/12</f>
        <v>3500</v>
      </c>
      <c r="AD155" s="33">
        <f>'Batt IN'!$G$22*(1+'Batt IN'!$F$30)/12</f>
        <v>2500</v>
      </c>
      <c r="AE155" s="33">
        <f t="shared" si="49"/>
        <v>30366.783333333333</v>
      </c>
      <c r="AF155" s="33">
        <f>IF('PV IN'!$F$4="Battery Only",0,AE155*'Batt IN'!$E$29)</f>
        <v>25811.765833333331</v>
      </c>
      <c r="AG155" s="33">
        <f>PVCalcs!L155</f>
        <v>25811.765833333331</v>
      </c>
      <c r="AH155" s="33">
        <f t="shared" si="50"/>
        <v>4555.0175000000017</v>
      </c>
      <c r="AI155" s="33"/>
      <c r="AJ155" s="2">
        <f>IF(AND('Batt IN'!$D$53="Yes",$AL$1&gt;=1),IF($C155='Batt IN'!$H$54*12,-'Batt IN'!$F$54,0),0)</f>
        <v>0</v>
      </c>
      <c r="AK155" s="2">
        <f>IF(AND('Batt IN'!$D$53="Yes",$AL$1&gt;=2),IF($C155='Batt IN'!$H$55*12,-'Batt IN'!$F$55,0),0)</f>
        <v>0</v>
      </c>
      <c r="AL155" s="2">
        <f>IF(AND('Batt IN'!$D$53="Yes",$AL$1&gt;=3),IF($C155='Batt IN'!$H$56*12,-'Batt IN'!$F$56,0),0)</f>
        <v>0</v>
      </c>
      <c r="AM155" s="2">
        <f>IF(AND('Batt IN'!$D$53="Yes",$AL$1&gt;=4),IF($C155='Batt IN'!$H$57*12,-'Batt IN'!$F$57,0),0)</f>
        <v>0</v>
      </c>
      <c r="AN155" s="2">
        <f>IF(AND('Batt IN'!$D$53="Yes",$AL$1&gt;=5),IF($C155='Batt IN'!$H$58*12,-'Batt IN'!$F$58,0),0)</f>
        <v>0</v>
      </c>
      <c r="AO155" s="10">
        <f>IF(AND('Batt IN'!$D$44="YES",$C155&lt;='Batt IN'!$E$44*12),-'Batt IN'!$E$28*'Batt IN'!$E$42/12,0)</f>
        <v>0</v>
      </c>
      <c r="AP155" s="10">
        <f>IF(AND('Batt IN'!$D$46="YES",$C155&lt;='Batt IN'!$E$46*12),-'Batt IN'!$E$28*'Batt IN'!$E$45/12,0)</f>
        <v>0</v>
      </c>
      <c r="AR155" s="10">
        <f>BattLoan!M182</f>
        <v>0</v>
      </c>
      <c r="AS155" s="10">
        <f>'Batt IN'!$G$16*365/12*'Batt IN'!$E$16</f>
        <v>76.041666666666671</v>
      </c>
      <c r="AT155" s="10">
        <f>IF(AND('Batt IN'!$E$18&gt;0,'Batt IN'!$G$18&gt;0),'Batt IN'!$E$17*'Batt IN'!$G$17,0)</f>
        <v>119.44619999999999</v>
      </c>
      <c r="AU155" s="10">
        <f>IF(AND('Batt IN'!$E$20&gt;0,'Batt IN'!$G$20&gt;0),'Batt IN'!$E$19*'Batt IN'!$G$19,0)</f>
        <v>231</v>
      </c>
      <c r="AV155" s="10"/>
      <c r="AW155" s="10"/>
      <c r="AX155" s="10">
        <f>IF('Batt IN'!$E$11="Non-Taxable",Q155,0)</f>
        <v>11168.08</v>
      </c>
      <c r="AY155" s="10">
        <f>IF('Batt IN'!$E$11="Non-Taxable",'Batt IN'!$E$28/1000*'Batt IN'!$G$13*('Batt IN'!$E$13/12)*'Batt IN'!$E$12,0)</f>
        <v>244.42220833333334</v>
      </c>
      <c r="AZ155" s="10">
        <f>IF('Batt IN'!$E$11="Non-Taxable",$S155*'Batt IN'!$G$15*'Batt IN'!$E$28*'Batt IN'!$E$14/1000,0)</f>
        <v>0</v>
      </c>
      <c r="BA155" s="10">
        <f>IF('Batt IN'!$E$11="Non-Taxable",'Batt IN'!$E$21*'Batt IN'!$G$21/12,0)</f>
        <v>437.5</v>
      </c>
      <c r="BB155" s="10">
        <f>IF('Batt IN'!$E$11="Non-Taxable",'Batt IN'!$E$22*'Batt IN'!$G$22/12,0)</f>
        <v>1145.8333333333335</v>
      </c>
      <c r="BC155" s="10">
        <f>IF('Batt IN'!$E$11="Taxable",Q155,0)</f>
        <v>0</v>
      </c>
      <c r="BD155" s="10">
        <f>IF('Batt IN'!$E$11="Taxable",'Batt IN'!$E$28/1000*'Batt IN'!$G$13*('Batt IN'!$E$13/12)*'Batt IN'!$E$12,0)</f>
        <v>0</v>
      </c>
      <c r="BE155" s="10">
        <f>IF('Batt IN'!$E$11="Taxable",$S155*'Batt IN'!$G$15*'Batt IN'!$E$28*'Batt IN'!$E$14/1000,0)</f>
        <v>0</v>
      </c>
      <c r="BF155" s="10">
        <f>IF('Batt IN'!$E$11="Taxable",'Batt IN'!$E$21*'Batt IN'!$G$21/12,0)</f>
        <v>0</v>
      </c>
      <c r="BG155" s="10">
        <f>IF('Batt IN'!$E$11="Taxable",'Batt IN'!$E$22*'Batt IN'!$G$22/12,0)</f>
        <v>0</v>
      </c>
      <c r="BK155" s="10">
        <f>IF('Batt IN'!$N$18="Yes",-BattLoan!H183,-BattLoan!L183)</f>
        <v>0</v>
      </c>
      <c r="BL155" s="10">
        <f>IF('Batt IN'!$N$18="Yes",-BattLoan!F183,0)</f>
        <v>0</v>
      </c>
      <c r="BM155" s="10">
        <f>IF(AND('Batt IN'!$D$44="YES",$C155&lt;='Batt IN'!$E$44*12),0,-'Batt IN'!$E$28*'Batt IN'!$E$42/12)</f>
        <v>-83.333333333333329</v>
      </c>
      <c r="BN155" s="10">
        <f>IF(AND('Batt IN'!$D$46="YES",$C155&lt;='Batt IN'!$E$46*12),0,-'Batt IN'!$E$28*'Batt IN'!$E$45/12)</f>
        <v>-166.66666666666666</v>
      </c>
      <c r="BO155" s="2">
        <f>IF(AND('Batt IN'!$D$41="YES",BattCalcs!C155=ROUNDUP('Batt IN'!$H$41*12,)),-'Batt IN'!$E$41*'Batt IN'!$E$28,0)</f>
        <v>0</v>
      </c>
      <c r="BP155" s="2">
        <f>IF(AND('Batt IN'!$D$53="Yes",$AL$1&gt;=1),0,IF($C155='Batt IN'!$H$54*12,-'Batt IN'!$F$54,0))</f>
        <v>0</v>
      </c>
      <c r="BQ155" s="2">
        <f>IF(AND('Batt IN'!$D$53="Yes",$AL$1&gt;=2),0,IF($C155='Batt IN'!$H$55*12,-'Batt IN'!$F$55,0))</f>
        <v>0</v>
      </c>
      <c r="BR155" s="2">
        <f>IF(AND('Batt IN'!$D$53="Yes",$AL$1&gt;=3),0,IF($C155='Batt IN'!$H$56*12,-'Batt IN'!$F$56,0))</f>
        <v>0</v>
      </c>
      <c r="BS155" s="2">
        <f>IF(AND('Batt IN'!$D$53="Yes",$AL$1&gt;=4),0,IF($C155='Batt IN'!$H$57*12,-'Batt IN'!$F$57,0))</f>
        <v>0</v>
      </c>
      <c r="BT155" s="2">
        <f>IF(AND('Batt IN'!$D$53="Yes",$AL$1&gt;=5),0,IF($C155='Batt IN'!$H$58*12,-'Batt IN'!$F$58,0))</f>
        <v>0</v>
      </c>
      <c r="BU155" s="2">
        <f>-AH155*PVCalcs!F155</f>
        <v>-367.15144220703252</v>
      </c>
      <c r="BV155" s="2">
        <f>-'Batt IN'!$E$47</f>
        <v>-150</v>
      </c>
      <c r="BW155" s="2">
        <f>-'Batt IN'!$E$49</f>
        <v>-2250</v>
      </c>
      <c r="BX155" s="2">
        <f>IF('Batt IN'!$H$50="No",-(BC155*'Batt IN'!$E$50),-(BC155+BE155)*'Batt IN'!$E$50)</f>
        <v>0</v>
      </c>
      <c r="BY155" s="2">
        <f>IF(C155='Batt IN'!$H$43*12,-'Batt IN'!$E$43,0)</f>
        <v>0</v>
      </c>
      <c r="BZ155" s="38"/>
      <c r="CA155" s="10">
        <f t="shared" si="34"/>
        <v>13422.323408333334</v>
      </c>
      <c r="CB155" s="2">
        <f t="shared" si="38"/>
        <v>-3017.1514422070322</v>
      </c>
      <c r="CC155" s="45">
        <f t="shared" si="39"/>
        <v>10405.171966126301</v>
      </c>
      <c r="CD155" s="43"/>
      <c r="CE155" s="2">
        <f t="shared" si="35"/>
        <v>0</v>
      </c>
      <c r="CF155" s="2">
        <f t="shared" si="40"/>
        <v>-3017.1514422070322</v>
      </c>
      <c r="CG155" s="2"/>
      <c r="CH155" s="2">
        <f t="shared" si="41"/>
        <v>-3017.1514422070322</v>
      </c>
      <c r="CI155" s="45">
        <f>-CH155*'Batt IN'!$E$7</f>
        <v>633.60180286347679</v>
      </c>
      <c r="CJ155" s="48"/>
      <c r="CK155" s="45">
        <f>IF('Batt IN'!$F$4="PV Only",0,IF(C155&gt;'Batt IN'!$H$43*12,0,CC155+CI155))</f>
        <v>0</v>
      </c>
      <c r="CM155" s="10">
        <f t="shared" si="42"/>
        <v>0</v>
      </c>
      <c r="CN155" s="2">
        <f>CK155/(1+('Batt IN'!$G$8))^(C155)</f>
        <v>0</v>
      </c>
      <c r="CO155" s="2">
        <f>IF(C155&lt;='Batt IN'!$O$30*12,CN155+CO154,NA())</f>
        <v>0</v>
      </c>
      <c r="CQ155" s="2">
        <f>CK155/((1+('Batt IN'!$E$8/12))^BattCalcs!C155)</f>
        <v>0</v>
      </c>
      <c r="CS155" s="10">
        <f t="shared" si="43"/>
        <v>-3017.1514422070322</v>
      </c>
      <c r="CT155" s="10">
        <f t="shared" si="44"/>
        <v>0</v>
      </c>
      <c r="CU155" s="10">
        <f t="shared" si="45"/>
        <v>-3017.1514422070322</v>
      </c>
      <c r="CV155" s="10">
        <f t="shared" si="46"/>
        <v>-3017.1514422070322</v>
      </c>
      <c r="CW155" s="2">
        <f t="shared" si="47"/>
        <v>0</v>
      </c>
      <c r="CX155" s="2">
        <f>-(SUM(CV155:CW155)*'PV IN'!$E$8)</f>
        <v>633.60180286347679</v>
      </c>
      <c r="CY155" s="2">
        <f t="shared" si="48"/>
        <v>-2383.5496393435556</v>
      </c>
      <c r="CZ155" s="2">
        <f>IF(C155&lt;='Batt IN'!$H$43*12,CY155/(1+('PV IN'!$G$9))^(C155),0)</f>
        <v>-1290.0073584138092</v>
      </c>
      <c r="DA155" s="33">
        <f>IF(C155&lt;='Batt IN'!$H$43*12,AE155,0)</f>
        <v>30366.783333333333</v>
      </c>
    </row>
    <row r="156" spans="1:105" x14ac:dyDescent="0.25">
      <c r="A156">
        <f>IF(C156&lt;='Batt IN'!$H$43*12,C156,"")</f>
        <v>152</v>
      </c>
      <c r="C156">
        <v>152</v>
      </c>
      <c r="D156" s="21">
        <v>730</v>
      </c>
      <c r="E156" s="1">
        <f>1-'Batt IN'!$E$31</f>
        <v>2.0000000000000018E-2</v>
      </c>
      <c r="F156" s="12">
        <f>('Batt IN'!$E$33*365)/8760</f>
        <v>0</v>
      </c>
      <c r="G156" s="22">
        <f>'Batt IN'!$E$32/8760</f>
        <v>5.7077625570776253E-3</v>
      </c>
      <c r="H156" s="22">
        <f>'Batt IN'!$E$13/8760</f>
        <v>5.5936073059360729E-3</v>
      </c>
      <c r="I156" s="23">
        <f>IF(C156&lt;='Batt IN'!$G$14*12,'Batt IN'!$E$15/8760*'Batt IN'!$G$15,0)</f>
        <v>0</v>
      </c>
      <c r="J156" s="12">
        <f>Z156/'Batt IN'!$E$27/730</f>
        <v>2.4999999999999996E-3</v>
      </c>
      <c r="K156" s="23">
        <f>AA156/'Batt IN'!$E$27/730</f>
        <v>1.6027397260273972E-3</v>
      </c>
      <c r="L156" s="23">
        <f>AB156/'Batt IN'!$E$27/730</f>
        <v>2.0547945205479451E-4</v>
      </c>
      <c r="M156" s="23">
        <f>AC156/'Batt IN'!$E$27/730</f>
        <v>4.7945205479452057E-3</v>
      </c>
      <c r="N156" s="23">
        <f>AD156/'Batt IN'!$E$27/730</f>
        <v>3.4246575342465752E-3</v>
      </c>
      <c r="O156" s="12">
        <f t="shared" si="36"/>
        <v>4.3828767123287697E-2</v>
      </c>
      <c r="P156" s="21">
        <f t="shared" si="37"/>
        <v>698.005</v>
      </c>
      <c r="Q156" s="2">
        <f>IF('Batt IN'!$E$27*'Batt IN'!$E$24&lt;='Batt IN'!$E$28,(('Batt IN'!$E$23*'Batt IN'!$E$27*'Batt IN'!$E$24)/1000)*P156,(('Batt IN'!$E$23*'Batt IN'!$E$28*'Batt IN'!$E$24)/1000)*P156)</f>
        <v>11168.08</v>
      </c>
      <c r="R156" s="2"/>
      <c r="S156" s="77">
        <f>IF(C156&lt;='Batt IN'!$G$14*12,'Batt IN'!$E$15/12,0)</f>
        <v>0</v>
      </c>
      <c r="T156" s="77"/>
      <c r="U156" s="80">
        <f>'Batt IN'!$E$28*('Batt IN'!$G$24/24)*730*(1-O156)</f>
        <v>81433.916666666657</v>
      </c>
      <c r="V156" s="78">
        <f>U156*'Batt IN'!$F$30</f>
        <v>16286.783333333333</v>
      </c>
      <c r="W156" s="78">
        <f>'Batt IN'!$E$28*'Batt IN'!$G$32*('Batt IN'!$E$32/12)*(1+'Batt IN'!$F$30)</f>
        <v>1750.0000000000002</v>
      </c>
      <c r="X156" s="78">
        <f>'Batt IN'!$E$28*'Batt IN'!$G$13*('Batt IN'!$E$13/12)*(1+'Batt IN'!$F$30)</f>
        <v>3184.9999999999995</v>
      </c>
      <c r="Y156" s="33">
        <f>S156*'Batt IN'!$G$15*'Batt IN'!$E$28*(1+'Batt IN'!$F$30)</f>
        <v>0</v>
      </c>
      <c r="Z156" s="33">
        <f>'Batt IN'!$G$16*365/12*(1+'Batt IN'!$F$30)</f>
        <v>1824.9999999999998</v>
      </c>
      <c r="AA156" s="33">
        <f>'Batt IN'!$G$17*'Batt IN'!$E$18*'Batt IN'!$G$18/12*(1+'Batt IN'!$F$30)</f>
        <v>1170</v>
      </c>
      <c r="AB156" s="33">
        <f>'Batt IN'!$G$19*'Batt IN'!$E$20*'Batt IN'!$G$20/12*(1+'Batt IN'!$F$30)</f>
        <v>150</v>
      </c>
      <c r="AC156" s="33">
        <f>'Batt IN'!$G$21*(1+'Batt IN'!$F$30)/12</f>
        <v>3500</v>
      </c>
      <c r="AD156" s="33">
        <f>'Batt IN'!$G$22*(1+'Batt IN'!$F$30)/12</f>
        <v>2500</v>
      </c>
      <c r="AE156" s="33">
        <f t="shared" si="49"/>
        <v>30366.783333333333</v>
      </c>
      <c r="AF156" s="33">
        <f>IF('PV IN'!$F$4="Battery Only",0,AE156*'Batt IN'!$E$29)</f>
        <v>25811.765833333331</v>
      </c>
      <c r="AG156" s="33">
        <f>PVCalcs!L156</f>
        <v>25811.765833333331</v>
      </c>
      <c r="AH156" s="33">
        <f t="shared" si="50"/>
        <v>4555.0175000000017</v>
      </c>
      <c r="AI156" s="33"/>
      <c r="AJ156" s="2">
        <f>IF(AND('Batt IN'!$D$53="Yes",$AL$1&gt;=1),IF($C156='Batt IN'!$H$54*12,-'Batt IN'!$F$54,0),0)</f>
        <v>0</v>
      </c>
      <c r="AK156" s="2">
        <f>IF(AND('Batt IN'!$D$53="Yes",$AL$1&gt;=2),IF($C156='Batt IN'!$H$55*12,-'Batt IN'!$F$55,0),0)</f>
        <v>0</v>
      </c>
      <c r="AL156" s="2">
        <f>IF(AND('Batt IN'!$D$53="Yes",$AL$1&gt;=3),IF($C156='Batt IN'!$H$56*12,-'Batt IN'!$F$56,0),0)</f>
        <v>0</v>
      </c>
      <c r="AM156" s="2">
        <f>IF(AND('Batt IN'!$D$53="Yes",$AL$1&gt;=4),IF($C156='Batt IN'!$H$57*12,-'Batt IN'!$F$57,0),0)</f>
        <v>0</v>
      </c>
      <c r="AN156" s="2">
        <f>IF(AND('Batt IN'!$D$53="Yes",$AL$1&gt;=5),IF($C156='Batt IN'!$H$58*12,-'Batt IN'!$F$58,0),0)</f>
        <v>0</v>
      </c>
      <c r="AO156" s="10">
        <f>IF(AND('Batt IN'!$D$44="YES",$C156&lt;='Batt IN'!$E$44*12),-'Batt IN'!$E$28*'Batt IN'!$E$42/12,0)</f>
        <v>0</v>
      </c>
      <c r="AP156" s="10">
        <f>IF(AND('Batt IN'!$D$46="YES",$C156&lt;='Batt IN'!$E$46*12),-'Batt IN'!$E$28*'Batt IN'!$E$45/12,0)</f>
        <v>0</v>
      </c>
      <c r="AR156" s="10">
        <f>BattLoan!M183</f>
        <v>0</v>
      </c>
      <c r="AS156" s="10">
        <f>'Batt IN'!$G$16*365/12*'Batt IN'!$E$16</f>
        <v>76.041666666666671</v>
      </c>
      <c r="AT156" s="10">
        <f>IF(AND('Batt IN'!$E$18&gt;0,'Batt IN'!$G$18&gt;0),'Batt IN'!$E$17*'Batt IN'!$G$17,0)</f>
        <v>119.44619999999999</v>
      </c>
      <c r="AU156" s="10">
        <f>IF(AND('Batt IN'!$E$20&gt;0,'Batt IN'!$G$20&gt;0),'Batt IN'!$E$19*'Batt IN'!$G$19,0)</f>
        <v>231</v>
      </c>
      <c r="AV156" s="10"/>
      <c r="AW156" s="10"/>
      <c r="AX156" s="10">
        <f>IF('Batt IN'!$E$11="Non-Taxable",Q156,0)</f>
        <v>11168.08</v>
      </c>
      <c r="AY156" s="10">
        <f>IF('Batt IN'!$E$11="Non-Taxable",'Batt IN'!$E$28/1000*'Batt IN'!$G$13*('Batt IN'!$E$13/12)*'Batt IN'!$E$12,0)</f>
        <v>244.42220833333334</v>
      </c>
      <c r="AZ156" s="10">
        <f>IF('Batt IN'!$E$11="Non-Taxable",$S156*'Batt IN'!$G$15*'Batt IN'!$E$28*'Batt IN'!$E$14/1000,0)</f>
        <v>0</v>
      </c>
      <c r="BA156" s="10">
        <f>IF('Batt IN'!$E$11="Non-Taxable",'Batt IN'!$E$21*'Batt IN'!$G$21/12,0)</f>
        <v>437.5</v>
      </c>
      <c r="BB156" s="10">
        <f>IF('Batt IN'!$E$11="Non-Taxable",'Batt IN'!$E$22*'Batt IN'!$G$22/12,0)</f>
        <v>1145.8333333333335</v>
      </c>
      <c r="BC156" s="10">
        <f>IF('Batt IN'!$E$11="Taxable",Q156,0)</f>
        <v>0</v>
      </c>
      <c r="BD156" s="10">
        <f>IF('Batt IN'!$E$11="Taxable",'Batt IN'!$E$28/1000*'Batt IN'!$G$13*('Batt IN'!$E$13/12)*'Batt IN'!$E$12,0)</f>
        <v>0</v>
      </c>
      <c r="BE156" s="10">
        <f>IF('Batt IN'!$E$11="Taxable",$S156*'Batt IN'!$G$15*'Batt IN'!$E$28*'Batt IN'!$E$14/1000,0)</f>
        <v>0</v>
      </c>
      <c r="BF156" s="10">
        <f>IF('Batt IN'!$E$11="Taxable",'Batt IN'!$E$21*'Batt IN'!$G$21/12,0)</f>
        <v>0</v>
      </c>
      <c r="BG156" s="10">
        <f>IF('Batt IN'!$E$11="Taxable",'Batt IN'!$E$22*'Batt IN'!$G$22/12,0)</f>
        <v>0</v>
      </c>
      <c r="BK156" s="10">
        <f>IF('Batt IN'!$N$18="Yes",-BattLoan!H184,-BattLoan!L184)</f>
        <v>0</v>
      </c>
      <c r="BL156" s="10">
        <f>IF('Batt IN'!$N$18="Yes",-BattLoan!F184,0)</f>
        <v>0</v>
      </c>
      <c r="BM156" s="10">
        <f>IF(AND('Batt IN'!$D$44="YES",$C156&lt;='Batt IN'!$E$44*12),0,-'Batt IN'!$E$28*'Batt IN'!$E$42/12)</f>
        <v>-83.333333333333329</v>
      </c>
      <c r="BN156" s="10">
        <f>IF(AND('Batt IN'!$D$46="YES",$C156&lt;='Batt IN'!$E$46*12),0,-'Batt IN'!$E$28*'Batt IN'!$E$45/12)</f>
        <v>-166.66666666666666</v>
      </c>
      <c r="BO156" s="2">
        <f>IF(AND('Batt IN'!$D$41="YES",BattCalcs!C156=ROUNDUP('Batt IN'!$H$41*12,)),-'Batt IN'!$E$41*'Batt IN'!$E$28,0)</f>
        <v>0</v>
      </c>
      <c r="BP156" s="2">
        <f>IF(AND('Batt IN'!$D$53="Yes",$AL$1&gt;=1),0,IF($C156='Batt IN'!$H$54*12,-'Batt IN'!$F$54,0))</f>
        <v>0</v>
      </c>
      <c r="BQ156" s="2">
        <f>IF(AND('Batt IN'!$D$53="Yes",$AL$1&gt;=2),0,IF($C156='Batt IN'!$H$55*12,-'Batt IN'!$F$55,0))</f>
        <v>0</v>
      </c>
      <c r="BR156" s="2">
        <f>IF(AND('Batt IN'!$D$53="Yes",$AL$1&gt;=3),0,IF($C156='Batt IN'!$H$56*12,-'Batt IN'!$F$56,0))</f>
        <v>0</v>
      </c>
      <c r="BS156" s="2">
        <f>IF(AND('Batt IN'!$D$53="Yes",$AL$1&gt;=4),0,IF($C156='Batt IN'!$H$57*12,-'Batt IN'!$F$57,0))</f>
        <v>0</v>
      </c>
      <c r="BT156" s="2">
        <f>IF(AND('Batt IN'!$D$53="Yes",$AL$1&gt;=5),0,IF($C156='Batt IN'!$H$58*12,-'Batt IN'!$F$58,0))</f>
        <v>0</v>
      </c>
      <c r="BU156" s="2">
        <f>-AH156*PVCalcs!F156</f>
        <v>-367.15144220703252</v>
      </c>
      <c r="BV156" s="2">
        <f>-'Batt IN'!$E$47</f>
        <v>-150</v>
      </c>
      <c r="BW156" s="2">
        <f>-'Batt IN'!$E$49</f>
        <v>-2250</v>
      </c>
      <c r="BX156" s="2">
        <f>IF('Batt IN'!$H$50="No",-(BC156*'Batt IN'!$E$50),-(BC156+BE156)*'Batt IN'!$E$50)</f>
        <v>0</v>
      </c>
      <c r="BY156" s="2">
        <f>IF(C156='Batt IN'!$H$43*12,-'Batt IN'!$E$43,0)</f>
        <v>0</v>
      </c>
      <c r="BZ156" s="38"/>
      <c r="CA156" s="10">
        <f t="shared" si="34"/>
        <v>13422.323408333334</v>
      </c>
      <c r="CB156" s="2">
        <f t="shared" si="38"/>
        <v>-3017.1514422070322</v>
      </c>
      <c r="CC156" s="45">
        <f t="shared" si="39"/>
        <v>10405.171966126301</v>
      </c>
      <c r="CD156" s="43"/>
      <c r="CE156" s="2">
        <f t="shared" si="35"/>
        <v>0</v>
      </c>
      <c r="CF156" s="2">
        <f t="shared" si="40"/>
        <v>-3017.1514422070322</v>
      </c>
      <c r="CG156" s="2"/>
      <c r="CH156" s="2">
        <f t="shared" si="41"/>
        <v>-3017.1514422070322</v>
      </c>
      <c r="CI156" s="45">
        <f>-CH156*'Batt IN'!$E$7</f>
        <v>633.60180286347679</v>
      </c>
      <c r="CJ156" s="48"/>
      <c r="CK156" s="45">
        <f>IF('Batt IN'!$F$4="PV Only",0,IF(C156&gt;'Batt IN'!$H$43*12,0,CC156+CI156))</f>
        <v>0</v>
      </c>
      <c r="CM156" s="10">
        <f t="shared" si="42"/>
        <v>0</v>
      </c>
      <c r="CN156" s="2">
        <f>CK156/(1+('Batt IN'!$G$8))^(C156)</f>
        <v>0</v>
      </c>
      <c r="CO156" s="2">
        <f>IF(C156&lt;='Batt IN'!$O$30*12,CN156+CO155,NA())</f>
        <v>0</v>
      </c>
      <c r="CQ156" s="2">
        <f>CK156/((1+('Batt IN'!$E$8/12))^BattCalcs!C156)</f>
        <v>0</v>
      </c>
      <c r="CS156" s="10">
        <f t="shared" si="43"/>
        <v>-3017.1514422070322</v>
      </c>
      <c r="CT156" s="10">
        <f t="shared" si="44"/>
        <v>0</v>
      </c>
      <c r="CU156" s="10">
        <f t="shared" si="45"/>
        <v>-3017.1514422070322</v>
      </c>
      <c r="CV156" s="10">
        <f t="shared" si="46"/>
        <v>-3017.1514422070322</v>
      </c>
      <c r="CW156" s="2">
        <f t="shared" si="47"/>
        <v>0</v>
      </c>
      <c r="CX156" s="2">
        <f>-(SUM(CV156:CW156)*'PV IN'!$E$8)</f>
        <v>633.60180286347679</v>
      </c>
      <c r="CY156" s="2">
        <f t="shared" si="48"/>
        <v>-2383.5496393435556</v>
      </c>
      <c r="CZ156" s="2">
        <f>IF(C156&lt;='Batt IN'!$H$43*12,CY156/(1+('PV IN'!$G$9))^(C156),0)</f>
        <v>-1284.7730340392397</v>
      </c>
      <c r="DA156" s="33">
        <f>IF(C156&lt;='Batt IN'!$H$43*12,AE156,0)</f>
        <v>30366.783333333333</v>
      </c>
    </row>
    <row r="157" spans="1:105" x14ac:dyDescent="0.25">
      <c r="A157">
        <f>IF(C157&lt;='Batt IN'!$H$43*12,C157,"")</f>
        <v>153</v>
      </c>
      <c r="C157">
        <v>153</v>
      </c>
      <c r="D157" s="21">
        <v>730</v>
      </c>
      <c r="E157" s="1">
        <f>1-'Batt IN'!$E$31</f>
        <v>2.0000000000000018E-2</v>
      </c>
      <c r="F157" s="12">
        <f>('Batt IN'!$E$33*365)/8760</f>
        <v>0</v>
      </c>
      <c r="G157" s="22">
        <f>'Batt IN'!$E$32/8760</f>
        <v>5.7077625570776253E-3</v>
      </c>
      <c r="H157" s="22">
        <f>'Batt IN'!$E$13/8760</f>
        <v>5.5936073059360729E-3</v>
      </c>
      <c r="I157" s="23">
        <f>IF(C157&lt;='Batt IN'!$G$14*12,'Batt IN'!$E$15/8760*'Batt IN'!$G$15,0)</f>
        <v>0</v>
      </c>
      <c r="J157" s="12">
        <f>Z157/'Batt IN'!$E$27/730</f>
        <v>2.4999999999999996E-3</v>
      </c>
      <c r="K157" s="23">
        <f>AA157/'Batt IN'!$E$27/730</f>
        <v>1.6027397260273972E-3</v>
      </c>
      <c r="L157" s="23">
        <f>AB157/'Batt IN'!$E$27/730</f>
        <v>2.0547945205479451E-4</v>
      </c>
      <c r="M157" s="23">
        <f>AC157/'Batt IN'!$E$27/730</f>
        <v>4.7945205479452057E-3</v>
      </c>
      <c r="N157" s="23">
        <f>AD157/'Batt IN'!$E$27/730</f>
        <v>3.4246575342465752E-3</v>
      </c>
      <c r="O157" s="12">
        <f t="shared" si="36"/>
        <v>4.3828767123287697E-2</v>
      </c>
      <c r="P157" s="21">
        <f t="shared" si="37"/>
        <v>698.005</v>
      </c>
      <c r="Q157" s="2">
        <f>IF('Batt IN'!$E$27*'Batt IN'!$E$24&lt;='Batt IN'!$E$28,(('Batt IN'!$E$23*'Batt IN'!$E$27*'Batt IN'!$E$24)/1000)*P157,(('Batt IN'!$E$23*'Batt IN'!$E$28*'Batt IN'!$E$24)/1000)*P157)</f>
        <v>11168.08</v>
      </c>
      <c r="R157" s="2"/>
      <c r="S157" s="77">
        <f>IF(C157&lt;='Batt IN'!$G$14*12,'Batt IN'!$E$15/12,0)</f>
        <v>0</v>
      </c>
      <c r="T157" s="77"/>
      <c r="U157" s="80">
        <f>'Batt IN'!$E$28*('Batt IN'!$G$24/24)*730*(1-O157)</f>
        <v>81433.916666666657</v>
      </c>
      <c r="V157" s="78">
        <f>U157*'Batt IN'!$F$30</f>
        <v>16286.783333333333</v>
      </c>
      <c r="W157" s="78">
        <f>'Batt IN'!$E$28*'Batt IN'!$G$32*('Batt IN'!$E$32/12)*(1+'Batt IN'!$F$30)</f>
        <v>1750.0000000000002</v>
      </c>
      <c r="X157" s="78">
        <f>'Batt IN'!$E$28*'Batt IN'!$G$13*('Batt IN'!$E$13/12)*(1+'Batt IN'!$F$30)</f>
        <v>3184.9999999999995</v>
      </c>
      <c r="Y157" s="33">
        <f>S157*'Batt IN'!$G$15*'Batt IN'!$E$28*(1+'Batt IN'!$F$30)</f>
        <v>0</v>
      </c>
      <c r="Z157" s="33">
        <f>'Batt IN'!$G$16*365/12*(1+'Batt IN'!$F$30)</f>
        <v>1824.9999999999998</v>
      </c>
      <c r="AA157" s="33">
        <f>'Batt IN'!$G$17*'Batt IN'!$E$18*'Batt IN'!$G$18/12*(1+'Batt IN'!$F$30)</f>
        <v>1170</v>
      </c>
      <c r="AB157" s="33">
        <f>'Batt IN'!$G$19*'Batt IN'!$E$20*'Batt IN'!$G$20/12*(1+'Batt IN'!$F$30)</f>
        <v>150</v>
      </c>
      <c r="AC157" s="33">
        <f>'Batt IN'!$G$21*(1+'Batt IN'!$F$30)/12</f>
        <v>3500</v>
      </c>
      <c r="AD157" s="33">
        <f>'Batt IN'!$G$22*(1+'Batt IN'!$F$30)/12</f>
        <v>2500</v>
      </c>
      <c r="AE157" s="33">
        <f t="shared" si="49"/>
        <v>30366.783333333333</v>
      </c>
      <c r="AF157" s="33">
        <f>IF('PV IN'!$F$4="Battery Only",0,AE157*'Batt IN'!$E$29)</f>
        <v>25811.765833333331</v>
      </c>
      <c r="AG157" s="33">
        <f>PVCalcs!L157</f>
        <v>25811.765833333331</v>
      </c>
      <c r="AH157" s="33">
        <f t="shared" si="50"/>
        <v>4555.0175000000017</v>
      </c>
      <c r="AI157" s="33"/>
      <c r="AJ157" s="2">
        <f>IF(AND('Batt IN'!$D$53="Yes",$AL$1&gt;=1),IF($C157='Batt IN'!$H$54*12,-'Batt IN'!$F$54,0),0)</f>
        <v>0</v>
      </c>
      <c r="AK157" s="2">
        <f>IF(AND('Batt IN'!$D$53="Yes",$AL$1&gt;=2),IF($C157='Batt IN'!$H$55*12,-'Batt IN'!$F$55,0),0)</f>
        <v>0</v>
      </c>
      <c r="AL157" s="2">
        <f>IF(AND('Batt IN'!$D$53="Yes",$AL$1&gt;=3),IF($C157='Batt IN'!$H$56*12,-'Batt IN'!$F$56,0),0)</f>
        <v>0</v>
      </c>
      <c r="AM157" s="2">
        <f>IF(AND('Batt IN'!$D$53="Yes",$AL$1&gt;=4),IF($C157='Batt IN'!$H$57*12,-'Batt IN'!$F$57,0),0)</f>
        <v>0</v>
      </c>
      <c r="AN157" s="2">
        <f>IF(AND('Batt IN'!$D$53="Yes",$AL$1&gt;=5),IF($C157='Batt IN'!$H$58*12,-'Batt IN'!$F$58,0),0)</f>
        <v>0</v>
      </c>
      <c r="AO157" s="10">
        <f>IF(AND('Batt IN'!$D$44="YES",$C157&lt;='Batt IN'!$E$44*12),-'Batt IN'!$E$28*'Batt IN'!$E$42/12,0)</f>
        <v>0</v>
      </c>
      <c r="AP157" s="10">
        <f>IF(AND('Batt IN'!$D$46="YES",$C157&lt;='Batt IN'!$E$46*12),-'Batt IN'!$E$28*'Batt IN'!$E$45/12,0)</f>
        <v>0</v>
      </c>
      <c r="AR157" s="10">
        <f>BattLoan!M184</f>
        <v>0</v>
      </c>
      <c r="AS157" s="10">
        <f>'Batt IN'!$G$16*365/12*'Batt IN'!$E$16</f>
        <v>76.041666666666671</v>
      </c>
      <c r="AT157" s="10">
        <f>IF(AND('Batt IN'!$E$18&gt;0,'Batt IN'!$G$18&gt;0),'Batt IN'!$E$17*'Batt IN'!$G$17,0)</f>
        <v>119.44619999999999</v>
      </c>
      <c r="AU157" s="10">
        <f>IF(AND('Batt IN'!$E$20&gt;0,'Batt IN'!$G$20&gt;0),'Batt IN'!$E$19*'Batt IN'!$G$19,0)</f>
        <v>231</v>
      </c>
      <c r="AV157" s="10"/>
      <c r="AW157" s="10"/>
      <c r="AX157" s="10">
        <f>IF('Batt IN'!$E$11="Non-Taxable",Q157,0)</f>
        <v>11168.08</v>
      </c>
      <c r="AY157" s="10">
        <f>IF('Batt IN'!$E$11="Non-Taxable",'Batt IN'!$E$28/1000*'Batt IN'!$G$13*('Batt IN'!$E$13/12)*'Batt IN'!$E$12,0)</f>
        <v>244.42220833333334</v>
      </c>
      <c r="AZ157" s="10">
        <f>IF('Batt IN'!$E$11="Non-Taxable",$S157*'Batt IN'!$G$15*'Batt IN'!$E$28*'Batt IN'!$E$14/1000,0)</f>
        <v>0</v>
      </c>
      <c r="BA157" s="10">
        <f>IF('Batt IN'!$E$11="Non-Taxable",'Batt IN'!$E$21*'Batt IN'!$G$21/12,0)</f>
        <v>437.5</v>
      </c>
      <c r="BB157" s="10">
        <f>IF('Batt IN'!$E$11="Non-Taxable",'Batt IN'!$E$22*'Batt IN'!$G$22/12,0)</f>
        <v>1145.8333333333335</v>
      </c>
      <c r="BC157" s="10">
        <f>IF('Batt IN'!$E$11="Taxable",Q157,0)</f>
        <v>0</v>
      </c>
      <c r="BD157" s="10">
        <f>IF('Batt IN'!$E$11="Taxable",'Batt IN'!$E$28/1000*'Batt IN'!$G$13*('Batt IN'!$E$13/12)*'Batt IN'!$E$12,0)</f>
        <v>0</v>
      </c>
      <c r="BE157" s="10">
        <f>IF('Batt IN'!$E$11="Taxable",$S157*'Batt IN'!$G$15*'Batt IN'!$E$28*'Batt IN'!$E$14/1000,0)</f>
        <v>0</v>
      </c>
      <c r="BF157" s="10">
        <f>IF('Batt IN'!$E$11="Taxable",'Batt IN'!$E$21*'Batt IN'!$G$21/12,0)</f>
        <v>0</v>
      </c>
      <c r="BG157" s="10">
        <f>IF('Batt IN'!$E$11="Taxable",'Batt IN'!$E$22*'Batt IN'!$G$22/12,0)</f>
        <v>0</v>
      </c>
      <c r="BK157" s="10">
        <f>IF('Batt IN'!$N$18="Yes",-BattLoan!H185,-BattLoan!L185)</f>
        <v>0</v>
      </c>
      <c r="BL157" s="10">
        <f>IF('Batt IN'!$N$18="Yes",-BattLoan!F185,0)</f>
        <v>0</v>
      </c>
      <c r="BM157" s="10">
        <f>IF(AND('Batt IN'!$D$44="YES",$C157&lt;='Batt IN'!$E$44*12),0,-'Batt IN'!$E$28*'Batt IN'!$E$42/12)</f>
        <v>-83.333333333333329</v>
      </c>
      <c r="BN157" s="10">
        <f>IF(AND('Batt IN'!$D$46="YES",$C157&lt;='Batt IN'!$E$46*12),0,-'Batt IN'!$E$28*'Batt IN'!$E$45/12)</f>
        <v>-166.66666666666666</v>
      </c>
      <c r="BO157" s="2">
        <f>IF(AND('Batt IN'!$D$41="YES",BattCalcs!C157=ROUNDUP('Batt IN'!$H$41*12,)),-'Batt IN'!$E$41*'Batt IN'!$E$28,0)</f>
        <v>0</v>
      </c>
      <c r="BP157" s="2">
        <f>IF(AND('Batt IN'!$D$53="Yes",$AL$1&gt;=1),0,IF($C157='Batt IN'!$H$54*12,-'Batt IN'!$F$54,0))</f>
        <v>0</v>
      </c>
      <c r="BQ157" s="2">
        <f>IF(AND('Batt IN'!$D$53="Yes",$AL$1&gt;=2),0,IF($C157='Batt IN'!$H$55*12,-'Batt IN'!$F$55,0))</f>
        <v>0</v>
      </c>
      <c r="BR157" s="2">
        <f>IF(AND('Batt IN'!$D$53="Yes",$AL$1&gt;=3),0,IF($C157='Batt IN'!$H$56*12,-'Batt IN'!$F$56,0))</f>
        <v>0</v>
      </c>
      <c r="BS157" s="2">
        <f>IF(AND('Batt IN'!$D$53="Yes",$AL$1&gt;=4),0,IF($C157='Batt IN'!$H$57*12,-'Batt IN'!$F$57,0))</f>
        <v>0</v>
      </c>
      <c r="BT157" s="2">
        <f>IF(AND('Batt IN'!$D$53="Yes",$AL$1&gt;=5),0,IF($C157='Batt IN'!$H$58*12,-'Batt IN'!$F$58,0))</f>
        <v>0</v>
      </c>
      <c r="BU157" s="2">
        <f>-AH157*PVCalcs!F157</f>
        <v>-367.15144220703252</v>
      </c>
      <c r="BV157" s="2">
        <f>-'Batt IN'!$E$47</f>
        <v>-150</v>
      </c>
      <c r="BW157" s="2">
        <f>-'Batt IN'!$E$49</f>
        <v>-2250</v>
      </c>
      <c r="BX157" s="2">
        <f>IF('Batt IN'!$H$50="No",-(BC157*'Batt IN'!$E$50),-(BC157+BE157)*'Batt IN'!$E$50)</f>
        <v>0</v>
      </c>
      <c r="BY157" s="2">
        <f>IF(C157='Batt IN'!$H$43*12,-'Batt IN'!$E$43,0)</f>
        <v>0</v>
      </c>
      <c r="BZ157" s="38"/>
      <c r="CA157" s="10">
        <f t="shared" si="34"/>
        <v>13422.323408333334</v>
      </c>
      <c r="CB157" s="2">
        <f t="shared" si="38"/>
        <v>-3017.1514422070322</v>
      </c>
      <c r="CC157" s="45">
        <f t="shared" si="39"/>
        <v>10405.171966126301</v>
      </c>
      <c r="CD157" s="43"/>
      <c r="CE157" s="2">
        <f t="shared" si="35"/>
        <v>0</v>
      </c>
      <c r="CF157" s="2">
        <f t="shared" si="40"/>
        <v>-3017.1514422070322</v>
      </c>
      <c r="CG157" s="2"/>
      <c r="CH157" s="2">
        <f t="shared" si="41"/>
        <v>-3017.1514422070322</v>
      </c>
      <c r="CI157" s="45">
        <f>-CH157*'Batt IN'!$E$7</f>
        <v>633.60180286347679</v>
      </c>
      <c r="CJ157" s="48"/>
      <c r="CK157" s="45">
        <f>IF('Batt IN'!$F$4="PV Only",0,IF(C157&gt;'Batt IN'!$H$43*12,0,CC157+CI157))</f>
        <v>0</v>
      </c>
      <c r="CM157" s="10">
        <f t="shared" si="42"/>
        <v>0</v>
      </c>
      <c r="CN157" s="2">
        <f>CK157/(1+('Batt IN'!$G$8))^(C157)</f>
        <v>0</v>
      </c>
      <c r="CO157" s="2">
        <f>IF(C157&lt;='Batt IN'!$O$30*12,CN157+CO156,NA())</f>
        <v>0</v>
      </c>
      <c r="CQ157" s="2">
        <f>CK157/((1+('Batt IN'!$E$8/12))^BattCalcs!C157)</f>
        <v>0</v>
      </c>
      <c r="CS157" s="10">
        <f t="shared" si="43"/>
        <v>-3017.1514422070322</v>
      </c>
      <c r="CT157" s="10">
        <f t="shared" si="44"/>
        <v>0</v>
      </c>
      <c r="CU157" s="10">
        <f t="shared" si="45"/>
        <v>-3017.1514422070322</v>
      </c>
      <c r="CV157" s="10">
        <f t="shared" si="46"/>
        <v>-3017.1514422070322</v>
      </c>
      <c r="CW157" s="2">
        <f t="shared" si="47"/>
        <v>0</v>
      </c>
      <c r="CX157" s="2">
        <f>-(SUM(CV157:CW157)*'PV IN'!$E$8)</f>
        <v>633.60180286347679</v>
      </c>
      <c r="CY157" s="2">
        <f t="shared" si="48"/>
        <v>-2383.5496393435556</v>
      </c>
      <c r="CZ157" s="2">
        <f>IF(C157&lt;='Batt IN'!$H$43*12,CY157/(1+('PV IN'!$G$9))^(C157),0)</f>
        <v>-1279.5599484207746</v>
      </c>
      <c r="DA157" s="33">
        <f>IF(C157&lt;='Batt IN'!$H$43*12,AE157,0)</f>
        <v>30366.783333333333</v>
      </c>
    </row>
    <row r="158" spans="1:105" x14ac:dyDescent="0.25">
      <c r="A158">
        <f>IF(C158&lt;='Batt IN'!$H$43*12,C158,"")</f>
        <v>154</v>
      </c>
      <c r="C158">
        <v>154</v>
      </c>
      <c r="D158" s="21">
        <v>730</v>
      </c>
      <c r="E158" s="1">
        <f>1-'Batt IN'!$E$31</f>
        <v>2.0000000000000018E-2</v>
      </c>
      <c r="F158" s="12">
        <f>('Batt IN'!$E$33*365)/8760</f>
        <v>0</v>
      </c>
      <c r="G158" s="22">
        <f>'Batt IN'!$E$32/8760</f>
        <v>5.7077625570776253E-3</v>
      </c>
      <c r="H158" s="22">
        <f>'Batt IN'!$E$13/8760</f>
        <v>5.5936073059360729E-3</v>
      </c>
      <c r="I158" s="23">
        <f>IF(C158&lt;='Batt IN'!$G$14*12,'Batt IN'!$E$15/8760*'Batt IN'!$G$15,0)</f>
        <v>0</v>
      </c>
      <c r="J158" s="12">
        <f>Z158/'Batt IN'!$E$27/730</f>
        <v>2.4999999999999996E-3</v>
      </c>
      <c r="K158" s="23">
        <f>AA158/'Batt IN'!$E$27/730</f>
        <v>1.6027397260273972E-3</v>
      </c>
      <c r="L158" s="23">
        <f>AB158/'Batt IN'!$E$27/730</f>
        <v>2.0547945205479451E-4</v>
      </c>
      <c r="M158" s="23">
        <f>AC158/'Batt IN'!$E$27/730</f>
        <v>4.7945205479452057E-3</v>
      </c>
      <c r="N158" s="23">
        <f>AD158/'Batt IN'!$E$27/730</f>
        <v>3.4246575342465752E-3</v>
      </c>
      <c r="O158" s="12">
        <f t="shared" si="36"/>
        <v>4.3828767123287697E-2</v>
      </c>
      <c r="P158" s="21">
        <f t="shared" si="37"/>
        <v>698.005</v>
      </c>
      <c r="Q158" s="2">
        <f>IF('Batt IN'!$E$27*'Batt IN'!$E$24&lt;='Batt IN'!$E$28,(('Batt IN'!$E$23*'Batt IN'!$E$27*'Batt IN'!$E$24)/1000)*P158,(('Batt IN'!$E$23*'Batt IN'!$E$28*'Batt IN'!$E$24)/1000)*P158)</f>
        <v>11168.08</v>
      </c>
      <c r="R158" s="2"/>
      <c r="S158" s="77">
        <f>IF(C158&lt;='Batt IN'!$G$14*12,'Batt IN'!$E$15/12,0)</f>
        <v>0</v>
      </c>
      <c r="T158" s="77"/>
      <c r="U158" s="80">
        <f>'Batt IN'!$E$28*('Batt IN'!$G$24/24)*730*(1-O158)</f>
        <v>81433.916666666657</v>
      </c>
      <c r="V158" s="78">
        <f>U158*'Batt IN'!$F$30</f>
        <v>16286.783333333333</v>
      </c>
      <c r="W158" s="78">
        <f>'Batt IN'!$E$28*'Batt IN'!$G$32*('Batt IN'!$E$32/12)*(1+'Batt IN'!$F$30)</f>
        <v>1750.0000000000002</v>
      </c>
      <c r="X158" s="78">
        <f>'Batt IN'!$E$28*'Batt IN'!$G$13*('Batt IN'!$E$13/12)*(1+'Batt IN'!$F$30)</f>
        <v>3184.9999999999995</v>
      </c>
      <c r="Y158" s="33">
        <f>S158*'Batt IN'!$G$15*'Batt IN'!$E$28*(1+'Batt IN'!$F$30)</f>
        <v>0</v>
      </c>
      <c r="Z158" s="33">
        <f>'Batt IN'!$G$16*365/12*(1+'Batt IN'!$F$30)</f>
        <v>1824.9999999999998</v>
      </c>
      <c r="AA158" s="33">
        <f>'Batt IN'!$G$17*'Batt IN'!$E$18*'Batt IN'!$G$18/12*(1+'Batt IN'!$F$30)</f>
        <v>1170</v>
      </c>
      <c r="AB158" s="33">
        <f>'Batt IN'!$G$19*'Batt IN'!$E$20*'Batt IN'!$G$20/12*(1+'Batt IN'!$F$30)</f>
        <v>150</v>
      </c>
      <c r="AC158" s="33">
        <f>'Batt IN'!$G$21*(1+'Batt IN'!$F$30)/12</f>
        <v>3500</v>
      </c>
      <c r="AD158" s="33">
        <f>'Batt IN'!$G$22*(1+'Batt IN'!$F$30)/12</f>
        <v>2500</v>
      </c>
      <c r="AE158" s="33">
        <f t="shared" si="49"/>
        <v>30366.783333333333</v>
      </c>
      <c r="AF158" s="33">
        <f>IF('PV IN'!$F$4="Battery Only",0,AE158*'Batt IN'!$E$29)</f>
        <v>25811.765833333331</v>
      </c>
      <c r="AG158" s="33">
        <f>PVCalcs!L158</f>
        <v>25811.765833333331</v>
      </c>
      <c r="AH158" s="33">
        <f t="shared" si="50"/>
        <v>4555.0175000000017</v>
      </c>
      <c r="AI158" s="33"/>
      <c r="AJ158" s="2">
        <f>IF(AND('Batt IN'!$D$53="Yes",$AL$1&gt;=1),IF($C158='Batt IN'!$H$54*12,-'Batt IN'!$F$54,0),0)</f>
        <v>0</v>
      </c>
      <c r="AK158" s="2">
        <f>IF(AND('Batt IN'!$D$53="Yes",$AL$1&gt;=2),IF($C158='Batt IN'!$H$55*12,-'Batt IN'!$F$55,0),0)</f>
        <v>0</v>
      </c>
      <c r="AL158" s="2">
        <f>IF(AND('Batt IN'!$D$53="Yes",$AL$1&gt;=3),IF($C158='Batt IN'!$H$56*12,-'Batt IN'!$F$56,0),0)</f>
        <v>0</v>
      </c>
      <c r="AM158" s="2">
        <f>IF(AND('Batt IN'!$D$53="Yes",$AL$1&gt;=4),IF($C158='Batt IN'!$H$57*12,-'Batt IN'!$F$57,0),0)</f>
        <v>0</v>
      </c>
      <c r="AN158" s="2">
        <f>IF(AND('Batt IN'!$D$53="Yes",$AL$1&gt;=5),IF($C158='Batt IN'!$H$58*12,-'Batt IN'!$F$58,0),0)</f>
        <v>0</v>
      </c>
      <c r="AO158" s="10">
        <f>IF(AND('Batt IN'!$D$44="YES",$C158&lt;='Batt IN'!$E$44*12),-'Batt IN'!$E$28*'Batt IN'!$E$42/12,0)</f>
        <v>0</v>
      </c>
      <c r="AP158" s="10">
        <f>IF(AND('Batt IN'!$D$46="YES",$C158&lt;='Batt IN'!$E$46*12),-'Batt IN'!$E$28*'Batt IN'!$E$45/12,0)</f>
        <v>0</v>
      </c>
      <c r="AR158" s="10">
        <f>BattLoan!M185</f>
        <v>0</v>
      </c>
      <c r="AS158" s="10">
        <f>'Batt IN'!$G$16*365/12*'Batt IN'!$E$16</f>
        <v>76.041666666666671</v>
      </c>
      <c r="AT158" s="10">
        <f>IF(AND('Batt IN'!$E$18&gt;0,'Batt IN'!$G$18&gt;0),'Batt IN'!$E$17*'Batt IN'!$G$17,0)</f>
        <v>119.44619999999999</v>
      </c>
      <c r="AU158" s="10">
        <f>IF(AND('Batt IN'!$E$20&gt;0,'Batt IN'!$G$20&gt;0),'Batt IN'!$E$19*'Batt IN'!$G$19,0)</f>
        <v>231</v>
      </c>
      <c r="AV158" s="10"/>
      <c r="AW158" s="10"/>
      <c r="AX158" s="10">
        <f>IF('Batt IN'!$E$11="Non-Taxable",Q158,0)</f>
        <v>11168.08</v>
      </c>
      <c r="AY158" s="10">
        <f>IF('Batt IN'!$E$11="Non-Taxable",'Batt IN'!$E$28/1000*'Batt IN'!$G$13*('Batt IN'!$E$13/12)*'Batt IN'!$E$12,0)</f>
        <v>244.42220833333334</v>
      </c>
      <c r="AZ158" s="10">
        <f>IF('Batt IN'!$E$11="Non-Taxable",$S158*'Batt IN'!$G$15*'Batt IN'!$E$28*'Batt IN'!$E$14/1000,0)</f>
        <v>0</v>
      </c>
      <c r="BA158" s="10">
        <f>IF('Batt IN'!$E$11="Non-Taxable",'Batt IN'!$E$21*'Batt IN'!$G$21/12,0)</f>
        <v>437.5</v>
      </c>
      <c r="BB158" s="10">
        <f>IF('Batt IN'!$E$11="Non-Taxable",'Batt IN'!$E$22*'Batt IN'!$G$22/12,0)</f>
        <v>1145.8333333333335</v>
      </c>
      <c r="BC158" s="10">
        <f>IF('Batt IN'!$E$11="Taxable",Q158,0)</f>
        <v>0</v>
      </c>
      <c r="BD158" s="10">
        <f>IF('Batt IN'!$E$11="Taxable",'Batt IN'!$E$28/1000*'Batt IN'!$G$13*('Batt IN'!$E$13/12)*'Batt IN'!$E$12,0)</f>
        <v>0</v>
      </c>
      <c r="BE158" s="10">
        <f>IF('Batt IN'!$E$11="Taxable",$S158*'Batt IN'!$G$15*'Batt IN'!$E$28*'Batt IN'!$E$14/1000,0)</f>
        <v>0</v>
      </c>
      <c r="BF158" s="10">
        <f>IF('Batt IN'!$E$11="Taxable",'Batt IN'!$E$21*'Batt IN'!$G$21/12,0)</f>
        <v>0</v>
      </c>
      <c r="BG158" s="10">
        <f>IF('Batt IN'!$E$11="Taxable",'Batt IN'!$E$22*'Batt IN'!$G$22/12,0)</f>
        <v>0</v>
      </c>
      <c r="BK158" s="10">
        <f>IF('Batt IN'!$N$18="Yes",-BattLoan!H186,-BattLoan!L186)</f>
        <v>0</v>
      </c>
      <c r="BL158" s="10">
        <f>IF('Batt IN'!$N$18="Yes",-BattLoan!F186,0)</f>
        <v>0</v>
      </c>
      <c r="BM158" s="10">
        <f>IF(AND('Batt IN'!$D$44="YES",$C158&lt;='Batt IN'!$E$44*12),0,-'Batt IN'!$E$28*'Batt IN'!$E$42/12)</f>
        <v>-83.333333333333329</v>
      </c>
      <c r="BN158" s="10">
        <f>IF(AND('Batt IN'!$D$46="YES",$C158&lt;='Batt IN'!$E$46*12),0,-'Batt IN'!$E$28*'Batt IN'!$E$45/12)</f>
        <v>-166.66666666666666</v>
      </c>
      <c r="BO158" s="2">
        <f>IF(AND('Batt IN'!$D$41="YES",BattCalcs!C158=ROUNDUP('Batt IN'!$H$41*12,)),-'Batt IN'!$E$41*'Batt IN'!$E$28,0)</f>
        <v>0</v>
      </c>
      <c r="BP158" s="2">
        <f>IF(AND('Batt IN'!$D$53="Yes",$AL$1&gt;=1),0,IF($C158='Batt IN'!$H$54*12,-'Batt IN'!$F$54,0))</f>
        <v>0</v>
      </c>
      <c r="BQ158" s="2">
        <f>IF(AND('Batt IN'!$D$53="Yes",$AL$1&gt;=2),0,IF($C158='Batt IN'!$H$55*12,-'Batt IN'!$F$55,0))</f>
        <v>0</v>
      </c>
      <c r="BR158" s="2">
        <f>IF(AND('Batt IN'!$D$53="Yes",$AL$1&gt;=3),0,IF($C158='Batt IN'!$H$56*12,-'Batt IN'!$F$56,0))</f>
        <v>0</v>
      </c>
      <c r="BS158" s="2">
        <f>IF(AND('Batt IN'!$D$53="Yes",$AL$1&gt;=4),0,IF($C158='Batt IN'!$H$57*12,-'Batt IN'!$F$57,0))</f>
        <v>0</v>
      </c>
      <c r="BT158" s="2">
        <f>IF(AND('Batt IN'!$D$53="Yes",$AL$1&gt;=5),0,IF($C158='Batt IN'!$H$58*12,-'Batt IN'!$F$58,0))</f>
        <v>0</v>
      </c>
      <c r="BU158" s="2">
        <f>-AH158*PVCalcs!F158</f>
        <v>-367.15144220703252</v>
      </c>
      <c r="BV158" s="2">
        <f>-'Batt IN'!$E$47</f>
        <v>-150</v>
      </c>
      <c r="BW158" s="2">
        <f>-'Batt IN'!$E$49</f>
        <v>-2250</v>
      </c>
      <c r="BX158" s="2">
        <f>IF('Batt IN'!$H$50="No",-(BC158*'Batt IN'!$E$50),-(BC158+BE158)*'Batt IN'!$E$50)</f>
        <v>0</v>
      </c>
      <c r="BY158" s="2">
        <f>IF(C158='Batt IN'!$H$43*12,-'Batt IN'!$E$43,0)</f>
        <v>0</v>
      </c>
      <c r="BZ158" s="38"/>
      <c r="CA158" s="10">
        <f t="shared" si="34"/>
        <v>13422.323408333334</v>
      </c>
      <c r="CB158" s="2">
        <f t="shared" si="38"/>
        <v>-3017.1514422070322</v>
      </c>
      <c r="CC158" s="45">
        <f t="shared" si="39"/>
        <v>10405.171966126301</v>
      </c>
      <c r="CD158" s="43"/>
      <c r="CE158" s="2">
        <f t="shared" si="35"/>
        <v>0</v>
      </c>
      <c r="CF158" s="2">
        <f t="shared" si="40"/>
        <v>-3017.1514422070322</v>
      </c>
      <c r="CG158" s="2"/>
      <c r="CH158" s="2">
        <f t="shared" si="41"/>
        <v>-3017.1514422070322</v>
      </c>
      <c r="CI158" s="45">
        <f>-CH158*'Batt IN'!$E$7</f>
        <v>633.60180286347679</v>
      </c>
      <c r="CJ158" s="48"/>
      <c r="CK158" s="45">
        <f>IF('Batt IN'!$F$4="PV Only",0,IF(C158&gt;'Batt IN'!$H$43*12,0,CC158+CI158))</f>
        <v>0</v>
      </c>
      <c r="CM158" s="10">
        <f t="shared" si="42"/>
        <v>0</v>
      </c>
      <c r="CN158" s="2">
        <f>CK158/(1+('Batt IN'!$G$8))^(C158)</f>
        <v>0</v>
      </c>
      <c r="CO158" s="2">
        <f>IF(C158&lt;='Batt IN'!$O$30*12,CN158+CO157,NA())</f>
        <v>0</v>
      </c>
      <c r="CQ158" s="2">
        <f>CK158/((1+('Batt IN'!$E$8/12))^BattCalcs!C158)</f>
        <v>0</v>
      </c>
      <c r="CS158" s="10">
        <f t="shared" si="43"/>
        <v>-3017.1514422070322</v>
      </c>
      <c r="CT158" s="10">
        <f t="shared" si="44"/>
        <v>0</v>
      </c>
      <c r="CU158" s="10">
        <f t="shared" si="45"/>
        <v>-3017.1514422070322</v>
      </c>
      <c r="CV158" s="10">
        <f t="shared" si="46"/>
        <v>-3017.1514422070322</v>
      </c>
      <c r="CW158" s="2">
        <f t="shared" si="47"/>
        <v>0</v>
      </c>
      <c r="CX158" s="2">
        <f>-(SUM(CV158:CW158)*'PV IN'!$E$8)</f>
        <v>633.60180286347679</v>
      </c>
      <c r="CY158" s="2">
        <f t="shared" si="48"/>
        <v>-2383.5496393435556</v>
      </c>
      <c r="CZ158" s="2">
        <f>IF(C158&lt;='Batt IN'!$H$43*12,CY158/(1+('PV IN'!$G$9))^(C158),0)</f>
        <v>-1274.3680153801936</v>
      </c>
      <c r="DA158" s="33">
        <f>IF(C158&lt;='Batt IN'!$H$43*12,AE158,0)</f>
        <v>30366.783333333333</v>
      </c>
    </row>
    <row r="159" spans="1:105" x14ac:dyDescent="0.25">
      <c r="A159">
        <f>IF(C159&lt;='Batt IN'!$H$43*12,C159,"")</f>
        <v>155</v>
      </c>
      <c r="C159">
        <v>155</v>
      </c>
      <c r="D159" s="21">
        <v>730</v>
      </c>
      <c r="E159" s="1">
        <f>1-'Batt IN'!$E$31</f>
        <v>2.0000000000000018E-2</v>
      </c>
      <c r="F159" s="12">
        <f>('Batt IN'!$E$33*365)/8760</f>
        <v>0</v>
      </c>
      <c r="G159" s="22">
        <f>'Batt IN'!$E$32/8760</f>
        <v>5.7077625570776253E-3</v>
      </c>
      <c r="H159" s="22">
        <f>'Batt IN'!$E$13/8760</f>
        <v>5.5936073059360729E-3</v>
      </c>
      <c r="I159" s="23">
        <f>IF(C159&lt;='Batt IN'!$G$14*12,'Batt IN'!$E$15/8760*'Batt IN'!$G$15,0)</f>
        <v>0</v>
      </c>
      <c r="J159" s="12">
        <f>Z159/'Batt IN'!$E$27/730</f>
        <v>2.4999999999999996E-3</v>
      </c>
      <c r="K159" s="23">
        <f>AA159/'Batt IN'!$E$27/730</f>
        <v>1.6027397260273972E-3</v>
      </c>
      <c r="L159" s="23">
        <f>AB159/'Batt IN'!$E$27/730</f>
        <v>2.0547945205479451E-4</v>
      </c>
      <c r="M159" s="23">
        <f>AC159/'Batt IN'!$E$27/730</f>
        <v>4.7945205479452057E-3</v>
      </c>
      <c r="N159" s="23">
        <f>AD159/'Batt IN'!$E$27/730</f>
        <v>3.4246575342465752E-3</v>
      </c>
      <c r="O159" s="12">
        <f t="shared" si="36"/>
        <v>4.3828767123287697E-2</v>
      </c>
      <c r="P159" s="21">
        <f t="shared" si="37"/>
        <v>698.005</v>
      </c>
      <c r="Q159" s="2">
        <f>IF('Batt IN'!$E$27*'Batt IN'!$E$24&lt;='Batt IN'!$E$28,(('Batt IN'!$E$23*'Batt IN'!$E$27*'Batt IN'!$E$24)/1000)*P159,(('Batt IN'!$E$23*'Batt IN'!$E$28*'Batt IN'!$E$24)/1000)*P159)</f>
        <v>11168.08</v>
      </c>
      <c r="R159" s="2"/>
      <c r="S159" s="77">
        <f>IF(C159&lt;='Batt IN'!$G$14*12,'Batt IN'!$E$15/12,0)</f>
        <v>0</v>
      </c>
      <c r="T159" s="77"/>
      <c r="U159" s="80">
        <f>'Batt IN'!$E$28*('Batt IN'!$G$24/24)*730*(1-O159)</f>
        <v>81433.916666666657</v>
      </c>
      <c r="V159" s="78">
        <f>U159*'Batt IN'!$F$30</f>
        <v>16286.783333333333</v>
      </c>
      <c r="W159" s="78">
        <f>'Batt IN'!$E$28*'Batt IN'!$G$32*('Batt IN'!$E$32/12)*(1+'Batt IN'!$F$30)</f>
        <v>1750.0000000000002</v>
      </c>
      <c r="X159" s="78">
        <f>'Batt IN'!$E$28*'Batt IN'!$G$13*('Batt IN'!$E$13/12)*(1+'Batt IN'!$F$30)</f>
        <v>3184.9999999999995</v>
      </c>
      <c r="Y159" s="33">
        <f>S159*'Batt IN'!$G$15*'Batt IN'!$E$28*(1+'Batt IN'!$F$30)</f>
        <v>0</v>
      </c>
      <c r="Z159" s="33">
        <f>'Batt IN'!$G$16*365/12*(1+'Batt IN'!$F$30)</f>
        <v>1824.9999999999998</v>
      </c>
      <c r="AA159" s="33">
        <f>'Batt IN'!$G$17*'Batt IN'!$E$18*'Batt IN'!$G$18/12*(1+'Batt IN'!$F$30)</f>
        <v>1170</v>
      </c>
      <c r="AB159" s="33">
        <f>'Batt IN'!$G$19*'Batt IN'!$E$20*'Batt IN'!$G$20/12*(1+'Batt IN'!$F$30)</f>
        <v>150</v>
      </c>
      <c r="AC159" s="33">
        <f>'Batt IN'!$G$21*(1+'Batt IN'!$F$30)/12</f>
        <v>3500</v>
      </c>
      <c r="AD159" s="33">
        <f>'Batt IN'!$G$22*(1+'Batt IN'!$F$30)/12</f>
        <v>2500</v>
      </c>
      <c r="AE159" s="33">
        <f t="shared" si="49"/>
        <v>30366.783333333333</v>
      </c>
      <c r="AF159" s="33">
        <f>IF('PV IN'!$F$4="Battery Only",0,AE159*'Batt IN'!$E$29)</f>
        <v>25811.765833333331</v>
      </c>
      <c r="AG159" s="33">
        <f>PVCalcs!L159</f>
        <v>25811.765833333331</v>
      </c>
      <c r="AH159" s="33">
        <f t="shared" si="50"/>
        <v>4555.0175000000017</v>
      </c>
      <c r="AI159" s="33"/>
      <c r="AJ159" s="2">
        <f>IF(AND('Batt IN'!$D$53="Yes",$AL$1&gt;=1),IF($C159='Batt IN'!$H$54*12,-'Batt IN'!$F$54,0),0)</f>
        <v>0</v>
      </c>
      <c r="AK159" s="2">
        <f>IF(AND('Batt IN'!$D$53="Yes",$AL$1&gt;=2),IF($C159='Batt IN'!$H$55*12,-'Batt IN'!$F$55,0),0)</f>
        <v>0</v>
      </c>
      <c r="AL159" s="2">
        <f>IF(AND('Batt IN'!$D$53="Yes",$AL$1&gt;=3),IF($C159='Batt IN'!$H$56*12,-'Batt IN'!$F$56,0),0)</f>
        <v>0</v>
      </c>
      <c r="AM159" s="2">
        <f>IF(AND('Batt IN'!$D$53="Yes",$AL$1&gt;=4),IF($C159='Batt IN'!$H$57*12,-'Batt IN'!$F$57,0),0)</f>
        <v>0</v>
      </c>
      <c r="AN159" s="2">
        <f>IF(AND('Batt IN'!$D$53="Yes",$AL$1&gt;=5),IF($C159='Batt IN'!$H$58*12,-'Batt IN'!$F$58,0),0)</f>
        <v>0</v>
      </c>
      <c r="AO159" s="10">
        <f>IF(AND('Batt IN'!$D$44="YES",$C159&lt;='Batt IN'!$E$44*12),-'Batt IN'!$E$28*'Batt IN'!$E$42/12,0)</f>
        <v>0</v>
      </c>
      <c r="AP159" s="10">
        <f>IF(AND('Batt IN'!$D$46="YES",$C159&lt;='Batt IN'!$E$46*12),-'Batt IN'!$E$28*'Batt IN'!$E$45/12,0)</f>
        <v>0</v>
      </c>
      <c r="AR159" s="10">
        <f>BattLoan!M186</f>
        <v>0</v>
      </c>
      <c r="AS159" s="10">
        <f>'Batt IN'!$G$16*365/12*'Batt IN'!$E$16</f>
        <v>76.041666666666671</v>
      </c>
      <c r="AT159" s="10">
        <f>IF(AND('Batt IN'!$E$18&gt;0,'Batt IN'!$G$18&gt;0),'Batt IN'!$E$17*'Batt IN'!$G$17,0)</f>
        <v>119.44619999999999</v>
      </c>
      <c r="AU159" s="10">
        <f>IF(AND('Batt IN'!$E$20&gt;0,'Batt IN'!$G$20&gt;0),'Batt IN'!$E$19*'Batt IN'!$G$19,0)</f>
        <v>231</v>
      </c>
      <c r="AV159" s="10"/>
      <c r="AW159" s="10"/>
      <c r="AX159" s="10">
        <f>IF('Batt IN'!$E$11="Non-Taxable",Q159,0)</f>
        <v>11168.08</v>
      </c>
      <c r="AY159" s="10">
        <f>IF('Batt IN'!$E$11="Non-Taxable",'Batt IN'!$E$28/1000*'Batt IN'!$G$13*('Batt IN'!$E$13/12)*'Batt IN'!$E$12,0)</f>
        <v>244.42220833333334</v>
      </c>
      <c r="AZ159" s="10">
        <f>IF('Batt IN'!$E$11="Non-Taxable",$S159*'Batt IN'!$G$15*'Batt IN'!$E$28*'Batt IN'!$E$14/1000,0)</f>
        <v>0</v>
      </c>
      <c r="BA159" s="10">
        <f>IF('Batt IN'!$E$11="Non-Taxable",'Batt IN'!$E$21*'Batt IN'!$G$21/12,0)</f>
        <v>437.5</v>
      </c>
      <c r="BB159" s="10">
        <f>IF('Batt IN'!$E$11="Non-Taxable",'Batt IN'!$E$22*'Batt IN'!$G$22/12,0)</f>
        <v>1145.8333333333335</v>
      </c>
      <c r="BC159" s="10">
        <f>IF('Batt IN'!$E$11="Taxable",Q159,0)</f>
        <v>0</v>
      </c>
      <c r="BD159" s="10">
        <f>IF('Batt IN'!$E$11="Taxable",'Batt IN'!$E$28/1000*'Batt IN'!$G$13*('Batt IN'!$E$13/12)*'Batt IN'!$E$12,0)</f>
        <v>0</v>
      </c>
      <c r="BE159" s="10">
        <f>IF('Batt IN'!$E$11="Taxable",$S159*'Batt IN'!$G$15*'Batt IN'!$E$28*'Batt IN'!$E$14/1000,0)</f>
        <v>0</v>
      </c>
      <c r="BF159" s="10">
        <f>IF('Batt IN'!$E$11="Taxable",'Batt IN'!$E$21*'Batt IN'!$G$21/12,0)</f>
        <v>0</v>
      </c>
      <c r="BG159" s="10">
        <f>IF('Batt IN'!$E$11="Taxable",'Batt IN'!$E$22*'Batt IN'!$G$22/12,0)</f>
        <v>0</v>
      </c>
      <c r="BK159" s="10">
        <f>IF('Batt IN'!$N$18="Yes",-BattLoan!H187,-BattLoan!L187)</f>
        <v>0</v>
      </c>
      <c r="BL159" s="10">
        <f>IF('Batt IN'!$N$18="Yes",-BattLoan!F187,0)</f>
        <v>0</v>
      </c>
      <c r="BM159" s="10">
        <f>IF(AND('Batt IN'!$D$44="YES",$C159&lt;='Batt IN'!$E$44*12),0,-'Batt IN'!$E$28*'Batt IN'!$E$42/12)</f>
        <v>-83.333333333333329</v>
      </c>
      <c r="BN159" s="10">
        <f>IF(AND('Batt IN'!$D$46="YES",$C159&lt;='Batt IN'!$E$46*12),0,-'Batt IN'!$E$28*'Batt IN'!$E$45/12)</f>
        <v>-166.66666666666666</v>
      </c>
      <c r="BO159" s="2">
        <f>IF(AND('Batt IN'!$D$41="YES",BattCalcs!C159=ROUNDUP('Batt IN'!$H$41*12,)),-'Batt IN'!$E$41*'Batt IN'!$E$28,0)</f>
        <v>0</v>
      </c>
      <c r="BP159" s="2">
        <f>IF(AND('Batt IN'!$D$53="Yes",$AL$1&gt;=1),0,IF($C159='Batt IN'!$H$54*12,-'Batt IN'!$F$54,0))</f>
        <v>0</v>
      </c>
      <c r="BQ159" s="2">
        <f>IF(AND('Batt IN'!$D$53="Yes",$AL$1&gt;=2),0,IF($C159='Batt IN'!$H$55*12,-'Batt IN'!$F$55,0))</f>
        <v>0</v>
      </c>
      <c r="BR159" s="2">
        <f>IF(AND('Batt IN'!$D$53="Yes",$AL$1&gt;=3),0,IF($C159='Batt IN'!$H$56*12,-'Batt IN'!$F$56,0))</f>
        <v>0</v>
      </c>
      <c r="BS159" s="2">
        <f>IF(AND('Batt IN'!$D$53="Yes",$AL$1&gt;=4),0,IF($C159='Batt IN'!$H$57*12,-'Batt IN'!$F$57,0))</f>
        <v>0</v>
      </c>
      <c r="BT159" s="2">
        <f>IF(AND('Batt IN'!$D$53="Yes",$AL$1&gt;=5),0,IF($C159='Batt IN'!$H$58*12,-'Batt IN'!$F$58,0))</f>
        <v>0</v>
      </c>
      <c r="BU159" s="2">
        <f>-AH159*PVCalcs!F159</f>
        <v>-367.15144220703252</v>
      </c>
      <c r="BV159" s="2">
        <f>-'Batt IN'!$E$47</f>
        <v>-150</v>
      </c>
      <c r="BW159" s="2">
        <f>-'Batt IN'!$E$49</f>
        <v>-2250</v>
      </c>
      <c r="BX159" s="2">
        <f>IF('Batt IN'!$H$50="No",-(BC159*'Batt IN'!$E$50),-(BC159+BE159)*'Batt IN'!$E$50)</f>
        <v>0</v>
      </c>
      <c r="BY159" s="2">
        <f>IF(C159='Batt IN'!$H$43*12,-'Batt IN'!$E$43,0)</f>
        <v>0</v>
      </c>
      <c r="BZ159" s="38"/>
      <c r="CA159" s="10">
        <f t="shared" si="34"/>
        <v>13422.323408333334</v>
      </c>
      <c r="CB159" s="2">
        <f t="shared" si="38"/>
        <v>-3017.1514422070322</v>
      </c>
      <c r="CC159" s="45">
        <f t="shared" si="39"/>
        <v>10405.171966126301</v>
      </c>
      <c r="CD159" s="43"/>
      <c r="CE159" s="2">
        <f t="shared" si="35"/>
        <v>0</v>
      </c>
      <c r="CF159" s="2">
        <f t="shared" si="40"/>
        <v>-3017.1514422070322</v>
      </c>
      <c r="CG159" s="2"/>
      <c r="CH159" s="2">
        <f t="shared" si="41"/>
        <v>-3017.1514422070322</v>
      </c>
      <c r="CI159" s="45">
        <f>-CH159*'Batt IN'!$E$7</f>
        <v>633.60180286347679</v>
      </c>
      <c r="CJ159" s="48"/>
      <c r="CK159" s="45">
        <f>IF('Batt IN'!$F$4="PV Only",0,IF(C159&gt;'Batt IN'!$H$43*12,0,CC159+CI159))</f>
        <v>0</v>
      </c>
      <c r="CM159" s="10">
        <f t="shared" si="42"/>
        <v>0</v>
      </c>
      <c r="CN159" s="2">
        <f>CK159/(1+('Batt IN'!$G$8))^(C159)</f>
        <v>0</v>
      </c>
      <c r="CO159" s="2">
        <f>IF(C159&lt;='Batt IN'!$O$30*12,CN159+CO158,NA())</f>
        <v>0</v>
      </c>
      <c r="CQ159" s="2">
        <f>CK159/((1+('Batt IN'!$E$8/12))^BattCalcs!C159)</f>
        <v>0</v>
      </c>
      <c r="CS159" s="10">
        <f t="shared" si="43"/>
        <v>-3017.1514422070322</v>
      </c>
      <c r="CT159" s="10">
        <f t="shared" si="44"/>
        <v>0</v>
      </c>
      <c r="CU159" s="10">
        <f t="shared" si="45"/>
        <v>-3017.1514422070322</v>
      </c>
      <c r="CV159" s="10">
        <f t="shared" si="46"/>
        <v>-3017.1514422070322</v>
      </c>
      <c r="CW159" s="2">
        <f t="shared" si="47"/>
        <v>0</v>
      </c>
      <c r="CX159" s="2">
        <f>-(SUM(CV159:CW159)*'PV IN'!$E$8)</f>
        <v>633.60180286347679</v>
      </c>
      <c r="CY159" s="2">
        <f t="shared" si="48"/>
        <v>-2383.5496393435556</v>
      </c>
      <c r="CZ159" s="2">
        <f>IF(C159&lt;='Batt IN'!$H$43*12,CY159/(1+('PV IN'!$G$9))^(C159),0)</f>
        <v>-1269.1971490889516</v>
      </c>
      <c r="DA159" s="33">
        <f>IF(C159&lt;='Batt IN'!$H$43*12,AE159,0)</f>
        <v>30366.783333333333</v>
      </c>
    </row>
    <row r="160" spans="1:105" x14ac:dyDescent="0.25">
      <c r="A160">
        <f>IF(C160&lt;='Batt IN'!$H$43*12,C160,"")</f>
        <v>156</v>
      </c>
      <c r="B160">
        <v>13</v>
      </c>
      <c r="C160">
        <v>156</v>
      </c>
      <c r="D160" s="21">
        <v>730</v>
      </c>
      <c r="E160" s="1">
        <f>1-'Batt IN'!$E$31</f>
        <v>2.0000000000000018E-2</v>
      </c>
      <c r="F160" s="12">
        <f>('Batt IN'!$E$33*365)/8760</f>
        <v>0</v>
      </c>
      <c r="G160" s="22">
        <f>'Batt IN'!$E$32/8760</f>
        <v>5.7077625570776253E-3</v>
      </c>
      <c r="H160" s="22">
        <f>'Batt IN'!$E$13/8760</f>
        <v>5.5936073059360729E-3</v>
      </c>
      <c r="I160" s="23">
        <f>IF(C160&lt;='Batt IN'!$G$14*12,'Batt IN'!$E$15/8760*'Batt IN'!$G$15,0)</f>
        <v>0</v>
      </c>
      <c r="J160" s="12">
        <f>Z160/'Batt IN'!$E$27/730</f>
        <v>2.4999999999999996E-3</v>
      </c>
      <c r="K160" s="23">
        <f>AA160/'Batt IN'!$E$27/730</f>
        <v>1.6027397260273972E-3</v>
      </c>
      <c r="L160" s="23">
        <f>AB160/'Batt IN'!$E$27/730</f>
        <v>2.0547945205479451E-4</v>
      </c>
      <c r="M160" s="23">
        <f>AC160/'Batt IN'!$E$27/730</f>
        <v>4.7945205479452057E-3</v>
      </c>
      <c r="N160" s="23">
        <f>AD160/'Batt IN'!$E$27/730</f>
        <v>3.4246575342465752E-3</v>
      </c>
      <c r="O160" s="12">
        <f t="shared" si="36"/>
        <v>4.3828767123287697E-2</v>
      </c>
      <c r="P160" s="21">
        <f t="shared" si="37"/>
        <v>698.005</v>
      </c>
      <c r="Q160" s="2">
        <f>IF('Batt IN'!$E$27*'Batt IN'!$E$24&lt;='Batt IN'!$E$28,(('Batt IN'!$E$23*'Batt IN'!$E$27*'Batt IN'!$E$24)/1000)*P160,(('Batt IN'!$E$23*'Batt IN'!$E$28*'Batt IN'!$E$24)/1000)*P160)</f>
        <v>11168.08</v>
      </c>
      <c r="R160" s="2"/>
      <c r="S160" s="77">
        <f>IF(C160&lt;='Batt IN'!$G$14*12,'Batt IN'!$E$15/12,0)</f>
        <v>0</v>
      </c>
      <c r="T160" s="77"/>
      <c r="U160" s="80">
        <f>'Batt IN'!$E$28*('Batt IN'!$G$24/24)*730*(1-O160)</f>
        <v>81433.916666666657</v>
      </c>
      <c r="V160" s="78">
        <f>U160*'Batt IN'!$F$30</f>
        <v>16286.783333333333</v>
      </c>
      <c r="W160" s="78">
        <f>'Batt IN'!$E$28*'Batt IN'!$G$32*('Batt IN'!$E$32/12)*(1+'Batt IN'!$F$30)</f>
        <v>1750.0000000000002</v>
      </c>
      <c r="X160" s="78">
        <f>'Batt IN'!$E$28*'Batt IN'!$G$13*('Batt IN'!$E$13/12)*(1+'Batt IN'!$F$30)</f>
        <v>3184.9999999999995</v>
      </c>
      <c r="Y160" s="33">
        <f>S160*'Batt IN'!$G$15*'Batt IN'!$E$28*(1+'Batt IN'!$F$30)</f>
        <v>0</v>
      </c>
      <c r="Z160" s="33">
        <f>'Batt IN'!$G$16*365/12*(1+'Batt IN'!$F$30)</f>
        <v>1824.9999999999998</v>
      </c>
      <c r="AA160" s="33">
        <f>'Batt IN'!$G$17*'Batt IN'!$E$18*'Batt IN'!$G$18/12*(1+'Batt IN'!$F$30)</f>
        <v>1170</v>
      </c>
      <c r="AB160" s="33">
        <f>'Batt IN'!$G$19*'Batt IN'!$E$20*'Batt IN'!$G$20/12*(1+'Batt IN'!$F$30)</f>
        <v>150</v>
      </c>
      <c r="AC160" s="33">
        <f>'Batt IN'!$G$21*(1+'Batt IN'!$F$30)/12</f>
        <v>3500</v>
      </c>
      <c r="AD160" s="33">
        <f>'Batt IN'!$G$22*(1+'Batt IN'!$F$30)/12</f>
        <v>2500</v>
      </c>
      <c r="AE160" s="33">
        <f t="shared" si="49"/>
        <v>30366.783333333333</v>
      </c>
      <c r="AF160" s="33">
        <f>IF('PV IN'!$F$4="Battery Only",0,AE160*'Batt IN'!$E$29)</f>
        <v>25811.765833333331</v>
      </c>
      <c r="AG160" s="33">
        <f>PVCalcs!L160</f>
        <v>25811.765833333331</v>
      </c>
      <c r="AH160" s="33">
        <f t="shared" si="50"/>
        <v>4555.0175000000017</v>
      </c>
      <c r="AI160" s="33"/>
      <c r="AJ160" s="2">
        <f>IF(AND('Batt IN'!$D$53="Yes",$AL$1&gt;=1),IF($C160='Batt IN'!$H$54*12,-'Batt IN'!$F$54,0),0)</f>
        <v>0</v>
      </c>
      <c r="AK160" s="2">
        <f>IF(AND('Batt IN'!$D$53="Yes",$AL$1&gt;=2),IF($C160='Batt IN'!$H$55*12,-'Batt IN'!$F$55,0),0)</f>
        <v>0</v>
      </c>
      <c r="AL160" s="2">
        <f>IF(AND('Batt IN'!$D$53="Yes",$AL$1&gt;=3),IF($C160='Batt IN'!$H$56*12,-'Batt IN'!$F$56,0),0)</f>
        <v>0</v>
      </c>
      <c r="AM160" s="2">
        <f>IF(AND('Batt IN'!$D$53="Yes",$AL$1&gt;=4),IF($C160='Batt IN'!$H$57*12,-'Batt IN'!$F$57,0),0)</f>
        <v>0</v>
      </c>
      <c r="AN160" s="2">
        <f>IF(AND('Batt IN'!$D$53="Yes",$AL$1&gt;=5),IF($C160='Batt IN'!$H$58*12,-'Batt IN'!$F$58,0),0)</f>
        <v>0</v>
      </c>
      <c r="AO160" s="10">
        <f>IF(AND('Batt IN'!$D$44="YES",$C160&lt;='Batt IN'!$E$44*12),-'Batt IN'!$E$28*'Batt IN'!$E$42/12,0)</f>
        <v>0</v>
      </c>
      <c r="AP160" s="10">
        <f>IF(AND('Batt IN'!$D$46="YES",$C160&lt;='Batt IN'!$E$46*12),-'Batt IN'!$E$28*'Batt IN'!$E$45/12,0)</f>
        <v>0</v>
      </c>
      <c r="AR160" s="10">
        <f>BattLoan!M187</f>
        <v>0</v>
      </c>
      <c r="AS160" s="10">
        <f>'Batt IN'!$G$16*365/12*'Batt IN'!$E$16</f>
        <v>76.041666666666671</v>
      </c>
      <c r="AT160" s="10">
        <f>IF(AND('Batt IN'!$E$18&gt;0,'Batt IN'!$G$18&gt;0),'Batt IN'!$E$17*'Batt IN'!$G$17,0)</f>
        <v>119.44619999999999</v>
      </c>
      <c r="AU160" s="10">
        <f>IF(AND('Batt IN'!$E$20&gt;0,'Batt IN'!$G$20&gt;0),'Batt IN'!$E$19*'Batt IN'!$G$19,0)</f>
        <v>231</v>
      </c>
      <c r="AV160" s="10"/>
      <c r="AW160" s="10"/>
      <c r="AX160" s="10">
        <f>IF('Batt IN'!$E$11="Non-Taxable",Q160,0)</f>
        <v>11168.08</v>
      </c>
      <c r="AY160" s="10">
        <f>IF('Batt IN'!$E$11="Non-Taxable",'Batt IN'!$E$28/1000*'Batt IN'!$G$13*('Batt IN'!$E$13/12)*'Batt IN'!$E$12,0)</f>
        <v>244.42220833333334</v>
      </c>
      <c r="AZ160" s="10">
        <f>IF('Batt IN'!$E$11="Non-Taxable",$S160*'Batt IN'!$G$15*'Batt IN'!$E$28*'Batt IN'!$E$14/1000,0)</f>
        <v>0</v>
      </c>
      <c r="BA160" s="10">
        <f>IF('Batt IN'!$E$11="Non-Taxable",'Batt IN'!$E$21*'Batt IN'!$G$21/12,0)</f>
        <v>437.5</v>
      </c>
      <c r="BB160" s="10">
        <f>IF('Batt IN'!$E$11="Non-Taxable",'Batt IN'!$E$22*'Batt IN'!$G$22/12,0)</f>
        <v>1145.8333333333335</v>
      </c>
      <c r="BC160" s="10">
        <f>IF('Batt IN'!$E$11="Taxable",Q160,0)</f>
        <v>0</v>
      </c>
      <c r="BD160" s="10">
        <f>IF('Batt IN'!$E$11="Taxable",'Batt IN'!$E$28/1000*'Batt IN'!$G$13*('Batt IN'!$E$13/12)*'Batt IN'!$E$12,0)</f>
        <v>0</v>
      </c>
      <c r="BE160" s="10">
        <f>IF('Batt IN'!$E$11="Taxable",$S160*'Batt IN'!$G$15*'Batt IN'!$E$28*'Batt IN'!$E$14/1000,0)</f>
        <v>0</v>
      </c>
      <c r="BF160" s="10">
        <f>IF('Batt IN'!$E$11="Taxable",'Batt IN'!$E$21*'Batt IN'!$G$21/12,0)</f>
        <v>0</v>
      </c>
      <c r="BG160" s="10">
        <f>IF('Batt IN'!$E$11="Taxable",'Batt IN'!$E$22*'Batt IN'!$G$22/12,0)</f>
        <v>0</v>
      </c>
      <c r="BK160" s="10">
        <f>IF('Batt IN'!$N$18="Yes",-BattLoan!H188,-BattLoan!L188)</f>
        <v>0</v>
      </c>
      <c r="BL160" s="10">
        <f>IF('Batt IN'!$N$18="Yes",-BattLoan!F188,0)</f>
        <v>0</v>
      </c>
      <c r="BM160" s="10">
        <f>IF(AND('Batt IN'!$D$44="YES",$C160&lt;='Batt IN'!$E$44*12),0,-'Batt IN'!$E$28*'Batt IN'!$E$42/12)</f>
        <v>-83.333333333333329</v>
      </c>
      <c r="BN160" s="10">
        <f>IF(AND('Batt IN'!$D$46="YES",$C160&lt;='Batt IN'!$E$46*12),0,-'Batt IN'!$E$28*'Batt IN'!$E$45/12)</f>
        <v>-166.66666666666666</v>
      </c>
      <c r="BO160" s="2">
        <f>IF(AND('Batt IN'!$D$41="YES",BattCalcs!C160=ROUNDUP('Batt IN'!$H$41*12,)),-'Batt IN'!$E$41*'Batt IN'!$E$28,0)</f>
        <v>0</v>
      </c>
      <c r="BP160" s="2">
        <f>IF(AND('Batt IN'!$D$53="Yes",$AL$1&gt;=1),0,IF($C160='Batt IN'!$H$54*12,-'Batt IN'!$F$54,0))</f>
        <v>0</v>
      </c>
      <c r="BQ160" s="2">
        <f>IF(AND('Batt IN'!$D$53="Yes",$AL$1&gt;=2),0,IF($C160='Batt IN'!$H$55*12,-'Batt IN'!$F$55,0))</f>
        <v>0</v>
      </c>
      <c r="BR160" s="2">
        <f>IF(AND('Batt IN'!$D$53="Yes",$AL$1&gt;=3),0,IF($C160='Batt IN'!$H$56*12,-'Batt IN'!$F$56,0))</f>
        <v>0</v>
      </c>
      <c r="BS160" s="2">
        <f>IF(AND('Batt IN'!$D$53="Yes",$AL$1&gt;=4),0,IF($C160='Batt IN'!$H$57*12,-'Batt IN'!$F$57,0))</f>
        <v>0</v>
      </c>
      <c r="BT160" s="2">
        <f>IF(AND('Batt IN'!$D$53="Yes",$AL$1&gt;=5),0,IF($C160='Batt IN'!$H$58*12,-'Batt IN'!$F$58,0))</f>
        <v>0</v>
      </c>
      <c r="BU160" s="2">
        <f>-AH160*PVCalcs!F160</f>
        <v>-367.15144220703252</v>
      </c>
      <c r="BV160" s="2">
        <f>-'Batt IN'!$E$47</f>
        <v>-150</v>
      </c>
      <c r="BW160" s="2">
        <f>-'Batt IN'!$E$49</f>
        <v>-2250</v>
      </c>
      <c r="BX160" s="2">
        <f>IF('Batt IN'!$H$50="No",-(BC160*'Batt IN'!$E$50),-(BC160+BE160)*'Batt IN'!$E$50)</f>
        <v>0</v>
      </c>
      <c r="BY160" s="2">
        <f>IF(C160='Batt IN'!$H$43*12,-'Batt IN'!$E$43,0)</f>
        <v>0</v>
      </c>
      <c r="BZ160" s="38"/>
      <c r="CA160" s="10">
        <f t="shared" si="34"/>
        <v>13422.323408333334</v>
      </c>
      <c r="CB160" s="2">
        <f t="shared" si="38"/>
        <v>-3017.1514422070322</v>
      </c>
      <c r="CC160" s="45">
        <f t="shared" si="39"/>
        <v>10405.171966126301</v>
      </c>
      <c r="CD160" s="43"/>
      <c r="CE160" s="2">
        <f t="shared" si="35"/>
        <v>0</v>
      </c>
      <c r="CF160" s="2">
        <f t="shared" si="40"/>
        <v>-3017.1514422070322</v>
      </c>
      <c r="CG160" s="2"/>
      <c r="CH160" s="2">
        <f t="shared" si="41"/>
        <v>-3017.1514422070322</v>
      </c>
      <c r="CI160" s="45">
        <f>-CH160*'Batt IN'!$E$7</f>
        <v>633.60180286347679</v>
      </c>
      <c r="CJ160" s="48"/>
      <c r="CK160" s="45">
        <f>IF('Batt IN'!$F$4="PV Only",0,IF(C160&gt;'Batt IN'!$H$43*12,0,CC160+CI160))</f>
        <v>0</v>
      </c>
      <c r="CM160" s="10">
        <f t="shared" si="42"/>
        <v>0</v>
      </c>
      <c r="CN160" s="2">
        <f>CK160/(1+('Batt IN'!$G$8))^(C160)</f>
        <v>0</v>
      </c>
      <c r="CO160" s="2">
        <f>IF(C160&lt;='Batt IN'!$O$30*12,CN160+CO159,NA())</f>
        <v>0</v>
      </c>
      <c r="CQ160" s="2">
        <f>CK160/((1+('Batt IN'!$E$8/12))^BattCalcs!C160)</f>
        <v>0</v>
      </c>
      <c r="CS160" s="10">
        <f t="shared" si="43"/>
        <v>-3017.1514422070322</v>
      </c>
      <c r="CT160" s="10">
        <f t="shared" si="44"/>
        <v>0</v>
      </c>
      <c r="CU160" s="10">
        <f t="shared" si="45"/>
        <v>-3017.1514422070322</v>
      </c>
      <c r="CV160" s="10">
        <f t="shared" si="46"/>
        <v>-3017.1514422070322</v>
      </c>
      <c r="CW160" s="2">
        <f t="shared" si="47"/>
        <v>0</v>
      </c>
      <c r="CX160" s="2">
        <f>-(SUM(CV160:CW160)*'PV IN'!$E$8)</f>
        <v>633.60180286347679</v>
      </c>
      <c r="CY160" s="2">
        <f t="shared" si="48"/>
        <v>-2383.5496393435556</v>
      </c>
      <c r="CZ160" s="2">
        <f>IF(C160&lt;='Batt IN'!$H$43*12,CY160/(1+('PV IN'!$G$9))^(C160),0)</f>
        <v>-1264.0472640667613</v>
      </c>
      <c r="DA160" s="33">
        <f>IF(C160&lt;='Batt IN'!$H$43*12,AE160,0)</f>
        <v>30366.783333333333</v>
      </c>
    </row>
    <row r="161" spans="1:105" x14ac:dyDescent="0.25">
      <c r="A161">
        <f>IF(C161&lt;='Batt IN'!$H$43*12,C161,"")</f>
        <v>157</v>
      </c>
      <c r="C161">
        <v>157</v>
      </c>
      <c r="D161" s="21">
        <v>730</v>
      </c>
      <c r="E161" s="1">
        <f>1-'Batt IN'!$E$31</f>
        <v>2.0000000000000018E-2</v>
      </c>
      <c r="F161" s="12">
        <f>('Batt IN'!$E$33*365)/8760</f>
        <v>0</v>
      </c>
      <c r="G161" s="22">
        <f>'Batt IN'!$E$32/8760</f>
        <v>5.7077625570776253E-3</v>
      </c>
      <c r="H161" s="22">
        <f>'Batt IN'!$E$13/8760</f>
        <v>5.5936073059360729E-3</v>
      </c>
      <c r="I161" s="23">
        <f>IF(C161&lt;='Batt IN'!$G$14*12,'Batt IN'!$E$15/8760*'Batt IN'!$G$15,0)</f>
        <v>0</v>
      </c>
      <c r="J161" s="12">
        <f>Z161/'Batt IN'!$E$27/730</f>
        <v>2.4999999999999996E-3</v>
      </c>
      <c r="K161" s="23">
        <f>AA161/'Batt IN'!$E$27/730</f>
        <v>1.6027397260273972E-3</v>
      </c>
      <c r="L161" s="23">
        <f>AB161/'Batt IN'!$E$27/730</f>
        <v>2.0547945205479451E-4</v>
      </c>
      <c r="M161" s="23">
        <f>AC161/'Batt IN'!$E$27/730</f>
        <v>4.7945205479452057E-3</v>
      </c>
      <c r="N161" s="23">
        <f>AD161/'Batt IN'!$E$27/730</f>
        <v>3.4246575342465752E-3</v>
      </c>
      <c r="O161" s="12">
        <f t="shared" si="36"/>
        <v>4.3828767123287697E-2</v>
      </c>
      <c r="P161" s="21">
        <f t="shared" si="37"/>
        <v>698.005</v>
      </c>
      <c r="Q161" s="2">
        <f>IF('Batt IN'!$E$27*'Batt IN'!$E$24&lt;='Batt IN'!$E$28,(('Batt IN'!$E$23*'Batt IN'!$E$27*'Batt IN'!$E$24)/1000)*P161,(('Batt IN'!$E$23*'Batt IN'!$E$28*'Batt IN'!$E$24)/1000)*P161)</f>
        <v>11168.08</v>
      </c>
      <c r="R161" s="2"/>
      <c r="S161" s="77">
        <f>IF(C161&lt;='Batt IN'!$G$14*12,'Batt IN'!$E$15/12,0)</f>
        <v>0</v>
      </c>
      <c r="T161" s="77"/>
      <c r="U161" s="80">
        <f>'Batt IN'!$E$28*('Batt IN'!$G$24/24)*730*(1-O161)</f>
        <v>81433.916666666657</v>
      </c>
      <c r="V161" s="78">
        <f>U161*'Batt IN'!$F$30</f>
        <v>16286.783333333333</v>
      </c>
      <c r="W161" s="78">
        <f>'Batt IN'!$E$28*'Batt IN'!$G$32*('Batt IN'!$E$32/12)*(1+'Batt IN'!$F$30)</f>
        <v>1750.0000000000002</v>
      </c>
      <c r="X161" s="78">
        <f>'Batt IN'!$E$28*'Batt IN'!$G$13*('Batt IN'!$E$13/12)*(1+'Batt IN'!$F$30)</f>
        <v>3184.9999999999995</v>
      </c>
      <c r="Y161" s="33">
        <f>S161*'Batt IN'!$G$15*'Batt IN'!$E$28*(1+'Batt IN'!$F$30)</f>
        <v>0</v>
      </c>
      <c r="Z161" s="33">
        <f>'Batt IN'!$G$16*365/12*(1+'Batt IN'!$F$30)</f>
        <v>1824.9999999999998</v>
      </c>
      <c r="AA161" s="33">
        <f>'Batt IN'!$G$17*'Batt IN'!$E$18*'Batt IN'!$G$18/12*(1+'Batt IN'!$F$30)</f>
        <v>1170</v>
      </c>
      <c r="AB161" s="33">
        <f>'Batt IN'!$G$19*'Batt IN'!$E$20*'Batt IN'!$G$20/12*(1+'Batt IN'!$F$30)</f>
        <v>150</v>
      </c>
      <c r="AC161" s="33">
        <f>'Batt IN'!$G$21*(1+'Batt IN'!$F$30)/12</f>
        <v>3500</v>
      </c>
      <c r="AD161" s="33">
        <f>'Batt IN'!$G$22*(1+'Batt IN'!$F$30)/12</f>
        <v>2500</v>
      </c>
      <c r="AE161" s="33">
        <f t="shared" si="49"/>
        <v>30366.783333333333</v>
      </c>
      <c r="AF161" s="33">
        <f>IF('PV IN'!$F$4="Battery Only",0,AE161*'Batt IN'!$E$29)</f>
        <v>25811.765833333331</v>
      </c>
      <c r="AG161" s="33">
        <f>PVCalcs!L161</f>
        <v>25811.765833333331</v>
      </c>
      <c r="AH161" s="33">
        <f t="shared" si="50"/>
        <v>4555.0175000000017</v>
      </c>
      <c r="AI161" s="33"/>
      <c r="AJ161" s="2">
        <f>IF(AND('Batt IN'!$D$53="Yes",$AL$1&gt;=1),IF($C161='Batt IN'!$H$54*12,-'Batt IN'!$F$54,0),0)</f>
        <v>0</v>
      </c>
      <c r="AK161" s="2">
        <f>IF(AND('Batt IN'!$D$53="Yes",$AL$1&gt;=2),IF($C161='Batt IN'!$H$55*12,-'Batt IN'!$F$55,0),0)</f>
        <v>0</v>
      </c>
      <c r="AL161" s="2">
        <f>IF(AND('Batt IN'!$D$53="Yes",$AL$1&gt;=3),IF($C161='Batt IN'!$H$56*12,-'Batt IN'!$F$56,0),0)</f>
        <v>0</v>
      </c>
      <c r="AM161" s="2">
        <f>IF(AND('Batt IN'!$D$53="Yes",$AL$1&gt;=4),IF($C161='Batt IN'!$H$57*12,-'Batt IN'!$F$57,0),0)</f>
        <v>0</v>
      </c>
      <c r="AN161" s="2">
        <f>IF(AND('Batt IN'!$D$53="Yes",$AL$1&gt;=5),IF($C161='Batt IN'!$H$58*12,-'Batt IN'!$F$58,0),0)</f>
        <v>0</v>
      </c>
      <c r="AO161" s="10">
        <f>IF(AND('Batt IN'!$D$44="YES",$C161&lt;='Batt IN'!$E$44*12),-'Batt IN'!$E$28*'Batt IN'!$E$42/12,0)</f>
        <v>0</v>
      </c>
      <c r="AP161" s="10">
        <f>IF(AND('Batt IN'!$D$46="YES",$C161&lt;='Batt IN'!$E$46*12),-'Batt IN'!$E$28*'Batt IN'!$E$45/12,0)</f>
        <v>0</v>
      </c>
      <c r="AR161" s="10">
        <f>BattLoan!M188</f>
        <v>0</v>
      </c>
      <c r="AS161" s="10">
        <f>'Batt IN'!$G$16*365/12*'Batt IN'!$E$16</f>
        <v>76.041666666666671</v>
      </c>
      <c r="AT161" s="10">
        <f>IF(AND('Batt IN'!$E$18&gt;0,'Batt IN'!$G$18&gt;0),'Batt IN'!$E$17*'Batt IN'!$G$17,0)</f>
        <v>119.44619999999999</v>
      </c>
      <c r="AU161" s="10">
        <f>IF(AND('Batt IN'!$E$20&gt;0,'Batt IN'!$G$20&gt;0),'Batt IN'!$E$19*'Batt IN'!$G$19,0)</f>
        <v>231</v>
      </c>
      <c r="AV161" s="10"/>
      <c r="AW161" s="10"/>
      <c r="AX161" s="10">
        <f>IF('Batt IN'!$E$11="Non-Taxable",Q161,0)</f>
        <v>11168.08</v>
      </c>
      <c r="AY161" s="10">
        <f>IF('Batt IN'!$E$11="Non-Taxable",'Batt IN'!$E$28/1000*'Batt IN'!$G$13*('Batt IN'!$E$13/12)*'Batt IN'!$E$12,0)</f>
        <v>244.42220833333334</v>
      </c>
      <c r="AZ161" s="10">
        <f>IF('Batt IN'!$E$11="Non-Taxable",$S161*'Batt IN'!$G$15*'Batt IN'!$E$28*'Batt IN'!$E$14/1000,0)</f>
        <v>0</v>
      </c>
      <c r="BA161" s="10">
        <f>IF('Batt IN'!$E$11="Non-Taxable",'Batt IN'!$E$21*'Batt IN'!$G$21/12,0)</f>
        <v>437.5</v>
      </c>
      <c r="BB161" s="10">
        <f>IF('Batt IN'!$E$11="Non-Taxable",'Batt IN'!$E$22*'Batt IN'!$G$22/12,0)</f>
        <v>1145.8333333333335</v>
      </c>
      <c r="BC161" s="10">
        <f>IF('Batt IN'!$E$11="Taxable",Q161,0)</f>
        <v>0</v>
      </c>
      <c r="BD161" s="10">
        <f>IF('Batt IN'!$E$11="Taxable",'Batt IN'!$E$28/1000*'Batt IN'!$G$13*('Batt IN'!$E$13/12)*'Batt IN'!$E$12,0)</f>
        <v>0</v>
      </c>
      <c r="BE161" s="10">
        <f>IF('Batt IN'!$E$11="Taxable",$S161*'Batt IN'!$G$15*'Batt IN'!$E$28*'Batt IN'!$E$14/1000,0)</f>
        <v>0</v>
      </c>
      <c r="BF161" s="10">
        <f>IF('Batt IN'!$E$11="Taxable",'Batt IN'!$E$21*'Batt IN'!$G$21/12,0)</f>
        <v>0</v>
      </c>
      <c r="BG161" s="10">
        <f>IF('Batt IN'!$E$11="Taxable",'Batt IN'!$E$22*'Batt IN'!$G$22/12,0)</f>
        <v>0</v>
      </c>
      <c r="BK161" s="10">
        <f>IF('Batt IN'!$N$18="Yes",-BattLoan!H189,-BattLoan!L189)</f>
        <v>0</v>
      </c>
      <c r="BL161" s="10">
        <f>IF('Batt IN'!$N$18="Yes",-BattLoan!F189,0)</f>
        <v>0</v>
      </c>
      <c r="BM161" s="10">
        <f>IF(AND('Batt IN'!$D$44="YES",$C161&lt;='Batt IN'!$E$44*12),0,-'Batt IN'!$E$28*'Batt IN'!$E$42/12)</f>
        <v>-83.333333333333329</v>
      </c>
      <c r="BN161" s="10">
        <f>IF(AND('Batt IN'!$D$46="YES",$C161&lt;='Batt IN'!$E$46*12),0,-'Batt IN'!$E$28*'Batt IN'!$E$45/12)</f>
        <v>-166.66666666666666</v>
      </c>
      <c r="BO161" s="2">
        <f>IF(AND('Batt IN'!$D$41="YES",BattCalcs!C161=ROUNDUP('Batt IN'!$H$41*12,)),-'Batt IN'!$E$41*'Batt IN'!$E$28,0)</f>
        <v>0</v>
      </c>
      <c r="BP161" s="2">
        <f>IF(AND('Batt IN'!$D$53="Yes",$AL$1&gt;=1),0,IF($C161='Batt IN'!$H$54*12,-'Batt IN'!$F$54,0))</f>
        <v>0</v>
      </c>
      <c r="BQ161" s="2">
        <f>IF(AND('Batt IN'!$D$53="Yes",$AL$1&gt;=2),0,IF($C161='Batt IN'!$H$55*12,-'Batt IN'!$F$55,0))</f>
        <v>0</v>
      </c>
      <c r="BR161" s="2">
        <f>IF(AND('Batt IN'!$D$53="Yes",$AL$1&gt;=3),0,IF($C161='Batt IN'!$H$56*12,-'Batt IN'!$F$56,0))</f>
        <v>0</v>
      </c>
      <c r="BS161" s="2">
        <f>IF(AND('Batt IN'!$D$53="Yes",$AL$1&gt;=4),0,IF($C161='Batt IN'!$H$57*12,-'Batt IN'!$F$57,0))</f>
        <v>0</v>
      </c>
      <c r="BT161" s="2">
        <f>IF(AND('Batt IN'!$D$53="Yes",$AL$1&gt;=5),0,IF($C161='Batt IN'!$H$58*12,-'Batt IN'!$F$58,0))</f>
        <v>0</v>
      </c>
      <c r="BU161" s="2">
        <f>-AH161*PVCalcs!F161</f>
        <v>-370.28408231073848</v>
      </c>
      <c r="BV161" s="2">
        <f>-'Batt IN'!$E$47</f>
        <v>-150</v>
      </c>
      <c r="BW161" s="2">
        <f>-'Batt IN'!$E$49</f>
        <v>-2250</v>
      </c>
      <c r="BX161" s="2">
        <f>IF('Batt IN'!$H$50="No",-(BC161*'Batt IN'!$E$50),-(BC161+BE161)*'Batt IN'!$E$50)</f>
        <v>0</v>
      </c>
      <c r="BY161" s="2">
        <f>IF(C161='Batt IN'!$H$43*12,-'Batt IN'!$E$43,0)</f>
        <v>0</v>
      </c>
      <c r="BZ161" s="38"/>
      <c r="CA161" s="10">
        <f t="shared" si="34"/>
        <v>13422.323408333334</v>
      </c>
      <c r="CB161" s="2">
        <f t="shared" si="38"/>
        <v>-3020.2840823107385</v>
      </c>
      <c r="CC161" s="45">
        <f t="shared" si="39"/>
        <v>10402.039326022596</v>
      </c>
      <c r="CD161" s="43"/>
      <c r="CE161" s="2">
        <f t="shared" si="35"/>
        <v>0</v>
      </c>
      <c r="CF161" s="2">
        <f t="shared" si="40"/>
        <v>-3020.2840823107385</v>
      </c>
      <c r="CG161" s="2"/>
      <c r="CH161" s="2">
        <f t="shared" si="41"/>
        <v>-3020.2840823107385</v>
      </c>
      <c r="CI161" s="45">
        <f>-CH161*'Batt IN'!$E$7</f>
        <v>634.25965728525512</v>
      </c>
      <c r="CJ161" s="48"/>
      <c r="CK161" s="45">
        <f>IF('Batt IN'!$F$4="PV Only",0,IF(C161&gt;'Batt IN'!$H$43*12,0,CC161+CI161))</f>
        <v>0</v>
      </c>
      <c r="CM161" s="10">
        <f t="shared" si="42"/>
        <v>0</v>
      </c>
      <c r="CN161" s="2">
        <f>CK161/(1+('Batt IN'!$G$8))^(C161)</f>
        <v>0</v>
      </c>
      <c r="CO161" s="2">
        <f>IF(C161&lt;='Batt IN'!$O$30*12,CN161+CO160,NA())</f>
        <v>0</v>
      </c>
      <c r="CQ161" s="2">
        <f>CK161/((1+('Batt IN'!$E$8/12))^BattCalcs!C161)</f>
        <v>0</v>
      </c>
      <c r="CS161" s="10">
        <f t="shared" si="43"/>
        <v>-3020.2840823107385</v>
      </c>
      <c r="CT161" s="10">
        <f t="shared" si="44"/>
        <v>0</v>
      </c>
      <c r="CU161" s="10">
        <f t="shared" si="45"/>
        <v>-3020.2840823107385</v>
      </c>
      <c r="CV161" s="10">
        <f t="shared" si="46"/>
        <v>-3020.2840823107385</v>
      </c>
      <c r="CW161" s="2">
        <f t="shared" si="47"/>
        <v>0</v>
      </c>
      <c r="CX161" s="2">
        <f>-(SUM(CV161:CW161)*'PV IN'!$E$8)</f>
        <v>634.25965728525512</v>
      </c>
      <c r="CY161" s="2">
        <f t="shared" si="48"/>
        <v>-2386.0244250254837</v>
      </c>
      <c r="CZ161" s="2">
        <f>IF(C161&lt;='Batt IN'!$H$43*12,CY161/(1+('PV IN'!$G$9))^(C161),0)</f>
        <v>-1260.2253815524189</v>
      </c>
      <c r="DA161" s="33">
        <f>IF(C161&lt;='Batt IN'!$H$43*12,AE161,0)</f>
        <v>30366.783333333333</v>
      </c>
    </row>
    <row r="162" spans="1:105" x14ac:dyDescent="0.25">
      <c r="A162">
        <f>IF(C162&lt;='Batt IN'!$H$43*12,C162,"")</f>
        <v>158</v>
      </c>
      <c r="C162">
        <v>158</v>
      </c>
      <c r="D162" s="21">
        <v>730</v>
      </c>
      <c r="E162" s="1">
        <f>1-'Batt IN'!$E$31</f>
        <v>2.0000000000000018E-2</v>
      </c>
      <c r="F162" s="12">
        <f>('Batt IN'!$E$33*365)/8760</f>
        <v>0</v>
      </c>
      <c r="G162" s="22">
        <f>'Batt IN'!$E$32/8760</f>
        <v>5.7077625570776253E-3</v>
      </c>
      <c r="H162" s="22">
        <f>'Batt IN'!$E$13/8760</f>
        <v>5.5936073059360729E-3</v>
      </c>
      <c r="I162" s="23">
        <f>IF(C162&lt;='Batt IN'!$G$14*12,'Batt IN'!$E$15/8760*'Batt IN'!$G$15,0)</f>
        <v>0</v>
      </c>
      <c r="J162" s="12">
        <f>Z162/'Batt IN'!$E$27/730</f>
        <v>2.4999999999999996E-3</v>
      </c>
      <c r="K162" s="23">
        <f>AA162/'Batt IN'!$E$27/730</f>
        <v>1.6027397260273972E-3</v>
      </c>
      <c r="L162" s="23">
        <f>AB162/'Batt IN'!$E$27/730</f>
        <v>2.0547945205479451E-4</v>
      </c>
      <c r="M162" s="23">
        <f>AC162/'Batt IN'!$E$27/730</f>
        <v>4.7945205479452057E-3</v>
      </c>
      <c r="N162" s="23">
        <f>AD162/'Batt IN'!$E$27/730</f>
        <v>3.4246575342465752E-3</v>
      </c>
      <c r="O162" s="12">
        <f t="shared" si="36"/>
        <v>4.3828767123287697E-2</v>
      </c>
      <c r="P162" s="21">
        <f t="shared" si="37"/>
        <v>698.005</v>
      </c>
      <c r="Q162" s="2">
        <f>IF('Batt IN'!$E$27*'Batt IN'!$E$24&lt;='Batt IN'!$E$28,(('Batt IN'!$E$23*'Batt IN'!$E$27*'Batt IN'!$E$24)/1000)*P162,(('Batt IN'!$E$23*'Batt IN'!$E$28*'Batt IN'!$E$24)/1000)*P162)</f>
        <v>11168.08</v>
      </c>
      <c r="R162" s="2"/>
      <c r="S162" s="77">
        <f>IF(C162&lt;='Batt IN'!$G$14*12,'Batt IN'!$E$15/12,0)</f>
        <v>0</v>
      </c>
      <c r="T162" s="77"/>
      <c r="U162" s="80">
        <f>'Batt IN'!$E$28*('Batt IN'!$G$24/24)*730*(1-O162)</f>
        <v>81433.916666666657</v>
      </c>
      <c r="V162" s="78">
        <f>U162*'Batt IN'!$F$30</f>
        <v>16286.783333333333</v>
      </c>
      <c r="W162" s="78">
        <f>'Batt IN'!$E$28*'Batt IN'!$G$32*('Batt IN'!$E$32/12)*(1+'Batt IN'!$F$30)</f>
        <v>1750.0000000000002</v>
      </c>
      <c r="X162" s="78">
        <f>'Batt IN'!$E$28*'Batt IN'!$G$13*('Batt IN'!$E$13/12)*(1+'Batt IN'!$F$30)</f>
        <v>3184.9999999999995</v>
      </c>
      <c r="Y162" s="33">
        <f>S162*'Batt IN'!$G$15*'Batt IN'!$E$28*(1+'Batt IN'!$F$30)</f>
        <v>0</v>
      </c>
      <c r="Z162" s="33">
        <f>'Batt IN'!$G$16*365/12*(1+'Batt IN'!$F$30)</f>
        <v>1824.9999999999998</v>
      </c>
      <c r="AA162" s="33">
        <f>'Batt IN'!$G$17*'Batt IN'!$E$18*'Batt IN'!$G$18/12*(1+'Batt IN'!$F$30)</f>
        <v>1170</v>
      </c>
      <c r="AB162" s="33">
        <f>'Batt IN'!$G$19*'Batt IN'!$E$20*'Batt IN'!$G$20/12*(1+'Batt IN'!$F$30)</f>
        <v>150</v>
      </c>
      <c r="AC162" s="33">
        <f>'Batt IN'!$G$21*(1+'Batt IN'!$F$30)/12</f>
        <v>3500</v>
      </c>
      <c r="AD162" s="33">
        <f>'Batt IN'!$G$22*(1+'Batt IN'!$F$30)/12</f>
        <v>2500</v>
      </c>
      <c r="AE162" s="33">
        <f t="shared" si="49"/>
        <v>30366.783333333333</v>
      </c>
      <c r="AF162" s="33">
        <f>IF('PV IN'!$F$4="Battery Only",0,AE162*'Batt IN'!$E$29)</f>
        <v>25811.765833333331</v>
      </c>
      <c r="AG162" s="33">
        <f>PVCalcs!L162</f>
        <v>25811.765833333331</v>
      </c>
      <c r="AH162" s="33">
        <f t="shared" si="50"/>
        <v>4555.0175000000017</v>
      </c>
      <c r="AI162" s="33"/>
      <c r="AJ162" s="2">
        <f>IF(AND('Batt IN'!$D$53="Yes",$AL$1&gt;=1),IF($C162='Batt IN'!$H$54*12,-'Batt IN'!$F$54,0),0)</f>
        <v>0</v>
      </c>
      <c r="AK162" s="2">
        <f>IF(AND('Batt IN'!$D$53="Yes",$AL$1&gt;=2),IF($C162='Batt IN'!$H$55*12,-'Batt IN'!$F$55,0),0)</f>
        <v>0</v>
      </c>
      <c r="AL162" s="2">
        <f>IF(AND('Batt IN'!$D$53="Yes",$AL$1&gt;=3),IF($C162='Batt IN'!$H$56*12,-'Batt IN'!$F$56,0),0)</f>
        <v>0</v>
      </c>
      <c r="AM162" s="2">
        <f>IF(AND('Batt IN'!$D$53="Yes",$AL$1&gt;=4),IF($C162='Batt IN'!$H$57*12,-'Batt IN'!$F$57,0),0)</f>
        <v>0</v>
      </c>
      <c r="AN162" s="2">
        <f>IF(AND('Batt IN'!$D$53="Yes",$AL$1&gt;=5),IF($C162='Batt IN'!$H$58*12,-'Batt IN'!$F$58,0),0)</f>
        <v>0</v>
      </c>
      <c r="AO162" s="10">
        <f>IF(AND('Batt IN'!$D$44="YES",$C162&lt;='Batt IN'!$E$44*12),-'Batt IN'!$E$28*'Batt IN'!$E$42/12,0)</f>
        <v>0</v>
      </c>
      <c r="AP162" s="10">
        <f>IF(AND('Batt IN'!$D$46="YES",$C162&lt;='Batt IN'!$E$46*12),-'Batt IN'!$E$28*'Batt IN'!$E$45/12,0)</f>
        <v>0</v>
      </c>
      <c r="AR162" s="10">
        <f>BattLoan!M189</f>
        <v>0</v>
      </c>
      <c r="AS162" s="10">
        <f>'Batt IN'!$G$16*365/12*'Batt IN'!$E$16</f>
        <v>76.041666666666671</v>
      </c>
      <c r="AT162" s="10">
        <f>IF(AND('Batt IN'!$E$18&gt;0,'Batt IN'!$G$18&gt;0),'Batt IN'!$E$17*'Batt IN'!$G$17,0)</f>
        <v>119.44619999999999</v>
      </c>
      <c r="AU162" s="10">
        <f>IF(AND('Batt IN'!$E$20&gt;0,'Batt IN'!$G$20&gt;0),'Batt IN'!$E$19*'Batt IN'!$G$19,0)</f>
        <v>231</v>
      </c>
      <c r="AV162" s="10"/>
      <c r="AW162" s="10"/>
      <c r="AX162" s="10">
        <f>IF('Batt IN'!$E$11="Non-Taxable",Q162,0)</f>
        <v>11168.08</v>
      </c>
      <c r="AY162" s="10">
        <f>IF('Batt IN'!$E$11="Non-Taxable",'Batt IN'!$E$28/1000*'Batt IN'!$G$13*('Batt IN'!$E$13/12)*'Batt IN'!$E$12,0)</f>
        <v>244.42220833333334</v>
      </c>
      <c r="AZ162" s="10">
        <f>IF('Batt IN'!$E$11="Non-Taxable",$S162*'Batt IN'!$G$15*'Batt IN'!$E$28*'Batt IN'!$E$14/1000,0)</f>
        <v>0</v>
      </c>
      <c r="BA162" s="10">
        <f>IF('Batt IN'!$E$11="Non-Taxable",'Batt IN'!$E$21*'Batt IN'!$G$21/12,0)</f>
        <v>437.5</v>
      </c>
      <c r="BB162" s="10">
        <f>IF('Batt IN'!$E$11="Non-Taxable",'Batt IN'!$E$22*'Batt IN'!$G$22/12,0)</f>
        <v>1145.8333333333335</v>
      </c>
      <c r="BC162" s="10">
        <f>IF('Batt IN'!$E$11="Taxable",Q162,0)</f>
        <v>0</v>
      </c>
      <c r="BD162" s="10">
        <f>IF('Batt IN'!$E$11="Taxable",'Batt IN'!$E$28/1000*'Batt IN'!$G$13*('Batt IN'!$E$13/12)*'Batt IN'!$E$12,0)</f>
        <v>0</v>
      </c>
      <c r="BE162" s="10">
        <f>IF('Batt IN'!$E$11="Taxable",$S162*'Batt IN'!$G$15*'Batt IN'!$E$28*'Batt IN'!$E$14/1000,0)</f>
        <v>0</v>
      </c>
      <c r="BF162" s="10">
        <f>IF('Batt IN'!$E$11="Taxable",'Batt IN'!$E$21*'Batt IN'!$G$21/12,0)</f>
        <v>0</v>
      </c>
      <c r="BG162" s="10">
        <f>IF('Batt IN'!$E$11="Taxable",'Batt IN'!$E$22*'Batt IN'!$G$22/12,0)</f>
        <v>0</v>
      </c>
      <c r="BK162" s="10">
        <f>IF('Batt IN'!$N$18="Yes",-BattLoan!H190,-BattLoan!L190)</f>
        <v>0</v>
      </c>
      <c r="BL162" s="10">
        <f>IF('Batt IN'!$N$18="Yes",-BattLoan!F190,0)</f>
        <v>0</v>
      </c>
      <c r="BM162" s="10">
        <f>IF(AND('Batt IN'!$D$44="YES",$C162&lt;='Batt IN'!$E$44*12),0,-'Batt IN'!$E$28*'Batt IN'!$E$42/12)</f>
        <v>-83.333333333333329</v>
      </c>
      <c r="BN162" s="10">
        <f>IF(AND('Batt IN'!$D$46="YES",$C162&lt;='Batt IN'!$E$46*12),0,-'Batt IN'!$E$28*'Batt IN'!$E$45/12)</f>
        <v>-166.66666666666666</v>
      </c>
      <c r="BO162" s="2">
        <f>IF(AND('Batt IN'!$D$41="YES",BattCalcs!C162=ROUNDUP('Batt IN'!$H$41*12,)),-'Batt IN'!$E$41*'Batt IN'!$E$28,0)</f>
        <v>0</v>
      </c>
      <c r="BP162" s="2">
        <f>IF(AND('Batt IN'!$D$53="Yes",$AL$1&gt;=1),0,IF($C162='Batt IN'!$H$54*12,-'Batt IN'!$F$54,0))</f>
        <v>0</v>
      </c>
      <c r="BQ162" s="2">
        <f>IF(AND('Batt IN'!$D$53="Yes",$AL$1&gt;=2),0,IF($C162='Batt IN'!$H$55*12,-'Batt IN'!$F$55,0))</f>
        <v>0</v>
      </c>
      <c r="BR162" s="2">
        <f>IF(AND('Batt IN'!$D$53="Yes",$AL$1&gt;=3),0,IF($C162='Batt IN'!$H$56*12,-'Batt IN'!$F$56,0))</f>
        <v>0</v>
      </c>
      <c r="BS162" s="2">
        <f>IF(AND('Batt IN'!$D$53="Yes",$AL$1&gt;=4),0,IF($C162='Batt IN'!$H$57*12,-'Batt IN'!$F$57,0))</f>
        <v>0</v>
      </c>
      <c r="BT162" s="2">
        <f>IF(AND('Batt IN'!$D$53="Yes",$AL$1&gt;=5),0,IF($C162='Batt IN'!$H$58*12,-'Batt IN'!$F$58,0))</f>
        <v>0</v>
      </c>
      <c r="BU162" s="2">
        <f>-AH162*PVCalcs!F162</f>
        <v>-370.28408231073848</v>
      </c>
      <c r="BV162" s="2">
        <f>-'Batt IN'!$E$47</f>
        <v>-150</v>
      </c>
      <c r="BW162" s="2">
        <f>-'Batt IN'!$E$49</f>
        <v>-2250</v>
      </c>
      <c r="BX162" s="2">
        <f>IF('Batt IN'!$H$50="No",-(BC162*'Batt IN'!$E$50),-(BC162+BE162)*'Batt IN'!$E$50)</f>
        <v>0</v>
      </c>
      <c r="BY162" s="2">
        <f>IF(C162='Batt IN'!$H$43*12,-'Batt IN'!$E$43,0)</f>
        <v>0</v>
      </c>
      <c r="BZ162" s="38"/>
      <c r="CA162" s="10">
        <f t="shared" si="34"/>
        <v>13422.323408333334</v>
      </c>
      <c r="CB162" s="2">
        <f t="shared" si="38"/>
        <v>-3020.2840823107385</v>
      </c>
      <c r="CC162" s="45">
        <f t="shared" si="39"/>
        <v>10402.039326022596</v>
      </c>
      <c r="CD162" s="43"/>
      <c r="CE162" s="2">
        <f t="shared" si="35"/>
        <v>0</v>
      </c>
      <c r="CF162" s="2">
        <f t="shared" si="40"/>
        <v>-3020.2840823107385</v>
      </c>
      <c r="CG162" s="2"/>
      <c r="CH162" s="2">
        <f t="shared" si="41"/>
        <v>-3020.2840823107385</v>
      </c>
      <c r="CI162" s="45">
        <f>-CH162*'Batt IN'!$E$7</f>
        <v>634.25965728525512</v>
      </c>
      <c r="CJ162" s="48"/>
      <c r="CK162" s="45">
        <f>IF('Batt IN'!$F$4="PV Only",0,IF(C162&gt;'Batt IN'!$H$43*12,0,CC162+CI162))</f>
        <v>0</v>
      </c>
      <c r="CM162" s="10">
        <f t="shared" si="42"/>
        <v>0</v>
      </c>
      <c r="CN162" s="2">
        <f>CK162/(1+('Batt IN'!$G$8))^(C162)</f>
        <v>0</v>
      </c>
      <c r="CO162" s="2">
        <f>IF(C162&lt;='Batt IN'!$O$30*12,CN162+CO161,NA())</f>
        <v>0</v>
      </c>
      <c r="CQ162" s="2">
        <f>CK162/((1+('Batt IN'!$E$8/12))^BattCalcs!C162)</f>
        <v>0</v>
      </c>
      <c r="CS162" s="10">
        <f t="shared" si="43"/>
        <v>-3020.2840823107385</v>
      </c>
      <c r="CT162" s="10">
        <f t="shared" si="44"/>
        <v>0</v>
      </c>
      <c r="CU162" s="10">
        <f t="shared" si="45"/>
        <v>-3020.2840823107385</v>
      </c>
      <c r="CV162" s="10">
        <f t="shared" si="46"/>
        <v>-3020.2840823107385</v>
      </c>
      <c r="CW162" s="2">
        <f t="shared" si="47"/>
        <v>0</v>
      </c>
      <c r="CX162" s="2">
        <f>-(SUM(CV162:CW162)*'PV IN'!$E$8)</f>
        <v>634.25965728525512</v>
      </c>
      <c r="CY162" s="2">
        <f t="shared" si="48"/>
        <v>-2386.0244250254837</v>
      </c>
      <c r="CZ162" s="2">
        <f>IF(C162&lt;='Batt IN'!$H$43*12,CY162/(1+('PV IN'!$G$9))^(C162),0)</f>
        <v>-1255.1119003082331</v>
      </c>
      <c r="DA162" s="33">
        <f>IF(C162&lt;='Batt IN'!$H$43*12,AE162,0)</f>
        <v>30366.783333333333</v>
      </c>
    </row>
    <row r="163" spans="1:105" x14ac:dyDescent="0.25">
      <c r="A163">
        <f>IF(C163&lt;='Batt IN'!$H$43*12,C163,"")</f>
        <v>159</v>
      </c>
      <c r="C163">
        <v>159</v>
      </c>
      <c r="D163" s="21">
        <v>730</v>
      </c>
      <c r="E163" s="1">
        <f>1-'Batt IN'!$E$31</f>
        <v>2.0000000000000018E-2</v>
      </c>
      <c r="F163" s="12">
        <f>('Batt IN'!$E$33*365)/8760</f>
        <v>0</v>
      </c>
      <c r="G163" s="22">
        <f>'Batt IN'!$E$32/8760</f>
        <v>5.7077625570776253E-3</v>
      </c>
      <c r="H163" s="22">
        <f>'Batt IN'!$E$13/8760</f>
        <v>5.5936073059360729E-3</v>
      </c>
      <c r="I163" s="23">
        <f>IF(C163&lt;='Batt IN'!$G$14*12,'Batt IN'!$E$15/8760*'Batt IN'!$G$15,0)</f>
        <v>0</v>
      </c>
      <c r="J163" s="12">
        <f>Z163/'Batt IN'!$E$27/730</f>
        <v>2.4999999999999996E-3</v>
      </c>
      <c r="K163" s="23">
        <f>AA163/'Batt IN'!$E$27/730</f>
        <v>1.6027397260273972E-3</v>
      </c>
      <c r="L163" s="23">
        <f>AB163/'Batt IN'!$E$27/730</f>
        <v>2.0547945205479451E-4</v>
      </c>
      <c r="M163" s="23">
        <f>AC163/'Batt IN'!$E$27/730</f>
        <v>4.7945205479452057E-3</v>
      </c>
      <c r="N163" s="23">
        <f>AD163/'Batt IN'!$E$27/730</f>
        <v>3.4246575342465752E-3</v>
      </c>
      <c r="O163" s="12">
        <f t="shared" si="36"/>
        <v>4.3828767123287697E-2</v>
      </c>
      <c r="P163" s="21">
        <f t="shared" si="37"/>
        <v>698.005</v>
      </c>
      <c r="Q163" s="2">
        <f>IF('Batt IN'!$E$27*'Batt IN'!$E$24&lt;='Batt IN'!$E$28,(('Batt IN'!$E$23*'Batt IN'!$E$27*'Batt IN'!$E$24)/1000)*P163,(('Batt IN'!$E$23*'Batt IN'!$E$28*'Batt IN'!$E$24)/1000)*P163)</f>
        <v>11168.08</v>
      </c>
      <c r="R163" s="2"/>
      <c r="S163" s="77">
        <f>IF(C163&lt;='Batt IN'!$G$14*12,'Batt IN'!$E$15/12,0)</f>
        <v>0</v>
      </c>
      <c r="T163" s="77"/>
      <c r="U163" s="80">
        <f>'Batt IN'!$E$28*('Batt IN'!$G$24/24)*730*(1-O163)</f>
        <v>81433.916666666657</v>
      </c>
      <c r="V163" s="78">
        <f>U163*'Batt IN'!$F$30</f>
        <v>16286.783333333333</v>
      </c>
      <c r="W163" s="78">
        <f>'Batt IN'!$E$28*'Batt IN'!$G$32*('Batt IN'!$E$32/12)*(1+'Batt IN'!$F$30)</f>
        <v>1750.0000000000002</v>
      </c>
      <c r="X163" s="78">
        <f>'Batt IN'!$E$28*'Batt IN'!$G$13*('Batt IN'!$E$13/12)*(1+'Batt IN'!$F$30)</f>
        <v>3184.9999999999995</v>
      </c>
      <c r="Y163" s="33">
        <f>S163*'Batt IN'!$G$15*'Batt IN'!$E$28*(1+'Batt IN'!$F$30)</f>
        <v>0</v>
      </c>
      <c r="Z163" s="33">
        <f>'Batt IN'!$G$16*365/12*(1+'Batt IN'!$F$30)</f>
        <v>1824.9999999999998</v>
      </c>
      <c r="AA163" s="33">
        <f>'Batt IN'!$G$17*'Batt IN'!$E$18*'Batt IN'!$G$18/12*(1+'Batt IN'!$F$30)</f>
        <v>1170</v>
      </c>
      <c r="AB163" s="33">
        <f>'Batt IN'!$G$19*'Batt IN'!$E$20*'Batt IN'!$G$20/12*(1+'Batt IN'!$F$30)</f>
        <v>150</v>
      </c>
      <c r="AC163" s="33">
        <f>'Batt IN'!$G$21*(1+'Batt IN'!$F$30)/12</f>
        <v>3500</v>
      </c>
      <c r="AD163" s="33">
        <f>'Batt IN'!$G$22*(1+'Batt IN'!$F$30)/12</f>
        <v>2500</v>
      </c>
      <c r="AE163" s="33">
        <f t="shared" si="49"/>
        <v>30366.783333333333</v>
      </c>
      <c r="AF163" s="33">
        <f>IF('PV IN'!$F$4="Battery Only",0,AE163*'Batt IN'!$E$29)</f>
        <v>25811.765833333331</v>
      </c>
      <c r="AG163" s="33">
        <f>PVCalcs!L163</f>
        <v>25811.765833333331</v>
      </c>
      <c r="AH163" s="33">
        <f t="shared" si="50"/>
        <v>4555.0175000000017</v>
      </c>
      <c r="AI163" s="33"/>
      <c r="AJ163" s="2">
        <f>IF(AND('Batt IN'!$D$53="Yes",$AL$1&gt;=1),IF($C163='Batt IN'!$H$54*12,-'Batt IN'!$F$54,0),0)</f>
        <v>0</v>
      </c>
      <c r="AK163" s="2">
        <f>IF(AND('Batt IN'!$D$53="Yes",$AL$1&gt;=2),IF($C163='Batt IN'!$H$55*12,-'Batt IN'!$F$55,0),0)</f>
        <v>0</v>
      </c>
      <c r="AL163" s="2">
        <f>IF(AND('Batt IN'!$D$53="Yes",$AL$1&gt;=3),IF($C163='Batt IN'!$H$56*12,-'Batt IN'!$F$56,0),0)</f>
        <v>0</v>
      </c>
      <c r="AM163" s="2">
        <f>IF(AND('Batt IN'!$D$53="Yes",$AL$1&gt;=4),IF($C163='Batt IN'!$H$57*12,-'Batt IN'!$F$57,0),0)</f>
        <v>0</v>
      </c>
      <c r="AN163" s="2">
        <f>IF(AND('Batt IN'!$D$53="Yes",$AL$1&gt;=5),IF($C163='Batt IN'!$H$58*12,-'Batt IN'!$F$58,0),0)</f>
        <v>0</v>
      </c>
      <c r="AO163" s="10">
        <f>IF(AND('Batt IN'!$D$44="YES",$C163&lt;='Batt IN'!$E$44*12),-'Batt IN'!$E$28*'Batt IN'!$E$42/12,0)</f>
        <v>0</v>
      </c>
      <c r="AP163" s="10">
        <f>IF(AND('Batt IN'!$D$46="YES",$C163&lt;='Batt IN'!$E$46*12),-'Batt IN'!$E$28*'Batt IN'!$E$45/12,0)</f>
        <v>0</v>
      </c>
      <c r="AR163" s="10">
        <f>BattLoan!M190</f>
        <v>0</v>
      </c>
      <c r="AS163" s="10">
        <f>'Batt IN'!$G$16*365/12*'Batt IN'!$E$16</f>
        <v>76.041666666666671</v>
      </c>
      <c r="AT163" s="10">
        <f>IF(AND('Batt IN'!$E$18&gt;0,'Batt IN'!$G$18&gt;0),'Batt IN'!$E$17*'Batt IN'!$G$17,0)</f>
        <v>119.44619999999999</v>
      </c>
      <c r="AU163" s="10">
        <f>IF(AND('Batt IN'!$E$20&gt;0,'Batt IN'!$G$20&gt;0),'Batt IN'!$E$19*'Batt IN'!$G$19,0)</f>
        <v>231</v>
      </c>
      <c r="AV163" s="10"/>
      <c r="AW163" s="10"/>
      <c r="AX163" s="10">
        <f>IF('Batt IN'!$E$11="Non-Taxable",Q163,0)</f>
        <v>11168.08</v>
      </c>
      <c r="AY163" s="10">
        <f>IF('Batt IN'!$E$11="Non-Taxable",'Batt IN'!$E$28/1000*'Batt IN'!$G$13*('Batt IN'!$E$13/12)*'Batt IN'!$E$12,0)</f>
        <v>244.42220833333334</v>
      </c>
      <c r="AZ163" s="10">
        <f>IF('Batt IN'!$E$11="Non-Taxable",$S163*'Batt IN'!$G$15*'Batt IN'!$E$28*'Batt IN'!$E$14/1000,0)</f>
        <v>0</v>
      </c>
      <c r="BA163" s="10">
        <f>IF('Batt IN'!$E$11="Non-Taxable",'Batt IN'!$E$21*'Batt IN'!$G$21/12,0)</f>
        <v>437.5</v>
      </c>
      <c r="BB163" s="10">
        <f>IF('Batt IN'!$E$11="Non-Taxable",'Batt IN'!$E$22*'Batt IN'!$G$22/12,0)</f>
        <v>1145.8333333333335</v>
      </c>
      <c r="BC163" s="10">
        <f>IF('Batt IN'!$E$11="Taxable",Q163,0)</f>
        <v>0</v>
      </c>
      <c r="BD163" s="10">
        <f>IF('Batt IN'!$E$11="Taxable",'Batt IN'!$E$28/1000*'Batt IN'!$G$13*('Batt IN'!$E$13/12)*'Batt IN'!$E$12,0)</f>
        <v>0</v>
      </c>
      <c r="BE163" s="10">
        <f>IF('Batt IN'!$E$11="Taxable",$S163*'Batt IN'!$G$15*'Batt IN'!$E$28*'Batt IN'!$E$14/1000,0)</f>
        <v>0</v>
      </c>
      <c r="BF163" s="10">
        <f>IF('Batt IN'!$E$11="Taxable",'Batt IN'!$E$21*'Batt IN'!$G$21/12,0)</f>
        <v>0</v>
      </c>
      <c r="BG163" s="10">
        <f>IF('Batt IN'!$E$11="Taxable",'Batt IN'!$E$22*'Batt IN'!$G$22/12,0)</f>
        <v>0</v>
      </c>
      <c r="BK163" s="10">
        <f>IF('Batt IN'!$N$18="Yes",-BattLoan!H191,-BattLoan!L191)</f>
        <v>0</v>
      </c>
      <c r="BL163" s="10">
        <f>IF('Batt IN'!$N$18="Yes",-BattLoan!F191,0)</f>
        <v>0</v>
      </c>
      <c r="BM163" s="10">
        <f>IF(AND('Batt IN'!$D$44="YES",$C163&lt;='Batt IN'!$E$44*12),0,-'Batt IN'!$E$28*'Batt IN'!$E$42/12)</f>
        <v>-83.333333333333329</v>
      </c>
      <c r="BN163" s="10">
        <f>IF(AND('Batt IN'!$D$46="YES",$C163&lt;='Batt IN'!$E$46*12),0,-'Batt IN'!$E$28*'Batt IN'!$E$45/12)</f>
        <v>-166.66666666666666</v>
      </c>
      <c r="BO163" s="2">
        <f>IF(AND('Batt IN'!$D$41="YES",BattCalcs!C163=ROUNDUP('Batt IN'!$H$41*12,)),-'Batt IN'!$E$41*'Batt IN'!$E$28,0)</f>
        <v>0</v>
      </c>
      <c r="BP163" s="2">
        <f>IF(AND('Batt IN'!$D$53="Yes",$AL$1&gt;=1),0,IF($C163='Batt IN'!$H$54*12,-'Batt IN'!$F$54,0))</f>
        <v>0</v>
      </c>
      <c r="BQ163" s="2">
        <f>IF(AND('Batt IN'!$D$53="Yes",$AL$1&gt;=2),0,IF($C163='Batt IN'!$H$55*12,-'Batt IN'!$F$55,0))</f>
        <v>0</v>
      </c>
      <c r="BR163" s="2">
        <f>IF(AND('Batt IN'!$D$53="Yes",$AL$1&gt;=3),0,IF($C163='Batt IN'!$H$56*12,-'Batt IN'!$F$56,0))</f>
        <v>0</v>
      </c>
      <c r="BS163" s="2">
        <f>IF(AND('Batt IN'!$D$53="Yes",$AL$1&gt;=4),0,IF($C163='Batt IN'!$H$57*12,-'Batt IN'!$F$57,0))</f>
        <v>0</v>
      </c>
      <c r="BT163" s="2">
        <f>IF(AND('Batt IN'!$D$53="Yes",$AL$1&gt;=5),0,IF($C163='Batt IN'!$H$58*12,-'Batt IN'!$F$58,0))</f>
        <v>0</v>
      </c>
      <c r="BU163" s="2">
        <f>-AH163*PVCalcs!F163</f>
        <v>-370.28408231073848</v>
      </c>
      <c r="BV163" s="2">
        <f>-'Batt IN'!$E$47</f>
        <v>-150</v>
      </c>
      <c r="BW163" s="2">
        <f>-'Batt IN'!$E$49</f>
        <v>-2250</v>
      </c>
      <c r="BX163" s="2">
        <f>IF('Batt IN'!$H$50="No",-(BC163*'Batt IN'!$E$50),-(BC163+BE163)*'Batt IN'!$E$50)</f>
        <v>0</v>
      </c>
      <c r="BY163" s="2">
        <f>IF(C163='Batt IN'!$H$43*12,-'Batt IN'!$E$43,0)</f>
        <v>0</v>
      </c>
      <c r="BZ163" s="38"/>
      <c r="CA163" s="10">
        <f t="shared" si="34"/>
        <v>13422.323408333334</v>
      </c>
      <c r="CB163" s="2">
        <f t="shared" si="38"/>
        <v>-3020.2840823107385</v>
      </c>
      <c r="CC163" s="45">
        <f t="shared" si="39"/>
        <v>10402.039326022596</v>
      </c>
      <c r="CD163" s="43"/>
      <c r="CE163" s="2">
        <f t="shared" si="35"/>
        <v>0</v>
      </c>
      <c r="CF163" s="2">
        <f t="shared" si="40"/>
        <v>-3020.2840823107385</v>
      </c>
      <c r="CG163" s="2"/>
      <c r="CH163" s="2">
        <f t="shared" si="41"/>
        <v>-3020.2840823107385</v>
      </c>
      <c r="CI163" s="45">
        <f>-CH163*'Batt IN'!$E$7</f>
        <v>634.25965728525512</v>
      </c>
      <c r="CJ163" s="48"/>
      <c r="CK163" s="45">
        <f>IF('Batt IN'!$F$4="PV Only",0,IF(C163&gt;'Batt IN'!$H$43*12,0,CC163+CI163))</f>
        <v>0</v>
      </c>
      <c r="CM163" s="10">
        <f t="shared" si="42"/>
        <v>0</v>
      </c>
      <c r="CN163" s="2">
        <f>CK163/(1+('Batt IN'!$G$8))^(C163)</f>
        <v>0</v>
      </c>
      <c r="CO163" s="2">
        <f>IF(C163&lt;='Batt IN'!$O$30*12,CN163+CO162,NA())</f>
        <v>0</v>
      </c>
      <c r="CQ163" s="2">
        <f>CK163/((1+('Batt IN'!$E$8/12))^BattCalcs!C163)</f>
        <v>0</v>
      </c>
      <c r="CS163" s="10">
        <f t="shared" si="43"/>
        <v>-3020.2840823107385</v>
      </c>
      <c r="CT163" s="10">
        <f t="shared" si="44"/>
        <v>0</v>
      </c>
      <c r="CU163" s="10">
        <f t="shared" si="45"/>
        <v>-3020.2840823107385</v>
      </c>
      <c r="CV163" s="10">
        <f t="shared" si="46"/>
        <v>-3020.2840823107385</v>
      </c>
      <c r="CW163" s="2">
        <f t="shared" si="47"/>
        <v>0</v>
      </c>
      <c r="CX163" s="2">
        <f>-(SUM(CV163:CW163)*'PV IN'!$E$8)</f>
        <v>634.25965728525512</v>
      </c>
      <c r="CY163" s="2">
        <f t="shared" si="48"/>
        <v>-2386.0244250254837</v>
      </c>
      <c r="CZ163" s="2">
        <f>IF(C163&lt;='Batt IN'!$H$43*12,CY163/(1+('PV IN'!$G$9))^(C163),0)</f>
        <v>-1250.0191674879541</v>
      </c>
      <c r="DA163" s="33">
        <f>IF(C163&lt;='Batt IN'!$H$43*12,AE163,0)</f>
        <v>30366.783333333333</v>
      </c>
    </row>
    <row r="164" spans="1:105" x14ac:dyDescent="0.25">
      <c r="A164">
        <f>IF(C164&lt;='Batt IN'!$H$43*12,C164,"")</f>
        <v>160</v>
      </c>
      <c r="C164">
        <v>160</v>
      </c>
      <c r="D164" s="21">
        <v>730</v>
      </c>
      <c r="E164" s="1">
        <f>1-'Batt IN'!$E$31</f>
        <v>2.0000000000000018E-2</v>
      </c>
      <c r="F164" s="12">
        <f>('Batt IN'!$E$33*365)/8760</f>
        <v>0</v>
      </c>
      <c r="G164" s="22">
        <f>'Batt IN'!$E$32/8760</f>
        <v>5.7077625570776253E-3</v>
      </c>
      <c r="H164" s="22">
        <f>'Batt IN'!$E$13/8760</f>
        <v>5.5936073059360729E-3</v>
      </c>
      <c r="I164" s="23">
        <f>IF(C164&lt;='Batt IN'!$G$14*12,'Batt IN'!$E$15/8760*'Batt IN'!$G$15,0)</f>
        <v>0</v>
      </c>
      <c r="J164" s="12">
        <f>Z164/'Batt IN'!$E$27/730</f>
        <v>2.4999999999999996E-3</v>
      </c>
      <c r="K164" s="23">
        <f>AA164/'Batt IN'!$E$27/730</f>
        <v>1.6027397260273972E-3</v>
      </c>
      <c r="L164" s="23">
        <f>AB164/'Batt IN'!$E$27/730</f>
        <v>2.0547945205479451E-4</v>
      </c>
      <c r="M164" s="23">
        <f>AC164/'Batt IN'!$E$27/730</f>
        <v>4.7945205479452057E-3</v>
      </c>
      <c r="N164" s="23">
        <f>AD164/'Batt IN'!$E$27/730</f>
        <v>3.4246575342465752E-3</v>
      </c>
      <c r="O164" s="12">
        <f t="shared" si="36"/>
        <v>4.3828767123287697E-2</v>
      </c>
      <c r="P164" s="21">
        <f t="shared" si="37"/>
        <v>698.005</v>
      </c>
      <c r="Q164" s="2">
        <f>IF('Batt IN'!$E$27*'Batt IN'!$E$24&lt;='Batt IN'!$E$28,(('Batt IN'!$E$23*'Batt IN'!$E$27*'Batt IN'!$E$24)/1000)*P164,(('Batt IN'!$E$23*'Batt IN'!$E$28*'Batt IN'!$E$24)/1000)*P164)</f>
        <v>11168.08</v>
      </c>
      <c r="R164" s="2"/>
      <c r="S164" s="77">
        <f>IF(C164&lt;='Batt IN'!$G$14*12,'Batt IN'!$E$15/12,0)</f>
        <v>0</v>
      </c>
      <c r="T164" s="77"/>
      <c r="U164" s="80">
        <f>'Batt IN'!$E$28*('Batt IN'!$G$24/24)*730*(1-O164)</f>
        <v>81433.916666666657</v>
      </c>
      <c r="V164" s="78">
        <f>U164*'Batt IN'!$F$30</f>
        <v>16286.783333333333</v>
      </c>
      <c r="W164" s="78">
        <f>'Batt IN'!$E$28*'Batt IN'!$G$32*('Batt IN'!$E$32/12)*(1+'Batt IN'!$F$30)</f>
        <v>1750.0000000000002</v>
      </c>
      <c r="X164" s="78">
        <f>'Batt IN'!$E$28*'Batt IN'!$G$13*('Batt IN'!$E$13/12)*(1+'Batt IN'!$F$30)</f>
        <v>3184.9999999999995</v>
      </c>
      <c r="Y164" s="33">
        <f>S164*'Batt IN'!$G$15*'Batt IN'!$E$28*(1+'Batt IN'!$F$30)</f>
        <v>0</v>
      </c>
      <c r="Z164" s="33">
        <f>'Batt IN'!$G$16*365/12*(1+'Batt IN'!$F$30)</f>
        <v>1824.9999999999998</v>
      </c>
      <c r="AA164" s="33">
        <f>'Batt IN'!$G$17*'Batt IN'!$E$18*'Batt IN'!$G$18/12*(1+'Batt IN'!$F$30)</f>
        <v>1170</v>
      </c>
      <c r="AB164" s="33">
        <f>'Batt IN'!$G$19*'Batt IN'!$E$20*'Batt IN'!$G$20/12*(1+'Batt IN'!$F$30)</f>
        <v>150</v>
      </c>
      <c r="AC164" s="33">
        <f>'Batt IN'!$G$21*(1+'Batt IN'!$F$30)/12</f>
        <v>3500</v>
      </c>
      <c r="AD164" s="33">
        <f>'Batt IN'!$G$22*(1+'Batt IN'!$F$30)/12</f>
        <v>2500</v>
      </c>
      <c r="AE164" s="33">
        <f t="shared" si="49"/>
        <v>30366.783333333333</v>
      </c>
      <c r="AF164" s="33">
        <f>IF('PV IN'!$F$4="Battery Only",0,AE164*'Batt IN'!$E$29)</f>
        <v>25811.765833333331</v>
      </c>
      <c r="AG164" s="33">
        <f>PVCalcs!L164</f>
        <v>25811.765833333331</v>
      </c>
      <c r="AH164" s="33">
        <f t="shared" si="50"/>
        <v>4555.0175000000017</v>
      </c>
      <c r="AI164" s="33"/>
      <c r="AJ164" s="2">
        <f>IF(AND('Batt IN'!$D$53="Yes",$AL$1&gt;=1),IF($C164='Batt IN'!$H$54*12,-'Batt IN'!$F$54,0),0)</f>
        <v>0</v>
      </c>
      <c r="AK164" s="2">
        <f>IF(AND('Batt IN'!$D$53="Yes",$AL$1&gt;=2),IF($C164='Batt IN'!$H$55*12,-'Batt IN'!$F$55,0),0)</f>
        <v>0</v>
      </c>
      <c r="AL164" s="2">
        <f>IF(AND('Batt IN'!$D$53="Yes",$AL$1&gt;=3),IF($C164='Batt IN'!$H$56*12,-'Batt IN'!$F$56,0),0)</f>
        <v>0</v>
      </c>
      <c r="AM164" s="2">
        <f>IF(AND('Batt IN'!$D$53="Yes",$AL$1&gt;=4),IF($C164='Batt IN'!$H$57*12,-'Batt IN'!$F$57,0),0)</f>
        <v>0</v>
      </c>
      <c r="AN164" s="2">
        <f>IF(AND('Batt IN'!$D$53="Yes",$AL$1&gt;=5),IF($C164='Batt IN'!$H$58*12,-'Batt IN'!$F$58,0),0)</f>
        <v>0</v>
      </c>
      <c r="AO164" s="10">
        <f>IF(AND('Batt IN'!$D$44="YES",$C164&lt;='Batt IN'!$E$44*12),-'Batt IN'!$E$28*'Batt IN'!$E$42/12,0)</f>
        <v>0</v>
      </c>
      <c r="AP164" s="10">
        <f>IF(AND('Batt IN'!$D$46="YES",$C164&lt;='Batt IN'!$E$46*12),-'Batt IN'!$E$28*'Batt IN'!$E$45/12,0)</f>
        <v>0</v>
      </c>
      <c r="AR164" s="10">
        <f>BattLoan!M191</f>
        <v>0</v>
      </c>
      <c r="AS164" s="10">
        <f>'Batt IN'!$G$16*365/12*'Batt IN'!$E$16</f>
        <v>76.041666666666671</v>
      </c>
      <c r="AT164" s="10">
        <f>IF(AND('Batt IN'!$E$18&gt;0,'Batt IN'!$G$18&gt;0),'Batt IN'!$E$17*'Batt IN'!$G$17,0)</f>
        <v>119.44619999999999</v>
      </c>
      <c r="AU164" s="10">
        <f>IF(AND('Batt IN'!$E$20&gt;0,'Batt IN'!$G$20&gt;0),'Batt IN'!$E$19*'Batt IN'!$G$19,0)</f>
        <v>231</v>
      </c>
      <c r="AV164" s="10"/>
      <c r="AW164" s="10"/>
      <c r="AX164" s="10">
        <f>IF('Batt IN'!$E$11="Non-Taxable",Q164,0)</f>
        <v>11168.08</v>
      </c>
      <c r="AY164" s="10">
        <f>IF('Batt IN'!$E$11="Non-Taxable",'Batt IN'!$E$28/1000*'Batt IN'!$G$13*('Batt IN'!$E$13/12)*'Batt IN'!$E$12,0)</f>
        <v>244.42220833333334</v>
      </c>
      <c r="AZ164" s="10">
        <f>IF('Batt IN'!$E$11="Non-Taxable",$S164*'Batt IN'!$G$15*'Batt IN'!$E$28*'Batt IN'!$E$14/1000,0)</f>
        <v>0</v>
      </c>
      <c r="BA164" s="10">
        <f>IF('Batt IN'!$E$11="Non-Taxable",'Batt IN'!$E$21*'Batt IN'!$G$21/12,0)</f>
        <v>437.5</v>
      </c>
      <c r="BB164" s="10">
        <f>IF('Batt IN'!$E$11="Non-Taxable",'Batt IN'!$E$22*'Batt IN'!$G$22/12,0)</f>
        <v>1145.8333333333335</v>
      </c>
      <c r="BC164" s="10">
        <f>IF('Batt IN'!$E$11="Taxable",Q164,0)</f>
        <v>0</v>
      </c>
      <c r="BD164" s="10">
        <f>IF('Batt IN'!$E$11="Taxable",'Batt IN'!$E$28/1000*'Batt IN'!$G$13*('Batt IN'!$E$13/12)*'Batt IN'!$E$12,0)</f>
        <v>0</v>
      </c>
      <c r="BE164" s="10">
        <f>IF('Batt IN'!$E$11="Taxable",$S164*'Batt IN'!$G$15*'Batt IN'!$E$28*'Batt IN'!$E$14/1000,0)</f>
        <v>0</v>
      </c>
      <c r="BF164" s="10">
        <f>IF('Batt IN'!$E$11="Taxable",'Batt IN'!$E$21*'Batt IN'!$G$21/12,0)</f>
        <v>0</v>
      </c>
      <c r="BG164" s="10">
        <f>IF('Batt IN'!$E$11="Taxable",'Batt IN'!$E$22*'Batt IN'!$G$22/12,0)</f>
        <v>0</v>
      </c>
      <c r="BK164" s="10">
        <f>IF('Batt IN'!$N$18="Yes",-BattLoan!H192,-BattLoan!L192)</f>
        <v>0</v>
      </c>
      <c r="BL164" s="10">
        <f>IF('Batt IN'!$N$18="Yes",-BattLoan!F192,0)</f>
        <v>0</v>
      </c>
      <c r="BM164" s="10">
        <f>IF(AND('Batt IN'!$D$44="YES",$C164&lt;='Batt IN'!$E$44*12),0,-'Batt IN'!$E$28*'Batt IN'!$E$42/12)</f>
        <v>-83.333333333333329</v>
      </c>
      <c r="BN164" s="10">
        <f>IF(AND('Batt IN'!$D$46="YES",$C164&lt;='Batt IN'!$E$46*12),0,-'Batt IN'!$E$28*'Batt IN'!$E$45/12)</f>
        <v>-166.66666666666666</v>
      </c>
      <c r="BO164" s="2">
        <f>IF(AND('Batt IN'!$D$41="YES",BattCalcs!C164=ROUNDUP('Batt IN'!$H$41*12,)),-'Batt IN'!$E$41*'Batt IN'!$E$28,0)</f>
        <v>0</v>
      </c>
      <c r="BP164" s="2">
        <f>IF(AND('Batt IN'!$D$53="Yes",$AL$1&gt;=1),0,IF($C164='Batt IN'!$H$54*12,-'Batt IN'!$F$54,0))</f>
        <v>0</v>
      </c>
      <c r="BQ164" s="2">
        <f>IF(AND('Batt IN'!$D$53="Yes",$AL$1&gt;=2),0,IF($C164='Batt IN'!$H$55*12,-'Batt IN'!$F$55,0))</f>
        <v>0</v>
      </c>
      <c r="BR164" s="2">
        <f>IF(AND('Batt IN'!$D$53="Yes",$AL$1&gt;=3),0,IF($C164='Batt IN'!$H$56*12,-'Batt IN'!$F$56,0))</f>
        <v>0</v>
      </c>
      <c r="BS164" s="2">
        <f>IF(AND('Batt IN'!$D$53="Yes",$AL$1&gt;=4),0,IF($C164='Batt IN'!$H$57*12,-'Batt IN'!$F$57,0))</f>
        <v>0</v>
      </c>
      <c r="BT164" s="2">
        <f>IF(AND('Batt IN'!$D$53="Yes",$AL$1&gt;=5),0,IF($C164='Batt IN'!$H$58*12,-'Batt IN'!$F$58,0))</f>
        <v>0</v>
      </c>
      <c r="BU164" s="2">
        <f>-AH164*PVCalcs!F164</f>
        <v>-370.28408231073848</v>
      </c>
      <c r="BV164" s="2">
        <f>-'Batt IN'!$E$47</f>
        <v>-150</v>
      </c>
      <c r="BW164" s="2">
        <f>-'Batt IN'!$E$49</f>
        <v>-2250</v>
      </c>
      <c r="BX164" s="2">
        <f>IF('Batt IN'!$H$50="No",-(BC164*'Batt IN'!$E$50),-(BC164+BE164)*'Batt IN'!$E$50)</f>
        <v>0</v>
      </c>
      <c r="BY164" s="2">
        <f>IF(C164='Batt IN'!$H$43*12,-'Batt IN'!$E$43,0)</f>
        <v>0</v>
      </c>
      <c r="BZ164" s="38"/>
      <c r="CA164" s="10">
        <f t="shared" si="34"/>
        <v>13422.323408333334</v>
      </c>
      <c r="CB164" s="2">
        <f t="shared" si="38"/>
        <v>-3020.2840823107385</v>
      </c>
      <c r="CC164" s="45">
        <f t="shared" si="39"/>
        <v>10402.039326022596</v>
      </c>
      <c r="CD164" s="43"/>
      <c r="CE164" s="2">
        <f t="shared" si="35"/>
        <v>0</v>
      </c>
      <c r="CF164" s="2">
        <f t="shared" si="40"/>
        <v>-3020.2840823107385</v>
      </c>
      <c r="CG164" s="2"/>
      <c r="CH164" s="2">
        <f t="shared" si="41"/>
        <v>-3020.2840823107385</v>
      </c>
      <c r="CI164" s="45">
        <f>-CH164*'Batt IN'!$E$7</f>
        <v>634.25965728525512</v>
      </c>
      <c r="CJ164" s="48"/>
      <c r="CK164" s="45">
        <f>IF('Batt IN'!$F$4="PV Only",0,IF(C164&gt;'Batt IN'!$H$43*12,0,CC164+CI164))</f>
        <v>0</v>
      </c>
      <c r="CM164" s="10">
        <f t="shared" si="42"/>
        <v>0</v>
      </c>
      <c r="CN164" s="2">
        <f>CK164/(1+('Batt IN'!$G$8))^(C164)</f>
        <v>0</v>
      </c>
      <c r="CO164" s="2">
        <f>IF(C164&lt;='Batt IN'!$O$30*12,CN164+CO163,NA())</f>
        <v>0</v>
      </c>
      <c r="CQ164" s="2">
        <f>CK164/((1+('Batt IN'!$E$8/12))^BattCalcs!C164)</f>
        <v>0</v>
      </c>
      <c r="CS164" s="10">
        <f t="shared" si="43"/>
        <v>-3020.2840823107385</v>
      </c>
      <c r="CT164" s="10">
        <f t="shared" si="44"/>
        <v>0</v>
      </c>
      <c r="CU164" s="10">
        <f t="shared" si="45"/>
        <v>-3020.2840823107385</v>
      </c>
      <c r="CV164" s="10">
        <f t="shared" si="46"/>
        <v>-3020.2840823107385</v>
      </c>
      <c r="CW164" s="2">
        <f t="shared" si="47"/>
        <v>0</v>
      </c>
      <c r="CX164" s="2">
        <f>-(SUM(CV164:CW164)*'PV IN'!$E$8)</f>
        <v>634.25965728525512</v>
      </c>
      <c r="CY164" s="2">
        <f t="shared" si="48"/>
        <v>-2386.0244250254837</v>
      </c>
      <c r="CZ164" s="2">
        <f>IF(C164&lt;='Batt IN'!$H$43*12,CY164/(1+('PV IN'!$G$9))^(C164),0)</f>
        <v>-1244.9470989029296</v>
      </c>
      <c r="DA164" s="33">
        <f>IF(C164&lt;='Batt IN'!$H$43*12,AE164,0)</f>
        <v>30366.783333333333</v>
      </c>
    </row>
    <row r="165" spans="1:105" x14ac:dyDescent="0.25">
      <c r="A165">
        <f>IF(C165&lt;='Batt IN'!$H$43*12,C165,"")</f>
        <v>161</v>
      </c>
      <c r="C165">
        <v>161</v>
      </c>
      <c r="D165" s="21">
        <v>730</v>
      </c>
      <c r="E165" s="1">
        <f>1-'Batt IN'!$E$31</f>
        <v>2.0000000000000018E-2</v>
      </c>
      <c r="F165" s="12">
        <f>('Batt IN'!$E$33*365)/8760</f>
        <v>0</v>
      </c>
      <c r="G165" s="22">
        <f>'Batt IN'!$E$32/8760</f>
        <v>5.7077625570776253E-3</v>
      </c>
      <c r="H165" s="22">
        <f>'Batt IN'!$E$13/8760</f>
        <v>5.5936073059360729E-3</v>
      </c>
      <c r="I165" s="23">
        <f>IF(C165&lt;='Batt IN'!$G$14*12,'Batt IN'!$E$15/8760*'Batt IN'!$G$15,0)</f>
        <v>0</v>
      </c>
      <c r="J165" s="12">
        <f>Z165/'Batt IN'!$E$27/730</f>
        <v>2.4999999999999996E-3</v>
      </c>
      <c r="K165" s="23">
        <f>AA165/'Batt IN'!$E$27/730</f>
        <v>1.6027397260273972E-3</v>
      </c>
      <c r="L165" s="23">
        <f>AB165/'Batt IN'!$E$27/730</f>
        <v>2.0547945205479451E-4</v>
      </c>
      <c r="M165" s="23">
        <f>AC165/'Batt IN'!$E$27/730</f>
        <v>4.7945205479452057E-3</v>
      </c>
      <c r="N165" s="23">
        <f>AD165/'Batt IN'!$E$27/730</f>
        <v>3.4246575342465752E-3</v>
      </c>
      <c r="O165" s="12">
        <f t="shared" si="36"/>
        <v>4.3828767123287697E-2</v>
      </c>
      <c r="P165" s="21">
        <f t="shared" si="37"/>
        <v>698.005</v>
      </c>
      <c r="Q165" s="2">
        <f>IF('Batt IN'!$E$27*'Batt IN'!$E$24&lt;='Batt IN'!$E$28,(('Batt IN'!$E$23*'Batt IN'!$E$27*'Batt IN'!$E$24)/1000)*P165,(('Batt IN'!$E$23*'Batt IN'!$E$28*'Batt IN'!$E$24)/1000)*P165)</f>
        <v>11168.08</v>
      </c>
      <c r="R165" s="2"/>
      <c r="S165" s="77">
        <f>IF(C165&lt;='Batt IN'!$G$14*12,'Batt IN'!$E$15/12,0)</f>
        <v>0</v>
      </c>
      <c r="T165" s="77"/>
      <c r="U165" s="80">
        <f>'Batt IN'!$E$28*('Batt IN'!$G$24/24)*730*(1-O165)</f>
        <v>81433.916666666657</v>
      </c>
      <c r="V165" s="78">
        <f>U165*'Batt IN'!$F$30</f>
        <v>16286.783333333333</v>
      </c>
      <c r="W165" s="78">
        <f>'Batt IN'!$E$28*'Batt IN'!$G$32*('Batt IN'!$E$32/12)*(1+'Batt IN'!$F$30)</f>
        <v>1750.0000000000002</v>
      </c>
      <c r="X165" s="78">
        <f>'Batt IN'!$E$28*'Batt IN'!$G$13*('Batt IN'!$E$13/12)*(1+'Batt IN'!$F$30)</f>
        <v>3184.9999999999995</v>
      </c>
      <c r="Y165" s="33">
        <f>S165*'Batt IN'!$G$15*'Batt IN'!$E$28*(1+'Batt IN'!$F$30)</f>
        <v>0</v>
      </c>
      <c r="Z165" s="33">
        <f>'Batt IN'!$G$16*365/12*(1+'Batt IN'!$F$30)</f>
        <v>1824.9999999999998</v>
      </c>
      <c r="AA165" s="33">
        <f>'Batt IN'!$G$17*'Batt IN'!$E$18*'Batt IN'!$G$18/12*(1+'Batt IN'!$F$30)</f>
        <v>1170</v>
      </c>
      <c r="AB165" s="33">
        <f>'Batt IN'!$G$19*'Batt IN'!$E$20*'Batt IN'!$G$20/12*(1+'Batt IN'!$F$30)</f>
        <v>150</v>
      </c>
      <c r="AC165" s="33">
        <f>'Batt IN'!$G$21*(1+'Batt IN'!$F$30)/12</f>
        <v>3500</v>
      </c>
      <c r="AD165" s="33">
        <f>'Batt IN'!$G$22*(1+'Batt IN'!$F$30)/12</f>
        <v>2500</v>
      </c>
      <c r="AE165" s="33">
        <f t="shared" si="49"/>
        <v>30366.783333333333</v>
      </c>
      <c r="AF165" s="33">
        <f>IF('PV IN'!$F$4="Battery Only",0,AE165*'Batt IN'!$E$29)</f>
        <v>25811.765833333331</v>
      </c>
      <c r="AG165" s="33">
        <f>PVCalcs!L165</f>
        <v>25811.765833333331</v>
      </c>
      <c r="AH165" s="33">
        <f t="shared" si="50"/>
        <v>4555.0175000000017</v>
      </c>
      <c r="AI165" s="33"/>
      <c r="AJ165" s="2">
        <f>IF(AND('Batt IN'!$D$53="Yes",$AL$1&gt;=1),IF($C165='Batt IN'!$H$54*12,-'Batt IN'!$F$54,0),0)</f>
        <v>0</v>
      </c>
      <c r="AK165" s="2">
        <f>IF(AND('Batt IN'!$D$53="Yes",$AL$1&gt;=2),IF($C165='Batt IN'!$H$55*12,-'Batt IN'!$F$55,0),0)</f>
        <v>0</v>
      </c>
      <c r="AL165" s="2">
        <f>IF(AND('Batt IN'!$D$53="Yes",$AL$1&gt;=3),IF($C165='Batt IN'!$H$56*12,-'Batt IN'!$F$56,0),0)</f>
        <v>0</v>
      </c>
      <c r="AM165" s="2">
        <f>IF(AND('Batt IN'!$D$53="Yes",$AL$1&gt;=4),IF($C165='Batt IN'!$H$57*12,-'Batt IN'!$F$57,0),0)</f>
        <v>0</v>
      </c>
      <c r="AN165" s="2">
        <f>IF(AND('Batt IN'!$D$53="Yes",$AL$1&gt;=5),IF($C165='Batt IN'!$H$58*12,-'Batt IN'!$F$58,0),0)</f>
        <v>0</v>
      </c>
      <c r="AO165" s="10">
        <f>IF(AND('Batt IN'!$D$44="YES",$C165&lt;='Batt IN'!$E$44*12),-'Batt IN'!$E$28*'Batt IN'!$E$42/12,0)</f>
        <v>0</v>
      </c>
      <c r="AP165" s="10">
        <f>IF(AND('Batt IN'!$D$46="YES",$C165&lt;='Batt IN'!$E$46*12),-'Batt IN'!$E$28*'Batt IN'!$E$45/12,0)</f>
        <v>0</v>
      </c>
      <c r="AR165" s="10">
        <f>BattLoan!M192</f>
        <v>0</v>
      </c>
      <c r="AS165" s="10">
        <f>'Batt IN'!$G$16*365/12*'Batt IN'!$E$16</f>
        <v>76.041666666666671</v>
      </c>
      <c r="AT165" s="10">
        <f>IF(AND('Batt IN'!$E$18&gt;0,'Batt IN'!$G$18&gt;0),'Batt IN'!$E$17*'Batt IN'!$G$17,0)</f>
        <v>119.44619999999999</v>
      </c>
      <c r="AU165" s="10">
        <f>IF(AND('Batt IN'!$E$20&gt;0,'Batt IN'!$G$20&gt;0),'Batt IN'!$E$19*'Batt IN'!$G$19,0)</f>
        <v>231</v>
      </c>
      <c r="AV165" s="10"/>
      <c r="AW165" s="10"/>
      <c r="AX165" s="10">
        <f>IF('Batt IN'!$E$11="Non-Taxable",Q165,0)</f>
        <v>11168.08</v>
      </c>
      <c r="AY165" s="10">
        <f>IF('Batt IN'!$E$11="Non-Taxable",'Batt IN'!$E$28/1000*'Batt IN'!$G$13*('Batt IN'!$E$13/12)*'Batt IN'!$E$12,0)</f>
        <v>244.42220833333334</v>
      </c>
      <c r="AZ165" s="10">
        <f>IF('Batt IN'!$E$11="Non-Taxable",$S165*'Batt IN'!$G$15*'Batt IN'!$E$28*'Batt IN'!$E$14/1000,0)</f>
        <v>0</v>
      </c>
      <c r="BA165" s="10">
        <f>IF('Batt IN'!$E$11="Non-Taxable",'Batt IN'!$E$21*'Batt IN'!$G$21/12,0)</f>
        <v>437.5</v>
      </c>
      <c r="BB165" s="10">
        <f>IF('Batt IN'!$E$11="Non-Taxable",'Batt IN'!$E$22*'Batt IN'!$G$22/12,0)</f>
        <v>1145.8333333333335</v>
      </c>
      <c r="BC165" s="10">
        <f>IF('Batt IN'!$E$11="Taxable",Q165,0)</f>
        <v>0</v>
      </c>
      <c r="BD165" s="10">
        <f>IF('Batt IN'!$E$11="Taxable",'Batt IN'!$E$28/1000*'Batt IN'!$G$13*('Batt IN'!$E$13/12)*'Batt IN'!$E$12,0)</f>
        <v>0</v>
      </c>
      <c r="BE165" s="10">
        <f>IF('Batt IN'!$E$11="Taxable",$S165*'Batt IN'!$G$15*'Batt IN'!$E$28*'Batt IN'!$E$14/1000,0)</f>
        <v>0</v>
      </c>
      <c r="BF165" s="10">
        <f>IF('Batt IN'!$E$11="Taxable",'Batt IN'!$E$21*'Batt IN'!$G$21/12,0)</f>
        <v>0</v>
      </c>
      <c r="BG165" s="10">
        <f>IF('Batt IN'!$E$11="Taxable",'Batt IN'!$E$22*'Batt IN'!$G$22/12,0)</f>
        <v>0</v>
      </c>
      <c r="BK165" s="10">
        <f>IF('Batt IN'!$N$18="Yes",-BattLoan!H193,-BattLoan!L193)</f>
        <v>0</v>
      </c>
      <c r="BL165" s="10">
        <f>IF('Batt IN'!$N$18="Yes",-BattLoan!F193,0)</f>
        <v>0</v>
      </c>
      <c r="BM165" s="10">
        <f>IF(AND('Batt IN'!$D$44="YES",$C165&lt;='Batt IN'!$E$44*12),0,-'Batt IN'!$E$28*'Batt IN'!$E$42/12)</f>
        <v>-83.333333333333329</v>
      </c>
      <c r="BN165" s="10">
        <f>IF(AND('Batt IN'!$D$46="YES",$C165&lt;='Batt IN'!$E$46*12),0,-'Batt IN'!$E$28*'Batt IN'!$E$45/12)</f>
        <v>-166.66666666666666</v>
      </c>
      <c r="BO165" s="2">
        <f>IF(AND('Batt IN'!$D$41="YES",BattCalcs!C165=ROUNDUP('Batt IN'!$H$41*12,)),-'Batt IN'!$E$41*'Batt IN'!$E$28,0)</f>
        <v>0</v>
      </c>
      <c r="BP165" s="2">
        <f>IF(AND('Batt IN'!$D$53="Yes",$AL$1&gt;=1),0,IF($C165='Batt IN'!$H$54*12,-'Batt IN'!$F$54,0))</f>
        <v>0</v>
      </c>
      <c r="BQ165" s="2">
        <f>IF(AND('Batt IN'!$D$53="Yes",$AL$1&gt;=2),0,IF($C165='Batt IN'!$H$55*12,-'Batt IN'!$F$55,0))</f>
        <v>0</v>
      </c>
      <c r="BR165" s="2">
        <f>IF(AND('Batt IN'!$D$53="Yes",$AL$1&gt;=3),0,IF($C165='Batt IN'!$H$56*12,-'Batt IN'!$F$56,0))</f>
        <v>0</v>
      </c>
      <c r="BS165" s="2">
        <f>IF(AND('Batt IN'!$D$53="Yes",$AL$1&gt;=4),0,IF($C165='Batt IN'!$H$57*12,-'Batt IN'!$F$57,0))</f>
        <v>0</v>
      </c>
      <c r="BT165" s="2">
        <f>IF(AND('Batt IN'!$D$53="Yes",$AL$1&gt;=5),0,IF($C165='Batt IN'!$H$58*12,-'Batt IN'!$F$58,0))</f>
        <v>0</v>
      </c>
      <c r="BU165" s="2">
        <f>-AH165*PVCalcs!F165</f>
        <v>-370.28408231073848</v>
      </c>
      <c r="BV165" s="2">
        <f>-'Batt IN'!$E$47</f>
        <v>-150</v>
      </c>
      <c r="BW165" s="2">
        <f>-'Batt IN'!$E$49</f>
        <v>-2250</v>
      </c>
      <c r="BX165" s="2">
        <f>IF('Batt IN'!$H$50="No",-(BC165*'Batt IN'!$E$50),-(BC165+BE165)*'Batt IN'!$E$50)</f>
        <v>0</v>
      </c>
      <c r="BY165" s="2">
        <f>IF(C165='Batt IN'!$H$43*12,-'Batt IN'!$E$43,0)</f>
        <v>0</v>
      </c>
      <c r="BZ165" s="38"/>
      <c r="CA165" s="10">
        <f t="shared" si="34"/>
        <v>13422.323408333334</v>
      </c>
      <c r="CB165" s="2">
        <f t="shared" si="38"/>
        <v>-3020.2840823107385</v>
      </c>
      <c r="CC165" s="45">
        <f t="shared" si="39"/>
        <v>10402.039326022596</v>
      </c>
      <c r="CD165" s="43"/>
      <c r="CE165" s="2">
        <f t="shared" si="35"/>
        <v>0</v>
      </c>
      <c r="CF165" s="2">
        <f t="shared" si="40"/>
        <v>-3020.2840823107385</v>
      </c>
      <c r="CG165" s="2"/>
      <c r="CH165" s="2">
        <f t="shared" si="41"/>
        <v>-3020.2840823107385</v>
      </c>
      <c r="CI165" s="45">
        <f>-CH165*'Batt IN'!$E$7</f>
        <v>634.25965728525512</v>
      </c>
      <c r="CJ165" s="48"/>
      <c r="CK165" s="45">
        <f>IF('Batt IN'!$F$4="PV Only",0,IF(C165&gt;'Batt IN'!$H$43*12,0,CC165+CI165))</f>
        <v>0</v>
      </c>
      <c r="CM165" s="10">
        <f t="shared" si="42"/>
        <v>0</v>
      </c>
      <c r="CN165" s="2">
        <f>CK165/(1+('Batt IN'!$G$8))^(C165)</f>
        <v>0</v>
      </c>
      <c r="CO165" s="2">
        <f>IF(C165&lt;='Batt IN'!$O$30*12,CN165+CO164,NA())</f>
        <v>0</v>
      </c>
      <c r="CQ165" s="2">
        <f>CK165/((1+('Batt IN'!$E$8/12))^BattCalcs!C165)</f>
        <v>0</v>
      </c>
      <c r="CS165" s="10">
        <f t="shared" si="43"/>
        <v>-3020.2840823107385</v>
      </c>
      <c r="CT165" s="10">
        <f t="shared" si="44"/>
        <v>0</v>
      </c>
      <c r="CU165" s="10">
        <f t="shared" si="45"/>
        <v>-3020.2840823107385</v>
      </c>
      <c r="CV165" s="10">
        <f t="shared" si="46"/>
        <v>-3020.2840823107385</v>
      </c>
      <c r="CW165" s="2">
        <f t="shared" si="47"/>
        <v>0</v>
      </c>
      <c r="CX165" s="2">
        <f>-(SUM(CV165:CW165)*'PV IN'!$E$8)</f>
        <v>634.25965728525512</v>
      </c>
      <c r="CY165" s="2">
        <f t="shared" si="48"/>
        <v>-2386.0244250254837</v>
      </c>
      <c r="CZ165" s="2">
        <f>IF(C165&lt;='Batt IN'!$H$43*12,CY165/(1+('PV IN'!$G$9))^(C165),0)</f>
        <v>-1239.8956107061106</v>
      </c>
      <c r="DA165" s="33">
        <f>IF(C165&lt;='Batt IN'!$H$43*12,AE165,0)</f>
        <v>30366.783333333333</v>
      </c>
    </row>
    <row r="166" spans="1:105" x14ac:dyDescent="0.25">
      <c r="A166">
        <f>IF(C166&lt;='Batt IN'!$H$43*12,C166,"")</f>
        <v>162</v>
      </c>
      <c r="C166">
        <v>162</v>
      </c>
      <c r="D166" s="21">
        <v>730</v>
      </c>
      <c r="E166" s="1">
        <f>1-'Batt IN'!$E$31</f>
        <v>2.0000000000000018E-2</v>
      </c>
      <c r="F166" s="12">
        <f>('Batt IN'!$E$33*365)/8760</f>
        <v>0</v>
      </c>
      <c r="G166" s="22">
        <f>'Batt IN'!$E$32/8760</f>
        <v>5.7077625570776253E-3</v>
      </c>
      <c r="H166" s="22">
        <f>'Batt IN'!$E$13/8760</f>
        <v>5.5936073059360729E-3</v>
      </c>
      <c r="I166" s="23">
        <f>IF(C166&lt;='Batt IN'!$G$14*12,'Batt IN'!$E$15/8760*'Batt IN'!$G$15,0)</f>
        <v>0</v>
      </c>
      <c r="J166" s="12">
        <f>Z166/'Batt IN'!$E$27/730</f>
        <v>2.4999999999999996E-3</v>
      </c>
      <c r="K166" s="23">
        <f>AA166/'Batt IN'!$E$27/730</f>
        <v>1.6027397260273972E-3</v>
      </c>
      <c r="L166" s="23">
        <f>AB166/'Batt IN'!$E$27/730</f>
        <v>2.0547945205479451E-4</v>
      </c>
      <c r="M166" s="23">
        <f>AC166/'Batt IN'!$E$27/730</f>
        <v>4.7945205479452057E-3</v>
      </c>
      <c r="N166" s="23">
        <f>AD166/'Batt IN'!$E$27/730</f>
        <v>3.4246575342465752E-3</v>
      </c>
      <c r="O166" s="12">
        <f t="shared" si="36"/>
        <v>4.3828767123287697E-2</v>
      </c>
      <c r="P166" s="21">
        <f t="shared" si="37"/>
        <v>698.005</v>
      </c>
      <c r="Q166" s="2">
        <f>IF('Batt IN'!$E$27*'Batt IN'!$E$24&lt;='Batt IN'!$E$28,(('Batt IN'!$E$23*'Batt IN'!$E$27*'Batt IN'!$E$24)/1000)*P166,(('Batt IN'!$E$23*'Batt IN'!$E$28*'Batt IN'!$E$24)/1000)*P166)</f>
        <v>11168.08</v>
      </c>
      <c r="R166" s="2"/>
      <c r="S166" s="77">
        <f>IF(C166&lt;='Batt IN'!$G$14*12,'Batt IN'!$E$15/12,0)</f>
        <v>0</v>
      </c>
      <c r="T166" s="77"/>
      <c r="U166" s="80">
        <f>'Batt IN'!$E$28*('Batt IN'!$G$24/24)*730*(1-O166)</f>
        <v>81433.916666666657</v>
      </c>
      <c r="V166" s="78">
        <f>U166*'Batt IN'!$F$30</f>
        <v>16286.783333333333</v>
      </c>
      <c r="W166" s="78">
        <f>'Batt IN'!$E$28*'Batt IN'!$G$32*('Batt IN'!$E$32/12)*(1+'Batt IN'!$F$30)</f>
        <v>1750.0000000000002</v>
      </c>
      <c r="X166" s="78">
        <f>'Batt IN'!$E$28*'Batt IN'!$G$13*('Batt IN'!$E$13/12)*(1+'Batt IN'!$F$30)</f>
        <v>3184.9999999999995</v>
      </c>
      <c r="Y166" s="33">
        <f>S166*'Batt IN'!$G$15*'Batt IN'!$E$28*(1+'Batt IN'!$F$30)</f>
        <v>0</v>
      </c>
      <c r="Z166" s="33">
        <f>'Batt IN'!$G$16*365/12*(1+'Batt IN'!$F$30)</f>
        <v>1824.9999999999998</v>
      </c>
      <c r="AA166" s="33">
        <f>'Batt IN'!$G$17*'Batt IN'!$E$18*'Batt IN'!$G$18/12*(1+'Batt IN'!$F$30)</f>
        <v>1170</v>
      </c>
      <c r="AB166" s="33">
        <f>'Batt IN'!$G$19*'Batt IN'!$E$20*'Batt IN'!$G$20/12*(1+'Batt IN'!$F$30)</f>
        <v>150</v>
      </c>
      <c r="AC166" s="33">
        <f>'Batt IN'!$G$21*(1+'Batt IN'!$F$30)/12</f>
        <v>3500</v>
      </c>
      <c r="AD166" s="33">
        <f>'Batt IN'!$G$22*(1+'Batt IN'!$F$30)/12</f>
        <v>2500</v>
      </c>
      <c r="AE166" s="33">
        <f t="shared" si="49"/>
        <v>30366.783333333333</v>
      </c>
      <c r="AF166" s="33">
        <f>IF('PV IN'!$F$4="Battery Only",0,AE166*'Batt IN'!$E$29)</f>
        <v>25811.765833333331</v>
      </c>
      <c r="AG166" s="33">
        <f>PVCalcs!L166</f>
        <v>25811.765833333331</v>
      </c>
      <c r="AH166" s="33">
        <f t="shared" si="50"/>
        <v>4555.0175000000017</v>
      </c>
      <c r="AI166" s="33"/>
      <c r="AJ166" s="2">
        <f>IF(AND('Batt IN'!$D$53="Yes",$AL$1&gt;=1),IF($C166='Batt IN'!$H$54*12,-'Batt IN'!$F$54,0),0)</f>
        <v>0</v>
      </c>
      <c r="AK166" s="2">
        <f>IF(AND('Batt IN'!$D$53="Yes",$AL$1&gt;=2),IF($C166='Batt IN'!$H$55*12,-'Batt IN'!$F$55,0),0)</f>
        <v>0</v>
      </c>
      <c r="AL166" s="2">
        <f>IF(AND('Batt IN'!$D$53="Yes",$AL$1&gt;=3),IF($C166='Batt IN'!$H$56*12,-'Batt IN'!$F$56,0),0)</f>
        <v>0</v>
      </c>
      <c r="AM166" s="2">
        <f>IF(AND('Batt IN'!$D$53="Yes",$AL$1&gt;=4),IF($C166='Batt IN'!$H$57*12,-'Batt IN'!$F$57,0),0)</f>
        <v>0</v>
      </c>
      <c r="AN166" s="2">
        <f>IF(AND('Batt IN'!$D$53="Yes",$AL$1&gt;=5),IF($C166='Batt IN'!$H$58*12,-'Batt IN'!$F$58,0),0)</f>
        <v>0</v>
      </c>
      <c r="AO166" s="10">
        <f>IF(AND('Batt IN'!$D$44="YES",$C166&lt;='Batt IN'!$E$44*12),-'Batt IN'!$E$28*'Batt IN'!$E$42/12,0)</f>
        <v>0</v>
      </c>
      <c r="AP166" s="10">
        <f>IF(AND('Batt IN'!$D$46="YES",$C166&lt;='Batt IN'!$E$46*12),-'Batt IN'!$E$28*'Batt IN'!$E$45/12,0)</f>
        <v>0</v>
      </c>
      <c r="AR166" s="10">
        <f>BattLoan!M193</f>
        <v>0</v>
      </c>
      <c r="AS166" s="10">
        <f>'Batt IN'!$G$16*365/12*'Batt IN'!$E$16</f>
        <v>76.041666666666671</v>
      </c>
      <c r="AT166" s="10">
        <f>IF(AND('Batt IN'!$E$18&gt;0,'Batt IN'!$G$18&gt;0),'Batt IN'!$E$17*'Batt IN'!$G$17,0)</f>
        <v>119.44619999999999</v>
      </c>
      <c r="AU166" s="10">
        <f>IF(AND('Batt IN'!$E$20&gt;0,'Batt IN'!$G$20&gt;0),'Batt IN'!$E$19*'Batt IN'!$G$19,0)</f>
        <v>231</v>
      </c>
      <c r="AV166" s="10"/>
      <c r="AW166" s="10"/>
      <c r="AX166" s="10">
        <f>IF('Batt IN'!$E$11="Non-Taxable",Q166,0)</f>
        <v>11168.08</v>
      </c>
      <c r="AY166" s="10">
        <f>IF('Batt IN'!$E$11="Non-Taxable",'Batt IN'!$E$28/1000*'Batt IN'!$G$13*('Batt IN'!$E$13/12)*'Batt IN'!$E$12,0)</f>
        <v>244.42220833333334</v>
      </c>
      <c r="AZ166" s="10">
        <f>IF('Batt IN'!$E$11="Non-Taxable",$S166*'Batt IN'!$G$15*'Batt IN'!$E$28*'Batt IN'!$E$14/1000,0)</f>
        <v>0</v>
      </c>
      <c r="BA166" s="10">
        <f>IF('Batt IN'!$E$11="Non-Taxable",'Batt IN'!$E$21*'Batt IN'!$G$21/12,0)</f>
        <v>437.5</v>
      </c>
      <c r="BB166" s="10">
        <f>IF('Batt IN'!$E$11="Non-Taxable",'Batt IN'!$E$22*'Batt IN'!$G$22/12,0)</f>
        <v>1145.8333333333335</v>
      </c>
      <c r="BC166" s="10">
        <f>IF('Batt IN'!$E$11="Taxable",Q166,0)</f>
        <v>0</v>
      </c>
      <c r="BD166" s="10">
        <f>IF('Batt IN'!$E$11="Taxable",'Batt IN'!$E$28/1000*'Batt IN'!$G$13*('Batt IN'!$E$13/12)*'Batt IN'!$E$12,0)</f>
        <v>0</v>
      </c>
      <c r="BE166" s="10">
        <f>IF('Batt IN'!$E$11="Taxable",$S166*'Batt IN'!$G$15*'Batt IN'!$E$28*'Batt IN'!$E$14/1000,0)</f>
        <v>0</v>
      </c>
      <c r="BF166" s="10">
        <f>IF('Batt IN'!$E$11="Taxable",'Batt IN'!$E$21*'Batt IN'!$G$21/12,0)</f>
        <v>0</v>
      </c>
      <c r="BG166" s="10">
        <f>IF('Batt IN'!$E$11="Taxable",'Batt IN'!$E$22*'Batt IN'!$G$22/12,0)</f>
        <v>0</v>
      </c>
      <c r="BK166" s="10">
        <f>IF('Batt IN'!$N$18="Yes",-BattLoan!H194,-BattLoan!L194)</f>
        <v>0</v>
      </c>
      <c r="BL166" s="10">
        <f>IF('Batt IN'!$N$18="Yes",-BattLoan!F194,0)</f>
        <v>0</v>
      </c>
      <c r="BM166" s="10">
        <f>IF(AND('Batt IN'!$D$44="YES",$C166&lt;='Batt IN'!$E$44*12),0,-'Batt IN'!$E$28*'Batt IN'!$E$42/12)</f>
        <v>-83.333333333333329</v>
      </c>
      <c r="BN166" s="10">
        <f>IF(AND('Batt IN'!$D$46="YES",$C166&lt;='Batt IN'!$E$46*12),0,-'Batt IN'!$E$28*'Batt IN'!$E$45/12)</f>
        <v>-166.66666666666666</v>
      </c>
      <c r="BO166" s="2">
        <f>IF(AND('Batt IN'!$D$41="YES",BattCalcs!C166=ROUNDUP('Batt IN'!$H$41*12,)),-'Batt IN'!$E$41*'Batt IN'!$E$28,0)</f>
        <v>0</v>
      </c>
      <c r="BP166" s="2">
        <f>IF(AND('Batt IN'!$D$53="Yes",$AL$1&gt;=1),0,IF($C166='Batt IN'!$H$54*12,-'Batt IN'!$F$54,0))</f>
        <v>0</v>
      </c>
      <c r="BQ166" s="2">
        <f>IF(AND('Batt IN'!$D$53="Yes",$AL$1&gt;=2),0,IF($C166='Batt IN'!$H$55*12,-'Batt IN'!$F$55,0))</f>
        <v>0</v>
      </c>
      <c r="BR166" s="2">
        <f>IF(AND('Batt IN'!$D$53="Yes",$AL$1&gt;=3),0,IF($C166='Batt IN'!$H$56*12,-'Batt IN'!$F$56,0))</f>
        <v>0</v>
      </c>
      <c r="BS166" s="2">
        <f>IF(AND('Batt IN'!$D$53="Yes",$AL$1&gt;=4),0,IF($C166='Batt IN'!$H$57*12,-'Batt IN'!$F$57,0))</f>
        <v>0</v>
      </c>
      <c r="BT166" s="2">
        <f>IF(AND('Batt IN'!$D$53="Yes",$AL$1&gt;=5),0,IF($C166='Batt IN'!$H$58*12,-'Batt IN'!$F$58,0))</f>
        <v>0</v>
      </c>
      <c r="BU166" s="2">
        <f>-AH166*PVCalcs!F166</f>
        <v>-370.28408231073848</v>
      </c>
      <c r="BV166" s="2">
        <f>-'Batt IN'!$E$47</f>
        <v>-150</v>
      </c>
      <c r="BW166" s="2">
        <f>-'Batt IN'!$E$49</f>
        <v>-2250</v>
      </c>
      <c r="BX166" s="2">
        <f>IF('Batt IN'!$H$50="No",-(BC166*'Batt IN'!$E$50),-(BC166+BE166)*'Batt IN'!$E$50)</f>
        <v>0</v>
      </c>
      <c r="BY166" s="2">
        <f>IF(C166='Batt IN'!$H$43*12,-'Batt IN'!$E$43,0)</f>
        <v>0</v>
      </c>
      <c r="BZ166" s="38"/>
      <c r="CA166" s="10">
        <f t="shared" si="34"/>
        <v>13422.323408333334</v>
      </c>
      <c r="CB166" s="2">
        <f t="shared" si="38"/>
        <v>-3020.2840823107385</v>
      </c>
      <c r="CC166" s="45">
        <f t="shared" si="39"/>
        <v>10402.039326022596</v>
      </c>
      <c r="CD166" s="43"/>
      <c r="CE166" s="2">
        <f t="shared" si="35"/>
        <v>0</v>
      </c>
      <c r="CF166" s="2">
        <f t="shared" si="40"/>
        <v>-3020.2840823107385</v>
      </c>
      <c r="CG166" s="2"/>
      <c r="CH166" s="2">
        <f t="shared" si="41"/>
        <v>-3020.2840823107385</v>
      </c>
      <c r="CI166" s="45">
        <f>-CH166*'Batt IN'!$E$7</f>
        <v>634.25965728525512</v>
      </c>
      <c r="CJ166" s="48"/>
      <c r="CK166" s="45">
        <f>IF('Batt IN'!$F$4="PV Only",0,IF(C166&gt;'Batt IN'!$H$43*12,0,CC166+CI166))</f>
        <v>0</v>
      </c>
      <c r="CM166" s="10">
        <f t="shared" si="42"/>
        <v>0</v>
      </c>
      <c r="CN166" s="2">
        <f>CK166/(1+('Batt IN'!$G$8))^(C166)</f>
        <v>0</v>
      </c>
      <c r="CO166" s="2">
        <f>IF(C166&lt;='Batt IN'!$O$30*12,CN166+CO165,NA())</f>
        <v>0</v>
      </c>
      <c r="CQ166" s="2">
        <f>CK166/((1+('Batt IN'!$E$8/12))^BattCalcs!C166)</f>
        <v>0</v>
      </c>
      <c r="CS166" s="10">
        <f t="shared" si="43"/>
        <v>-3020.2840823107385</v>
      </c>
      <c r="CT166" s="10">
        <f t="shared" si="44"/>
        <v>0</v>
      </c>
      <c r="CU166" s="10">
        <f t="shared" si="45"/>
        <v>-3020.2840823107385</v>
      </c>
      <c r="CV166" s="10">
        <f t="shared" si="46"/>
        <v>-3020.2840823107385</v>
      </c>
      <c r="CW166" s="2">
        <f t="shared" si="47"/>
        <v>0</v>
      </c>
      <c r="CX166" s="2">
        <f>-(SUM(CV166:CW166)*'PV IN'!$E$8)</f>
        <v>634.25965728525512</v>
      </c>
      <c r="CY166" s="2">
        <f t="shared" si="48"/>
        <v>-2386.0244250254837</v>
      </c>
      <c r="CZ166" s="2">
        <f>IF(C166&lt;='Batt IN'!$H$43*12,CY166/(1+('PV IN'!$G$9))^(C166),0)</f>
        <v>-1234.864619390665</v>
      </c>
      <c r="DA166" s="33">
        <f>IF(C166&lt;='Batt IN'!$H$43*12,AE166,0)</f>
        <v>30366.783333333333</v>
      </c>
    </row>
    <row r="167" spans="1:105" x14ac:dyDescent="0.25">
      <c r="A167">
        <f>IF(C167&lt;='Batt IN'!$H$43*12,C167,"")</f>
        <v>163</v>
      </c>
      <c r="C167">
        <v>163</v>
      </c>
      <c r="D167" s="21">
        <v>730</v>
      </c>
      <c r="E167" s="1">
        <f>1-'Batt IN'!$E$31</f>
        <v>2.0000000000000018E-2</v>
      </c>
      <c r="F167" s="12">
        <f>('Batt IN'!$E$33*365)/8760</f>
        <v>0</v>
      </c>
      <c r="G167" s="22">
        <f>'Batt IN'!$E$32/8760</f>
        <v>5.7077625570776253E-3</v>
      </c>
      <c r="H167" s="22">
        <f>'Batt IN'!$E$13/8760</f>
        <v>5.5936073059360729E-3</v>
      </c>
      <c r="I167" s="23">
        <f>IF(C167&lt;='Batt IN'!$G$14*12,'Batt IN'!$E$15/8760*'Batt IN'!$G$15,0)</f>
        <v>0</v>
      </c>
      <c r="J167" s="12">
        <f>Z167/'Batt IN'!$E$27/730</f>
        <v>2.4999999999999996E-3</v>
      </c>
      <c r="K167" s="23">
        <f>AA167/'Batt IN'!$E$27/730</f>
        <v>1.6027397260273972E-3</v>
      </c>
      <c r="L167" s="23">
        <f>AB167/'Batt IN'!$E$27/730</f>
        <v>2.0547945205479451E-4</v>
      </c>
      <c r="M167" s="23">
        <f>AC167/'Batt IN'!$E$27/730</f>
        <v>4.7945205479452057E-3</v>
      </c>
      <c r="N167" s="23">
        <f>AD167/'Batt IN'!$E$27/730</f>
        <v>3.4246575342465752E-3</v>
      </c>
      <c r="O167" s="12">
        <f t="shared" si="36"/>
        <v>4.3828767123287697E-2</v>
      </c>
      <c r="P167" s="21">
        <f t="shared" si="37"/>
        <v>698.005</v>
      </c>
      <c r="Q167" s="2">
        <f>IF('Batt IN'!$E$27*'Batt IN'!$E$24&lt;='Batt IN'!$E$28,(('Batt IN'!$E$23*'Batt IN'!$E$27*'Batt IN'!$E$24)/1000)*P167,(('Batt IN'!$E$23*'Batt IN'!$E$28*'Batt IN'!$E$24)/1000)*P167)</f>
        <v>11168.08</v>
      </c>
      <c r="R167" s="2"/>
      <c r="S167" s="77">
        <f>IF(C167&lt;='Batt IN'!$G$14*12,'Batt IN'!$E$15/12,0)</f>
        <v>0</v>
      </c>
      <c r="T167" s="77"/>
      <c r="U167" s="80">
        <f>'Batt IN'!$E$28*('Batt IN'!$G$24/24)*730*(1-O167)</f>
        <v>81433.916666666657</v>
      </c>
      <c r="V167" s="78">
        <f>U167*'Batt IN'!$F$30</f>
        <v>16286.783333333333</v>
      </c>
      <c r="W167" s="78">
        <f>'Batt IN'!$E$28*'Batt IN'!$G$32*('Batt IN'!$E$32/12)*(1+'Batt IN'!$F$30)</f>
        <v>1750.0000000000002</v>
      </c>
      <c r="X167" s="78">
        <f>'Batt IN'!$E$28*'Batt IN'!$G$13*('Batt IN'!$E$13/12)*(1+'Batt IN'!$F$30)</f>
        <v>3184.9999999999995</v>
      </c>
      <c r="Y167" s="33">
        <f>S167*'Batt IN'!$G$15*'Batt IN'!$E$28*(1+'Batt IN'!$F$30)</f>
        <v>0</v>
      </c>
      <c r="Z167" s="33">
        <f>'Batt IN'!$G$16*365/12*(1+'Batt IN'!$F$30)</f>
        <v>1824.9999999999998</v>
      </c>
      <c r="AA167" s="33">
        <f>'Batt IN'!$G$17*'Batt IN'!$E$18*'Batt IN'!$G$18/12*(1+'Batt IN'!$F$30)</f>
        <v>1170</v>
      </c>
      <c r="AB167" s="33">
        <f>'Batt IN'!$G$19*'Batt IN'!$E$20*'Batt IN'!$G$20/12*(1+'Batt IN'!$F$30)</f>
        <v>150</v>
      </c>
      <c r="AC167" s="33">
        <f>'Batt IN'!$G$21*(1+'Batt IN'!$F$30)/12</f>
        <v>3500</v>
      </c>
      <c r="AD167" s="33">
        <f>'Batt IN'!$G$22*(1+'Batt IN'!$F$30)/12</f>
        <v>2500</v>
      </c>
      <c r="AE167" s="33">
        <f t="shared" si="49"/>
        <v>30366.783333333333</v>
      </c>
      <c r="AF167" s="33">
        <f>IF('PV IN'!$F$4="Battery Only",0,AE167*'Batt IN'!$E$29)</f>
        <v>25811.765833333331</v>
      </c>
      <c r="AG167" s="33">
        <f>PVCalcs!L167</f>
        <v>25811.765833333331</v>
      </c>
      <c r="AH167" s="33">
        <f t="shared" si="50"/>
        <v>4555.0175000000017</v>
      </c>
      <c r="AI167" s="33"/>
      <c r="AJ167" s="2">
        <f>IF(AND('Batt IN'!$D$53="Yes",$AL$1&gt;=1),IF($C167='Batt IN'!$H$54*12,-'Batt IN'!$F$54,0),0)</f>
        <v>0</v>
      </c>
      <c r="AK167" s="2">
        <f>IF(AND('Batt IN'!$D$53="Yes",$AL$1&gt;=2),IF($C167='Batt IN'!$H$55*12,-'Batt IN'!$F$55,0),0)</f>
        <v>0</v>
      </c>
      <c r="AL167" s="2">
        <f>IF(AND('Batt IN'!$D$53="Yes",$AL$1&gt;=3),IF($C167='Batt IN'!$H$56*12,-'Batt IN'!$F$56,0),0)</f>
        <v>0</v>
      </c>
      <c r="AM167" s="2">
        <f>IF(AND('Batt IN'!$D$53="Yes",$AL$1&gt;=4),IF($C167='Batt IN'!$H$57*12,-'Batt IN'!$F$57,0),0)</f>
        <v>0</v>
      </c>
      <c r="AN167" s="2">
        <f>IF(AND('Batt IN'!$D$53="Yes",$AL$1&gt;=5),IF($C167='Batt IN'!$H$58*12,-'Batt IN'!$F$58,0),0)</f>
        <v>0</v>
      </c>
      <c r="AO167" s="10">
        <f>IF(AND('Batt IN'!$D$44="YES",$C167&lt;='Batt IN'!$E$44*12),-'Batt IN'!$E$28*'Batt IN'!$E$42/12,0)</f>
        <v>0</v>
      </c>
      <c r="AP167" s="10">
        <f>IF(AND('Batt IN'!$D$46="YES",$C167&lt;='Batt IN'!$E$46*12),-'Batt IN'!$E$28*'Batt IN'!$E$45/12,0)</f>
        <v>0</v>
      </c>
      <c r="AR167" s="10">
        <f>BattLoan!M194</f>
        <v>0</v>
      </c>
      <c r="AS167" s="10">
        <f>'Batt IN'!$G$16*365/12*'Batt IN'!$E$16</f>
        <v>76.041666666666671</v>
      </c>
      <c r="AT167" s="10">
        <f>IF(AND('Batt IN'!$E$18&gt;0,'Batt IN'!$G$18&gt;0),'Batt IN'!$E$17*'Batt IN'!$G$17,0)</f>
        <v>119.44619999999999</v>
      </c>
      <c r="AU167" s="10">
        <f>IF(AND('Batt IN'!$E$20&gt;0,'Batt IN'!$G$20&gt;0),'Batt IN'!$E$19*'Batt IN'!$G$19,0)</f>
        <v>231</v>
      </c>
      <c r="AV167" s="10"/>
      <c r="AW167" s="10"/>
      <c r="AX167" s="10">
        <f>IF('Batt IN'!$E$11="Non-Taxable",Q167,0)</f>
        <v>11168.08</v>
      </c>
      <c r="AY167" s="10">
        <f>IF('Batt IN'!$E$11="Non-Taxable",'Batt IN'!$E$28/1000*'Batt IN'!$G$13*('Batt IN'!$E$13/12)*'Batt IN'!$E$12,0)</f>
        <v>244.42220833333334</v>
      </c>
      <c r="AZ167" s="10">
        <f>IF('Batt IN'!$E$11="Non-Taxable",$S167*'Batt IN'!$G$15*'Batt IN'!$E$28*'Batt IN'!$E$14/1000,0)</f>
        <v>0</v>
      </c>
      <c r="BA167" s="10">
        <f>IF('Batt IN'!$E$11="Non-Taxable",'Batt IN'!$E$21*'Batt IN'!$G$21/12,0)</f>
        <v>437.5</v>
      </c>
      <c r="BB167" s="10">
        <f>IF('Batt IN'!$E$11="Non-Taxable",'Batt IN'!$E$22*'Batt IN'!$G$22/12,0)</f>
        <v>1145.8333333333335</v>
      </c>
      <c r="BC167" s="10">
        <f>IF('Batt IN'!$E$11="Taxable",Q167,0)</f>
        <v>0</v>
      </c>
      <c r="BD167" s="10">
        <f>IF('Batt IN'!$E$11="Taxable",'Batt IN'!$E$28/1000*'Batt IN'!$G$13*('Batt IN'!$E$13/12)*'Batt IN'!$E$12,0)</f>
        <v>0</v>
      </c>
      <c r="BE167" s="10">
        <f>IF('Batt IN'!$E$11="Taxable",$S167*'Batt IN'!$G$15*'Batt IN'!$E$28*'Batt IN'!$E$14/1000,0)</f>
        <v>0</v>
      </c>
      <c r="BF167" s="10">
        <f>IF('Batt IN'!$E$11="Taxable",'Batt IN'!$E$21*'Batt IN'!$G$21/12,0)</f>
        <v>0</v>
      </c>
      <c r="BG167" s="10">
        <f>IF('Batt IN'!$E$11="Taxable",'Batt IN'!$E$22*'Batt IN'!$G$22/12,0)</f>
        <v>0</v>
      </c>
      <c r="BK167" s="10">
        <f>IF('Batt IN'!$N$18="Yes",-BattLoan!H195,-BattLoan!L195)</f>
        <v>0</v>
      </c>
      <c r="BL167" s="10">
        <f>IF('Batt IN'!$N$18="Yes",-BattLoan!F195,0)</f>
        <v>0</v>
      </c>
      <c r="BM167" s="10">
        <f>IF(AND('Batt IN'!$D$44="YES",$C167&lt;='Batt IN'!$E$44*12),0,-'Batt IN'!$E$28*'Batt IN'!$E$42/12)</f>
        <v>-83.333333333333329</v>
      </c>
      <c r="BN167" s="10">
        <f>IF(AND('Batt IN'!$D$46="YES",$C167&lt;='Batt IN'!$E$46*12),0,-'Batt IN'!$E$28*'Batt IN'!$E$45/12)</f>
        <v>-166.66666666666666</v>
      </c>
      <c r="BO167" s="2">
        <f>IF(AND('Batt IN'!$D$41="YES",BattCalcs!C167=ROUNDUP('Batt IN'!$H$41*12,)),-'Batt IN'!$E$41*'Batt IN'!$E$28,0)</f>
        <v>0</v>
      </c>
      <c r="BP167" s="2">
        <f>IF(AND('Batt IN'!$D$53="Yes",$AL$1&gt;=1),0,IF($C167='Batt IN'!$H$54*12,-'Batt IN'!$F$54,0))</f>
        <v>0</v>
      </c>
      <c r="BQ167" s="2">
        <f>IF(AND('Batt IN'!$D$53="Yes",$AL$1&gt;=2),0,IF($C167='Batt IN'!$H$55*12,-'Batt IN'!$F$55,0))</f>
        <v>0</v>
      </c>
      <c r="BR167" s="2">
        <f>IF(AND('Batt IN'!$D$53="Yes",$AL$1&gt;=3),0,IF($C167='Batt IN'!$H$56*12,-'Batt IN'!$F$56,0))</f>
        <v>0</v>
      </c>
      <c r="BS167" s="2">
        <f>IF(AND('Batt IN'!$D$53="Yes",$AL$1&gt;=4),0,IF($C167='Batt IN'!$H$57*12,-'Batt IN'!$F$57,0))</f>
        <v>0</v>
      </c>
      <c r="BT167" s="2">
        <f>IF(AND('Batt IN'!$D$53="Yes",$AL$1&gt;=5),0,IF($C167='Batt IN'!$H$58*12,-'Batt IN'!$F$58,0))</f>
        <v>0</v>
      </c>
      <c r="BU167" s="2">
        <f>-AH167*PVCalcs!F167</f>
        <v>-370.28408231073848</v>
      </c>
      <c r="BV167" s="2">
        <f>-'Batt IN'!$E$47</f>
        <v>-150</v>
      </c>
      <c r="BW167" s="2">
        <f>-'Batt IN'!$E$49</f>
        <v>-2250</v>
      </c>
      <c r="BX167" s="2">
        <f>IF('Batt IN'!$H$50="No",-(BC167*'Batt IN'!$E$50),-(BC167+BE167)*'Batt IN'!$E$50)</f>
        <v>0</v>
      </c>
      <c r="BY167" s="2">
        <f>IF(C167='Batt IN'!$H$43*12,-'Batt IN'!$E$43,0)</f>
        <v>0</v>
      </c>
      <c r="BZ167" s="38"/>
      <c r="CA167" s="10">
        <f t="shared" si="34"/>
        <v>13422.323408333334</v>
      </c>
      <c r="CB167" s="2">
        <f t="shared" si="38"/>
        <v>-3020.2840823107385</v>
      </c>
      <c r="CC167" s="45">
        <f t="shared" si="39"/>
        <v>10402.039326022596</v>
      </c>
      <c r="CD167" s="43"/>
      <c r="CE167" s="2">
        <f t="shared" si="35"/>
        <v>0</v>
      </c>
      <c r="CF167" s="2">
        <f t="shared" si="40"/>
        <v>-3020.2840823107385</v>
      </c>
      <c r="CG167" s="2"/>
      <c r="CH167" s="2">
        <f t="shared" si="41"/>
        <v>-3020.2840823107385</v>
      </c>
      <c r="CI167" s="45">
        <f>-CH167*'Batt IN'!$E$7</f>
        <v>634.25965728525512</v>
      </c>
      <c r="CJ167" s="48"/>
      <c r="CK167" s="45">
        <f>IF('Batt IN'!$F$4="PV Only",0,IF(C167&gt;'Batt IN'!$H$43*12,0,CC167+CI167))</f>
        <v>0</v>
      </c>
      <c r="CM167" s="10">
        <f t="shared" si="42"/>
        <v>0</v>
      </c>
      <c r="CN167" s="2">
        <f>CK167/(1+('Batt IN'!$G$8))^(C167)</f>
        <v>0</v>
      </c>
      <c r="CO167" s="2">
        <f>IF(C167&lt;='Batt IN'!$O$30*12,CN167+CO166,NA())</f>
        <v>0</v>
      </c>
      <c r="CQ167" s="2">
        <f>CK167/((1+('Batt IN'!$E$8/12))^BattCalcs!C167)</f>
        <v>0</v>
      </c>
      <c r="CS167" s="10">
        <f t="shared" si="43"/>
        <v>-3020.2840823107385</v>
      </c>
      <c r="CT167" s="10">
        <f t="shared" si="44"/>
        <v>0</v>
      </c>
      <c r="CU167" s="10">
        <f t="shared" si="45"/>
        <v>-3020.2840823107385</v>
      </c>
      <c r="CV167" s="10">
        <f t="shared" si="46"/>
        <v>-3020.2840823107385</v>
      </c>
      <c r="CW167" s="2">
        <f t="shared" si="47"/>
        <v>0</v>
      </c>
      <c r="CX167" s="2">
        <f>-(SUM(CV167:CW167)*'PV IN'!$E$8)</f>
        <v>634.25965728525512</v>
      </c>
      <c r="CY167" s="2">
        <f t="shared" si="48"/>
        <v>-2386.0244250254837</v>
      </c>
      <c r="CZ167" s="2">
        <f>IF(C167&lt;='Batt IN'!$H$43*12,CY167/(1+('PV IN'!$G$9))^(C167),0)</f>
        <v>-1229.8540417885979</v>
      </c>
      <c r="DA167" s="33">
        <f>IF(C167&lt;='Batt IN'!$H$43*12,AE167,0)</f>
        <v>30366.783333333333</v>
      </c>
    </row>
    <row r="168" spans="1:105" x14ac:dyDescent="0.25">
      <c r="A168">
        <f>IF(C168&lt;='Batt IN'!$H$43*12,C168,"")</f>
        <v>164</v>
      </c>
      <c r="C168">
        <v>164</v>
      </c>
      <c r="D168" s="21">
        <v>730</v>
      </c>
      <c r="E168" s="1">
        <f>1-'Batt IN'!$E$31</f>
        <v>2.0000000000000018E-2</v>
      </c>
      <c r="F168" s="12">
        <f>('Batt IN'!$E$33*365)/8760</f>
        <v>0</v>
      </c>
      <c r="G168" s="22">
        <f>'Batt IN'!$E$32/8760</f>
        <v>5.7077625570776253E-3</v>
      </c>
      <c r="H168" s="22">
        <f>'Batt IN'!$E$13/8760</f>
        <v>5.5936073059360729E-3</v>
      </c>
      <c r="I168" s="23">
        <f>IF(C168&lt;='Batt IN'!$G$14*12,'Batt IN'!$E$15/8760*'Batt IN'!$G$15,0)</f>
        <v>0</v>
      </c>
      <c r="J168" s="12">
        <f>Z168/'Batt IN'!$E$27/730</f>
        <v>2.4999999999999996E-3</v>
      </c>
      <c r="K168" s="23">
        <f>AA168/'Batt IN'!$E$27/730</f>
        <v>1.6027397260273972E-3</v>
      </c>
      <c r="L168" s="23">
        <f>AB168/'Batt IN'!$E$27/730</f>
        <v>2.0547945205479451E-4</v>
      </c>
      <c r="M168" s="23">
        <f>AC168/'Batt IN'!$E$27/730</f>
        <v>4.7945205479452057E-3</v>
      </c>
      <c r="N168" s="23">
        <f>AD168/'Batt IN'!$E$27/730</f>
        <v>3.4246575342465752E-3</v>
      </c>
      <c r="O168" s="12">
        <f t="shared" si="36"/>
        <v>4.3828767123287697E-2</v>
      </c>
      <c r="P168" s="21">
        <f t="shared" si="37"/>
        <v>698.005</v>
      </c>
      <c r="Q168" s="2">
        <f>IF('Batt IN'!$E$27*'Batt IN'!$E$24&lt;='Batt IN'!$E$28,(('Batt IN'!$E$23*'Batt IN'!$E$27*'Batt IN'!$E$24)/1000)*P168,(('Batt IN'!$E$23*'Batt IN'!$E$28*'Batt IN'!$E$24)/1000)*P168)</f>
        <v>11168.08</v>
      </c>
      <c r="R168" s="2"/>
      <c r="S168" s="77">
        <f>IF(C168&lt;='Batt IN'!$G$14*12,'Batt IN'!$E$15/12,0)</f>
        <v>0</v>
      </c>
      <c r="T168" s="77"/>
      <c r="U168" s="80">
        <f>'Batt IN'!$E$28*('Batt IN'!$G$24/24)*730*(1-O168)</f>
        <v>81433.916666666657</v>
      </c>
      <c r="V168" s="78">
        <f>U168*'Batt IN'!$F$30</f>
        <v>16286.783333333333</v>
      </c>
      <c r="W168" s="78">
        <f>'Batt IN'!$E$28*'Batt IN'!$G$32*('Batt IN'!$E$32/12)*(1+'Batt IN'!$F$30)</f>
        <v>1750.0000000000002</v>
      </c>
      <c r="X168" s="78">
        <f>'Batt IN'!$E$28*'Batt IN'!$G$13*('Batt IN'!$E$13/12)*(1+'Batt IN'!$F$30)</f>
        <v>3184.9999999999995</v>
      </c>
      <c r="Y168" s="33">
        <f>S168*'Batt IN'!$G$15*'Batt IN'!$E$28*(1+'Batt IN'!$F$30)</f>
        <v>0</v>
      </c>
      <c r="Z168" s="33">
        <f>'Batt IN'!$G$16*365/12*(1+'Batt IN'!$F$30)</f>
        <v>1824.9999999999998</v>
      </c>
      <c r="AA168" s="33">
        <f>'Batt IN'!$G$17*'Batt IN'!$E$18*'Batt IN'!$G$18/12*(1+'Batt IN'!$F$30)</f>
        <v>1170</v>
      </c>
      <c r="AB168" s="33">
        <f>'Batt IN'!$G$19*'Batt IN'!$E$20*'Batt IN'!$G$20/12*(1+'Batt IN'!$F$30)</f>
        <v>150</v>
      </c>
      <c r="AC168" s="33">
        <f>'Batt IN'!$G$21*(1+'Batt IN'!$F$30)/12</f>
        <v>3500</v>
      </c>
      <c r="AD168" s="33">
        <f>'Batt IN'!$G$22*(1+'Batt IN'!$F$30)/12</f>
        <v>2500</v>
      </c>
      <c r="AE168" s="33">
        <f t="shared" si="49"/>
        <v>30366.783333333333</v>
      </c>
      <c r="AF168" s="33">
        <f>IF('PV IN'!$F$4="Battery Only",0,AE168*'Batt IN'!$E$29)</f>
        <v>25811.765833333331</v>
      </c>
      <c r="AG168" s="33">
        <f>PVCalcs!L168</f>
        <v>25811.765833333331</v>
      </c>
      <c r="AH168" s="33">
        <f t="shared" si="50"/>
        <v>4555.0175000000017</v>
      </c>
      <c r="AI168" s="33"/>
      <c r="AJ168" s="2">
        <f>IF(AND('Batt IN'!$D$53="Yes",$AL$1&gt;=1),IF($C168='Batt IN'!$H$54*12,-'Batt IN'!$F$54,0),0)</f>
        <v>0</v>
      </c>
      <c r="AK168" s="2">
        <f>IF(AND('Batt IN'!$D$53="Yes",$AL$1&gt;=2),IF($C168='Batt IN'!$H$55*12,-'Batt IN'!$F$55,0),0)</f>
        <v>0</v>
      </c>
      <c r="AL168" s="2">
        <f>IF(AND('Batt IN'!$D$53="Yes",$AL$1&gt;=3),IF($C168='Batt IN'!$H$56*12,-'Batt IN'!$F$56,0),0)</f>
        <v>0</v>
      </c>
      <c r="AM168" s="2">
        <f>IF(AND('Batt IN'!$D$53="Yes",$AL$1&gt;=4),IF($C168='Batt IN'!$H$57*12,-'Batt IN'!$F$57,0),0)</f>
        <v>0</v>
      </c>
      <c r="AN168" s="2">
        <f>IF(AND('Batt IN'!$D$53="Yes",$AL$1&gt;=5),IF($C168='Batt IN'!$H$58*12,-'Batt IN'!$F$58,0),0)</f>
        <v>0</v>
      </c>
      <c r="AO168" s="10">
        <f>IF(AND('Batt IN'!$D$44="YES",$C168&lt;='Batt IN'!$E$44*12),-'Batt IN'!$E$28*'Batt IN'!$E$42/12,0)</f>
        <v>0</v>
      </c>
      <c r="AP168" s="10">
        <f>IF(AND('Batt IN'!$D$46="YES",$C168&lt;='Batt IN'!$E$46*12),-'Batt IN'!$E$28*'Batt IN'!$E$45/12,0)</f>
        <v>0</v>
      </c>
      <c r="AR168" s="10">
        <f>BattLoan!M195</f>
        <v>0</v>
      </c>
      <c r="AS168" s="10">
        <f>'Batt IN'!$G$16*365/12*'Batt IN'!$E$16</f>
        <v>76.041666666666671</v>
      </c>
      <c r="AT168" s="10">
        <f>IF(AND('Batt IN'!$E$18&gt;0,'Batt IN'!$G$18&gt;0),'Batt IN'!$E$17*'Batt IN'!$G$17,0)</f>
        <v>119.44619999999999</v>
      </c>
      <c r="AU168" s="10">
        <f>IF(AND('Batt IN'!$E$20&gt;0,'Batt IN'!$G$20&gt;0),'Batt IN'!$E$19*'Batt IN'!$G$19,0)</f>
        <v>231</v>
      </c>
      <c r="AV168" s="10"/>
      <c r="AW168" s="10"/>
      <c r="AX168" s="10">
        <f>IF('Batt IN'!$E$11="Non-Taxable",Q168,0)</f>
        <v>11168.08</v>
      </c>
      <c r="AY168" s="10">
        <f>IF('Batt IN'!$E$11="Non-Taxable",'Batt IN'!$E$28/1000*'Batt IN'!$G$13*('Batt IN'!$E$13/12)*'Batt IN'!$E$12,0)</f>
        <v>244.42220833333334</v>
      </c>
      <c r="AZ168" s="10">
        <f>IF('Batt IN'!$E$11="Non-Taxable",$S168*'Batt IN'!$G$15*'Batt IN'!$E$28*'Batt IN'!$E$14/1000,0)</f>
        <v>0</v>
      </c>
      <c r="BA168" s="10">
        <f>IF('Batt IN'!$E$11="Non-Taxable",'Batt IN'!$E$21*'Batt IN'!$G$21/12,0)</f>
        <v>437.5</v>
      </c>
      <c r="BB168" s="10">
        <f>IF('Batt IN'!$E$11="Non-Taxable",'Batt IN'!$E$22*'Batt IN'!$G$22/12,0)</f>
        <v>1145.8333333333335</v>
      </c>
      <c r="BC168" s="10">
        <f>IF('Batt IN'!$E$11="Taxable",Q168,0)</f>
        <v>0</v>
      </c>
      <c r="BD168" s="10">
        <f>IF('Batt IN'!$E$11="Taxable",'Batt IN'!$E$28/1000*'Batt IN'!$G$13*('Batt IN'!$E$13/12)*'Batt IN'!$E$12,0)</f>
        <v>0</v>
      </c>
      <c r="BE168" s="10">
        <f>IF('Batt IN'!$E$11="Taxable",$S168*'Batt IN'!$G$15*'Batt IN'!$E$28*'Batt IN'!$E$14/1000,0)</f>
        <v>0</v>
      </c>
      <c r="BF168" s="10">
        <f>IF('Batt IN'!$E$11="Taxable",'Batt IN'!$E$21*'Batt IN'!$G$21/12,0)</f>
        <v>0</v>
      </c>
      <c r="BG168" s="10">
        <f>IF('Batt IN'!$E$11="Taxable",'Batt IN'!$E$22*'Batt IN'!$G$22/12,0)</f>
        <v>0</v>
      </c>
      <c r="BK168" s="10">
        <f>IF('Batt IN'!$N$18="Yes",-BattLoan!H196,-BattLoan!L196)</f>
        <v>0</v>
      </c>
      <c r="BL168" s="10">
        <f>IF('Batt IN'!$N$18="Yes",-BattLoan!F196,0)</f>
        <v>0</v>
      </c>
      <c r="BM168" s="10">
        <f>IF(AND('Batt IN'!$D$44="YES",$C168&lt;='Batt IN'!$E$44*12),0,-'Batt IN'!$E$28*'Batt IN'!$E$42/12)</f>
        <v>-83.333333333333329</v>
      </c>
      <c r="BN168" s="10">
        <f>IF(AND('Batt IN'!$D$46="YES",$C168&lt;='Batt IN'!$E$46*12),0,-'Batt IN'!$E$28*'Batt IN'!$E$45/12)</f>
        <v>-166.66666666666666</v>
      </c>
      <c r="BO168" s="2">
        <f>IF(AND('Batt IN'!$D$41="YES",BattCalcs!C168=ROUNDUP('Batt IN'!$H$41*12,)),-'Batt IN'!$E$41*'Batt IN'!$E$28,0)</f>
        <v>0</v>
      </c>
      <c r="BP168" s="2">
        <f>IF(AND('Batt IN'!$D$53="Yes",$AL$1&gt;=1),0,IF($C168='Batt IN'!$H$54*12,-'Batt IN'!$F$54,0))</f>
        <v>0</v>
      </c>
      <c r="BQ168" s="2">
        <f>IF(AND('Batt IN'!$D$53="Yes",$AL$1&gt;=2),0,IF($C168='Batt IN'!$H$55*12,-'Batt IN'!$F$55,0))</f>
        <v>0</v>
      </c>
      <c r="BR168" s="2">
        <f>IF(AND('Batt IN'!$D$53="Yes",$AL$1&gt;=3),0,IF($C168='Batt IN'!$H$56*12,-'Batt IN'!$F$56,0))</f>
        <v>0</v>
      </c>
      <c r="BS168" s="2">
        <f>IF(AND('Batt IN'!$D$53="Yes",$AL$1&gt;=4),0,IF($C168='Batt IN'!$H$57*12,-'Batt IN'!$F$57,0))</f>
        <v>0</v>
      </c>
      <c r="BT168" s="2">
        <f>IF(AND('Batt IN'!$D$53="Yes",$AL$1&gt;=5),0,IF($C168='Batt IN'!$H$58*12,-'Batt IN'!$F$58,0))</f>
        <v>0</v>
      </c>
      <c r="BU168" s="2">
        <f>-AH168*PVCalcs!F168</f>
        <v>-370.28408231073848</v>
      </c>
      <c r="BV168" s="2">
        <f>-'Batt IN'!$E$47</f>
        <v>-150</v>
      </c>
      <c r="BW168" s="2">
        <f>-'Batt IN'!$E$49</f>
        <v>-2250</v>
      </c>
      <c r="BX168" s="2">
        <f>IF('Batt IN'!$H$50="No",-(BC168*'Batt IN'!$E$50),-(BC168+BE168)*'Batt IN'!$E$50)</f>
        <v>0</v>
      </c>
      <c r="BY168" s="2">
        <f>IF(C168='Batt IN'!$H$43*12,-'Batt IN'!$E$43,0)</f>
        <v>0</v>
      </c>
      <c r="BZ168" s="38"/>
      <c r="CA168" s="10">
        <f t="shared" si="34"/>
        <v>13422.323408333334</v>
      </c>
      <c r="CB168" s="2">
        <f t="shared" si="38"/>
        <v>-3020.2840823107385</v>
      </c>
      <c r="CC168" s="45">
        <f t="shared" si="39"/>
        <v>10402.039326022596</v>
      </c>
      <c r="CD168" s="43"/>
      <c r="CE168" s="2">
        <f t="shared" si="35"/>
        <v>0</v>
      </c>
      <c r="CF168" s="2">
        <f t="shared" si="40"/>
        <v>-3020.2840823107385</v>
      </c>
      <c r="CG168" s="2"/>
      <c r="CH168" s="2">
        <f t="shared" si="41"/>
        <v>-3020.2840823107385</v>
      </c>
      <c r="CI168" s="45">
        <f>-CH168*'Batt IN'!$E$7</f>
        <v>634.25965728525512</v>
      </c>
      <c r="CJ168" s="48"/>
      <c r="CK168" s="45">
        <f>IF('Batt IN'!$F$4="PV Only",0,IF(C168&gt;'Batt IN'!$H$43*12,0,CC168+CI168))</f>
        <v>0</v>
      </c>
      <c r="CM168" s="10">
        <f t="shared" si="42"/>
        <v>0</v>
      </c>
      <c r="CN168" s="2">
        <f>CK168/(1+('Batt IN'!$G$8))^(C168)</f>
        <v>0</v>
      </c>
      <c r="CO168" s="2">
        <f>IF(C168&lt;='Batt IN'!$O$30*12,CN168+CO167,NA())</f>
        <v>0</v>
      </c>
      <c r="CQ168" s="2">
        <f>CK168/((1+('Batt IN'!$E$8/12))^BattCalcs!C168)</f>
        <v>0</v>
      </c>
      <c r="CS168" s="10">
        <f t="shared" si="43"/>
        <v>-3020.2840823107385</v>
      </c>
      <c r="CT168" s="10">
        <f t="shared" si="44"/>
        <v>0</v>
      </c>
      <c r="CU168" s="10">
        <f t="shared" si="45"/>
        <v>-3020.2840823107385</v>
      </c>
      <c r="CV168" s="10">
        <f t="shared" si="46"/>
        <v>-3020.2840823107385</v>
      </c>
      <c r="CW168" s="2">
        <f t="shared" si="47"/>
        <v>0</v>
      </c>
      <c r="CX168" s="2">
        <f>-(SUM(CV168:CW168)*'PV IN'!$E$8)</f>
        <v>634.25965728525512</v>
      </c>
      <c r="CY168" s="2">
        <f t="shared" si="48"/>
        <v>-2386.0244250254837</v>
      </c>
      <c r="CZ168" s="2">
        <f>IF(C168&lt;='Batt IN'!$H$43*12,CY168/(1+('PV IN'!$G$9))^(C168),0)</f>
        <v>-1224.863795069376</v>
      </c>
      <c r="DA168" s="33">
        <f>IF(C168&lt;='Batt IN'!$H$43*12,AE168,0)</f>
        <v>30366.783333333333</v>
      </c>
    </row>
    <row r="169" spans="1:105" x14ac:dyDescent="0.25">
      <c r="A169">
        <f>IF(C169&lt;='Batt IN'!$H$43*12,C169,"")</f>
        <v>165</v>
      </c>
      <c r="C169">
        <v>165</v>
      </c>
      <c r="D169" s="21">
        <v>730</v>
      </c>
      <c r="E169" s="1">
        <f>1-'Batt IN'!$E$31</f>
        <v>2.0000000000000018E-2</v>
      </c>
      <c r="F169" s="12">
        <f>('Batt IN'!$E$33*365)/8760</f>
        <v>0</v>
      </c>
      <c r="G169" s="22">
        <f>'Batt IN'!$E$32/8760</f>
        <v>5.7077625570776253E-3</v>
      </c>
      <c r="H169" s="22">
        <f>'Batt IN'!$E$13/8760</f>
        <v>5.5936073059360729E-3</v>
      </c>
      <c r="I169" s="23">
        <f>IF(C169&lt;='Batt IN'!$G$14*12,'Batt IN'!$E$15/8760*'Batt IN'!$G$15,0)</f>
        <v>0</v>
      </c>
      <c r="J169" s="12">
        <f>Z169/'Batt IN'!$E$27/730</f>
        <v>2.4999999999999996E-3</v>
      </c>
      <c r="K169" s="23">
        <f>AA169/'Batt IN'!$E$27/730</f>
        <v>1.6027397260273972E-3</v>
      </c>
      <c r="L169" s="23">
        <f>AB169/'Batt IN'!$E$27/730</f>
        <v>2.0547945205479451E-4</v>
      </c>
      <c r="M169" s="23">
        <f>AC169/'Batt IN'!$E$27/730</f>
        <v>4.7945205479452057E-3</v>
      </c>
      <c r="N169" s="23">
        <f>AD169/'Batt IN'!$E$27/730</f>
        <v>3.4246575342465752E-3</v>
      </c>
      <c r="O169" s="12">
        <f t="shared" si="36"/>
        <v>4.3828767123287697E-2</v>
      </c>
      <c r="P169" s="21">
        <f t="shared" si="37"/>
        <v>698.005</v>
      </c>
      <c r="Q169" s="2">
        <f>IF('Batt IN'!$E$27*'Batt IN'!$E$24&lt;='Batt IN'!$E$28,(('Batt IN'!$E$23*'Batt IN'!$E$27*'Batt IN'!$E$24)/1000)*P169,(('Batt IN'!$E$23*'Batt IN'!$E$28*'Batt IN'!$E$24)/1000)*P169)</f>
        <v>11168.08</v>
      </c>
      <c r="R169" s="2"/>
      <c r="S169" s="77">
        <f>IF(C169&lt;='Batt IN'!$G$14*12,'Batt IN'!$E$15/12,0)</f>
        <v>0</v>
      </c>
      <c r="T169" s="77"/>
      <c r="U169" s="80">
        <f>'Batt IN'!$E$28*('Batt IN'!$G$24/24)*730*(1-O169)</f>
        <v>81433.916666666657</v>
      </c>
      <c r="V169" s="78">
        <f>U169*'Batt IN'!$F$30</f>
        <v>16286.783333333333</v>
      </c>
      <c r="W169" s="78">
        <f>'Batt IN'!$E$28*'Batt IN'!$G$32*('Batt IN'!$E$32/12)*(1+'Batt IN'!$F$30)</f>
        <v>1750.0000000000002</v>
      </c>
      <c r="X169" s="78">
        <f>'Batt IN'!$E$28*'Batt IN'!$G$13*('Batt IN'!$E$13/12)*(1+'Batt IN'!$F$30)</f>
        <v>3184.9999999999995</v>
      </c>
      <c r="Y169" s="33">
        <f>S169*'Batt IN'!$G$15*'Batt IN'!$E$28*(1+'Batt IN'!$F$30)</f>
        <v>0</v>
      </c>
      <c r="Z169" s="33">
        <f>'Batt IN'!$G$16*365/12*(1+'Batt IN'!$F$30)</f>
        <v>1824.9999999999998</v>
      </c>
      <c r="AA169" s="33">
        <f>'Batt IN'!$G$17*'Batt IN'!$E$18*'Batt IN'!$G$18/12*(1+'Batt IN'!$F$30)</f>
        <v>1170</v>
      </c>
      <c r="AB169" s="33">
        <f>'Batt IN'!$G$19*'Batt IN'!$E$20*'Batt IN'!$G$20/12*(1+'Batt IN'!$F$30)</f>
        <v>150</v>
      </c>
      <c r="AC169" s="33">
        <f>'Batt IN'!$G$21*(1+'Batt IN'!$F$30)/12</f>
        <v>3500</v>
      </c>
      <c r="AD169" s="33">
        <f>'Batt IN'!$G$22*(1+'Batt IN'!$F$30)/12</f>
        <v>2500</v>
      </c>
      <c r="AE169" s="33">
        <f t="shared" si="49"/>
        <v>30366.783333333333</v>
      </c>
      <c r="AF169" s="33">
        <f>IF('PV IN'!$F$4="Battery Only",0,AE169*'Batt IN'!$E$29)</f>
        <v>25811.765833333331</v>
      </c>
      <c r="AG169" s="33">
        <f>PVCalcs!L169</f>
        <v>25811.765833333331</v>
      </c>
      <c r="AH169" s="33">
        <f t="shared" si="50"/>
        <v>4555.0175000000017</v>
      </c>
      <c r="AI169" s="33"/>
      <c r="AJ169" s="2">
        <f>IF(AND('Batt IN'!$D$53="Yes",$AL$1&gt;=1),IF($C169='Batt IN'!$H$54*12,-'Batt IN'!$F$54,0),0)</f>
        <v>0</v>
      </c>
      <c r="AK169" s="2">
        <f>IF(AND('Batt IN'!$D$53="Yes",$AL$1&gt;=2),IF($C169='Batt IN'!$H$55*12,-'Batt IN'!$F$55,0),0)</f>
        <v>0</v>
      </c>
      <c r="AL169" s="2">
        <f>IF(AND('Batt IN'!$D$53="Yes",$AL$1&gt;=3),IF($C169='Batt IN'!$H$56*12,-'Batt IN'!$F$56,0),0)</f>
        <v>0</v>
      </c>
      <c r="AM169" s="2">
        <f>IF(AND('Batt IN'!$D$53="Yes",$AL$1&gt;=4),IF($C169='Batt IN'!$H$57*12,-'Batt IN'!$F$57,0),0)</f>
        <v>0</v>
      </c>
      <c r="AN169" s="2">
        <f>IF(AND('Batt IN'!$D$53="Yes",$AL$1&gt;=5),IF($C169='Batt IN'!$H$58*12,-'Batt IN'!$F$58,0),0)</f>
        <v>0</v>
      </c>
      <c r="AO169" s="10">
        <f>IF(AND('Batt IN'!$D$44="YES",$C169&lt;='Batt IN'!$E$44*12),-'Batt IN'!$E$28*'Batt IN'!$E$42/12,0)</f>
        <v>0</v>
      </c>
      <c r="AP169" s="10">
        <f>IF(AND('Batt IN'!$D$46="YES",$C169&lt;='Batt IN'!$E$46*12),-'Batt IN'!$E$28*'Batt IN'!$E$45/12,0)</f>
        <v>0</v>
      </c>
      <c r="AR169" s="10">
        <f>BattLoan!M196</f>
        <v>0</v>
      </c>
      <c r="AS169" s="10">
        <f>'Batt IN'!$G$16*365/12*'Batt IN'!$E$16</f>
        <v>76.041666666666671</v>
      </c>
      <c r="AT169" s="10">
        <f>IF(AND('Batt IN'!$E$18&gt;0,'Batt IN'!$G$18&gt;0),'Batt IN'!$E$17*'Batt IN'!$G$17,0)</f>
        <v>119.44619999999999</v>
      </c>
      <c r="AU169" s="10">
        <f>IF(AND('Batt IN'!$E$20&gt;0,'Batt IN'!$G$20&gt;0),'Batt IN'!$E$19*'Batt IN'!$G$19,0)</f>
        <v>231</v>
      </c>
      <c r="AV169" s="10"/>
      <c r="AW169" s="10"/>
      <c r="AX169" s="10">
        <f>IF('Batt IN'!$E$11="Non-Taxable",Q169,0)</f>
        <v>11168.08</v>
      </c>
      <c r="AY169" s="10">
        <f>IF('Batt IN'!$E$11="Non-Taxable",'Batt IN'!$E$28/1000*'Batt IN'!$G$13*('Batt IN'!$E$13/12)*'Batt IN'!$E$12,0)</f>
        <v>244.42220833333334</v>
      </c>
      <c r="AZ169" s="10">
        <f>IF('Batt IN'!$E$11="Non-Taxable",$S169*'Batt IN'!$G$15*'Batt IN'!$E$28*'Batt IN'!$E$14/1000,0)</f>
        <v>0</v>
      </c>
      <c r="BA169" s="10">
        <f>IF('Batt IN'!$E$11="Non-Taxable",'Batt IN'!$E$21*'Batt IN'!$G$21/12,0)</f>
        <v>437.5</v>
      </c>
      <c r="BB169" s="10">
        <f>IF('Batt IN'!$E$11="Non-Taxable",'Batt IN'!$E$22*'Batt IN'!$G$22/12,0)</f>
        <v>1145.8333333333335</v>
      </c>
      <c r="BC169" s="10">
        <f>IF('Batt IN'!$E$11="Taxable",Q169,0)</f>
        <v>0</v>
      </c>
      <c r="BD169" s="10">
        <f>IF('Batt IN'!$E$11="Taxable",'Batt IN'!$E$28/1000*'Batt IN'!$G$13*('Batt IN'!$E$13/12)*'Batt IN'!$E$12,0)</f>
        <v>0</v>
      </c>
      <c r="BE169" s="10">
        <f>IF('Batt IN'!$E$11="Taxable",$S169*'Batt IN'!$G$15*'Batt IN'!$E$28*'Batt IN'!$E$14/1000,0)</f>
        <v>0</v>
      </c>
      <c r="BF169" s="10">
        <f>IF('Batt IN'!$E$11="Taxable",'Batt IN'!$E$21*'Batt IN'!$G$21/12,0)</f>
        <v>0</v>
      </c>
      <c r="BG169" s="10">
        <f>IF('Batt IN'!$E$11="Taxable",'Batt IN'!$E$22*'Batt IN'!$G$22/12,0)</f>
        <v>0</v>
      </c>
      <c r="BK169" s="10">
        <f>IF('Batt IN'!$N$18="Yes",-BattLoan!H197,-BattLoan!L197)</f>
        <v>0</v>
      </c>
      <c r="BL169" s="10">
        <f>IF('Batt IN'!$N$18="Yes",-BattLoan!F197,0)</f>
        <v>0</v>
      </c>
      <c r="BM169" s="10">
        <f>IF(AND('Batt IN'!$D$44="YES",$C169&lt;='Batt IN'!$E$44*12),0,-'Batt IN'!$E$28*'Batt IN'!$E$42/12)</f>
        <v>-83.333333333333329</v>
      </c>
      <c r="BN169" s="10">
        <f>IF(AND('Batt IN'!$D$46="YES",$C169&lt;='Batt IN'!$E$46*12),0,-'Batt IN'!$E$28*'Batt IN'!$E$45/12)</f>
        <v>-166.66666666666666</v>
      </c>
      <c r="BO169" s="2">
        <f>IF(AND('Batt IN'!$D$41="YES",BattCalcs!C169=ROUNDUP('Batt IN'!$H$41*12,)),-'Batt IN'!$E$41*'Batt IN'!$E$28,0)</f>
        <v>0</v>
      </c>
      <c r="BP169" s="2">
        <f>IF(AND('Batt IN'!$D$53="Yes",$AL$1&gt;=1),0,IF($C169='Batt IN'!$H$54*12,-'Batt IN'!$F$54,0))</f>
        <v>0</v>
      </c>
      <c r="BQ169" s="2">
        <f>IF(AND('Batt IN'!$D$53="Yes",$AL$1&gt;=2),0,IF($C169='Batt IN'!$H$55*12,-'Batt IN'!$F$55,0))</f>
        <v>0</v>
      </c>
      <c r="BR169" s="2">
        <f>IF(AND('Batt IN'!$D$53="Yes",$AL$1&gt;=3),0,IF($C169='Batt IN'!$H$56*12,-'Batt IN'!$F$56,0))</f>
        <v>0</v>
      </c>
      <c r="BS169" s="2">
        <f>IF(AND('Batt IN'!$D$53="Yes",$AL$1&gt;=4),0,IF($C169='Batt IN'!$H$57*12,-'Batt IN'!$F$57,0))</f>
        <v>0</v>
      </c>
      <c r="BT169" s="2">
        <f>IF(AND('Batt IN'!$D$53="Yes",$AL$1&gt;=5),0,IF($C169='Batt IN'!$H$58*12,-'Batt IN'!$F$58,0))</f>
        <v>0</v>
      </c>
      <c r="BU169" s="2">
        <f>-AH169*PVCalcs!F169</f>
        <v>-370.28408231073848</v>
      </c>
      <c r="BV169" s="2">
        <f>-'Batt IN'!$E$47</f>
        <v>-150</v>
      </c>
      <c r="BW169" s="2">
        <f>-'Batt IN'!$E$49</f>
        <v>-2250</v>
      </c>
      <c r="BX169" s="2">
        <f>IF('Batt IN'!$H$50="No",-(BC169*'Batt IN'!$E$50),-(BC169+BE169)*'Batt IN'!$E$50)</f>
        <v>0</v>
      </c>
      <c r="BY169" s="2">
        <f>IF(C169='Batt IN'!$H$43*12,-'Batt IN'!$E$43,0)</f>
        <v>0</v>
      </c>
      <c r="BZ169" s="38"/>
      <c r="CA169" s="10">
        <f t="shared" si="34"/>
        <v>13422.323408333334</v>
      </c>
      <c r="CB169" s="2">
        <f t="shared" si="38"/>
        <v>-3020.2840823107385</v>
      </c>
      <c r="CC169" s="45">
        <f t="shared" si="39"/>
        <v>10402.039326022596</v>
      </c>
      <c r="CD169" s="43"/>
      <c r="CE169" s="2">
        <f t="shared" si="35"/>
        <v>0</v>
      </c>
      <c r="CF169" s="2">
        <f t="shared" si="40"/>
        <v>-3020.2840823107385</v>
      </c>
      <c r="CG169" s="2"/>
      <c r="CH169" s="2">
        <f t="shared" si="41"/>
        <v>-3020.2840823107385</v>
      </c>
      <c r="CI169" s="45">
        <f>-CH169*'Batt IN'!$E$7</f>
        <v>634.25965728525512</v>
      </c>
      <c r="CJ169" s="48"/>
      <c r="CK169" s="45">
        <f>IF('Batt IN'!$F$4="PV Only",0,IF(C169&gt;'Batt IN'!$H$43*12,0,CC169+CI169))</f>
        <v>0</v>
      </c>
      <c r="CM169" s="10">
        <f t="shared" si="42"/>
        <v>0</v>
      </c>
      <c r="CN169" s="2">
        <f>CK169/(1+('Batt IN'!$G$8))^(C169)</f>
        <v>0</v>
      </c>
      <c r="CO169" s="2">
        <f>IF(C169&lt;='Batt IN'!$O$30*12,CN169+CO168,NA())</f>
        <v>0</v>
      </c>
      <c r="CQ169" s="2">
        <f>CK169/((1+('Batt IN'!$E$8/12))^BattCalcs!C169)</f>
        <v>0</v>
      </c>
      <c r="CS169" s="10">
        <f t="shared" si="43"/>
        <v>-3020.2840823107385</v>
      </c>
      <c r="CT169" s="10">
        <f t="shared" si="44"/>
        <v>0</v>
      </c>
      <c r="CU169" s="10">
        <f t="shared" si="45"/>
        <v>-3020.2840823107385</v>
      </c>
      <c r="CV169" s="10">
        <f t="shared" si="46"/>
        <v>-3020.2840823107385</v>
      </c>
      <c r="CW169" s="2">
        <f t="shared" si="47"/>
        <v>0</v>
      </c>
      <c r="CX169" s="2">
        <f>-(SUM(CV169:CW169)*'PV IN'!$E$8)</f>
        <v>634.25965728525512</v>
      </c>
      <c r="CY169" s="2">
        <f t="shared" si="48"/>
        <v>-2386.0244250254837</v>
      </c>
      <c r="CZ169" s="2">
        <f>IF(C169&lt;='Batt IN'!$H$43*12,CY169/(1+('PV IN'!$G$9))^(C169),0)</f>
        <v>-1219.8937967385584</v>
      </c>
      <c r="DA169" s="33">
        <f>IF(C169&lt;='Batt IN'!$H$43*12,AE169,0)</f>
        <v>30366.783333333333</v>
      </c>
    </row>
    <row r="170" spans="1:105" x14ac:dyDescent="0.25">
      <c r="A170">
        <f>IF(C170&lt;='Batt IN'!$H$43*12,C170,"")</f>
        <v>166</v>
      </c>
      <c r="C170">
        <v>166</v>
      </c>
      <c r="D170" s="21">
        <v>730</v>
      </c>
      <c r="E170" s="1">
        <f>1-'Batt IN'!$E$31</f>
        <v>2.0000000000000018E-2</v>
      </c>
      <c r="F170" s="12">
        <f>('Batt IN'!$E$33*365)/8760</f>
        <v>0</v>
      </c>
      <c r="G170" s="22">
        <f>'Batt IN'!$E$32/8760</f>
        <v>5.7077625570776253E-3</v>
      </c>
      <c r="H170" s="22">
        <f>'Batt IN'!$E$13/8760</f>
        <v>5.5936073059360729E-3</v>
      </c>
      <c r="I170" s="23">
        <f>IF(C170&lt;='Batt IN'!$G$14*12,'Batt IN'!$E$15/8760*'Batt IN'!$G$15,0)</f>
        <v>0</v>
      </c>
      <c r="J170" s="12">
        <f>Z170/'Batt IN'!$E$27/730</f>
        <v>2.4999999999999996E-3</v>
      </c>
      <c r="K170" s="23">
        <f>AA170/'Batt IN'!$E$27/730</f>
        <v>1.6027397260273972E-3</v>
      </c>
      <c r="L170" s="23">
        <f>AB170/'Batt IN'!$E$27/730</f>
        <v>2.0547945205479451E-4</v>
      </c>
      <c r="M170" s="23">
        <f>AC170/'Batt IN'!$E$27/730</f>
        <v>4.7945205479452057E-3</v>
      </c>
      <c r="N170" s="23">
        <f>AD170/'Batt IN'!$E$27/730</f>
        <v>3.4246575342465752E-3</v>
      </c>
      <c r="O170" s="12">
        <f t="shared" si="36"/>
        <v>4.3828767123287697E-2</v>
      </c>
      <c r="P170" s="21">
        <f t="shared" si="37"/>
        <v>698.005</v>
      </c>
      <c r="Q170" s="2">
        <f>IF('Batt IN'!$E$27*'Batt IN'!$E$24&lt;='Batt IN'!$E$28,(('Batt IN'!$E$23*'Batt IN'!$E$27*'Batt IN'!$E$24)/1000)*P170,(('Batt IN'!$E$23*'Batt IN'!$E$28*'Batt IN'!$E$24)/1000)*P170)</f>
        <v>11168.08</v>
      </c>
      <c r="R170" s="2"/>
      <c r="S170" s="77">
        <f>IF(C170&lt;='Batt IN'!$G$14*12,'Batt IN'!$E$15/12,0)</f>
        <v>0</v>
      </c>
      <c r="T170" s="77"/>
      <c r="U170" s="80">
        <f>'Batt IN'!$E$28*('Batt IN'!$G$24/24)*730*(1-O170)</f>
        <v>81433.916666666657</v>
      </c>
      <c r="V170" s="78">
        <f>U170*'Batt IN'!$F$30</f>
        <v>16286.783333333333</v>
      </c>
      <c r="W170" s="78">
        <f>'Batt IN'!$E$28*'Batt IN'!$G$32*('Batt IN'!$E$32/12)*(1+'Batt IN'!$F$30)</f>
        <v>1750.0000000000002</v>
      </c>
      <c r="X170" s="78">
        <f>'Batt IN'!$E$28*'Batt IN'!$G$13*('Batt IN'!$E$13/12)*(1+'Batt IN'!$F$30)</f>
        <v>3184.9999999999995</v>
      </c>
      <c r="Y170" s="33">
        <f>S170*'Batt IN'!$G$15*'Batt IN'!$E$28*(1+'Batt IN'!$F$30)</f>
        <v>0</v>
      </c>
      <c r="Z170" s="33">
        <f>'Batt IN'!$G$16*365/12*(1+'Batt IN'!$F$30)</f>
        <v>1824.9999999999998</v>
      </c>
      <c r="AA170" s="33">
        <f>'Batt IN'!$G$17*'Batt IN'!$E$18*'Batt IN'!$G$18/12*(1+'Batt IN'!$F$30)</f>
        <v>1170</v>
      </c>
      <c r="AB170" s="33">
        <f>'Batt IN'!$G$19*'Batt IN'!$E$20*'Batt IN'!$G$20/12*(1+'Batt IN'!$F$30)</f>
        <v>150</v>
      </c>
      <c r="AC170" s="33">
        <f>'Batt IN'!$G$21*(1+'Batt IN'!$F$30)/12</f>
        <v>3500</v>
      </c>
      <c r="AD170" s="33">
        <f>'Batt IN'!$G$22*(1+'Batt IN'!$F$30)/12</f>
        <v>2500</v>
      </c>
      <c r="AE170" s="33">
        <f t="shared" si="49"/>
        <v>30366.783333333333</v>
      </c>
      <c r="AF170" s="33">
        <f>IF('PV IN'!$F$4="Battery Only",0,AE170*'Batt IN'!$E$29)</f>
        <v>25811.765833333331</v>
      </c>
      <c r="AG170" s="33">
        <f>PVCalcs!L170</f>
        <v>25811.765833333331</v>
      </c>
      <c r="AH170" s="33">
        <f t="shared" si="50"/>
        <v>4555.0175000000017</v>
      </c>
      <c r="AI170" s="33"/>
      <c r="AJ170" s="2">
        <f>IF(AND('Batt IN'!$D$53="Yes",$AL$1&gt;=1),IF($C170='Batt IN'!$H$54*12,-'Batt IN'!$F$54,0),0)</f>
        <v>0</v>
      </c>
      <c r="AK170" s="2">
        <f>IF(AND('Batt IN'!$D$53="Yes",$AL$1&gt;=2),IF($C170='Batt IN'!$H$55*12,-'Batt IN'!$F$55,0),0)</f>
        <v>0</v>
      </c>
      <c r="AL170" s="2">
        <f>IF(AND('Batt IN'!$D$53="Yes",$AL$1&gt;=3),IF($C170='Batt IN'!$H$56*12,-'Batt IN'!$F$56,0),0)</f>
        <v>0</v>
      </c>
      <c r="AM170" s="2">
        <f>IF(AND('Batt IN'!$D$53="Yes",$AL$1&gt;=4),IF($C170='Batt IN'!$H$57*12,-'Batt IN'!$F$57,0),0)</f>
        <v>0</v>
      </c>
      <c r="AN170" s="2">
        <f>IF(AND('Batt IN'!$D$53="Yes",$AL$1&gt;=5),IF($C170='Batt IN'!$H$58*12,-'Batt IN'!$F$58,0),0)</f>
        <v>0</v>
      </c>
      <c r="AO170" s="10">
        <f>IF(AND('Batt IN'!$D$44="YES",$C170&lt;='Batt IN'!$E$44*12),-'Batt IN'!$E$28*'Batt IN'!$E$42/12,0)</f>
        <v>0</v>
      </c>
      <c r="AP170" s="10">
        <f>IF(AND('Batt IN'!$D$46="YES",$C170&lt;='Batt IN'!$E$46*12),-'Batt IN'!$E$28*'Batt IN'!$E$45/12,0)</f>
        <v>0</v>
      </c>
      <c r="AR170" s="10">
        <f>BattLoan!M197</f>
        <v>0</v>
      </c>
      <c r="AS170" s="10">
        <f>'Batt IN'!$G$16*365/12*'Batt IN'!$E$16</f>
        <v>76.041666666666671</v>
      </c>
      <c r="AT170" s="10">
        <f>IF(AND('Batt IN'!$E$18&gt;0,'Batt IN'!$G$18&gt;0),'Batt IN'!$E$17*'Batt IN'!$G$17,0)</f>
        <v>119.44619999999999</v>
      </c>
      <c r="AU170" s="10">
        <f>IF(AND('Batt IN'!$E$20&gt;0,'Batt IN'!$G$20&gt;0),'Batt IN'!$E$19*'Batt IN'!$G$19,0)</f>
        <v>231</v>
      </c>
      <c r="AV170" s="10"/>
      <c r="AW170" s="10"/>
      <c r="AX170" s="10">
        <f>IF('Batt IN'!$E$11="Non-Taxable",Q170,0)</f>
        <v>11168.08</v>
      </c>
      <c r="AY170" s="10">
        <f>IF('Batt IN'!$E$11="Non-Taxable",'Batt IN'!$E$28/1000*'Batt IN'!$G$13*('Batt IN'!$E$13/12)*'Batt IN'!$E$12,0)</f>
        <v>244.42220833333334</v>
      </c>
      <c r="AZ170" s="10">
        <f>IF('Batt IN'!$E$11="Non-Taxable",$S170*'Batt IN'!$G$15*'Batt IN'!$E$28*'Batt IN'!$E$14/1000,0)</f>
        <v>0</v>
      </c>
      <c r="BA170" s="10">
        <f>IF('Batt IN'!$E$11="Non-Taxable",'Batt IN'!$E$21*'Batt IN'!$G$21/12,0)</f>
        <v>437.5</v>
      </c>
      <c r="BB170" s="10">
        <f>IF('Batt IN'!$E$11="Non-Taxable",'Batt IN'!$E$22*'Batt IN'!$G$22/12,0)</f>
        <v>1145.8333333333335</v>
      </c>
      <c r="BC170" s="10">
        <f>IF('Batt IN'!$E$11="Taxable",Q170,0)</f>
        <v>0</v>
      </c>
      <c r="BD170" s="10">
        <f>IF('Batt IN'!$E$11="Taxable",'Batt IN'!$E$28/1000*'Batt IN'!$G$13*('Batt IN'!$E$13/12)*'Batt IN'!$E$12,0)</f>
        <v>0</v>
      </c>
      <c r="BE170" s="10">
        <f>IF('Batt IN'!$E$11="Taxable",$S170*'Batt IN'!$G$15*'Batt IN'!$E$28*'Batt IN'!$E$14/1000,0)</f>
        <v>0</v>
      </c>
      <c r="BF170" s="10">
        <f>IF('Batt IN'!$E$11="Taxable",'Batt IN'!$E$21*'Batt IN'!$G$21/12,0)</f>
        <v>0</v>
      </c>
      <c r="BG170" s="10">
        <f>IF('Batt IN'!$E$11="Taxable",'Batt IN'!$E$22*'Batt IN'!$G$22/12,0)</f>
        <v>0</v>
      </c>
      <c r="BK170" s="10">
        <f>IF('Batt IN'!$N$18="Yes",-BattLoan!H198,-BattLoan!L198)</f>
        <v>0</v>
      </c>
      <c r="BL170" s="10">
        <f>IF('Batt IN'!$N$18="Yes",-BattLoan!F198,0)</f>
        <v>0</v>
      </c>
      <c r="BM170" s="10">
        <f>IF(AND('Batt IN'!$D$44="YES",$C170&lt;='Batt IN'!$E$44*12),0,-'Batt IN'!$E$28*'Batt IN'!$E$42/12)</f>
        <v>-83.333333333333329</v>
      </c>
      <c r="BN170" s="10">
        <f>IF(AND('Batt IN'!$D$46="YES",$C170&lt;='Batt IN'!$E$46*12),0,-'Batt IN'!$E$28*'Batt IN'!$E$45/12)</f>
        <v>-166.66666666666666</v>
      </c>
      <c r="BO170" s="2">
        <f>IF(AND('Batt IN'!$D$41="YES",BattCalcs!C170=ROUNDUP('Batt IN'!$H$41*12,)),-'Batt IN'!$E$41*'Batt IN'!$E$28,0)</f>
        <v>0</v>
      </c>
      <c r="BP170" s="2">
        <f>IF(AND('Batt IN'!$D$53="Yes",$AL$1&gt;=1),0,IF($C170='Batt IN'!$H$54*12,-'Batt IN'!$F$54,0))</f>
        <v>0</v>
      </c>
      <c r="BQ170" s="2">
        <f>IF(AND('Batt IN'!$D$53="Yes",$AL$1&gt;=2),0,IF($C170='Batt IN'!$H$55*12,-'Batt IN'!$F$55,0))</f>
        <v>0</v>
      </c>
      <c r="BR170" s="2">
        <f>IF(AND('Batt IN'!$D$53="Yes",$AL$1&gt;=3),0,IF($C170='Batt IN'!$H$56*12,-'Batt IN'!$F$56,0))</f>
        <v>0</v>
      </c>
      <c r="BS170" s="2">
        <f>IF(AND('Batt IN'!$D$53="Yes",$AL$1&gt;=4),0,IF($C170='Batt IN'!$H$57*12,-'Batt IN'!$F$57,0))</f>
        <v>0</v>
      </c>
      <c r="BT170" s="2">
        <f>IF(AND('Batt IN'!$D$53="Yes",$AL$1&gt;=5),0,IF($C170='Batt IN'!$H$58*12,-'Batt IN'!$F$58,0))</f>
        <v>0</v>
      </c>
      <c r="BU170" s="2">
        <f>-AH170*PVCalcs!F170</f>
        <v>-370.28408231073848</v>
      </c>
      <c r="BV170" s="2">
        <f>-'Batt IN'!$E$47</f>
        <v>-150</v>
      </c>
      <c r="BW170" s="2">
        <f>-'Batt IN'!$E$49</f>
        <v>-2250</v>
      </c>
      <c r="BX170" s="2">
        <f>IF('Batt IN'!$H$50="No",-(BC170*'Batt IN'!$E$50),-(BC170+BE170)*'Batt IN'!$E$50)</f>
        <v>0</v>
      </c>
      <c r="BY170" s="2">
        <f>IF(C170='Batt IN'!$H$43*12,-'Batt IN'!$E$43,0)</f>
        <v>0</v>
      </c>
      <c r="BZ170" s="38"/>
      <c r="CA170" s="10">
        <f t="shared" si="34"/>
        <v>13422.323408333334</v>
      </c>
      <c r="CB170" s="2">
        <f t="shared" si="38"/>
        <v>-3020.2840823107385</v>
      </c>
      <c r="CC170" s="45">
        <f t="shared" si="39"/>
        <v>10402.039326022596</v>
      </c>
      <c r="CD170" s="43"/>
      <c r="CE170" s="2">
        <f t="shared" si="35"/>
        <v>0</v>
      </c>
      <c r="CF170" s="2">
        <f t="shared" si="40"/>
        <v>-3020.2840823107385</v>
      </c>
      <c r="CG170" s="2"/>
      <c r="CH170" s="2">
        <f t="shared" si="41"/>
        <v>-3020.2840823107385</v>
      </c>
      <c r="CI170" s="45">
        <f>-CH170*'Batt IN'!$E$7</f>
        <v>634.25965728525512</v>
      </c>
      <c r="CJ170" s="48"/>
      <c r="CK170" s="45">
        <f>IF('Batt IN'!$F$4="PV Only",0,IF(C170&gt;'Batt IN'!$H$43*12,0,CC170+CI170))</f>
        <v>0</v>
      </c>
      <c r="CM170" s="10">
        <f t="shared" si="42"/>
        <v>0</v>
      </c>
      <c r="CN170" s="2">
        <f>CK170/(1+('Batt IN'!$G$8))^(C170)</f>
        <v>0</v>
      </c>
      <c r="CO170" s="2">
        <f>IF(C170&lt;='Batt IN'!$O$30*12,CN170+CO169,NA())</f>
        <v>0</v>
      </c>
      <c r="CQ170" s="2">
        <f>CK170/((1+('Batt IN'!$E$8/12))^BattCalcs!C170)</f>
        <v>0</v>
      </c>
      <c r="CS170" s="10">
        <f t="shared" si="43"/>
        <v>-3020.2840823107385</v>
      </c>
      <c r="CT170" s="10">
        <f t="shared" si="44"/>
        <v>0</v>
      </c>
      <c r="CU170" s="10">
        <f t="shared" si="45"/>
        <v>-3020.2840823107385</v>
      </c>
      <c r="CV170" s="10">
        <f t="shared" si="46"/>
        <v>-3020.2840823107385</v>
      </c>
      <c r="CW170" s="2">
        <f t="shared" si="47"/>
        <v>0</v>
      </c>
      <c r="CX170" s="2">
        <f>-(SUM(CV170:CW170)*'PV IN'!$E$8)</f>
        <v>634.25965728525512</v>
      </c>
      <c r="CY170" s="2">
        <f t="shared" si="48"/>
        <v>-2386.0244250254837</v>
      </c>
      <c r="CZ170" s="2">
        <f>IF(C170&lt;='Batt IN'!$H$43*12,CY170/(1+('PV IN'!$G$9))^(C170),0)</f>
        <v>-1214.9439646364331</v>
      </c>
      <c r="DA170" s="33">
        <f>IF(C170&lt;='Batt IN'!$H$43*12,AE170,0)</f>
        <v>30366.783333333333</v>
      </c>
    </row>
    <row r="171" spans="1:105" x14ac:dyDescent="0.25">
      <c r="A171">
        <f>IF(C171&lt;='Batt IN'!$H$43*12,C171,"")</f>
        <v>167</v>
      </c>
      <c r="C171">
        <v>167</v>
      </c>
      <c r="D171" s="21">
        <v>730</v>
      </c>
      <c r="E171" s="1">
        <f>1-'Batt IN'!$E$31</f>
        <v>2.0000000000000018E-2</v>
      </c>
      <c r="F171" s="12">
        <f>('Batt IN'!$E$33*365)/8760</f>
        <v>0</v>
      </c>
      <c r="G171" s="22">
        <f>'Batt IN'!$E$32/8760</f>
        <v>5.7077625570776253E-3</v>
      </c>
      <c r="H171" s="22">
        <f>'Batt IN'!$E$13/8760</f>
        <v>5.5936073059360729E-3</v>
      </c>
      <c r="I171" s="23">
        <f>IF(C171&lt;='Batt IN'!$G$14*12,'Batt IN'!$E$15/8760*'Batt IN'!$G$15,0)</f>
        <v>0</v>
      </c>
      <c r="J171" s="12">
        <f>Z171/'Batt IN'!$E$27/730</f>
        <v>2.4999999999999996E-3</v>
      </c>
      <c r="K171" s="23">
        <f>AA171/'Batt IN'!$E$27/730</f>
        <v>1.6027397260273972E-3</v>
      </c>
      <c r="L171" s="23">
        <f>AB171/'Batt IN'!$E$27/730</f>
        <v>2.0547945205479451E-4</v>
      </c>
      <c r="M171" s="23">
        <f>AC171/'Batt IN'!$E$27/730</f>
        <v>4.7945205479452057E-3</v>
      </c>
      <c r="N171" s="23">
        <f>AD171/'Batt IN'!$E$27/730</f>
        <v>3.4246575342465752E-3</v>
      </c>
      <c r="O171" s="12">
        <f t="shared" si="36"/>
        <v>4.3828767123287697E-2</v>
      </c>
      <c r="P171" s="21">
        <f t="shared" si="37"/>
        <v>698.005</v>
      </c>
      <c r="Q171" s="2">
        <f>IF('Batt IN'!$E$27*'Batt IN'!$E$24&lt;='Batt IN'!$E$28,(('Batt IN'!$E$23*'Batt IN'!$E$27*'Batt IN'!$E$24)/1000)*P171,(('Batt IN'!$E$23*'Batt IN'!$E$28*'Batt IN'!$E$24)/1000)*P171)</f>
        <v>11168.08</v>
      </c>
      <c r="R171" s="2"/>
      <c r="S171" s="77">
        <f>IF(C171&lt;='Batt IN'!$G$14*12,'Batt IN'!$E$15/12,0)</f>
        <v>0</v>
      </c>
      <c r="T171" s="77"/>
      <c r="U171" s="80">
        <f>'Batt IN'!$E$28*('Batt IN'!$G$24/24)*730*(1-O171)</f>
        <v>81433.916666666657</v>
      </c>
      <c r="V171" s="78">
        <f>U171*'Batt IN'!$F$30</f>
        <v>16286.783333333333</v>
      </c>
      <c r="W171" s="78">
        <f>'Batt IN'!$E$28*'Batt IN'!$G$32*('Batt IN'!$E$32/12)*(1+'Batt IN'!$F$30)</f>
        <v>1750.0000000000002</v>
      </c>
      <c r="X171" s="78">
        <f>'Batt IN'!$E$28*'Batt IN'!$G$13*('Batt IN'!$E$13/12)*(1+'Batt IN'!$F$30)</f>
        <v>3184.9999999999995</v>
      </c>
      <c r="Y171" s="33">
        <f>S171*'Batt IN'!$G$15*'Batt IN'!$E$28*(1+'Batt IN'!$F$30)</f>
        <v>0</v>
      </c>
      <c r="Z171" s="33">
        <f>'Batt IN'!$G$16*365/12*(1+'Batt IN'!$F$30)</f>
        <v>1824.9999999999998</v>
      </c>
      <c r="AA171" s="33">
        <f>'Batt IN'!$G$17*'Batt IN'!$E$18*'Batt IN'!$G$18/12*(1+'Batt IN'!$F$30)</f>
        <v>1170</v>
      </c>
      <c r="AB171" s="33">
        <f>'Batt IN'!$G$19*'Batt IN'!$E$20*'Batt IN'!$G$20/12*(1+'Batt IN'!$F$30)</f>
        <v>150</v>
      </c>
      <c r="AC171" s="33">
        <f>'Batt IN'!$G$21*(1+'Batt IN'!$F$30)/12</f>
        <v>3500</v>
      </c>
      <c r="AD171" s="33">
        <f>'Batt IN'!$G$22*(1+'Batt IN'!$F$30)/12</f>
        <v>2500</v>
      </c>
      <c r="AE171" s="33">
        <f t="shared" si="49"/>
        <v>30366.783333333333</v>
      </c>
      <c r="AF171" s="33">
        <f>IF('PV IN'!$F$4="Battery Only",0,AE171*'Batt IN'!$E$29)</f>
        <v>25811.765833333331</v>
      </c>
      <c r="AG171" s="33">
        <f>PVCalcs!L171</f>
        <v>25811.765833333331</v>
      </c>
      <c r="AH171" s="33">
        <f t="shared" si="50"/>
        <v>4555.0175000000017</v>
      </c>
      <c r="AI171" s="33"/>
      <c r="AJ171" s="2">
        <f>IF(AND('Batt IN'!$D$53="Yes",$AL$1&gt;=1),IF($C171='Batt IN'!$H$54*12,-'Batt IN'!$F$54,0),0)</f>
        <v>0</v>
      </c>
      <c r="AK171" s="2">
        <f>IF(AND('Batt IN'!$D$53="Yes",$AL$1&gt;=2),IF($C171='Batt IN'!$H$55*12,-'Batt IN'!$F$55,0),0)</f>
        <v>0</v>
      </c>
      <c r="AL171" s="2">
        <f>IF(AND('Batt IN'!$D$53="Yes",$AL$1&gt;=3),IF($C171='Batt IN'!$H$56*12,-'Batt IN'!$F$56,0),0)</f>
        <v>0</v>
      </c>
      <c r="AM171" s="2">
        <f>IF(AND('Batt IN'!$D$53="Yes",$AL$1&gt;=4),IF($C171='Batt IN'!$H$57*12,-'Batt IN'!$F$57,0),0)</f>
        <v>0</v>
      </c>
      <c r="AN171" s="2">
        <f>IF(AND('Batt IN'!$D$53="Yes",$AL$1&gt;=5),IF($C171='Batt IN'!$H$58*12,-'Batt IN'!$F$58,0),0)</f>
        <v>0</v>
      </c>
      <c r="AO171" s="10">
        <f>IF(AND('Batt IN'!$D$44="YES",$C171&lt;='Batt IN'!$E$44*12),-'Batt IN'!$E$28*'Batt IN'!$E$42/12,0)</f>
        <v>0</v>
      </c>
      <c r="AP171" s="10">
        <f>IF(AND('Batt IN'!$D$46="YES",$C171&lt;='Batt IN'!$E$46*12),-'Batt IN'!$E$28*'Batt IN'!$E$45/12,0)</f>
        <v>0</v>
      </c>
      <c r="AR171" s="10">
        <f>BattLoan!M198</f>
        <v>0</v>
      </c>
      <c r="AS171" s="10">
        <f>'Batt IN'!$G$16*365/12*'Batt IN'!$E$16</f>
        <v>76.041666666666671</v>
      </c>
      <c r="AT171" s="10">
        <f>IF(AND('Batt IN'!$E$18&gt;0,'Batt IN'!$G$18&gt;0),'Batt IN'!$E$17*'Batt IN'!$G$17,0)</f>
        <v>119.44619999999999</v>
      </c>
      <c r="AU171" s="10">
        <f>IF(AND('Batt IN'!$E$20&gt;0,'Batt IN'!$G$20&gt;0),'Batt IN'!$E$19*'Batt IN'!$G$19,0)</f>
        <v>231</v>
      </c>
      <c r="AV171" s="10"/>
      <c r="AW171" s="10"/>
      <c r="AX171" s="10">
        <f>IF('Batt IN'!$E$11="Non-Taxable",Q171,0)</f>
        <v>11168.08</v>
      </c>
      <c r="AY171" s="10">
        <f>IF('Batt IN'!$E$11="Non-Taxable",'Batt IN'!$E$28/1000*'Batt IN'!$G$13*('Batt IN'!$E$13/12)*'Batt IN'!$E$12,0)</f>
        <v>244.42220833333334</v>
      </c>
      <c r="AZ171" s="10">
        <f>IF('Batt IN'!$E$11="Non-Taxable",$S171*'Batt IN'!$G$15*'Batt IN'!$E$28*'Batt IN'!$E$14/1000,0)</f>
        <v>0</v>
      </c>
      <c r="BA171" s="10">
        <f>IF('Batt IN'!$E$11="Non-Taxable",'Batt IN'!$E$21*'Batt IN'!$G$21/12,0)</f>
        <v>437.5</v>
      </c>
      <c r="BB171" s="10">
        <f>IF('Batt IN'!$E$11="Non-Taxable",'Batt IN'!$E$22*'Batt IN'!$G$22/12,0)</f>
        <v>1145.8333333333335</v>
      </c>
      <c r="BC171" s="10">
        <f>IF('Batt IN'!$E$11="Taxable",Q171,0)</f>
        <v>0</v>
      </c>
      <c r="BD171" s="10">
        <f>IF('Batt IN'!$E$11="Taxable",'Batt IN'!$E$28/1000*'Batt IN'!$G$13*('Batt IN'!$E$13/12)*'Batt IN'!$E$12,0)</f>
        <v>0</v>
      </c>
      <c r="BE171" s="10">
        <f>IF('Batt IN'!$E$11="Taxable",$S171*'Batt IN'!$G$15*'Batt IN'!$E$28*'Batt IN'!$E$14/1000,0)</f>
        <v>0</v>
      </c>
      <c r="BF171" s="10">
        <f>IF('Batt IN'!$E$11="Taxable",'Batt IN'!$E$21*'Batt IN'!$G$21/12,0)</f>
        <v>0</v>
      </c>
      <c r="BG171" s="10">
        <f>IF('Batt IN'!$E$11="Taxable",'Batt IN'!$E$22*'Batt IN'!$G$22/12,0)</f>
        <v>0</v>
      </c>
      <c r="BK171" s="10">
        <f>IF('Batt IN'!$N$18="Yes",-BattLoan!H199,-BattLoan!L199)</f>
        <v>0</v>
      </c>
      <c r="BL171" s="10">
        <f>IF('Batt IN'!$N$18="Yes",-BattLoan!F199,0)</f>
        <v>0</v>
      </c>
      <c r="BM171" s="10">
        <f>IF(AND('Batt IN'!$D$44="YES",$C171&lt;='Batt IN'!$E$44*12),0,-'Batt IN'!$E$28*'Batt IN'!$E$42/12)</f>
        <v>-83.333333333333329</v>
      </c>
      <c r="BN171" s="10">
        <f>IF(AND('Batt IN'!$D$46="YES",$C171&lt;='Batt IN'!$E$46*12),0,-'Batt IN'!$E$28*'Batt IN'!$E$45/12)</f>
        <v>-166.66666666666666</v>
      </c>
      <c r="BO171" s="2">
        <f>IF(AND('Batt IN'!$D$41="YES",BattCalcs!C171=ROUNDUP('Batt IN'!$H$41*12,)),-'Batt IN'!$E$41*'Batt IN'!$E$28,0)</f>
        <v>0</v>
      </c>
      <c r="BP171" s="2">
        <f>IF(AND('Batt IN'!$D$53="Yes",$AL$1&gt;=1),0,IF($C171='Batt IN'!$H$54*12,-'Batt IN'!$F$54,0))</f>
        <v>0</v>
      </c>
      <c r="BQ171" s="2">
        <f>IF(AND('Batt IN'!$D$53="Yes",$AL$1&gt;=2),0,IF($C171='Batt IN'!$H$55*12,-'Batt IN'!$F$55,0))</f>
        <v>0</v>
      </c>
      <c r="BR171" s="2">
        <f>IF(AND('Batt IN'!$D$53="Yes",$AL$1&gt;=3),0,IF($C171='Batt IN'!$H$56*12,-'Batt IN'!$F$56,0))</f>
        <v>0</v>
      </c>
      <c r="BS171" s="2">
        <f>IF(AND('Batt IN'!$D$53="Yes",$AL$1&gt;=4),0,IF($C171='Batt IN'!$H$57*12,-'Batt IN'!$F$57,0))</f>
        <v>0</v>
      </c>
      <c r="BT171" s="2">
        <f>IF(AND('Batt IN'!$D$53="Yes",$AL$1&gt;=5),0,IF($C171='Batt IN'!$H$58*12,-'Batt IN'!$F$58,0))</f>
        <v>0</v>
      </c>
      <c r="BU171" s="2">
        <f>-AH171*PVCalcs!F171</f>
        <v>-370.28408231073848</v>
      </c>
      <c r="BV171" s="2">
        <f>-'Batt IN'!$E$47</f>
        <v>-150</v>
      </c>
      <c r="BW171" s="2">
        <f>-'Batt IN'!$E$49</f>
        <v>-2250</v>
      </c>
      <c r="BX171" s="2">
        <f>IF('Batt IN'!$H$50="No",-(BC171*'Batt IN'!$E$50),-(BC171+BE171)*'Batt IN'!$E$50)</f>
        <v>0</v>
      </c>
      <c r="BY171" s="2">
        <f>IF(C171='Batt IN'!$H$43*12,-'Batt IN'!$E$43,0)</f>
        <v>0</v>
      </c>
      <c r="BZ171" s="38"/>
      <c r="CA171" s="10">
        <f t="shared" si="34"/>
        <v>13422.323408333334</v>
      </c>
      <c r="CB171" s="2">
        <f t="shared" si="38"/>
        <v>-3020.2840823107385</v>
      </c>
      <c r="CC171" s="45">
        <f t="shared" si="39"/>
        <v>10402.039326022596</v>
      </c>
      <c r="CD171" s="43"/>
      <c r="CE171" s="2">
        <f t="shared" si="35"/>
        <v>0</v>
      </c>
      <c r="CF171" s="2">
        <f t="shared" si="40"/>
        <v>-3020.2840823107385</v>
      </c>
      <c r="CG171" s="2"/>
      <c r="CH171" s="2">
        <f t="shared" si="41"/>
        <v>-3020.2840823107385</v>
      </c>
      <c r="CI171" s="45">
        <f>-CH171*'Batt IN'!$E$7</f>
        <v>634.25965728525512</v>
      </c>
      <c r="CJ171" s="48"/>
      <c r="CK171" s="45">
        <f>IF('Batt IN'!$F$4="PV Only",0,IF(C171&gt;'Batt IN'!$H$43*12,0,CC171+CI171))</f>
        <v>0</v>
      </c>
      <c r="CM171" s="10">
        <f t="shared" si="42"/>
        <v>0</v>
      </c>
      <c r="CN171" s="2">
        <f>CK171/(1+('Batt IN'!$G$8))^(C171)</f>
        <v>0</v>
      </c>
      <c r="CO171" s="2">
        <f>IF(C171&lt;='Batt IN'!$O$30*12,CN171+CO170,NA())</f>
        <v>0</v>
      </c>
      <c r="CQ171" s="2">
        <f>CK171/((1+('Batt IN'!$E$8/12))^BattCalcs!C171)</f>
        <v>0</v>
      </c>
      <c r="CS171" s="10">
        <f t="shared" si="43"/>
        <v>-3020.2840823107385</v>
      </c>
      <c r="CT171" s="10">
        <f t="shared" si="44"/>
        <v>0</v>
      </c>
      <c r="CU171" s="10">
        <f t="shared" si="45"/>
        <v>-3020.2840823107385</v>
      </c>
      <c r="CV171" s="10">
        <f t="shared" si="46"/>
        <v>-3020.2840823107385</v>
      </c>
      <c r="CW171" s="2">
        <f t="shared" si="47"/>
        <v>0</v>
      </c>
      <c r="CX171" s="2">
        <f>-(SUM(CV171:CW171)*'PV IN'!$E$8)</f>
        <v>634.25965728525512</v>
      </c>
      <c r="CY171" s="2">
        <f t="shared" si="48"/>
        <v>-2386.0244250254837</v>
      </c>
      <c r="CZ171" s="2">
        <f>IF(C171&lt;='Batt IN'!$H$43*12,CY171/(1+('PV IN'!$G$9))^(C171),0)</f>
        <v>-1210.0142169366588</v>
      </c>
      <c r="DA171" s="33">
        <f>IF(C171&lt;='Batt IN'!$H$43*12,AE171,0)</f>
        <v>30366.783333333333</v>
      </c>
    </row>
    <row r="172" spans="1:105" x14ac:dyDescent="0.25">
      <c r="A172">
        <f>IF(C172&lt;='Batt IN'!$H$43*12,C172,"")</f>
        <v>168</v>
      </c>
      <c r="B172">
        <v>14</v>
      </c>
      <c r="C172">
        <v>168</v>
      </c>
      <c r="D172" s="21">
        <v>730</v>
      </c>
      <c r="E172" s="1">
        <f>1-'Batt IN'!$E$31</f>
        <v>2.0000000000000018E-2</v>
      </c>
      <c r="F172" s="12">
        <f>('Batt IN'!$E$33*365)/8760</f>
        <v>0</v>
      </c>
      <c r="G172" s="22">
        <f>'Batt IN'!$E$32/8760</f>
        <v>5.7077625570776253E-3</v>
      </c>
      <c r="H172" s="22">
        <f>'Batt IN'!$E$13/8760</f>
        <v>5.5936073059360729E-3</v>
      </c>
      <c r="I172" s="23">
        <f>IF(C172&lt;='Batt IN'!$G$14*12,'Batt IN'!$E$15/8760*'Batt IN'!$G$15,0)</f>
        <v>0</v>
      </c>
      <c r="J172" s="12">
        <f>Z172/'Batt IN'!$E$27/730</f>
        <v>2.4999999999999996E-3</v>
      </c>
      <c r="K172" s="23">
        <f>AA172/'Batt IN'!$E$27/730</f>
        <v>1.6027397260273972E-3</v>
      </c>
      <c r="L172" s="23">
        <f>AB172/'Batt IN'!$E$27/730</f>
        <v>2.0547945205479451E-4</v>
      </c>
      <c r="M172" s="23">
        <f>AC172/'Batt IN'!$E$27/730</f>
        <v>4.7945205479452057E-3</v>
      </c>
      <c r="N172" s="23">
        <f>AD172/'Batt IN'!$E$27/730</f>
        <v>3.4246575342465752E-3</v>
      </c>
      <c r="O172" s="12">
        <f t="shared" si="36"/>
        <v>4.3828767123287697E-2</v>
      </c>
      <c r="P172" s="21">
        <f t="shared" si="37"/>
        <v>698.005</v>
      </c>
      <c r="Q172" s="2">
        <f>IF('Batt IN'!$E$27*'Batt IN'!$E$24&lt;='Batt IN'!$E$28,(('Batt IN'!$E$23*'Batt IN'!$E$27*'Batt IN'!$E$24)/1000)*P172,(('Batt IN'!$E$23*'Batt IN'!$E$28*'Batt IN'!$E$24)/1000)*P172)</f>
        <v>11168.08</v>
      </c>
      <c r="R172" s="2"/>
      <c r="S172" s="77">
        <f>IF(C172&lt;='Batt IN'!$G$14*12,'Batt IN'!$E$15/12,0)</f>
        <v>0</v>
      </c>
      <c r="T172" s="77"/>
      <c r="U172" s="80">
        <f>'Batt IN'!$E$28*('Batt IN'!$G$24/24)*730*(1-O172)</f>
        <v>81433.916666666657</v>
      </c>
      <c r="V172" s="78">
        <f>U172*'Batt IN'!$F$30</f>
        <v>16286.783333333333</v>
      </c>
      <c r="W172" s="78">
        <f>'Batt IN'!$E$28*'Batt IN'!$G$32*('Batt IN'!$E$32/12)*(1+'Batt IN'!$F$30)</f>
        <v>1750.0000000000002</v>
      </c>
      <c r="X172" s="78">
        <f>'Batt IN'!$E$28*'Batt IN'!$G$13*('Batt IN'!$E$13/12)*(1+'Batt IN'!$F$30)</f>
        <v>3184.9999999999995</v>
      </c>
      <c r="Y172" s="33">
        <f>S172*'Batt IN'!$G$15*'Batt IN'!$E$28*(1+'Batt IN'!$F$30)</f>
        <v>0</v>
      </c>
      <c r="Z172" s="33">
        <f>'Batt IN'!$G$16*365/12*(1+'Batt IN'!$F$30)</f>
        <v>1824.9999999999998</v>
      </c>
      <c r="AA172" s="33">
        <f>'Batt IN'!$G$17*'Batt IN'!$E$18*'Batt IN'!$G$18/12*(1+'Batt IN'!$F$30)</f>
        <v>1170</v>
      </c>
      <c r="AB172" s="33">
        <f>'Batt IN'!$G$19*'Batt IN'!$E$20*'Batt IN'!$G$20/12*(1+'Batt IN'!$F$30)</f>
        <v>150</v>
      </c>
      <c r="AC172" s="33">
        <f>'Batt IN'!$G$21*(1+'Batt IN'!$F$30)/12</f>
        <v>3500</v>
      </c>
      <c r="AD172" s="33">
        <f>'Batt IN'!$G$22*(1+'Batt IN'!$F$30)/12</f>
        <v>2500</v>
      </c>
      <c r="AE172" s="33">
        <f t="shared" si="49"/>
        <v>30366.783333333333</v>
      </c>
      <c r="AF172" s="33">
        <f>IF('PV IN'!$F$4="Battery Only",0,AE172*'Batt IN'!$E$29)</f>
        <v>25811.765833333331</v>
      </c>
      <c r="AG172" s="33">
        <f>PVCalcs!L172</f>
        <v>25811.765833333331</v>
      </c>
      <c r="AH172" s="33">
        <f t="shared" si="50"/>
        <v>4555.0175000000017</v>
      </c>
      <c r="AI172" s="33"/>
      <c r="AJ172" s="2">
        <f>IF(AND('Batt IN'!$D$53="Yes",$AL$1&gt;=1),IF($C172='Batt IN'!$H$54*12,-'Batt IN'!$F$54,0),0)</f>
        <v>0</v>
      </c>
      <c r="AK172" s="2">
        <f>IF(AND('Batt IN'!$D$53="Yes",$AL$1&gt;=2),IF($C172='Batt IN'!$H$55*12,-'Batt IN'!$F$55,0),0)</f>
        <v>0</v>
      </c>
      <c r="AL172" s="2">
        <f>IF(AND('Batt IN'!$D$53="Yes",$AL$1&gt;=3),IF($C172='Batt IN'!$H$56*12,-'Batt IN'!$F$56,0),0)</f>
        <v>0</v>
      </c>
      <c r="AM172" s="2">
        <f>IF(AND('Batt IN'!$D$53="Yes",$AL$1&gt;=4),IF($C172='Batt IN'!$H$57*12,-'Batt IN'!$F$57,0),0)</f>
        <v>0</v>
      </c>
      <c r="AN172" s="2">
        <f>IF(AND('Batt IN'!$D$53="Yes",$AL$1&gt;=5),IF($C172='Batt IN'!$H$58*12,-'Batt IN'!$F$58,0),0)</f>
        <v>0</v>
      </c>
      <c r="AO172" s="10">
        <f>IF(AND('Batt IN'!$D$44="YES",$C172&lt;='Batt IN'!$E$44*12),-'Batt IN'!$E$28*'Batt IN'!$E$42/12,0)</f>
        <v>0</v>
      </c>
      <c r="AP172" s="10">
        <f>IF(AND('Batt IN'!$D$46="YES",$C172&lt;='Batt IN'!$E$46*12),-'Batt IN'!$E$28*'Batt IN'!$E$45/12,0)</f>
        <v>0</v>
      </c>
      <c r="AR172" s="10">
        <f>BattLoan!M199</f>
        <v>0</v>
      </c>
      <c r="AS172" s="10">
        <f>'Batt IN'!$G$16*365/12*'Batt IN'!$E$16</f>
        <v>76.041666666666671</v>
      </c>
      <c r="AT172" s="10">
        <f>IF(AND('Batt IN'!$E$18&gt;0,'Batt IN'!$G$18&gt;0),'Batt IN'!$E$17*'Batt IN'!$G$17,0)</f>
        <v>119.44619999999999</v>
      </c>
      <c r="AU172" s="10">
        <f>IF(AND('Batt IN'!$E$20&gt;0,'Batt IN'!$G$20&gt;0),'Batt IN'!$E$19*'Batt IN'!$G$19,0)</f>
        <v>231</v>
      </c>
      <c r="AV172" s="10"/>
      <c r="AW172" s="10"/>
      <c r="AX172" s="10">
        <f>IF('Batt IN'!$E$11="Non-Taxable",Q172,0)</f>
        <v>11168.08</v>
      </c>
      <c r="AY172" s="10">
        <f>IF('Batt IN'!$E$11="Non-Taxable",'Batt IN'!$E$28/1000*'Batt IN'!$G$13*('Batt IN'!$E$13/12)*'Batt IN'!$E$12,0)</f>
        <v>244.42220833333334</v>
      </c>
      <c r="AZ172" s="10">
        <f>IF('Batt IN'!$E$11="Non-Taxable",$S172*'Batt IN'!$G$15*'Batt IN'!$E$28*'Batt IN'!$E$14/1000,0)</f>
        <v>0</v>
      </c>
      <c r="BA172" s="10">
        <f>IF('Batt IN'!$E$11="Non-Taxable",'Batt IN'!$E$21*'Batt IN'!$G$21/12,0)</f>
        <v>437.5</v>
      </c>
      <c r="BB172" s="10">
        <f>IF('Batt IN'!$E$11="Non-Taxable",'Batt IN'!$E$22*'Batt IN'!$G$22/12,0)</f>
        <v>1145.8333333333335</v>
      </c>
      <c r="BC172" s="10">
        <f>IF('Batt IN'!$E$11="Taxable",Q172,0)</f>
        <v>0</v>
      </c>
      <c r="BD172" s="10">
        <f>IF('Batt IN'!$E$11="Taxable",'Batt IN'!$E$28/1000*'Batt IN'!$G$13*('Batt IN'!$E$13/12)*'Batt IN'!$E$12,0)</f>
        <v>0</v>
      </c>
      <c r="BE172" s="10">
        <f>IF('Batt IN'!$E$11="Taxable",$S172*'Batt IN'!$G$15*'Batt IN'!$E$28*'Batt IN'!$E$14/1000,0)</f>
        <v>0</v>
      </c>
      <c r="BF172" s="10">
        <f>IF('Batt IN'!$E$11="Taxable",'Batt IN'!$E$21*'Batt IN'!$G$21/12,0)</f>
        <v>0</v>
      </c>
      <c r="BG172" s="10">
        <f>IF('Batt IN'!$E$11="Taxable",'Batt IN'!$E$22*'Batt IN'!$G$22/12,0)</f>
        <v>0</v>
      </c>
      <c r="BK172" s="10">
        <f>IF('Batt IN'!$N$18="Yes",-BattLoan!H200,-BattLoan!L200)</f>
        <v>0</v>
      </c>
      <c r="BL172" s="10">
        <f>IF('Batt IN'!$N$18="Yes",-BattLoan!F200,0)</f>
        <v>0</v>
      </c>
      <c r="BM172" s="10">
        <f>IF(AND('Batt IN'!$D$44="YES",$C172&lt;='Batt IN'!$E$44*12),0,-'Batt IN'!$E$28*'Batt IN'!$E$42/12)</f>
        <v>-83.333333333333329</v>
      </c>
      <c r="BN172" s="10">
        <f>IF(AND('Batt IN'!$D$46="YES",$C172&lt;='Batt IN'!$E$46*12),0,-'Batt IN'!$E$28*'Batt IN'!$E$45/12)</f>
        <v>-166.66666666666666</v>
      </c>
      <c r="BO172" s="2">
        <f>IF(AND('Batt IN'!$D$41="YES",BattCalcs!C172=ROUNDUP('Batt IN'!$H$41*12,)),-'Batt IN'!$E$41*'Batt IN'!$E$28,0)</f>
        <v>0</v>
      </c>
      <c r="BP172" s="2">
        <f>IF(AND('Batt IN'!$D$53="Yes",$AL$1&gt;=1),0,IF($C172='Batt IN'!$H$54*12,-'Batt IN'!$F$54,0))</f>
        <v>0</v>
      </c>
      <c r="BQ172" s="2">
        <f>IF(AND('Batt IN'!$D$53="Yes",$AL$1&gt;=2),0,IF($C172='Batt IN'!$H$55*12,-'Batt IN'!$F$55,0))</f>
        <v>0</v>
      </c>
      <c r="BR172" s="2">
        <f>IF(AND('Batt IN'!$D$53="Yes",$AL$1&gt;=3),0,IF($C172='Batt IN'!$H$56*12,-'Batt IN'!$F$56,0))</f>
        <v>0</v>
      </c>
      <c r="BS172" s="2">
        <f>IF(AND('Batt IN'!$D$53="Yes",$AL$1&gt;=4),0,IF($C172='Batt IN'!$H$57*12,-'Batt IN'!$F$57,0))</f>
        <v>0</v>
      </c>
      <c r="BT172" s="2">
        <f>IF(AND('Batt IN'!$D$53="Yes",$AL$1&gt;=5),0,IF($C172='Batt IN'!$H$58*12,-'Batt IN'!$F$58,0))</f>
        <v>0</v>
      </c>
      <c r="BU172" s="2">
        <f>-AH172*PVCalcs!F172</f>
        <v>-370.28408231073848</v>
      </c>
      <c r="BV172" s="2">
        <f>-'Batt IN'!$E$47</f>
        <v>-150</v>
      </c>
      <c r="BW172" s="2">
        <f>-'Batt IN'!$E$49</f>
        <v>-2250</v>
      </c>
      <c r="BX172" s="2">
        <f>IF('Batt IN'!$H$50="No",-(BC172*'Batt IN'!$E$50),-(BC172+BE172)*'Batt IN'!$E$50)</f>
        <v>0</v>
      </c>
      <c r="BY172" s="2">
        <f>IF(C172='Batt IN'!$H$43*12,-'Batt IN'!$E$43,0)</f>
        <v>0</v>
      </c>
      <c r="BZ172" s="38"/>
      <c r="CA172" s="10">
        <f t="shared" si="34"/>
        <v>13422.323408333334</v>
      </c>
      <c r="CB172" s="2">
        <f t="shared" si="38"/>
        <v>-3020.2840823107385</v>
      </c>
      <c r="CC172" s="45">
        <f t="shared" si="39"/>
        <v>10402.039326022596</v>
      </c>
      <c r="CD172" s="43"/>
      <c r="CE172" s="2">
        <f t="shared" si="35"/>
        <v>0</v>
      </c>
      <c r="CF172" s="2">
        <f t="shared" si="40"/>
        <v>-3020.2840823107385</v>
      </c>
      <c r="CG172" s="2"/>
      <c r="CH172" s="2">
        <f t="shared" si="41"/>
        <v>-3020.2840823107385</v>
      </c>
      <c r="CI172" s="45">
        <f>-CH172*'Batt IN'!$E$7</f>
        <v>634.25965728525512</v>
      </c>
      <c r="CJ172" s="48"/>
      <c r="CK172" s="45">
        <f>IF('Batt IN'!$F$4="PV Only",0,IF(C172&gt;'Batt IN'!$H$43*12,0,CC172+CI172))</f>
        <v>0</v>
      </c>
      <c r="CM172" s="10">
        <f t="shared" si="42"/>
        <v>0</v>
      </c>
      <c r="CN172" s="2">
        <f>CK172/(1+('Batt IN'!$G$8))^(C172)</f>
        <v>0</v>
      </c>
      <c r="CO172" s="2">
        <f>IF(C172&lt;='Batt IN'!$O$30*12,CN172+CO171,NA())</f>
        <v>0</v>
      </c>
      <c r="CQ172" s="2">
        <f>CK172/((1+('Batt IN'!$E$8/12))^BattCalcs!C172)</f>
        <v>0</v>
      </c>
      <c r="CS172" s="10">
        <f t="shared" si="43"/>
        <v>-3020.2840823107385</v>
      </c>
      <c r="CT172" s="10">
        <f t="shared" si="44"/>
        <v>0</v>
      </c>
      <c r="CU172" s="10">
        <f t="shared" si="45"/>
        <v>-3020.2840823107385</v>
      </c>
      <c r="CV172" s="10">
        <f t="shared" si="46"/>
        <v>-3020.2840823107385</v>
      </c>
      <c r="CW172" s="2">
        <f t="shared" si="47"/>
        <v>0</v>
      </c>
      <c r="CX172" s="2">
        <f>-(SUM(CV172:CW172)*'PV IN'!$E$8)</f>
        <v>634.25965728525512</v>
      </c>
      <c r="CY172" s="2">
        <f t="shared" si="48"/>
        <v>-2386.0244250254837</v>
      </c>
      <c r="CZ172" s="2">
        <f>IF(C172&lt;='Batt IN'!$H$43*12,CY172/(1+('PV IN'!$G$9))^(C172),0)</f>
        <v>-1205.1044721449121</v>
      </c>
      <c r="DA172" s="33">
        <f>IF(C172&lt;='Batt IN'!$H$43*12,AE172,0)</f>
        <v>30366.783333333333</v>
      </c>
    </row>
    <row r="173" spans="1:105" x14ac:dyDescent="0.25">
      <c r="A173">
        <f>IF(C173&lt;='Batt IN'!$H$43*12,C173,"")</f>
        <v>169</v>
      </c>
      <c r="C173">
        <v>169</v>
      </c>
      <c r="D173" s="21">
        <v>730</v>
      </c>
      <c r="E173" s="1">
        <f>1-'Batt IN'!$E$31</f>
        <v>2.0000000000000018E-2</v>
      </c>
      <c r="F173" s="12">
        <f>('Batt IN'!$E$33*365)/8760</f>
        <v>0</v>
      </c>
      <c r="G173" s="22">
        <f>'Batt IN'!$E$32/8760</f>
        <v>5.7077625570776253E-3</v>
      </c>
      <c r="H173" s="22">
        <f>'Batt IN'!$E$13/8760</f>
        <v>5.5936073059360729E-3</v>
      </c>
      <c r="I173" s="23">
        <f>IF(C173&lt;='Batt IN'!$G$14*12,'Batt IN'!$E$15/8760*'Batt IN'!$G$15,0)</f>
        <v>0</v>
      </c>
      <c r="J173" s="12">
        <f>Z173/'Batt IN'!$E$27/730</f>
        <v>2.4999999999999996E-3</v>
      </c>
      <c r="K173" s="23">
        <f>AA173/'Batt IN'!$E$27/730</f>
        <v>1.6027397260273972E-3</v>
      </c>
      <c r="L173" s="23">
        <f>AB173/'Batt IN'!$E$27/730</f>
        <v>2.0547945205479451E-4</v>
      </c>
      <c r="M173" s="23">
        <f>AC173/'Batt IN'!$E$27/730</f>
        <v>4.7945205479452057E-3</v>
      </c>
      <c r="N173" s="23">
        <f>AD173/'Batt IN'!$E$27/730</f>
        <v>3.4246575342465752E-3</v>
      </c>
      <c r="O173" s="12">
        <f t="shared" si="36"/>
        <v>4.3828767123287697E-2</v>
      </c>
      <c r="P173" s="21">
        <f t="shared" si="37"/>
        <v>698.005</v>
      </c>
      <c r="Q173" s="2">
        <f>IF('Batt IN'!$E$27*'Batt IN'!$E$24&lt;='Batt IN'!$E$28,(('Batt IN'!$E$23*'Batt IN'!$E$27*'Batt IN'!$E$24)/1000)*P173,(('Batt IN'!$E$23*'Batt IN'!$E$28*'Batt IN'!$E$24)/1000)*P173)</f>
        <v>11168.08</v>
      </c>
      <c r="R173" s="2"/>
      <c r="S173" s="77">
        <f>IF(C173&lt;='Batt IN'!$G$14*12,'Batt IN'!$E$15/12,0)</f>
        <v>0</v>
      </c>
      <c r="T173" s="77"/>
      <c r="U173" s="80">
        <f>'Batt IN'!$E$28*('Batt IN'!$G$24/24)*730*(1-O173)</f>
        <v>81433.916666666657</v>
      </c>
      <c r="V173" s="78">
        <f>U173*'Batt IN'!$F$30</f>
        <v>16286.783333333333</v>
      </c>
      <c r="W173" s="78">
        <f>'Batt IN'!$E$28*'Batt IN'!$G$32*('Batt IN'!$E$32/12)*(1+'Batt IN'!$F$30)</f>
        <v>1750.0000000000002</v>
      </c>
      <c r="X173" s="78">
        <f>'Batt IN'!$E$28*'Batt IN'!$G$13*('Batt IN'!$E$13/12)*(1+'Batt IN'!$F$30)</f>
        <v>3184.9999999999995</v>
      </c>
      <c r="Y173" s="33">
        <f>S173*'Batt IN'!$G$15*'Batt IN'!$E$28*(1+'Batt IN'!$F$30)</f>
        <v>0</v>
      </c>
      <c r="Z173" s="33">
        <f>'Batt IN'!$G$16*365/12*(1+'Batt IN'!$F$30)</f>
        <v>1824.9999999999998</v>
      </c>
      <c r="AA173" s="33">
        <f>'Batt IN'!$G$17*'Batt IN'!$E$18*'Batt IN'!$G$18/12*(1+'Batt IN'!$F$30)</f>
        <v>1170</v>
      </c>
      <c r="AB173" s="33">
        <f>'Batt IN'!$G$19*'Batt IN'!$E$20*'Batt IN'!$G$20/12*(1+'Batt IN'!$F$30)</f>
        <v>150</v>
      </c>
      <c r="AC173" s="33">
        <f>'Batt IN'!$G$21*(1+'Batt IN'!$F$30)/12</f>
        <v>3500</v>
      </c>
      <c r="AD173" s="33">
        <f>'Batt IN'!$G$22*(1+'Batt IN'!$F$30)/12</f>
        <v>2500</v>
      </c>
      <c r="AE173" s="33">
        <f t="shared" si="49"/>
        <v>30366.783333333333</v>
      </c>
      <c r="AF173" s="33">
        <f>IF('PV IN'!$F$4="Battery Only",0,AE173*'Batt IN'!$E$29)</f>
        <v>25811.765833333331</v>
      </c>
      <c r="AG173" s="33">
        <f>PVCalcs!L173</f>
        <v>25811.765833333331</v>
      </c>
      <c r="AH173" s="33">
        <f t="shared" si="50"/>
        <v>4555.0175000000017</v>
      </c>
      <c r="AI173" s="33"/>
      <c r="AJ173" s="2">
        <f>IF(AND('Batt IN'!$D$53="Yes",$AL$1&gt;=1),IF($C173='Batt IN'!$H$54*12,-'Batt IN'!$F$54,0),0)</f>
        <v>0</v>
      </c>
      <c r="AK173" s="2">
        <f>IF(AND('Batt IN'!$D$53="Yes",$AL$1&gt;=2),IF($C173='Batt IN'!$H$55*12,-'Batt IN'!$F$55,0),0)</f>
        <v>0</v>
      </c>
      <c r="AL173" s="2">
        <f>IF(AND('Batt IN'!$D$53="Yes",$AL$1&gt;=3),IF($C173='Batt IN'!$H$56*12,-'Batt IN'!$F$56,0),0)</f>
        <v>0</v>
      </c>
      <c r="AM173" s="2">
        <f>IF(AND('Batt IN'!$D$53="Yes",$AL$1&gt;=4),IF($C173='Batt IN'!$H$57*12,-'Batt IN'!$F$57,0),0)</f>
        <v>0</v>
      </c>
      <c r="AN173" s="2">
        <f>IF(AND('Batt IN'!$D$53="Yes",$AL$1&gt;=5),IF($C173='Batt IN'!$H$58*12,-'Batt IN'!$F$58,0),0)</f>
        <v>0</v>
      </c>
      <c r="AO173" s="10">
        <f>IF(AND('Batt IN'!$D$44="YES",$C173&lt;='Batt IN'!$E$44*12),-'Batt IN'!$E$28*'Batt IN'!$E$42/12,0)</f>
        <v>0</v>
      </c>
      <c r="AP173" s="10">
        <f>IF(AND('Batt IN'!$D$46="YES",$C173&lt;='Batt IN'!$E$46*12),-'Batt IN'!$E$28*'Batt IN'!$E$45/12,0)</f>
        <v>0</v>
      </c>
      <c r="AR173" s="10">
        <f>BattLoan!M200</f>
        <v>0</v>
      </c>
      <c r="AS173" s="10">
        <f>'Batt IN'!$G$16*365/12*'Batt IN'!$E$16</f>
        <v>76.041666666666671</v>
      </c>
      <c r="AT173" s="10">
        <f>IF(AND('Batt IN'!$E$18&gt;0,'Batt IN'!$G$18&gt;0),'Batt IN'!$E$17*'Batt IN'!$G$17,0)</f>
        <v>119.44619999999999</v>
      </c>
      <c r="AU173" s="10">
        <f>IF(AND('Batt IN'!$E$20&gt;0,'Batt IN'!$G$20&gt;0),'Batt IN'!$E$19*'Batt IN'!$G$19,0)</f>
        <v>231</v>
      </c>
      <c r="AV173" s="10"/>
      <c r="AW173" s="10"/>
      <c r="AX173" s="10">
        <f>IF('Batt IN'!$E$11="Non-Taxable",Q173,0)</f>
        <v>11168.08</v>
      </c>
      <c r="AY173" s="10">
        <f>IF('Batt IN'!$E$11="Non-Taxable",'Batt IN'!$E$28/1000*'Batt IN'!$G$13*('Batt IN'!$E$13/12)*'Batt IN'!$E$12,0)</f>
        <v>244.42220833333334</v>
      </c>
      <c r="AZ173" s="10">
        <f>IF('Batt IN'!$E$11="Non-Taxable",$S173*'Batt IN'!$G$15*'Batt IN'!$E$28*'Batt IN'!$E$14/1000,0)</f>
        <v>0</v>
      </c>
      <c r="BA173" s="10">
        <f>IF('Batt IN'!$E$11="Non-Taxable",'Batt IN'!$E$21*'Batt IN'!$G$21/12,0)</f>
        <v>437.5</v>
      </c>
      <c r="BB173" s="10">
        <f>IF('Batt IN'!$E$11="Non-Taxable",'Batt IN'!$E$22*'Batt IN'!$G$22/12,0)</f>
        <v>1145.8333333333335</v>
      </c>
      <c r="BC173" s="10">
        <f>IF('Batt IN'!$E$11="Taxable",Q173,0)</f>
        <v>0</v>
      </c>
      <c r="BD173" s="10">
        <f>IF('Batt IN'!$E$11="Taxable",'Batt IN'!$E$28/1000*'Batt IN'!$G$13*('Batt IN'!$E$13/12)*'Batt IN'!$E$12,0)</f>
        <v>0</v>
      </c>
      <c r="BE173" s="10">
        <f>IF('Batt IN'!$E$11="Taxable",$S173*'Batt IN'!$G$15*'Batt IN'!$E$28*'Batt IN'!$E$14/1000,0)</f>
        <v>0</v>
      </c>
      <c r="BF173" s="10">
        <f>IF('Batt IN'!$E$11="Taxable",'Batt IN'!$E$21*'Batt IN'!$G$21/12,0)</f>
        <v>0</v>
      </c>
      <c r="BG173" s="10">
        <f>IF('Batt IN'!$E$11="Taxable",'Batt IN'!$E$22*'Batt IN'!$G$22/12,0)</f>
        <v>0</v>
      </c>
      <c r="BK173" s="10">
        <f>IF('Batt IN'!$N$18="Yes",-BattLoan!H201,-BattLoan!L201)</f>
        <v>0</v>
      </c>
      <c r="BL173" s="10">
        <f>IF('Batt IN'!$N$18="Yes",-BattLoan!F201,0)</f>
        <v>0</v>
      </c>
      <c r="BM173" s="10">
        <f>IF(AND('Batt IN'!$D$44="YES",$C173&lt;='Batt IN'!$E$44*12),0,-'Batt IN'!$E$28*'Batt IN'!$E$42/12)</f>
        <v>-83.333333333333329</v>
      </c>
      <c r="BN173" s="10">
        <f>IF(AND('Batt IN'!$D$46="YES",$C173&lt;='Batt IN'!$E$46*12),0,-'Batt IN'!$E$28*'Batt IN'!$E$45/12)</f>
        <v>-166.66666666666666</v>
      </c>
      <c r="BO173" s="2">
        <f>IF(AND('Batt IN'!$D$41="YES",BattCalcs!C173=ROUNDUP('Batt IN'!$H$41*12,)),-'Batt IN'!$E$41*'Batt IN'!$E$28,0)</f>
        <v>0</v>
      </c>
      <c r="BP173" s="2">
        <f>IF(AND('Batt IN'!$D$53="Yes",$AL$1&gt;=1),0,IF($C173='Batt IN'!$H$54*12,-'Batt IN'!$F$54,0))</f>
        <v>0</v>
      </c>
      <c r="BQ173" s="2">
        <f>IF(AND('Batt IN'!$D$53="Yes",$AL$1&gt;=2),0,IF($C173='Batt IN'!$H$55*12,-'Batt IN'!$F$55,0))</f>
        <v>0</v>
      </c>
      <c r="BR173" s="2">
        <f>IF(AND('Batt IN'!$D$53="Yes",$AL$1&gt;=3),0,IF($C173='Batt IN'!$H$56*12,-'Batt IN'!$F$56,0))</f>
        <v>0</v>
      </c>
      <c r="BS173" s="2">
        <f>IF(AND('Batt IN'!$D$53="Yes",$AL$1&gt;=4),0,IF($C173='Batt IN'!$H$57*12,-'Batt IN'!$F$57,0))</f>
        <v>0</v>
      </c>
      <c r="BT173" s="2">
        <f>IF(AND('Batt IN'!$D$53="Yes",$AL$1&gt;=5),0,IF($C173='Batt IN'!$H$58*12,-'Batt IN'!$F$58,0))</f>
        <v>0</v>
      </c>
      <c r="BU173" s="2">
        <f>-AH173*PVCalcs!F173</f>
        <v>-371.28550130835811</v>
      </c>
      <c r="BV173" s="2">
        <f>-'Batt IN'!$E$47</f>
        <v>-150</v>
      </c>
      <c r="BW173" s="2">
        <f>-'Batt IN'!$E$49</f>
        <v>-2250</v>
      </c>
      <c r="BX173" s="2">
        <f>IF('Batt IN'!$H$50="No",-(BC173*'Batt IN'!$E$50),-(BC173+BE173)*'Batt IN'!$E$50)</f>
        <v>0</v>
      </c>
      <c r="BY173" s="2">
        <f>IF(C173='Batt IN'!$H$43*12,-'Batt IN'!$E$43,0)</f>
        <v>0</v>
      </c>
      <c r="BZ173" s="38"/>
      <c r="CA173" s="10">
        <f t="shared" si="34"/>
        <v>13422.323408333334</v>
      </c>
      <c r="CB173" s="2">
        <f t="shared" si="38"/>
        <v>-3021.2855013083581</v>
      </c>
      <c r="CC173" s="45">
        <f t="shared" si="39"/>
        <v>10401.037907024976</v>
      </c>
      <c r="CD173" s="43"/>
      <c r="CE173" s="2">
        <f t="shared" si="35"/>
        <v>0</v>
      </c>
      <c r="CF173" s="2">
        <f t="shared" si="40"/>
        <v>-3021.2855013083581</v>
      </c>
      <c r="CG173" s="2"/>
      <c r="CH173" s="2">
        <f t="shared" si="41"/>
        <v>-3021.2855013083581</v>
      </c>
      <c r="CI173" s="45">
        <f>-CH173*'Batt IN'!$E$7</f>
        <v>634.46995527475519</v>
      </c>
      <c r="CJ173" s="48"/>
      <c r="CK173" s="45">
        <f>IF('Batt IN'!$F$4="PV Only",0,IF(C173&gt;'Batt IN'!$H$43*12,0,CC173+CI173))</f>
        <v>0</v>
      </c>
      <c r="CM173" s="10">
        <f t="shared" si="42"/>
        <v>0</v>
      </c>
      <c r="CN173" s="2">
        <f>CK173/(1+('Batt IN'!$G$8))^(C173)</f>
        <v>0</v>
      </c>
      <c r="CO173" s="2">
        <f>IF(C173&lt;='Batt IN'!$O$30*12,CN173+CO172,NA())</f>
        <v>0</v>
      </c>
      <c r="CQ173" s="2">
        <f>CK173/((1+('Batt IN'!$E$8/12))^BattCalcs!C173)</f>
        <v>0</v>
      </c>
      <c r="CS173" s="10">
        <f t="shared" si="43"/>
        <v>-3021.2855013083581</v>
      </c>
      <c r="CT173" s="10">
        <f t="shared" si="44"/>
        <v>0</v>
      </c>
      <c r="CU173" s="10">
        <f t="shared" si="45"/>
        <v>-3021.2855013083581</v>
      </c>
      <c r="CV173" s="10">
        <f t="shared" si="46"/>
        <v>-3021.2855013083581</v>
      </c>
      <c r="CW173" s="2">
        <f t="shared" si="47"/>
        <v>0</v>
      </c>
      <c r="CX173" s="2">
        <f>-(SUM(CV173:CW173)*'PV IN'!$E$8)</f>
        <v>634.46995527475519</v>
      </c>
      <c r="CY173" s="2">
        <f t="shared" si="48"/>
        <v>-2386.8155460336029</v>
      </c>
      <c r="CZ173" s="2">
        <f>IF(C173&lt;='Batt IN'!$H$43*12,CY173/(1+('PV IN'!$G$9))^(C173),0)</f>
        <v>-1200.6125976739233</v>
      </c>
      <c r="DA173" s="33">
        <f>IF(C173&lt;='Batt IN'!$H$43*12,AE173,0)</f>
        <v>30366.783333333333</v>
      </c>
    </row>
    <row r="174" spans="1:105" x14ac:dyDescent="0.25">
      <c r="A174">
        <f>IF(C174&lt;='Batt IN'!$H$43*12,C174,"")</f>
        <v>170</v>
      </c>
      <c r="C174">
        <v>170</v>
      </c>
      <c r="D174" s="21">
        <v>730</v>
      </c>
      <c r="E174" s="1">
        <f>1-'Batt IN'!$E$31</f>
        <v>2.0000000000000018E-2</v>
      </c>
      <c r="F174" s="12">
        <f>('Batt IN'!$E$33*365)/8760</f>
        <v>0</v>
      </c>
      <c r="G174" s="22">
        <f>'Batt IN'!$E$32/8760</f>
        <v>5.7077625570776253E-3</v>
      </c>
      <c r="H174" s="22">
        <f>'Batt IN'!$E$13/8760</f>
        <v>5.5936073059360729E-3</v>
      </c>
      <c r="I174" s="23">
        <f>IF(C174&lt;='Batt IN'!$G$14*12,'Batt IN'!$E$15/8760*'Batt IN'!$G$15,0)</f>
        <v>0</v>
      </c>
      <c r="J174" s="12">
        <f>Z174/'Batt IN'!$E$27/730</f>
        <v>2.4999999999999996E-3</v>
      </c>
      <c r="K174" s="23">
        <f>AA174/'Batt IN'!$E$27/730</f>
        <v>1.6027397260273972E-3</v>
      </c>
      <c r="L174" s="23">
        <f>AB174/'Batt IN'!$E$27/730</f>
        <v>2.0547945205479451E-4</v>
      </c>
      <c r="M174" s="23">
        <f>AC174/'Batt IN'!$E$27/730</f>
        <v>4.7945205479452057E-3</v>
      </c>
      <c r="N174" s="23">
        <f>AD174/'Batt IN'!$E$27/730</f>
        <v>3.4246575342465752E-3</v>
      </c>
      <c r="O174" s="12">
        <f t="shared" si="36"/>
        <v>4.3828767123287697E-2</v>
      </c>
      <c r="P174" s="21">
        <f t="shared" si="37"/>
        <v>698.005</v>
      </c>
      <c r="Q174" s="2">
        <f>IF('Batt IN'!$E$27*'Batt IN'!$E$24&lt;='Batt IN'!$E$28,(('Batt IN'!$E$23*'Batt IN'!$E$27*'Batt IN'!$E$24)/1000)*P174,(('Batt IN'!$E$23*'Batt IN'!$E$28*'Batt IN'!$E$24)/1000)*P174)</f>
        <v>11168.08</v>
      </c>
      <c r="R174" s="2"/>
      <c r="S174" s="77">
        <f>IF(C174&lt;='Batt IN'!$G$14*12,'Batt IN'!$E$15/12,0)</f>
        <v>0</v>
      </c>
      <c r="T174" s="77"/>
      <c r="U174" s="80">
        <f>'Batt IN'!$E$28*('Batt IN'!$G$24/24)*730*(1-O174)</f>
        <v>81433.916666666657</v>
      </c>
      <c r="V174" s="78">
        <f>U174*'Batt IN'!$F$30</f>
        <v>16286.783333333333</v>
      </c>
      <c r="W174" s="78">
        <f>'Batt IN'!$E$28*'Batt IN'!$G$32*('Batt IN'!$E$32/12)*(1+'Batt IN'!$F$30)</f>
        <v>1750.0000000000002</v>
      </c>
      <c r="X174" s="78">
        <f>'Batt IN'!$E$28*'Batt IN'!$G$13*('Batt IN'!$E$13/12)*(1+'Batt IN'!$F$30)</f>
        <v>3184.9999999999995</v>
      </c>
      <c r="Y174" s="33">
        <f>S174*'Batt IN'!$G$15*'Batt IN'!$E$28*(1+'Batt IN'!$F$30)</f>
        <v>0</v>
      </c>
      <c r="Z174" s="33">
        <f>'Batt IN'!$G$16*365/12*(1+'Batt IN'!$F$30)</f>
        <v>1824.9999999999998</v>
      </c>
      <c r="AA174" s="33">
        <f>'Batt IN'!$G$17*'Batt IN'!$E$18*'Batt IN'!$G$18/12*(1+'Batt IN'!$F$30)</f>
        <v>1170</v>
      </c>
      <c r="AB174" s="33">
        <f>'Batt IN'!$G$19*'Batt IN'!$E$20*'Batt IN'!$G$20/12*(1+'Batt IN'!$F$30)</f>
        <v>150</v>
      </c>
      <c r="AC174" s="33">
        <f>'Batt IN'!$G$21*(1+'Batt IN'!$F$30)/12</f>
        <v>3500</v>
      </c>
      <c r="AD174" s="33">
        <f>'Batt IN'!$G$22*(1+'Batt IN'!$F$30)/12</f>
        <v>2500</v>
      </c>
      <c r="AE174" s="33">
        <f t="shared" si="49"/>
        <v>30366.783333333333</v>
      </c>
      <c r="AF174" s="33">
        <f>IF('PV IN'!$F$4="Battery Only",0,AE174*'Batt IN'!$E$29)</f>
        <v>25811.765833333331</v>
      </c>
      <c r="AG174" s="33">
        <f>PVCalcs!L174</f>
        <v>25811.765833333331</v>
      </c>
      <c r="AH174" s="33">
        <f t="shared" si="50"/>
        <v>4555.0175000000017</v>
      </c>
      <c r="AI174" s="33"/>
      <c r="AJ174" s="2">
        <f>IF(AND('Batt IN'!$D$53="Yes",$AL$1&gt;=1),IF($C174='Batt IN'!$H$54*12,-'Batt IN'!$F$54,0),0)</f>
        <v>0</v>
      </c>
      <c r="AK174" s="2">
        <f>IF(AND('Batt IN'!$D$53="Yes",$AL$1&gt;=2),IF($C174='Batt IN'!$H$55*12,-'Batt IN'!$F$55,0),0)</f>
        <v>0</v>
      </c>
      <c r="AL174" s="2">
        <f>IF(AND('Batt IN'!$D$53="Yes",$AL$1&gt;=3),IF($C174='Batt IN'!$H$56*12,-'Batt IN'!$F$56,0),0)</f>
        <v>0</v>
      </c>
      <c r="AM174" s="2">
        <f>IF(AND('Batt IN'!$D$53="Yes",$AL$1&gt;=4),IF($C174='Batt IN'!$H$57*12,-'Batt IN'!$F$57,0),0)</f>
        <v>0</v>
      </c>
      <c r="AN174" s="2">
        <f>IF(AND('Batt IN'!$D$53="Yes",$AL$1&gt;=5),IF($C174='Batt IN'!$H$58*12,-'Batt IN'!$F$58,0),0)</f>
        <v>0</v>
      </c>
      <c r="AO174" s="10">
        <f>IF(AND('Batt IN'!$D$44="YES",$C174&lt;='Batt IN'!$E$44*12),-'Batt IN'!$E$28*'Batt IN'!$E$42/12,0)</f>
        <v>0</v>
      </c>
      <c r="AP174" s="10">
        <f>IF(AND('Batt IN'!$D$46="YES",$C174&lt;='Batt IN'!$E$46*12),-'Batt IN'!$E$28*'Batt IN'!$E$45/12,0)</f>
        <v>0</v>
      </c>
      <c r="AR174" s="10">
        <f>BattLoan!M201</f>
        <v>0</v>
      </c>
      <c r="AS174" s="10">
        <f>'Batt IN'!$G$16*365/12*'Batt IN'!$E$16</f>
        <v>76.041666666666671</v>
      </c>
      <c r="AT174" s="10">
        <f>IF(AND('Batt IN'!$E$18&gt;0,'Batt IN'!$G$18&gt;0),'Batt IN'!$E$17*'Batt IN'!$G$17,0)</f>
        <v>119.44619999999999</v>
      </c>
      <c r="AU174" s="10">
        <f>IF(AND('Batt IN'!$E$20&gt;0,'Batt IN'!$G$20&gt;0),'Batt IN'!$E$19*'Batt IN'!$G$19,0)</f>
        <v>231</v>
      </c>
      <c r="AV174" s="10"/>
      <c r="AW174" s="10"/>
      <c r="AX174" s="10">
        <f>IF('Batt IN'!$E$11="Non-Taxable",Q174,0)</f>
        <v>11168.08</v>
      </c>
      <c r="AY174" s="10">
        <f>IF('Batt IN'!$E$11="Non-Taxable",'Batt IN'!$E$28/1000*'Batt IN'!$G$13*('Batt IN'!$E$13/12)*'Batt IN'!$E$12,0)</f>
        <v>244.42220833333334</v>
      </c>
      <c r="AZ174" s="10">
        <f>IF('Batt IN'!$E$11="Non-Taxable",$S174*'Batt IN'!$G$15*'Batt IN'!$E$28*'Batt IN'!$E$14/1000,0)</f>
        <v>0</v>
      </c>
      <c r="BA174" s="10">
        <f>IF('Batt IN'!$E$11="Non-Taxable",'Batt IN'!$E$21*'Batt IN'!$G$21/12,0)</f>
        <v>437.5</v>
      </c>
      <c r="BB174" s="10">
        <f>IF('Batt IN'!$E$11="Non-Taxable",'Batt IN'!$E$22*'Batt IN'!$G$22/12,0)</f>
        <v>1145.8333333333335</v>
      </c>
      <c r="BC174" s="10">
        <f>IF('Batt IN'!$E$11="Taxable",Q174,0)</f>
        <v>0</v>
      </c>
      <c r="BD174" s="10">
        <f>IF('Batt IN'!$E$11="Taxable",'Batt IN'!$E$28/1000*'Batt IN'!$G$13*('Batt IN'!$E$13/12)*'Batt IN'!$E$12,0)</f>
        <v>0</v>
      </c>
      <c r="BE174" s="10">
        <f>IF('Batt IN'!$E$11="Taxable",$S174*'Batt IN'!$G$15*'Batt IN'!$E$28*'Batt IN'!$E$14/1000,0)</f>
        <v>0</v>
      </c>
      <c r="BF174" s="10">
        <f>IF('Batt IN'!$E$11="Taxable",'Batt IN'!$E$21*'Batt IN'!$G$21/12,0)</f>
        <v>0</v>
      </c>
      <c r="BG174" s="10">
        <f>IF('Batt IN'!$E$11="Taxable",'Batt IN'!$E$22*'Batt IN'!$G$22/12,0)</f>
        <v>0</v>
      </c>
      <c r="BK174" s="10">
        <f>IF('Batt IN'!$N$18="Yes",-BattLoan!H202,-BattLoan!L202)</f>
        <v>0</v>
      </c>
      <c r="BL174" s="10">
        <f>IF('Batt IN'!$N$18="Yes",-BattLoan!F202,0)</f>
        <v>0</v>
      </c>
      <c r="BM174" s="10">
        <f>IF(AND('Batt IN'!$D$44="YES",$C174&lt;='Batt IN'!$E$44*12),0,-'Batt IN'!$E$28*'Batt IN'!$E$42/12)</f>
        <v>-83.333333333333329</v>
      </c>
      <c r="BN174" s="10">
        <f>IF(AND('Batt IN'!$D$46="YES",$C174&lt;='Batt IN'!$E$46*12),0,-'Batt IN'!$E$28*'Batt IN'!$E$45/12)</f>
        <v>-166.66666666666666</v>
      </c>
      <c r="BO174" s="2">
        <f>IF(AND('Batt IN'!$D$41="YES",BattCalcs!C174=ROUNDUP('Batt IN'!$H$41*12,)),-'Batt IN'!$E$41*'Batt IN'!$E$28,0)</f>
        <v>0</v>
      </c>
      <c r="BP174" s="2">
        <f>IF(AND('Batt IN'!$D$53="Yes",$AL$1&gt;=1),0,IF($C174='Batt IN'!$H$54*12,-'Batt IN'!$F$54,0))</f>
        <v>0</v>
      </c>
      <c r="BQ174" s="2">
        <f>IF(AND('Batt IN'!$D$53="Yes",$AL$1&gt;=2),0,IF($C174='Batt IN'!$H$55*12,-'Batt IN'!$F$55,0))</f>
        <v>0</v>
      </c>
      <c r="BR174" s="2">
        <f>IF(AND('Batt IN'!$D$53="Yes",$AL$1&gt;=3),0,IF($C174='Batt IN'!$H$56*12,-'Batt IN'!$F$56,0))</f>
        <v>0</v>
      </c>
      <c r="BS174" s="2">
        <f>IF(AND('Batt IN'!$D$53="Yes",$AL$1&gt;=4),0,IF($C174='Batt IN'!$H$57*12,-'Batt IN'!$F$57,0))</f>
        <v>0</v>
      </c>
      <c r="BT174" s="2">
        <f>IF(AND('Batt IN'!$D$53="Yes",$AL$1&gt;=5),0,IF($C174='Batt IN'!$H$58*12,-'Batt IN'!$F$58,0))</f>
        <v>0</v>
      </c>
      <c r="BU174" s="2">
        <f>-AH174*PVCalcs!F174</f>
        <v>-371.28550130835811</v>
      </c>
      <c r="BV174" s="2">
        <f>-'Batt IN'!$E$47</f>
        <v>-150</v>
      </c>
      <c r="BW174" s="2">
        <f>-'Batt IN'!$E$49</f>
        <v>-2250</v>
      </c>
      <c r="BX174" s="2">
        <f>IF('Batt IN'!$H$50="No",-(BC174*'Batt IN'!$E$50),-(BC174+BE174)*'Batt IN'!$E$50)</f>
        <v>0</v>
      </c>
      <c r="BY174" s="2">
        <f>IF(C174='Batt IN'!$H$43*12,-'Batt IN'!$E$43,0)</f>
        <v>0</v>
      </c>
      <c r="BZ174" s="38"/>
      <c r="CA174" s="10">
        <f t="shared" si="34"/>
        <v>13422.323408333334</v>
      </c>
      <c r="CB174" s="2">
        <f t="shared" si="38"/>
        <v>-3021.2855013083581</v>
      </c>
      <c r="CC174" s="45">
        <f t="shared" si="39"/>
        <v>10401.037907024976</v>
      </c>
      <c r="CD174" s="43"/>
      <c r="CE174" s="2">
        <f t="shared" si="35"/>
        <v>0</v>
      </c>
      <c r="CF174" s="2">
        <f t="shared" si="40"/>
        <v>-3021.2855013083581</v>
      </c>
      <c r="CG174" s="2"/>
      <c r="CH174" s="2">
        <f t="shared" si="41"/>
        <v>-3021.2855013083581</v>
      </c>
      <c r="CI174" s="45">
        <f>-CH174*'Batt IN'!$E$7</f>
        <v>634.46995527475519</v>
      </c>
      <c r="CJ174" s="48"/>
      <c r="CK174" s="45">
        <f>IF('Batt IN'!$F$4="PV Only",0,IF(C174&gt;'Batt IN'!$H$43*12,0,CC174+CI174))</f>
        <v>0</v>
      </c>
      <c r="CM174" s="10">
        <f t="shared" si="42"/>
        <v>0</v>
      </c>
      <c r="CN174" s="2">
        <f>CK174/(1+('Batt IN'!$G$8))^(C174)</f>
        <v>0</v>
      </c>
      <c r="CO174" s="2">
        <f>IF(C174&lt;='Batt IN'!$O$30*12,CN174+CO173,NA())</f>
        <v>0</v>
      </c>
      <c r="CQ174" s="2">
        <f>CK174/((1+('Batt IN'!$E$8/12))^BattCalcs!C174)</f>
        <v>0</v>
      </c>
      <c r="CS174" s="10">
        <f t="shared" si="43"/>
        <v>-3021.2855013083581</v>
      </c>
      <c r="CT174" s="10">
        <f t="shared" si="44"/>
        <v>0</v>
      </c>
      <c r="CU174" s="10">
        <f t="shared" si="45"/>
        <v>-3021.2855013083581</v>
      </c>
      <c r="CV174" s="10">
        <f t="shared" si="46"/>
        <v>-3021.2855013083581</v>
      </c>
      <c r="CW174" s="2">
        <f t="shared" si="47"/>
        <v>0</v>
      </c>
      <c r="CX174" s="2">
        <f>-(SUM(CV174:CW174)*'PV IN'!$E$8)</f>
        <v>634.46995527475519</v>
      </c>
      <c r="CY174" s="2">
        <f t="shared" si="48"/>
        <v>-2386.8155460336029</v>
      </c>
      <c r="CZ174" s="2">
        <f>IF(C174&lt;='Batt IN'!$H$43*12,CY174/(1+('PV IN'!$G$9))^(C174),0)</f>
        <v>-1195.7410008233853</v>
      </c>
      <c r="DA174" s="33">
        <f>IF(C174&lt;='Batt IN'!$H$43*12,AE174,0)</f>
        <v>30366.783333333333</v>
      </c>
    </row>
    <row r="175" spans="1:105" x14ac:dyDescent="0.25">
      <c r="A175">
        <f>IF(C175&lt;='Batt IN'!$H$43*12,C175,"")</f>
        <v>171</v>
      </c>
      <c r="C175">
        <v>171</v>
      </c>
      <c r="D175" s="21">
        <v>730</v>
      </c>
      <c r="E175" s="1">
        <f>1-'Batt IN'!$E$31</f>
        <v>2.0000000000000018E-2</v>
      </c>
      <c r="F175" s="12">
        <f>('Batt IN'!$E$33*365)/8760</f>
        <v>0</v>
      </c>
      <c r="G175" s="22">
        <f>'Batt IN'!$E$32/8760</f>
        <v>5.7077625570776253E-3</v>
      </c>
      <c r="H175" s="22">
        <f>'Batt IN'!$E$13/8760</f>
        <v>5.5936073059360729E-3</v>
      </c>
      <c r="I175" s="23">
        <f>IF(C175&lt;='Batt IN'!$G$14*12,'Batt IN'!$E$15/8760*'Batt IN'!$G$15,0)</f>
        <v>0</v>
      </c>
      <c r="J175" s="12">
        <f>Z175/'Batt IN'!$E$27/730</f>
        <v>2.4999999999999996E-3</v>
      </c>
      <c r="K175" s="23">
        <f>AA175/'Batt IN'!$E$27/730</f>
        <v>1.6027397260273972E-3</v>
      </c>
      <c r="L175" s="23">
        <f>AB175/'Batt IN'!$E$27/730</f>
        <v>2.0547945205479451E-4</v>
      </c>
      <c r="M175" s="23">
        <f>AC175/'Batt IN'!$E$27/730</f>
        <v>4.7945205479452057E-3</v>
      </c>
      <c r="N175" s="23">
        <f>AD175/'Batt IN'!$E$27/730</f>
        <v>3.4246575342465752E-3</v>
      </c>
      <c r="O175" s="12">
        <f t="shared" si="36"/>
        <v>4.3828767123287697E-2</v>
      </c>
      <c r="P175" s="21">
        <f t="shared" si="37"/>
        <v>698.005</v>
      </c>
      <c r="Q175" s="2">
        <f>IF('Batt IN'!$E$27*'Batt IN'!$E$24&lt;='Batt IN'!$E$28,(('Batt IN'!$E$23*'Batt IN'!$E$27*'Batt IN'!$E$24)/1000)*P175,(('Batt IN'!$E$23*'Batt IN'!$E$28*'Batt IN'!$E$24)/1000)*P175)</f>
        <v>11168.08</v>
      </c>
      <c r="R175" s="2"/>
      <c r="S175" s="77">
        <f>IF(C175&lt;='Batt IN'!$G$14*12,'Batt IN'!$E$15/12,0)</f>
        <v>0</v>
      </c>
      <c r="T175" s="77"/>
      <c r="U175" s="80">
        <f>'Batt IN'!$E$28*('Batt IN'!$G$24/24)*730*(1-O175)</f>
        <v>81433.916666666657</v>
      </c>
      <c r="V175" s="78">
        <f>U175*'Batt IN'!$F$30</f>
        <v>16286.783333333333</v>
      </c>
      <c r="W175" s="78">
        <f>'Batt IN'!$E$28*'Batt IN'!$G$32*('Batt IN'!$E$32/12)*(1+'Batt IN'!$F$30)</f>
        <v>1750.0000000000002</v>
      </c>
      <c r="X175" s="78">
        <f>'Batt IN'!$E$28*'Batt IN'!$G$13*('Batt IN'!$E$13/12)*(1+'Batt IN'!$F$30)</f>
        <v>3184.9999999999995</v>
      </c>
      <c r="Y175" s="33">
        <f>S175*'Batt IN'!$G$15*'Batt IN'!$E$28*(1+'Batt IN'!$F$30)</f>
        <v>0</v>
      </c>
      <c r="Z175" s="33">
        <f>'Batt IN'!$G$16*365/12*(1+'Batt IN'!$F$30)</f>
        <v>1824.9999999999998</v>
      </c>
      <c r="AA175" s="33">
        <f>'Batt IN'!$G$17*'Batt IN'!$E$18*'Batt IN'!$G$18/12*(1+'Batt IN'!$F$30)</f>
        <v>1170</v>
      </c>
      <c r="AB175" s="33">
        <f>'Batt IN'!$G$19*'Batt IN'!$E$20*'Batt IN'!$G$20/12*(1+'Batt IN'!$F$30)</f>
        <v>150</v>
      </c>
      <c r="AC175" s="33">
        <f>'Batt IN'!$G$21*(1+'Batt IN'!$F$30)/12</f>
        <v>3500</v>
      </c>
      <c r="AD175" s="33">
        <f>'Batt IN'!$G$22*(1+'Batt IN'!$F$30)/12</f>
        <v>2500</v>
      </c>
      <c r="AE175" s="33">
        <f t="shared" si="49"/>
        <v>30366.783333333333</v>
      </c>
      <c r="AF175" s="33">
        <f>IF('PV IN'!$F$4="Battery Only",0,AE175*'Batt IN'!$E$29)</f>
        <v>25811.765833333331</v>
      </c>
      <c r="AG175" s="33">
        <f>PVCalcs!L175</f>
        <v>25811.765833333331</v>
      </c>
      <c r="AH175" s="33">
        <f t="shared" si="50"/>
        <v>4555.0175000000017</v>
      </c>
      <c r="AI175" s="33"/>
      <c r="AJ175" s="2">
        <f>IF(AND('Batt IN'!$D$53="Yes",$AL$1&gt;=1),IF($C175='Batt IN'!$H$54*12,-'Batt IN'!$F$54,0),0)</f>
        <v>0</v>
      </c>
      <c r="AK175" s="2">
        <f>IF(AND('Batt IN'!$D$53="Yes",$AL$1&gt;=2),IF($C175='Batt IN'!$H$55*12,-'Batt IN'!$F$55,0),0)</f>
        <v>0</v>
      </c>
      <c r="AL175" s="2">
        <f>IF(AND('Batt IN'!$D$53="Yes",$AL$1&gt;=3),IF($C175='Batt IN'!$H$56*12,-'Batt IN'!$F$56,0),0)</f>
        <v>0</v>
      </c>
      <c r="AM175" s="2">
        <f>IF(AND('Batt IN'!$D$53="Yes",$AL$1&gt;=4),IF($C175='Batt IN'!$H$57*12,-'Batt IN'!$F$57,0),0)</f>
        <v>0</v>
      </c>
      <c r="AN175" s="2">
        <f>IF(AND('Batt IN'!$D$53="Yes",$AL$1&gt;=5),IF($C175='Batt IN'!$H$58*12,-'Batt IN'!$F$58,0),0)</f>
        <v>0</v>
      </c>
      <c r="AO175" s="10">
        <f>IF(AND('Batt IN'!$D$44="YES",$C175&lt;='Batt IN'!$E$44*12),-'Batt IN'!$E$28*'Batt IN'!$E$42/12,0)</f>
        <v>0</v>
      </c>
      <c r="AP175" s="10">
        <f>IF(AND('Batt IN'!$D$46="YES",$C175&lt;='Batt IN'!$E$46*12),-'Batt IN'!$E$28*'Batt IN'!$E$45/12,0)</f>
        <v>0</v>
      </c>
      <c r="AR175" s="10">
        <f>BattLoan!M202</f>
        <v>0</v>
      </c>
      <c r="AS175" s="10">
        <f>'Batt IN'!$G$16*365/12*'Batt IN'!$E$16</f>
        <v>76.041666666666671</v>
      </c>
      <c r="AT175" s="10">
        <f>IF(AND('Batt IN'!$E$18&gt;0,'Batt IN'!$G$18&gt;0),'Batt IN'!$E$17*'Batt IN'!$G$17,0)</f>
        <v>119.44619999999999</v>
      </c>
      <c r="AU175" s="10">
        <f>IF(AND('Batt IN'!$E$20&gt;0,'Batt IN'!$G$20&gt;0),'Batt IN'!$E$19*'Batt IN'!$G$19,0)</f>
        <v>231</v>
      </c>
      <c r="AV175" s="10"/>
      <c r="AW175" s="10"/>
      <c r="AX175" s="10">
        <f>IF('Batt IN'!$E$11="Non-Taxable",Q175,0)</f>
        <v>11168.08</v>
      </c>
      <c r="AY175" s="10">
        <f>IF('Batt IN'!$E$11="Non-Taxable",'Batt IN'!$E$28/1000*'Batt IN'!$G$13*('Batt IN'!$E$13/12)*'Batt IN'!$E$12,0)</f>
        <v>244.42220833333334</v>
      </c>
      <c r="AZ175" s="10">
        <f>IF('Batt IN'!$E$11="Non-Taxable",$S175*'Batt IN'!$G$15*'Batt IN'!$E$28*'Batt IN'!$E$14/1000,0)</f>
        <v>0</v>
      </c>
      <c r="BA175" s="10">
        <f>IF('Batt IN'!$E$11="Non-Taxable",'Batt IN'!$E$21*'Batt IN'!$G$21/12,0)</f>
        <v>437.5</v>
      </c>
      <c r="BB175" s="10">
        <f>IF('Batt IN'!$E$11="Non-Taxable",'Batt IN'!$E$22*'Batt IN'!$G$22/12,0)</f>
        <v>1145.8333333333335</v>
      </c>
      <c r="BC175" s="10">
        <f>IF('Batt IN'!$E$11="Taxable",Q175,0)</f>
        <v>0</v>
      </c>
      <c r="BD175" s="10">
        <f>IF('Batt IN'!$E$11="Taxable",'Batt IN'!$E$28/1000*'Batt IN'!$G$13*('Batt IN'!$E$13/12)*'Batt IN'!$E$12,0)</f>
        <v>0</v>
      </c>
      <c r="BE175" s="10">
        <f>IF('Batt IN'!$E$11="Taxable",$S175*'Batt IN'!$G$15*'Batt IN'!$E$28*'Batt IN'!$E$14/1000,0)</f>
        <v>0</v>
      </c>
      <c r="BF175" s="10">
        <f>IF('Batt IN'!$E$11="Taxable",'Batt IN'!$E$21*'Batt IN'!$G$21/12,0)</f>
        <v>0</v>
      </c>
      <c r="BG175" s="10">
        <f>IF('Batt IN'!$E$11="Taxable",'Batt IN'!$E$22*'Batt IN'!$G$22/12,0)</f>
        <v>0</v>
      </c>
      <c r="BK175" s="10">
        <f>IF('Batt IN'!$N$18="Yes",-BattLoan!H203,-BattLoan!L203)</f>
        <v>0</v>
      </c>
      <c r="BL175" s="10">
        <f>IF('Batt IN'!$N$18="Yes",-BattLoan!F203,0)</f>
        <v>0</v>
      </c>
      <c r="BM175" s="10">
        <f>IF(AND('Batt IN'!$D$44="YES",$C175&lt;='Batt IN'!$E$44*12),0,-'Batt IN'!$E$28*'Batt IN'!$E$42/12)</f>
        <v>-83.333333333333329</v>
      </c>
      <c r="BN175" s="10">
        <f>IF(AND('Batt IN'!$D$46="YES",$C175&lt;='Batt IN'!$E$46*12),0,-'Batt IN'!$E$28*'Batt IN'!$E$45/12)</f>
        <v>-166.66666666666666</v>
      </c>
      <c r="BO175" s="2">
        <f>IF(AND('Batt IN'!$D$41="YES",BattCalcs!C175=ROUNDUP('Batt IN'!$H$41*12,)),-'Batt IN'!$E$41*'Batt IN'!$E$28,0)</f>
        <v>0</v>
      </c>
      <c r="BP175" s="2">
        <f>IF(AND('Batt IN'!$D$53="Yes",$AL$1&gt;=1),0,IF($C175='Batt IN'!$H$54*12,-'Batt IN'!$F$54,0))</f>
        <v>0</v>
      </c>
      <c r="BQ175" s="2">
        <f>IF(AND('Batt IN'!$D$53="Yes",$AL$1&gt;=2),0,IF($C175='Batt IN'!$H$55*12,-'Batt IN'!$F$55,0))</f>
        <v>0</v>
      </c>
      <c r="BR175" s="2">
        <f>IF(AND('Batt IN'!$D$53="Yes",$AL$1&gt;=3),0,IF($C175='Batt IN'!$H$56*12,-'Batt IN'!$F$56,0))</f>
        <v>0</v>
      </c>
      <c r="BS175" s="2">
        <f>IF(AND('Batt IN'!$D$53="Yes",$AL$1&gt;=4),0,IF($C175='Batt IN'!$H$57*12,-'Batt IN'!$F$57,0))</f>
        <v>0</v>
      </c>
      <c r="BT175" s="2">
        <f>IF(AND('Batt IN'!$D$53="Yes",$AL$1&gt;=5),0,IF($C175='Batt IN'!$H$58*12,-'Batt IN'!$F$58,0))</f>
        <v>0</v>
      </c>
      <c r="BU175" s="2">
        <f>-AH175*PVCalcs!F175</f>
        <v>-371.28550130835811</v>
      </c>
      <c r="BV175" s="2">
        <f>-'Batt IN'!$E$47</f>
        <v>-150</v>
      </c>
      <c r="BW175" s="2">
        <f>-'Batt IN'!$E$49</f>
        <v>-2250</v>
      </c>
      <c r="BX175" s="2">
        <f>IF('Batt IN'!$H$50="No",-(BC175*'Batt IN'!$E$50),-(BC175+BE175)*'Batt IN'!$E$50)</f>
        <v>0</v>
      </c>
      <c r="BY175" s="2">
        <f>IF(C175='Batt IN'!$H$43*12,-'Batt IN'!$E$43,0)</f>
        <v>0</v>
      </c>
      <c r="BZ175" s="38"/>
      <c r="CA175" s="10">
        <f t="shared" si="34"/>
        <v>13422.323408333334</v>
      </c>
      <c r="CB175" s="2">
        <f t="shared" si="38"/>
        <v>-3021.2855013083581</v>
      </c>
      <c r="CC175" s="45">
        <f t="shared" si="39"/>
        <v>10401.037907024976</v>
      </c>
      <c r="CD175" s="43"/>
      <c r="CE175" s="2">
        <f t="shared" si="35"/>
        <v>0</v>
      </c>
      <c r="CF175" s="2">
        <f t="shared" si="40"/>
        <v>-3021.2855013083581</v>
      </c>
      <c r="CG175" s="2"/>
      <c r="CH175" s="2">
        <f t="shared" si="41"/>
        <v>-3021.2855013083581</v>
      </c>
      <c r="CI175" s="45">
        <f>-CH175*'Batt IN'!$E$7</f>
        <v>634.46995527475519</v>
      </c>
      <c r="CJ175" s="48"/>
      <c r="CK175" s="45">
        <f>IF('Batt IN'!$F$4="PV Only",0,IF(C175&gt;'Batt IN'!$H$43*12,0,CC175+CI175))</f>
        <v>0</v>
      </c>
      <c r="CM175" s="10">
        <f t="shared" si="42"/>
        <v>0</v>
      </c>
      <c r="CN175" s="2">
        <f>CK175/(1+('Batt IN'!$G$8))^(C175)</f>
        <v>0</v>
      </c>
      <c r="CO175" s="2">
        <f>IF(C175&lt;='Batt IN'!$O$30*12,CN175+CO174,NA())</f>
        <v>0</v>
      </c>
      <c r="CQ175" s="2">
        <f>CK175/((1+('Batt IN'!$E$8/12))^BattCalcs!C175)</f>
        <v>0</v>
      </c>
      <c r="CS175" s="10">
        <f t="shared" si="43"/>
        <v>-3021.2855013083581</v>
      </c>
      <c r="CT175" s="10">
        <f t="shared" si="44"/>
        <v>0</v>
      </c>
      <c r="CU175" s="10">
        <f t="shared" si="45"/>
        <v>-3021.2855013083581</v>
      </c>
      <c r="CV175" s="10">
        <f t="shared" si="46"/>
        <v>-3021.2855013083581</v>
      </c>
      <c r="CW175" s="2">
        <f t="shared" si="47"/>
        <v>0</v>
      </c>
      <c r="CX175" s="2">
        <f>-(SUM(CV175:CW175)*'PV IN'!$E$8)</f>
        <v>634.46995527475519</v>
      </c>
      <c r="CY175" s="2">
        <f t="shared" si="48"/>
        <v>-2386.8155460336029</v>
      </c>
      <c r="CZ175" s="2">
        <f>IF(C175&lt;='Batt IN'!$H$43*12,CY175/(1+('PV IN'!$G$9))^(C175),0)</f>
        <v>-1190.8891709284164</v>
      </c>
      <c r="DA175" s="33">
        <f>IF(C175&lt;='Batt IN'!$H$43*12,AE175,0)</f>
        <v>30366.783333333333</v>
      </c>
    </row>
    <row r="176" spans="1:105" x14ac:dyDescent="0.25">
      <c r="A176">
        <f>IF(C176&lt;='Batt IN'!$H$43*12,C176,"")</f>
        <v>172</v>
      </c>
      <c r="C176">
        <v>172</v>
      </c>
      <c r="D176" s="21">
        <v>730</v>
      </c>
      <c r="E176" s="1">
        <f>1-'Batt IN'!$E$31</f>
        <v>2.0000000000000018E-2</v>
      </c>
      <c r="F176" s="12">
        <f>('Batt IN'!$E$33*365)/8760</f>
        <v>0</v>
      </c>
      <c r="G176" s="22">
        <f>'Batt IN'!$E$32/8760</f>
        <v>5.7077625570776253E-3</v>
      </c>
      <c r="H176" s="22">
        <f>'Batt IN'!$E$13/8760</f>
        <v>5.5936073059360729E-3</v>
      </c>
      <c r="I176" s="23">
        <f>IF(C176&lt;='Batt IN'!$G$14*12,'Batt IN'!$E$15/8760*'Batt IN'!$G$15,0)</f>
        <v>0</v>
      </c>
      <c r="J176" s="12">
        <f>Z176/'Batt IN'!$E$27/730</f>
        <v>2.4999999999999996E-3</v>
      </c>
      <c r="K176" s="23">
        <f>AA176/'Batt IN'!$E$27/730</f>
        <v>1.6027397260273972E-3</v>
      </c>
      <c r="L176" s="23">
        <f>AB176/'Batt IN'!$E$27/730</f>
        <v>2.0547945205479451E-4</v>
      </c>
      <c r="M176" s="23">
        <f>AC176/'Batt IN'!$E$27/730</f>
        <v>4.7945205479452057E-3</v>
      </c>
      <c r="N176" s="23">
        <f>AD176/'Batt IN'!$E$27/730</f>
        <v>3.4246575342465752E-3</v>
      </c>
      <c r="O176" s="12">
        <f t="shared" si="36"/>
        <v>4.3828767123287697E-2</v>
      </c>
      <c r="P176" s="21">
        <f t="shared" si="37"/>
        <v>698.005</v>
      </c>
      <c r="Q176" s="2">
        <f>IF('Batt IN'!$E$27*'Batt IN'!$E$24&lt;='Batt IN'!$E$28,(('Batt IN'!$E$23*'Batt IN'!$E$27*'Batt IN'!$E$24)/1000)*P176,(('Batt IN'!$E$23*'Batt IN'!$E$28*'Batt IN'!$E$24)/1000)*P176)</f>
        <v>11168.08</v>
      </c>
      <c r="R176" s="2"/>
      <c r="S176" s="77">
        <f>IF(C176&lt;='Batt IN'!$G$14*12,'Batt IN'!$E$15/12,0)</f>
        <v>0</v>
      </c>
      <c r="T176" s="77"/>
      <c r="U176" s="80">
        <f>'Batt IN'!$E$28*('Batt IN'!$G$24/24)*730*(1-O176)</f>
        <v>81433.916666666657</v>
      </c>
      <c r="V176" s="78">
        <f>U176*'Batt IN'!$F$30</f>
        <v>16286.783333333333</v>
      </c>
      <c r="W176" s="78">
        <f>'Batt IN'!$E$28*'Batt IN'!$G$32*('Batt IN'!$E$32/12)*(1+'Batt IN'!$F$30)</f>
        <v>1750.0000000000002</v>
      </c>
      <c r="X176" s="78">
        <f>'Batt IN'!$E$28*'Batt IN'!$G$13*('Batt IN'!$E$13/12)*(1+'Batt IN'!$F$30)</f>
        <v>3184.9999999999995</v>
      </c>
      <c r="Y176" s="33">
        <f>S176*'Batt IN'!$G$15*'Batt IN'!$E$28*(1+'Batt IN'!$F$30)</f>
        <v>0</v>
      </c>
      <c r="Z176" s="33">
        <f>'Batt IN'!$G$16*365/12*(1+'Batt IN'!$F$30)</f>
        <v>1824.9999999999998</v>
      </c>
      <c r="AA176" s="33">
        <f>'Batt IN'!$G$17*'Batt IN'!$E$18*'Batt IN'!$G$18/12*(1+'Batt IN'!$F$30)</f>
        <v>1170</v>
      </c>
      <c r="AB176" s="33">
        <f>'Batt IN'!$G$19*'Batt IN'!$E$20*'Batt IN'!$G$20/12*(1+'Batt IN'!$F$30)</f>
        <v>150</v>
      </c>
      <c r="AC176" s="33">
        <f>'Batt IN'!$G$21*(1+'Batt IN'!$F$30)/12</f>
        <v>3500</v>
      </c>
      <c r="AD176" s="33">
        <f>'Batt IN'!$G$22*(1+'Batt IN'!$F$30)/12</f>
        <v>2500</v>
      </c>
      <c r="AE176" s="33">
        <f t="shared" si="49"/>
        <v>30366.783333333333</v>
      </c>
      <c r="AF176" s="33">
        <f>IF('PV IN'!$F$4="Battery Only",0,AE176*'Batt IN'!$E$29)</f>
        <v>25811.765833333331</v>
      </c>
      <c r="AG176" s="33">
        <f>PVCalcs!L176</f>
        <v>25811.765833333331</v>
      </c>
      <c r="AH176" s="33">
        <f t="shared" si="50"/>
        <v>4555.0175000000017</v>
      </c>
      <c r="AI176" s="33"/>
      <c r="AJ176" s="2">
        <f>IF(AND('Batt IN'!$D$53="Yes",$AL$1&gt;=1),IF($C176='Batt IN'!$H$54*12,-'Batt IN'!$F$54,0),0)</f>
        <v>0</v>
      </c>
      <c r="AK176" s="2">
        <f>IF(AND('Batt IN'!$D$53="Yes",$AL$1&gt;=2),IF($C176='Batt IN'!$H$55*12,-'Batt IN'!$F$55,0),0)</f>
        <v>0</v>
      </c>
      <c r="AL176" s="2">
        <f>IF(AND('Batt IN'!$D$53="Yes",$AL$1&gt;=3),IF($C176='Batt IN'!$H$56*12,-'Batt IN'!$F$56,0),0)</f>
        <v>0</v>
      </c>
      <c r="AM176" s="2">
        <f>IF(AND('Batt IN'!$D$53="Yes",$AL$1&gt;=4),IF($C176='Batt IN'!$H$57*12,-'Batt IN'!$F$57,0),0)</f>
        <v>0</v>
      </c>
      <c r="AN176" s="2">
        <f>IF(AND('Batt IN'!$D$53="Yes",$AL$1&gt;=5),IF($C176='Batt IN'!$H$58*12,-'Batt IN'!$F$58,0),0)</f>
        <v>0</v>
      </c>
      <c r="AO176" s="10">
        <f>IF(AND('Batt IN'!$D$44="YES",$C176&lt;='Batt IN'!$E$44*12),-'Batt IN'!$E$28*'Batt IN'!$E$42/12,0)</f>
        <v>0</v>
      </c>
      <c r="AP176" s="10">
        <f>IF(AND('Batt IN'!$D$46="YES",$C176&lt;='Batt IN'!$E$46*12),-'Batt IN'!$E$28*'Batt IN'!$E$45/12,0)</f>
        <v>0</v>
      </c>
      <c r="AR176" s="10">
        <f>BattLoan!M203</f>
        <v>0</v>
      </c>
      <c r="AS176" s="10">
        <f>'Batt IN'!$G$16*365/12*'Batt IN'!$E$16</f>
        <v>76.041666666666671</v>
      </c>
      <c r="AT176" s="10">
        <f>IF(AND('Batt IN'!$E$18&gt;0,'Batt IN'!$G$18&gt;0),'Batt IN'!$E$17*'Batt IN'!$G$17,0)</f>
        <v>119.44619999999999</v>
      </c>
      <c r="AU176" s="10">
        <f>IF(AND('Batt IN'!$E$20&gt;0,'Batt IN'!$G$20&gt;0),'Batt IN'!$E$19*'Batt IN'!$G$19,0)</f>
        <v>231</v>
      </c>
      <c r="AV176" s="10"/>
      <c r="AW176" s="10"/>
      <c r="AX176" s="10">
        <f>IF('Batt IN'!$E$11="Non-Taxable",Q176,0)</f>
        <v>11168.08</v>
      </c>
      <c r="AY176" s="10">
        <f>IF('Batt IN'!$E$11="Non-Taxable",'Batt IN'!$E$28/1000*'Batt IN'!$G$13*('Batt IN'!$E$13/12)*'Batt IN'!$E$12,0)</f>
        <v>244.42220833333334</v>
      </c>
      <c r="AZ176" s="10">
        <f>IF('Batt IN'!$E$11="Non-Taxable",$S176*'Batt IN'!$G$15*'Batt IN'!$E$28*'Batt IN'!$E$14/1000,0)</f>
        <v>0</v>
      </c>
      <c r="BA176" s="10">
        <f>IF('Batt IN'!$E$11="Non-Taxable",'Batt IN'!$E$21*'Batt IN'!$G$21/12,0)</f>
        <v>437.5</v>
      </c>
      <c r="BB176" s="10">
        <f>IF('Batt IN'!$E$11="Non-Taxable",'Batt IN'!$E$22*'Batt IN'!$G$22/12,0)</f>
        <v>1145.8333333333335</v>
      </c>
      <c r="BC176" s="10">
        <f>IF('Batt IN'!$E$11="Taxable",Q176,0)</f>
        <v>0</v>
      </c>
      <c r="BD176" s="10">
        <f>IF('Batt IN'!$E$11="Taxable",'Batt IN'!$E$28/1000*'Batt IN'!$G$13*('Batt IN'!$E$13/12)*'Batt IN'!$E$12,0)</f>
        <v>0</v>
      </c>
      <c r="BE176" s="10">
        <f>IF('Batt IN'!$E$11="Taxable",$S176*'Batt IN'!$G$15*'Batt IN'!$E$28*'Batt IN'!$E$14/1000,0)</f>
        <v>0</v>
      </c>
      <c r="BF176" s="10">
        <f>IF('Batt IN'!$E$11="Taxable",'Batt IN'!$E$21*'Batt IN'!$G$21/12,0)</f>
        <v>0</v>
      </c>
      <c r="BG176" s="10">
        <f>IF('Batt IN'!$E$11="Taxable",'Batt IN'!$E$22*'Batt IN'!$G$22/12,0)</f>
        <v>0</v>
      </c>
      <c r="BK176" s="10">
        <f>IF('Batt IN'!$N$18="Yes",-BattLoan!H204,-BattLoan!L204)</f>
        <v>0</v>
      </c>
      <c r="BL176" s="10">
        <f>IF('Batt IN'!$N$18="Yes",-BattLoan!F204,0)</f>
        <v>0</v>
      </c>
      <c r="BM176" s="10">
        <f>IF(AND('Batt IN'!$D$44="YES",$C176&lt;='Batt IN'!$E$44*12),0,-'Batt IN'!$E$28*'Batt IN'!$E$42/12)</f>
        <v>-83.333333333333329</v>
      </c>
      <c r="BN176" s="10">
        <f>IF(AND('Batt IN'!$D$46="YES",$C176&lt;='Batt IN'!$E$46*12),0,-'Batt IN'!$E$28*'Batt IN'!$E$45/12)</f>
        <v>-166.66666666666666</v>
      </c>
      <c r="BO176" s="2">
        <f>IF(AND('Batt IN'!$D$41="YES",BattCalcs!C176=ROUNDUP('Batt IN'!$H$41*12,)),-'Batt IN'!$E$41*'Batt IN'!$E$28,0)</f>
        <v>0</v>
      </c>
      <c r="BP176" s="2">
        <f>IF(AND('Batt IN'!$D$53="Yes",$AL$1&gt;=1),0,IF($C176='Batt IN'!$H$54*12,-'Batt IN'!$F$54,0))</f>
        <v>0</v>
      </c>
      <c r="BQ176" s="2">
        <f>IF(AND('Batt IN'!$D$53="Yes",$AL$1&gt;=2),0,IF($C176='Batt IN'!$H$55*12,-'Batt IN'!$F$55,0))</f>
        <v>0</v>
      </c>
      <c r="BR176" s="2">
        <f>IF(AND('Batt IN'!$D$53="Yes",$AL$1&gt;=3),0,IF($C176='Batt IN'!$H$56*12,-'Batt IN'!$F$56,0))</f>
        <v>0</v>
      </c>
      <c r="BS176" s="2">
        <f>IF(AND('Batt IN'!$D$53="Yes",$AL$1&gt;=4),0,IF($C176='Batt IN'!$H$57*12,-'Batt IN'!$F$57,0))</f>
        <v>0</v>
      </c>
      <c r="BT176" s="2">
        <f>IF(AND('Batt IN'!$D$53="Yes",$AL$1&gt;=5),0,IF($C176='Batt IN'!$H$58*12,-'Batt IN'!$F$58,0))</f>
        <v>0</v>
      </c>
      <c r="BU176" s="2">
        <f>-AH176*PVCalcs!F176</f>
        <v>-371.28550130835811</v>
      </c>
      <c r="BV176" s="2">
        <f>-'Batt IN'!$E$47</f>
        <v>-150</v>
      </c>
      <c r="BW176" s="2">
        <f>-'Batt IN'!$E$49</f>
        <v>-2250</v>
      </c>
      <c r="BX176" s="2">
        <f>IF('Batt IN'!$H$50="No",-(BC176*'Batt IN'!$E$50),-(BC176+BE176)*'Batt IN'!$E$50)</f>
        <v>0</v>
      </c>
      <c r="BY176" s="2">
        <f>IF(C176='Batt IN'!$H$43*12,-'Batt IN'!$E$43,0)</f>
        <v>0</v>
      </c>
      <c r="BZ176" s="38"/>
      <c r="CA176" s="10">
        <f t="shared" si="34"/>
        <v>13422.323408333334</v>
      </c>
      <c r="CB176" s="2">
        <f t="shared" si="38"/>
        <v>-3021.2855013083581</v>
      </c>
      <c r="CC176" s="45">
        <f t="shared" si="39"/>
        <v>10401.037907024976</v>
      </c>
      <c r="CD176" s="43"/>
      <c r="CE176" s="2">
        <f t="shared" si="35"/>
        <v>0</v>
      </c>
      <c r="CF176" s="2">
        <f t="shared" si="40"/>
        <v>-3021.2855013083581</v>
      </c>
      <c r="CG176" s="2"/>
      <c r="CH176" s="2">
        <f t="shared" si="41"/>
        <v>-3021.2855013083581</v>
      </c>
      <c r="CI176" s="45">
        <f>-CH176*'Batt IN'!$E$7</f>
        <v>634.46995527475519</v>
      </c>
      <c r="CJ176" s="48"/>
      <c r="CK176" s="45">
        <f>IF('Batt IN'!$F$4="PV Only",0,IF(C176&gt;'Batt IN'!$H$43*12,0,CC176+CI176))</f>
        <v>0</v>
      </c>
      <c r="CM176" s="10">
        <f t="shared" si="42"/>
        <v>0</v>
      </c>
      <c r="CN176" s="2">
        <f>CK176/(1+('Batt IN'!$G$8))^(C176)</f>
        <v>0</v>
      </c>
      <c r="CO176" s="2">
        <f>IF(C176&lt;='Batt IN'!$O$30*12,CN176+CO175,NA())</f>
        <v>0</v>
      </c>
      <c r="CQ176" s="2">
        <f>CK176/((1+('Batt IN'!$E$8/12))^BattCalcs!C176)</f>
        <v>0</v>
      </c>
      <c r="CS176" s="10">
        <f t="shared" si="43"/>
        <v>-3021.2855013083581</v>
      </c>
      <c r="CT176" s="10">
        <f t="shared" si="44"/>
        <v>0</v>
      </c>
      <c r="CU176" s="10">
        <f t="shared" si="45"/>
        <v>-3021.2855013083581</v>
      </c>
      <c r="CV176" s="10">
        <f t="shared" si="46"/>
        <v>-3021.2855013083581</v>
      </c>
      <c r="CW176" s="2">
        <f t="shared" si="47"/>
        <v>0</v>
      </c>
      <c r="CX176" s="2">
        <f>-(SUM(CV176:CW176)*'PV IN'!$E$8)</f>
        <v>634.46995527475519</v>
      </c>
      <c r="CY176" s="2">
        <f t="shared" si="48"/>
        <v>-2386.8155460336029</v>
      </c>
      <c r="CZ176" s="2">
        <f>IF(C176&lt;='Batt IN'!$H$43*12,CY176/(1+('PV IN'!$G$9))^(C176),0)</f>
        <v>-1186.0570277827635</v>
      </c>
      <c r="DA176" s="33">
        <f>IF(C176&lt;='Batt IN'!$H$43*12,AE176,0)</f>
        <v>30366.783333333333</v>
      </c>
    </row>
    <row r="177" spans="1:105" x14ac:dyDescent="0.25">
      <c r="A177">
        <f>IF(C177&lt;='Batt IN'!$H$43*12,C177,"")</f>
        <v>173</v>
      </c>
      <c r="C177">
        <v>173</v>
      </c>
      <c r="D177" s="21">
        <v>730</v>
      </c>
      <c r="E177" s="1">
        <f>1-'Batt IN'!$E$31</f>
        <v>2.0000000000000018E-2</v>
      </c>
      <c r="F177" s="12">
        <f>('Batt IN'!$E$33*365)/8760</f>
        <v>0</v>
      </c>
      <c r="G177" s="22">
        <f>'Batt IN'!$E$32/8760</f>
        <v>5.7077625570776253E-3</v>
      </c>
      <c r="H177" s="22">
        <f>'Batt IN'!$E$13/8760</f>
        <v>5.5936073059360729E-3</v>
      </c>
      <c r="I177" s="23">
        <f>IF(C177&lt;='Batt IN'!$G$14*12,'Batt IN'!$E$15/8760*'Batt IN'!$G$15,0)</f>
        <v>0</v>
      </c>
      <c r="J177" s="12">
        <f>Z177/'Batt IN'!$E$27/730</f>
        <v>2.4999999999999996E-3</v>
      </c>
      <c r="K177" s="23">
        <f>AA177/'Batt IN'!$E$27/730</f>
        <v>1.6027397260273972E-3</v>
      </c>
      <c r="L177" s="23">
        <f>AB177/'Batt IN'!$E$27/730</f>
        <v>2.0547945205479451E-4</v>
      </c>
      <c r="M177" s="23">
        <f>AC177/'Batt IN'!$E$27/730</f>
        <v>4.7945205479452057E-3</v>
      </c>
      <c r="N177" s="23">
        <f>AD177/'Batt IN'!$E$27/730</f>
        <v>3.4246575342465752E-3</v>
      </c>
      <c r="O177" s="12">
        <f t="shared" si="36"/>
        <v>4.3828767123287697E-2</v>
      </c>
      <c r="P177" s="21">
        <f t="shared" si="37"/>
        <v>698.005</v>
      </c>
      <c r="Q177" s="2">
        <f>IF('Batt IN'!$E$27*'Batt IN'!$E$24&lt;='Batt IN'!$E$28,(('Batt IN'!$E$23*'Batt IN'!$E$27*'Batt IN'!$E$24)/1000)*P177,(('Batt IN'!$E$23*'Batt IN'!$E$28*'Batt IN'!$E$24)/1000)*P177)</f>
        <v>11168.08</v>
      </c>
      <c r="R177" s="2"/>
      <c r="S177" s="77">
        <f>IF(C177&lt;='Batt IN'!$G$14*12,'Batt IN'!$E$15/12,0)</f>
        <v>0</v>
      </c>
      <c r="T177" s="77"/>
      <c r="U177" s="80">
        <f>'Batt IN'!$E$28*('Batt IN'!$G$24/24)*730*(1-O177)</f>
        <v>81433.916666666657</v>
      </c>
      <c r="V177" s="78">
        <f>U177*'Batt IN'!$F$30</f>
        <v>16286.783333333333</v>
      </c>
      <c r="W177" s="78">
        <f>'Batt IN'!$E$28*'Batt IN'!$G$32*('Batt IN'!$E$32/12)*(1+'Batt IN'!$F$30)</f>
        <v>1750.0000000000002</v>
      </c>
      <c r="X177" s="78">
        <f>'Batt IN'!$E$28*'Batt IN'!$G$13*('Batt IN'!$E$13/12)*(1+'Batt IN'!$F$30)</f>
        <v>3184.9999999999995</v>
      </c>
      <c r="Y177" s="33">
        <f>S177*'Batt IN'!$G$15*'Batt IN'!$E$28*(1+'Batt IN'!$F$30)</f>
        <v>0</v>
      </c>
      <c r="Z177" s="33">
        <f>'Batt IN'!$G$16*365/12*(1+'Batt IN'!$F$30)</f>
        <v>1824.9999999999998</v>
      </c>
      <c r="AA177" s="33">
        <f>'Batt IN'!$G$17*'Batt IN'!$E$18*'Batt IN'!$G$18/12*(1+'Batt IN'!$F$30)</f>
        <v>1170</v>
      </c>
      <c r="AB177" s="33">
        <f>'Batt IN'!$G$19*'Batt IN'!$E$20*'Batt IN'!$G$20/12*(1+'Batt IN'!$F$30)</f>
        <v>150</v>
      </c>
      <c r="AC177" s="33">
        <f>'Batt IN'!$G$21*(1+'Batt IN'!$F$30)/12</f>
        <v>3500</v>
      </c>
      <c r="AD177" s="33">
        <f>'Batt IN'!$G$22*(1+'Batt IN'!$F$30)/12</f>
        <v>2500</v>
      </c>
      <c r="AE177" s="33">
        <f t="shared" si="49"/>
        <v>30366.783333333333</v>
      </c>
      <c r="AF177" s="33">
        <f>IF('PV IN'!$F$4="Battery Only",0,AE177*'Batt IN'!$E$29)</f>
        <v>25811.765833333331</v>
      </c>
      <c r="AG177" s="33">
        <f>PVCalcs!L177</f>
        <v>25811.765833333331</v>
      </c>
      <c r="AH177" s="33">
        <f t="shared" si="50"/>
        <v>4555.0175000000017</v>
      </c>
      <c r="AI177" s="33"/>
      <c r="AJ177" s="2">
        <f>IF(AND('Batt IN'!$D$53="Yes",$AL$1&gt;=1),IF($C177='Batt IN'!$H$54*12,-'Batt IN'!$F$54,0),0)</f>
        <v>0</v>
      </c>
      <c r="AK177" s="2">
        <f>IF(AND('Batt IN'!$D$53="Yes",$AL$1&gt;=2),IF($C177='Batt IN'!$H$55*12,-'Batt IN'!$F$55,0),0)</f>
        <v>0</v>
      </c>
      <c r="AL177" s="2">
        <f>IF(AND('Batt IN'!$D$53="Yes",$AL$1&gt;=3),IF($C177='Batt IN'!$H$56*12,-'Batt IN'!$F$56,0),0)</f>
        <v>0</v>
      </c>
      <c r="AM177" s="2">
        <f>IF(AND('Batt IN'!$D$53="Yes",$AL$1&gt;=4),IF($C177='Batt IN'!$H$57*12,-'Batt IN'!$F$57,0),0)</f>
        <v>0</v>
      </c>
      <c r="AN177" s="2">
        <f>IF(AND('Batt IN'!$D$53="Yes",$AL$1&gt;=5),IF($C177='Batt IN'!$H$58*12,-'Batt IN'!$F$58,0),0)</f>
        <v>0</v>
      </c>
      <c r="AO177" s="10">
        <f>IF(AND('Batt IN'!$D$44="YES",$C177&lt;='Batt IN'!$E$44*12),-'Batt IN'!$E$28*'Batt IN'!$E$42/12,0)</f>
        <v>0</v>
      </c>
      <c r="AP177" s="10">
        <f>IF(AND('Batt IN'!$D$46="YES",$C177&lt;='Batt IN'!$E$46*12),-'Batt IN'!$E$28*'Batt IN'!$E$45/12,0)</f>
        <v>0</v>
      </c>
      <c r="AR177" s="10">
        <f>BattLoan!M204</f>
        <v>0</v>
      </c>
      <c r="AS177" s="10">
        <f>'Batt IN'!$G$16*365/12*'Batt IN'!$E$16</f>
        <v>76.041666666666671</v>
      </c>
      <c r="AT177" s="10">
        <f>IF(AND('Batt IN'!$E$18&gt;0,'Batt IN'!$G$18&gt;0),'Batt IN'!$E$17*'Batt IN'!$G$17,0)</f>
        <v>119.44619999999999</v>
      </c>
      <c r="AU177" s="10">
        <f>IF(AND('Batt IN'!$E$20&gt;0,'Batt IN'!$G$20&gt;0),'Batt IN'!$E$19*'Batt IN'!$G$19,0)</f>
        <v>231</v>
      </c>
      <c r="AV177" s="10"/>
      <c r="AW177" s="10"/>
      <c r="AX177" s="10">
        <f>IF('Batt IN'!$E$11="Non-Taxable",Q177,0)</f>
        <v>11168.08</v>
      </c>
      <c r="AY177" s="10">
        <f>IF('Batt IN'!$E$11="Non-Taxable",'Batt IN'!$E$28/1000*'Batt IN'!$G$13*('Batt IN'!$E$13/12)*'Batt IN'!$E$12,0)</f>
        <v>244.42220833333334</v>
      </c>
      <c r="AZ177" s="10">
        <f>IF('Batt IN'!$E$11="Non-Taxable",$S177*'Batt IN'!$G$15*'Batt IN'!$E$28*'Batt IN'!$E$14/1000,0)</f>
        <v>0</v>
      </c>
      <c r="BA177" s="10">
        <f>IF('Batt IN'!$E$11="Non-Taxable",'Batt IN'!$E$21*'Batt IN'!$G$21/12,0)</f>
        <v>437.5</v>
      </c>
      <c r="BB177" s="10">
        <f>IF('Batt IN'!$E$11="Non-Taxable",'Batt IN'!$E$22*'Batt IN'!$G$22/12,0)</f>
        <v>1145.8333333333335</v>
      </c>
      <c r="BC177" s="10">
        <f>IF('Batt IN'!$E$11="Taxable",Q177,0)</f>
        <v>0</v>
      </c>
      <c r="BD177" s="10">
        <f>IF('Batt IN'!$E$11="Taxable",'Batt IN'!$E$28/1000*'Batt IN'!$G$13*('Batt IN'!$E$13/12)*'Batt IN'!$E$12,0)</f>
        <v>0</v>
      </c>
      <c r="BE177" s="10">
        <f>IF('Batt IN'!$E$11="Taxable",$S177*'Batt IN'!$G$15*'Batt IN'!$E$28*'Batt IN'!$E$14/1000,0)</f>
        <v>0</v>
      </c>
      <c r="BF177" s="10">
        <f>IF('Batt IN'!$E$11="Taxable",'Batt IN'!$E$21*'Batt IN'!$G$21/12,0)</f>
        <v>0</v>
      </c>
      <c r="BG177" s="10">
        <f>IF('Batt IN'!$E$11="Taxable",'Batt IN'!$E$22*'Batt IN'!$G$22/12,0)</f>
        <v>0</v>
      </c>
      <c r="BK177" s="10">
        <f>IF('Batt IN'!$N$18="Yes",-BattLoan!H205,-BattLoan!L205)</f>
        <v>0</v>
      </c>
      <c r="BL177" s="10">
        <f>IF('Batt IN'!$N$18="Yes",-BattLoan!F205,0)</f>
        <v>0</v>
      </c>
      <c r="BM177" s="10">
        <f>IF(AND('Batt IN'!$D$44="YES",$C177&lt;='Batt IN'!$E$44*12),0,-'Batt IN'!$E$28*'Batt IN'!$E$42/12)</f>
        <v>-83.333333333333329</v>
      </c>
      <c r="BN177" s="10">
        <f>IF(AND('Batt IN'!$D$46="YES",$C177&lt;='Batt IN'!$E$46*12),0,-'Batt IN'!$E$28*'Batt IN'!$E$45/12)</f>
        <v>-166.66666666666666</v>
      </c>
      <c r="BO177" s="2">
        <f>IF(AND('Batt IN'!$D$41="YES",BattCalcs!C177=ROUNDUP('Batt IN'!$H$41*12,)),-'Batt IN'!$E$41*'Batt IN'!$E$28,0)</f>
        <v>0</v>
      </c>
      <c r="BP177" s="2">
        <f>IF(AND('Batt IN'!$D$53="Yes",$AL$1&gt;=1),0,IF($C177='Batt IN'!$H$54*12,-'Batt IN'!$F$54,0))</f>
        <v>0</v>
      </c>
      <c r="BQ177" s="2">
        <f>IF(AND('Batt IN'!$D$53="Yes",$AL$1&gt;=2),0,IF($C177='Batt IN'!$H$55*12,-'Batt IN'!$F$55,0))</f>
        <v>0</v>
      </c>
      <c r="BR177" s="2">
        <f>IF(AND('Batt IN'!$D$53="Yes",$AL$1&gt;=3),0,IF($C177='Batt IN'!$H$56*12,-'Batt IN'!$F$56,0))</f>
        <v>0</v>
      </c>
      <c r="BS177" s="2">
        <f>IF(AND('Batt IN'!$D$53="Yes",$AL$1&gt;=4),0,IF($C177='Batt IN'!$H$57*12,-'Batt IN'!$F$57,0))</f>
        <v>0</v>
      </c>
      <c r="BT177" s="2">
        <f>IF(AND('Batt IN'!$D$53="Yes",$AL$1&gt;=5),0,IF($C177='Batt IN'!$H$58*12,-'Batt IN'!$F$58,0))</f>
        <v>0</v>
      </c>
      <c r="BU177" s="2">
        <f>-AH177*PVCalcs!F177</f>
        <v>-371.28550130835811</v>
      </c>
      <c r="BV177" s="2">
        <f>-'Batt IN'!$E$47</f>
        <v>-150</v>
      </c>
      <c r="BW177" s="2">
        <f>-'Batt IN'!$E$49</f>
        <v>-2250</v>
      </c>
      <c r="BX177" s="2">
        <f>IF('Batt IN'!$H$50="No",-(BC177*'Batt IN'!$E$50),-(BC177+BE177)*'Batt IN'!$E$50)</f>
        <v>0</v>
      </c>
      <c r="BY177" s="2">
        <f>IF(C177='Batt IN'!$H$43*12,-'Batt IN'!$E$43,0)</f>
        <v>0</v>
      </c>
      <c r="BZ177" s="38"/>
      <c r="CA177" s="10">
        <f t="shared" si="34"/>
        <v>13422.323408333334</v>
      </c>
      <c r="CB177" s="2">
        <f t="shared" si="38"/>
        <v>-3021.2855013083581</v>
      </c>
      <c r="CC177" s="45">
        <f t="shared" si="39"/>
        <v>10401.037907024976</v>
      </c>
      <c r="CD177" s="43"/>
      <c r="CE177" s="2">
        <f t="shared" si="35"/>
        <v>0</v>
      </c>
      <c r="CF177" s="2">
        <f t="shared" si="40"/>
        <v>-3021.2855013083581</v>
      </c>
      <c r="CG177" s="2"/>
      <c r="CH177" s="2">
        <f t="shared" si="41"/>
        <v>-3021.2855013083581</v>
      </c>
      <c r="CI177" s="45">
        <f>-CH177*'Batt IN'!$E$7</f>
        <v>634.46995527475519</v>
      </c>
      <c r="CJ177" s="48"/>
      <c r="CK177" s="45">
        <f>IF('Batt IN'!$F$4="PV Only",0,IF(C177&gt;'Batt IN'!$H$43*12,0,CC177+CI177))</f>
        <v>0</v>
      </c>
      <c r="CM177" s="10">
        <f t="shared" si="42"/>
        <v>0</v>
      </c>
      <c r="CN177" s="2">
        <f>CK177/(1+('Batt IN'!$G$8))^(C177)</f>
        <v>0</v>
      </c>
      <c r="CO177" s="2">
        <f>IF(C177&lt;='Batt IN'!$O$30*12,CN177+CO176,NA())</f>
        <v>0</v>
      </c>
      <c r="CQ177" s="2">
        <f>CK177/((1+('Batt IN'!$E$8/12))^BattCalcs!C177)</f>
        <v>0</v>
      </c>
      <c r="CS177" s="10">
        <f t="shared" si="43"/>
        <v>-3021.2855013083581</v>
      </c>
      <c r="CT177" s="10">
        <f t="shared" si="44"/>
        <v>0</v>
      </c>
      <c r="CU177" s="10">
        <f t="shared" si="45"/>
        <v>-3021.2855013083581</v>
      </c>
      <c r="CV177" s="10">
        <f t="shared" si="46"/>
        <v>-3021.2855013083581</v>
      </c>
      <c r="CW177" s="2">
        <f t="shared" si="47"/>
        <v>0</v>
      </c>
      <c r="CX177" s="2">
        <f>-(SUM(CV177:CW177)*'PV IN'!$E$8)</f>
        <v>634.46995527475519</v>
      </c>
      <c r="CY177" s="2">
        <f t="shared" si="48"/>
        <v>-2386.8155460336029</v>
      </c>
      <c r="CZ177" s="2">
        <f>IF(C177&lt;='Batt IN'!$H$43*12,CY177/(1+('PV IN'!$G$9))^(C177),0)</f>
        <v>-1181.2444915056167</v>
      </c>
      <c r="DA177" s="33">
        <f>IF(C177&lt;='Batt IN'!$H$43*12,AE177,0)</f>
        <v>30366.783333333333</v>
      </c>
    </row>
    <row r="178" spans="1:105" x14ac:dyDescent="0.25">
      <c r="A178">
        <f>IF(C178&lt;='Batt IN'!$H$43*12,C178,"")</f>
        <v>174</v>
      </c>
      <c r="C178">
        <v>174</v>
      </c>
      <c r="D178" s="21">
        <v>730</v>
      </c>
      <c r="E178" s="1">
        <f>1-'Batt IN'!$E$31</f>
        <v>2.0000000000000018E-2</v>
      </c>
      <c r="F178" s="12">
        <f>('Batt IN'!$E$33*365)/8760</f>
        <v>0</v>
      </c>
      <c r="G178" s="22">
        <f>'Batt IN'!$E$32/8760</f>
        <v>5.7077625570776253E-3</v>
      </c>
      <c r="H178" s="22">
        <f>'Batt IN'!$E$13/8760</f>
        <v>5.5936073059360729E-3</v>
      </c>
      <c r="I178" s="23">
        <f>IF(C178&lt;='Batt IN'!$G$14*12,'Batt IN'!$E$15/8760*'Batt IN'!$G$15,0)</f>
        <v>0</v>
      </c>
      <c r="J178" s="12">
        <f>Z178/'Batt IN'!$E$27/730</f>
        <v>2.4999999999999996E-3</v>
      </c>
      <c r="K178" s="23">
        <f>AA178/'Batt IN'!$E$27/730</f>
        <v>1.6027397260273972E-3</v>
      </c>
      <c r="L178" s="23">
        <f>AB178/'Batt IN'!$E$27/730</f>
        <v>2.0547945205479451E-4</v>
      </c>
      <c r="M178" s="23">
        <f>AC178/'Batt IN'!$E$27/730</f>
        <v>4.7945205479452057E-3</v>
      </c>
      <c r="N178" s="23">
        <f>AD178/'Batt IN'!$E$27/730</f>
        <v>3.4246575342465752E-3</v>
      </c>
      <c r="O178" s="12">
        <f t="shared" si="36"/>
        <v>4.3828767123287697E-2</v>
      </c>
      <c r="P178" s="21">
        <f t="shared" si="37"/>
        <v>698.005</v>
      </c>
      <c r="Q178" s="2">
        <f>IF('Batt IN'!$E$27*'Batt IN'!$E$24&lt;='Batt IN'!$E$28,(('Batt IN'!$E$23*'Batt IN'!$E$27*'Batt IN'!$E$24)/1000)*P178,(('Batt IN'!$E$23*'Batt IN'!$E$28*'Batt IN'!$E$24)/1000)*P178)</f>
        <v>11168.08</v>
      </c>
      <c r="R178" s="2"/>
      <c r="S178" s="77">
        <f>IF(C178&lt;='Batt IN'!$G$14*12,'Batt IN'!$E$15/12,0)</f>
        <v>0</v>
      </c>
      <c r="T178" s="77"/>
      <c r="U178" s="80">
        <f>'Batt IN'!$E$28*('Batt IN'!$G$24/24)*730*(1-O178)</f>
        <v>81433.916666666657</v>
      </c>
      <c r="V178" s="78">
        <f>U178*'Batt IN'!$F$30</f>
        <v>16286.783333333333</v>
      </c>
      <c r="W178" s="78">
        <f>'Batt IN'!$E$28*'Batt IN'!$G$32*('Batt IN'!$E$32/12)*(1+'Batt IN'!$F$30)</f>
        <v>1750.0000000000002</v>
      </c>
      <c r="X178" s="78">
        <f>'Batt IN'!$E$28*'Batt IN'!$G$13*('Batt IN'!$E$13/12)*(1+'Batt IN'!$F$30)</f>
        <v>3184.9999999999995</v>
      </c>
      <c r="Y178" s="33">
        <f>S178*'Batt IN'!$G$15*'Batt IN'!$E$28*(1+'Batt IN'!$F$30)</f>
        <v>0</v>
      </c>
      <c r="Z178" s="33">
        <f>'Batt IN'!$G$16*365/12*(1+'Batt IN'!$F$30)</f>
        <v>1824.9999999999998</v>
      </c>
      <c r="AA178" s="33">
        <f>'Batt IN'!$G$17*'Batt IN'!$E$18*'Batt IN'!$G$18/12*(1+'Batt IN'!$F$30)</f>
        <v>1170</v>
      </c>
      <c r="AB178" s="33">
        <f>'Batt IN'!$G$19*'Batt IN'!$E$20*'Batt IN'!$G$20/12*(1+'Batt IN'!$F$30)</f>
        <v>150</v>
      </c>
      <c r="AC178" s="33">
        <f>'Batt IN'!$G$21*(1+'Batt IN'!$F$30)/12</f>
        <v>3500</v>
      </c>
      <c r="AD178" s="33">
        <f>'Batt IN'!$G$22*(1+'Batt IN'!$F$30)/12</f>
        <v>2500</v>
      </c>
      <c r="AE178" s="33">
        <f t="shared" si="49"/>
        <v>30366.783333333333</v>
      </c>
      <c r="AF178" s="33">
        <f>IF('PV IN'!$F$4="Battery Only",0,AE178*'Batt IN'!$E$29)</f>
        <v>25811.765833333331</v>
      </c>
      <c r="AG178" s="33">
        <f>PVCalcs!L178</f>
        <v>25811.765833333331</v>
      </c>
      <c r="AH178" s="33">
        <f t="shared" si="50"/>
        <v>4555.0175000000017</v>
      </c>
      <c r="AI178" s="33"/>
      <c r="AJ178" s="2">
        <f>IF(AND('Batt IN'!$D$53="Yes",$AL$1&gt;=1),IF($C178='Batt IN'!$H$54*12,-'Batt IN'!$F$54,0),0)</f>
        <v>0</v>
      </c>
      <c r="AK178" s="2">
        <f>IF(AND('Batt IN'!$D$53="Yes",$AL$1&gt;=2),IF($C178='Batt IN'!$H$55*12,-'Batt IN'!$F$55,0),0)</f>
        <v>0</v>
      </c>
      <c r="AL178" s="2">
        <f>IF(AND('Batt IN'!$D$53="Yes",$AL$1&gt;=3),IF($C178='Batt IN'!$H$56*12,-'Batt IN'!$F$56,0),0)</f>
        <v>0</v>
      </c>
      <c r="AM178" s="2">
        <f>IF(AND('Batt IN'!$D$53="Yes",$AL$1&gt;=4),IF($C178='Batt IN'!$H$57*12,-'Batt IN'!$F$57,0),0)</f>
        <v>0</v>
      </c>
      <c r="AN178" s="2">
        <f>IF(AND('Batt IN'!$D$53="Yes",$AL$1&gt;=5),IF($C178='Batt IN'!$H$58*12,-'Batt IN'!$F$58,0),0)</f>
        <v>0</v>
      </c>
      <c r="AO178" s="10">
        <f>IF(AND('Batt IN'!$D$44="YES",$C178&lt;='Batt IN'!$E$44*12),-'Batt IN'!$E$28*'Batt IN'!$E$42/12,0)</f>
        <v>0</v>
      </c>
      <c r="AP178" s="10">
        <f>IF(AND('Batt IN'!$D$46="YES",$C178&lt;='Batt IN'!$E$46*12),-'Batt IN'!$E$28*'Batt IN'!$E$45/12,0)</f>
        <v>0</v>
      </c>
      <c r="AR178" s="10">
        <f>BattLoan!M205</f>
        <v>0</v>
      </c>
      <c r="AS178" s="10">
        <f>'Batt IN'!$G$16*365/12*'Batt IN'!$E$16</f>
        <v>76.041666666666671</v>
      </c>
      <c r="AT178" s="10">
        <f>IF(AND('Batt IN'!$E$18&gt;0,'Batt IN'!$G$18&gt;0),'Batt IN'!$E$17*'Batt IN'!$G$17,0)</f>
        <v>119.44619999999999</v>
      </c>
      <c r="AU178" s="10">
        <f>IF(AND('Batt IN'!$E$20&gt;0,'Batt IN'!$G$20&gt;0),'Batt IN'!$E$19*'Batt IN'!$G$19,0)</f>
        <v>231</v>
      </c>
      <c r="AV178" s="10"/>
      <c r="AW178" s="10"/>
      <c r="AX178" s="10">
        <f>IF('Batt IN'!$E$11="Non-Taxable",Q178,0)</f>
        <v>11168.08</v>
      </c>
      <c r="AY178" s="10">
        <f>IF('Batt IN'!$E$11="Non-Taxable",'Batt IN'!$E$28/1000*'Batt IN'!$G$13*('Batt IN'!$E$13/12)*'Batt IN'!$E$12,0)</f>
        <v>244.42220833333334</v>
      </c>
      <c r="AZ178" s="10">
        <f>IF('Batt IN'!$E$11="Non-Taxable",$S178*'Batt IN'!$G$15*'Batt IN'!$E$28*'Batt IN'!$E$14/1000,0)</f>
        <v>0</v>
      </c>
      <c r="BA178" s="10">
        <f>IF('Batt IN'!$E$11="Non-Taxable",'Batt IN'!$E$21*'Batt IN'!$G$21/12,0)</f>
        <v>437.5</v>
      </c>
      <c r="BB178" s="10">
        <f>IF('Batt IN'!$E$11="Non-Taxable",'Batt IN'!$E$22*'Batt IN'!$G$22/12,0)</f>
        <v>1145.8333333333335</v>
      </c>
      <c r="BC178" s="10">
        <f>IF('Batt IN'!$E$11="Taxable",Q178,0)</f>
        <v>0</v>
      </c>
      <c r="BD178" s="10">
        <f>IF('Batt IN'!$E$11="Taxable",'Batt IN'!$E$28/1000*'Batt IN'!$G$13*('Batt IN'!$E$13/12)*'Batt IN'!$E$12,0)</f>
        <v>0</v>
      </c>
      <c r="BE178" s="10">
        <f>IF('Batt IN'!$E$11="Taxable",$S178*'Batt IN'!$G$15*'Batt IN'!$E$28*'Batt IN'!$E$14/1000,0)</f>
        <v>0</v>
      </c>
      <c r="BF178" s="10">
        <f>IF('Batt IN'!$E$11="Taxable",'Batt IN'!$E$21*'Batt IN'!$G$21/12,0)</f>
        <v>0</v>
      </c>
      <c r="BG178" s="10">
        <f>IF('Batt IN'!$E$11="Taxable",'Batt IN'!$E$22*'Batt IN'!$G$22/12,0)</f>
        <v>0</v>
      </c>
      <c r="BK178" s="10">
        <f>IF('Batt IN'!$N$18="Yes",-BattLoan!H206,-BattLoan!L206)</f>
        <v>0</v>
      </c>
      <c r="BL178" s="10">
        <f>IF('Batt IN'!$N$18="Yes",-BattLoan!F206,0)</f>
        <v>0</v>
      </c>
      <c r="BM178" s="10">
        <f>IF(AND('Batt IN'!$D$44="YES",$C178&lt;='Batt IN'!$E$44*12),0,-'Batt IN'!$E$28*'Batt IN'!$E$42/12)</f>
        <v>-83.333333333333329</v>
      </c>
      <c r="BN178" s="10">
        <f>IF(AND('Batt IN'!$D$46="YES",$C178&lt;='Batt IN'!$E$46*12),0,-'Batt IN'!$E$28*'Batt IN'!$E$45/12)</f>
        <v>-166.66666666666666</v>
      </c>
      <c r="BO178" s="2">
        <f>IF(AND('Batt IN'!$D$41="YES",BattCalcs!C178=ROUNDUP('Batt IN'!$H$41*12,)),-'Batt IN'!$E$41*'Batt IN'!$E$28,0)</f>
        <v>0</v>
      </c>
      <c r="BP178" s="2">
        <f>IF(AND('Batt IN'!$D$53="Yes",$AL$1&gt;=1),0,IF($C178='Batt IN'!$H$54*12,-'Batt IN'!$F$54,0))</f>
        <v>0</v>
      </c>
      <c r="BQ178" s="2">
        <f>IF(AND('Batt IN'!$D$53="Yes",$AL$1&gt;=2),0,IF($C178='Batt IN'!$H$55*12,-'Batt IN'!$F$55,0))</f>
        <v>0</v>
      </c>
      <c r="BR178" s="2">
        <f>IF(AND('Batt IN'!$D$53="Yes",$AL$1&gt;=3),0,IF($C178='Batt IN'!$H$56*12,-'Batt IN'!$F$56,0))</f>
        <v>0</v>
      </c>
      <c r="BS178" s="2">
        <f>IF(AND('Batt IN'!$D$53="Yes",$AL$1&gt;=4),0,IF($C178='Batt IN'!$H$57*12,-'Batt IN'!$F$57,0))</f>
        <v>0</v>
      </c>
      <c r="BT178" s="2">
        <f>IF(AND('Batt IN'!$D$53="Yes",$AL$1&gt;=5),0,IF($C178='Batt IN'!$H$58*12,-'Batt IN'!$F$58,0))</f>
        <v>0</v>
      </c>
      <c r="BU178" s="2">
        <f>-AH178*PVCalcs!F178</f>
        <v>-371.28550130835811</v>
      </c>
      <c r="BV178" s="2">
        <f>-'Batt IN'!$E$47</f>
        <v>-150</v>
      </c>
      <c r="BW178" s="2">
        <f>-'Batt IN'!$E$49</f>
        <v>-2250</v>
      </c>
      <c r="BX178" s="2">
        <f>IF('Batt IN'!$H$50="No",-(BC178*'Batt IN'!$E$50),-(BC178+BE178)*'Batt IN'!$E$50)</f>
        <v>0</v>
      </c>
      <c r="BY178" s="2">
        <f>IF(C178='Batt IN'!$H$43*12,-'Batt IN'!$E$43,0)</f>
        <v>0</v>
      </c>
      <c r="BZ178" s="38"/>
      <c r="CA178" s="10">
        <f t="shared" si="34"/>
        <v>13422.323408333334</v>
      </c>
      <c r="CB178" s="2">
        <f t="shared" si="38"/>
        <v>-3021.2855013083581</v>
      </c>
      <c r="CC178" s="45">
        <f t="shared" si="39"/>
        <v>10401.037907024976</v>
      </c>
      <c r="CD178" s="43"/>
      <c r="CE178" s="2">
        <f t="shared" si="35"/>
        <v>0</v>
      </c>
      <c r="CF178" s="2">
        <f t="shared" si="40"/>
        <v>-3021.2855013083581</v>
      </c>
      <c r="CG178" s="2"/>
      <c r="CH178" s="2">
        <f t="shared" si="41"/>
        <v>-3021.2855013083581</v>
      </c>
      <c r="CI178" s="45">
        <f>-CH178*'Batt IN'!$E$7</f>
        <v>634.46995527475519</v>
      </c>
      <c r="CJ178" s="48"/>
      <c r="CK178" s="45">
        <f>IF('Batt IN'!$F$4="PV Only",0,IF(C178&gt;'Batt IN'!$H$43*12,0,CC178+CI178))</f>
        <v>0</v>
      </c>
      <c r="CM178" s="10">
        <f t="shared" si="42"/>
        <v>0</v>
      </c>
      <c r="CN178" s="2">
        <f>CK178/(1+('Batt IN'!$G$8))^(C178)</f>
        <v>0</v>
      </c>
      <c r="CO178" s="2">
        <f>IF(C178&lt;='Batt IN'!$O$30*12,CN178+CO177,NA())</f>
        <v>0</v>
      </c>
      <c r="CQ178" s="2">
        <f>CK178/((1+('Batt IN'!$E$8/12))^BattCalcs!C178)</f>
        <v>0</v>
      </c>
      <c r="CS178" s="10">
        <f t="shared" si="43"/>
        <v>-3021.2855013083581</v>
      </c>
      <c r="CT178" s="10">
        <f t="shared" si="44"/>
        <v>0</v>
      </c>
      <c r="CU178" s="10">
        <f t="shared" si="45"/>
        <v>-3021.2855013083581</v>
      </c>
      <c r="CV178" s="10">
        <f t="shared" si="46"/>
        <v>-3021.2855013083581</v>
      </c>
      <c r="CW178" s="2">
        <f t="shared" si="47"/>
        <v>0</v>
      </c>
      <c r="CX178" s="2">
        <f>-(SUM(CV178:CW178)*'PV IN'!$E$8)</f>
        <v>634.46995527475519</v>
      </c>
      <c r="CY178" s="2">
        <f t="shared" si="48"/>
        <v>-2386.8155460336029</v>
      </c>
      <c r="CZ178" s="2">
        <f>IF(C178&lt;='Batt IN'!$H$43*12,CY178/(1+('PV IN'!$G$9))^(C178),0)</f>
        <v>-1176.4514825402912</v>
      </c>
      <c r="DA178" s="33">
        <f>IF(C178&lt;='Batt IN'!$H$43*12,AE178,0)</f>
        <v>30366.783333333333</v>
      </c>
    </row>
    <row r="179" spans="1:105" x14ac:dyDescent="0.25">
      <c r="A179">
        <f>IF(C179&lt;='Batt IN'!$H$43*12,C179,"")</f>
        <v>175</v>
      </c>
      <c r="C179">
        <v>175</v>
      </c>
      <c r="D179" s="21">
        <v>730</v>
      </c>
      <c r="E179" s="1">
        <f>1-'Batt IN'!$E$31</f>
        <v>2.0000000000000018E-2</v>
      </c>
      <c r="F179" s="12">
        <f>('Batt IN'!$E$33*365)/8760</f>
        <v>0</v>
      </c>
      <c r="G179" s="22">
        <f>'Batt IN'!$E$32/8760</f>
        <v>5.7077625570776253E-3</v>
      </c>
      <c r="H179" s="22">
        <f>'Batt IN'!$E$13/8760</f>
        <v>5.5936073059360729E-3</v>
      </c>
      <c r="I179" s="23">
        <f>IF(C179&lt;='Batt IN'!$G$14*12,'Batt IN'!$E$15/8760*'Batt IN'!$G$15,0)</f>
        <v>0</v>
      </c>
      <c r="J179" s="12">
        <f>Z179/'Batt IN'!$E$27/730</f>
        <v>2.4999999999999996E-3</v>
      </c>
      <c r="K179" s="23">
        <f>AA179/'Batt IN'!$E$27/730</f>
        <v>1.6027397260273972E-3</v>
      </c>
      <c r="L179" s="23">
        <f>AB179/'Batt IN'!$E$27/730</f>
        <v>2.0547945205479451E-4</v>
      </c>
      <c r="M179" s="23">
        <f>AC179/'Batt IN'!$E$27/730</f>
        <v>4.7945205479452057E-3</v>
      </c>
      <c r="N179" s="23">
        <f>AD179/'Batt IN'!$E$27/730</f>
        <v>3.4246575342465752E-3</v>
      </c>
      <c r="O179" s="12">
        <f t="shared" si="36"/>
        <v>4.3828767123287697E-2</v>
      </c>
      <c r="P179" s="21">
        <f t="shared" si="37"/>
        <v>698.005</v>
      </c>
      <c r="Q179" s="2">
        <f>IF('Batt IN'!$E$27*'Batt IN'!$E$24&lt;='Batt IN'!$E$28,(('Batt IN'!$E$23*'Batt IN'!$E$27*'Batt IN'!$E$24)/1000)*P179,(('Batt IN'!$E$23*'Batt IN'!$E$28*'Batt IN'!$E$24)/1000)*P179)</f>
        <v>11168.08</v>
      </c>
      <c r="R179" s="2"/>
      <c r="S179" s="77">
        <f>IF(C179&lt;='Batt IN'!$G$14*12,'Batt IN'!$E$15/12,0)</f>
        <v>0</v>
      </c>
      <c r="T179" s="77"/>
      <c r="U179" s="80">
        <f>'Batt IN'!$E$28*('Batt IN'!$G$24/24)*730*(1-O179)</f>
        <v>81433.916666666657</v>
      </c>
      <c r="V179" s="78">
        <f>U179*'Batt IN'!$F$30</f>
        <v>16286.783333333333</v>
      </c>
      <c r="W179" s="78">
        <f>'Batt IN'!$E$28*'Batt IN'!$G$32*('Batt IN'!$E$32/12)*(1+'Batt IN'!$F$30)</f>
        <v>1750.0000000000002</v>
      </c>
      <c r="X179" s="78">
        <f>'Batt IN'!$E$28*'Batt IN'!$G$13*('Batt IN'!$E$13/12)*(1+'Batt IN'!$F$30)</f>
        <v>3184.9999999999995</v>
      </c>
      <c r="Y179" s="33">
        <f>S179*'Batt IN'!$G$15*'Batt IN'!$E$28*(1+'Batt IN'!$F$30)</f>
        <v>0</v>
      </c>
      <c r="Z179" s="33">
        <f>'Batt IN'!$G$16*365/12*(1+'Batt IN'!$F$30)</f>
        <v>1824.9999999999998</v>
      </c>
      <c r="AA179" s="33">
        <f>'Batt IN'!$G$17*'Batt IN'!$E$18*'Batt IN'!$G$18/12*(1+'Batt IN'!$F$30)</f>
        <v>1170</v>
      </c>
      <c r="AB179" s="33">
        <f>'Batt IN'!$G$19*'Batt IN'!$E$20*'Batt IN'!$G$20/12*(1+'Batt IN'!$F$30)</f>
        <v>150</v>
      </c>
      <c r="AC179" s="33">
        <f>'Batt IN'!$G$21*(1+'Batt IN'!$F$30)/12</f>
        <v>3500</v>
      </c>
      <c r="AD179" s="33">
        <f>'Batt IN'!$G$22*(1+'Batt IN'!$F$30)/12</f>
        <v>2500</v>
      </c>
      <c r="AE179" s="33">
        <f t="shared" si="49"/>
        <v>30366.783333333333</v>
      </c>
      <c r="AF179" s="33">
        <f>IF('PV IN'!$F$4="Battery Only",0,AE179*'Batt IN'!$E$29)</f>
        <v>25811.765833333331</v>
      </c>
      <c r="AG179" s="33">
        <f>PVCalcs!L179</f>
        <v>25811.765833333331</v>
      </c>
      <c r="AH179" s="33">
        <f t="shared" si="50"/>
        <v>4555.0175000000017</v>
      </c>
      <c r="AI179" s="33"/>
      <c r="AJ179" s="2">
        <f>IF(AND('Batt IN'!$D$53="Yes",$AL$1&gt;=1),IF($C179='Batt IN'!$H$54*12,-'Batt IN'!$F$54,0),0)</f>
        <v>0</v>
      </c>
      <c r="AK179" s="2">
        <f>IF(AND('Batt IN'!$D$53="Yes",$AL$1&gt;=2),IF($C179='Batt IN'!$H$55*12,-'Batt IN'!$F$55,0),0)</f>
        <v>0</v>
      </c>
      <c r="AL179" s="2">
        <f>IF(AND('Batt IN'!$D$53="Yes",$AL$1&gt;=3),IF($C179='Batt IN'!$H$56*12,-'Batt IN'!$F$56,0),0)</f>
        <v>0</v>
      </c>
      <c r="AM179" s="2">
        <f>IF(AND('Batt IN'!$D$53="Yes",$AL$1&gt;=4),IF($C179='Batt IN'!$H$57*12,-'Batt IN'!$F$57,0),0)</f>
        <v>0</v>
      </c>
      <c r="AN179" s="2">
        <f>IF(AND('Batt IN'!$D$53="Yes",$AL$1&gt;=5),IF($C179='Batt IN'!$H$58*12,-'Batt IN'!$F$58,0),0)</f>
        <v>0</v>
      </c>
      <c r="AO179" s="10">
        <f>IF(AND('Batt IN'!$D$44="YES",$C179&lt;='Batt IN'!$E$44*12),-'Batt IN'!$E$28*'Batt IN'!$E$42/12,0)</f>
        <v>0</v>
      </c>
      <c r="AP179" s="10">
        <f>IF(AND('Batt IN'!$D$46="YES",$C179&lt;='Batt IN'!$E$46*12),-'Batt IN'!$E$28*'Batt IN'!$E$45/12,0)</f>
        <v>0</v>
      </c>
      <c r="AR179" s="10">
        <f>BattLoan!M206</f>
        <v>0</v>
      </c>
      <c r="AS179" s="10">
        <f>'Batt IN'!$G$16*365/12*'Batt IN'!$E$16</f>
        <v>76.041666666666671</v>
      </c>
      <c r="AT179" s="10">
        <f>IF(AND('Batt IN'!$E$18&gt;0,'Batt IN'!$G$18&gt;0),'Batt IN'!$E$17*'Batt IN'!$G$17,0)</f>
        <v>119.44619999999999</v>
      </c>
      <c r="AU179" s="10">
        <f>IF(AND('Batt IN'!$E$20&gt;0,'Batt IN'!$G$20&gt;0),'Batt IN'!$E$19*'Batt IN'!$G$19,0)</f>
        <v>231</v>
      </c>
      <c r="AV179" s="10"/>
      <c r="AW179" s="10"/>
      <c r="AX179" s="10">
        <f>IF('Batt IN'!$E$11="Non-Taxable",Q179,0)</f>
        <v>11168.08</v>
      </c>
      <c r="AY179" s="10">
        <f>IF('Batt IN'!$E$11="Non-Taxable",'Batt IN'!$E$28/1000*'Batt IN'!$G$13*('Batt IN'!$E$13/12)*'Batt IN'!$E$12,0)</f>
        <v>244.42220833333334</v>
      </c>
      <c r="AZ179" s="10">
        <f>IF('Batt IN'!$E$11="Non-Taxable",$S179*'Batt IN'!$G$15*'Batt IN'!$E$28*'Batt IN'!$E$14/1000,0)</f>
        <v>0</v>
      </c>
      <c r="BA179" s="10">
        <f>IF('Batt IN'!$E$11="Non-Taxable",'Batt IN'!$E$21*'Batt IN'!$G$21/12,0)</f>
        <v>437.5</v>
      </c>
      <c r="BB179" s="10">
        <f>IF('Batt IN'!$E$11="Non-Taxable",'Batt IN'!$E$22*'Batt IN'!$G$22/12,0)</f>
        <v>1145.8333333333335</v>
      </c>
      <c r="BC179" s="10">
        <f>IF('Batt IN'!$E$11="Taxable",Q179,0)</f>
        <v>0</v>
      </c>
      <c r="BD179" s="10">
        <f>IF('Batt IN'!$E$11="Taxable",'Batt IN'!$E$28/1000*'Batt IN'!$G$13*('Batt IN'!$E$13/12)*'Batt IN'!$E$12,0)</f>
        <v>0</v>
      </c>
      <c r="BE179" s="10">
        <f>IF('Batt IN'!$E$11="Taxable",$S179*'Batt IN'!$G$15*'Batt IN'!$E$28*'Batt IN'!$E$14/1000,0)</f>
        <v>0</v>
      </c>
      <c r="BF179" s="10">
        <f>IF('Batt IN'!$E$11="Taxable",'Batt IN'!$E$21*'Batt IN'!$G$21/12,0)</f>
        <v>0</v>
      </c>
      <c r="BG179" s="10">
        <f>IF('Batt IN'!$E$11="Taxable",'Batt IN'!$E$22*'Batt IN'!$G$22/12,0)</f>
        <v>0</v>
      </c>
      <c r="BK179" s="10">
        <f>IF('Batt IN'!$N$18="Yes",-BattLoan!H207,-BattLoan!L207)</f>
        <v>0</v>
      </c>
      <c r="BL179" s="10">
        <f>IF('Batt IN'!$N$18="Yes",-BattLoan!F207,0)</f>
        <v>0</v>
      </c>
      <c r="BM179" s="10">
        <f>IF(AND('Batt IN'!$D$44="YES",$C179&lt;='Batt IN'!$E$44*12),0,-'Batt IN'!$E$28*'Batt IN'!$E$42/12)</f>
        <v>-83.333333333333329</v>
      </c>
      <c r="BN179" s="10">
        <f>IF(AND('Batt IN'!$D$46="YES",$C179&lt;='Batt IN'!$E$46*12),0,-'Batt IN'!$E$28*'Batt IN'!$E$45/12)</f>
        <v>-166.66666666666666</v>
      </c>
      <c r="BO179" s="2">
        <f>IF(AND('Batt IN'!$D$41="YES",BattCalcs!C179=ROUNDUP('Batt IN'!$H$41*12,)),-'Batt IN'!$E$41*'Batt IN'!$E$28,0)</f>
        <v>0</v>
      </c>
      <c r="BP179" s="2">
        <f>IF(AND('Batt IN'!$D$53="Yes",$AL$1&gt;=1),0,IF($C179='Batt IN'!$H$54*12,-'Batt IN'!$F$54,0))</f>
        <v>0</v>
      </c>
      <c r="BQ179" s="2">
        <f>IF(AND('Batt IN'!$D$53="Yes",$AL$1&gt;=2),0,IF($C179='Batt IN'!$H$55*12,-'Batt IN'!$F$55,0))</f>
        <v>0</v>
      </c>
      <c r="BR179" s="2">
        <f>IF(AND('Batt IN'!$D$53="Yes",$AL$1&gt;=3),0,IF($C179='Batt IN'!$H$56*12,-'Batt IN'!$F$56,0))</f>
        <v>0</v>
      </c>
      <c r="BS179" s="2">
        <f>IF(AND('Batt IN'!$D$53="Yes",$AL$1&gt;=4),0,IF($C179='Batt IN'!$H$57*12,-'Batt IN'!$F$57,0))</f>
        <v>0</v>
      </c>
      <c r="BT179" s="2">
        <f>IF(AND('Batt IN'!$D$53="Yes",$AL$1&gt;=5),0,IF($C179='Batt IN'!$H$58*12,-'Batt IN'!$F$58,0))</f>
        <v>0</v>
      </c>
      <c r="BU179" s="2">
        <f>-AH179*PVCalcs!F179</f>
        <v>-371.28550130835811</v>
      </c>
      <c r="BV179" s="2">
        <f>-'Batt IN'!$E$47</f>
        <v>-150</v>
      </c>
      <c r="BW179" s="2">
        <f>-'Batt IN'!$E$49</f>
        <v>-2250</v>
      </c>
      <c r="BX179" s="2">
        <f>IF('Batt IN'!$H$50="No",-(BC179*'Batt IN'!$E$50),-(BC179+BE179)*'Batt IN'!$E$50)</f>
        <v>0</v>
      </c>
      <c r="BY179" s="2">
        <f>IF(C179='Batt IN'!$H$43*12,-'Batt IN'!$E$43,0)</f>
        <v>0</v>
      </c>
      <c r="BZ179" s="38"/>
      <c r="CA179" s="10">
        <f t="shared" si="34"/>
        <v>13422.323408333334</v>
      </c>
      <c r="CB179" s="2">
        <f t="shared" si="38"/>
        <v>-3021.2855013083581</v>
      </c>
      <c r="CC179" s="45">
        <f t="shared" si="39"/>
        <v>10401.037907024976</v>
      </c>
      <c r="CD179" s="43"/>
      <c r="CE179" s="2">
        <f t="shared" si="35"/>
        <v>0</v>
      </c>
      <c r="CF179" s="2">
        <f t="shared" si="40"/>
        <v>-3021.2855013083581</v>
      </c>
      <c r="CG179" s="2"/>
      <c r="CH179" s="2">
        <f t="shared" si="41"/>
        <v>-3021.2855013083581</v>
      </c>
      <c r="CI179" s="45">
        <f>-CH179*'Batt IN'!$E$7</f>
        <v>634.46995527475519</v>
      </c>
      <c r="CJ179" s="48"/>
      <c r="CK179" s="45">
        <f>IF('Batt IN'!$F$4="PV Only",0,IF(C179&gt;'Batt IN'!$H$43*12,0,CC179+CI179))</f>
        <v>0</v>
      </c>
      <c r="CM179" s="10">
        <f t="shared" si="42"/>
        <v>0</v>
      </c>
      <c r="CN179" s="2">
        <f>CK179/(1+('Batt IN'!$G$8))^(C179)</f>
        <v>0</v>
      </c>
      <c r="CO179" s="2">
        <f>IF(C179&lt;='Batt IN'!$O$30*12,CN179+CO178,NA())</f>
        <v>0</v>
      </c>
      <c r="CQ179" s="2">
        <f>CK179/((1+('Batt IN'!$E$8/12))^BattCalcs!C179)</f>
        <v>0</v>
      </c>
      <c r="CS179" s="10">
        <f t="shared" si="43"/>
        <v>-3021.2855013083581</v>
      </c>
      <c r="CT179" s="10">
        <f t="shared" si="44"/>
        <v>0</v>
      </c>
      <c r="CU179" s="10">
        <f t="shared" si="45"/>
        <v>-3021.2855013083581</v>
      </c>
      <c r="CV179" s="10">
        <f t="shared" si="46"/>
        <v>-3021.2855013083581</v>
      </c>
      <c r="CW179" s="2">
        <f t="shared" si="47"/>
        <v>0</v>
      </c>
      <c r="CX179" s="2">
        <f>-(SUM(CV179:CW179)*'PV IN'!$E$8)</f>
        <v>634.46995527475519</v>
      </c>
      <c r="CY179" s="2">
        <f t="shared" si="48"/>
        <v>-2386.8155460336029</v>
      </c>
      <c r="CZ179" s="2">
        <f>IF(C179&lt;='Batt IN'!$H$43*12,CY179/(1+('PV IN'!$G$9))^(C179),0)</f>
        <v>-1171.6779216529089</v>
      </c>
      <c r="DA179" s="33">
        <f>IF(C179&lt;='Batt IN'!$H$43*12,AE179,0)</f>
        <v>30366.783333333333</v>
      </c>
    </row>
    <row r="180" spans="1:105" x14ac:dyDescent="0.25">
      <c r="A180">
        <f>IF(C180&lt;='Batt IN'!$H$43*12,C180,"")</f>
        <v>176</v>
      </c>
      <c r="C180">
        <v>176</v>
      </c>
      <c r="D180" s="21">
        <v>730</v>
      </c>
      <c r="E180" s="1">
        <f>1-'Batt IN'!$E$31</f>
        <v>2.0000000000000018E-2</v>
      </c>
      <c r="F180" s="12">
        <f>('Batt IN'!$E$33*365)/8760</f>
        <v>0</v>
      </c>
      <c r="G180" s="22">
        <f>'Batt IN'!$E$32/8760</f>
        <v>5.7077625570776253E-3</v>
      </c>
      <c r="H180" s="22">
        <f>'Batt IN'!$E$13/8760</f>
        <v>5.5936073059360729E-3</v>
      </c>
      <c r="I180" s="23">
        <f>IF(C180&lt;='Batt IN'!$G$14*12,'Batt IN'!$E$15/8760*'Batt IN'!$G$15,0)</f>
        <v>0</v>
      </c>
      <c r="J180" s="12">
        <f>Z180/'Batt IN'!$E$27/730</f>
        <v>2.4999999999999996E-3</v>
      </c>
      <c r="K180" s="23">
        <f>AA180/'Batt IN'!$E$27/730</f>
        <v>1.6027397260273972E-3</v>
      </c>
      <c r="L180" s="23">
        <f>AB180/'Batt IN'!$E$27/730</f>
        <v>2.0547945205479451E-4</v>
      </c>
      <c r="M180" s="23">
        <f>AC180/'Batt IN'!$E$27/730</f>
        <v>4.7945205479452057E-3</v>
      </c>
      <c r="N180" s="23">
        <f>AD180/'Batt IN'!$E$27/730</f>
        <v>3.4246575342465752E-3</v>
      </c>
      <c r="O180" s="12">
        <f t="shared" si="36"/>
        <v>4.3828767123287697E-2</v>
      </c>
      <c r="P180" s="21">
        <f t="shared" si="37"/>
        <v>698.005</v>
      </c>
      <c r="Q180" s="2">
        <f>IF('Batt IN'!$E$27*'Batt IN'!$E$24&lt;='Batt IN'!$E$28,(('Batt IN'!$E$23*'Batt IN'!$E$27*'Batt IN'!$E$24)/1000)*P180,(('Batt IN'!$E$23*'Batt IN'!$E$28*'Batt IN'!$E$24)/1000)*P180)</f>
        <v>11168.08</v>
      </c>
      <c r="R180" s="2"/>
      <c r="S180" s="77">
        <f>IF(C180&lt;='Batt IN'!$G$14*12,'Batt IN'!$E$15/12,0)</f>
        <v>0</v>
      </c>
      <c r="T180" s="77"/>
      <c r="U180" s="80">
        <f>'Batt IN'!$E$28*('Batt IN'!$G$24/24)*730*(1-O180)</f>
        <v>81433.916666666657</v>
      </c>
      <c r="V180" s="78">
        <f>U180*'Batt IN'!$F$30</f>
        <v>16286.783333333333</v>
      </c>
      <c r="W180" s="78">
        <f>'Batt IN'!$E$28*'Batt IN'!$G$32*('Batt IN'!$E$32/12)*(1+'Batt IN'!$F$30)</f>
        <v>1750.0000000000002</v>
      </c>
      <c r="X180" s="78">
        <f>'Batt IN'!$E$28*'Batt IN'!$G$13*('Batt IN'!$E$13/12)*(1+'Batt IN'!$F$30)</f>
        <v>3184.9999999999995</v>
      </c>
      <c r="Y180" s="33">
        <f>S180*'Batt IN'!$G$15*'Batt IN'!$E$28*(1+'Batt IN'!$F$30)</f>
        <v>0</v>
      </c>
      <c r="Z180" s="33">
        <f>'Batt IN'!$G$16*365/12*(1+'Batt IN'!$F$30)</f>
        <v>1824.9999999999998</v>
      </c>
      <c r="AA180" s="33">
        <f>'Batt IN'!$G$17*'Batt IN'!$E$18*'Batt IN'!$G$18/12*(1+'Batt IN'!$F$30)</f>
        <v>1170</v>
      </c>
      <c r="AB180" s="33">
        <f>'Batt IN'!$G$19*'Batt IN'!$E$20*'Batt IN'!$G$20/12*(1+'Batt IN'!$F$30)</f>
        <v>150</v>
      </c>
      <c r="AC180" s="33">
        <f>'Batt IN'!$G$21*(1+'Batt IN'!$F$30)/12</f>
        <v>3500</v>
      </c>
      <c r="AD180" s="33">
        <f>'Batt IN'!$G$22*(1+'Batt IN'!$F$30)/12</f>
        <v>2500</v>
      </c>
      <c r="AE180" s="33">
        <f t="shared" si="49"/>
        <v>30366.783333333333</v>
      </c>
      <c r="AF180" s="33">
        <f>IF('PV IN'!$F$4="Battery Only",0,AE180*'Batt IN'!$E$29)</f>
        <v>25811.765833333331</v>
      </c>
      <c r="AG180" s="33">
        <f>PVCalcs!L180</f>
        <v>25811.765833333331</v>
      </c>
      <c r="AH180" s="33">
        <f t="shared" si="50"/>
        <v>4555.0175000000017</v>
      </c>
      <c r="AI180" s="33"/>
      <c r="AJ180" s="2">
        <f>IF(AND('Batt IN'!$D$53="Yes",$AL$1&gt;=1),IF($C180='Batt IN'!$H$54*12,-'Batt IN'!$F$54,0),0)</f>
        <v>0</v>
      </c>
      <c r="AK180" s="2">
        <f>IF(AND('Batt IN'!$D$53="Yes",$AL$1&gt;=2),IF($C180='Batt IN'!$H$55*12,-'Batt IN'!$F$55,0),0)</f>
        <v>0</v>
      </c>
      <c r="AL180" s="2">
        <f>IF(AND('Batt IN'!$D$53="Yes",$AL$1&gt;=3),IF($C180='Batt IN'!$H$56*12,-'Batt IN'!$F$56,0),0)</f>
        <v>0</v>
      </c>
      <c r="AM180" s="2">
        <f>IF(AND('Batt IN'!$D$53="Yes",$AL$1&gt;=4),IF($C180='Batt IN'!$H$57*12,-'Batt IN'!$F$57,0),0)</f>
        <v>0</v>
      </c>
      <c r="AN180" s="2">
        <f>IF(AND('Batt IN'!$D$53="Yes",$AL$1&gt;=5),IF($C180='Batt IN'!$H$58*12,-'Batt IN'!$F$58,0),0)</f>
        <v>0</v>
      </c>
      <c r="AO180" s="10">
        <f>IF(AND('Batt IN'!$D$44="YES",$C180&lt;='Batt IN'!$E$44*12),-'Batt IN'!$E$28*'Batt IN'!$E$42/12,0)</f>
        <v>0</v>
      </c>
      <c r="AP180" s="10">
        <f>IF(AND('Batt IN'!$D$46="YES",$C180&lt;='Batt IN'!$E$46*12),-'Batt IN'!$E$28*'Batt IN'!$E$45/12,0)</f>
        <v>0</v>
      </c>
      <c r="AR180" s="10">
        <f>BattLoan!M207</f>
        <v>0</v>
      </c>
      <c r="AS180" s="10">
        <f>'Batt IN'!$G$16*365/12*'Batt IN'!$E$16</f>
        <v>76.041666666666671</v>
      </c>
      <c r="AT180" s="10">
        <f>IF(AND('Batt IN'!$E$18&gt;0,'Batt IN'!$G$18&gt;0),'Batt IN'!$E$17*'Batt IN'!$G$17,0)</f>
        <v>119.44619999999999</v>
      </c>
      <c r="AU180" s="10">
        <f>IF(AND('Batt IN'!$E$20&gt;0,'Batt IN'!$G$20&gt;0),'Batt IN'!$E$19*'Batt IN'!$G$19,0)</f>
        <v>231</v>
      </c>
      <c r="AV180" s="10"/>
      <c r="AW180" s="10"/>
      <c r="AX180" s="10">
        <f>IF('Batt IN'!$E$11="Non-Taxable",Q180,0)</f>
        <v>11168.08</v>
      </c>
      <c r="AY180" s="10">
        <f>IF('Batt IN'!$E$11="Non-Taxable",'Batt IN'!$E$28/1000*'Batt IN'!$G$13*('Batt IN'!$E$13/12)*'Batt IN'!$E$12,0)</f>
        <v>244.42220833333334</v>
      </c>
      <c r="AZ180" s="10">
        <f>IF('Batt IN'!$E$11="Non-Taxable",$S180*'Batt IN'!$G$15*'Batt IN'!$E$28*'Batt IN'!$E$14/1000,0)</f>
        <v>0</v>
      </c>
      <c r="BA180" s="10">
        <f>IF('Batt IN'!$E$11="Non-Taxable",'Batt IN'!$E$21*'Batt IN'!$G$21/12,0)</f>
        <v>437.5</v>
      </c>
      <c r="BB180" s="10">
        <f>IF('Batt IN'!$E$11="Non-Taxable",'Batt IN'!$E$22*'Batt IN'!$G$22/12,0)</f>
        <v>1145.8333333333335</v>
      </c>
      <c r="BC180" s="10">
        <f>IF('Batt IN'!$E$11="Taxable",Q180,0)</f>
        <v>0</v>
      </c>
      <c r="BD180" s="10">
        <f>IF('Batt IN'!$E$11="Taxable",'Batt IN'!$E$28/1000*'Batt IN'!$G$13*('Batt IN'!$E$13/12)*'Batt IN'!$E$12,0)</f>
        <v>0</v>
      </c>
      <c r="BE180" s="10">
        <f>IF('Batt IN'!$E$11="Taxable",$S180*'Batt IN'!$G$15*'Batt IN'!$E$28*'Batt IN'!$E$14/1000,0)</f>
        <v>0</v>
      </c>
      <c r="BF180" s="10">
        <f>IF('Batt IN'!$E$11="Taxable",'Batt IN'!$E$21*'Batt IN'!$G$21/12,0)</f>
        <v>0</v>
      </c>
      <c r="BG180" s="10">
        <f>IF('Batt IN'!$E$11="Taxable",'Batt IN'!$E$22*'Batt IN'!$G$22/12,0)</f>
        <v>0</v>
      </c>
      <c r="BK180" s="10">
        <f>IF('Batt IN'!$N$18="Yes",-BattLoan!H208,-BattLoan!L208)</f>
        <v>0</v>
      </c>
      <c r="BL180" s="10">
        <f>IF('Batt IN'!$N$18="Yes",-BattLoan!F208,0)</f>
        <v>0</v>
      </c>
      <c r="BM180" s="10">
        <f>IF(AND('Batt IN'!$D$44="YES",$C180&lt;='Batt IN'!$E$44*12),0,-'Batt IN'!$E$28*'Batt IN'!$E$42/12)</f>
        <v>-83.333333333333329</v>
      </c>
      <c r="BN180" s="10">
        <f>IF(AND('Batt IN'!$D$46="YES",$C180&lt;='Batt IN'!$E$46*12),0,-'Batt IN'!$E$28*'Batt IN'!$E$45/12)</f>
        <v>-166.66666666666666</v>
      </c>
      <c r="BO180" s="2">
        <f>IF(AND('Batt IN'!$D$41="YES",BattCalcs!C180=ROUNDUP('Batt IN'!$H$41*12,)),-'Batt IN'!$E$41*'Batt IN'!$E$28,0)</f>
        <v>0</v>
      </c>
      <c r="BP180" s="2">
        <f>IF(AND('Batt IN'!$D$53="Yes",$AL$1&gt;=1),0,IF($C180='Batt IN'!$H$54*12,-'Batt IN'!$F$54,0))</f>
        <v>0</v>
      </c>
      <c r="BQ180" s="2">
        <f>IF(AND('Batt IN'!$D$53="Yes",$AL$1&gt;=2),0,IF($C180='Batt IN'!$H$55*12,-'Batt IN'!$F$55,0))</f>
        <v>0</v>
      </c>
      <c r="BR180" s="2">
        <f>IF(AND('Batt IN'!$D$53="Yes",$AL$1&gt;=3),0,IF($C180='Batt IN'!$H$56*12,-'Batt IN'!$F$56,0))</f>
        <v>0</v>
      </c>
      <c r="BS180" s="2">
        <f>IF(AND('Batt IN'!$D$53="Yes",$AL$1&gt;=4),0,IF($C180='Batt IN'!$H$57*12,-'Batt IN'!$F$57,0))</f>
        <v>0</v>
      </c>
      <c r="BT180" s="2">
        <f>IF(AND('Batt IN'!$D$53="Yes",$AL$1&gt;=5),0,IF($C180='Batt IN'!$H$58*12,-'Batt IN'!$F$58,0))</f>
        <v>0</v>
      </c>
      <c r="BU180" s="2">
        <f>-AH180*PVCalcs!F180</f>
        <v>-371.28550130835811</v>
      </c>
      <c r="BV180" s="2">
        <f>-'Batt IN'!$E$47</f>
        <v>-150</v>
      </c>
      <c r="BW180" s="2">
        <f>-'Batt IN'!$E$49</f>
        <v>-2250</v>
      </c>
      <c r="BX180" s="2">
        <f>IF('Batt IN'!$H$50="No",-(BC180*'Batt IN'!$E$50),-(BC180+BE180)*'Batt IN'!$E$50)</f>
        <v>0</v>
      </c>
      <c r="BY180" s="2">
        <f>IF(C180='Batt IN'!$H$43*12,-'Batt IN'!$E$43,0)</f>
        <v>0</v>
      </c>
      <c r="BZ180" s="38"/>
      <c r="CA180" s="10">
        <f t="shared" si="34"/>
        <v>13422.323408333334</v>
      </c>
      <c r="CB180" s="2">
        <f t="shared" si="38"/>
        <v>-3021.2855013083581</v>
      </c>
      <c r="CC180" s="45">
        <f t="shared" si="39"/>
        <v>10401.037907024976</v>
      </c>
      <c r="CD180" s="43"/>
      <c r="CE180" s="2">
        <f t="shared" si="35"/>
        <v>0</v>
      </c>
      <c r="CF180" s="2">
        <f t="shared" si="40"/>
        <v>-3021.2855013083581</v>
      </c>
      <c r="CG180" s="2"/>
      <c r="CH180" s="2">
        <f t="shared" si="41"/>
        <v>-3021.2855013083581</v>
      </c>
      <c r="CI180" s="45">
        <f>-CH180*'Batt IN'!$E$7</f>
        <v>634.46995527475519</v>
      </c>
      <c r="CJ180" s="48"/>
      <c r="CK180" s="45">
        <f>IF('Batt IN'!$F$4="PV Only",0,IF(C180&gt;'Batt IN'!$H$43*12,0,CC180+CI180))</f>
        <v>0</v>
      </c>
      <c r="CM180" s="10">
        <f t="shared" si="42"/>
        <v>0</v>
      </c>
      <c r="CN180" s="2">
        <f>CK180/(1+('Batt IN'!$G$8))^(C180)</f>
        <v>0</v>
      </c>
      <c r="CO180" s="2">
        <f>IF(C180&lt;='Batt IN'!$O$30*12,CN180+CO179,NA())</f>
        <v>0</v>
      </c>
      <c r="CQ180" s="2">
        <f>CK180/((1+('Batt IN'!$E$8/12))^BattCalcs!C180)</f>
        <v>0</v>
      </c>
      <c r="CS180" s="10">
        <f t="shared" si="43"/>
        <v>-3021.2855013083581</v>
      </c>
      <c r="CT180" s="10">
        <f t="shared" si="44"/>
        <v>0</v>
      </c>
      <c r="CU180" s="10">
        <f t="shared" si="45"/>
        <v>-3021.2855013083581</v>
      </c>
      <c r="CV180" s="10">
        <f t="shared" si="46"/>
        <v>-3021.2855013083581</v>
      </c>
      <c r="CW180" s="2">
        <f t="shared" si="47"/>
        <v>0</v>
      </c>
      <c r="CX180" s="2">
        <f>-(SUM(CV180:CW180)*'PV IN'!$E$8)</f>
        <v>634.46995527475519</v>
      </c>
      <c r="CY180" s="2">
        <f t="shared" si="48"/>
        <v>-2386.8155460336029</v>
      </c>
      <c r="CZ180" s="2">
        <f>IF(C180&lt;='Batt IN'!$H$43*12,CY180/(1+('PV IN'!$G$9))^(C180),0)</f>
        <v>-1166.9237299310928</v>
      </c>
      <c r="DA180" s="33">
        <f>IF(C180&lt;='Batt IN'!$H$43*12,AE180,0)</f>
        <v>30366.783333333333</v>
      </c>
    </row>
    <row r="181" spans="1:105" x14ac:dyDescent="0.25">
      <c r="A181">
        <f>IF(C181&lt;='Batt IN'!$H$43*12,C181,"")</f>
        <v>177</v>
      </c>
      <c r="C181">
        <v>177</v>
      </c>
      <c r="D181" s="21">
        <v>730</v>
      </c>
      <c r="E181" s="1">
        <f>1-'Batt IN'!$E$31</f>
        <v>2.0000000000000018E-2</v>
      </c>
      <c r="F181" s="12">
        <f>('Batt IN'!$E$33*365)/8760</f>
        <v>0</v>
      </c>
      <c r="G181" s="22">
        <f>'Batt IN'!$E$32/8760</f>
        <v>5.7077625570776253E-3</v>
      </c>
      <c r="H181" s="22">
        <f>'Batt IN'!$E$13/8760</f>
        <v>5.5936073059360729E-3</v>
      </c>
      <c r="I181" s="23">
        <f>IF(C181&lt;='Batt IN'!$G$14*12,'Batt IN'!$E$15/8760*'Batt IN'!$G$15,0)</f>
        <v>0</v>
      </c>
      <c r="J181" s="12">
        <f>Z181/'Batt IN'!$E$27/730</f>
        <v>2.4999999999999996E-3</v>
      </c>
      <c r="K181" s="23">
        <f>AA181/'Batt IN'!$E$27/730</f>
        <v>1.6027397260273972E-3</v>
      </c>
      <c r="L181" s="23">
        <f>AB181/'Batt IN'!$E$27/730</f>
        <v>2.0547945205479451E-4</v>
      </c>
      <c r="M181" s="23">
        <f>AC181/'Batt IN'!$E$27/730</f>
        <v>4.7945205479452057E-3</v>
      </c>
      <c r="N181" s="23">
        <f>AD181/'Batt IN'!$E$27/730</f>
        <v>3.4246575342465752E-3</v>
      </c>
      <c r="O181" s="12">
        <f t="shared" si="36"/>
        <v>4.3828767123287697E-2</v>
      </c>
      <c r="P181" s="21">
        <f t="shared" si="37"/>
        <v>698.005</v>
      </c>
      <c r="Q181" s="2">
        <f>IF('Batt IN'!$E$27*'Batt IN'!$E$24&lt;='Batt IN'!$E$28,(('Batt IN'!$E$23*'Batt IN'!$E$27*'Batt IN'!$E$24)/1000)*P181,(('Batt IN'!$E$23*'Batt IN'!$E$28*'Batt IN'!$E$24)/1000)*P181)</f>
        <v>11168.08</v>
      </c>
      <c r="R181" s="2"/>
      <c r="S181" s="77">
        <f>IF(C181&lt;='Batt IN'!$G$14*12,'Batt IN'!$E$15/12,0)</f>
        <v>0</v>
      </c>
      <c r="T181" s="77"/>
      <c r="U181" s="80">
        <f>'Batt IN'!$E$28*('Batt IN'!$G$24/24)*730*(1-O181)</f>
        <v>81433.916666666657</v>
      </c>
      <c r="V181" s="78">
        <f>U181*'Batt IN'!$F$30</f>
        <v>16286.783333333333</v>
      </c>
      <c r="W181" s="78">
        <f>'Batt IN'!$E$28*'Batt IN'!$G$32*('Batt IN'!$E$32/12)*(1+'Batt IN'!$F$30)</f>
        <v>1750.0000000000002</v>
      </c>
      <c r="X181" s="78">
        <f>'Batt IN'!$E$28*'Batt IN'!$G$13*('Batt IN'!$E$13/12)*(1+'Batt IN'!$F$30)</f>
        <v>3184.9999999999995</v>
      </c>
      <c r="Y181" s="33">
        <f>S181*'Batt IN'!$G$15*'Batt IN'!$E$28*(1+'Batt IN'!$F$30)</f>
        <v>0</v>
      </c>
      <c r="Z181" s="33">
        <f>'Batt IN'!$G$16*365/12*(1+'Batt IN'!$F$30)</f>
        <v>1824.9999999999998</v>
      </c>
      <c r="AA181" s="33">
        <f>'Batt IN'!$G$17*'Batt IN'!$E$18*'Batt IN'!$G$18/12*(1+'Batt IN'!$F$30)</f>
        <v>1170</v>
      </c>
      <c r="AB181" s="33">
        <f>'Batt IN'!$G$19*'Batt IN'!$E$20*'Batt IN'!$G$20/12*(1+'Batt IN'!$F$30)</f>
        <v>150</v>
      </c>
      <c r="AC181" s="33">
        <f>'Batt IN'!$G$21*(1+'Batt IN'!$F$30)/12</f>
        <v>3500</v>
      </c>
      <c r="AD181" s="33">
        <f>'Batt IN'!$G$22*(1+'Batt IN'!$F$30)/12</f>
        <v>2500</v>
      </c>
      <c r="AE181" s="33">
        <f t="shared" si="49"/>
        <v>30366.783333333333</v>
      </c>
      <c r="AF181" s="33">
        <f>IF('PV IN'!$F$4="Battery Only",0,AE181*'Batt IN'!$E$29)</f>
        <v>25811.765833333331</v>
      </c>
      <c r="AG181" s="33">
        <f>PVCalcs!L181</f>
        <v>25811.765833333331</v>
      </c>
      <c r="AH181" s="33">
        <f t="shared" si="50"/>
        <v>4555.0175000000017</v>
      </c>
      <c r="AI181" s="33"/>
      <c r="AJ181" s="2">
        <f>IF(AND('Batt IN'!$D$53="Yes",$AL$1&gt;=1),IF($C181='Batt IN'!$H$54*12,-'Batt IN'!$F$54,0),0)</f>
        <v>0</v>
      </c>
      <c r="AK181" s="2">
        <f>IF(AND('Batt IN'!$D$53="Yes",$AL$1&gt;=2),IF($C181='Batt IN'!$H$55*12,-'Batt IN'!$F$55,0),0)</f>
        <v>0</v>
      </c>
      <c r="AL181" s="2">
        <f>IF(AND('Batt IN'!$D$53="Yes",$AL$1&gt;=3),IF($C181='Batt IN'!$H$56*12,-'Batt IN'!$F$56,0),0)</f>
        <v>0</v>
      </c>
      <c r="AM181" s="2">
        <f>IF(AND('Batt IN'!$D$53="Yes",$AL$1&gt;=4),IF($C181='Batt IN'!$H$57*12,-'Batt IN'!$F$57,0),0)</f>
        <v>0</v>
      </c>
      <c r="AN181" s="2">
        <f>IF(AND('Batt IN'!$D$53="Yes",$AL$1&gt;=5),IF($C181='Batt IN'!$H$58*12,-'Batt IN'!$F$58,0),0)</f>
        <v>0</v>
      </c>
      <c r="AO181" s="10">
        <f>IF(AND('Batt IN'!$D$44="YES",$C181&lt;='Batt IN'!$E$44*12),-'Batt IN'!$E$28*'Batt IN'!$E$42/12,0)</f>
        <v>0</v>
      </c>
      <c r="AP181" s="10">
        <f>IF(AND('Batt IN'!$D$46="YES",$C181&lt;='Batt IN'!$E$46*12),-'Batt IN'!$E$28*'Batt IN'!$E$45/12,0)</f>
        <v>0</v>
      </c>
      <c r="AR181" s="10">
        <f>BattLoan!M208</f>
        <v>0</v>
      </c>
      <c r="AS181" s="10">
        <f>'Batt IN'!$G$16*365/12*'Batt IN'!$E$16</f>
        <v>76.041666666666671</v>
      </c>
      <c r="AT181" s="10">
        <f>IF(AND('Batt IN'!$E$18&gt;0,'Batt IN'!$G$18&gt;0),'Batt IN'!$E$17*'Batt IN'!$G$17,0)</f>
        <v>119.44619999999999</v>
      </c>
      <c r="AU181" s="10">
        <f>IF(AND('Batt IN'!$E$20&gt;0,'Batt IN'!$G$20&gt;0),'Batt IN'!$E$19*'Batt IN'!$G$19,0)</f>
        <v>231</v>
      </c>
      <c r="AV181" s="10"/>
      <c r="AW181" s="10"/>
      <c r="AX181" s="10">
        <f>IF('Batt IN'!$E$11="Non-Taxable",Q181,0)</f>
        <v>11168.08</v>
      </c>
      <c r="AY181" s="10">
        <f>IF('Batt IN'!$E$11="Non-Taxable",'Batt IN'!$E$28/1000*'Batt IN'!$G$13*('Batt IN'!$E$13/12)*'Batt IN'!$E$12,0)</f>
        <v>244.42220833333334</v>
      </c>
      <c r="AZ181" s="10">
        <f>IF('Batt IN'!$E$11="Non-Taxable",$S181*'Batt IN'!$G$15*'Batt IN'!$E$28*'Batt IN'!$E$14/1000,0)</f>
        <v>0</v>
      </c>
      <c r="BA181" s="10">
        <f>IF('Batt IN'!$E$11="Non-Taxable",'Batt IN'!$E$21*'Batt IN'!$G$21/12,0)</f>
        <v>437.5</v>
      </c>
      <c r="BB181" s="10">
        <f>IF('Batt IN'!$E$11="Non-Taxable",'Batt IN'!$E$22*'Batt IN'!$G$22/12,0)</f>
        <v>1145.8333333333335</v>
      </c>
      <c r="BC181" s="10">
        <f>IF('Batt IN'!$E$11="Taxable",Q181,0)</f>
        <v>0</v>
      </c>
      <c r="BD181" s="10">
        <f>IF('Batt IN'!$E$11="Taxable",'Batt IN'!$E$28/1000*'Batt IN'!$G$13*('Batt IN'!$E$13/12)*'Batt IN'!$E$12,0)</f>
        <v>0</v>
      </c>
      <c r="BE181" s="10">
        <f>IF('Batt IN'!$E$11="Taxable",$S181*'Batt IN'!$G$15*'Batt IN'!$E$28*'Batt IN'!$E$14/1000,0)</f>
        <v>0</v>
      </c>
      <c r="BF181" s="10">
        <f>IF('Batt IN'!$E$11="Taxable",'Batt IN'!$E$21*'Batt IN'!$G$21/12,0)</f>
        <v>0</v>
      </c>
      <c r="BG181" s="10">
        <f>IF('Batt IN'!$E$11="Taxable",'Batt IN'!$E$22*'Batt IN'!$G$22/12,0)</f>
        <v>0</v>
      </c>
      <c r="BK181" s="10">
        <f>IF('Batt IN'!$N$18="Yes",-BattLoan!H209,-BattLoan!L209)</f>
        <v>0</v>
      </c>
      <c r="BL181" s="10">
        <f>IF('Batt IN'!$N$18="Yes",-BattLoan!F209,0)</f>
        <v>0</v>
      </c>
      <c r="BM181" s="10">
        <f>IF(AND('Batt IN'!$D$44="YES",$C181&lt;='Batt IN'!$E$44*12),0,-'Batt IN'!$E$28*'Batt IN'!$E$42/12)</f>
        <v>-83.333333333333329</v>
      </c>
      <c r="BN181" s="10">
        <f>IF(AND('Batt IN'!$D$46="YES",$C181&lt;='Batt IN'!$E$46*12),0,-'Batt IN'!$E$28*'Batt IN'!$E$45/12)</f>
        <v>-166.66666666666666</v>
      </c>
      <c r="BO181" s="2">
        <f>IF(AND('Batt IN'!$D$41="YES",BattCalcs!C181=ROUNDUP('Batt IN'!$H$41*12,)),-'Batt IN'!$E$41*'Batt IN'!$E$28,0)</f>
        <v>0</v>
      </c>
      <c r="BP181" s="2">
        <f>IF(AND('Batt IN'!$D$53="Yes",$AL$1&gt;=1),0,IF($C181='Batt IN'!$H$54*12,-'Batt IN'!$F$54,0))</f>
        <v>0</v>
      </c>
      <c r="BQ181" s="2">
        <f>IF(AND('Batt IN'!$D$53="Yes",$AL$1&gt;=2),0,IF($C181='Batt IN'!$H$55*12,-'Batt IN'!$F$55,0))</f>
        <v>0</v>
      </c>
      <c r="BR181" s="2">
        <f>IF(AND('Batt IN'!$D$53="Yes",$AL$1&gt;=3),0,IF($C181='Batt IN'!$H$56*12,-'Batt IN'!$F$56,0))</f>
        <v>0</v>
      </c>
      <c r="BS181" s="2">
        <f>IF(AND('Batt IN'!$D$53="Yes",$AL$1&gt;=4),0,IF($C181='Batt IN'!$H$57*12,-'Batt IN'!$F$57,0))</f>
        <v>0</v>
      </c>
      <c r="BT181" s="2">
        <f>IF(AND('Batt IN'!$D$53="Yes",$AL$1&gt;=5),0,IF($C181='Batt IN'!$H$58*12,-'Batt IN'!$F$58,0))</f>
        <v>0</v>
      </c>
      <c r="BU181" s="2">
        <f>-AH181*PVCalcs!F181</f>
        <v>-371.28550130835811</v>
      </c>
      <c r="BV181" s="2">
        <f>-'Batt IN'!$E$47</f>
        <v>-150</v>
      </c>
      <c r="BW181" s="2">
        <f>-'Batt IN'!$E$49</f>
        <v>-2250</v>
      </c>
      <c r="BX181" s="2">
        <f>IF('Batt IN'!$H$50="No",-(BC181*'Batt IN'!$E$50),-(BC181+BE181)*'Batt IN'!$E$50)</f>
        <v>0</v>
      </c>
      <c r="BY181" s="2">
        <f>IF(C181='Batt IN'!$H$43*12,-'Batt IN'!$E$43,0)</f>
        <v>0</v>
      </c>
      <c r="BZ181" s="38"/>
      <c r="CA181" s="10">
        <f t="shared" si="34"/>
        <v>13422.323408333334</v>
      </c>
      <c r="CB181" s="2">
        <f t="shared" si="38"/>
        <v>-3021.2855013083581</v>
      </c>
      <c r="CC181" s="45">
        <f t="shared" si="39"/>
        <v>10401.037907024976</v>
      </c>
      <c r="CD181" s="43"/>
      <c r="CE181" s="2">
        <f t="shared" si="35"/>
        <v>0</v>
      </c>
      <c r="CF181" s="2">
        <f t="shared" si="40"/>
        <v>-3021.2855013083581</v>
      </c>
      <c r="CG181" s="2"/>
      <c r="CH181" s="2">
        <f t="shared" si="41"/>
        <v>-3021.2855013083581</v>
      </c>
      <c r="CI181" s="45">
        <f>-CH181*'Batt IN'!$E$7</f>
        <v>634.46995527475519</v>
      </c>
      <c r="CJ181" s="48"/>
      <c r="CK181" s="45">
        <f>IF('Batt IN'!$F$4="PV Only",0,IF(C181&gt;'Batt IN'!$H$43*12,0,CC181+CI181))</f>
        <v>0</v>
      </c>
      <c r="CM181" s="10">
        <f t="shared" si="42"/>
        <v>0</v>
      </c>
      <c r="CN181" s="2">
        <f>CK181/(1+('Batt IN'!$G$8))^(C181)</f>
        <v>0</v>
      </c>
      <c r="CO181" s="2">
        <f>IF(C181&lt;='Batt IN'!$O$30*12,CN181+CO180,NA())</f>
        <v>0</v>
      </c>
      <c r="CQ181" s="2">
        <f>CK181/((1+('Batt IN'!$E$8/12))^BattCalcs!C181)</f>
        <v>0</v>
      </c>
      <c r="CS181" s="10">
        <f t="shared" si="43"/>
        <v>-3021.2855013083581</v>
      </c>
      <c r="CT181" s="10">
        <f t="shared" si="44"/>
        <v>0</v>
      </c>
      <c r="CU181" s="10">
        <f t="shared" si="45"/>
        <v>-3021.2855013083581</v>
      </c>
      <c r="CV181" s="10">
        <f t="shared" si="46"/>
        <v>-3021.2855013083581</v>
      </c>
      <c r="CW181" s="2">
        <f t="shared" si="47"/>
        <v>0</v>
      </c>
      <c r="CX181" s="2">
        <f>-(SUM(CV181:CW181)*'PV IN'!$E$8)</f>
        <v>634.46995527475519</v>
      </c>
      <c r="CY181" s="2">
        <f t="shared" si="48"/>
        <v>-2386.8155460336029</v>
      </c>
      <c r="CZ181" s="2">
        <f>IF(C181&lt;='Batt IN'!$H$43*12,CY181/(1+('PV IN'!$G$9))^(C181),0)</f>
        <v>-1162.1888287826594</v>
      </c>
      <c r="DA181" s="33">
        <f>IF(C181&lt;='Batt IN'!$H$43*12,AE181,0)</f>
        <v>30366.783333333333</v>
      </c>
    </row>
    <row r="182" spans="1:105" x14ac:dyDescent="0.25">
      <c r="A182">
        <f>IF(C182&lt;='Batt IN'!$H$43*12,C182,"")</f>
        <v>178</v>
      </c>
      <c r="C182">
        <v>178</v>
      </c>
      <c r="D182" s="21">
        <v>730</v>
      </c>
      <c r="E182" s="1">
        <f>1-'Batt IN'!$E$31</f>
        <v>2.0000000000000018E-2</v>
      </c>
      <c r="F182" s="12">
        <f>('Batt IN'!$E$33*365)/8760</f>
        <v>0</v>
      </c>
      <c r="G182" s="22">
        <f>'Batt IN'!$E$32/8760</f>
        <v>5.7077625570776253E-3</v>
      </c>
      <c r="H182" s="22">
        <f>'Batt IN'!$E$13/8760</f>
        <v>5.5936073059360729E-3</v>
      </c>
      <c r="I182" s="23">
        <f>IF(C182&lt;='Batt IN'!$G$14*12,'Batt IN'!$E$15/8760*'Batt IN'!$G$15,0)</f>
        <v>0</v>
      </c>
      <c r="J182" s="12">
        <f>Z182/'Batt IN'!$E$27/730</f>
        <v>2.4999999999999996E-3</v>
      </c>
      <c r="K182" s="23">
        <f>AA182/'Batt IN'!$E$27/730</f>
        <v>1.6027397260273972E-3</v>
      </c>
      <c r="L182" s="23">
        <f>AB182/'Batt IN'!$E$27/730</f>
        <v>2.0547945205479451E-4</v>
      </c>
      <c r="M182" s="23">
        <f>AC182/'Batt IN'!$E$27/730</f>
        <v>4.7945205479452057E-3</v>
      </c>
      <c r="N182" s="23">
        <f>AD182/'Batt IN'!$E$27/730</f>
        <v>3.4246575342465752E-3</v>
      </c>
      <c r="O182" s="12">
        <f t="shared" si="36"/>
        <v>4.3828767123287697E-2</v>
      </c>
      <c r="P182" s="21">
        <f t="shared" si="37"/>
        <v>698.005</v>
      </c>
      <c r="Q182" s="2">
        <f>IF('Batt IN'!$E$27*'Batt IN'!$E$24&lt;='Batt IN'!$E$28,(('Batt IN'!$E$23*'Batt IN'!$E$27*'Batt IN'!$E$24)/1000)*P182,(('Batt IN'!$E$23*'Batt IN'!$E$28*'Batt IN'!$E$24)/1000)*P182)</f>
        <v>11168.08</v>
      </c>
      <c r="R182" s="2"/>
      <c r="S182" s="77">
        <f>IF(C182&lt;='Batt IN'!$G$14*12,'Batt IN'!$E$15/12,0)</f>
        <v>0</v>
      </c>
      <c r="T182" s="77"/>
      <c r="U182" s="80">
        <f>'Batt IN'!$E$28*('Batt IN'!$G$24/24)*730*(1-O182)</f>
        <v>81433.916666666657</v>
      </c>
      <c r="V182" s="78">
        <f>U182*'Batt IN'!$F$30</f>
        <v>16286.783333333333</v>
      </c>
      <c r="W182" s="78">
        <f>'Batt IN'!$E$28*'Batt IN'!$G$32*('Batt IN'!$E$32/12)*(1+'Batt IN'!$F$30)</f>
        <v>1750.0000000000002</v>
      </c>
      <c r="X182" s="78">
        <f>'Batt IN'!$E$28*'Batt IN'!$G$13*('Batt IN'!$E$13/12)*(1+'Batt IN'!$F$30)</f>
        <v>3184.9999999999995</v>
      </c>
      <c r="Y182" s="33">
        <f>S182*'Batt IN'!$G$15*'Batt IN'!$E$28*(1+'Batt IN'!$F$30)</f>
        <v>0</v>
      </c>
      <c r="Z182" s="33">
        <f>'Batt IN'!$G$16*365/12*(1+'Batt IN'!$F$30)</f>
        <v>1824.9999999999998</v>
      </c>
      <c r="AA182" s="33">
        <f>'Batt IN'!$G$17*'Batt IN'!$E$18*'Batt IN'!$G$18/12*(1+'Batt IN'!$F$30)</f>
        <v>1170</v>
      </c>
      <c r="AB182" s="33">
        <f>'Batt IN'!$G$19*'Batt IN'!$E$20*'Batt IN'!$G$20/12*(1+'Batt IN'!$F$30)</f>
        <v>150</v>
      </c>
      <c r="AC182" s="33">
        <f>'Batt IN'!$G$21*(1+'Batt IN'!$F$30)/12</f>
        <v>3500</v>
      </c>
      <c r="AD182" s="33">
        <f>'Batt IN'!$G$22*(1+'Batt IN'!$F$30)/12</f>
        <v>2500</v>
      </c>
      <c r="AE182" s="33">
        <f t="shared" si="49"/>
        <v>30366.783333333333</v>
      </c>
      <c r="AF182" s="33">
        <f>IF('PV IN'!$F$4="Battery Only",0,AE182*'Batt IN'!$E$29)</f>
        <v>25811.765833333331</v>
      </c>
      <c r="AG182" s="33">
        <f>PVCalcs!L182</f>
        <v>25811.765833333331</v>
      </c>
      <c r="AH182" s="33">
        <f t="shared" si="50"/>
        <v>4555.0175000000017</v>
      </c>
      <c r="AI182" s="33"/>
      <c r="AJ182" s="2">
        <f>IF(AND('Batt IN'!$D$53="Yes",$AL$1&gt;=1),IF($C182='Batt IN'!$H$54*12,-'Batt IN'!$F$54,0),0)</f>
        <v>0</v>
      </c>
      <c r="AK182" s="2">
        <f>IF(AND('Batt IN'!$D$53="Yes",$AL$1&gt;=2),IF($C182='Batt IN'!$H$55*12,-'Batt IN'!$F$55,0),0)</f>
        <v>0</v>
      </c>
      <c r="AL182" s="2">
        <f>IF(AND('Batt IN'!$D$53="Yes",$AL$1&gt;=3),IF($C182='Batt IN'!$H$56*12,-'Batt IN'!$F$56,0),0)</f>
        <v>0</v>
      </c>
      <c r="AM182" s="2">
        <f>IF(AND('Batt IN'!$D$53="Yes",$AL$1&gt;=4),IF($C182='Batt IN'!$H$57*12,-'Batt IN'!$F$57,0),0)</f>
        <v>0</v>
      </c>
      <c r="AN182" s="2">
        <f>IF(AND('Batt IN'!$D$53="Yes",$AL$1&gt;=5),IF($C182='Batt IN'!$H$58*12,-'Batt IN'!$F$58,0),0)</f>
        <v>0</v>
      </c>
      <c r="AO182" s="10">
        <f>IF(AND('Batt IN'!$D$44="YES",$C182&lt;='Batt IN'!$E$44*12),-'Batt IN'!$E$28*'Batt IN'!$E$42/12,0)</f>
        <v>0</v>
      </c>
      <c r="AP182" s="10">
        <f>IF(AND('Batt IN'!$D$46="YES",$C182&lt;='Batt IN'!$E$46*12),-'Batt IN'!$E$28*'Batt IN'!$E$45/12,0)</f>
        <v>0</v>
      </c>
      <c r="AR182" s="10">
        <f>BattLoan!M209</f>
        <v>0</v>
      </c>
      <c r="AS182" s="10">
        <f>'Batt IN'!$G$16*365/12*'Batt IN'!$E$16</f>
        <v>76.041666666666671</v>
      </c>
      <c r="AT182" s="10">
        <f>IF(AND('Batt IN'!$E$18&gt;0,'Batt IN'!$G$18&gt;0),'Batt IN'!$E$17*'Batt IN'!$G$17,0)</f>
        <v>119.44619999999999</v>
      </c>
      <c r="AU182" s="10">
        <f>IF(AND('Batt IN'!$E$20&gt;0,'Batt IN'!$G$20&gt;0),'Batt IN'!$E$19*'Batt IN'!$G$19,0)</f>
        <v>231</v>
      </c>
      <c r="AV182" s="10"/>
      <c r="AW182" s="10"/>
      <c r="AX182" s="10">
        <f>IF('Batt IN'!$E$11="Non-Taxable",Q182,0)</f>
        <v>11168.08</v>
      </c>
      <c r="AY182" s="10">
        <f>IF('Batt IN'!$E$11="Non-Taxable",'Batt IN'!$E$28/1000*'Batt IN'!$G$13*('Batt IN'!$E$13/12)*'Batt IN'!$E$12,0)</f>
        <v>244.42220833333334</v>
      </c>
      <c r="AZ182" s="10">
        <f>IF('Batt IN'!$E$11="Non-Taxable",$S182*'Batt IN'!$G$15*'Batt IN'!$E$28*'Batt IN'!$E$14/1000,0)</f>
        <v>0</v>
      </c>
      <c r="BA182" s="10">
        <f>IF('Batt IN'!$E$11="Non-Taxable",'Batt IN'!$E$21*'Batt IN'!$G$21/12,0)</f>
        <v>437.5</v>
      </c>
      <c r="BB182" s="10">
        <f>IF('Batt IN'!$E$11="Non-Taxable",'Batt IN'!$E$22*'Batt IN'!$G$22/12,0)</f>
        <v>1145.8333333333335</v>
      </c>
      <c r="BC182" s="10">
        <f>IF('Batt IN'!$E$11="Taxable",Q182,0)</f>
        <v>0</v>
      </c>
      <c r="BD182" s="10">
        <f>IF('Batt IN'!$E$11="Taxable",'Batt IN'!$E$28/1000*'Batt IN'!$G$13*('Batt IN'!$E$13/12)*'Batt IN'!$E$12,0)</f>
        <v>0</v>
      </c>
      <c r="BE182" s="10">
        <f>IF('Batt IN'!$E$11="Taxable",$S182*'Batt IN'!$G$15*'Batt IN'!$E$28*'Batt IN'!$E$14/1000,0)</f>
        <v>0</v>
      </c>
      <c r="BF182" s="10">
        <f>IF('Batt IN'!$E$11="Taxable",'Batt IN'!$E$21*'Batt IN'!$G$21/12,0)</f>
        <v>0</v>
      </c>
      <c r="BG182" s="10">
        <f>IF('Batt IN'!$E$11="Taxable",'Batt IN'!$E$22*'Batt IN'!$G$22/12,0)</f>
        <v>0</v>
      </c>
      <c r="BK182" s="10">
        <f>IF('Batt IN'!$N$18="Yes",-BattLoan!H210,-BattLoan!L210)</f>
        <v>0</v>
      </c>
      <c r="BL182" s="10">
        <f>IF('Batt IN'!$N$18="Yes",-BattLoan!F210,0)</f>
        <v>0</v>
      </c>
      <c r="BM182" s="10">
        <f>IF(AND('Batt IN'!$D$44="YES",$C182&lt;='Batt IN'!$E$44*12),0,-'Batt IN'!$E$28*'Batt IN'!$E$42/12)</f>
        <v>-83.333333333333329</v>
      </c>
      <c r="BN182" s="10">
        <f>IF(AND('Batt IN'!$D$46="YES",$C182&lt;='Batt IN'!$E$46*12),0,-'Batt IN'!$E$28*'Batt IN'!$E$45/12)</f>
        <v>-166.66666666666666</v>
      </c>
      <c r="BO182" s="2">
        <f>IF(AND('Batt IN'!$D$41="YES",BattCalcs!C182=ROUNDUP('Batt IN'!$H$41*12,)),-'Batt IN'!$E$41*'Batt IN'!$E$28,0)</f>
        <v>0</v>
      </c>
      <c r="BP182" s="2">
        <f>IF(AND('Batt IN'!$D$53="Yes",$AL$1&gt;=1),0,IF($C182='Batt IN'!$H$54*12,-'Batt IN'!$F$54,0))</f>
        <v>0</v>
      </c>
      <c r="BQ182" s="2">
        <f>IF(AND('Batt IN'!$D$53="Yes",$AL$1&gt;=2),0,IF($C182='Batt IN'!$H$55*12,-'Batt IN'!$F$55,0))</f>
        <v>0</v>
      </c>
      <c r="BR182" s="2">
        <f>IF(AND('Batt IN'!$D$53="Yes",$AL$1&gt;=3),0,IF($C182='Batt IN'!$H$56*12,-'Batt IN'!$F$56,0))</f>
        <v>0</v>
      </c>
      <c r="BS182" s="2">
        <f>IF(AND('Batt IN'!$D$53="Yes",$AL$1&gt;=4),0,IF($C182='Batt IN'!$H$57*12,-'Batt IN'!$F$57,0))</f>
        <v>0</v>
      </c>
      <c r="BT182" s="2">
        <f>IF(AND('Batt IN'!$D$53="Yes",$AL$1&gt;=5),0,IF($C182='Batt IN'!$H$58*12,-'Batt IN'!$F$58,0))</f>
        <v>0</v>
      </c>
      <c r="BU182" s="2">
        <f>-AH182*PVCalcs!F182</f>
        <v>-371.28550130835811</v>
      </c>
      <c r="BV182" s="2">
        <f>-'Batt IN'!$E$47</f>
        <v>-150</v>
      </c>
      <c r="BW182" s="2">
        <f>-'Batt IN'!$E$49</f>
        <v>-2250</v>
      </c>
      <c r="BX182" s="2">
        <f>IF('Batt IN'!$H$50="No",-(BC182*'Batt IN'!$E$50),-(BC182+BE182)*'Batt IN'!$E$50)</f>
        <v>0</v>
      </c>
      <c r="BY182" s="2">
        <f>IF(C182='Batt IN'!$H$43*12,-'Batt IN'!$E$43,0)</f>
        <v>0</v>
      </c>
      <c r="BZ182" s="38"/>
      <c r="CA182" s="10">
        <f t="shared" si="34"/>
        <v>13422.323408333334</v>
      </c>
      <c r="CB182" s="2">
        <f t="shared" si="38"/>
        <v>-3021.2855013083581</v>
      </c>
      <c r="CC182" s="45">
        <f t="shared" si="39"/>
        <v>10401.037907024976</v>
      </c>
      <c r="CD182" s="43"/>
      <c r="CE182" s="2">
        <f t="shared" si="35"/>
        <v>0</v>
      </c>
      <c r="CF182" s="2">
        <f t="shared" si="40"/>
        <v>-3021.2855013083581</v>
      </c>
      <c r="CG182" s="2"/>
      <c r="CH182" s="2">
        <f t="shared" si="41"/>
        <v>-3021.2855013083581</v>
      </c>
      <c r="CI182" s="45">
        <f>-CH182*'Batt IN'!$E$7</f>
        <v>634.46995527475519</v>
      </c>
      <c r="CJ182" s="48"/>
      <c r="CK182" s="45">
        <f>IF('Batt IN'!$F$4="PV Only",0,IF(C182&gt;'Batt IN'!$H$43*12,0,CC182+CI182))</f>
        <v>0</v>
      </c>
      <c r="CM182" s="10">
        <f t="shared" si="42"/>
        <v>0</v>
      </c>
      <c r="CN182" s="2">
        <f>CK182/(1+('Batt IN'!$G$8))^(C182)</f>
        <v>0</v>
      </c>
      <c r="CO182" s="2">
        <f>IF(C182&lt;='Batt IN'!$O$30*12,CN182+CO181,NA())</f>
        <v>0</v>
      </c>
      <c r="CQ182" s="2">
        <f>CK182/((1+('Batt IN'!$E$8/12))^BattCalcs!C182)</f>
        <v>0</v>
      </c>
      <c r="CS182" s="10">
        <f t="shared" si="43"/>
        <v>-3021.2855013083581</v>
      </c>
      <c r="CT182" s="10">
        <f t="shared" si="44"/>
        <v>0</v>
      </c>
      <c r="CU182" s="10">
        <f t="shared" si="45"/>
        <v>-3021.2855013083581</v>
      </c>
      <c r="CV182" s="10">
        <f t="shared" si="46"/>
        <v>-3021.2855013083581</v>
      </c>
      <c r="CW182" s="2">
        <f t="shared" si="47"/>
        <v>0</v>
      </c>
      <c r="CX182" s="2">
        <f>-(SUM(CV182:CW182)*'PV IN'!$E$8)</f>
        <v>634.46995527475519</v>
      </c>
      <c r="CY182" s="2">
        <f t="shared" si="48"/>
        <v>-2386.8155460336029</v>
      </c>
      <c r="CZ182" s="2">
        <f>IF(C182&lt;='Batt IN'!$H$43*12,CY182/(1+('PV IN'!$G$9))^(C182),0)</f>
        <v>-1157.4731399343186</v>
      </c>
      <c r="DA182" s="33">
        <f>IF(C182&lt;='Batt IN'!$H$43*12,AE182,0)</f>
        <v>30366.783333333333</v>
      </c>
    </row>
    <row r="183" spans="1:105" x14ac:dyDescent="0.25">
      <c r="A183">
        <f>IF(C183&lt;='Batt IN'!$H$43*12,C183,"")</f>
        <v>179</v>
      </c>
      <c r="C183">
        <v>179</v>
      </c>
      <c r="D183" s="21">
        <v>730</v>
      </c>
      <c r="E183" s="1">
        <f>1-'Batt IN'!$E$31</f>
        <v>2.0000000000000018E-2</v>
      </c>
      <c r="F183" s="12">
        <f>('Batt IN'!$E$33*365)/8760</f>
        <v>0</v>
      </c>
      <c r="G183" s="22">
        <f>'Batt IN'!$E$32/8760</f>
        <v>5.7077625570776253E-3</v>
      </c>
      <c r="H183" s="22">
        <f>'Batt IN'!$E$13/8760</f>
        <v>5.5936073059360729E-3</v>
      </c>
      <c r="I183" s="23">
        <f>IF(C183&lt;='Batt IN'!$G$14*12,'Batt IN'!$E$15/8760*'Batt IN'!$G$15,0)</f>
        <v>0</v>
      </c>
      <c r="J183" s="12">
        <f>Z183/'Batt IN'!$E$27/730</f>
        <v>2.4999999999999996E-3</v>
      </c>
      <c r="K183" s="23">
        <f>AA183/'Batt IN'!$E$27/730</f>
        <v>1.6027397260273972E-3</v>
      </c>
      <c r="L183" s="23">
        <f>AB183/'Batt IN'!$E$27/730</f>
        <v>2.0547945205479451E-4</v>
      </c>
      <c r="M183" s="23">
        <f>AC183/'Batt IN'!$E$27/730</f>
        <v>4.7945205479452057E-3</v>
      </c>
      <c r="N183" s="23">
        <f>AD183/'Batt IN'!$E$27/730</f>
        <v>3.4246575342465752E-3</v>
      </c>
      <c r="O183" s="12">
        <f t="shared" si="36"/>
        <v>4.3828767123287697E-2</v>
      </c>
      <c r="P183" s="21">
        <f t="shared" si="37"/>
        <v>698.005</v>
      </c>
      <c r="Q183" s="2">
        <f>IF('Batt IN'!$E$27*'Batt IN'!$E$24&lt;='Batt IN'!$E$28,(('Batt IN'!$E$23*'Batt IN'!$E$27*'Batt IN'!$E$24)/1000)*P183,(('Batt IN'!$E$23*'Batt IN'!$E$28*'Batt IN'!$E$24)/1000)*P183)</f>
        <v>11168.08</v>
      </c>
      <c r="R183" s="2"/>
      <c r="S183" s="77">
        <f>IF(C183&lt;='Batt IN'!$G$14*12,'Batt IN'!$E$15/12,0)</f>
        <v>0</v>
      </c>
      <c r="T183" s="77"/>
      <c r="U183" s="80">
        <f>'Batt IN'!$E$28*('Batt IN'!$G$24/24)*730*(1-O183)</f>
        <v>81433.916666666657</v>
      </c>
      <c r="V183" s="78">
        <f>U183*'Batt IN'!$F$30</f>
        <v>16286.783333333333</v>
      </c>
      <c r="W183" s="78">
        <f>'Batt IN'!$E$28*'Batt IN'!$G$32*('Batt IN'!$E$32/12)*(1+'Batt IN'!$F$30)</f>
        <v>1750.0000000000002</v>
      </c>
      <c r="X183" s="78">
        <f>'Batt IN'!$E$28*'Batt IN'!$G$13*('Batt IN'!$E$13/12)*(1+'Batt IN'!$F$30)</f>
        <v>3184.9999999999995</v>
      </c>
      <c r="Y183" s="33">
        <f>S183*'Batt IN'!$G$15*'Batt IN'!$E$28*(1+'Batt IN'!$F$30)</f>
        <v>0</v>
      </c>
      <c r="Z183" s="33">
        <f>'Batt IN'!$G$16*365/12*(1+'Batt IN'!$F$30)</f>
        <v>1824.9999999999998</v>
      </c>
      <c r="AA183" s="33">
        <f>'Batt IN'!$G$17*'Batt IN'!$E$18*'Batt IN'!$G$18/12*(1+'Batt IN'!$F$30)</f>
        <v>1170</v>
      </c>
      <c r="AB183" s="33">
        <f>'Batt IN'!$G$19*'Batt IN'!$E$20*'Batt IN'!$G$20/12*(1+'Batt IN'!$F$30)</f>
        <v>150</v>
      </c>
      <c r="AC183" s="33">
        <f>'Batt IN'!$G$21*(1+'Batt IN'!$F$30)/12</f>
        <v>3500</v>
      </c>
      <c r="AD183" s="33">
        <f>'Batt IN'!$G$22*(1+'Batt IN'!$F$30)/12</f>
        <v>2500</v>
      </c>
      <c r="AE183" s="33">
        <f t="shared" si="49"/>
        <v>30366.783333333333</v>
      </c>
      <c r="AF183" s="33">
        <f>IF('PV IN'!$F$4="Battery Only",0,AE183*'Batt IN'!$E$29)</f>
        <v>25811.765833333331</v>
      </c>
      <c r="AG183" s="33">
        <f>PVCalcs!L183</f>
        <v>25811.765833333331</v>
      </c>
      <c r="AH183" s="33">
        <f t="shared" si="50"/>
        <v>4555.0175000000017</v>
      </c>
      <c r="AI183" s="33"/>
      <c r="AJ183" s="2">
        <f>IF(AND('Batt IN'!$D$53="Yes",$AL$1&gt;=1),IF($C183='Batt IN'!$H$54*12,-'Batt IN'!$F$54,0),0)</f>
        <v>0</v>
      </c>
      <c r="AK183" s="2">
        <f>IF(AND('Batt IN'!$D$53="Yes",$AL$1&gt;=2),IF($C183='Batt IN'!$H$55*12,-'Batt IN'!$F$55,0),0)</f>
        <v>0</v>
      </c>
      <c r="AL183" s="2">
        <f>IF(AND('Batt IN'!$D$53="Yes",$AL$1&gt;=3),IF($C183='Batt IN'!$H$56*12,-'Batt IN'!$F$56,0),0)</f>
        <v>0</v>
      </c>
      <c r="AM183" s="2">
        <f>IF(AND('Batt IN'!$D$53="Yes",$AL$1&gt;=4),IF($C183='Batt IN'!$H$57*12,-'Batt IN'!$F$57,0),0)</f>
        <v>0</v>
      </c>
      <c r="AN183" s="2">
        <f>IF(AND('Batt IN'!$D$53="Yes",$AL$1&gt;=5),IF($C183='Batt IN'!$H$58*12,-'Batt IN'!$F$58,0),0)</f>
        <v>0</v>
      </c>
      <c r="AO183" s="10">
        <f>IF(AND('Batt IN'!$D$44="YES",$C183&lt;='Batt IN'!$E$44*12),-'Batt IN'!$E$28*'Batt IN'!$E$42/12,0)</f>
        <v>0</v>
      </c>
      <c r="AP183" s="10">
        <f>IF(AND('Batt IN'!$D$46="YES",$C183&lt;='Batt IN'!$E$46*12),-'Batt IN'!$E$28*'Batt IN'!$E$45/12,0)</f>
        <v>0</v>
      </c>
      <c r="AR183" s="10">
        <f>BattLoan!M210</f>
        <v>0</v>
      </c>
      <c r="AS183" s="10">
        <f>'Batt IN'!$G$16*365/12*'Batt IN'!$E$16</f>
        <v>76.041666666666671</v>
      </c>
      <c r="AT183" s="10">
        <f>IF(AND('Batt IN'!$E$18&gt;0,'Batt IN'!$G$18&gt;0),'Batt IN'!$E$17*'Batt IN'!$G$17,0)</f>
        <v>119.44619999999999</v>
      </c>
      <c r="AU183" s="10">
        <f>IF(AND('Batt IN'!$E$20&gt;0,'Batt IN'!$G$20&gt;0),'Batt IN'!$E$19*'Batt IN'!$G$19,0)</f>
        <v>231</v>
      </c>
      <c r="AV183" s="10"/>
      <c r="AW183" s="10"/>
      <c r="AX183" s="10">
        <f>IF('Batt IN'!$E$11="Non-Taxable",Q183,0)</f>
        <v>11168.08</v>
      </c>
      <c r="AY183" s="10">
        <f>IF('Batt IN'!$E$11="Non-Taxable",'Batt IN'!$E$28/1000*'Batt IN'!$G$13*('Batt IN'!$E$13/12)*'Batt IN'!$E$12,0)</f>
        <v>244.42220833333334</v>
      </c>
      <c r="AZ183" s="10">
        <f>IF('Batt IN'!$E$11="Non-Taxable",$S183*'Batt IN'!$G$15*'Batt IN'!$E$28*'Batt IN'!$E$14/1000,0)</f>
        <v>0</v>
      </c>
      <c r="BA183" s="10">
        <f>IF('Batt IN'!$E$11="Non-Taxable",'Batt IN'!$E$21*'Batt IN'!$G$21/12,0)</f>
        <v>437.5</v>
      </c>
      <c r="BB183" s="10">
        <f>IF('Batt IN'!$E$11="Non-Taxable",'Batt IN'!$E$22*'Batt IN'!$G$22/12,0)</f>
        <v>1145.8333333333335</v>
      </c>
      <c r="BC183" s="10">
        <f>IF('Batt IN'!$E$11="Taxable",Q183,0)</f>
        <v>0</v>
      </c>
      <c r="BD183" s="10">
        <f>IF('Batt IN'!$E$11="Taxable",'Batt IN'!$E$28/1000*'Batt IN'!$G$13*('Batt IN'!$E$13/12)*'Batt IN'!$E$12,0)</f>
        <v>0</v>
      </c>
      <c r="BE183" s="10">
        <f>IF('Batt IN'!$E$11="Taxable",$S183*'Batt IN'!$G$15*'Batt IN'!$E$28*'Batt IN'!$E$14/1000,0)</f>
        <v>0</v>
      </c>
      <c r="BF183" s="10">
        <f>IF('Batt IN'!$E$11="Taxable",'Batt IN'!$E$21*'Batt IN'!$G$21/12,0)</f>
        <v>0</v>
      </c>
      <c r="BG183" s="10">
        <f>IF('Batt IN'!$E$11="Taxable",'Batt IN'!$E$22*'Batt IN'!$G$22/12,0)</f>
        <v>0</v>
      </c>
      <c r="BK183" s="10">
        <f>IF('Batt IN'!$N$18="Yes",-BattLoan!H211,-BattLoan!L211)</f>
        <v>0</v>
      </c>
      <c r="BL183" s="10">
        <f>IF('Batt IN'!$N$18="Yes",-BattLoan!F211,0)</f>
        <v>0</v>
      </c>
      <c r="BM183" s="10">
        <f>IF(AND('Batt IN'!$D$44="YES",$C183&lt;='Batt IN'!$E$44*12),0,-'Batt IN'!$E$28*'Batt IN'!$E$42/12)</f>
        <v>-83.333333333333329</v>
      </c>
      <c r="BN183" s="10">
        <f>IF(AND('Batt IN'!$D$46="YES",$C183&lt;='Batt IN'!$E$46*12),0,-'Batt IN'!$E$28*'Batt IN'!$E$45/12)</f>
        <v>-166.66666666666666</v>
      </c>
      <c r="BO183" s="2">
        <f>IF(AND('Batt IN'!$D$41="YES",BattCalcs!C183=ROUNDUP('Batt IN'!$H$41*12,)),-'Batt IN'!$E$41*'Batt IN'!$E$28,0)</f>
        <v>0</v>
      </c>
      <c r="BP183" s="2">
        <f>IF(AND('Batt IN'!$D$53="Yes",$AL$1&gt;=1),0,IF($C183='Batt IN'!$H$54*12,-'Batt IN'!$F$54,0))</f>
        <v>0</v>
      </c>
      <c r="BQ183" s="2">
        <f>IF(AND('Batt IN'!$D$53="Yes",$AL$1&gt;=2),0,IF($C183='Batt IN'!$H$55*12,-'Batt IN'!$F$55,0))</f>
        <v>0</v>
      </c>
      <c r="BR183" s="2">
        <f>IF(AND('Batt IN'!$D$53="Yes",$AL$1&gt;=3),0,IF($C183='Batt IN'!$H$56*12,-'Batt IN'!$F$56,0))</f>
        <v>0</v>
      </c>
      <c r="BS183" s="2">
        <f>IF(AND('Batt IN'!$D$53="Yes",$AL$1&gt;=4),0,IF($C183='Batt IN'!$H$57*12,-'Batt IN'!$F$57,0))</f>
        <v>0</v>
      </c>
      <c r="BT183" s="2">
        <f>IF(AND('Batt IN'!$D$53="Yes",$AL$1&gt;=5),0,IF($C183='Batt IN'!$H$58*12,-'Batt IN'!$F$58,0))</f>
        <v>0</v>
      </c>
      <c r="BU183" s="2">
        <f>-AH183*PVCalcs!F183</f>
        <v>-371.28550130835811</v>
      </c>
      <c r="BV183" s="2">
        <f>-'Batt IN'!$E$47</f>
        <v>-150</v>
      </c>
      <c r="BW183" s="2">
        <f>-'Batt IN'!$E$49</f>
        <v>-2250</v>
      </c>
      <c r="BX183" s="2">
        <f>IF('Batt IN'!$H$50="No",-(BC183*'Batt IN'!$E$50),-(BC183+BE183)*'Batt IN'!$E$50)</f>
        <v>0</v>
      </c>
      <c r="BY183" s="2">
        <f>IF(C183='Batt IN'!$H$43*12,-'Batt IN'!$E$43,0)</f>
        <v>0</v>
      </c>
      <c r="BZ183" s="38"/>
      <c r="CA183" s="10">
        <f t="shared" si="34"/>
        <v>13422.323408333334</v>
      </c>
      <c r="CB183" s="2">
        <f t="shared" si="38"/>
        <v>-3021.2855013083581</v>
      </c>
      <c r="CC183" s="45">
        <f t="shared" si="39"/>
        <v>10401.037907024976</v>
      </c>
      <c r="CD183" s="43"/>
      <c r="CE183" s="2">
        <f t="shared" si="35"/>
        <v>0</v>
      </c>
      <c r="CF183" s="2">
        <f t="shared" si="40"/>
        <v>-3021.2855013083581</v>
      </c>
      <c r="CG183" s="2"/>
      <c r="CH183" s="2">
        <f t="shared" si="41"/>
        <v>-3021.2855013083581</v>
      </c>
      <c r="CI183" s="45">
        <f>-CH183*'Batt IN'!$E$7</f>
        <v>634.46995527475519</v>
      </c>
      <c r="CJ183" s="48"/>
      <c r="CK183" s="45">
        <f>IF('Batt IN'!$F$4="PV Only",0,IF(C183&gt;'Batt IN'!$H$43*12,0,CC183+CI183))</f>
        <v>0</v>
      </c>
      <c r="CM183" s="10">
        <f t="shared" si="42"/>
        <v>0</v>
      </c>
      <c r="CN183" s="2">
        <f>CK183/(1+('Batt IN'!$G$8))^(C183)</f>
        <v>0</v>
      </c>
      <c r="CO183" s="2">
        <f>IF(C183&lt;='Batt IN'!$O$30*12,CN183+CO182,NA())</f>
        <v>0</v>
      </c>
      <c r="CQ183" s="2">
        <f>CK183/((1+('Batt IN'!$E$8/12))^BattCalcs!C183)</f>
        <v>0</v>
      </c>
      <c r="CS183" s="10">
        <f t="shared" si="43"/>
        <v>-3021.2855013083581</v>
      </c>
      <c r="CT183" s="10">
        <f t="shared" si="44"/>
        <v>0</v>
      </c>
      <c r="CU183" s="10">
        <f t="shared" si="45"/>
        <v>-3021.2855013083581</v>
      </c>
      <c r="CV183" s="10">
        <f t="shared" si="46"/>
        <v>-3021.2855013083581</v>
      </c>
      <c r="CW183" s="2">
        <f t="shared" si="47"/>
        <v>0</v>
      </c>
      <c r="CX183" s="2">
        <f>-(SUM(CV183:CW183)*'PV IN'!$E$8)</f>
        <v>634.46995527475519</v>
      </c>
      <c r="CY183" s="2">
        <f t="shared" si="48"/>
        <v>-2386.8155460336029</v>
      </c>
      <c r="CZ183" s="2">
        <f>IF(C183&lt;='Batt IN'!$H$43*12,CY183/(1+('PV IN'!$G$9))^(C183),0)</f>
        <v>-1152.7765854303836</v>
      </c>
      <c r="DA183" s="33">
        <f>IF(C183&lt;='Batt IN'!$H$43*12,AE183,0)</f>
        <v>30366.783333333333</v>
      </c>
    </row>
    <row r="184" spans="1:105" x14ac:dyDescent="0.25">
      <c r="A184">
        <f>IF(C184&lt;='Batt IN'!$H$43*12,C184,"")</f>
        <v>180</v>
      </c>
      <c r="B184">
        <v>15</v>
      </c>
      <c r="C184">
        <v>180</v>
      </c>
      <c r="D184" s="21">
        <v>730</v>
      </c>
      <c r="E184" s="1">
        <f>1-'Batt IN'!$E$31</f>
        <v>2.0000000000000018E-2</v>
      </c>
      <c r="F184" s="12">
        <f>('Batt IN'!$E$33*365)/8760</f>
        <v>0</v>
      </c>
      <c r="G184" s="22">
        <f>'Batt IN'!$E$32/8760</f>
        <v>5.7077625570776253E-3</v>
      </c>
      <c r="H184" s="22">
        <f>'Batt IN'!$E$13/8760</f>
        <v>5.5936073059360729E-3</v>
      </c>
      <c r="I184" s="23">
        <f>IF(C184&lt;='Batt IN'!$G$14*12,'Batt IN'!$E$15/8760*'Batt IN'!$G$15,0)</f>
        <v>0</v>
      </c>
      <c r="J184" s="12">
        <f>Z184/'Batt IN'!$E$27/730</f>
        <v>2.4999999999999996E-3</v>
      </c>
      <c r="K184" s="23">
        <f>AA184/'Batt IN'!$E$27/730</f>
        <v>1.6027397260273972E-3</v>
      </c>
      <c r="L184" s="23">
        <f>AB184/'Batt IN'!$E$27/730</f>
        <v>2.0547945205479451E-4</v>
      </c>
      <c r="M184" s="23">
        <f>AC184/'Batt IN'!$E$27/730</f>
        <v>4.7945205479452057E-3</v>
      </c>
      <c r="N184" s="23">
        <f>AD184/'Batt IN'!$E$27/730</f>
        <v>3.4246575342465752E-3</v>
      </c>
      <c r="O184" s="12">
        <f t="shared" si="36"/>
        <v>4.3828767123287697E-2</v>
      </c>
      <c r="P184" s="21">
        <f t="shared" si="37"/>
        <v>698.005</v>
      </c>
      <c r="Q184" s="2">
        <f>IF('Batt IN'!$E$27*'Batt IN'!$E$24&lt;='Batt IN'!$E$28,(('Batt IN'!$E$23*'Batt IN'!$E$27*'Batt IN'!$E$24)/1000)*P184,(('Batt IN'!$E$23*'Batt IN'!$E$28*'Batt IN'!$E$24)/1000)*P184)</f>
        <v>11168.08</v>
      </c>
      <c r="R184" s="2"/>
      <c r="S184" s="77">
        <f>IF(C184&lt;='Batt IN'!$G$14*12,'Batt IN'!$E$15/12,0)</f>
        <v>0</v>
      </c>
      <c r="T184" s="77"/>
      <c r="U184" s="80">
        <f>'Batt IN'!$E$28*('Batt IN'!$G$24/24)*730*(1-O184)</f>
        <v>81433.916666666657</v>
      </c>
      <c r="V184" s="78">
        <f>U184*'Batt IN'!$F$30</f>
        <v>16286.783333333333</v>
      </c>
      <c r="W184" s="78">
        <f>'Batt IN'!$E$28*'Batt IN'!$G$32*('Batt IN'!$E$32/12)*(1+'Batt IN'!$F$30)</f>
        <v>1750.0000000000002</v>
      </c>
      <c r="X184" s="78">
        <f>'Batt IN'!$E$28*'Batt IN'!$G$13*('Batt IN'!$E$13/12)*(1+'Batt IN'!$F$30)</f>
        <v>3184.9999999999995</v>
      </c>
      <c r="Y184" s="33">
        <f>S184*'Batt IN'!$G$15*'Batt IN'!$E$28*(1+'Batt IN'!$F$30)</f>
        <v>0</v>
      </c>
      <c r="Z184" s="33">
        <f>'Batt IN'!$G$16*365/12*(1+'Batt IN'!$F$30)</f>
        <v>1824.9999999999998</v>
      </c>
      <c r="AA184" s="33">
        <f>'Batt IN'!$G$17*'Batt IN'!$E$18*'Batt IN'!$G$18/12*(1+'Batt IN'!$F$30)</f>
        <v>1170</v>
      </c>
      <c r="AB184" s="33">
        <f>'Batt IN'!$G$19*'Batt IN'!$E$20*'Batt IN'!$G$20/12*(1+'Batt IN'!$F$30)</f>
        <v>150</v>
      </c>
      <c r="AC184" s="33">
        <f>'Batt IN'!$G$21*(1+'Batt IN'!$F$30)/12</f>
        <v>3500</v>
      </c>
      <c r="AD184" s="33">
        <f>'Batt IN'!$G$22*(1+'Batt IN'!$F$30)/12</f>
        <v>2500</v>
      </c>
      <c r="AE184" s="33">
        <f t="shared" si="49"/>
        <v>30366.783333333333</v>
      </c>
      <c r="AF184" s="33">
        <f>IF('PV IN'!$F$4="Battery Only",0,AE184*'Batt IN'!$E$29)</f>
        <v>25811.765833333331</v>
      </c>
      <c r="AG184" s="33">
        <f>PVCalcs!L184</f>
        <v>25811.765833333331</v>
      </c>
      <c r="AH184" s="33">
        <f t="shared" si="50"/>
        <v>4555.0175000000017</v>
      </c>
      <c r="AI184" s="33"/>
      <c r="AJ184" s="2">
        <f>IF(AND('Batt IN'!$D$53="Yes",$AL$1&gt;=1),IF($C184='Batt IN'!$H$54*12,-'Batt IN'!$F$54,0),0)</f>
        <v>0</v>
      </c>
      <c r="AK184" s="2">
        <f>IF(AND('Batt IN'!$D$53="Yes",$AL$1&gt;=2),IF($C184='Batt IN'!$H$55*12,-'Batt IN'!$F$55,0),0)</f>
        <v>0</v>
      </c>
      <c r="AL184" s="2">
        <f>IF(AND('Batt IN'!$D$53="Yes",$AL$1&gt;=3),IF($C184='Batt IN'!$H$56*12,-'Batt IN'!$F$56,0),0)</f>
        <v>0</v>
      </c>
      <c r="AM184" s="2">
        <f>IF(AND('Batt IN'!$D$53="Yes",$AL$1&gt;=4),IF($C184='Batt IN'!$H$57*12,-'Batt IN'!$F$57,0),0)</f>
        <v>0</v>
      </c>
      <c r="AN184" s="2">
        <f>IF(AND('Batt IN'!$D$53="Yes",$AL$1&gt;=5),IF($C184='Batt IN'!$H$58*12,-'Batt IN'!$F$58,0),0)</f>
        <v>0</v>
      </c>
      <c r="AO184" s="10">
        <f>IF(AND('Batt IN'!$D$44="YES",$C184&lt;='Batt IN'!$E$44*12),-'Batt IN'!$E$28*'Batt IN'!$E$42/12,0)</f>
        <v>0</v>
      </c>
      <c r="AP184" s="10">
        <f>IF(AND('Batt IN'!$D$46="YES",$C184&lt;='Batt IN'!$E$46*12),-'Batt IN'!$E$28*'Batt IN'!$E$45/12,0)</f>
        <v>0</v>
      </c>
      <c r="AR184" s="10">
        <f>BattLoan!M211</f>
        <v>0</v>
      </c>
      <c r="AS184" s="10">
        <f>'Batt IN'!$G$16*365/12*'Batt IN'!$E$16</f>
        <v>76.041666666666671</v>
      </c>
      <c r="AT184" s="10">
        <f>IF(AND('Batt IN'!$E$18&gt;0,'Batt IN'!$G$18&gt;0),'Batt IN'!$E$17*'Batt IN'!$G$17,0)</f>
        <v>119.44619999999999</v>
      </c>
      <c r="AU184" s="10">
        <f>IF(AND('Batt IN'!$E$20&gt;0,'Batt IN'!$G$20&gt;0),'Batt IN'!$E$19*'Batt IN'!$G$19,0)</f>
        <v>231</v>
      </c>
      <c r="AV184" s="10"/>
      <c r="AW184" s="10"/>
      <c r="AX184" s="10">
        <f>IF('Batt IN'!$E$11="Non-Taxable",Q184,0)</f>
        <v>11168.08</v>
      </c>
      <c r="AY184" s="10">
        <f>IF('Batt IN'!$E$11="Non-Taxable",'Batt IN'!$E$28/1000*'Batt IN'!$G$13*('Batt IN'!$E$13/12)*'Batt IN'!$E$12,0)</f>
        <v>244.42220833333334</v>
      </c>
      <c r="AZ184" s="10">
        <f>IF('Batt IN'!$E$11="Non-Taxable",$S184*'Batt IN'!$G$15*'Batt IN'!$E$28*'Batt IN'!$E$14/1000,0)</f>
        <v>0</v>
      </c>
      <c r="BA184" s="10">
        <f>IF('Batt IN'!$E$11="Non-Taxable",'Batt IN'!$E$21*'Batt IN'!$G$21/12,0)</f>
        <v>437.5</v>
      </c>
      <c r="BB184" s="10">
        <f>IF('Batt IN'!$E$11="Non-Taxable",'Batt IN'!$E$22*'Batt IN'!$G$22/12,0)</f>
        <v>1145.8333333333335</v>
      </c>
      <c r="BC184" s="10">
        <f>IF('Batt IN'!$E$11="Taxable",Q184,0)</f>
        <v>0</v>
      </c>
      <c r="BD184" s="10">
        <f>IF('Batt IN'!$E$11="Taxable",'Batt IN'!$E$28/1000*'Batt IN'!$G$13*('Batt IN'!$E$13/12)*'Batt IN'!$E$12,0)</f>
        <v>0</v>
      </c>
      <c r="BE184" s="10">
        <f>IF('Batt IN'!$E$11="Taxable",$S184*'Batt IN'!$G$15*'Batt IN'!$E$28*'Batt IN'!$E$14/1000,0)</f>
        <v>0</v>
      </c>
      <c r="BF184" s="10">
        <f>IF('Batt IN'!$E$11="Taxable",'Batt IN'!$E$21*'Batt IN'!$G$21/12,0)</f>
        <v>0</v>
      </c>
      <c r="BG184" s="10">
        <f>IF('Batt IN'!$E$11="Taxable",'Batt IN'!$E$22*'Batt IN'!$G$22/12,0)</f>
        <v>0</v>
      </c>
      <c r="BK184" s="10">
        <f>IF('Batt IN'!$N$18="Yes",-BattLoan!H212,-BattLoan!L212)</f>
        <v>0</v>
      </c>
      <c r="BL184" s="10">
        <f>IF('Batt IN'!$N$18="Yes",-BattLoan!F212,0)</f>
        <v>0</v>
      </c>
      <c r="BM184" s="10">
        <f>IF(AND('Batt IN'!$D$44="YES",$C184&lt;='Batt IN'!$E$44*12),0,-'Batt IN'!$E$28*'Batt IN'!$E$42/12)</f>
        <v>-83.333333333333329</v>
      </c>
      <c r="BN184" s="10">
        <f>IF(AND('Batt IN'!$D$46="YES",$C184&lt;='Batt IN'!$E$46*12),0,-'Batt IN'!$E$28*'Batt IN'!$E$45/12)</f>
        <v>-166.66666666666666</v>
      </c>
      <c r="BO184" s="2">
        <f>IF(AND('Batt IN'!$D$41="YES",BattCalcs!C184=ROUNDUP('Batt IN'!$H$41*12,)),-'Batt IN'!$E$41*'Batt IN'!$E$28,0)</f>
        <v>0</v>
      </c>
      <c r="BP184" s="2">
        <f>IF(AND('Batt IN'!$D$53="Yes",$AL$1&gt;=1),0,IF($C184='Batt IN'!$H$54*12,-'Batt IN'!$F$54,0))</f>
        <v>0</v>
      </c>
      <c r="BQ184" s="2">
        <f>IF(AND('Batt IN'!$D$53="Yes",$AL$1&gt;=2),0,IF($C184='Batt IN'!$H$55*12,-'Batt IN'!$F$55,0))</f>
        <v>0</v>
      </c>
      <c r="BR184" s="2">
        <f>IF(AND('Batt IN'!$D$53="Yes",$AL$1&gt;=3),0,IF($C184='Batt IN'!$H$56*12,-'Batt IN'!$F$56,0))</f>
        <v>-40000</v>
      </c>
      <c r="BS184" s="2">
        <f>IF(AND('Batt IN'!$D$53="Yes",$AL$1&gt;=4),0,IF($C184='Batt IN'!$H$57*12,-'Batt IN'!$F$57,0))</f>
        <v>0</v>
      </c>
      <c r="BT184" s="2">
        <f>IF(AND('Batt IN'!$D$53="Yes",$AL$1&gt;=5),0,IF($C184='Batt IN'!$H$58*12,-'Batt IN'!$F$58,0))</f>
        <v>0</v>
      </c>
      <c r="BU184" s="2">
        <f>-AH184*PVCalcs!F184</f>
        <v>-371.28550130835811</v>
      </c>
      <c r="BV184" s="2">
        <f>-'Batt IN'!$E$47</f>
        <v>-150</v>
      </c>
      <c r="BW184" s="2">
        <f>-'Batt IN'!$E$49</f>
        <v>-2250</v>
      </c>
      <c r="BX184" s="2">
        <f>IF('Batt IN'!$H$50="No",-(BC184*'Batt IN'!$E$50),-(BC184+BE184)*'Batt IN'!$E$50)</f>
        <v>0</v>
      </c>
      <c r="BY184" s="2">
        <f>IF(C184='Batt IN'!$H$43*12,-'Batt IN'!$E$43,0)</f>
        <v>0</v>
      </c>
      <c r="BZ184" s="38"/>
      <c r="CA184" s="10">
        <f t="shared" si="34"/>
        <v>13422.323408333334</v>
      </c>
      <c r="CB184" s="2">
        <f t="shared" si="38"/>
        <v>-43021.285501308361</v>
      </c>
      <c r="CC184" s="45">
        <f t="shared" si="39"/>
        <v>-29598.962092975027</v>
      </c>
      <c r="CD184" s="43"/>
      <c r="CE184" s="2">
        <f t="shared" si="35"/>
        <v>0</v>
      </c>
      <c r="CF184" s="2">
        <f t="shared" si="40"/>
        <v>-43021.285501308361</v>
      </c>
      <c r="CG184" s="2"/>
      <c r="CH184" s="2">
        <f t="shared" si="41"/>
        <v>-43021.285501308361</v>
      </c>
      <c r="CI184" s="45">
        <f>-CH184*'Batt IN'!$E$7</f>
        <v>9034.4699552747552</v>
      </c>
      <c r="CJ184" s="48"/>
      <c r="CK184" s="45">
        <f>IF('Batt IN'!$F$4="PV Only",0,IF(C184&gt;'Batt IN'!$H$43*12,0,CC184+CI184))</f>
        <v>0</v>
      </c>
      <c r="CM184" s="10">
        <f t="shared" si="42"/>
        <v>0</v>
      </c>
      <c r="CN184" s="2">
        <f>CK184/(1+('Batt IN'!$G$8))^(C184)</f>
        <v>0</v>
      </c>
      <c r="CO184" s="2">
        <f>IF(C184&lt;='Batt IN'!$O$30*12,CN184+CO183,NA())</f>
        <v>0</v>
      </c>
      <c r="CQ184" s="2">
        <f>CK184/((1+('Batt IN'!$E$8/12))^BattCalcs!C184)</f>
        <v>0</v>
      </c>
      <c r="CS184" s="10">
        <f t="shared" si="43"/>
        <v>-43021.285501308361</v>
      </c>
      <c r="CT184" s="10">
        <f t="shared" si="44"/>
        <v>0</v>
      </c>
      <c r="CU184" s="10">
        <f t="shared" si="45"/>
        <v>-43021.285501308361</v>
      </c>
      <c r="CV184" s="10">
        <f t="shared" si="46"/>
        <v>-43021.285501308361</v>
      </c>
      <c r="CW184" s="2">
        <f t="shared" si="47"/>
        <v>0</v>
      </c>
      <c r="CX184" s="2">
        <f>-(SUM(CV184:CW184)*'PV IN'!$E$8)</f>
        <v>9034.4699552747552</v>
      </c>
      <c r="CY184" s="2">
        <f t="shared" si="48"/>
        <v>-33986.815546033606</v>
      </c>
      <c r="CZ184" s="2">
        <f>IF(C184&lt;='Batt IN'!$H$43*12,CY184/(1+('PV IN'!$G$9))^(C184),0)</f>
        <v>-16348.239387305888</v>
      </c>
      <c r="DA184" s="33">
        <f>IF(C184&lt;='Batt IN'!$H$43*12,AE184,0)</f>
        <v>30366.783333333333</v>
      </c>
    </row>
    <row r="185" spans="1:105" x14ac:dyDescent="0.25">
      <c r="A185">
        <f>IF(C185&lt;='Batt IN'!$H$43*12,C185,"")</f>
        <v>181</v>
      </c>
      <c r="C185">
        <v>181</v>
      </c>
      <c r="D185" s="21">
        <v>730</v>
      </c>
      <c r="E185" s="1">
        <f>1-'Batt IN'!$E$31</f>
        <v>2.0000000000000018E-2</v>
      </c>
      <c r="F185" s="12">
        <f>('Batt IN'!$E$33*365)/8760</f>
        <v>0</v>
      </c>
      <c r="G185" s="22">
        <f>'Batt IN'!$E$32/8760</f>
        <v>5.7077625570776253E-3</v>
      </c>
      <c r="H185" s="22">
        <f>'Batt IN'!$E$13/8760</f>
        <v>5.5936073059360729E-3</v>
      </c>
      <c r="I185" s="23">
        <f>IF(C185&lt;='Batt IN'!$G$14*12,'Batt IN'!$E$15/8760*'Batt IN'!$G$15,0)</f>
        <v>0</v>
      </c>
      <c r="J185" s="12">
        <f>Z185/'Batt IN'!$E$27/730</f>
        <v>2.4999999999999996E-3</v>
      </c>
      <c r="K185" s="23">
        <f>AA185/'Batt IN'!$E$27/730</f>
        <v>1.6027397260273972E-3</v>
      </c>
      <c r="L185" s="23">
        <f>AB185/'Batt IN'!$E$27/730</f>
        <v>2.0547945205479451E-4</v>
      </c>
      <c r="M185" s="23">
        <f>AC185/'Batt IN'!$E$27/730</f>
        <v>4.7945205479452057E-3</v>
      </c>
      <c r="N185" s="23">
        <f>AD185/'Batt IN'!$E$27/730</f>
        <v>3.4246575342465752E-3</v>
      </c>
      <c r="O185" s="12">
        <f t="shared" si="36"/>
        <v>4.3828767123287697E-2</v>
      </c>
      <c r="P185" s="21">
        <f t="shared" si="37"/>
        <v>698.005</v>
      </c>
      <c r="Q185" s="2">
        <f>IF('Batt IN'!$E$27*'Batt IN'!$E$24&lt;='Batt IN'!$E$28,(('Batt IN'!$E$23*'Batt IN'!$E$27*'Batt IN'!$E$24)/1000)*P185,(('Batt IN'!$E$23*'Batt IN'!$E$28*'Batt IN'!$E$24)/1000)*P185)</f>
        <v>11168.08</v>
      </c>
      <c r="R185" s="2"/>
      <c r="S185" s="77">
        <f>IF(C185&lt;='Batt IN'!$G$14*12,'Batt IN'!$E$15/12,0)</f>
        <v>0</v>
      </c>
      <c r="T185" s="77"/>
      <c r="U185" s="80">
        <f>'Batt IN'!$E$28*('Batt IN'!$G$24/24)*730*(1-O185)</f>
        <v>81433.916666666657</v>
      </c>
      <c r="V185" s="78">
        <f>U185*'Batt IN'!$F$30</f>
        <v>16286.783333333333</v>
      </c>
      <c r="W185" s="78">
        <f>'Batt IN'!$E$28*'Batt IN'!$G$32*('Batt IN'!$E$32/12)*(1+'Batt IN'!$F$30)</f>
        <v>1750.0000000000002</v>
      </c>
      <c r="X185" s="78">
        <f>'Batt IN'!$E$28*'Batt IN'!$G$13*('Batt IN'!$E$13/12)*(1+'Batt IN'!$F$30)</f>
        <v>3184.9999999999995</v>
      </c>
      <c r="Y185" s="33">
        <f>S185*'Batt IN'!$G$15*'Batt IN'!$E$28*(1+'Batt IN'!$F$30)</f>
        <v>0</v>
      </c>
      <c r="Z185" s="33">
        <f>'Batt IN'!$G$16*365/12*(1+'Batt IN'!$F$30)</f>
        <v>1824.9999999999998</v>
      </c>
      <c r="AA185" s="33">
        <f>'Batt IN'!$G$17*'Batt IN'!$E$18*'Batt IN'!$G$18/12*(1+'Batt IN'!$F$30)</f>
        <v>1170</v>
      </c>
      <c r="AB185" s="33">
        <f>'Batt IN'!$G$19*'Batt IN'!$E$20*'Batt IN'!$G$20/12*(1+'Batt IN'!$F$30)</f>
        <v>150</v>
      </c>
      <c r="AC185" s="33">
        <f>'Batt IN'!$G$21*(1+'Batt IN'!$F$30)/12</f>
        <v>3500</v>
      </c>
      <c r="AD185" s="33">
        <f>'Batt IN'!$G$22*(1+'Batt IN'!$F$30)/12</f>
        <v>2500</v>
      </c>
      <c r="AE185" s="33">
        <f t="shared" si="49"/>
        <v>30366.783333333333</v>
      </c>
      <c r="AF185" s="33">
        <f>IF('PV IN'!$F$4="Battery Only",0,AE185*'Batt IN'!$E$29)</f>
        <v>25811.765833333331</v>
      </c>
      <c r="AG185" s="33">
        <f>PVCalcs!L185</f>
        <v>25811.765833333331</v>
      </c>
      <c r="AH185" s="33">
        <f t="shared" si="50"/>
        <v>4555.0175000000017</v>
      </c>
      <c r="AI185" s="33"/>
      <c r="AJ185" s="2">
        <f>IF(AND('Batt IN'!$D$53="Yes",$AL$1&gt;=1),IF($C185='Batt IN'!$H$54*12,-'Batt IN'!$F$54,0),0)</f>
        <v>0</v>
      </c>
      <c r="AK185" s="2">
        <f>IF(AND('Batt IN'!$D$53="Yes",$AL$1&gt;=2),IF($C185='Batt IN'!$H$55*12,-'Batt IN'!$F$55,0),0)</f>
        <v>0</v>
      </c>
      <c r="AL185" s="2">
        <f>IF(AND('Batt IN'!$D$53="Yes",$AL$1&gt;=3),IF($C185='Batt IN'!$H$56*12,-'Batt IN'!$F$56,0),0)</f>
        <v>0</v>
      </c>
      <c r="AM185" s="2">
        <f>IF(AND('Batt IN'!$D$53="Yes",$AL$1&gt;=4),IF($C185='Batt IN'!$H$57*12,-'Batt IN'!$F$57,0),0)</f>
        <v>0</v>
      </c>
      <c r="AN185" s="2">
        <f>IF(AND('Batt IN'!$D$53="Yes",$AL$1&gt;=5),IF($C185='Batt IN'!$H$58*12,-'Batt IN'!$F$58,0),0)</f>
        <v>0</v>
      </c>
      <c r="AO185" s="10">
        <f>IF(AND('Batt IN'!$D$44="YES",$C185&lt;='Batt IN'!$E$44*12),-'Batt IN'!$E$28*'Batt IN'!$E$42/12,0)</f>
        <v>0</v>
      </c>
      <c r="AP185" s="10">
        <f>IF(AND('Batt IN'!$D$46="YES",$C185&lt;='Batt IN'!$E$46*12),-'Batt IN'!$E$28*'Batt IN'!$E$45/12,0)</f>
        <v>0</v>
      </c>
      <c r="AR185" s="10">
        <f>BattLoan!M212</f>
        <v>0</v>
      </c>
      <c r="AS185" s="10">
        <f>'Batt IN'!$G$16*365/12*'Batt IN'!$E$16</f>
        <v>76.041666666666671</v>
      </c>
      <c r="AT185" s="10">
        <f>IF(AND('Batt IN'!$E$18&gt;0,'Batt IN'!$G$18&gt;0),'Batt IN'!$E$17*'Batt IN'!$G$17,0)</f>
        <v>119.44619999999999</v>
      </c>
      <c r="AU185" s="10">
        <f>IF(AND('Batt IN'!$E$20&gt;0,'Batt IN'!$G$20&gt;0),'Batt IN'!$E$19*'Batt IN'!$G$19,0)</f>
        <v>231</v>
      </c>
      <c r="AV185" s="10"/>
      <c r="AW185" s="10"/>
      <c r="AX185" s="10">
        <f>IF('Batt IN'!$E$11="Non-Taxable",Q185,0)</f>
        <v>11168.08</v>
      </c>
      <c r="AY185" s="10">
        <f>IF('Batt IN'!$E$11="Non-Taxable",'Batt IN'!$E$28/1000*'Batt IN'!$G$13*('Batt IN'!$E$13/12)*'Batt IN'!$E$12,0)</f>
        <v>244.42220833333334</v>
      </c>
      <c r="AZ185" s="10">
        <f>IF('Batt IN'!$E$11="Non-Taxable",$S185*'Batt IN'!$G$15*'Batt IN'!$E$28*'Batt IN'!$E$14/1000,0)</f>
        <v>0</v>
      </c>
      <c r="BA185" s="10">
        <f>IF('Batt IN'!$E$11="Non-Taxable",'Batt IN'!$E$21*'Batt IN'!$G$21/12,0)</f>
        <v>437.5</v>
      </c>
      <c r="BB185" s="10">
        <f>IF('Batt IN'!$E$11="Non-Taxable",'Batt IN'!$E$22*'Batt IN'!$G$22/12,0)</f>
        <v>1145.8333333333335</v>
      </c>
      <c r="BC185" s="10">
        <f>IF('Batt IN'!$E$11="Taxable",Q185,0)</f>
        <v>0</v>
      </c>
      <c r="BD185" s="10">
        <f>IF('Batt IN'!$E$11="Taxable",'Batt IN'!$E$28/1000*'Batt IN'!$G$13*('Batt IN'!$E$13/12)*'Batt IN'!$E$12,0)</f>
        <v>0</v>
      </c>
      <c r="BE185" s="10">
        <f>IF('Batt IN'!$E$11="Taxable",$S185*'Batt IN'!$G$15*'Batt IN'!$E$28*'Batt IN'!$E$14/1000,0)</f>
        <v>0</v>
      </c>
      <c r="BF185" s="10">
        <f>IF('Batt IN'!$E$11="Taxable",'Batt IN'!$E$21*'Batt IN'!$G$21/12,0)</f>
        <v>0</v>
      </c>
      <c r="BG185" s="10">
        <f>IF('Batt IN'!$E$11="Taxable",'Batt IN'!$E$22*'Batt IN'!$G$22/12,0)</f>
        <v>0</v>
      </c>
      <c r="BK185" s="10">
        <f>IF('Batt IN'!$N$18="Yes",-BattLoan!H213,-BattLoan!L213)</f>
        <v>0</v>
      </c>
      <c r="BL185" s="10">
        <f>IF('Batt IN'!$N$18="Yes",-BattLoan!F213,0)</f>
        <v>0</v>
      </c>
      <c r="BM185" s="10">
        <f>IF(AND('Batt IN'!$D$44="YES",$C185&lt;='Batt IN'!$E$44*12),0,-'Batt IN'!$E$28*'Batt IN'!$E$42/12)</f>
        <v>-83.333333333333329</v>
      </c>
      <c r="BN185" s="10">
        <f>IF(AND('Batt IN'!$D$46="YES",$C185&lt;='Batt IN'!$E$46*12),0,-'Batt IN'!$E$28*'Batt IN'!$E$45/12)</f>
        <v>-166.66666666666666</v>
      </c>
      <c r="BO185" s="2">
        <f>IF(AND('Batt IN'!$D$41="YES",BattCalcs!C185=ROUNDUP('Batt IN'!$H$41*12,)),-'Batt IN'!$E$41*'Batt IN'!$E$28,0)</f>
        <v>0</v>
      </c>
      <c r="BP185" s="2">
        <f>IF(AND('Batt IN'!$D$53="Yes",$AL$1&gt;=1),0,IF($C185='Batt IN'!$H$54*12,-'Batt IN'!$F$54,0))</f>
        <v>0</v>
      </c>
      <c r="BQ185" s="2">
        <f>IF(AND('Batt IN'!$D$53="Yes",$AL$1&gt;=2),0,IF($C185='Batt IN'!$H$55*12,-'Batt IN'!$F$55,0))</f>
        <v>0</v>
      </c>
      <c r="BR185" s="2">
        <f>IF(AND('Batt IN'!$D$53="Yes",$AL$1&gt;=3),0,IF($C185='Batt IN'!$H$56*12,-'Batt IN'!$F$56,0))</f>
        <v>0</v>
      </c>
      <c r="BS185" s="2">
        <f>IF(AND('Batt IN'!$D$53="Yes",$AL$1&gt;=4),0,IF($C185='Batt IN'!$H$57*12,-'Batt IN'!$F$57,0))</f>
        <v>0</v>
      </c>
      <c r="BT185" s="2">
        <f>IF(AND('Batt IN'!$D$53="Yes",$AL$1&gt;=5),0,IF($C185='Batt IN'!$H$58*12,-'Batt IN'!$F$58,0))</f>
        <v>0</v>
      </c>
      <c r="BU185" s="2">
        <f>-AH185*PVCalcs!F185</f>
        <v>-372.47314617912679</v>
      </c>
      <c r="BV185" s="2">
        <f>-'Batt IN'!$E$47</f>
        <v>-150</v>
      </c>
      <c r="BW185" s="2">
        <f>-'Batt IN'!$E$49</f>
        <v>-2250</v>
      </c>
      <c r="BX185" s="2">
        <f>IF('Batt IN'!$H$50="No",-(BC185*'Batt IN'!$E$50),-(BC185+BE185)*'Batt IN'!$E$50)</f>
        <v>0</v>
      </c>
      <c r="BY185" s="2">
        <f>IF(C185='Batt IN'!$H$43*12,-'Batt IN'!$E$43,0)</f>
        <v>0</v>
      </c>
      <c r="BZ185" s="38"/>
      <c r="CA185" s="10">
        <f t="shared" si="34"/>
        <v>13422.323408333334</v>
      </c>
      <c r="CB185" s="2">
        <f t="shared" si="38"/>
        <v>-3022.4731461791271</v>
      </c>
      <c r="CC185" s="45">
        <f t="shared" si="39"/>
        <v>10399.850262154207</v>
      </c>
      <c r="CD185" s="43"/>
      <c r="CE185" s="2">
        <f t="shared" si="35"/>
        <v>0</v>
      </c>
      <c r="CF185" s="2">
        <f t="shared" si="40"/>
        <v>-3022.4731461791271</v>
      </c>
      <c r="CG185" s="2"/>
      <c r="CH185" s="2">
        <f t="shared" si="41"/>
        <v>-3022.4731461791271</v>
      </c>
      <c r="CI185" s="45">
        <f>-CH185*'Batt IN'!$E$7</f>
        <v>634.71936069761671</v>
      </c>
      <c r="CJ185" s="48"/>
      <c r="CK185" s="45">
        <f>IF('Batt IN'!$F$4="PV Only",0,IF(C185&gt;'Batt IN'!$H$43*12,0,CC185+CI185))</f>
        <v>0</v>
      </c>
      <c r="CM185" s="10">
        <f t="shared" si="42"/>
        <v>0</v>
      </c>
      <c r="CN185" s="2">
        <f>CK185/(1+('Batt IN'!$G$8))^(C185)</f>
        <v>0</v>
      </c>
      <c r="CO185" s="2">
        <f>IF(C185&lt;='Batt IN'!$O$30*12,CN185+CO184,NA())</f>
        <v>0</v>
      </c>
      <c r="CQ185" s="2">
        <f>CK185/((1+('Batt IN'!$E$8/12))^BattCalcs!C185)</f>
        <v>0</v>
      </c>
      <c r="CS185" s="10">
        <f t="shared" si="43"/>
        <v>-3022.4731461791271</v>
      </c>
      <c r="CT185" s="10">
        <f t="shared" si="44"/>
        <v>0</v>
      </c>
      <c r="CU185" s="10">
        <f t="shared" si="45"/>
        <v>-3022.4731461791271</v>
      </c>
      <c r="CV185" s="10">
        <f t="shared" si="46"/>
        <v>-3022.4731461791271</v>
      </c>
      <c r="CW185" s="2">
        <f t="shared" si="47"/>
        <v>0</v>
      </c>
      <c r="CX185" s="2">
        <f>-(SUM(CV185:CW185)*'PV IN'!$E$8)</f>
        <v>634.71936069761671</v>
      </c>
      <c r="CY185" s="2">
        <f t="shared" si="48"/>
        <v>-2387.7537854815105</v>
      </c>
      <c r="CZ185" s="2">
        <f>IF(C185&lt;='Batt IN'!$H$43*12,CY185/(1+('PV IN'!$G$9))^(C185),0)</f>
        <v>-1143.8900472008468</v>
      </c>
      <c r="DA185" s="33">
        <f>IF(C185&lt;='Batt IN'!$H$43*12,AE185,0)</f>
        <v>30366.783333333333</v>
      </c>
    </row>
    <row r="186" spans="1:105" x14ac:dyDescent="0.25">
      <c r="A186">
        <f>IF(C186&lt;='Batt IN'!$H$43*12,C186,"")</f>
        <v>182</v>
      </c>
      <c r="C186">
        <v>182</v>
      </c>
      <c r="D186" s="21">
        <v>730</v>
      </c>
      <c r="E186" s="1">
        <f>1-'Batt IN'!$E$31</f>
        <v>2.0000000000000018E-2</v>
      </c>
      <c r="F186" s="12">
        <f>('Batt IN'!$E$33*365)/8760</f>
        <v>0</v>
      </c>
      <c r="G186" s="22">
        <f>'Batt IN'!$E$32/8760</f>
        <v>5.7077625570776253E-3</v>
      </c>
      <c r="H186" s="22">
        <f>'Batt IN'!$E$13/8760</f>
        <v>5.5936073059360729E-3</v>
      </c>
      <c r="I186" s="23">
        <f>IF(C186&lt;='Batt IN'!$G$14*12,'Batt IN'!$E$15/8760*'Batt IN'!$G$15,0)</f>
        <v>0</v>
      </c>
      <c r="J186" s="12">
        <f>Z186/'Batt IN'!$E$27/730</f>
        <v>2.4999999999999996E-3</v>
      </c>
      <c r="K186" s="23">
        <f>AA186/'Batt IN'!$E$27/730</f>
        <v>1.6027397260273972E-3</v>
      </c>
      <c r="L186" s="23">
        <f>AB186/'Batt IN'!$E$27/730</f>
        <v>2.0547945205479451E-4</v>
      </c>
      <c r="M186" s="23">
        <f>AC186/'Batt IN'!$E$27/730</f>
        <v>4.7945205479452057E-3</v>
      </c>
      <c r="N186" s="23">
        <f>AD186/'Batt IN'!$E$27/730</f>
        <v>3.4246575342465752E-3</v>
      </c>
      <c r="O186" s="12">
        <f t="shared" si="36"/>
        <v>4.3828767123287697E-2</v>
      </c>
      <c r="P186" s="21">
        <f t="shared" si="37"/>
        <v>698.005</v>
      </c>
      <c r="Q186" s="2">
        <f>IF('Batt IN'!$E$27*'Batt IN'!$E$24&lt;='Batt IN'!$E$28,(('Batt IN'!$E$23*'Batt IN'!$E$27*'Batt IN'!$E$24)/1000)*P186,(('Batt IN'!$E$23*'Batt IN'!$E$28*'Batt IN'!$E$24)/1000)*P186)</f>
        <v>11168.08</v>
      </c>
      <c r="R186" s="2"/>
      <c r="S186" s="77">
        <f>IF(C186&lt;='Batt IN'!$G$14*12,'Batt IN'!$E$15/12,0)</f>
        <v>0</v>
      </c>
      <c r="T186" s="77"/>
      <c r="U186" s="80">
        <f>'Batt IN'!$E$28*('Batt IN'!$G$24/24)*730*(1-O186)</f>
        <v>81433.916666666657</v>
      </c>
      <c r="V186" s="78">
        <f>U186*'Batt IN'!$F$30</f>
        <v>16286.783333333333</v>
      </c>
      <c r="W186" s="78">
        <f>'Batt IN'!$E$28*'Batt IN'!$G$32*('Batt IN'!$E$32/12)*(1+'Batt IN'!$F$30)</f>
        <v>1750.0000000000002</v>
      </c>
      <c r="X186" s="78">
        <f>'Batt IN'!$E$28*'Batt IN'!$G$13*('Batt IN'!$E$13/12)*(1+'Batt IN'!$F$30)</f>
        <v>3184.9999999999995</v>
      </c>
      <c r="Y186" s="33">
        <f>S186*'Batt IN'!$G$15*'Batt IN'!$E$28*(1+'Batt IN'!$F$30)</f>
        <v>0</v>
      </c>
      <c r="Z186" s="33">
        <f>'Batt IN'!$G$16*365/12*(1+'Batt IN'!$F$30)</f>
        <v>1824.9999999999998</v>
      </c>
      <c r="AA186" s="33">
        <f>'Batt IN'!$G$17*'Batt IN'!$E$18*'Batt IN'!$G$18/12*(1+'Batt IN'!$F$30)</f>
        <v>1170</v>
      </c>
      <c r="AB186" s="33">
        <f>'Batt IN'!$G$19*'Batt IN'!$E$20*'Batt IN'!$G$20/12*(1+'Batt IN'!$F$30)</f>
        <v>150</v>
      </c>
      <c r="AC186" s="33">
        <f>'Batt IN'!$G$21*(1+'Batt IN'!$F$30)/12</f>
        <v>3500</v>
      </c>
      <c r="AD186" s="33">
        <f>'Batt IN'!$G$22*(1+'Batt IN'!$F$30)/12</f>
        <v>2500</v>
      </c>
      <c r="AE186" s="33">
        <f t="shared" si="49"/>
        <v>30366.783333333333</v>
      </c>
      <c r="AF186" s="33">
        <f>IF('PV IN'!$F$4="Battery Only",0,AE186*'Batt IN'!$E$29)</f>
        <v>25811.765833333331</v>
      </c>
      <c r="AG186" s="33">
        <f>PVCalcs!L186</f>
        <v>25811.765833333331</v>
      </c>
      <c r="AH186" s="33">
        <f t="shared" si="50"/>
        <v>4555.0175000000017</v>
      </c>
      <c r="AI186" s="33"/>
      <c r="AJ186" s="2">
        <f>IF(AND('Batt IN'!$D$53="Yes",$AL$1&gt;=1),IF($C186='Batt IN'!$H$54*12,-'Batt IN'!$F$54,0),0)</f>
        <v>0</v>
      </c>
      <c r="AK186" s="2">
        <f>IF(AND('Batt IN'!$D$53="Yes",$AL$1&gt;=2),IF($C186='Batt IN'!$H$55*12,-'Batt IN'!$F$55,0),0)</f>
        <v>0</v>
      </c>
      <c r="AL186" s="2">
        <f>IF(AND('Batt IN'!$D$53="Yes",$AL$1&gt;=3),IF($C186='Batt IN'!$H$56*12,-'Batt IN'!$F$56,0),0)</f>
        <v>0</v>
      </c>
      <c r="AM186" s="2">
        <f>IF(AND('Batt IN'!$D$53="Yes",$AL$1&gt;=4),IF($C186='Batt IN'!$H$57*12,-'Batt IN'!$F$57,0),0)</f>
        <v>0</v>
      </c>
      <c r="AN186" s="2">
        <f>IF(AND('Batt IN'!$D$53="Yes",$AL$1&gt;=5),IF($C186='Batt IN'!$H$58*12,-'Batt IN'!$F$58,0),0)</f>
        <v>0</v>
      </c>
      <c r="AO186" s="10">
        <f>IF(AND('Batt IN'!$D$44="YES",$C186&lt;='Batt IN'!$E$44*12),-'Batt IN'!$E$28*'Batt IN'!$E$42/12,0)</f>
        <v>0</v>
      </c>
      <c r="AP186" s="10">
        <f>IF(AND('Batt IN'!$D$46="YES",$C186&lt;='Batt IN'!$E$46*12),-'Batt IN'!$E$28*'Batt IN'!$E$45/12,0)</f>
        <v>0</v>
      </c>
      <c r="AR186" s="10">
        <f>BattLoan!M213</f>
        <v>0</v>
      </c>
      <c r="AS186" s="10">
        <f>'Batt IN'!$G$16*365/12*'Batt IN'!$E$16</f>
        <v>76.041666666666671</v>
      </c>
      <c r="AT186" s="10">
        <f>IF(AND('Batt IN'!$E$18&gt;0,'Batt IN'!$G$18&gt;0),'Batt IN'!$E$17*'Batt IN'!$G$17,0)</f>
        <v>119.44619999999999</v>
      </c>
      <c r="AU186" s="10">
        <f>IF(AND('Batt IN'!$E$20&gt;0,'Batt IN'!$G$20&gt;0),'Batt IN'!$E$19*'Batt IN'!$G$19,0)</f>
        <v>231</v>
      </c>
      <c r="AV186" s="10"/>
      <c r="AW186" s="10"/>
      <c r="AX186" s="10">
        <f>IF('Batt IN'!$E$11="Non-Taxable",Q186,0)</f>
        <v>11168.08</v>
      </c>
      <c r="AY186" s="10">
        <f>IF('Batt IN'!$E$11="Non-Taxable",'Batt IN'!$E$28/1000*'Batt IN'!$G$13*('Batt IN'!$E$13/12)*'Batt IN'!$E$12,0)</f>
        <v>244.42220833333334</v>
      </c>
      <c r="AZ186" s="10">
        <f>IF('Batt IN'!$E$11="Non-Taxable",$S186*'Batt IN'!$G$15*'Batt IN'!$E$28*'Batt IN'!$E$14/1000,0)</f>
        <v>0</v>
      </c>
      <c r="BA186" s="10">
        <f>IF('Batt IN'!$E$11="Non-Taxable",'Batt IN'!$E$21*'Batt IN'!$G$21/12,0)</f>
        <v>437.5</v>
      </c>
      <c r="BB186" s="10">
        <f>IF('Batt IN'!$E$11="Non-Taxable",'Batt IN'!$E$22*'Batt IN'!$G$22/12,0)</f>
        <v>1145.8333333333335</v>
      </c>
      <c r="BC186" s="10">
        <f>IF('Batt IN'!$E$11="Taxable",Q186,0)</f>
        <v>0</v>
      </c>
      <c r="BD186" s="10">
        <f>IF('Batt IN'!$E$11="Taxable",'Batt IN'!$E$28/1000*'Batt IN'!$G$13*('Batt IN'!$E$13/12)*'Batt IN'!$E$12,0)</f>
        <v>0</v>
      </c>
      <c r="BE186" s="10">
        <f>IF('Batt IN'!$E$11="Taxable",$S186*'Batt IN'!$G$15*'Batt IN'!$E$28*'Batt IN'!$E$14/1000,0)</f>
        <v>0</v>
      </c>
      <c r="BF186" s="10">
        <f>IF('Batt IN'!$E$11="Taxable",'Batt IN'!$E$21*'Batt IN'!$G$21/12,0)</f>
        <v>0</v>
      </c>
      <c r="BG186" s="10">
        <f>IF('Batt IN'!$E$11="Taxable",'Batt IN'!$E$22*'Batt IN'!$G$22/12,0)</f>
        <v>0</v>
      </c>
      <c r="BK186" s="10">
        <f>IF('Batt IN'!$N$18="Yes",-BattLoan!H214,-BattLoan!L214)</f>
        <v>0</v>
      </c>
      <c r="BL186" s="10">
        <f>IF('Batt IN'!$N$18="Yes",-BattLoan!F214,0)</f>
        <v>0</v>
      </c>
      <c r="BM186" s="10">
        <f>IF(AND('Batt IN'!$D$44="YES",$C186&lt;='Batt IN'!$E$44*12),0,-'Batt IN'!$E$28*'Batt IN'!$E$42/12)</f>
        <v>-83.333333333333329</v>
      </c>
      <c r="BN186" s="10">
        <f>IF(AND('Batt IN'!$D$46="YES",$C186&lt;='Batt IN'!$E$46*12),0,-'Batt IN'!$E$28*'Batt IN'!$E$45/12)</f>
        <v>-166.66666666666666</v>
      </c>
      <c r="BO186" s="2">
        <f>IF(AND('Batt IN'!$D$41="YES",BattCalcs!C186=ROUNDUP('Batt IN'!$H$41*12,)),-'Batt IN'!$E$41*'Batt IN'!$E$28,0)</f>
        <v>0</v>
      </c>
      <c r="BP186" s="2">
        <f>IF(AND('Batt IN'!$D$53="Yes",$AL$1&gt;=1),0,IF($C186='Batt IN'!$H$54*12,-'Batt IN'!$F$54,0))</f>
        <v>0</v>
      </c>
      <c r="BQ186" s="2">
        <f>IF(AND('Batt IN'!$D$53="Yes",$AL$1&gt;=2),0,IF($C186='Batt IN'!$H$55*12,-'Batt IN'!$F$55,0))</f>
        <v>0</v>
      </c>
      <c r="BR186" s="2">
        <f>IF(AND('Batt IN'!$D$53="Yes",$AL$1&gt;=3),0,IF($C186='Batt IN'!$H$56*12,-'Batt IN'!$F$56,0))</f>
        <v>0</v>
      </c>
      <c r="BS186" s="2">
        <f>IF(AND('Batt IN'!$D$53="Yes",$AL$1&gt;=4),0,IF($C186='Batt IN'!$H$57*12,-'Batt IN'!$F$57,0))</f>
        <v>0</v>
      </c>
      <c r="BT186" s="2">
        <f>IF(AND('Batt IN'!$D$53="Yes",$AL$1&gt;=5),0,IF($C186='Batt IN'!$H$58*12,-'Batt IN'!$F$58,0))</f>
        <v>0</v>
      </c>
      <c r="BU186" s="2">
        <f>-AH186*PVCalcs!F186</f>
        <v>-372.47314617912679</v>
      </c>
      <c r="BV186" s="2">
        <f>-'Batt IN'!$E$47</f>
        <v>-150</v>
      </c>
      <c r="BW186" s="2">
        <f>-'Batt IN'!$E$49</f>
        <v>-2250</v>
      </c>
      <c r="BX186" s="2">
        <f>IF('Batt IN'!$H$50="No",-(BC186*'Batt IN'!$E$50),-(BC186+BE186)*'Batt IN'!$E$50)</f>
        <v>0</v>
      </c>
      <c r="BY186" s="2">
        <f>IF(C186='Batt IN'!$H$43*12,-'Batt IN'!$E$43,0)</f>
        <v>0</v>
      </c>
      <c r="BZ186" s="38"/>
      <c r="CA186" s="10">
        <f t="shared" si="34"/>
        <v>13422.323408333334</v>
      </c>
      <c r="CB186" s="2">
        <f t="shared" si="38"/>
        <v>-3022.4731461791271</v>
      </c>
      <c r="CC186" s="45">
        <f t="shared" si="39"/>
        <v>10399.850262154207</v>
      </c>
      <c r="CD186" s="43"/>
      <c r="CE186" s="2">
        <f t="shared" si="35"/>
        <v>0</v>
      </c>
      <c r="CF186" s="2">
        <f t="shared" si="40"/>
        <v>-3022.4731461791271</v>
      </c>
      <c r="CG186" s="2"/>
      <c r="CH186" s="2">
        <f t="shared" si="41"/>
        <v>-3022.4731461791271</v>
      </c>
      <c r="CI186" s="45">
        <f>-CH186*'Batt IN'!$E$7</f>
        <v>634.71936069761671</v>
      </c>
      <c r="CJ186" s="48"/>
      <c r="CK186" s="45">
        <f>IF('Batt IN'!$F$4="PV Only",0,IF(C186&gt;'Batt IN'!$H$43*12,0,CC186+CI186))</f>
        <v>0</v>
      </c>
      <c r="CM186" s="10">
        <f t="shared" si="42"/>
        <v>0</v>
      </c>
      <c r="CN186" s="2">
        <f>CK186/(1+('Batt IN'!$G$8))^(C186)</f>
        <v>0</v>
      </c>
      <c r="CO186" s="2">
        <f>IF(C186&lt;='Batt IN'!$O$30*12,CN186+CO185,NA())</f>
        <v>0</v>
      </c>
      <c r="CQ186" s="2">
        <f>CK186/((1+('Batt IN'!$E$8/12))^BattCalcs!C186)</f>
        <v>0</v>
      </c>
      <c r="CS186" s="10">
        <f t="shared" si="43"/>
        <v>-3022.4731461791271</v>
      </c>
      <c r="CT186" s="10">
        <f t="shared" si="44"/>
        <v>0</v>
      </c>
      <c r="CU186" s="10">
        <f t="shared" si="45"/>
        <v>-3022.4731461791271</v>
      </c>
      <c r="CV186" s="10">
        <f t="shared" si="46"/>
        <v>-3022.4731461791271</v>
      </c>
      <c r="CW186" s="2">
        <f t="shared" si="47"/>
        <v>0</v>
      </c>
      <c r="CX186" s="2">
        <f>-(SUM(CV186:CW186)*'PV IN'!$E$8)</f>
        <v>634.71936069761671</v>
      </c>
      <c r="CY186" s="2">
        <f t="shared" si="48"/>
        <v>-2387.7537854815105</v>
      </c>
      <c r="CZ186" s="2">
        <f>IF(C186&lt;='Batt IN'!$H$43*12,CY186/(1+('PV IN'!$G$9))^(C186),0)</f>
        <v>-1139.2486073541368</v>
      </c>
      <c r="DA186" s="33">
        <f>IF(C186&lt;='Batt IN'!$H$43*12,AE186,0)</f>
        <v>30366.783333333333</v>
      </c>
    </row>
    <row r="187" spans="1:105" x14ac:dyDescent="0.25">
      <c r="A187">
        <f>IF(C187&lt;='Batt IN'!$H$43*12,C187,"")</f>
        <v>183</v>
      </c>
      <c r="C187">
        <v>183</v>
      </c>
      <c r="D187" s="21">
        <v>730</v>
      </c>
      <c r="E187" s="1">
        <f>1-'Batt IN'!$E$31</f>
        <v>2.0000000000000018E-2</v>
      </c>
      <c r="F187" s="12">
        <f>('Batt IN'!$E$33*365)/8760</f>
        <v>0</v>
      </c>
      <c r="G187" s="22">
        <f>'Batt IN'!$E$32/8760</f>
        <v>5.7077625570776253E-3</v>
      </c>
      <c r="H187" s="22">
        <f>'Batt IN'!$E$13/8760</f>
        <v>5.5936073059360729E-3</v>
      </c>
      <c r="I187" s="23">
        <f>IF(C187&lt;='Batt IN'!$G$14*12,'Batt IN'!$E$15/8760*'Batt IN'!$G$15,0)</f>
        <v>0</v>
      </c>
      <c r="J187" s="12">
        <f>Z187/'Batt IN'!$E$27/730</f>
        <v>2.4999999999999996E-3</v>
      </c>
      <c r="K187" s="23">
        <f>AA187/'Batt IN'!$E$27/730</f>
        <v>1.6027397260273972E-3</v>
      </c>
      <c r="L187" s="23">
        <f>AB187/'Batt IN'!$E$27/730</f>
        <v>2.0547945205479451E-4</v>
      </c>
      <c r="M187" s="23">
        <f>AC187/'Batt IN'!$E$27/730</f>
        <v>4.7945205479452057E-3</v>
      </c>
      <c r="N187" s="23">
        <f>AD187/'Batt IN'!$E$27/730</f>
        <v>3.4246575342465752E-3</v>
      </c>
      <c r="O187" s="12">
        <f t="shared" si="36"/>
        <v>4.3828767123287697E-2</v>
      </c>
      <c r="P187" s="21">
        <f t="shared" si="37"/>
        <v>698.005</v>
      </c>
      <c r="Q187" s="2">
        <f>IF('Batt IN'!$E$27*'Batt IN'!$E$24&lt;='Batt IN'!$E$28,(('Batt IN'!$E$23*'Batt IN'!$E$27*'Batt IN'!$E$24)/1000)*P187,(('Batt IN'!$E$23*'Batt IN'!$E$28*'Batt IN'!$E$24)/1000)*P187)</f>
        <v>11168.08</v>
      </c>
      <c r="R187" s="2"/>
      <c r="S187" s="77">
        <f>IF(C187&lt;='Batt IN'!$G$14*12,'Batt IN'!$E$15/12,0)</f>
        <v>0</v>
      </c>
      <c r="T187" s="77"/>
      <c r="U187" s="80">
        <f>'Batt IN'!$E$28*('Batt IN'!$G$24/24)*730*(1-O187)</f>
        <v>81433.916666666657</v>
      </c>
      <c r="V187" s="78">
        <f>U187*'Batt IN'!$F$30</f>
        <v>16286.783333333333</v>
      </c>
      <c r="W187" s="78">
        <f>'Batt IN'!$E$28*'Batt IN'!$G$32*('Batt IN'!$E$32/12)*(1+'Batt IN'!$F$30)</f>
        <v>1750.0000000000002</v>
      </c>
      <c r="X187" s="78">
        <f>'Batt IN'!$E$28*'Batt IN'!$G$13*('Batt IN'!$E$13/12)*(1+'Batt IN'!$F$30)</f>
        <v>3184.9999999999995</v>
      </c>
      <c r="Y187" s="33">
        <f>S187*'Batt IN'!$G$15*'Batt IN'!$E$28*(1+'Batt IN'!$F$30)</f>
        <v>0</v>
      </c>
      <c r="Z187" s="33">
        <f>'Batt IN'!$G$16*365/12*(1+'Batt IN'!$F$30)</f>
        <v>1824.9999999999998</v>
      </c>
      <c r="AA187" s="33">
        <f>'Batt IN'!$G$17*'Batt IN'!$E$18*'Batt IN'!$G$18/12*(1+'Batt IN'!$F$30)</f>
        <v>1170</v>
      </c>
      <c r="AB187" s="33">
        <f>'Batt IN'!$G$19*'Batt IN'!$E$20*'Batt IN'!$G$20/12*(1+'Batt IN'!$F$30)</f>
        <v>150</v>
      </c>
      <c r="AC187" s="33">
        <f>'Batt IN'!$G$21*(1+'Batt IN'!$F$30)/12</f>
        <v>3500</v>
      </c>
      <c r="AD187" s="33">
        <f>'Batt IN'!$G$22*(1+'Batt IN'!$F$30)/12</f>
        <v>2500</v>
      </c>
      <c r="AE187" s="33">
        <f t="shared" si="49"/>
        <v>30366.783333333333</v>
      </c>
      <c r="AF187" s="33">
        <f>IF('PV IN'!$F$4="Battery Only",0,AE187*'Batt IN'!$E$29)</f>
        <v>25811.765833333331</v>
      </c>
      <c r="AG187" s="33">
        <f>PVCalcs!L187</f>
        <v>25811.765833333331</v>
      </c>
      <c r="AH187" s="33">
        <f t="shared" si="50"/>
        <v>4555.0175000000017</v>
      </c>
      <c r="AI187" s="33"/>
      <c r="AJ187" s="2">
        <f>IF(AND('Batt IN'!$D$53="Yes",$AL$1&gt;=1),IF($C187='Batt IN'!$H$54*12,-'Batt IN'!$F$54,0),0)</f>
        <v>0</v>
      </c>
      <c r="AK187" s="2">
        <f>IF(AND('Batt IN'!$D$53="Yes",$AL$1&gt;=2),IF($C187='Batt IN'!$H$55*12,-'Batt IN'!$F$55,0),0)</f>
        <v>0</v>
      </c>
      <c r="AL187" s="2">
        <f>IF(AND('Batt IN'!$D$53="Yes",$AL$1&gt;=3),IF($C187='Batt IN'!$H$56*12,-'Batt IN'!$F$56,0),0)</f>
        <v>0</v>
      </c>
      <c r="AM187" s="2">
        <f>IF(AND('Batt IN'!$D$53="Yes",$AL$1&gt;=4),IF($C187='Batt IN'!$H$57*12,-'Batt IN'!$F$57,0),0)</f>
        <v>0</v>
      </c>
      <c r="AN187" s="2">
        <f>IF(AND('Batt IN'!$D$53="Yes",$AL$1&gt;=5),IF($C187='Batt IN'!$H$58*12,-'Batt IN'!$F$58,0),0)</f>
        <v>0</v>
      </c>
      <c r="AO187" s="10">
        <f>IF(AND('Batt IN'!$D$44="YES",$C187&lt;='Batt IN'!$E$44*12),-'Batt IN'!$E$28*'Batt IN'!$E$42/12,0)</f>
        <v>0</v>
      </c>
      <c r="AP187" s="10">
        <f>IF(AND('Batt IN'!$D$46="YES",$C187&lt;='Batt IN'!$E$46*12),-'Batt IN'!$E$28*'Batt IN'!$E$45/12,0)</f>
        <v>0</v>
      </c>
      <c r="AR187" s="10">
        <f>BattLoan!M214</f>
        <v>0</v>
      </c>
      <c r="AS187" s="10">
        <f>'Batt IN'!$G$16*365/12*'Batt IN'!$E$16</f>
        <v>76.041666666666671</v>
      </c>
      <c r="AT187" s="10">
        <f>IF(AND('Batt IN'!$E$18&gt;0,'Batt IN'!$G$18&gt;0),'Batt IN'!$E$17*'Batt IN'!$G$17,0)</f>
        <v>119.44619999999999</v>
      </c>
      <c r="AU187" s="10">
        <f>IF(AND('Batt IN'!$E$20&gt;0,'Batt IN'!$G$20&gt;0),'Batt IN'!$E$19*'Batt IN'!$G$19,0)</f>
        <v>231</v>
      </c>
      <c r="AV187" s="10"/>
      <c r="AW187" s="10"/>
      <c r="AX187" s="10">
        <f>IF('Batt IN'!$E$11="Non-Taxable",Q187,0)</f>
        <v>11168.08</v>
      </c>
      <c r="AY187" s="10">
        <f>IF('Batt IN'!$E$11="Non-Taxable",'Batt IN'!$E$28/1000*'Batt IN'!$G$13*('Batt IN'!$E$13/12)*'Batt IN'!$E$12,0)</f>
        <v>244.42220833333334</v>
      </c>
      <c r="AZ187" s="10">
        <f>IF('Batt IN'!$E$11="Non-Taxable",$S187*'Batt IN'!$G$15*'Batt IN'!$E$28*'Batt IN'!$E$14/1000,0)</f>
        <v>0</v>
      </c>
      <c r="BA187" s="10">
        <f>IF('Batt IN'!$E$11="Non-Taxable",'Batt IN'!$E$21*'Batt IN'!$G$21/12,0)</f>
        <v>437.5</v>
      </c>
      <c r="BB187" s="10">
        <f>IF('Batt IN'!$E$11="Non-Taxable",'Batt IN'!$E$22*'Batt IN'!$G$22/12,0)</f>
        <v>1145.8333333333335</v>
      </c>
      <c r="BC187" s="10">
        <f>IF('Batt IN'!$E$11="Taxable",Q187,0)</f>
        <v>0</v>
      </c>
      <c r="BD187" s="10">
        <f>IF('Batt IN'!$E$11="Taxable",'Batt IN'!$E$28/1000*'Batt IN'!$G$13*('Batt IN'!$E$13/12)*'Batt IN'!$E$12,0)</f>
        <v>0</v>
      </c>
      <c r="BE187" s="10">
        <f>IF('Batt IN'!$E$11="Taxable",$S187*'Batt IN'!$G$15*'Batt IN'!$E$28*'Batt IN'!$E$14/1000,0)</f>
        <v>0</v>
      </c>
      <c r="BF187" s="10">
        <f>IF('Batt IN'!$E$11="Taxable",'Batt IN'!$E$21*'Batt IN'!$G$21/12,0)</f>
        <v>0</v>
      </c>
      <c r="BG187" s="10">
        <f>IF('Batt IN'!$E$11="Taxable",'Batt IN'!$E$22*'Batt IN'!$G$22/12,0)</f>
        <v>0</v>
      </c>
      <c r="BK187" s="10">
        <f>IF('Batt IN'!$N$18="Yes",-BattLoan!H215,-BattLoan!L215)</f>
        <v>0</v>
      </c>
      <c r="BL187" s="10">
        <f>IF('Batt IN'!$N$18="Yes",-BattLoan!F215,0)</f>
        <v>0</v>
      </c>
      <c r="BM187" s="10">
        <f>IF(AND('Batt IN'!$D$44="YES",$C187&lt;='Batt IN'!$E$44*12),0,-'Batt IN'!$E$28*'Batt IN'!$E$42/12)</f>
        <v>-83.333333333333329</v>
      </c>
      <c r="BN187" s="10">
        <f>IF(AND('Batt IN'!$D$46="YES",$C187&lt;='Batt IN'!$E$46*12),0,-'Batt IN'!$E$28*'Batt IN'!$E$45/12)</f>
        <v>-166.66666666666666</v>
      </c>
      <c r="BO187" s="2">
        <f>IF(AND('Batt IN'!$D$41="YES",BattCalcs!C187=ROUNDUP('Batt IN'!$H$41*12,)),-'Batt IN'!$E$41*'Batt IN'!$E$28,0)</f>
        <v>0</v>
      </c>
      <c r="BP187" s="2">
        <f>IF(AND('Batt IN'!$D$53="Yes",$AL$1&gt;=1),0,IF($C187='Batt IN'!$H$54*12,-'Batt IN'!$F$54,0))</f>
        <v>0</v>
      </c>
      <c r="BQ187" s="2">
        <f>IF(AND('Batt IN'!$D$53="Yes",$AL$1&gt;=2),0,IF($C187='Batt IN'!$H$55*12,-'Batt IN'!$F$55,0))</f>
        <v>0</v>
      </c>
      <c r="BR187" s="2">
        <f>IF(AND('Batt IN'!$D$53="Yes",$AL$1&gt;=3),0,IF($C187='Batt IN'!$H$56*12,-'Batt IN'!$F$56,0))</f>
        <v>0</v>
      </c>
      <c r="BS187" s="2">
        <f>IF(AND('Batt IN'!$D$53="Yes",$AL$1&gt;=4),0,IF($C187='Batt IN'!$H$57*12,-'Batt IN'!$F$57,0))</f>
        <v>0</v>
      </c>
      <c r="BT187" s="2">
        <f>IF(AND('Batt IN'!$D$53="Yes",$AL$1&gt;=5),0,IF($C187='Batt IN'!$H$58*12,-'Batt IN'!$F$58,0))</f>
        <v>0</v>
      </c>
      <c r="BU187" s="2">
        <f>-AH187*PVCalcs!F187</f>
        <v>-372.47314617912679</v>
      </c>
      <c r="BV187" s="2">
        <f>-'Batt IN'!$E$47</f>
        <v>-150</v>
      </c>
      <c r="BW187" s="2">
        <f>-'Batt IN'!$E$49</f>
        <v>-2250</v>
      </c>
      <c r="BX187" s="2">
        <f>IF('Batt IN'!$H$50="No",-(BC187*'Batt IN'!$E$50),-(BC187+BE187)*'Batt IN'!$E$50)</f>
        <v>0</v>
      </c>
      <c r="BY187" s="2">
        <f>IF(C187='Batt IN'!$H$43*12,-'Batt IN'!$E$43,0)</f>
        <v>0</v>
      </c>
      <c r="BZ187" s="38"/>
      <c r="CA187" s="10">
        <f t="shared" si="34"/>
        <v>13422.323408333334</v>
      </c>
      <c r="CB187" s="2">
        <f t="shared" si="38"/>
        <v>-3022.4731461791271</v>
      </c>
      <c r="CC187" s="45">
        <f t="shared" si="39"/>
        <v>10399.850262154207</v>
      </c>
      <c r="CD187" s="43"/>
      <c r="CE187" s="2">
        <f t="shared" si="35"/>
        <v>0</v>
      </c>
      <c r="CF187" s="2">
        <f t="shared" si="40"/>
        <v>-3022.4731461791271</v>
      </c>
      <c r="CG187" s="2"/>
      <c r="CH187" s="2">
        <f t="shared" si="41"/>
        <v>-3022.4731461791271</v>
      </c>
      <c r="CI187" s="45">
        <f>-CH187*'Batt IN'!$E$7</f>
        <v>634.71936069761671</v>
      </c>
      <c r="CJ187" s="48"/>
      <c r="CK187" s="45">
        <f>IF('Batt IN'!$F$4="PV Only",0,IF(C187&gt;'Batt IN'!$H$43*12,0,CC187+CI187))</f>
        <v>0</v>
      </c>
      <c r="CM187" s="10">
        <f t="shared" si="42"/>
        <v>0</v>
      </c>
      <c r="CN187" s="2">
        <f>CK187/(1+('Batt IN'!$G$8))^(C187)</f>
        <v>0</v>
      </c>
      <c r="CO187" s="2">
        <f>IF(C187&lt;='Batt IN'!$O$30*12,CN187+CO186,NA())</f>
        <v>0</v>
      </c>
      <c r="CQ187" s="2">
        <f>CK187/((1+('Batt IN'!$E$8/12))^BattCalcs!C187)</f>
        <v>0</v>
      </c>
      <c r="CS187" s="10">
        <f t="shared" si="43"/>
        <v>-3022.4731461791271</v>
      </c>
      <c r="CT187" s="10">
        <f t="shared" si="44"/>
        <v>0</v>
      </c>
      <c r="CU187" s="10">
        <f t="shared" si="45"/>
        <v>-3022.4731461791271</v>
      </c>
      <c r="CV187" s="10">
        <f t="shared" si="46"/>
        <v>-3022.4731461791271</v>
      </c>
      <c r="CW187" s="2">
        <f t="shared" si="47"/>
        <v>0</v>
      </c>
      <c r="CX187" s="2">
        <f>-(SUM(CV187:CW187)*'PV IN'!$E$8)</f>
        <v>634.71936069761671</v>
      </c>
      <c r="CY187" s="2">
        <f t="shared" si="48"/>
        <v>-2387.7537854815105</v>
      </c>
      <c r="CZ187" s="2">
        <f>IF(C187&lt;='Batt IN'!$H$43*12,CY187/(1+('PV IN'!$G$9))^(C187),0)</f>
        <v>-1134.6260005796296</v>
      </c>
      <c r="DA187" s="33">
        <f>IF(C187&lt;='Batt IN'!$H$43*12,AE187,0)</f>
        <v>30366.783333333333</v>
      </c>
    </row>
    <row r="188" spans="1:105" x14ac:dyDescent="0.25">
      <c r="A188">
        <f>IF(C188&lt;='Batt IN'!$H$43*12,C188,"")</f>
        <v>184</v>
      </c>
      <c r="C188">
        <v>184</v>
      </c>
      <c r="D188" s="21">
        <v>730</v>
      </c>
      <c r="E188" s="1">
        <f>1-'Batt IN'!$E$31</f>
        <v>2.0000000000000018E-2</v>
      </c>
      <c r="F188" s="12">
        <f>('Batt IN'!$E$33*365)/8760</f>
        <v>0</v>
      </c>
      <c r="G188" s="22">
        <f>'Batt IN'!$E$32/8760</f>
        <v>5.7077625570776253E-3</v>
      </c>
      <c r="H188" s="22">
        <f>'Batt IN'!$E$13/8760</f>
        <v>5.5936073059360729E-3</v>
      </c>
      <c r="I188" s="23">
        <f>IF(C188&lt;='Batt IN'!$G$14*12,'Batt IN'!$E$15/8760*'Batt IN'!$G$15,0)</f>
        <v>0</v>
      </c>
      <c r="J188" s="12">
        <f>Z188/'Batt IN'!$E$27/730</f>
        <v>2.4999999999999996E-3</v>
      </c>
      <c r="K188" s="23">
        <f>AA188/'Batt IN'!$E$27/730</f>
        <v>1.6027397260273972E-3</v>
      </c>
      <c r="L188" s="23">
        <f>AB188/'Batt IN'!$E$27/730</f>
        <v>2.0547945205479451E-4</v>
      </c>
      <c r="M188" s="23">
        <f>AC188/'Batt IN'!$E$27/730</f>
        <v>4.7945205479452057E-3</v>
      </c>
      <c r="N188" s="23">
        <f>AD188/'Batt IN'!$E$27/730</f>
        <v>3.4246575342465752E-3</v>
      </c>
      <c r="O188" s="12">
        <f t="shared" si="36"/>
        <v>4.3828767123287697E-2</v>
      </c>
      <c r="P188" s="21">
        <f t="shared" si="37"/>
        <v>698.005</v>
      </c>
      <c r="Q188" s="2">
        <f>IF('Batt IN'!$E$27*'Batt IN'!$E$24&lt;='Batt IN'!$E$28,(('Batt IN'!$E$23*'Batt IN'!$E$27*'Batt IN'!$E$24)/1000)*P188,(('Batt IN'!$E$23*'Batt IN'!$E$28*'Batt IN'!$E$24)/1000)*P188)</f>
        <v>11168.08</v>
      </c>
      <c r="R188" s="2"/>
      <c r="S188" s="77">
        <f>IF(C188&lt;='Batt IN'!$G$14*12,'Batt IN'!$E$15/12,0)</f>
        <v>0</v>
      </c>
      <c r="T188" s="77"/>
      <c r="U188" s="80">
        <f>'Batt IN'!$E$28*('Batt IN'!$G$24/24)*730*(1-O188)</f>
        <v>81433.916666666657</v>
      </c>
      <c r="V188" s="78">
        <f>U188*'Batt IN'!$F$30</f>
        <v>16286.783333333333</v>
      </c>
      <c r="W188" s="78">
        <f>'Batt IN'!$E$28*'Batt IN'!$G$32*('Batt IN'!$E$32/12)*(1+'Batt IN'!$F$30)</f>
        <v>1750.0000000000002</v>
      </c>
      <c r="X188" s="78">
        <f>'Batt IN'!$E$28*'Batt IN'!$G$13*('Batt IN'!$E$13/12)*(1+'Batt IN'!$F$30)</f>
        <v>3184.9999999999995</v>
      </c>
      <c r="Y188" s="33">
        <f>S188*'Batt IN'!$G$15*'Batt IN'!$E$28*(1+'Batt IN'!$F$30)</f>
        <v>0</v>
      </c>
      <c r="Z188" s="33">
        <f>'Batt IN'!$G$16*365/12*(1+'Batt IN'!$F$30)</f>
        <v>1824.9999999999998</v>
      </c>
      <c r="AA188" s="33">
        <f>'Batt IN'!$G$17*'Batt IN'!$E$18*'Batt IN'!$G$18/12*(1+'Batt IN'!$F$30)</f>
        <v>1170</v>
      </c>
      <c r="AB188" s="33">
        <f>'Batt IN'!$G$19*'Batt IN'!$E$20*'Batt IN'!$G$20/12*(1+'Batt IN'!$F$30)</f>
        <v>150</v>
      </c>
      <c r="AC188" s="33">
        <f>'Batt IN'!$G$21*(1+'Batt IN'!$F$30)/12</f>
        <v>3500</v>
      </c>
      <c r="AD188" s="33">
        <f>'Batt IN'!$G$22*(1+'Batt IN'!$F$30)/12</f>
        <v>2500</v>
      </c>
      <c r="AE188" s="33">
        <f t="shared" si="49"/>
        <v>30366.783333333333</v>
      </c>
      <c r="AF188" s="33">
        <f>IF('PV IN'!$F$4="Battery Only",0,AE188*'Batt IN'!$E$29)</f>
        <v>25811.765833333331</v>
      </c>
      <c r="AG188" s="33">
        <f>PVCalcs!L188</f>
        <v>25811.765833333331</v>
      </c>
      <c r="AH188" s="33">
        <f t="shared" si="50"/>
        <v>4555.0175000000017</v>
      </c>
      <c r="AI188" s="33"/>
      <c r="AJ188" s="2">
        <f>IF(AND('Batt IN'!$D$53="Yes",$AL$1&gt;=1),IF($C188='Batt IN'!$H$54*12,-'Batt IN'!$F$54,0),0)</f>
        <v>0</v>
      </c>
      <c r="AK188" s="2">
        <f>IF(AND('Batt IN'!$D$53="Yes",$AL$1&gt;=2),IF($C188='Batt IN'!$H$55*12,-'Batt IN'!$F$55,0),0)</f>
        <v>0</v>
      </c>
      <c r="AL188" s="2">
        <f>IF(AND('Batt IN'!$D$53="Yes",$AL$1&gt;=3),IF($C188='Batt IN'!$H$56*12,-'Batt IN'!$F$56,0),0)</f>
        <v>0</v>
      </c>
      <c r="AM188" s="2">
        <f>IF(AND('Batt IN'!$D$53="Yes",$AL$1&gt;=4),IF($C188='Batt IN'!$H$57*12,-'Batt IN'!$F$57,0),0)</f>
        <v>0</v>
      </c>
      <c r="AN188" s="2">
        <f>IF(AND('Batt IN'!$D$53="Yes",$AL$1&gt;=5),IF($C188='Batt IN'!$H$58*12,-'Batt IN'!$F$58,0),0)</f>
        <v>0</v>
      </c>
      <c r="AO188" s="10">
        <f>IF(AND('Batt IN'!$D$44="YES",$C188&lt;='Batt IN'!$E$44*12),-'Batt IN'!$E$28*'Batt IN'!$E$42/12,0)</f>
        <v>0</v>
      </c>
      <c r="AP188" s="10">
        <f>IF(AND('Batt IN'!$D$46="YES",$C188&lt;='Batt IN'!$E$46*12),-'Batt IN'!$E$28*'Batt IN'!$E$45/12,0)</f>
        <v>0</v>
      </c>
      <c r="AR188" s="10">
        <f>BattLoan!M215</f>
        <v>0</v>
      </c>
      <c r="AS188" s="10">
        <f>'Batt IN'!$G$16*365/12*'Batt IN'!$E$16</f>
        <v>76.041666666666671</v>
      </c>
      <c r="AT188" s="10">
        <f>IF(AND('Batt IN'!$E$18&gt;0,'Batt IN'!$G$18&gt;0),'Batt IN'!$E$17*'Batt IN'!$G$17,0)</f>
        <v>119.44619999999999</v>
      </c>
      <c r="AU188" s="10">
        <f>IF(AND('Batt IN'!$E$20&gt;0,'Batt IN'!$G$20&gt;0),'Batt IN'!$E$19*'Batt IN'!$G$19,0)</f>
        <v>231</v>
      </c>
      <c r="AV188" s="10"/>
      <c r="AW188" s="10"/>
      <c r="AX188" s="10">
        <f>IF('Batt IN'!$E$11="Non-Taxable",Q188,0)</f>
        <v>11168.08</v>
      </c>
      <c r="AY188" s="10">
        <f>IF('Batt IN'!$E$11="Non-Taxable",'Batt IN'!$E$28/1000*'Batt IN'!$G$13*('Batt IN'!$E$13/12)*'Batt IN'!$E$12,0)</f>
        <v>244.42220833333334</v>
      </c>
      <c r="AZ188" s="10">
        <f>IF('Batt IN'!$E$11="Non-Taxable",$S188*'Batt IN'!$G$15*'Batt IN'!$E$28*'Batt IN'!$E$14/1000,0)</f>
        <v>0</v>
      </c>
      <c r="BA188" s="10">
        <f>IF('Batt IN'!$E$11="Non-Taxable",'Batt IN'!$E$21*'Batt IN'!$G$21/12,0)</f>
        <v>437.5</v>
      </c>
      <c r="BB188" s="10">
        <f>IF('Batt IN'!$E$11="Non-Taxable",'Batt IN'!$E$22*'Batt IN'!$G$22/12,0)</f>
        <v>1145.8333333333335</v>
      </c>
      <c r="BC188" s="10">
        <f>IF('Batt IN'!$E$11="Taxable",Q188,0)</f>
        <v>0</v>
      </c>
      <c r="BD188" s="10">
        <f>IF('Batt IN'!$E$11="Taxable",'Batt IN'!$E$28/1000*'Batt IN'!$G$13*('Batt IN'!$E$13/12)*'Batt IN'!$E$12,0)</f>
        <v>0</v>
      </c>
      <c r="BE188" s="10">
        <f>IF('Batt IN'!$E$11="Taxable",$S188*'Batt IN'!$G$15*'Batt IN'!$E$28*'Batt IN'!$E$14/1000,0)</f>
        <v>0</v>
      </c>
      <c r="BF188" s="10">
        <f>IF('Batt IN'!$E$11="Taxable",'Batt IN'!$E$21*'Batt IN'!$G$21/12,0)</f>
        <v>0</v>
      </c>
      <c r="BG188" s="10">
        <f>IF('Batt IN'!$E$11="Taxable",'Batt IN'!$E$22*'Batt IN'!$G$22/12,0)</f>
        <v>0</v>
      </c>
      <c r="BK188" s="10">
        <f>IF('Batt IN'!$N$18="Yes",-BattLoan!H216,-BattLoan!L216)</f>
        <v>0</v>
      </c>
      <c r="BL188" s="10">
        <f>IF('Batt IN'!$N$18="Yes",-BattLoan!F216,0)</f>
        <v>0</v>
      </c>
      <c r="BM188" s="10">
        <f>IF(AND('Batt IN'!$D$44="YES",$C188&lt;='Batt IN'!$E$44*12),0,-'Batt IN'!$E$28*'Batt IN'!$E$42/12)</f>
        <v>-83.333333333333329</v>
      </c>
      <c r="BN188" s="10">
        <f>IF(AND('Batt IN'!$D$46="YES",$C188&lt;='Batt IN'!$E$46*12),0,-'Batt IN'!$E$28*'Batt IN'!$E$45/12)</f>
        <v>-166.66666666666666</v>
      </c>
      <c r="BO188" s="2">
        <f>IF(AND('Batt IN'!$D$41="YES",BattCalcs!C188=ROUNDUP('Batt IN'!$H$41*12,)),-'Batt IN'!$E$41*'Batt IN'!$E$28,0)</f>
        <v>0</v>
      </c>
      <c r="BP188" s="2">
        <f>IF(AND('Batt IN'!$D$53="Yes",$AL$1&gt;=1),0,IF($C188='Batt IN'!$H$54*12,-'Batt IN'!$F$54,0))</f>
        <v>0</v>
      </c>
      <c r="BQ188" s="2">
        <f>IF(AND('Batt IN'!$D$53="Yes",$AL$1&gt;=2),0,IF($C188='Batt IN'!$H$55*12,-'Batt IN'!$F$55,0))</f>
        <v>0</v>
      </c>
      <c r="BR188" s="2">
        <f>IF(AND('Batt IN'!$D$53="Yes",$AL$1&gt;=3),0,IF($C188='Batt IN'!$H$56*12,-'Batt IN'!$F$56,0))</f>
        <v>0</v>
      </c>
      <c r="BS188" s="2">
        <f>IF(AND('Batt IN'!$D$53="Yes",$AL$1&gt;=4),0,IF($C188='Batt IN'!$H$57*12,-'Batt IN'!$F$57,0))</f>
        <v>0</v>
      </c>
      <c r="BT188" s="2">
        <f>IF(AND('Batt IN'!$D$53="Yes",$AL$1&gt;=5),0,IF($C188='Batt IN'!$H$58*12,-'Batt IN'!$F$58,0))</f>
        <v>0</v>
      </c>
      <c r="BU188" s="2">
        <f>-AH188*PVCalcs!F188</f>
        <v>-372.47314617912679</v>
      </c>
      <c r="BV188" s="2">
        <f>-'Batt IN'!$E$47</f>
        <v>-150</v>
      </c>
      <c r="BW188" s="2">
        <f>-'Batt IN'!$E$49</f>
        <v>-2250</v>
      </c>
      <c r="BX188" s="2">
        <f>IF('Batt IN'!$H$50="No",-(BC188*'Batt IN'!$E$50),-(BC188+BE188)*'Batt IN'!$E$50)</f>
        <v>0</v>
      </c>
      <c r="BY188" s="2">
        <f>IF(C188='Batt IN'!$H$43*12,-'Batt IN'!$E$43,0)</f>
        <v>0</v>
      </c>
      <c r="BZ188" s="38"/>
      <c r="CA188" s="10">
        <f t="shared" si="34"/>
        <v>13422.323408333334</v>
      </c>
      <c r="CB188" s="2">
        <f t="shared" si="38"/>
        <v>-3022.4731461791271</v>
      </c>
      <c r="CC188" s="45">
        <f t="shared" si="39"/>
        <v>10399.850262154207</v>
      </c>
      <c r="CD188" s="43"/>
      <c r="CE188" s="2">
        <f t="shared" si="35"/>
        <v>0</v>
      </c>
      <c r="CF188" s="2">
        <f t="shared" si="40"/>
        <v>-3022.4731461791271</v>
      </c>
      <c r="CG188" s="2"/>
      <c r="CH188" s="2">
        <f t="shared" si="41"/>
        <v>-3022.4731461791271</v>
      </c>
      <c r="CI188" s="45">
        <f>-CH188*'Batt IN'!$E$7</f>
        <v>634.71936069761671</v>
      </c>
      <c r="CJ188" s="48"/>
      <c r="CK188" s="45">
        <f>IF('Batt IN'!$F$4="PV Only",0,IF(C188&gt;'Batt IN'!$H$43*12,0,CC188+CI188))</f>
        <v>0</v>
      </c>
      <c r="CM188" s="10">
        <f t="shared" si="42"/>
        <v>0</v>
      </c>
      <c r="CN188" s="2">
        <f>CK188/(1+('Batt IN'!$G$8))^(C188)</f>
        <v>0</v>
      </c>
      <c r="CO188" s="2">
        <f>IF(C188&lt;='Batt IN'!$O$30*12,CN188+CO187,NA())</f>
        <v>0</v>
      </c>
      <c r="CQ188" s="2">
        <f>CK188/((1+('Batt IN'!$E$8/12))^BattCalcs!C188)</f>
        <v>0</v>
      </c>
      <c r="CS188" s="10">
        <f t="shared" si="43"/>
        <v>-3022.4731461791271</v>
      </c>
      <c r="CT188" s="10">
        <f t="shared" si="44"/>
        <v>0</v>
      </c>
      <c r="CU188" s="10">
        <f t="shared" si="45"/>
        <v>-3022.4731461791271</v>
      </c>
      <c r="CV188" s="10">
        <f t="shared" si="46"/>
        <v>-3022.4731461791271</v>
      </c>
      <c r="CW188" s="2">
        <f t="shared" si="47"/>
        <v>0</v>
      </c>
      <c r="CX188" s="2">
        <f>-(SUM(CV188:CW188)*'PV IN'!$E$8)</f>
        <v>634.71936069761671</v>
      </c>
      <c r="CY188" s="2">
        <f t="shared" si="48"/>
        <v>-2387.7537854815105</v>
      </c>
      <c r="CZ188" s="2">
        <f>IF(C188&lt;='Batt IN'!$H$43*12,CY188/(1+('PV IN'!$G$9))^(C188),0)</f>
        <v>-1130.0221504603892</v>
      </c>
      <c r="DA188" s="33">
        <f>IF(C188&lt;='Batt IN'!$H$43*12,AE188,0)</f>
        <v>30366.783333333333</v>
      </c>
    </row>
    <row r="189" spans="1:105" x14ac:dyDescent="0.25">
      <c r="A189">
        <f>IF(C189&lt;='Batt IN'!$H$43*12,C189,"")</f>
        <v>185</v>
      </c>
      <c r="C189">
        <v>185</v>
      </c>
      <c r="D189" s="21">
        <v>730</v>
      </c>
      <c r="E189" s="1">
        <f>1-'Batt IN'!$E$31</f>
        <v>2.0000000000000018E-2</v>
      </c>
      <c r="F189" s="12">
        <f>('Batt IN'!$E$33*365)/8760</f>
        <v>0</v>
      </c>
      <c r="G189" s="22">
        <f>'Batt IN'!$E$32/8760</f>
        <v>5.7077625570776253E-3</v>
      </c>
      <c r="H189" s="22">
        <f>'Batt IN'!$E$13/8760</f>
        <v>5.5936073059360729E-3</v>
      </c>
      <c r="I189" s="23">
        <f>IF(C189&lt;='Batt IN'!$G$14*12,'Batt IN'!$E$15/8760*'Batt IN'!$G$15,0)</f>
        <v>0</v>
      </c>
      <c r="J189" s="12">
        <f>Z189/'Batt IN'!$E$27/730</f>
        <v>2.4999999999999996E-3</v>
      </c>
      <c r="K189" s="23">
        <f>AA189/'Batt IN'!$E$27/730</f>
        <v>1.6027397260273972E-3</v>
      </c>
      <c r="L189" s="23">
        <f>AB189/'Batt IN'!$E$27/730</f>
        <v>2.0547945205479451E-4</v>
      </c>
      <c r="M189" s="23">
        <f>AC189/'Batt IN'!$E$27/730</f>
        <v>4.7945205479452057E-3</v>
      </c>
      <c r="N189" s="23">
        <f>AD189/'Batt IN'!$E$27/730</f>
        <v>3.4246575342465752E-3</v>
      </c>
      <c r="O189" s="12">
        <f t="shared" si="36"/>
        <v>4.3828767123287697E-2</v>
      </c>
      <c r="P189" s="21">
        <f t="shared" si="37"/>
        <v>698.005</v>
      </c>
      <c r="Q189" s="2">
        <f>IF('Batt IN'!$E$27*'Batt IN'!$E$24&lt;='Batt IN'!$E$28,(('Batt IN'!$E$23*'Batt IN'!$E$27*'Batt IN'!$E$24)/1000)*P189,(('Batt IN'!$E$23*'Batt IN'!$E$28*'Batt IN'!$E$24)/1000)*P189)</f>
        <v>11168.08</v>
      </c>
      <c r="R189" s="2"/>
      <c r="S189" s="77">
        <f>IF(C189&lt;='Batt IN'!$G$14*12,'Batt IN'!$E$15/12,0)</f>
        <v>0</v>
      </c>
      <c r="T189" s="77"/>
      <c r="U189" s="80">
        <f>'Batt IN'!$E$28*('Batt IN'!$G$24/24)*730*(1-O189)</f>
        <v>81433.916666666657</v>
      </c>
      <c r="V189" s="78">
        <f>U189*'Batt IN'!$F$30</f>
        <v>16286.783333333333</v>
      </c>
      <c r="W189" s="78">
        <f>'Batt IN'!$E$28*'Batt IN'!$G$32*('Batt IN'!$E$32/12)*(1+'Batt IN'!$F$30)</f>
        <v>1750.0000000000002</v>
      </c>
      <c r="X189" s="78">
        <f>'Batt IN'!$E$28*'Batt IN'!$G$13*('Batt IN'!$E$13/12)*(1+'Batt IN'!$F$30)</f>
        <v>3184.9999999999995</v>
      </c>
      <c r="Y189" s="33">
        <f>S189*'Batt IN'!$G$15*'Batt IN'!$E$28*(1+'Batt IN'!$F$30)</f>
        <v>0</v>
      </c>
      <c r="Z189" s="33">
        <f>'Batt IN'!$G$16*365/12*(1+'Batt IN'!$F$30)</f>
        <v>1824.9999999999998</v>
      </c>
      <c r="AA189" s="33">
        <f>'Batt IN'!$G$17*'Batt IN'!$E$18*'Batt IN'!$G$18/12*(1+'Batt IN'!$F$30)</f>
        <v>1170</v>
      </c>
      <c r="AB189" s="33">
        <f>'Batt IN'!$G$19*'Batt IN'!$E$20*'Batt IN'!$G$20/12*(1+'Batt IN'!$F$30)</f>
        <v>150</v>
      </c>
      <c r="AC189" s="33">
        <f>'Batt IN'!$G$21*(1+'Batt IN'!$F$30)/12</f>
        <v>3500</v>
      </c>
      <c r="AD189" s="33">
        <f>'Batt IN'!$G$22*(1+'Batt IN'!$F$30)/12</f>
        <v>2500</v>
      </c>
      <c r="AE189" s="33">
        <f t="shared" si="49"/>
        <v>30366.783333333333</v>
      </c>
      <c r="AF189" s="33">
        <f>IF('PV IN'!$F$4="Battery Only",0,AE189*'Batt IN'!$E$29)</f>
        <v>25811.765833333331</v>
      </c>
      <c r="AG189" s="33">
        <f>PVCalcs!L189</f>
        <v>25811.765833333331</v>
      </c>
      <c r="AH189" s="33">
        <f t="shared" si="50"/>
        <v>4555.0175000000017</v>
      </c>
      <c r="AI189" s="33"/>
      <c r="AJ189" s="2">
        <f>IF(AND('Batt IN'!$D$53="Yes",$AL$1&gt;=1),IF($C189='Batt IN'!$H$54*12,-'Batt IN'!$F$54,0),0)</f>
        <v>0</v>
      </c>
      <c r="AK189" s="2">
        <f>IF(AND('Batt IN'!$D$53="Yes",$AL$1&gt;=2),IF($C189='Batt IN'!$H$55*12,-'Batt IN'!$F$55,0),0)</f>
        <v>0</v>
      </c>
      <c r="AL189" s="2">
        <f>IF(AND('Batt IN'!$D$53="Yes",$AL$1&gt;=3),IF($C189='Batt IN'!$H$56*12,-'Batt IN'!$F$56,0),0)</f>
        <v>0</v>
      </c>
      <c r="AM189" s="2">
        <f>IF(AND('Batt IN'!$D$53="Yes",$AL$1&gt;=4),IF($C189='Batt IN'!$H$57*12,-'Batt IN'!$F$57,0),0)</f>
        <v>0</v>
      </c>
      <c r="AN189" s="2">
        <f>IF(AND('Batt IN'!$D$53="Yes",$AL$1&gt;=5),IF($C189='Batt IN'!$H$58*12,-'Batt IN'!$F$58,0),0)</f>
        <v>0</v>
      </c>
      <c r="AO189" s="10">
        <f>IF(AND('Batt IN'!$D$44="YES",$C189&lt;='Batt IN'!$E$44*12),-'Batt IN'!$E$28*'Batt IN'!$E$42/12,0)</f>
        <v>0</v>
      </c>
      <c r="AP189" s="10">
        <f>IF(AND('Batt IN'!$D$46="YES",$C189&lt;='Batt IN'!$E$46*12),-'Batt IN'!$E$28*'Batt IN'!$E$45/12,0)</f>
        <v>0</v>
      </c>
      <c r="AR189" s="10">
        <f>BattLoan!M216</f>
        <v>0</v>
      </c>
      <c r="AS189" s="10">
        <f>'Batt IN'!$G$16*365/12*'Batt IN'!$E$16</f>
        <v>76.041666666666671</v>
      </c>
      <c r="AT189" s="10">
        <f>IF(AND('Batt IN'!$E$18&gt;0,'Batt IN'!$G$18&gt;0),'Batt IN'!$E$17*'Batt IN'!$G$17,0)</f>
        <v>119.44619999999999</v>
      </c>
      <c r="AU189" s="10">
        <f>IF(AND('Batt IN'!$E$20&gt;0,'Batt IN'!$G$20&gt;0),'Batt IN'!$E$19*'Batt IN'!$G$19,0)</f>
        <v>231</v>
      </c>
      <c r="AV189" s="10"/>
      <c r="AW189" s="10"/>
      <c r="AX189" s="10">
        <f>IF('Batt IN'!$E$11="Non-Taxable",Q189,0)</f>
        <v>11168.08</v>
      </c>
      <c r="AY189" s="10">
        <f>IF('Batt IN'!$E$11="Non-Taxable",'Batt IN'!$E$28/1000*'Batt IN'!$G$13*('Batt IN'!$E$13/12)*'Batt IN'!$E$12,0)</f>
        <v>244.42220833333334</v>
      </c>
      <c r="AZ189" s="10">
        <f>IF('Batt IN'!$E$11="Non-Taxable",$S189*'Batt IN'!$G$15*'Batt IN'!$E$28*'Batt IN'!$E$14/1000,0)</f>
        <v>0</v>
      </c>
      <c r="BA189" s="10">
        <f>IF('Batt IN'!$E$11="Non-Taxable",'Batt IN'!$E$21*'Batt IN'!$G$21/12,0)</f>
        <v>437.5</v>
      </c>
      <c r="BB189" s="10">
        <f>IF('Batt IN'!$E$11="Non-Taxable",'Batt IN'!$E$22*'Batt IN'!$G$22/12,0)</f>
        <v>1145.8333333333335</v>
      </c>
      <c r="BC189" s="10">
        <f>IF('Batt IN'!$E$11="Taxable",Q189,0)</f>
        <v>0</v>
      </c>
      <c r="BD189" s="10">
        <f>IF('Batt IN'!$E$11="Taxable",'Batt IN'!$E$28/1000*'Batt IN'!$G$13*('Batt IN'!$E$13/12)*'Batt IN'!$E$12,0)</f>
        <v>0</v>
      </c>
      <c r="BE189" s="10">
        <f>IF('Batt IN'!$E$11="Taxable",$S189*'Batt IN'!$G$15*'Batt IN'!$E$28*'Batt IN'!$E$14/1000,0)</f>
        <v>0</v>
      </c>
      <c r="BF189" s="10">
        <f>IF('Batt IN'!$E$11="Taxable",'Batt IN'!$E$21*'Batt IN'!$G$21/12,0)</f>
        <v>0</v>
      </c>
      <c r="BG189" s="10">
        <f>IF('Batt IN'!$E$11="Taxable",'Batt IN'!$E$22*'Batt IN'!$G$22/12,0)</f>
        <v>0</v>
      </c>
      <c r="BK189" s="10">
        <f>IF('Batt IN'!$N$18="Yes",-BattLoan!H217,-BattLoan!L217)</f>
        <v>0</v>
      </c>
      <c r="BL189" s="10">
        <f>IF('Batt IN'!$N$18="Yes",-BattLoan!F217,0)</f>
        <v>0</v>
      </c>
      <c r="BM189" s="10">
        <f>IF(AND('Batt IN'!$D$44="YES",$C189&lt;='Batt IN'!$E$44*12),0,-'Batt IN'!$E$28*'Batt IN'!$E$42/12)</f>
        <v>-83.333333333333329</v>
      </c>
      <c r="BN189" s="10">
        <f>IF(AND('Batt IN'!$D$46="YES",$C189&lt;='Batt IN'!$E$46*12),0,-'Batt IN'!$E$28*'Batt IN'!$E$45/12)</f>
        <v>-166.66666666666666</v>
      </c>
      <c r="BO189" s="2">
        <f>IF(AND('Batt IN'!$D$41="YES",BattCalcs!C189=ROUNDUP('Batt IN'!$H$41*12,)),-'Batt IN'!$E$41*'Batt IN'!$E$28,0)</f>
        <v>0</v>
      </c>
      <c r="BP189" s="2">
        <f>IF(AND('Batt IN'!$D$53="Yes",$AL$1&gt;=1),0,IF($C189='Batt IN'!$H$54*12,-'Batt IN'!$F$54,0))</f>
        <v>0</v>
      </c>
      <c r="BQ189" s="2">
        <f>IF(AND('Batt IN'!$D$53="Yes",$AL$1&gt;=2),0,IF($C189='Batt IN'!$H$55*12,-'Batt IN'!$F$55,0))</f>
        <v>0</v>
      </c>
      <c r="BR189" s="2">
        <f>IF(AND('Batt IN'!$D$53="Yes",$AL$1&gt;=3),0,IF($C189='Batt IN'!$H$56*12,-'Batt IN'!$F$56,0))</f>
        <v>0</v>
      </c>
      <c r="BS189" s="2">
        <f>IF(AND('Batt IN'!$D$53="Yes",$AL$1&gt;=4),0,IF($C189='Batt IN'!$H$57*12,-'Batt IN'!$F$57,0))</f>
        <v>0</v>
      </c>
      <c r="BT189" s="2">
        <f>IF(AND('Batt IN'!$D$53="Yes",$AL$1&gt;=5),0,IF($C189='Batt IN'!$H$58*12,-'Batt IN'!$F$58,0))</f>
        <v>0</v>
      </c>
      <c r="BU189" s="2">
        <f>-AH189*PVCalcs!F189</f>
        <v>-372.47314617912679</v>
      </c>
      <c r="BV189" s="2">
        <f>-'Batt IN'!$E$47</f>
        <v>-150</v>
      </c>
      <c r="BW189" s="2">
        <f>-'Batt IN'!$E$49</f>
        <v>-2250</v>
      </c>
      <c r="BX189" s="2">
        <f>IF('Batt IN'!$H$50="No",-(BC189*'Batt IN'!$E$50),-(BC189+BE189)*'Batt IN'!$E$50)</f>
        <v>0</v>
      </c>
      <c r="BY189" s="2">
        <f>IF(C189='Batt IN'!$H$43*12,-'Batt IN'!$E$43,0)</f>
        <v>0</v>
      </c>
      <c r="BZ189" s="38"/>
      <c r="CA189" s="10">
        <f t="shared" si="34"/>
        <v>13422.323408333334</v>
      </c>
      <c r="CB189" s="2">
        <f t="shared" si="38"/>
        <v>-3022.4731461791271</v>
      </c>
      <c r="CC189" s="45">
        <f t="shared" si="39"/>
        <v>10399.850262154207</v>
      </c>
      <c r="CD189" s="43"/>
      <c r="CE189" s="2">
        <f t="shared" si="35"/>
        <v>0</v>
      </c>
      <c r="CF189" s="2">
        <f t="shared" si="40"/>
        <v>-3022.4731461791271</v>
      </c>
      <c r="CG189" s="2"/>
      <c r="CH189" s="2">
        <f t="shared" si="41"/>
        <v>-3022.4731461791271</v>
      </c>
      <c r="CI189" s="45">
        <f>-CH189*'Batt IN'!$E$7</f>
        <v>634.71936069761671</v>
      </c>
      <c r="CJ189" s="48"/>
      <c r="CK189" s="45">
        <f>IF('Batt IN'!$F$4="PV Only",0,IF(C189&gt;'Batt IN'!$H$43*12,0,CC189+CI189))</f>
        <v>0</v>
      </c>
      <c r="CM189" s="10">
        <f t="shared" si="42"/>
        <v>0</v>
      </c>
      <c r="CN189" s="2">
        <f>CK189/(1+('Batt IN'!$G$8))^(C189)</f>
        <v>0</v>
      </c>
      <c r="CO189" s="2">
        <f>IF(C189&lt;='Batt IN'!$O$30*12,CN189+CO188,NA())</f>
        <v>0</v>
      </c>
      <c r="CQ189" s="2">
        <f>CK189/((1+('Batt IN'!$E$8/12))^BattCalcs!C189)</f>
        <v>0</v>
      </c>
      <c r="CS189" s="10">
        <f t="shared" si="43"/>
        <v>-3022.4731461791271</v>
      </c>
      <c r="CT189" s="10">
        <f t="shared" si="44"/>
        <v>0</v>
      </c>
      <c r="CU189" s="10">
        <f t="shared" si="45"/>
        <v>-3022.4731461791271</v>
      </c>
      <c r="CV189" s="10">
        <f t="shared" si="46"/>
        <v>-3022.4731461791271</v>
      </c>
      <c r="CW189" s="2">
        <f t="shared" si="47"/>
        <v>0</v>
      </c>
      <c r="CX189" s="2">
        <f>-(SUM(CV189:CW189)*'PV IN'!$E$8)</f>
        <v>634.71936069761671</v>
      </c>
      <c r="CY189" s="2">
        <f t="shared" si="48"/>
        <v>-2387.7537854815105</v>
      </c>
      <c r="CZ189" s="2">
        <f>IF(C189&lt;='Batt IN'!$H$43*12,CY189/(1+('PV IN'!$G$9))^(C189),0)</f>
        <v>-1125.4369808895497</v>
      </c>
      <c r="DA189" s="33">
        <f>IF(C189&lt;='Batt IN'!$H$43*12,AE189,0)</f>
        <v>30366.783333333333</v>
      </c>
    </row>
    <row r="190" spans="1:105" x14ac:dyDescent="0.25">
      <c r="A190">
        <f>IF(C190&lt;='Batt IN'!$H$43*12,C190,"")</f>
        <v>186</v>
      </c>
      <c r="C190">
        <v>186</v>
      </c>
      <c r="D190" s="21">
        <v>730</v>
      </c>
      <c r="E190" s="1">
        <f>1-'Batt IN'!$E$31</f>
        <v>2.0000000000000018E-2</v>
      </c>
      <c r="F190" s="12">
        <f>('Batt IN'!$E$33*365)/8760</f>
        <v>0</v>
      </c>
      <c r="G190" s="22">
        <f>'Batt IN'!$E$32/8760</f>
        <v>5.7077625570776253E-3</v>
      </c>
      <c r="H190" s="22">
        <f>'Batt IN'!$E$13/8760</f>
        <v>5.5936073059360729E-3</v>
      </c>
      <c r="I190" s="23">
        <f>IF(C190&lt;='Batt IN'!$G$14*12,'Batt IN'!$E$15/8760*'Batt IN'!$G$15,0)</f>
        <v>0</v>
      </c>
      <c r="J190" s="12">
        <f>Z190/'Batt IN'!$E$27/730</f>
        <v>2.4999999999999996E-3</v>
      </c>
      <c r="K190" s="23">
        <f>AA190/'Batt IN'!$E$27/730</f>
        <v>1.6027397260273972E-3</v>
      </c>
      <c r="L190" s="23">
        <f>AB190/'Batt IN'!$E$27/730</f>
        <v>2.0547945205479451E-4</v>
      </c>
      <c r="M190" s="23">
        <f>AC190/'Batt IN'!$E$27/730</f>
        <v>4.7945205479452057E-3</v>
      </c>
      <c r="N190" s="23">
        <f>AD190/'Batt IN'!$E$27/730</f>
        <v>3.4246575342465752E-3</v>
      </c>
      <c r="O190" s="12">
        <f t="shared" si="36"/>
        <v>4.3828767123287697E-2</v>
      </c>
      <c r="P190" s="21">
        <f t="shared" si="37"/>
        <v>698.005</v>
      </c>
      <c r="Q190" s="2">
        <f>IF('Batt IN'!$E$27*'Batt IN'!$E$24&lt;='Batt IN'!$E$28,(('Batt IN'!$E$23*'Batt IN'!$E$27*'Batt IN'!$E$24)/1000)*P190,(('Batt IN'!$E$23*'Batt IN'!$E$28*'Batt IN'!$E$24)/1000)*P190)</f>
        <v>11168.08</v>
      </c>
      <c r="R190" s="2"/>
      <c r="S190" s="77">
        <f>IF(C190&lt;='Batt IN'!$G$14*12,'Batt IN'!$E$15/12,0)</f>
        <v>0</v>
      </c>
      <c r="T190" s="77"/>
      <c r="U190" s="80">
        <f>'Batt IN'!$E$28*('Batt IN'!$G$24/24)*730*(1-O190)</f>
        <v>81433.916666666657</v>
      </c>
      <c r="V190" s="78">
        <f>U190*'Batt IN'!$F$30</f>
        <v>16286.783333333333</v>
      </c>
      <c r="W190" s="78">
        <f>'Batt IN'!$E$28*'Batt IN'!$G$32*('Batt IN'!$E$32/12)*(1+'Batt IN'!$F$30)</f>
        <v>1750.0000000000002</v>
      </c>
      <c r="X190" s="78">
        <f>'Batt IN'!$E$28*'Batt IN'!$G$13*('Batt IN'!$E$13/12)*(1+'Batt IN'!$F$30)</f>
        <v>3184.9999999999995</v>
      </c>
      <c r="Y190" s="33">
        <f>S190*'Batt IN'!$G$15*'Batt IN'!$E$28*(1+'Batt IN'!$F$30)</f>
        <v>0</v>
      </c>
      <c r="Z190" s="33">
        <f>'Batt IN'!$G$16*365/12*(1+'Batt IN'!$F$30)</f>
        <v>1824.9999999999998</v>
      </c>
      <c r="AA190" s="33">
        <f>'Batt IN'!$G$17*'Batt IN'!$E$18*'Batt IN'!$G$18/12*(1+'Batt IN'!$F$30)</f>
        <v>1170</v>
      </c>
      <c r="AB190" s="33">
        <f>'Batt IN'!$G$19*'Batt IN'!$E$20*'Batt IN'!$G$20/12*(1+'Batt IN'!$F$30)</f>
        <v>150</v>
      </c>
      <c r="AC190" s="33">
        <f>'Batt IN'!$G$21*(1+'Batt IN'!$F$30)/12</f>
        <v>3500</v>
      </c>
      <c r="AD190" s="33">
        <f>'Batt IN'!$G$22*(1+'Batt IN'!$F$30)/12</f>
        <v>2500</v>
      </c>
      <c r="AE190" s="33">
        <f t="shared" si="49"/>
        <v>30366.783333333333</v>
      </c>
      <c r="AF190" s="33">
        <f>IF('PV IN'!$F$4="Battery Only",0,AE190*'Batt IN'!$E$29)</f>
        <v>25811.765833333331</v>
      </c>
      <c r="AG190" s="33">
        <f>PVCalcs!L190</f>
        <v>25811.765833333331</v>
      </c>
      <c r="AH190" s="33">
        <f t="shared" si="50"/>
        <v>4555.0175000000017</v>
      </c>
      <c r="AI190" s="33"/>
      <c r="AJ190" s="2">
        <f>IF(AND('Batt IN'!$D$53="Yes",$AL$1&gt;=1),IF($C190='Batt IN'!$H$54*12,-'Batt IN'!$F$54,0),0)</f>
        <v>0</v>
      </c>
      <c r="AK190" s="2">
        <f>IF(AND('Batt IN'!$D$53="Yes",$AL$1&gt;=2),IF($C190='Batt IN'!$H$55*12,-'Batt IN'!$F$55,0),0)</f>
        <v>0</v>
      </c>
      <c r="AL190" s="2">
        <f>IF(AND('Batt IN'!$D$53="Yes",$AL$1&gt;=3),IF($C190='Batt IN'!$H$56*12,-'Batt IN'!$F$56,0),0)</f>
        <v>0</v>
      </c>
      <c r="AM190" s="2">
        <f>IF(AND('Batt IN'!$D$53="Yes",$AL$1&gt;=4),IF($C190='Batt IN'!$H$57*12,-'Batt IN'!$F$57,0),0)</f>
        <v>0</v>
      </c>
      <c r="AN190" s="2">
        <f>IF(AND('Batt IN'!$D$53="Yes",$AL$1&gt;=5),IF($C190='Batt IN'!$H$58*12,-'Batt IN'!$F$58,0),0)</f>
        <v>0</v>
      </c>
      <c r="AO190" s="10">
        <f>IF(AND('Batt IN'!$D$44="YES",$C190&lt;='Batt IN'!$E$44*12),-'Batt IN'!$E$28*'Batt IN'!$E$42/12,0)</f>
        <v>0</v>
      </c>
      <c r="AP190" s="10">
        <f>IF(AND('Batt IN'!$D$46="YES",$C190&lt;='Batt IN'!$E$46*12),-'Batt IN'!$E$28*'Batt IN'!$E$45/12,0)</f>
        <v>0</v>
      </c>
      <c r="AR190" s="10">
        <f>BattLoan!M217</f>
        <v>0</v>
      </c>
      <c r="AS190" s="10">
        <f>'Batt IN'!$G$16*365/12*'Batt IN'!$E$16</f>
        <v>76.041666666666671</v>
      </c>
      <c r="AT190" s="10">
        <f>IF(AND('Batt IN'!$E$18&gt;0,'Batt IN'!$G$18&gt;0),'Batt IN'!$E$17*'Batt IN'!$G$17,0)</f>
        <v>119.44619999999999</v>
      </c>
      <c r="AU190" s="10">
        <f>IF(AND('Batt IN'!$E$20&gt;0,'Batt IN'!$G$20&gt;0),'Batt IN'!$E$19*'Batt IN'!$G$19,0)</f>
        <v>231</v>
      </c>
      <c r="AV190" s="10"/>
      <c r="AW190" s="10"/>
      <c r="AX190" s="10">
        <f>IF('Batt IN'!$E$11="Non-Taxable",Q190,0)</f>
        <v>11168.08</v>
      </c>
      <c r="AY190" s="10">
        <f>IF('Batt IN'!$E$11="Non-Taxable",'Batt IN'!$E$28/1000*'Batt IN'!$G$13*('Batt IN'!$E$13/12)*'Batt IN'!$E$12,0)</f>
        <v>244.42220833333334</v>
      </c>
      <c r="AZ190" s="10">
        <f>IF('Batt IN'!$E$11="Non-Taxable",$S190*'Batt IN'!$G$15*'Batt IN'!$E$28*'Batt IN'!$E$14/1000,0)</f>
        <v>0</v>
      </c>
      <c r="BA190" s="10">
        <f>IF('Batt IN'!$E$11="Non-Taxable",'Batt IN'!$E$21*'Batt IN'!$G$21/12,0)</f>
        <v>437.5</v>
      </c>
      <c r="BB190" s="10">
        <f>IF('Batt IN'!$E$11="Non-Taxable",'Batt IN'!$E$22*'Batt IN'!$G$22/12,0)</f>
        <v>1145.8333333333335</v>
      </c>
      <c r="BC190" s="10">
        <f>IF('Batt IN'!$E$11="Taxable",Q190,0)</f>
        <v>0</v>
      </c>
      <c r="BD190" s="10">
        <f>IF('Batt IN'!$E$11="Taxable",'Batt IN'!$E$28/1000*'Batt IN'!$G$13*('Batt IN'!$E$13/12)*'Batt IN'!$E$12,0)</f>
        <v>0</v>
      </c>
      <c r="BE190" s="10">
        <f>IF('Batt IN'!$E$11="Taxable",$S190*'Batt IN'!$G$15*'Batt IN'!$E$28*'Batt IN'!$E$14/1000,0)</f>
        <v>0</v>
      </c>
      <c r="BF190" s="10">
        <f>IF('Batt IN'!$E$11="Taxable",'Batt IN'!$E$21*'Batt IN'!$G$21/12,0)</f>
        <v>0</v>
      </c>
      <c r="BG190" s="10">
        <f>IF('Batt IN'!$E$11="Taxable",'Batt IN'!$E$22*'Batt IN'!$G$22/12,0)</f>
        <v>0</v>
      </c>
      <c r="BK190" s="10">
        <f>IF('Batt IN'!$N$18="Yes",-BattLoan!H218,-BattLoan!L218)</f>
        <v>0</v>
      </c>
      <c r="BL190" s="10">
        <f>IF('Batt IN'!$N$18="Yes",-BattLoan!F218,0)</f>
        <v>0</v>
      </c>
      <c r="BM190" s="10">
        <f>IF(AND('Batt IN'!$D$44="YES",$C190&lt;='Batt IN'!$E$44*12),0,-'Batt IN'!$E$28*'Batt IN'!$E$42/12)</f>
        <v>-83.333333333333329</v>
      </c>
      <c r="BN190" s="10">
        <f>IF(AND('Batt IN'!$D$46="YES",$C190&lt;='Batt IN'!$E$46*12),0,-'Batt IN'!$E$28*'Batt IN'!$E$45/12)</f>
        <v>-166.66666666666666</v>
      </c>
      <c r="BO190" s="2">
        <f>IF(AND('Batt IN'!$D$41="YES",BattCalcs!C190=ROUNDUP('Batt IN'!$H$41*12,)),-'Batt IN'!$E$41*'Batt IN'!$E$28,0)</f>
        <v>0</v>
      </c>
      <c r="BP190" s="2">
        <f>IF(AND('Batt IN'!$D$53="Yes",$AL$1&gt;=1),0,IF($C190='Batt IN'!$H$54*12,-'Batt IN'!$F$54,0))</f>
        <v>0</v>
      </c>
      <c r="BQ190" s="2">
        <f>IF(AND('Batt IN'!$D$53="Yes",$AL$1&gt;=2),0,IF($C190='Batt IN'!$H$55*12,-'Batt IN'!$F$55,0))</f>
        <v>0</v>
      </c>
      <c r="BR190" s="2">
        <f>IF(AND('Batt IN'!$D$53="Yes",$AL$1&gt;=3),0,IF($C190='Batt IN'!$H$56*12,-'Batt IN'!$F$56,0))</f>
        <v>0</v>
      </c>
      <c r="BS190" s="2">
        <f>IF(AND('Batt IN'!$D$53="Yes",$AL$1&gt;=4),0,IF($C190='Batt IN'!$H$57*12,-'Batt IN'!$F$57,0))</f>
        <v>0</v>
      </c>
      <c r="BT190" s="2">
        <f>IF(AND('Batt IN'!$D$53="Yes",$AL$1&gt;=5),0,IF($C190='Batt IN'!$H$58*12,-'Batt IN'!$F$58,0))</f>
        <v>0</v>
      </c>
      <c r="BU190" s="2">
        <f>-AH190*PVCalcs!F190</f>
        <v>-372.47314617912679</v>
      </c>
      <c r="BV190" s="2">
        <f>-'Batt IN'!$E$47</f>
        <v>-150</v>
      </c>
      <c r="BW190" s="2">
        <f>-'Batt IN'!$E$49</f>
        <v>-2250</v>
      </c>
      <c r="BX190" s="2">
        <f>IF('Batt IN'!$H$50="No",-(BC190*'Batt IN'!$E$50),-(BC190+BE190)*'Batt IN'!$E$50)</f>
        <v>0</v>
      </c>
      <c r="BY190" s="2">
        <f>IF(C190='Batt IN'!$H$43*12,-'Batt IN'!$E$43,0)</f>
        <v>0</v>
      </c>
      <c r="BZ190" s="38"/>
      <c r="CA190" s="10">
        <f t="shared" si="34"/>
        <v>13422.323408333334</v>
      </c>
      <c r="CB190" s="2">
        <f t="shared" si="38"/>
        <v>-3022.4731461791271</v>
      </c>
      <c r="CC190" s="45">
        <f t="shared" si="39"/>
        <v>10399.850262154207</v>
      </c>
      <c r="CD190" s="43"/>
      <c r="CE190" s="2">
        <f t="shared" si="35"/>
        <v>0</v>
      </c>
      <c r="CF190" s="2">
        <f t="shared" si="40"/>
        <v>-3022.4731461791271</v>
      </c>
      <c r="CG190" s="2"/>
      <c r="CH190" s="2">
        <f t="shared" si="41"/>
        <v>-3022.4731461791271</v>
      </c>
      <c r="CI190" s="45">
        <f>-CH190*'Batt IN'!$E$7</f>
        <v>634.71936069761671</v>
      </c>
      <c r="CJ190" s="48"/>
      <c r="CK190" s="45">
        <f>IF('Batt IN'!$F$4="PV Only",0,IF(C190&gt;'Batt IN'!$H$43*12,0,CC190+CI190))</f>
        <v>0</v>
      </c>
      <c r="CM190" s="10">
        <f t="shared" si="42"/>
        <v>0</v>
      </c>
      <c r="CN190" s="2">
        <f>CK190/(1+('Batt IN'!$G$8))^(C190)</f>
        <v>0</v>
      </c>
      <c r="CO190" s="2">
        <f>IF(C190&lt;='Batt IN'!$O$30*12,CN190+CO189,NA())</f>
        <v>0</v>
      </c>
      <c r="CQ190" s="2">
        <f>CK190/((1+('Batt IN'!$E$8/12))^BattCalcs!C190)</f>
        <v>0</v>
      </c>
      <c r="CS190" s="10">
        <f t="shared" si="43"/>
        <v>-3022.4731461791271</v>
      </c>
      <c r="CT190" s="10">
        <f t="shared" si="44"/>
        <v>0</v>
      </c>
      <c r="CU190" s="10">
        <f t="shared" si="45"/>
        <v>-3022.4731461791271</v>
      </c>
      <c r="CV190" s="10">
        <f t="shared" si="46"/>
        <v>-3022.4731461791271</v>
      </c>
      <c r="CW190" s="2">
        <f t="shared" si="47"/>
        <v>0</v>
      </c>
      <c r="CX190" s="2">
        <f>-(SUM(CV190:CW190)*'PV IN'!$E$8)</f>
        <v>634.71936069761671</v>
      </c>
      <c r="CY190" s="2">
        <f t="shared" si="48"/>
        <v>-2387.7537854815105</v>
      </c>
      <c r="CZ190" s="2">
        <f>IF(C190&lt;='Batt IN'!$H$43*12,CY190/(1+('PV IN'!$G$9))^(C190),0)</f>
        <v>-1120.8704160690552</v>
      </c>
      <c r="DA190" s="33">
        <f>IF(C190&lt;='Batt IN'!$H$43*12,AE190,0)</f>
        <v>30366.783333333333</v>
      </c>
    </row>
    <row r="191" spans="1:105" x14ac:dyDescent="0.25">
      <c r="A191">
        <f>IF(C191&lt;='Batt IN'!$H$43*12,C191,"")</f>
        <v>187</v>
      </c>
      <c r="C191">
        <v>187</v>
      </c>
      <c r="D191" s="21">
        <v>730</v>
      </c>
      <c r="E191" s="1">
        <f>1-'Batt IN'!$E$31</f>
        <v>2.0000000000000018E-2</v>
      </c>
      <c r="F191" s="12">
        <f>('Batt IN'!$E$33*365)/8760</f>
        <v>0</v>
      </c>
      <c r="G191" s="22">
        <f>'Batt IN'!$E$32/8760</f>
        <v>5.7077625570776253E-3</v>
      </c>
      <c r="H191" s="22">
        <f>'Batt IN'!$E$13/8760</f>
        <v>5.5936073059360729E-3</v>
      </c>
      <c r="I191" s="23">
        <f>IF(C191&lt;='Batt IN'!$G$14*12,'Batt IN'!$E$15/8760*'Batt IN'!$G$15,0)</f>
        <v>0</v>
      </c>
      <c r="J191" s="12">
        <f>Z191/'Batt IN'!$E$27/730</f>
        <v>2.4999999999999996E-3</v>
      </c>
      <c r="K191" s="23">
        <f>AA191/'Batt IN'!$E$27/730</f>
        <v>1.6027397260273972E-3</v>
      </c>
      <c r="L191" s="23">
        <f>AB191/'Batt IN'!$E$27/730</f>
        <v>2.0547945205479451E-4</v>
      </c>
      <c r="M191" s="23">
        <f>AC191/'Batt IN'!$E$27/730</f>
        <v>4.7945205479452057E-3</v>
      </c>
      <c r="N191" s="23">
        <f>AD191/'Batt IN'!$E$27/730</f>
        <v>3.4246575342465752E-3</v>
      </c>
      <c r="O191" s="12">
        <f t="shared" si="36"/>
        <v>4.3828767123287697E-2</v>
      </c>
      <c r="P191" s="21">
        <f t="shared" si="37"/>
        <v>698.005</v>
      </c>
      <c r="Q191" s="2">
        <f>IF('Batt IN'!$E$27*'Batt IN'!$E$24&lt;='Batt IN'!$E$28,(('Batt IN'!$E$23*'Batt IN'!$E$27*'Batt IN'!$E$24)/1000)*P191,(('Batt IN'!$E$23*'Batt IN'!$E$28*'Batt IN'!$E$24)/1000)*P191)</f>
        <v>11168.08</v>
      </c>
      <c r="R191" s="2"/>
      <c r="S191" s="77">
        <f>IF(C191&lt;='Batt IN'!$G$14*12,'Batt IN'!$E$15/12,0)</f>
        <v>0</v>
      </c>
      <c r="T191" s="77"/>
      <c r="U191" s="80">
        <f>'Batt IN'!$E$28*('Batt IN'!$G$24/24)*730*(1-O191)</f>
        <v>81433.916666666657</v>
      </c>
      <c r="V191" s="78">
        <f>U191*'Batt IN'!$F$30</f>
        <v>16286.783333333333</v>
      </c>
      <c r="W191" s="78">
        <f>'Batt IN'!$E$28*'Batt IN'!$G$32*('Batt IN'!$E$32/12)*(1+'Batt IN'!$F$30)</f>
        <v>1750.0000000000002</v>
      </c>
      <c r="X191" s="78">
        <f>'Batt IN'!$E$28*'Batt IN'!$G$13*('Batt IN'!$E$13/12)*(1+'Batt IN'!$F$30)</f>
        <v>3184.9999999999995</v>
      </c>
      <c r="Y191" s="33">
        <f>S191*'Batt IN'!$G$15*'Batt IN'!$E$28*(1+'Batt IN'!$F$30)</f>
        <v>0</v>
      </c>
      <c r="Z191" s="33">
        <f>'Batt IN'!$G$16*365/12*(1+'Batt IN'!$F$30)</f>
        <v>1824.9999999999998</v>
      </c>
      <c r="AA191" s="33">
        <f>'Batt IN'!$G$17*'Batt IN'!$E$18*'Batt IN'!$G$18/12*(1+'Batt IN'!$F$30)</f>
        <v>1170</v>
      </c>
      <c r="AB191" s="33">
        <f>'Batt IN'!$G$19*'Batt IN'!$E$20*'Batt IN'!$G$20/12*(1+'Batt IN'!$F$30)</f>
        <v>150</v>
      </c>
      <c r="AC191" s="33">
        <f>'Batt IN'!$G$21*(1+'Batt IN'!$F$30)/12</f>
        <v>3500</v>
      </c>
      <c r="AD191" s="33">
        <f>'Batt IN'!$G$22*(1+'Batt IN'!$F$30)/12</f>
        <v>2500</v>
      </c>
      <c r="AE191" s="33">
        <f t="shared" si="49"/>
        <v>30366.783333333333</v>
      </c>
      <c r="AF191" s="33">
        <f>IF('PV IN'!$F$4="Battery Only",0,AE191*'Batt IN'!$E$29)</f>
        <v>25811.765833333331</v>
      </c>
      <c r="AG191" s="33">
        <f>PVCalcs!L191</f>
        <v>25811.765833333331</v>
      </c>
      <c r="AH191" s="33">
        <f t="shared" si="50"/>
        <v>4555.0175000000017</v>
      </c>
      <c r="AI191" s="33"/>
      <c r="AJ191" s="2">
        <f>IF(AND('Batt IN'!$D$53="Yes",$AL$1&gt;=1),IF($C191='Batt IN'!$H$54*12,-'Batt IN'!$F$54,0),0)</f>
        <v>0</v>
      </c>
      <c r="AK191" s="2">
        <f>IF(AND('Batt IN'!$D$53="Yes",$AL$1&gt;=2),IF($C191='Batt IN'!$H$55*12,-'Batt IN'!$F$55,0),0)</f>
        <v>0</v>
      </c>
      <c r="AL191" s="2">
        <f>IF(AND('Batt IN'!$D$53="Yes",$AL$1&gt;=3),IF($C191='Batt IN'!$H$56*12,-'Batt IN'!$F$56,0),0)</f>
        <v>0</v>
      </c>
      <c r="AM191" s="2">
        <f>IF(AND('Batt IN'!$D$53="Yes",$AL$1&gt;=4),IF($C191='Batt IN'!$H$57*12,-'Batt IN'!$F$57,0),0)</f>
        <v>0</v>
      </c>
      <c r="AN191" s="2">
        <f>IF(AND('Batt IN'!$D$53="Yes",$AL$1&gt;=5),IF($C191='Batt IN'!$H$58*12,-'Batt IN'!$F$58,0),0)</f>
        <v>0</v>
      </c>
      <c r="AO191" s="10">
        <f>IF(AND('Batt IN'!$D$44="YES",$C191&lt;='Batt IN'!$E$44*12),-'Batt IN'!$E$28*'Batt IN'!$E$42/12,0)</f>
        <v>0</v>
      </c>
      <c r="AP191" s="10">
        <f>IF(AND('Batt IN'!$D$46="YES",$C191&lt;='Batt IN'!$E$46*12),-'Batt IN'!$E$28*'Batt IN'!$E$45/12,0)</f>
        <v>0</v>
      </c>
      <c r="AR191" s="10">
        <f>BattLoan!M218</f>
        <v>0</v>
      </c>
      <c r="AS191" s="10">
        <f>'Batt IN'!$G$16*365/12*'Batt IN'!$E$16</f>
        <v>76.041666666666671</v>
      </c>
      <c r="AT191" s="10">
        <f>IF(AND('Batt IN'!$E$18&gt;0,'Batt IN'!$G$18&gt;0),'Batt IN'!$E$17*'Batt IN'!$G$17,0)</f>
        <v>119.44619999999999</v>
      </c>
      <c r="AU191" s="10">
        <f>IF(AND('Batt IN'!$E$20&gt;0,'Batt IN'!$G$20&gt;0),'Batt IN'!$E$19*'Batt IN'!$G$19,0)</f>
        <v>231</v>
      </c>
      <c r="AV191" s="10"/>
      <c r="AW191" s="10"/>
      <c r="AX191" s="10">
        <f>IF('Batt IN'!$E$11="Non-Taxable",Q191,0)</f>
        <v>11168.08</v>
      </c>
      <c r="AY191" s="10">
        <f>IF('Batt IN'!$E$11="Non-Taxable",'Batt IN'!$E$28/1000*'Batt IN'!$G$13*('Batt IN'!$E$13/12)*'Batt IN'!$E$12,0)</f>
        <v>244.42220833333334</v>
      </c>
      <c r="AZ191" s="10">
        <f>IF('Batt IN'!$E$11="Non-Taxable",$S191*'Batt IN'!$G$15*'Batt IN'!$E$28*'Batt IN'!$E$14/1000,0)</f>
        <v>0</v>
      </c>
      <c r="BA191" s="10">
        <f>IF('Batt IN'!$E$11="Non-Taxable",'Batt IN'!$E$21*'Batt IN'!$G$21/12,0)</f>
        <v>437.5</v>
      </c>
      <c r="BB191" s="10">
        <f>IF('Batt IN'!$E$11="Non-Taxable",'Batt IN'!$E$22*'Batt IN'!$G$22/12,0)</f>
        <v>1145.8333333333335</v>
      </c>
      <c r="BC191" s="10">
        <f>IF('Batt IN'!$E$11="Taxable",Q191,0)</f>
        <v>0</v>
      </c>
      <c r="BD191" s="10">
        <f>IF('Batt IN'!$E$11="Taxable",'Batt IN'!$E$28/1000*'Batt IN'!$G$13*('Batt IN'!$E$13/12)*'Batt IN'!$E$12,0)</f>
        <v>0</v>
      </c>
      <c r="BE191" s="10">
        <f>IF('Batt IN'!$E$11="Taxable",$S191*'Batt IN'!$G$15*'Batt IN'!$E$28*'Batt IN'!$E$14/1000,0)</f>
        <v>0</v>
      </c>
      <c r="BF191" s="10">
        <f>IF('Batt IN'!$E$11="Taxable",'Batt IN'!$E$21*'Batt IN'!$G$21/12,0)</f>
        <v>0</v>
      </c>
      <c r="BG191" s="10">
        <f>IF('Batt IN'!$E$11="Taxable",'Batt IN'!$E$22*'Batt IN'!$G$22/12,0)</f>
        <v>0</v>
      </c>
      <c r="BK191" s="10">
        <f>IF('Batt IN'!$N$18="Yes",-BattLoan!H219,-BattLoan!L219)</f>
        <v>0</v>
      </c>
      <c r="BL191" s="10">
        <f>IF('Batt IN'!$N$18="Yes",-BattLoan!F219,0)</f>
        <v>0</v>
      </c>
      <c r="BM191" s="10">
        <f>IF(AND('Batt IN'!$D$44="YES",$C191&lt;='Batt IN'!$E$44*12),0,-'Batt IN'!$E$28*'Batt IN'!$E$42/12)</f>
        <v>-83.333333333333329</v>
      </c>
      <c r="BN191" s="10">
        <f>IF(AND('Batt IN'!$D$46="YES",$C191&lt;='Batt IN'!$E$46*12),0,-'Batt IN'!$E$28*'Batt IN'!$E$45/12)</f>
        <v>-166.66666666666666</v>
      </c>
      <c r="BO191" s="2">
        <f>IF(AND('Batt IN'!$D$41="YES",BattCalcs!C191=ROUNDUP('Batt IN'!$H$41*12,)),-'Batt IN'!$E$41*'Batt IN'!$E$28,0)</f>
        <v>0</v>
      </c>
      <c r="BP191" s="2">
        <f>IF(AND('Batt IN'!$D$53="Yes",$AL$1&gt;=1),0,IF($C191='Batt IN'!$H$54*12,-'Batt IN'!$F$54,0))</f>
        <v>0</v>
      </c>
      <c r="BQ191" s="2">
        <f>IF(AND('Batt IN'!$D$53="Yes",$AL$1&gt;=2),0,IF($C191='Batt IN'!$H$55*12,-'Batt IN'!$F$55,0))</f>
        <v>0</v>
      </c>
      <c r="BR191" s="2">
        <f>IF(AND('Batt IN'!$D$53="Yes",$AL$1&gt;=3),0,IF($C191='Batt IN'!$H$56*12,-'Batt IN'!$F$56,0))</f>
        <v>0</v>
      </c>
      <c r="BS191" s="2">
        <f>IF(AND('Batt IN'!$D$53="Yes",$AL$1&gt;=4),0,IF($C191='Batt IN'!$H$57*12,-'Batt IN'!$F$57,0))</f>
        <v>0</v>
      </c>
      <c r="BT191" s="2">
        <f>IF(AND('Batt IN'!$D$53="Yes",$AL$1&gt;=5),0,IF($C191='Batt IN'!$H$58*12,-'Batt IN'!$F$58,0))</f>
        <v>0</v>
      </c>
      <c r="BU191" s="2">
        <f>-AH191*PVCalcs!F191</f>
        <v>-372.47314617912679</v>
      </c>
      <c r="BV191" s="2">
        <f>-'Batt IN'!$E$47</f>
        <v>-150</v>
      </c>
      <c r="BW191" s="2">
        <f>-'Batt IN'!$E$49</f>
        <v>-2250</v>
      </c>
      <c r="BX191" s="2">
        <f>IF('Batt IN'!$H$50="No",-(BC191*'Batt IN'!$E$50),-(BC191+BE191)*'Batt IN'!$E$50)</f>
        <v>0</v>
      </c>
      <c r="BY191" s="2">
        <f>IF(C191='Batt IN'!$H$43*12,-'Batt IN'!$E$43,0)</f>
        <v>0</v>
      </c>
      <c r="BZ191" s="38"/>
      <c r="CA191" s="10">
        <f t="shared" si="34"/>
        <v>13422.323408333334</v>
      </c>
      <c r="CB191" s="2">
        <f t="shared" si="38"/>
        <v>-3022.4731461791271</v>
      </c>
      <c r="CC191" s="45">
        <f t="shared" si="39"/>
        <v>10399.850262154207</v>
      </c>
      <c r="CD191" s="43"/>
      <c r="CE191" s="2">
        <f t="shared" si="35"/>
        <v>0</v>
      </c>
      <c r="CF191" s="2">
        <f t="shared" si="40"/>
        <v>-3022.4731461791271</v>
      </c>
      <c r="CG191" s="2"/>
      <c r="CH191" s="2">
        <f t="shared" si="41"/>
        <v>-3022.4731461791271</v>
      </c>
      <c r="CI191" s="45">
        <f>-CH191*'Batt IN'!$E$7</f>
        <v>634.71936069761671</v>
      </c>
      <c r="CJ191" s="48"/>
      <c r="CK191" s="45">
        <f>IF('Batt IN'!$F$4="PV Only",0,IF(C191&gt;'Batt IN'!$H$43*12,0,CC191+CI191))</f>
        <v>0</v>
      </c>
      <c r="CM191" s="10">
        <f t="shared" si="42"/>
        <v>0</v>
      </c>
      <c r="CN191" s="2">
        <f>CK191/(1+('Batt IN'!$G$8))^(C191)</f>
        <v>0</v>
      </c>
      <c r="CO191" s="2">
        <f>IF(C191&lt;='Batt IN'!$O$30*12,CN191+CO190,NA())</f>
        <v>0</v>
      </c>
      <c r="CQ191" s="2">
        <f>CK191/((1+('Batt IN'!$E$8/12))^BattCalcs!C191)</f>
        <v>0</v>
      </c>
      <c r="CS191" s="10">
        <f t="shared" si="43"/>
        <v>-3022.4731461791271</v>
      </c>
      <c r="CT191" s="10">
        <f t="shared" si="44"/>
        <v>0</v>
      </c>
      <c r="CU191" s="10">
        <f t="shared" si="45"/>
        <v>-3022.4731461791271</v>
      </c>
      <c r="CV191" s="10">
        <f t="shared" si="46"/>
        <v>-3022.4731461791271</v>
      </c>
      <c r="CW191" s="2">
        <f t="shared" si="47"/>
        <v>0</v>
      </c>
      <c r="CX191" s="2">
        <f>-(SUM(CV191:CW191)*'PV IN'!$E$8)</f>
        <v>634.71936069761671</v>
      </c>
      <c r="CY191" s="2">
        <f t="shared" si="48"/>
        <v>-2387.7537854815105</v>
      </c>
      <c r="CZ191" s="2">
        <f>IF(C191&lt;='Batt IN'!$H$43*12,CY191/(1+('PV IN'!$G$9))^(C191),0)</f>
        <v>-1116.3223805084067</v>
      </c>
      <c r="DA191" s="33">
        <f>IF(C191&lt;='Batt IN'!$H$43*12,AE191,0)</f>
        <v>30366.783333333333</v>
      </c>
    </row>
    <row r="192" spans="1:105" x14ac:dyDescent="0.25">
      <c r="A192">
        <f>IF(C192&lt;='Batt IN'!$H$43*12,C192,"")</f>
        <v>188</v>
      </c>
      <c r="C192">
        <v>188</v>
      </c>
      <c r="D192" s="21">
        <v>730</v>
      </c>
      <c r="E192" s="1">
        <f>1-'Batt IN'!$E$31</f>
        <v>2.0000000000000018E-2</v>
      </c>
      <c r="F192" s="12">
        <f>('Batt IN'!$E$33*365)/8760</f>
        <v>0</v>
      </c>
      <c r="G192" s="22">
        <f>'Batt IN'!$E$32/8760</f>
        <v>5.7077625570776253E-3</v>
      </c>
      <c r="H192" s="22">
        <f>'Batt IN'!$E$13/8760</f>
        <v>5.5936073059360729E-3</v>
      </c>
      <c r="I192" s="23">
        <f>IF(C192&lt;='Batt IN'!$G$14*12,'Batt IN'!$E$15/8760*'Batt IN'!$G$15,0)</f>
        <v>0</v>
      </c>
      <c r="J192" s="12">
        <f>Z192/'Batt IN'!$E$27/730</f>
        <v>2.4999999999999996E-3</v>
      </c>
      <c r="K192" s="23">
        <f>AA192/'Batt IN'!$E$27/730</f>
        <v>1.6027397260273972E-3</v>
      </c>
      <c r="L192" s="23">
        <f>AB192/'Batt IN'!$E$27/730</f>
        <v>2.0547945205479451E-4</v>
      </c>
      <c r="M192" s="23">
        <f>AC192/'Batt IN'!$E$27/730</f>
        <v>4.7945205479452057E-3</v>
      </c>
      <c r="N192" s="23">
        <f>AD192/'Batt IN'!$E$27/730</f>
        <v>3.4246575342465752E-3</v>
      </c>
      <c r="O192" s="12">
        <f t="shared" si="36"/>
        <v>4.3828767123287697E-2</v>
      </c>
      <c r="P192" s="21">
        <f t="shared" si="37"/>
        <v>698.005</v>
      </c>
      <c r="Q192" s="2">
        <f>IF('Batt IN'!$E$27*'Batt IN'!$E$24&lt;='Batt IN'!$E$28,(('Batt IN'!$E$23*'Batt IN'!$E$27*'Batt IN'!$E$24)/1000)*P192,(('Batt IN'!$E$23*'Batt IN'!$E$28*'Batt IN'!$E$24)/1000)*P192)</f>
        <v>11168.08</v>
      </c>
      <c r="R192" s="2"/>
      <c r="S192" s="77">
        <f>IF(C192&lt;='Batt IN'!$G$14*12,'Batt IN'!$E$15/12,0)</f>
        <v>0</v>
      </c>
      <c r="T192" s="77"/>
      <c r="U192" s="80">
        <f>'Batt IN'!$E$28*('Batt IN'!$G$24/24)*730*(1-O192)</f>
        <v>81433.916666666657</v>
      </c>
      <c r="V192" s="78">
        <f>U192*'Batt IN'!$F$30</f>
        <v>16286.783333333333</v>
      </c>
      <c r="W192" s="78">
        <f>'Batt IN'!$E$28*'Batt IN'!$G$32*('Batt IN'!$E$32/12)*(1+'Batt IN'!$F$30)</f>
        <v>1750.0000000000002</v>
      </c>
      <c r="X192" s="78">
        <f>'Batt IN'!$E$28*'Batt IN'!$G$13*('Batt IN'!$E$13/12)*(1+'Batt IN'!$F$30)</f>
        <v>3184.9999999999995</v>
      </c>
      <c r="Y192" s="33">
        <f>S192*'Batt IN'!$G$15*'Batt IN'!$E$28*(1+'Batt IN'!$F$30)</f>
        <v>0</v>
      </c>
      <c r="Z192" s="33">
        <f>'Batt IN'!$G$16*365/12*(1+'Batt IN'!$F$30)</f>
        <v>1824.9999999999998</v>
      </c>
      <c r="AA192" s="33">
        <f>'Batt IN'!$G$17*'Batt IN'!$E$18*'Batt IN'!$G$18/12*(1+'Batt IN'!$F$30)</f>
        <v>1170</v>
      </c>
      <c r="AB192" s="33">
        <f>'Batt IN'!$G$19*'Batt IN'!$E$20*'Batt IN'!$G$20/12*(1+'Batt IN'!$F$30)</f>
        <v>150</v>
      </c>
      <c r="AC192" s="33">
        <f>'Batt IN'!$G$21*(1+'Batt IN'!$F$30)/12</f>
        <v>3500</v>
      </c>
      <c r="AD192" s="33">
        <f>'Batt IN'!$G$22*(1+'Batt IN'!$F$30)/12</f>
        <v>2500</v>
      </c>
      <c r="AE192" s="33">
        <f t="shared" si="49"/>
        <v>30366.783333333333</v>
      </c>
      <c r="AF192" s="33">
        <f>IF('PV IN'!$F$4="Battery Only",0,AE192*'Batt IN'!$E$29)</f>
        <v>25811.765833333331</v>
      </c>
      <c r="AG192" s="33">
        <f>PVCalcs!L192</f>
        <v>25811.765833333331</v>
      </c>
      <c r="AH192" s="33">
        <f t="shared" si="50"/>
        <v>4555.0175000000017</v>
      </c>
      <c r="AI192" s="33"/>
      <c r="AJ192" s="2">
        <f>IF(AND('Batt IN'!$D$53="Yes",$AL$1&gt;=1),IF($C192='Batt IN'!$H$54*12,-'Batt IN'!$F$54,0),0)</f>
        <v>0</v>
      </c>
      <c r="AK192" s="2">
        <f>IF(AND('Batt IN'!$D$53="Yes",$AL$1&gt;=2),IF($C192='Batt IN'!$H$55*12,-'Batt IN'!$F$55,0),0)</f>
        <v>0</v>
      </c>
      <c r="AL192" s="2">
        <f>IF(AND('Batt IN'!$D$53="Yes",$AL$1&gt;=3),IF($C192='Batt IN'!$H$56*12,-'Batt IN'!$F$56,0),0)</f>
        <v>0</v>
      </c>
      <c r="AM192" s="2">
        <f>IF(AND('Batt IN'!$D$53="Yes",$AL$1&gt;=4),IF($C192='Batt IN'!$H$57*12,-'Batt IN'!$F$57,0),0)</f>
        <v>0</v>
      </c>
      <c r="AN192" s="2">
        <f>IF(AND('Batt IN'!$D$53="Yes",$AL$1&gt;=5),IF($C192='Batt IN'!$H$58*12,-'Batt IN'!$F$58,0),0)</f>
        <v>0</v>
      </c>
      <c r="AO192" s="10">
        <f>IF(AND('Batt IN'!$D$44="YES",$C192&lt;='Batt IN'!$E$44*12),-'Batt IN'!$E$28*'Batt IN'!$E$42/12,0)</f>
        <v>0</v>
      </c>
      <c r="AP192" s="10">
        <f>IF(AND('Batt IN'!$D$46="YES",$C192&lt;='Batt IN'!$E$46*12),-'Batt IN'!$E$28*'Batt IN'!$E$45/12,0)</f>
        <v>0</v>
      </c>
      <c r="AR192" s="10">
        <f>BattLoan!M219</f>
        <v>0</v>
      </c>
      <c r="AS192" s="10">
        <f>'Batt IN'!$G$16*365/12*'Batt IN'!$E$16</f>
        <v>76.041666666666671</v>
      </c>
      <c r="AT192" s="10">
        <f>IF(AND('Batt IN'!$E$18&gt;0,'Batt IN'!$G$18&gt;0),'Batt IN'!$E$17*'Batt IN'!$G$17,0)</f>
        <v>119.44619999999999</v>
      </c>
      <c r="AU192" s="10">
        <f>IF(AND('Batt IN'!$E$20&gt;0,'Batt IN'!$G$20&gt;0),'Batt IN'!$E$19*'Batt IN'!$G$19,0)</f>
        <v>231</v>
      </c>
      <c r="AV192" s="10"/>
      <c r="AW192" s="10"/>
      <c r="AX192" s="10">
        <f>IF('Batt IN'!$E$11="Non-Taxable",Q192,0)</f>
        <v>11168.08</v>
      </c>
      <c r="AY192" s="10">
        <f>IF('Batt IN'!$E$11="Non-Taxable",'Batt IN'!$E$28/1000*'Batt IN'!$G$13*('Batt IN'!$E$13/12)*'Batt IN'!$E$12,0)</f>
        <v>244.42220833333334</v>
      </c>
      <c r="AZ192" s="10">
        <f>IF('Batt IN'!$E$11="Non-Taxable",$S192*'Batt IN'!$G$15*'Batt IN'!$E$28*'Batt IN'!$E$14/1000,0)</f>
        <v>0</v>
      </c>
      <c r="BA192" s="10">
        <f>IF('Batt IN'!$E$11="Non-Taxable",'Batt IN'!$E$21*'Batt IN'!$G$21/12,0)</f>
        <v>437.5</v>
      </c>
      <c r="BB192" s="10">
        <f>IF('Batt IN'!$E$11="Non-Taxable",'Batt IN'!$E$22*'Batt IN'!$G$22/12,0)</f>
        <v>1145.8333333333335</v>
      </c>
      <c r="BC192" s="10">
        <f>IF('Batt IN'!$E$11="Taxable",Q192,0)</f>
        <v>0</v>
      </c>
      <c r="BD192" s="10">
        <f>IF('Batt IN'!$E$11="Taxable",'Batt IN'!$E$28/1000*'Batt IN'!$G$13*('Batt IN'!$E$13/12)*'Batt IN'!$E$12,0)</f>
        <v>0</v>
      </c>
      <c r="BE192" s="10">
        <f>IF('Batt IN'!$E$11="Taxable",$S192*'Batt IN'!$G$15*'Batt IN'!$E$28*'Batt IN'!$E$14/1000,0)</f>
        <v>0</v>
      </c>
      <c r="BF192" s="10">
        <f>IF('Batt IN'!$E$11="Taxable",'Batt IN'!$E$21*'Batt IN'!$G$21/12,0)</f>
        <v>0</v>
      </c>
      <c r="BG192" s="10">
        <f>IF('Batt IN'!$E$11="Taxable",'Batt IN'!$E$22*'Batt IN'!$G$22/12,0)</f>
        <v>0</v>
      </c>
      <c r="BK192" s="10">
        <f>IF('Batt IN'!$N$18="Yes",-BattLoan!H220,-BattLoan!L220)</f>
        <v>0</v>
      </c>
      <c r="BL192" s="10">
        <f>IF('Batt IN'!$N$18="Yes",-BattLoan!F220,0)</f>
        <v>0</v>
      </c>
      <c r="BM192" s="10">
        <f>IF(AND('Batt IN'!$D$44="YES",$C192&lt;='Batt IN'!$E$44*12),0,-'Batt IN'!$E$28*'Batt IN'!$E$42/12)</f>
        <v>-83.333333333333329</v>
      </c>
      <c r="BN192" s="10">
        <f>IF(AND('Batt IN'!$D$46="YES",$C192&lt;='Batt IN'!$E$46*12),0,-'Batt IN'!$E$28*'Batt IN'!$E$45/12)</f>
        <v>-166.66666666666666</v>
      </c>
      <c r="BO192" s="2">
        <f>IF(AND('Batt IN'!$D$41="YES",BattCalcs!C192=ROUNDUP('Batt IN'!$H$41*12,)),-'Batt IN'!$E$41*'Batt IN'!$E$28,0)</f>
        <v>0</v>
      </c>
      <c r="BP192" s="2">
        <f>IF(AND('Batt IN'!$D$53="Yes",$AL$1&gt;=1),0,IF($C192='Batt IN'!$H$54*12,-'Batt IN'!$F$54,0))</f>
        <v>0</v>
      </c>
      <c r="BQ192" s="2">
        <f>IF(AND('Batt IN'!$D$53="Yes",$AL$1&gt;=2),0,IF($C192='Batt IN'!$H$55*12,-'Batt IN'!$F$55,0))</f>
        <v>0</v>
      </c>
      <c r="BR192" s="2">
        <f>IF(AND('Batt IN'!$D$53="Yes",$AL$1&gt;=3),0,IF($C192='Batt IN'!$H$56*12,-'Batt IN'!$F$56,0))</f>
        <v>0</v>
      </c>
      <c r="BS192" s="2">
        <f>IF(AND('Batt IN'!$D$53="Yes",$AL$1&gt;=4),0,IF($C192='Batt IN'!$H$57*12,-'Batt IN'!$F$57,0))</f>
        <v>0</v>
      </c>
      <c r="BT192" s="2">
        <f>IF(AND('Batt IN'!$D$53="Yes",$AL$1&gt;=5),0,IF($C192='Batt IN'!$H$58*12,-'Batt IN'!$F$58,0))</f>
        <v>0</v>
      </c>
      <c r="BU192" s="2">
        <f>-AH192*PVCalcs!F192</f>
        <v>-372.47314617912679</v>
      </c>
      <c r="BV192" s="2">
        <f>-'Batt IN'!$E$47</f>
        <v>-150</v>
      </c>
      <c r="BW192" s="2">
        <f>-'Batt IN'!$E$49</f>
        <v>-2250</v>
      </c>
      <c r="BX192" s="2">
        <f>IF('Batt IN'!$H$50="No",-(BC192*'Batt IN'!$E$50),-(BC192+BE192)*'Batt IN'!$E$50)</f>
        <v>0</v>
      </c>
      <c r="BY192" s="2">
        <f>IF(C192='Batt IN'!$H$43*12,-'Batt IN'!$E$43,0)</f>
        <v>0</v>
      </c>
      <c r="BZ192" s="38"/>
      <c r="CA192" s="10">
        <f t="shared" si="34"/>
        <v>13422.323408333334</v>
      </c>
      <c r="CB192" s="2">
        <f t="shared" si="38"/>
        <v>-3022.4731461791271</v>
      </c>
      <c r="CC192" s="45">
        <f t="shared" si="39"/>
        <v>10399.850262154207</v>
      </c>
      <c r="CD192" s="43"/>
      <c r="CE192" s="2">
        <f t="shared" si="35"/>
        <v>0</v>
      </c>
      <c r="CF192" s="2">
        <f t="shared" si="40"/>
        <v>-3022.4731461791271</v>
      </c>
      <c r="CG192" s="2"/>
      <c r="CH192" s="2">
        <f t="shared" si="41"/>
        <v>-3022.4731461791271</v>
      </c>
      <c r="CI192" s="45">
        <f>-CH192*'Batt IN'!$E$7</f>
        <v>634.71936069761671</v>
      </c>
      <c r="CJ192" s="48"/>
      <c r="CK192" s="45">
        <f>IF('Batt IN'!$F$4="PV Only",0,IF(C192&gt;'Batt IN'!$H$43*12,0,CC192+CI192))</f>
        <v>0</v>
      </c>
      <c r="CM192" s="10">
        <f t="shared" si="42"/>
        <v>0</v>
      </c>
      <c r="CN192" s="2">
        <f>CK192/(1+('Batt IN'!$G$8))^(C192)</f>
        <v>0</v>
      </c>
      <c r="CO192" s="2">
        <f>IF(C192&lt;='Batt IN'!$O$30*12,CN192+CO191,NA())</f>
        <v>0</v>
      </c>
      <c r="CQ192" s="2">
        <f>CK192/((1+('Batt IN'!$E$8/12))^BattCalcs!C192)</f>
        <v>0</v>
      </c>
      <c r="CS192" s="10">
        <f t="shared" si="43"/>
        <v>-3022.4731461791271</v>
      </c>
      <c r="CT192" s="10">
        <f t="shared" si="44"/>
        <v>0</v>
      </c>
      <c r="CU192" s="10">
        <f t="shared" si="45"/>
        <v>-3022.4731461791271</v>
      </c>
      <c r="CV192" s="10">
        <f t="shared" si="46"/>
        <v>-3022.4731461791271</v>
      </c>
      <c r="CW192" s="2">
        <f t="shared" si="47"/>
        <v>0</v>
      </c>
      <c r="CX192" s="2">
        <f>-(SUM(CV192:CW192)*'PV IN'!$E$8)</f>
        <v>634.71936069761671</v>
      </c>
      <c r="CY192" s="2">
        <f t="shared" si="48"/>
        <v>-2387.7537854815105</v>
      </c>
      <c r="CZ192" s="2">
        <f>IF(C192&lt;='Batt IN'!$H$43*12,CY192/(1+('PV IN'!$G$9))^(C192),0)</f>
        <v>-1111.7927990234164</v>
      </c>
      <c r="DA192" s="33">
        <f>IF(C192&lt;='Batt IN'!$H$43*12,AE192,0)</f>
        <v>30366.783333333333</v>
      </c>
    </row>
    <row r="193" spans="1:105" x14ac:dyDescent="0.25">
      <c r="A193">
        <f>IF(C193&lt;='Batt IN'!$H$43*12,C193,"")</f>
        <v>189</v>
      </c>
      <c r="C193">
        <v>189</v>
      </c>
      <c r="D193" s="21">
        <v>730</v>
      </c>
      <c r="E193" s="1">
        <f>1-'Batt IN'!$E$31</f>
        <v>2.0000000000000018E-2</v>
      </c>
      <c r="F193" s="12">
        <f>('Batt IN'!$E$33*365)/8760</f>
        <v>0</v>
      </c>
      <c r="G193" s="22">
        <f>'Batt IN'!$E$32/8760</f>
        <v>5.7077625570776253E-3</v>
      </c>
      <c r="H193" s="22">
        <f>'Batt IN'!$E$13/8760</f>
        <v>5.5936073059360729E-3</v>
      </c>
      <c r="I193" s="23">
        <f>IF(C193&lt;='Batt IN'!$G$14*12,'Batt IN'!$E$15/8760*'Batt IN'!$G$15,0)</f>
        <v>0</v>
      </c>
      <c r="J193" s="12">
        <f>Z193/'Batt IN'!$E$27/730</f>
        <v>2.4999999999999996E-3</v>
      </c>
      <c r="K193" s="23">
        <f>AA193/'Batt IN'!$E$27/730</f>
        <v>1.6027397260273972E-3</v>
      </c>
      <c r="L193" s="23">
        <f>AB193/'Batt IN'!$E$27/730</f>
        <v>2.0547945205479451E-4</v>
      </c>
      <c r="M193" s="23">
        <f>AC193/'Batt IN'!$E$27/730</f>
        <v>4.7945205479452057E-3</v>
      </c>
      <c r="N193" s="23">
        <f>AD193/'Batt IN'!$E$27/730</f>
        <v>3.4246575342465752E-3</v>
      </c>
      <c r="O193" s="12">
        <f t="shared" si="36"/>
        <v>4.3828767123287697E-2</v>
      </c>
      <c r="P193" s="21">
        <f t="shared" si="37"/>
        <v>698.005</v>
      </c>
      <c r="Q193" s="2">
        <f>IF('Batt IN'!$E$27*'Batt IN'!$E$24&lt;='Batt IN'!$E$28,(('Batt IN'!$E$23*'Batt IN'!$E$27*'Batt IN'!$E$24)/1000)*P193,(('Batt IN'!$E$23*'Batt IN'!$E$28*'Batt IN'!$E$24)/1000)*P193)</f>
        <v>11168.08</v>
      </c>
      <c r="R193" s="2"/>
      <c r="S193" s="77">
        <f>IF(C193&lt;='Batt IN'!$G$14*12,'Batt IN'!$E$15/12,0)</f>
        <v>0</v>
      </c>
      <c r="T193" s="77"/>
      <c r="U193" s="80">
        <f>'Batt IN'!$E$28*('Batt IN'!$G$24/24)*730*(1-O193)</f>
        <v>81433.916666666657</v>
      </c>
      <c r="V193" s="78">
        <f>U193*'Batt IN'!$F$30</f>
        <v>16286.783333333333</v>
      </c>
      <c r="W193" s="78">
        <f>'Batt IN'!$E$28*'Batt IN'!$G$32*('Batt IN'!$E$32/12)*(1+'Batt IN'!$F$30)</f>
        <v>1750.0000000000002</v>
      </c>
      <c r="X193" s="78">
        <f>'Batt IN'!$E$28*'Batt IN'!$G$13*('Batt IN'!$E$13/12)*(1+'Batt IN'!$F$30)</f>
        <v>3184.9999999999995</v>
      </c>
      <c r="Y193" s="33">
        <f>S193*'Batt IN'!$G$15*'Batt IN'!$E$28*(1+'Batt IN'!$F$30)</f>
        <v>0</v>
      </c>
      <c r="Z193" s="33">
        <f>'Batt IN'!$G$16*365/12*(1+'Batt IN'!$F$30)</f>
        <v>1824.9999999999998</v>
      </c>
      <c r="AA193" s="33">
        <f>'Batt IN'!$G$17*'Batt IN'!$E$18*'Batt IN'!$G$18/12*(1+'Batt IN'!$F$30)</f>
        <v>1170</v>
      </c>
      <c r="AB193" s="33">
        <f>'Batt IN'!$G$19*'Batt IN'!$E$20*'Batt IN'!$G$20/12*(1+'Batt IN'!$F$30)</f>
        <v>150</v>
      </c>
      <c r="AC193" s="33">
        <f>'Batt IN'!$G$21*(1+'Batt IN'!$F$30)/12</f>
        <v>3500</v>
      </c>
      <c r="AD193" s="33">
        <f>'Batt IN'!$G$22*(1+'Batt IN'!$F$30)/12</f>
        <v>2500</v>
      </c>
      <c r="AE193" s="33">
        <f t="shared" si="49"/>
        <v>30366.783333333333</v>
      </c>
      <c r="AF193" s="33">
        <f>IF('PV IN'!$F$4="Battery Only",0,AE193*'Batt IN'!$E$29)</f>
        <v>25811.765833333331</v>
      </c>
      <c r="AG193" s="33">
        <f>PVCalcs!L193</f>
        <v>25811.765833333331</v>
      </c>
      <c r="AH193" s="33">
        <f t="shared" si="50"/>
        <v>4555.0175000000017</v>
      </c>
      <c r="AI193" s="33"/>
      <c r="AJ193" s="2">
        <f>IF(AND('Batt IN'!$D$53="Yes",$AL$1&gt;=1),IF($C193='Batt IN'!$H$54*12,-'Batt IN'!$F$54,0),0)</f>
        <v>0</v>
      </c>
      <c r="AK193" s="2">
        <f>IF(AND('Batt IN'!$D$53="Yes",$AL$1&gt;=2),IF($C193='Batt IN'!$H$55*12,-'Batt IN'!$F$55,0),0)</f>
        <v>0</v>
      </c>
      <c r="AL193" s="2">
        <f>IF(AND('Batt IN'!$D$53="Yes",$AL$1&gt;=3),IF($C193='Batt IN'!$H$56*12,-'Batt IN'!$F$56,0),0)</f>
        <v>0</v>
      </c>
      <c r="AM193" s="2">
        <f>IF(AND('Batt IN'!$D$53="Yes",$AL$1&gt;=4),IF($C193='Batt IN'!$H$57*12,-'Batt IN'!$F$57,0),0)</f>
        <v>0</v>
      </c>
      <c r="AN193" s="2">
        <f>IF(AND('Batt IN'!$D$53="Yes",$AL$1&gt;=5),IF($C193='Batt IN'!$H$58*12,-'Batt IN'!$F$58,0),0)</f>
        <v>0</v>
      </c>
      <c r="AO193" s="10">
        <f>IF(AND('Batt IN'!$D$44="YES",$C193&lt;='Batt IN'!$E$44*12),-'Batt IN'!$E$28*'Batt IN'!$E$42/12,0)</f>
        <v>0</v>
      </c>
      <c r="AP193" s="10">
        <f>IF(AND('Batt IN'!$D$46="YES",$C193&lt;='Batt IN'!$E$46*12),-'Batt IN'!$E$28*'Batt IN'!$E$45/12,0)</f>
        <v>0</v>
      </c>
      <c r="AR193" s="10">
        <f>BattLoan!M220</f>
        <v>0</v>
      </c>
      <c r="AS193" s="10">
        <f>'Batt IN'!$G$16*365/12*'Batt IN'!$E$16</f>
        <v>76.041666666666671</v>
      </c>
      <c r="AT193" s="10">
        <f>IF(AND('Batt IN'!$E$18&gt;0,'Batt IN'!$G$18&gt;0),'Batt IN'!$E$17*'Batt IN'!$G$17,0)</f>
        <v>119.44619999999999</v>
      </c>
      <c r="AU193" s="10">
        <f>IF(AND('Batt IN'!$E$20&gt;0,'Batt IN'!$G$20&gt;0),'Batt IN'!$E$19*'Batt IN'!$G$19,0)</f>
        <v>231</v>
      </c>
      <c r="AV193" s="10"/>
      <c r="AW193" s="10"/>
      <c r="AX193" s="10">
        <f>IF('Batt IN'!$E$11="Non-Taxable",Q193,0)</f>
        <v>11168.08</v>
      </c>
      <c r="AY193" s="10">
        <f>IF('Batt IN'!$E$11="Non-Taxable",'Batt IN'!$E$28/1000*'Batt IN'!$G$13*('Batt IN'!$E$13/12)*'Batt IN'!$E$12,0)</f>
        <v>244.42220833333334</v>
      </c>
      <c r="AZ193" s="10">
        <f>IF('Batt IN'!$E$11="Non-Taxable",$S193*'Batt IN'!$G$15*'Batt IN'!$E$28*'Batt IN'!$E$14/1000,0)</f>
        <v>0</v>
      </c>
      <c r="BA193" s="10">
        <f>IF('Batt IN'!$E$11="Non-Taxable",'Batt IN'!$E$21*'Batt IN'!$G$21/12,0)</f>
        <v>437.5</v>
      </c>
      <c r="BB193" s="10">
        <f>IF('Batt IN'!$E$11="Non-Taxable",'Batt IN'!$E$22*'Batt IN'!$G$22/12,0)</f>
        <v>1145.8333333333335</v>
      </c>
      <c r="BC193" s="10">
        <f>IF('Batt IN'!$E$11="Taxable",Q193,0)</f>
        <v>0</v>
      </c>
      <c r="BD193" s="10">
        <f>IF('Batt IN'!$E$11="Taxable",'Batt IN'!$E$28/1000*'Batt IN'!$G$13*('Batt IN'!$E$13/12)*'Batt IN'!$E$12,0)</f>
        <v>0</v>
      </c>
      <c r="BE193" s="10">
        <f>IF('Batt IN'!$E$11="Taxable",$S193*'Batt IN'!$G$15*'Batt IN'!$E$28*'Batt IN'!$E$14/1000,0)</f>
        <v>0</v>
      </c>
      <c r="BF193" s="10">
        <f>IF('Batt IN'!$E$11="Taxable",'Batt IN'!$E$21*'Batt IN'!$G$21/12,0)</f>
        <v>0</v>
      </c>
      <c r="BG193" s="10">
        <f>IF('Batt IN'!$E$11="Taxable",'Batt IN'!$E$22*'Batt IN'!$G$22/12,0)</f>
        <v>0</v>
      </c>
      <c r="BK193" s="10">
        <f>IF('Batt IN'!$N$18="Yes",-BattLoan!H221,-BattLoan!L221)</f>
        <v>0</v>
      </c>
      <c r="BL193" s="10">
        <f>IF('Batt IN'!$N$18="Yes",-BattLoan!F221,0)</f>
        <v>0</v>
      </c>
      <c r="BM193" s="10">
        <f>IF(AND('Batt IN'!$D$44="YES",$C193&lt;='Batt IN'!$E$44*12),0,-'Batt IN'!$E$28*'Batt IN'!$E$42/12)</f>
        <v>-83.333333333333329</v>
      </c>
      <c r="BN193" s="10">
        <f>IF(AND('Batt IN'!$D$46="YES",$C193&lt;='Batt IN'!$E$46*12),0,-'Batt IN'!$E$28*'Batt IN'!$E$45/12)</f>
        <v>-166.66666666666666</v>
      </c>
      <c r="BO193" s="2">
        <f>IF(AND('Batt IN'!$D$41="YES",BattCalcs!C193=ROUNDUP('Batt IN'!$H$41*12,)),-'Batt IN'!$E$41*'Batt IN'!$E$28,0)</f>
        <v>0</v>
      </c>
      <c r="BP193" s="2">
        <f>IF(AND('Batt IN'!$D$53="Yes",$AL$1&gt;=1),0,IF($C193='Batt IN'!$H$54*12,-'Batt IN'!$F$54,0))</f>
        <v>0</v>
      </c>
      <c r="BQ193" s="2">
        <f>IF(AND('Batt IN'!$D$53="Yes",$AL$1&gt;=2),0,IF($C193='Batt IN'!$H$55*12,-'Batt IN'!$F$55,0))</f>
        <v>0</v>
      </c>
      <c r="BR193" s="2">
        <f>IF(AND('Batt IN'!$D$53="Yes",$AL$1&gt;=3),0,IF($C193='Batt IN'!$H$56*12,-'Batt IN'!$F$56,0))</f>
        <v>0</v>
      </c>
      <c r="BS193" s="2">
        <f>IF(AND('Batt IN'!$D$53="Yes",$AL$1&gt;=4),0,IF($C193='Batt IN'!$H$57*12,-'Batt IN'!$F$57,0))</f>
        <v>0</v>
      </c>
      <c r="BT193" s="2">
        <f>IF(AND('Batt IN'!$D$53="Yes",$AL$1&gt;=5),0,IF($C193='Batt IN'!$H$58*12,-'Batt IN'!$F$58,0))</f>
        <v>0</v>
      </c>
      <c r="BU193" s="2">
        <f>-AH193*PVCalcs!F193</f>
        <v>-372.47314617912679</v>
      </c>
      <c r="BV193" s="2">
        <f>-'Batt IN'!$E$47</f>
        <v>-150</v>
      </c>
      <c r="BW193" s="2">
        <f>-'Batt IN'!$E$49</f>
        <v>-2250</v>
      </c>
      <c r="BX193" s="2">
        <f>IF('Batt IN'!$H$50="No",-(BC193*'Batt IN'!$E$50),-(BC193+BE193)*'Batt IN'!$E$50)</f>
        <v>0</v>
      </c>
      <c r="BY193" s="2">
        <f>IF(C193='Batt IN'!$H$43*12,-'Batt IN'!$E$43,0)</f>
        <v>0</v>
      </c>
      <c r="BZ193" s="38"/>
      <c r="CA193" s="10">
        <f t="shared" si="34"/>
        <v>13422.323408333334</v>
      </c>
      <c r="CB193" s="2">
        <f t="shared" si="38"/>
        <v>-3022.4731461791271</v>
      </c>
      <c r="CC193" s="45">
        <f t="shared" si="39"/>
        <v>10399.850262154207</v>
      </c>
      <c r="CD193" s="43"/>
      <c r="CE193" s="2">
        <f t="shared" si="35"/>
        <v>0</v>
      </c>
      <c r="CF193" s="2">
        <f t="shared" si="40"/>
        <v>-3022.4731461791271</v>
      </c>
      <c r="CG193" s="2"/>
      <c r="CH193" s="2">
        <f t="shared" si="41"/>
        <v>-3022.4731461791271</v>
      </c>
      <c r="CI193" s="45">
        <f>-CH193*'Batt IN'!$E$7</f>
        <v>634.71936069761671</v>
      </c>
      <c r="CJ193" s="48"/>
      <c r="CK193" s="45">
        <f>IF('Batt IN'!$F$4="PV Only",0,IF(C193&gt;'Batt IN'!$H$43*12,0,CC193+CI193))</f>
        <v>0</v>
      </c>
      <c r="CM193" s="10">
        <f t="shared" si="42"/>
        <v>0</v>
      </c>
      <c r="CN193" s="2">
        <f>CK193/(1+('Batt IN'!$G$8))^(C193)</f>
        <v>0</v>
      </c>
      <c r="CO193" s="2">
        <f>IF(C193&lt;='Batt IN'!$O$30*12,CN193+CO192,NA())</f>
        <v>0</v>
      </c>
      <c r="CQ193" s="2">
        <f>CK193/((1+('Batt IN'!$E$8/12))^BattCalcs!C193)</f>
        <v>0</v>
      </c>
      <c r="CS193" s="10">
        <f t="shared" si="43"/>
        <v>-3022.4731461791271</v>
      </c>
      <c r="CT193" s="10">
        <f t="shared" si="44"/>
        <v>0</v>
      </c>
      <c r="CU193" s="10">
        <f t="shared" si="45"/>
        <v>-3022.4731461791271</v>
      </c>
      <c r="CV193" s="10">
        <f t="shared" si="46"/>
        <v>-3022.4731461791271</v>
      </c>
      <c r="CW193" s="2">
        <f t="shared" si="47"/>
        <v>0</v>
      </c>
      <c r="CX193" s="2">
        <f>-(SUM(CV193:CW193)*'PV IN'!$E$8)</f>
        <v>634.71936069761671</v>
      </c>
      <c r="CY193" s="2">
        <f t="shared" si="48"/>
        <v>-2387.7537854815105</v>
      </c>
      <c r="CZ193" s="2">
        <f>IF(C193&lt;='Batt IN'!$H$43*12,CY193/(1+('PV IN'!$G$9))^(C193),0)</f>
        <v>-1107.2815967349622</v>
      </c>
      <c r="DA193" s="33">
        <f>IF(C193&lt;='Batt IN'!$H$43*12,AE193,0)</f>
        <v>30366.783333333333</v>
      </c>
    </row>
    <row r="194" spans="1:105" x14ac:dyDescent="0.25">
      <c r="A194">
        <f>IF(C194&lt;='Batt IN'!$H$43*12,C194,"")</f>
        <v>190</v>
      </c>
      <c r="C194">
        <v>190</v>
      </c>
      <c r="D194" s="21">
        <v>730</v>
      </c>
      <c r="E194" s="1">
        <f>1-'Batt IN'!$E$31</f>
        <v>2.0000000000000018E-2</v>
      </c>
      <c r="F194" s="12">
        <f>('Batt IN'!$E$33*365)/8760</f>
        <v>0</v>
      </c>
      <c r="G194" s="22">
        <f>'Batt IN'!$E$32/8760</f>
        <v>5.7077625570776253E-3</v>
      </c>
      <c r="H194" s="22">
        <f>'Batt IN'!$E$13/8760</f>
        <v>5.5936073059360729E-3</v>
      </c>
      <c r="I194" s="23">
        <f>IF(C194&lt;='Batt IN'!$G$14*12,'Batt IN'!$E$15/8760*'Batt IN'!$G$15,0)</f>
        <v>0</v>
      </c>
      <c r="J194" s="12">
        <f>Z194/'Batt IN'!$E$27/730</f>
        <v>2.4999999999999996E-3</v>
      </c>
      <c r="K194" s="23">
        <f>AA194/'Batt IN'!$E$27/730</f>
        <v>1.6027397260273972E-3</v>
      </c>
      <c r="L194" s="23">
        <f>AB194/'Batt IN'!$E$27/730</f>
        <v>2.0547945205479451E-4</v>
      </c>
      <c r="M194" s="23">
        <f>AC194/'Batt IN'!$E$27/730</f>
        <v>4.7945205479452057E-3</v>
      </c>
      <c r="N194" s="23">
        <f>AD194/'Batt IN'!$E$27/730</f>
        <v>3.4246575342465752E-3</v>
      </c>
      <c r="O194" s="12">
        <f t="shared" si="36"/>
        <v>4.3828767123287697E-2</v>
      </c>
      <c r="P194" s="21">
        <f t="shared" si="37"/>
        <v>698.005</v>
      </c>
      <c r="Q194" s="2">
        <f>IF('Batt IN'!$E$27*'Batt IN'!$E$24&lt;='Batt IN'!$E$28,(('Batt IN'!$E$23*'Batt IN'!$E$27*'Batt IN'!$E$24)/1000)*P194,(('Batt IN'!$E$23*'Batt IN'!$E$28*'Batt IN'!$E$24)/1000)*P194)</f>
        <v>11168.08</v>
      </c>
      <c r="R194" s="2"/>
      <c r="S194" s="77">
        <f>IF(C194&lt;='Batt IN'!$G$14*12,'Batt IN'!$E$15/12,0)</f>
        <v>0</v>
      </c>
      <c r="T194" s="77"/>
      <c r="U194" s="80">
        <f>'Batt IN'!$E$28*('Batt IN'!$G$24/24)*730*(1-O194)</f>
        <v>81433.916666666657</v>
      </c>
      <c r="V194" s="78">
        <f>U194*'Batt IN'!$F$30</f>
        <v>16286.783333333333</v>
      </c>
      <c r="W194" s="78">
        <f>'Batt IN'!$E$28*'Batt IN'!$G$32*('Batt IN'!$E$32/12)*(1+'Batt IN'!$F$30)</f>
        <v>1750.0000000000002</v>
      </c>
      <c r="X194" s="78">
        <f>'Batt IN'!$E$28*'Batt IN'!$G$13*('Batt IN'!$E$13/12)*(1+'Batt IN'!$F$30)</f>
        <v>3184.9999999999995</v>
      </c>
      <c r="Y194" s="33">
        <f>S194*'Batt IN'!$G$15*'Batt IN'!$E$28*(1+'Batt IN'!$F$30)</f>
        <v>0</v>
      </c>
      <c r="Z194" s="33">
        <f>'Batt IN'!$G$16*365/12*(1+'Batt IN'!$F$30)</f>
        <v>1824.9999999999998</v>
      </c>
      <c r="AA194" s="33">
        <f>'Batt IN'!$G$17*'Batt IN'!$E$18*'Batt IN'!$G$18/12*(1+'Batt IN'!$F$30)</f>
        <v>1170</v>
      </c>
      <c r="AB194" s="33">
        <f>'Batt IN'!$G$19*'Batt IN'!$E$20*'Batt IN'!$G$20/12*(1+'Batt IN'!$F$30)</f>
        <v>150</v>
      </c>
      <c r="AC194" s="33">
        <f>'Batt IN'!$G$21*(1+'Batt IN'!$F$30)/12</f>
        <v>3500</v>
      </c>
      <c r="AD194" s="33">
        <f>'Batt IN'!$G$22*(1+'Batt IN'!$F$30)/12</f>
        <v>2500</v>
      </c>
      <c r="AE194" s="33">
        <f t="shared" si="49"/>
        <v>30366.783333333333</v>
      </c>
      <c r="AF194" s="33">
        <f>IF('PV IN'!$F$4="Battery Only",0,AE194*'Batt IN'!$E$29)</f>
        <v>25811.765833333331</v>
      </c>
      <c r="AG194" s="33">
        <f>PVCalcs!L194</f>
        <v>25811.765833333331</v>
      </c>
      <c r="AH194" s="33">
        <f t="shared" si="50"/>
        <v>4555.0175000000017</v>
      </c>
      <c r="AI194" s="33"/>
      <c r="AJ194" s="2">
        <f>IF(AND('Batt IN'!$D$53="Yes",$AL$1&gt;=1),IF($C194='Batt IN'!$H$54*12,-'Batt IN'!$F$54,0),0)</f>
        <v>0</v>
      </c>
      <c r="AK194" s="2">
        <f>IF(AND('Batt IN'!$D$53="Yes",$AL$1&gt;=2),IF($C194='Batt IN'!$H$55*12,-'Batt IN'!$F$55,0),0)</f>
        <v>0</v>
      </c>
      <c r="AL194" s="2">
        <f>IF(AND('Batt IN'!$D$53="Yes",$AL$1&gt;=3),IF($C194='Batt IN'!$H$56*12,-'Batt IN'!$F$56,0),0)</f>
        <v>0</v>
      </c>
      <c r="AM194" s="2">
        <f>IF(AND('Batt IN'!$D$53="Yes",$AL$1&gt;=4),IF($C194='Batt IN'!$H$57*12,-'Batt IN'!$F$57,0),0)</f>
        <v>0</v>
      </c>
      <c r="AN194" s="2">
        <f>IF(AND('Batt IN'!$D$53="Yes",$AL$1&gt;=5),IF($C194='Batt IN'!$H$58*12,-'Batt IN'!$F$58,0),0)</f>
        <v>0</v>
      </c>
      <c r="AO194" s="10">
        <f>IF(AND('Batt IN'!$D$44="YES",$C194&lt;='Batt IN'!$E$44*12),-'Batt IN'!$E$28*'Batt IN'!$E$42/12,0)</f>
        <v>0</v>
      </c>
      <c r="AP194" s="10">
        <f>IF(AND('Batt IN'!$D$46="YES",$C194&lt;='Batt IN'!$E$46*12),-'Batt IN'!$E$28*'Batt IN'!$E$45/12,0)</f>
        <v>0</v>
      </c>
      <c r="AR194" s="10">
        <f>BattLoan!M221</f>
        <v>0</v>
      </c>
      <c r="AS194" s="10">
        <f>'Batt IN'!$G$16*365/12*'Batt IN'!$E$16</f>
        <v>76.041666666666671</v>
      </c>
      <c r="AT194" s="10">
        <f>IF(AND('Batt IN'!$E$18&gt;0,'Batt IN'!$G$18&gt;0),'Batt IN'!$E$17*'Batt IN'!$G$17,0)</f>
        <v>119.44619999999999</v>
      </c>
      <c r="AU194" s="10">
        <f>IF(AND('Batt IN'!$E$20&gt;0,'Batt IN'!$G$20&gt;0),'Batt IN'!$E$19*'Batt IN'!$G$19,0)</f>
        <v>231</v>
      </c>
      <c r="AV194" s="10"/>
      <c r="AW194" s="10"/>
      <c r="AX194" s="10">
        <f>IF('Batt IN'!$E$11="Non-Taxable",Q194,0)</f>
        <v>11168.08</v>
      </c>
      <c r="AY194" s="10">
        <f>IF('Batt IN'!$E$11="Non-Taxable",'Batt IN'!$E$28/1000*'Batt IN'!$G$13*('Batt IN'!$E$13/12)*'Batt IN'!$E$12,0)</f>
        <v>244.42220833333334</v>
      </c>
      <c r="AZ194" s="10">
        <f>IF('Batt IN'!$E$11="Non-Taxable",$S194*'Batt IN'!$G$15*'Batt IN'!$E$28*'Batt IN'!$E$14/1000,0)</f>
        <v>0</v>
      </c>
      <c r="BA194" s="10">
        <f>IF('Batt IN'!$E$11="Non-Taxable",'Batt IN'!$E$21*'Batt IN'!$G$21/12,0)</f>
        <v>437.5</v>
      </c>
      <c r="BB194" s="10">
        <f>IF('Batt IN'!$E$11="Non-Taxable",'Batt IN'!$E$22*'Batt IN'!$G$22/12,0)</f>
        <v>1145.8333333333335</v>
      </c>
      <c r="BC194" s="10">
        <f>IF('Batt IN'!$E$11="Taxable",Q194,0)</f>
        <v>0</v>
      </c>
      <c r="BD194" s="10">
        <f>IF('Batt IN'!$E$11="Taxable",'Batt IN'!$E$28/1000*'Batt IN'!$G$13*('Batt IN'!$E$13/12)*'Batt IN'!$E$12,0)</f>
        <v>0</v>
      </c>
      <c r="BE194" s="10">
        <f>IF('Batt IN'!$E$11="Taxable",$S194*'Batt IN'!$G$15*'Batt IN'!$E$28*'Batt IN'!$E$14/1000,0)</f>
        <v>0</v>
      </c>
      <c r="BF194" s="10">
        <f>IF('Batt IN'!$E$11="Taxable",'Batt IN'!$E$21*'Batt IN'!$G$21/12,0)</f>
        <v>0</v>
      </c>
      <c r="BG194" s="10">
        <f>IF('Batt IN'!$E$11="Taxable",'Batt IN'!$E$22*'Batt IN'!$G$22/12,0)</f>
        <v>0</v>
      </c>
      <c r="BK194" s="10">
        <f>IF('Batt IN'!$N$18="Yes",-BattLoan!H222,-BattLoan!L222)</f>
        <v>0</v>
      </c>
      <c r="BL194" s="10">
        <f>IF('Batt IN'!$N$18="Yes",-BattLoan!F222,0)</f>
        <v>0</v>
      </c>
      <c r="BM194" s="10">
        <f>IF(AND('Batt IN'!$D$44="YES",$C194&lt;='Batt IN'!$E$44*12),0,-'Batt IN'!$E$28*'Batt IN'!$E$42/12)</f>
        <v>-83.333333333333329</v>
      </c>
      <c r="BN194" s="10">
        <f>IF(AND('Batt IN'!$D$46="YES",$C194&lt;='Batt IN'!$E$46*12),0,-'Batt IN'!$E$28*'Batt IN'!$E$45/12)</f>
        <v>-166.66666666666666</v>
      </c>
      <c r="BO194" s="2">
        <f>IF(AND('Batt IN'!$D$41="YES",BattCalcs!C194=ROUNDUP('Batt IN'!$H$41*12,)),-'Batt IN'!$E$41*'Batt IN'!$E$28,0)</f>
        <v>0</v>
      </c>
      <c r="BP194" s="2">
        <f>IF(AND('Batt IN'!$D$53="Yes",$AL$1&gt;=1),0,IF($C194='Batt IN'!$H$54*12,-'Batt IN'!$F$54,0))</f>
        <v>0</v>
      </c>
      <c r="BQ194" s="2">
        <f>IF(AND('Batt IN'!$D$53="Yes",$AL$1&gt;=2),0,IF($C194='Batt IN'!$H$55*12,-'Batt IN'!$F$55,0))</f>
        <v>0</v>
      </c>
      <c r="BR194" s="2">
        <f>IF(AND('Batt IN'!$D$53="Yes",$AL$1&gt;=3),0,IF($C194='Batt IN'!$H$56*12,-'Batt IN'!$F$56,0))</f>
        <v>0</v>
      </c>
      <c r="BS194" s="2">
        <f>IF(AND('Batt IN'!$D$53="Yes",$AL$1&gt;=4),0,IF($C194='Batt IN'!$H$57*12,-'Batt IN'!$F$57,0))</f>
        <v>0</v>
      </c>
      <c r="BT194" s="2">
        <f>IF(AND('Batt IN'!$D$53="Yes",$AL$1&gt;=5),0,IF($C194='Batt IN'!$H$58*12,-'Batt IN'!$F$58,0))</f>
        <v>0</v>
      </c>
      <c r="BU194" s="2">
        <f>-AH194*PVCalcs!F194</f>
        <v>-372.47314617912679</v>
      </c>
      <c r="BV194" s="2">
        <f>-'Batt IN'!$E$47</f>
        <v>-150</v>
      </c>
      <c r="BW194" s="2">
        <f>-'Batt IN'!$E$49</f>
        <v>-2250</v>
      </c>
      <c r="BX194" s="2">
        <f>IF('Batt IN'!$H$50="No",-(BC194*'Batt IN'!$E$50),-(BC194+BE194)*'Batt IN'!$E$50)</f>
        <v>0</v>
      </c>
      <c r="BY194" s="2">
        <f>IF(C194='Batt IN'!$H$43*12,-'Batt IN'!$E$43,0)</f>
        <v>0</v>
      </c>
      <c r="BZ194" s="38"/>
      <c r="CA194" s="10">
        <f t="shared" si="34"/>
        <v>13422.323408333334</v>
      </c>
      <c r="CB194" s="2">
        <f t="shared" si="38"/>
        <v>-3022.4731461791271</v>
      </c>
      <c r="CC194" s="45">
        <f t="shared" si="39"/>
        <v>10399.850262154207</v>
      </c>
      <c r="CD194" s="43"/>
      <c r="CE194" s="2">
        <f t="shared" si="35"/>
        <v>0</v>
      </c>
      <c r="CF194" s="2">
        <f t="shared" si="40"/>
        <v>-3022.4731461791271</v>
      </c>
      <c r="CG194" s="2"/>
      <c r="CH194" s="2">
        <f t="shared" si="41"/>
        <v>-3022.4731461791271</v>
      </c>
      <c r="CI194" s="45">
        <f>-CH194*'Batt IN'!$E$7</f>
        <v>634.71936069761671</v>
      </c>
      <c r="CJ194" s="48"/>
      <c r="CK194" s="45">
        <f>IF('Batt IN'!$F$4="PV Only",0,IF(C194&gt;'Batt IN'!$H$43*12,0,CC194+CI194))</f>
        <v>0</v>
      </c>
      <c r="CM194" s="10">
        <f t="shared" si="42"/>
        <v>0</v>
      </c>
      <c r="CN194" s="2">
        <f>CK194/(1+('Batt IN'!$G$8))^(C194)</f>
        <v>0</v>
      </c>
      <c r="CO194" s="2">
        <f>IF(C194&lt;='Batt IN'!$O$30*12,CN194+CO193,NA())</f>
        <v>0</v>
      </c>
      <c r="CQ194" s="2">
        <f>CK194/((1+('Batt IN'!$E$8/12))^BattCalcs!C194)</f>
        <v>0</v>
      </c>
      <c r="CS194" s="10">
        <f t="shared" si="43"/>
        <v>-3022.4731461791271</v>
      </c>
      <c r="CT194" s="10">
        <f t="shared" si="44"/>
        <v>0</v>
      </c>
      <c r="CU194" s="10">
        <f t="shared" si="45"/>
        <v>-3022.4731461791271</v>
      </c>
      <c r="CV194" s="10">
        <f t="shared" si="46"/>
        <v>-3022.4731461791271</v>
      </c>
      <c r="CW194" s="2">
        <f t="shared" si="47"/>
        <v>0</v>
      </c>
      <c r="CX194" s="2">
        <f>-(SUM(CV194:CW194)*'PV IN'!$E$8)</f>
        <v>634.71936069761671</v>
      </c>
      <c r="CY194" s="2">
        <f t="shared" si="48"/>
        <v>-2387.7537854815105</v>
      </c>
      <c r="CZ194" s="2">
        <f>IF(C194&lt;='Batt IN'!$H$43*12,CY194/(1+('PV IN'!$G$9))^(C194),0)</f>
        <v>-1102.7886990677516</v>
      </c>
      <c r="DA194" s="33">
        <f>IF(C194&lt;='Batt IN'!$H$43*12,AE194,0)</f>
        <v>30366.783333333333</v>
      </c>
    </row>
    <row r="195" spans="1:105" x14ac:dyDescent="0.25">
      <c r="A195">
        <f>IF(C195&lt;='Batt IN'!$H$43*12,C195,"")</f>
        <v>191</v>
      </c>
      <c r="C195">
        <v>191</v>
      </c>
      <c r="D195" s="21">
        <v>730</v>
      </c>
      <c r="E195" s="1">
        <f>1-'Batt IN'!$E$31</f>
        <v>2.0000000000000018E-2</v>
      </c>
      <c r="F195" s="12">
        <f>('Batt IN'!$E$33*365)/8760</f>
        <v>0</v>
      </c>
      <c r="G195" s="22">
        <f>'Batt IN'!$E$32/8760</f>
        <v>5.7077625570776253E-3</v>
      </c>
      <c r="H195" s="22">
        <f>'Batt IN'!$E$13/8760</f>
        <v>5.5936073059360729E-3</v>
      </c>
      <c r="I195" s="23">
        <f>IF(C195&lt;='Batt IN'!$G$14*12,'Batt IN'!$E$15/8760*'Batt IN'!$G$15,0)</f>
        <v>0</v>
      </c>
      <c r="J195" s="12">
        <f>Z195/'Batt IN'!$E$27/730</f>
        <v>2.4999999999999996E-3</v>
      </c>
      <c r="K195" s="23">
        <f>AA195/'Batt IN'!$E$27/730</f>
        <v>1.6027397260273972E-3</v>
      </c>
      <c r="L195" s="23">
        <f>AB195/'Batt IN'!$E$27/730</f>
        <v>2.0547945205479451E-4</v>
      </c>
      <c r="M195" s="23">
        <f>AC195/'Batt IN'!$E$27/730</f>
        <v>4.7945205479452057E-3</v>
      </c>
      <c r="N195" s="23">
        <f>AD195/'Batt IN'!$E$27/730</f>
        <v>3.4246575342465752E-3</v>
      </c>
      <c r="O195" s="12">
        <f t="shared" si="36"/>
        <v>4.3828767123287697E-2</v>
      </c>
      <c r="P195" s="21">
        <f t="shared" si="37"/>
        <v>698.005</v>
      </c>
      <c r="Q195" s="2">
        <f>IF('Batt IN'!$E$27*'Batt IN'!$E$24&lt;='Batt IN'!$E$28,(('Batt IN'!$E$23*'Batt IN'!$E$27*'Batt IN'!$E$24)/1000)*P195,(('Batt IN'!$E$23*'Batt IN'!$E$28*'Batt IN'!$E$24)/1000)*P195)</f>
        <v>11168.08</v>
      </c>
      <c r="R195" s="2"/>
      <c r="S195" s="77">
        <f>IF(C195&lt;='Batt IN'!$G$14*12,'Batt IN'!$E$15/12,0)</f>
        <v>0</v>
      </c>
      <c r="T195" s="77"/>
      <c r="U195" s="80">
        <f>'Batt IN'!$E$28*('Batt IN'!$G$24/24)*730*(1-O195)</f>
        <v>81433.916666666657</v>
      </c>
      <c r="V195" s="78">
        <f>U195*'Batt IN'!$F$30</f>
        <v>16286.783333333333</v>
      </c>
      <c r="W195" s="78">
        <f>'Batt IN'!$E$28*'Batt IN'!$G$32*('Batt IN'!$E$32/12)*(1+'Batt IN'!$F$30)</f>
        <v>1750.0000000000002</v>
      </c>
      <c r="X195" s="78">
        <f>'Batt IN'!$E$28*'Batt IN'!$G$13*('Batt IN'!$E$13/12)*(1+'Batt IN'!$F$30)</f>
        <v>3184.9999999999995</v>
      </c>
      <c r="Y195" s="33">
        <f>S195*'Batt IN'!$G$15*'Batt IN'!$E$28*(1+'Batt IN'!$F$30)</f>
        <v>0</v>
      </c>
      <c r="Z195" s="33">
        <f>'Batt IN'!$G$16*365/12*(1+'Batt IN'!$F$30)</f>
        <v>1824.9999999999998</v>
      </c>
      <c r="AA195" s="33">
        <f>'Batt IN'!$G$17*'Batt IN'!$E$18*'Batt IN'!$G$18/12*(1+'Batt IN'!$F$30)</f>
        <v>1170</v>
      </c>
      <c r="AB195" s="33">
        <f>'Batt IN'!$G$19*'Batt IN'!$E$20*'Batt IN'!$G$20/12*(1+'Batt IN'!$F$30)</f>
        <v>150</v>
      </c>
      <c r="AC195" s="33">
        <f>'Batt IN'!$G$21*(1+'Batt IN'!$F$30)/12</f>
        <v>3500</v>
      </c>
      <c r="AD195" s="33">
        <f>'Batt IN'!$G$22*(1+'Batt IN'!$F$30)/12</f>
        <v>2500</v>
      </c>
      <c r="AE195" s="33">
        <f t="shared" si="49"/>
        <v>30366.783333333333</v>
      </c>
      <c r="AF195" s="33">
        <f>IF('PV IN'!$F$4="Battery Only",0,AE195*'Batt IN'!$E$29)</f>
        <v>25811.765833333331</v>
      </c>
      <c r="AG195" s="33">
        <f>PVCalcs!L195</f>
        <v>25811.765833333331</v>
      </c>
      <c r="AH195" s="33">
        <f t="shared" si="50"/>
        <v>4555.0175000000017</v>
      </c>
      <c r="AI195" s="33"/>
      <c r="AJ195" s="2">
        <f>IF(AND('Batt IN'!$D$53="Yes",$AL$1&gt;=1),IF($C195='Batt IN'!$H$54*12,-'Batt IN'!$F$54,0),0)</f>
        <v>0</v>
      </c>
      <c r="AK195" s="2">
        <f>IF(AND('Batt IN'!$D$53="Yes",$AL$1&gt;=2),IF($C195='Batt IN'!$H$55*12,-'Batt IN'!$F$55,0),0)</f>
        <v>0</v>
      </c>
      <c r="AL195" s="2">
        <f>IF(AND('Batt IN'!$D$53="Yes",$AL$1&gt;=3),IF($C195='Batt IN'!$H$56*12,-'Batt IN'!$F$56,0),0)</f>
        <v>0</v>
      </c>
      <c r="AM195" s="2">
        <f>IF(AND('Batt IN'!$D$53="Yes",$AL$1&gt;=4),IF($C195='Batt IN'!$H$57*12,-'Batt IN'!$F$57,0),0)</f>
        <v>0</v>
      </c>
      <c r="AN195" s="2">
        <f>IF(AND('Batt IN'!$D$53="Yes",$AL$1&gt;=5),IF($C195='Batt IN'!$H$58*12,-'Batt IN'!$F$58,0),0)</f>
        <v>0</v>
      </c>
      <c r="AO195" s="10">
        <f>IF(AND('Batt IN'!$D$44="YES",$C195&lt;='Batt IN'!$E$44*12),-'Batt IN'!$E$28*'Batt IN'!$E$42/12,0)</f>
        <v>0</v>
      </c>
      <c r="AP195" s="10">
        <f>IF(AND('Batt IN'!$D$46="YES",$C195&lt;='Batt IN'!$E$46*12),-'Batt IN'!$E$28*'Batt IN'!$E$45/12,0)</f>
        <v>0</v>
      </c>
      <c r="AR195" s="10">
        <f>BattLoan!M222</f>
        <v>0</v>
      </c>
      <c r="AS195" s="10">
        <f>'Batt IN'!$G$16*365/12*'Batt IN'!$E$16</f>
        <v>76.041666666666671</v>
      </c>
      <c r="AT195" s="10">
        <f>IF(AND('Batt IN'!$E$18&gt;0,'Batt IN'!$G$18&gt;0),'Batt IN'!$E$17*'Batt IN'!$G$17,0)</f>
        <v>119.44619999999999</v>
      </c>
      <c r="AU195" s="10">
        <f>IF(AND('Batt IN'!$E$20&gt;0,'Batt IN'!$G$20&gt;0),'Batt IN'!$E$19*'Batt IN'!$G$19,0)</f>
        <v>231</v>
      </c>
      <c r="AV195" s="10"/>
      <c r="AW195" s="10"/>
      <c r="AX195" s="10">
        <f>IF('Batt IN'!$E$11="Non-Taxable",Q195,0)</f>
        <v>11168.08</v>
      </c>
      <c r="AY195" s="10">
        <f>IF('Batt IN'!$E$11="Non-Taxable",'Batt IN'!$E$28/1000*'Batt IN'!$G$13*('Batt IN'!$E$13/12)*'Batt IN'!$E$12,0)</f>
        <v>244.42220833333334</v>
      </c>
      <c r="AZ195" s="10">
        <f>IF('Batt IN'!$E$11="Non-Taxable",$S195*'Batt IN'!$G$15*'Batt IN'!$E$28*'Batt IN'!$E$14/1000,0)</f>
        <v>0</v>
      </c>
      <c r="BA195" s="10">
        <f>IF('Batt IN'!$E$11="Non-Taxable",'Batt IN'!$E$21*'Batt IN'!$G$21/12,0)</f>
        <v>437.5</v>
      </c>
      <c r="BB195" s="10">
        <f>IF('Batt IN'!$E$11="Non-Taxable",'Batt IN'!$E$22*'Batt IN'!$G$22/12,0)</f>
        <v>1145.8333333333335</v>
      </c>
      <c r="BC195" s="10">
        <f>IF('Batt IN'!$E$11="Taxable",Q195,0)</f>
        <v>0</v>
      </c>
      <c r="BD195" s="10">
        <f>IF('Batt IN'!$E$11="Taxable",'Batt IN'!$E$28/1000*'Batt IN'!$G$13*('Batt IN'!$E$13/12)*'Batt IN'!$E$12,0)</f>
        <v>0</v>
      </c>
      <c r="BE195" s="10">
        <f>IF('Batt IN'!$E$11="Taxable",$S195*'Batt IN'!$G$15*'Batt IN'!$E$28*'Batt IN'!$E$14/1000,0)</f>
        <v>0</v>
      </c>
      <c r="BF195" s="10">
        <f>IF('Batt IN'!$E$11="Taxable",'Batt IN'!$E$21*'Batt IN'!$G$21/12,0)</f>
        <v>0</v>
      </c>
      <c r="BG195" s="10">
        <f>IF('Batt IN'!$E$11="Taxable",'Batt IN'!$E$22*'Batt IN'!$G$22/12,0)</f>
        <v>0</v>
      </c>
      <c r="BK195" s="10">
        <f>IF('Batt IN'!$N$18="Yes",-BattLoan!H223,-BattLoan!L223)</f>
        <v>0</v>
      </c>
      <c r="BL195" s="10">
        <f>IF('Batt IN'!$N$18="Yes",-BattLoan!F223,0)</f>
        <v>0</v>
      </c>
      <c r="BM195" s="10">
        <f>IF(AND('Batt IN'!$D$44="YES",$C195&lt;='Batt IN'!$E$44*12),0,-'Batt IN'!$E$28*'Batt IN'!$E$42/12)</f>
        <v>-83.333333333333329</v>
      </c>
      <c r="BN195" s="10">
        <f>IF(AND('Batt IN'!$D$46="YES",$C195&lt;='Batt IN'!$E$46*12),0,-'Batt IN'!$E$28*'Batt IN'!$E$45/12)</f>
        <v>-166.66666666666666</v>
      </c>
      <c r="BO195" s="2">
        <f>IF(AND('Batt IN'!$D$41="YES",BattCalcs!C195=ROUNDUP('Batt IN'!$H$41*12,)),-'Batt IN'!$E$41*'Batt IN'!$E$28,0)</f>
        <v>0</v>
      </c>
      <c r="BP195" s="2">
        <f>IF(AND('Batt IN'!$D$53="Yes",$AL$1&gt;=1),0,IF($C195='Batt IN'!$H$54*12,-'Batt IN'!$F$54,0))</f>
        <v>0</v>
      </c>
      <c r="BQ195" s="2">
        <f>IF(AND('Batt IN'!$D$53="Yes",$AL$1&gt;=2),0,IF($C195='Batt IN'!$H$55*12,-'Batt IN'!$F$55,0))</f>
        <v>0</v>
      </c>
      <c r="BR195" s="2">
        <f>IF(AND('Batt IN'!$D$53="Yes",$AL$1&gt;=3),0,IF($C195='Batt IN'!$H$56*12,-'Batt IN'!$F$56,0))</f>
        <v>0</v>
      </c>
      <c r="BS195" s="2">
        <f>IF(AND('Batt IN'!$D$53="Yes",$AL$1&gt;=4),0,IF($C195='Batt IN'!$H$57*12,-'Batt IN'!$F$57,0))</f>
        <v>0</v>
      </c>
      <c r="BT195" s="2">
        <f>IF(AND('Batt IN'!$D$53="Yes",$AL$1&gt;=5),0,IF($C195='Batt IN'!$H$58*12,-'Batt IN'!$F$58,0))</f>
        <v>0</v>
      </c>
      <c r="BU195" s="2">
        <f>-AH195*PVCalcs!F195</f>
        <v>-372.47314617912679</v>
      </c>
      <c r="BV195" s="2">
        <f>-'Batt IN'!$E$47</f>
        <v>-150</v>
      </c>
      <c r="BW195" s="2">
        <f>-'Batt IN'!$E$49</f>
        <v>-2250</v>
      </c>
      <c r="BX195" s="2">
        <f>IF('Batt IN'!$H$50="No",-(BC195*'Batt IN'!$E$50),-(BC195+BE195)*'Batt IN'!$E$50)</f>
        <v>0</v>
      </c>
      <c r="BY195" s="2">
        <f>IF(C195='Batt IN'!$H$43*12,-'Batt IN'!$E$43,0)</f>
        <v>0</v>
      </c>
      <c r="BZ195" s="38"/>
      <c r="CA195" s="10">
        <f t="shared" si="34"/>
        <v>13422.323408333334</v>
      </c>
      <c r="CB195" s="2">
        <f t="shared" si="38"/>
        <v>-3022.4731461791271</v>
      </c>
      <c r="CC195" s="45">
        <f t="shared" si="39"/>
        <v>10399.850262154207</v>
      </c>
      <c r="CD195" s="43"/>
      <c r="CE195" s="2">
        <f t="shared" si="35"/>
        <v>0</v>
      </c>
      <c r="CF195" s="2">
        <f t="shared" si="40"/>
        <v>-3022.4731461791271</v>
      </c>
      <c r="CG195" s="2"/>
      <c r="CH195" s="2">
        <f t="shared" si="41"/>
        <v>-3022.4731461791271</v>
      </c>
      <c r="CI195" s="45">
        <f>-CH195*'Batt IN'!$E$7</f>
        <v>634.71936069761671</v>
      </c>
      <c r="CJ195" s="48"/>
      <c r="CK195" s="45">
        <f>IF('Batt IN'!$F$4="PV Only",0,IF(C195&gt;'Batt IN'!$H$43*12,0,CC195+CI195))</f>
        <v>0</v>
      </c>
      <c r="CM195" s="10">
        <f t="shared" si="42"/>
        <v>0</v>
      </c>
      <c r="CN195" s="2">
        <f>CK195/(1+('Batt IN'!$G$8))^(C195)</f>
        <v>0</v>
      </c>
      <c r="CO195" s="2">
        <f>IF(C195&lt;='Batt IN'!$O$30*12,CN195+CO194,NA())</f>
        <v>0</v>
      </c>
      <c r="CQ195" s="2">
        <f>CK195/((1+('Batt IN'!$E$8/12))^BattCalcs!C195)</f>
        <v>0</v>
      </c>
      <c r="CS195" s="10">
        <f t="shared" si="43"/>
        <v>-3022.4731461791271</v>
      </c>
      <c r="CT195" s="10">
        <f t="shared" si="44"/>
        <v>0</v>
      </c>
      <c r="CU195" s="10">
        <f t="shared" si="45"/>
        <v>-3022.4731461791271</v>
      </c>
      <c r="CV195" s="10">
        <f t="shared" si="46"/>
        <v>-3022.4731461791271</v>
      </c>
      <c r="CW195" s="2">
        <f t="shared" si="47"/>
        <v>0</v>
      </c>
      <c r="CX195" s="2">
        <f>-(SUM(CV195:CW195)*'PV IN'!$E$8)</f>
        <v>634.71936069761671</v>
      </c>
      <c r="CY195" s="2">
        <f t="shared" si="48"/>
        <v>-2387.7537854815105</v>
      </c>
      <c r="CZ195" s="2">
        <f>IF(C195&lt;='Batt IN'!$H$43*12,CY195/(1+('PV IN'!$G$9))^(C195),0)</f>
        <v>-1098.3140317490879</v>
      </c>
      <c r="DA195" s="33">
        <f>IF(C195&lt;='Batt IN'!$H$43*12,AE195,0)</f>
        <v>30366.783333333333</v>
      </c>
    </row>
    <row r="196" spans="1:105" x14ac:dyDescent="0.25">
      <c r="A196">
        <f>IF(C196&lt;='Batt IN'!$H$43*12,C196,"")</f>
        <v>192</v>
      </c>
      <c r="B196">
        <v>16</v>
      </c>
      <c r="C196">
        <v>192</v>
      </c>
      <c r="D196" s="21">
        <v>730</v>
      </c>
      <c r="E196" s="1">
        <f>1-'Batt IN'!$E$31</f>
        <v>2.0000000000000018E-2</v>
      </c>
      <c r="F196" s="12">
        <f>('Batt IN'!$E$33*365)/8760</f>
        <v>0</v>
      </c>
      <c r="G196" s="22">
        <f>'Batt IN'!$E$32/8760</f>
        <v>5.7077625570776253E-3</v>
      </c>
      <c r="H196" s="22">
        <f>'Batt IN'!$E$13/8760</f>
        <v>5.5936073059360729E-3</v>
      </c>
      <c r="I196" s="23">
        <f>IF(C196&lt;='Batt IN'!$G$14*12,'Batt IN'!$E$15/8760*'Batt IN'!$G$15,0)</f>
        <v>0</v>
      </c>
      <c r="J196" s="12">
        <f>Z196/'Batt IN'!$E$27/730</f>
        <v>2.4999999999999996E-3</v>
      </c>
      <c r="K196" s="23">
        <f>AA196/'Batt IN'!$E$27/730</f>
        <v>1.6027397260273972E-3</v>
      </c>
      <c r="L196" s="23">
        <f>AB196/'Batt IN'!$E$27/730</f>
        <v>2.0547945205479451E-4</v>
      </c>
      <c r="M196" s="23">
        <f>AC196/'Batt IN'!$E$27/730</f>
        <v>4.7945205479452057E-3</v>
      </c>
      <c r="N196" s="23">
        <f>AD196/'Batt IN'!$E$27/730</f>
        <v>3.4246575342465752E-3</v>
      </c>
      <c r="O196" s="12">
        <f t="shared" si="36"/>
        <v>4.3828767123287697E-2</v>
      </c>
      <c r="P196" s="21">
        <f t="shared" si="37"/>
        <v>698.005</v>
      </c>
      <c r="Q196" s="2">
        <f>IF('Batt IN'!$E$27*'Batt IN'!$E$24&lt;='Batt IN'!$E$28,(('Batt IN'!$E$23*'Batt IN'!$E$27*'Batt IN'!$E$24)/1000)*P196,(('Batt IN'!$E$23*'Batt IN'!$E$28*'Batt IN'!$E$24)/1000)*P196)</f>
        <v>11168.08</v>
      </c>
      <c r="R196" s="2"/>
      <c r="S196" s="77">
        <f>IF(C196&lt;='Batt IN'!$G$14*12,'Batt IN'!$E$15/12,0)</f>
        <v>0</v>
      </c>
      <c r="T196" s="77"/>
      <c r="U196" s="80">
        <f>'Batt IN'!$E$28*('Batt IN'!$G$24/24)*730*(1-O196)</f>
        <v>81433.916666666657</v>
      </c>
      <c r="V196" s="78">
        <f>U196*'Batt IN'!$F$30</f>
        <v>16286.783333333333</v>
      </c>
      <c r="W196" s="78">
        <f>'Batt IN'!$E$28*'Batt IN'!$G$32*('Batt IN'!$E$32/12)*(1+'Batt IN'!$F$30)</f>
        <v>1750.0000000000002</v>
      </c>
      <c r="X196" s="78">
        <f>'Batt IN'!$E$28*'Batt IN'!$G$13*('Batt IN'!$E$13/12)*(1+'Batt IN'!$F$30)</f>
        <v>3184.9999999999995</v>
      </c>
      <c r="Y196" s="33">
        <f>S196*'Batt IN'!$G$15*'Batt IN'!$E$28*(1+'Batt IN'!$F$30)</f>
        <v>0</v>
      </c>
      <c r="Z196" s="33">
        <f>'Batt IN'!$G$16*365/12*(1+'Batt IN'!$F$30)</f>
        <v>1824.9999999999998</v>
      </c>
      <c r="AA196" s="33">
        <f>'Batt IN'!$G$17*'Batt IN'!$E$18*'Batt IN'!$G$18/12*(1+'Batt IN'!$F$30)</f>
        <v>1170</v>
      </c>
      <c r="AB196" s="33">
        <f>'Batt IN'!$G$19*'Batt IN'!$E$20*'Batt IN'!$G$20/12*(1+'Batt IN'!$F$30)</f>
        <v>150</v>
      </c>
      <c r="AC196" s="33">
        <f>'Batt IN'!$G$21*(1+'Batt IN'!$F$30)/12</f>
        <v>3500</v>
      </c>
      <c r="AD196" s="33">
        <f>'Batt IN'!$G$22*(1+'Batt IN'!$F$30)/12</f>
        <v>2500</v>
      </c>
      <c r="AE196" s="33">
        <f t="shared" si="49"/>
        <v>30366.783333333333</v>
      </c>
      <c r="AF196" s="33">
        <f>IF('PV IN'!$F$4="Battery Only",0,AE196*'Batt IN'!$E$29)</f>
        <v>25811.765833333331</v>
      </c>
      <c r="AG196" s="33">
        <f>PVCalcs!L196</f>
        <v>25811.765833333331</v>
      </c>
      <c r="AH196" s="33">
        <f t="shared" si="50"/>
        <v>4555.0175000000017</v>
      </c>
      <c r="AI196" s="33"/>
      <c r="AJ196" s="2">
        <f>IF(AND('Batt IN'!$D$53="Yes",$AL$1&gt;=1),IF($C196='Batt IN'!$H$54*12,-'Batt IN'!$F$54,0),0)</f>
        <v>0</v>
      </c>
      <c r="AK196" s="2">
        <f>IF(AND('Batt IN'!$D$53="Yes",$AL$1&gt;=2),IF($C196='Batt IN'!$H$55*12,-'Batt IN'!$F$55,0),0)</f>
        <v>0</v>
      </c>
      <c r="AL196" s="2">
        <f>IF(AND('Batt IN'!$D$53="Yes",$AL$1&gt;=3),IF($C196='Batt IN'!$H$56*12,-'Batt IN'!$F$56,0),0)</f>
        <v>0</v>
      </c>
      <c r="AM196" s="2">
        <f>IF(AND('Batt IN'!$D$53="Yes",$AL$1&gt;=4),IF($C196='Batt IN'!$H$57*12,-'Batt IN'!$F$57,0),0)</f>
        <v>0</v>
      </c>
      <c r="AN196" s="2">
        <f>IF(AND('Batt IN'!$D$53="Yes",$AL$1&gt;=5),IF($C196='Batt IN'!$H$58*12,-'Batt IN'!$F$58,0),0)</f>
        <v>0</v>
      </c>
      <c r="AO196" s="10">
        <f>IF(AND('Batt IN'!$D$44="YES",$C196&lt;='Batt IN'!$E$44*12),-'Batt IN'!$E$28*'Batt IN'!$E$42/12,0)</f>
        <v>0</v>
      </c>
      <c r="AP196" s="10">
        <f>IF(AND('Batt IN'!$D$46="YES",$C196&lt;='Batt IN'!$E$46*12),-'Batt IN'!$E$28*'Batt IN'!$E$45/12,0)</f>
        <v>0</v>
      </c>
      <c r="AR196" s="10">
        <f>BattLoan!M223</f>
        <v>0</v>
      </c>
      <c r="AS196" s="10">
        <f>'Batt IN'!$G$16*365/12*'Batt IN'!$E$16</f>
        <v>76.041666666666671</v>
      </c>
      <c r="AT196" s="10">
        <f>IF(AND('Batt IN'!$E$18&gt;0,'Batt IN'!$G$18&gt;0),'Batt IN'!$E$17*'Batt IN'!$G$17,0)</f>
        <v>119.44619999999999</v>
      </c>
      <c r="AU196" s="10">
        <f>IF(AND('Batt IN'!$E$20&gt;0,'Batt IN'!$G$20&gt;0),'Batt IN'!$E$19*'Batt IN'!$G$19,0)</f>
        <v>231</v>
      </c>
      <c r="AV196" s="10"/>
      <c r="AW196" s="10"/>
      <c r="AX196" s="10">
        <f>IF('Batt IN'!$E$11="Non-Taxable",Q196,0)</f>
        <v>11168.08</v>
      </c>
      <c r="AY196" s="10">
        <f>IF('Batt IN'!$E$11="Non-Taxable",'Batt IN'!$E$28/1000*'Batt IN'!$G$13*('Batt IN'!$E$13/12)*'Batt IN'!$E$12,0)</f>
        <v>244.42220833333334</v>
      </c>
      <c r="AZ196" s="10">
        <f>IF('Batt IN'!$E$11="Non-Taxable",$S196*'Batt IN'!$G$15*'Batt IN'!$E$28*'Batt IN'!$E$14/1000,0)</f>
        <v>0</v>
      </c>
      <c r="BA196" s="10">
        <f>IF('Batt IN'!$E$11="Non-Taxable",'Batt IN'!$E$21*'Batt IN'!$G$21/12,0)</f>
        <v>437.5</v>
      </c>
      <c r="BB196" s="10">
        <f>IF('Batt IN'!$E$11="Non-Taxable",'Batt IN'!$E$22*'Batt IN'!$G$22/12,0)</f>
        <v>1145.8333333333335</v>
      </c>
      <c r="BC196" s="10">
        <f>IF('Batt IN'!$E$11="Taxable",Q196,0)</f>
        <v>0</v>
      </c>
      <c r="BD196" s="10">
        <f>IF('Batt IN'!$E$11="Taxable",'Batt IN'!$E$28/1000*'Batt IN'!$G$13*('Batt IN'!$E$13/12)*'Batt IN'!$E$12,0)</f>
        <v>0</v>
      </c>
      <c r="BE196" s="10">
        <f>IF('Batt IN'!$E$11="Taxable",$S196*'Batt IN'!$G$15*'Batt IN'!$E$28*'Batt IN'!$E$14/1000,0)</f>
        <v>0</v>
      </c>
      <c r="BF196" s="10">
        <f>IF('Batt IN'!$E$11="Taxable",'Batt IN'!$E$21*'Batt IN'!$G$21/12,0)</f>
        <v>0</v>
      </c>
      <c r="BG196" s="10">
        <f>IF('Batt IN'!$E$11="Taxable",'Batt IN'!$E$22*'Batt IN'!$G$22/12,0)</f>
        <v>0</v>
      </c>
      <c r="BK196" s="10">
        <f>IF('Batt IN'!$N$18="Yes",-BattLoan!H224,-BattLoan!L224)</f>
        <v>0</v>
      </c>
      <c r="BL196" s="10">
        <f>IF('Batt IN'!$N$18="Yes",-BattLoan!F224,0)</f>
        <v>0</v>
      </c>
      <c r="BM196" s="10">
        <f>IF(AND('Batt IN'!$D$44="YES",$C196&lt;='Batt IN'!$E$44*12),0,-'Batt IN'!$E$28*'Batt IN'!$E$42/12)</f>
        <v>-83.333333333333329</v>
      </c>
      <c r="BN196" s="10">
        <f>IF(AND('Batt IN'!$D$46="YES",$C196&lt;='Batt IN'!$E$46*12),0,-'Batt IN'!$E$28*'Batt IN'!$E$45/12)</f>
        <v>-166.66666666666666</v>
      </c>
      <c r="BO196" s="2">
        <f>IF(AND('Batt IN'!$D$41="YES",BattCalcs!C196=ROUNDUP('Batt IN'!$H$41*12,)),-'Batt IN'!$E$41*'Batt IN'!$E$28,0)</f>
        <v>0</v>
      </c>
      <c r="BP196" s="2">
        <f>IF(AND('Batt IN'!$D$53="Yes",$AL$1&gt;=1),0,IF($C196='Batt IN'!$H$54*12,-'Batt IN'!$F$54,0))</f>
        <v>0</v>
      </c>
      <c r="BQ196" s="2">
        <f>IF(AND('Batt IN'!$D$53="Yes",$AL$1&gt;=2),0,IF($C196='Batt IN'!$H$55*12,-'Batt IN'!$F$55,0))</f>
        <v>0</v>
      </c>
      <c r="BR196" s="2">
        <f>IF(AND('Batt IN'!$D$53="Yes",$AL$1&gt;=3),0,IF($C196='Batt IN'!$H$56*12,-'Batt IN'!$F$56,0))</f>
        <v>0</v>
      </c>
      <c r="BS196" s="2">
        <f>IF(AND('Batt IN'!$D$53="Yes",$AL$1&gt;=4),0,IF($C196='Batt IN'!$H$57*12,-'Batt IN'!$F$57,0))</f>
        <v>0</v>
      </c>
      <c r="BT196" s="2">
        <f>IF(AND('Batt IN'!$D$53="Yes",$AL$1&gt;=5),0,IF($C196='Batt IN'!$H$58*12,-'Batt IN'!$F$58,0))</f>
        <v>0</v>
      </c>
      <c r="BU196" s="2">
        <f>-AH196*PVCalcs!F196</f>
        <v>-372.47314617912679</v>
      </c>
      <c r="BV196" s="2">
        <f>-'Batt IN'!$E$47</f>
        <v>-150</v>
      </c>
      <c r="BW196" s="2">
        <f>-'Batt IN'!$E$49</f>
        <v>-2250</v>
      </c>
      <c r="BX196" s="2">
        <f>IF('Batt IN'!$H$50="No",-(BC196*'Batt IN'!$E$50),-(BC196+BE196)*'Batt IN'!$E$50)</f>
        <v>0</v>
      </c>
      <c r="BY196" s="2">
        <f>IF(C196='Batt IN'!$H$43*12,-'Batt IN'!$E$43,0)</f>
        <v>0</v>
      </c>
      <c r="BZ196" s="38"/>
      <c r="CA196" s="10">
        <f t="shared" ref="CA196:CA259" si="51">SUM(AR196:BH196)</f>
        <v>13422.323408333334</v>
      </c>
      <c r="CB196" s="2">
        <f t="shared" si="38"/>
        <v>-3022.4731461791271</v>
      </c>
      <c r="CC196" s="45">
        <f t="shared" si="39"/>
        <v>10399.850262154207</v>
      </c>
      <c r="CD196" s="43"/>
      <c r="CE196" s="2">
        <f t="shared" ref="CE196:CE259" si="52">SUM(BC196:BH196)</f>
        <v>0</v>
      </c>
      <c r="CF196" s="2">
        <f t="shared" si="40"/>
        <v>-3022.4731461791271</v>
      </c>
      <c r="CG196" s="2"/>
      <c r="CH196" s="2">
        <f t="shared" si="41"/>
        <v>-3022.4731461791271</v>
      </c>
      <c r="CI196" s="45">
        <f>-CH196*'Batt IN'!$E$7</f>
        <v>634.71936069761671</v>
      </c>
      <c r="CJ196" s="48"/>
      <c r="CK196" s="45">
        <f>IF('Batt IN'!$F$4="PV Only",0,IF(C196&gt;'Batt IN'!$H$43*12,0,CC196+CI196))</f>
        <v>0</v>
      </c>
      <c r="CM196" s="10">
        <f t="shared" si="42"/>
        <v>0</v>
      </c>
      <c r="CN196" s="2">
        <f>CK196/(1+('Batt IN'!$G$8))^(C196)</f>
        <v>0</v>
      </c>
      <c r="CO196" s="2">
        <f>IF(C196&lt;='Batt IN'!$O$30*12,CN196+CO195,NA())</f>
        <v>0</v>
      </c>
      <c r="CQ196" s="2">
        <f>CK196/((1+('Batt IN'!$E$8/12))^BattCalcs!C196)</f>
        <v>0</v>
      </c>
      <c r="CS196" s="10">
        <f t="shared" si="43"/>
        <v>-3022.4731461791271</v>
      </c>
      <c r="CT196" s="10">
        <f t="shared" si="44"/>
        <v>0</v>
      </c>
      <c r="CU196" s="10">
        <f t="shared" si="45"/>
        <v>-3022.4731461791271</v>
      </c>
      <c r="CV196" s="10">
        <f t="shared" si="46"/>
        <v>-3022.4731461791271</v>
      </c>
      <c r="CW196" s="2">
        <f t="shared" si="47"/>
        <v>0</v>
      </c>
      <c r="CX196" s="2">
        <f>-(SUM(CV196:CW196)*'PV IN'!$E$8)</f>
        <v>634.71936069761671</v>
      </c>
      <c r="CY196" s="2">
        <f t="shared" si="48"/>
        <v>-2387.7537854815105</v>
      </c>
      <c r="CZ196" s="2">
        <f>IF(C196&lt;='Batt IN'!$H$43*12,CY196/(1+('PV IN'!$G$9))^(C196),0)</f>
        <v>-1093.8575208076427</v>
      </c>
      <c r="DA196" s="33">
        <f>IF(C196&lt;='Batt IN'!$H$43*12,AE196,0)</f>
        <v>30366.783333333333</v>
      </c>
    </row>
    <row r="197" spans="1:105" x14ac:dyDescent="0.25">
      <c r="A197">
        <f>IF(C197&lt;='Batt IN'!$H$43*12,C197,"")</f>
        <v>193</v>
      </c>
      <c r="C197">
        <v>193</v>
      </c>
      <c r="D197" s="21">
        <v>730</v>
      </c>
      <c r="E197" s="1">
        <f>1-'Batt IN'!$E$31</f>
        <v>2.0000000000000018E-2</v>
      </c>
      <c r="F197" s="12">
        <f>('Batt IN'!$E$33*365)/8760</f>
        <v>0</v>
      </c>
      <c r="G197" s="22">
        <f>'Batt IN'!$E$32/8760</f>
        <v>5.7077625570776253E-3</v>
      </c>
      <c r="H197" s="22">
        <f>'Batt IN'!$E$13/8760</f>
        <v>5.5936073059360729E-3</v>
      </c>
      <c r="I197" s="23">
        <f>IF(C197&lt;='Batt IN'!$G$14*12,'Batt IN'!$E$15/8760*'Batt IN'!$G$15,0)</f>
        <v>0</v>
      </c>
      <c r="J197" s="12">
        <f>Z197/'Batt IN'!$E$27/730</f>
        <v>2.4999999999999996E-3</v>
      </c>
      <c r="K197" s="23">
        <f>AA197/'Batt IN'!$E$27/730</f>
        <v>1.6027397260273972E-3</v>
      </c>
      <c r="L197" s="23">
        <f>AB197/'Batt IN'!$E$27/730</f>
        <v>2.0547945205479451E-4</v>
      </c>
      <c r="M197" s="23">
        <f>AC197/'Batt IN'!$E$27/730</f>
        <v>4.7945205479452057E-3</v>
      </c>
      <c r="N197" s="23">
        <f>AD197/'Batt IN'!$E$27/730</f>
        <v>3.4246575342465752E-3</v>
      </c>
      <c r="O197" s="12">
        <f t="shared" ref="O197:O260" si="53">SUM(E197:N197)</f>
        <v>4.3828767123287697E-2</v>
      </c>
      <c r="P197" s="21">
        <f t="shared" ref="P197:P260" si="54">D197*(1-O197)</f>
        <v>698.005</v>
      </c>
      <c r="Q197" s="2">
        <f>IF('Batt IN'!$E$27*'Batt IN'!$E$24&lt;='Batt IN'!$E$28,(('Batt IN'!$E$23*'Batt IN'!$E$27*'Batt IN'!$E$24)/1000)*P197,(('Batt IN'!$E$23*'Batt IN'!$E$28*'Batt IN'!$E$24)/1000)*P197)</f>
        <v>11168.08</v>
      </c>
      <c r="R197" s="2"/>
      <c r="S197" s="77">
        <f>IF(C197&lt;='Batt IN'!$G$14*12,'Batt IN'!$E$15/12,0)</f>
        <v>0</v>
      </c>
      <c r="T197" s="77"/>
      <c r="U197" s="80">
        <f>'Batt IN'!$E$28*('Batt IN'!$G$24/24)*730*(1-O197)</f>
        <v>81433.916666666657</v>
      </c>
      <c r="V197" s="78">
        <f>U197*'Batt IN'!$F$30</f>
        <v>16286.783333333333</v>
      </c>
      <c r="W197" s="78">
        <f>'Batt IN'!$E$28*'Batt IN'!$G$32*('Batt IN'!$E$32/12)*(1+'Batt IN'!$F$30)</f>
        <v>1750.0000000000002</v>
      </c>
      <c r="X197" s="78">
        <f>'Batt IN'!$E$28*'Batt IN'!$G$13*('Batt IN'!$E$13/12)*(1+'Batt IN'!$F$30)</f>
        <v>3184.9999999999995</v>
      </c>
      <c r="Y197" s="33">
        <f>S197*'Batt IN'!$G$15*'Batt IN'!$E$28*(1+'Batt IN'!$F$30)</f>
        <v>0</v>
      </c>
      <c r="Z197" s="33">
        <f>'Batt IN'!$G$16*365/12*(1+'Batt IN'!$F$30)</f>
        <v>1824.9999999999998</v>
      </c>
      <c r="AA197" s="33">
        <f>'Batt IN'!$G$17*'Batt IN'!$E$18*'Batt IN'!$G$18/12*(1+'Batt IN'!$F$30)</f>
        <v>1170</v>
      </c>
      <c r="AB197" s="33">
        <f>'Batt IN'!$G$19*'Batt IN'!$E$20*'Batt IN'!$G$20/12*(1+'Batt IN'!$F$30)</f>
        <v>150</v>
      </c>
      <c r="AC197" s="33">
        <f>'Batt IN'!$G$21*(1+'Batt IN'!$F$30)/12</f>
        <v>3500</v>
      </c>
      <c r="AD197" s="33">
        <f>'Batt IN'!$G$22*(1+'Batt IN'!$F$30)/12</f>
        <v>2500</v>
      </c>
      <c r="AE197" s="33">
        <f t="shared" si="49"/>
        <v>30366.783333333333</v>
      </c>
      <c r="AF197" s="33">
        <f>IF('PV IN'!$F$4="Battery Only",0,AE197*'Batt IN'!$E$29)</f>
        <v>25811.765833333331</v>
      </c>
      <c r="AG197" s="33">
        <f>PVCalcs!L197</f>
        <v>25811.765833333331</v>
      </c>
      <c r="AH197" s="33">
        <f t="shared" si="50"/>
        <v>4555.0175000000017</v>
      </c>
      <c r="AI197" s="33"/>
      <c r="AJ197" s="2">
        <f>IF(AND('Batt IN'!$D$53="Yes",$AL$1&gt;=1),IF($C197='Batt IN'!$H$54*12,-'Batt IN'!$F$54,0),0)</f>
        <v>0</v>
      </c>
      <c r="AK197" s="2">
        <f>IF(AND('Batt IN'!$D$53="Yes",$AL$1&gt;=2),IF($C197='Batt IN'!$H$55*12,-'Batt IN'!$F$55,0),0)</f>
        <v>0</v>
      </c>
      <c r="AL197" s="2">
        <f>IF(AND('Batt IN'!$D$53="Yes",$AL$1&gt;=3),IF($C197='Batt IN'!$H$56*12,-'Batt IN'!$F$56,0),0)</f>
        <v>0</v>
      </c>
      <c r="AM197" s="2">
        <f>IF(AND('Batt IN'!$D$53="Yes",$AL$1&gt;=4),IF($C197='Batt IN'!$H$57*12,-'Batt IN'!$F$57,0),0)</f>
        <v>0</v>
      </c>
      <c r="AN197" s="2">
        <f>IF(AND('Batt IN'!$D$53="Yes",$AL$1&gt;=5),IF($C197='Batt IN'!$H$58*12,-'Batt IN'!$F$58,0),0)</f>
        <v>0</v>
      </c>
      <c r="AO197" s="10">
        <f>IF(AND('Batt IN'!$D$44="YES",$C197&lt;='Batt IN'!$E$44*12),-'Batt IN'!$E$28*'Batt IN'!$E$42/12,0)</f>
        <v>0</v>
      </c>
      <c r="AP197" s="10">
        <f>IF(AND('Batt IN'!$D$46="YES",$C197&lt;='Batt IN'!$E$46*12),-'Batt IN'!$E$28*'Batt IN'!$E$45/12,0)</f>
        <v>0</v>
      </c>
      <c r="AR197" s="10">
        <f>BattLoan!M224</f>
        <v>0</v>
      </c>
      <c r="AS197" s="10">
        <f>'Batt IN'!$G$16*365/12*'Batt IN'!$E$16</f>
        <v>76.041666666666671</v>
      </c>
      <c r="AT197" s="10">
        <f>IF(AND('Batt IN'!$E$18&gt;0,'Batt IN'!$G$18&gt;0),'Batt IN'!$E$17*'Batt IN'!$G$17,0)</f>
        <v>119.44619999999999</v>
      </c>
      <c r="AU197" s="10">
        <f>IF(AND('Batt IN'!$E$20&gt;0,'Batt IN'!$G$20&gt;0),'Batt IN'!$E$19*'Batt IN'!$G$19,0)</f>
        <v>231</v>
      </c>
      <c r="AV197" s="10"/>
      <c r="AW197" s="10"/>
      <c r="AX197" s="10">
        <f>IF('Batt IN'!$E$11="Non-Taxable",Q197,0)</f>
        <v>11168.08</v>
      </c>
      <c r="AY197" s="10">
        <f>IF('Batt IN'!$E$11="Non-Taxable",'Batt IN'!$E$28/1000*'Batt IN'!$G$13*('Batt IN'!$E$13/12)*'Batt IN'!$E$12,0)</f>
        <v>244.42220833333334</v>
      </c>
      <c r="AZ197" s="10">
        <f>IF('Batt IN'!$E$11="Non-Taxable",$S197*'Batt IN'!$G$15*'Batt IN'!$E$28*'Batt IN'!$E$14/1000,0)</f>
        <v>0</v>
      </c>
      <c r="BA197" s="10">
        <f>IF('Batt IN'!$E$11="Non-Taxable",'Batt IN'!$E$21*'Batt IN'!$G$21/12,0)</f>
        <v>437.5</v>
      </c>
      <c r="BB197" s="10">
        <f>IF('Batt IN'!$E$11="Non-Taxable",'Batt IN'!$E$22*'Batt IN'!$G$22/12,0)</f>
        <v>1145.8333333333335</v>
      </c>
      <c r="BC197" s="10">
        <f>IF('Batt IN'!$E$11="Taxable",Q197,0)</f>
        <v>0</v>
      </c>
      <c r="BD197" s="10">
        <f>IF('Batt IN'!$E$11="Taxable",'Batt IN'!$E$28/1000*'Batt IN'!$G$13*('Batt IN'!$E$13/12)*'Batt IN'!$E$12,0)</f>
        <v>0</v>
      </c>
      <c r="BE197" s="10">
        <f>IF('Batt IN'!$E$11="Taxable",$S197*'Batt IN'!$G$15*'Batt IN'!$E$28*'Batt IN'!$E$14/1000,0)</f>
        <v>0</v>
      </c>
      <c r="BF197" s="10">
        <f>IF('Batt IN'!$E$11="Taxable",'Batt IN'!$E$21*'Batt IN'!$G$21/12,0)</f>
        <v>0</v>
      </c>
      <c r="BG197" s="10">
        <f>IF('Batt IN'!$E$11="Taxable",'Batt IN'!$E$22*'Batt IN'!$G$22/12,0)</f>
        <v>0</v>
      </c>
      <c r="BK197" s="10">
        <f>IF('Batt IN'!$N$18="Yes",-BattLoan!H225,-BattLoan!L225)</f>
        <v>0</v>
      </c>
      <c r="BL197" s="10">
        <f>IF('Batt IN'!$N$18="Yes",-BattLoan!F225,0)</f>
        <v>0</v>
      </c>
      <c r="BM197" s="10">
        <f>IF(AND('Batt IN'!$D$44="YES",$C197&lt;='Batt IN'!$E$44*12),0,-'Batt IN'!$E$28*'Batt IN'!$E$42/12)</f>
        <v>-83.333333333333329</v>
      </c>
      <c r="BN197" s="10">
        <f>IF(AND('Batt IN'!$D$46="YES",$C197&lt;='Batt IN'!$E$46*12),0,-'Batt IN'!$E$28*'Batt IN'!$E$45/12)</f>
        <v>-166.66666666666666</v>
      </c>
      <c r="BO197" s="2">
        <f>IF(AND('Batt IN'!$D$41="YES",BattCalcs!C197=ROUNDUP('Batt IN'!$H$41*12,)),-'Batt IN'!$E$41*'Batt IN'!$E$28,0)</f>
        <v>0</v>
      </c>
      <c r="BP197" s="2">
        <f>IF(AND('Batt IN'!$D$53="Yes",$AL$1&gt;=1),0,IF($C197='Batt IN'!$H$54*12,-'Batt IN'!$F$54,0))</f>
        <v>0</v>
      </c>
      <c r="BQ197" s="2">
        <f>IF(AND('Batt IN'!$D$53="Yes",$AL$1&gt;=2),0,IF($C197='Batt IN'!$H$55*12,-'Batt IN'!$F$55,0))</f>
        <v>0</v>
      </c>
      <c r="BR197" s="2">
        <f>IF(AND('Batt IN'!$D$53="Yes",$AL$1&gt;=3),0,IF($C197='Batt IN'!$H$56*12,-'Batt IN'!$F$56,0))</f>
        <v>0</v>
      </c>
      <c r="BS197" s="2">
        <f>IF(AND('Batt IN'!$D$53="Yes",$AL$1&gt;=4),0,IF($C197='Batt IN'!$H$57*12,-'Batt IN'!$F$57,0))</f>
        <v>0</v>
      </c>
      <c r="BT197" s="2">
        <f>IF(AND('Batt IN'!$D$53="Yes",$AL$1&gt;=5),0,IF($C197='Batt IN'!$H$58*12,-'Batt IN'!$F$58,0))</f>
        <v>0</v>
      </c>
      <c r="BU197" s="2">
        <f>-AH197*PVCalcs!F197</f>
        <v>-374.12248175581863</v>
      </c>
      <c r="BV197" s="2">
        <f>-'Batt IN'!$E$47</f>
        <v>-150</v>
      </c>
      <c r="BW197" s="2">
        <f>-'Batt IN'!$E$49</f>
        <v>-2250</v>
      </c>
      <c r="BX197" s="2">
        <f>IF('Batt IN'!$H$50="No",-(BC197*'Batt IN'!$E$50),-(BC197+BE197)*'Batt IN'!$E$50)</f>
        <v>0</v>
      </c>
      <c r="BY197" s="2">
        <f>IF(C197='Batt IN'!$H$43*12,-'Batt IN'!$E$43,0)</f>
        <v>0</v>
      </c>
      <c r="BZ197" s="38"/>
      <c r="CA197" s="10">
        <f t="shared" si="51"/>
        <v>13422.323408333334</v>
      </c>
      <c r="CB197" s="2">
        <f t="shared" ref="CB197:CB260" si="55">SUM(BJ197:BY197)</f>
        <v>-3024.1224817558186</v>
      </c>
      <c r="CC197" s="45">
        <f t="shared" ref="CC197:CC260" si="56">SUM(CA197:CB197)</f>
        <v>10398.200926577516</v>
      </c>
      <c r="CD197" s="43"/>
      <c r="CE197" s="2">
        <f t="shared" si="52"/>
        <v>0</v>
      </c>
      <c r="CF197" s="2">
        <f t="shared" ref="CF197:CF260" si="57">SUM(BL197:BY197)</f>
        <v>-3024.1224817558186</v>
      </c>
      <c r="CG197" s="2"/>
      <c r="CH197" s="2">
        <f t="shared" ref="CH197:CH260" si="58">SUM(CE197:CG197)</f>
        <v>-3024.1224817558186</v>
      </c>
      <c r="CI197" s="45">
        <f>-CH197*'Batt IN'!$E$7</f>
        <v>635.06572116872189</v>
      </c>
      <c r="CJ197" s="48"/>
      <c r="CK197" s="45">
        <f>IF('Batt IN'!$F$4="PV Only",0,IF(C197&gt;'Batt IN'!$H$43*12,0,CC197+CI197))</f>
        <v>0</v>
      </c>
      <c r="CM197" s="10">
        <f t="shared" ref="CM197:CM260" si="59">CM196+CK197</f>
        <v>0</v>
      </c>
      <c r="CN197" s="2">
        <f>CK197/(1+('Batt IN'!$G$8))^(C197)</f>
        <v>0</v>
      </c>
      <c r="CO197" s="2">
        <f>IF(C197&lt;='Batt IN'!$O$30*12,CN197+CO196,NA())</f>
        <v>0</v>
      </c>
      <c r="CQ197" s="2">
        <f>CK197/((1+('Batt IN'!$E$8/12))^BattCalcs!C197)</f>
        <v>0</v>
      </c>
      <c r="CS197" s="10">
        <f t="shared" ref="CS197:CS260" si="60">CB197</f>
        <v>-3024.1224817558186</v>
      </c>
      <c r="CT197" s="10">
        <f t="shared" ref="CT197:CT260" si="61">AV197+BH197</f>
        <v>0</v>
      </c>
      <c r="CU197" s="10">
        <f t="shared" ref="CU197:CU260" si="62">CS197+CT197</f>
        <v>-3024.1224817558186</v>
      </c>
      <c r="CV197" s="10">
        <f t="shared" ref="CV197:CV260" si="63">SUM(BL197:BX197)</f>
        <v>-3024.1224817558186</v>
      </c>
      <c r="CW197" s="2">
        <f t="shared" ref="CW197:CW260" si="64">CG197</f>
        <v>0</v>
      </c>
      <c r="CX197" s="2">
        <f>-(SUM(CV197:CW197)*'PV IN'!$E$8)</f>
        <v>635.06572116872189</v>
      </c>
      <c r="CY197" s="2">
        <f t="shared" ref="CY197:CY260" si="65">CU197+CX197</f>
        <v>-2389.0567605870965</v>
      </c>
      <c r="CZ197" s="2">
        <f>IF(C197&lt;='Batt IN'!$H$43*12,CY197/(1+('PV IN'!$G$9))^(C197),0)</f>
        <v>-1090.0135784718279</v>
      </c>
      <c r="DA197" s="33">
        <f>IF(C197&lt;='Batt IN'!$H$43*12,AE197,0)</f>
        <v>30366.783333333333</v>
      </c>
    </row>
    <row r="198" spans="1:105" x14ac:dyDescent="0.25">
      <c r="A198">
        <f>IF(C198&lt;='Batt IN'!$H$43*12,C198,"")</f>
        <v>194</v>
      </c>
      <c r="C198">
        <v>194</v>
      </c>
      <c r="D198" s="21">
        <v>730</v>
      </c>
      <c r="E198" s="1">
        <f>1-'Batt IN'!$E$31</f>
        <v>2.0000000000000018E-2</v>
      </c>
      <c r="F198" s="12">
        <f>('Batt IN'!$E$33*365)/8760</f>
        <v>0</v>
      </c>
      <c r="G198" s="22">
        <f>'Batt IN'!$E$32/8760</f>
        <v>5.7077625570776253E-3</v>
      </c>
      <c r="H198" s="22">
        <f>'Batt IN'!$E$13/8760</f>
        <v>5.5936073059360729E-3</v>
      </c>
      <c r="I198" s="23">
        <f>IF(C198&lt;='Batt IN'!$G$14*12,'Batt IN'!$E$15/8760*'Batt IN'!$G$15,0)</f>
        <v>0</v>
      </c>
      <c r="J198" s="12">
        <f>Z198/'Batt IN'!$E$27/730</f>
        <v>2.4999999999999996E-3</v>
      </c>
      <c r="K198" s="23">
        <f>AA198/'Batt IN'!$E$27/730</f>
        <v>1.6027397260273972E-3</v>
      </c>
      <c r="L198" s="23">
        <f>AB198/'Batt IN'!$E$27/730</f>
        <v>2.0547945205479451E-4</v>
      </c>
      <c r="M198" s="23">
        <f>AC198/'Batt IN'!$E$27/730</f>
        <v>4.7945205479452057E-3</v>
      </c>
      <c r="N198" s="23">
        <f>AD198/'Batt IN'!$E$27/730</f>
        <v>3.4246575342465752E-3</v>
      </c>
      <c r="O198" s="12">
        <f t="shared" si="53"/>
        <v>4.3828767123287697E-2</v>
      </c>
      <c r="P198" s="21">
        <f t="shared" si="54"/>
        <v>698.005</v>
      </c>
      <c r="Q198" s="2">
        <f>IF('Batt IN'!$E$27*'Batt IN'!$E$24&lt;='Batt IN'!$E$28,(('Batt IN'!$E$23*'Batt IN'!$E$27*'Batt IN'!$E$24)/1000)*P198,(('Batt IN'!$E$23*'Batt IN'!$E$28*'Batt IN'!$E$24)/1000)*P198)</f>
        <v>11168.08</v>
      </c>
      <c r="R198" s="2"/>
      <c r="S198" s="77">
        <f>IF(C198&lt;='Batt IN'!$G$14*12,'Batt IN'!$E$15/12,0)</f>
        <v>0</v>
      </c>
      <c r="T198" s="77"/>
      <c r="U198" s="80">
        <f>'Batt IN'!$E$28*('Batt IN'!$G$24/24)*730*(1-O198)</f>
        <v>81433.916666666657</v>
      </c>
      <c r="V198" s="78">
        <f>U198*'Batt IN'!$F$30</f>
        <v>16286.783333333333</v>
      </c>
      <c r="W198" s="78">
        <f>'Batt IN'!$E$28*'Batt IN'!$G$32*('Batt IN'!$E$32/12)*(1+'Batt IN'!$F$30)</f>
        <v>1750.0000000000002</v>
      </c>
      <c r="X198" s="78">
        <f>'Batt IN'!$E$28*'Batt IN'!$G$13*('Batt IN'!$E$13/12)*(1+'Batt IN'!$F$30)</f>
        <v>3184.9999999999995</v>
      </c>
      <c r="Y198" s="33">
        <f>S198*'Batt IN'!$G$15*'Batt IN'!$E$28*(1+'Batt IN'!$F$30)</f>
        <v>0</v>
      </c>
      <c r="Z198" s="33">
        <f>'Batt IN'!$G$16*365/12*(1+'Batt IN'!$F$30)</f>
        <v>1824.9999999999998</v>
      </c>
      <c r="AA198" s="33">
        <f>'Batt IN'!$G$17*'Batt IN'!$E$18*'Batt IN'!$G$18/12*(1+'Batt IN'!$F$30)</f>
        <v>1170</v>
      </c>
      <c r="AB198" s="33">
        <f>'Batt IN'!$G$19*'Batt IN'!$E$20*'Batt IN'!$G$20/12*(1+'Batt IN'!$F$30)</f>
        <v>150</v>
      </c>
      <c r="AC198" s="33">
        <f>'Batt IN'!$G$21*(1+'Batt IN'!$F$30)/12</f>
        <v>3500</v>
      </c>
      <c r="AD198" s="33">
        <f>'Batt IN'!$G$22*(1+'Batt IN'!$F$30)/12</f>
        <v>2500</v>
      </c>
      <c r="AE198" s="33">
        <f t="shared" ref="AE198:AE261" si="66">SUM(V198:AD198)</f>
        <v>30366.783333333333</v>
      </c>
      <c r="AF198" s="33">
        <f>IF('PV IN'!$F$4="Battery Only",0,AE198*'Batt IN'!$E$29)</f>
        <v>25811.765833333331</v>
      </c>
      <c r="AG198" s="33">
        <f>PVCalcs!L198</f>
        <v>25811.765833333331</v>
      </c>
      <c r="AH198" s="33">
        <f t="shared" ref="AH198:AH261" si="67">AE198-AG198</f>
        <v>4555.0175000000017</v>
      </c>
      <c r="AI198" s="33"/>
      <c r="AJ198" s="2">
        <f>IF(AND('Batt IN'!$D$53="Yes",$AL$1&gt;=1),IF($C198='Batt IN'!$H$54*12,-'Batt IN'!$F$54,0),0)</f>
        <v>0</v>
      </c>
      <c r="AK198" s="2">
        <f>IF(AND('Batt IN'!$D$53="Yes",$AL$1&gt;=2),IF($C198='Batt IN'!$H$55*12,-'Batt IN'!$F$55,0),0)</f>
        <v>0</v>
      </c>
      <c r="AL198" s="2">
        <f>IF(AND('Batt IN'!$D$53="Yes",$AL$1&gt;=3),IF($C198='Batt IN'!$H$56*12,-'Batt IN'!$F$56,0),0)</f>
        <v>0</v>
      </c>
      <c r="AM198" s="2">
        <f>IF(AND('Batt IN'!$D$53="Yes",$AL$1&gt;=4),IF($C198='Batt IN'!$H$57*12,-'Batt IN'!$F$57,0),0)</f>
        <v>0</v>
      </c>
      <c r="AN198" s="2">
        <f>IF(AND('Batt IN'!$D$53="Yes",$AL$1&gt;=5),IF($C198='Batt IN'!$H$58*12,-'Batt IN'!$F$58,0),0)</f>
        <v>0</v>
      </c>
      <c r="AO198" s="10">
        <f>IF(AND('Batt IN'!$D$44="YES",$C198&lt;='Batt IN'!$E$44*12),-'Batt IN'!$E$28*'Batt IN'!$E$42/12,0)</f>
        <v>0</v>
      </c>
      <c r="AP198" s="10">
        <f>IF(AND('Batt IN'!$D$46="YES",$C198&lt;='Batt IN'!$E$46*12),-'Batt IN'!$E$28*'Batt IN'!$E$45/12,0)</f>
        <v>0</v>
      </c>
      <c r="AR198" s="10">
        <f>BattLoan!M225</f>
        <v>0</v>
      </c>
      <c r="AS198" s="10">
        <f>'Batt IN'!$G$16*365/12*'Batt IN'!$E$16</f>
        <v>76.041666666666671</v>
      </c>
      <c r="AT198" s="10">
        <f>IF(AND('Batt IN'!$E$18&gt;0,'Batt IN'!$G$18&gt;0),'Batt IN'!$E$17*'Batt IN'!$G$17,0)</f>
        <v>119.44619999999999</v>
      </c>
      <c r="AU198" s="10">
        <f>IF(AND('Batt IN'!$E$20&gt;0,'Batt IN'!$G$20&gt;0),'Batt IN'!$E$19*'Batt IN'!$G$19,0)</f>
        <v>231</v>
      </c>
      <c r="AV198" s="10"/>
      <c r="AW198" s="10"/>
      <c r="AX198" s="10">
        <f>IF('Batt IN'!$E$11="Non-Taxable",Q198,0)</f>
        <v>11168.08</v>
      </c>
      <c r="AY198" s="10">
        <f>IF('Batt IN'!$E$11="Non-Taxable",'Batt IN'!$E$28/1000*'Batt IN'!$G$13*('Batt IN'!$E$13/12)*'Batt IN'!$E$12,0)</f>
        <v>244.42220833333334</v>
      </c>
      <c r="AZ198" s="10">
        <f>IF('Batt IN'!$E$11="Non-Taxable",$S198*'Batt IN'!$G$15*'Batt IN'!$E$28*'Batt IN'!$E$14/1000,0)</f>
        <v>0</v>
      </c>
      <c r="BA198" s="10">
        <f>IF('Batt IN'!$E$11="Non-Taxable",'Batt IN'!$E$21*'Batt IN'!$G$21/12,0)</f>
        <v>437.5</v>
      </c>
      <c r="BB198" s="10">
        <f>IF('Batt IN'!$E$11="Non-Taxable",'Batt IN'!$E$22*'Batt IN'!$G$22/12,0)</f>
        <v>1145.8333333333335</v>
      </c>
      <c r="BC198" s="10">
        <f>IF('Batt IN'!$E$11="Taxable",Q198,0)</f>
        <v>0</v>
      </c>
      <c r="BD198" s="10">
        <f>IF('Batt IN'!$E$11="Taxable",'Batt IN'!$E$28/1000*'Batt IN'!$G$13*('Batt IN'!$E$13/12)*'Batt IN'!$E$12,0)</f>
        <v>0</v>
      </c>
      <c r="BE198" s="10">
        <f>IF('Batt IN'!$E$11="Taxable",$S198*'Batt IN'!$G$15*'Batt IN'!$E$28*'Batt IN'!$E$14/1000,0)</f>
        <v>0</v>
      </c>
      <c r="BF198" s="10">
        <f>IF('Batt IN'!$E$11="Taxable",'Batt IN'!$E$21*'Batt IN'!$G$21/12,0)</f>
        <v>0</v>
      </c>
      <c r="BG198" s="10">
        <f>IF('Batt IN'!$E$11="Taxable",'Batt IN'!$E$22*'Batt IN'!$G$22/12,0)</f>
        <v>0</v>
      </c>
      <c r="BK198" s="10">
        <f>IF('Batt IN'!$N$18="Yes",-BattLoan!H226,-BattLoan!L226)</f>
        <v>0</v>
      </c>
      <c r="BL198" s="10">
        <f>IF('Batt IN'!$N$18="Yes",-BattLoan!F226,0)</f>
        <v>0</v>
      </c>
      <c r="BM198" s="10">
        <f>IF(AND('Batt IN'!$D$44="YES",$C198&lt;='Batt IN'!$E$44*12),0,-'Batt IN'!$E$28*'Batt IN'!$E$42/12)</f>
        <v>-83.333333333333329</v>
      </c>
      <c r="BN198" s="10">
        <f>IF(AND('Batt IN'!$D$46="YES",$C198&lt;='Batt IN'!$E$46*12),0,-'Batt IN'!$E$28*'Batt IN'!$E$45/12)</f>
        <v>-166.66666666666666</v>
      </c>
      <c r="BO198" s="2">
        <f>IF(AND('Batt IN'!$D$41="YES",BattCalcs!C198=ROUNDUP('Batt IN'!$H$41*12,)),-'Batt IN'!$E$41*'Batt IN'!$E$28,0)</f>
        <v>0</v>
      </c>
      <c r="BP198" s="2">
        <f>IF(AND('Batt IN'!$D$53="Yes",$AL$1&gt;=1),0,IF($C198='Batt IN'!$H$54*12,-'Batt IN'!$F$54,0))</f>
        <v>0</v>
      </c>
      <c r="BQ198" s="2">
        <f>IF(AND('Batt IN'!$D$53="Yes",$AL$1&gt;=2),0,IF($C198='Batt IN'!$H$55*12,-'Batt IN'!$F$55,0))</f>
        <v>0</v>
      </c>
      <c r="BR198" s="2">
        <f>IF(AND('Batt IN'!$D$53="Yes",$AL$1&gt;=3),0,IF($C198='Batt IN'!$H$56*12,-'Batt IN'!$F$56,0))</f>
        <v>0</v>
      </c>
      <c r="BS198" s="2">
        <f>IF(AND('Batt IN'!$D$53="Yes",$AL$1&gt;=4),0,IF($C198='Batt IN'!$H$57*12,-'Batt IN'!$F$57,0))</f>
        <v>0</v>
      </c>
      <c r="BT198" s="2">
        <f>IF(AND('Batt IN'!$D$53="Yes",$AL$1&gt;=5),0,IF($C198='Batt IN'!$H$58*12,-'Batt IN'!$F$58,0))</f>
        <v>0</v>
      </c>
      <c r="BU198" s="2">
        <f>-AH198*PVCalcs!F198</f>
        <v>-374.12248175581863</v>
      </c>
      <c r="BV198" s="2">
        <f>-'Batt IN'!$E$47</f>
        <v>-150</v>
      </c>
      <c r="BW198" s="2">
        <f>-'Batt IN'!$E$49</f>
        <v>-2250</v>
      </c>
      <c r="BX198" s="2">
        <f>IF('Batt IN'!$H$50="No",-(BC198*'Batt IN'!$E$50),-(BC198+BE198)*'Batt IN'!$E$50)</f>
        <v>0</v>
      </c>
      <c r="BY198" s="2">
        <f>IF(C198='Batt IN'!$H$43*12,-'Batt IN'!$E$43,0)</f>
        <v>0</v>
      </c>
      <c r="BZ198" s="38"/>
      <c r="CA198" s="10">
        <f t="shared" si="51"/>
        <v>13422.323408333334</v>
      </c>
      <c r="CB198" s="2">
        <f t="shared" si="55"/>
        <v>-3024.1224817558186</v>
      </c>
      <c r="CC198" s="45">
        <f t="shared" si="56"/>
        <v>10398.200926577516</v>
      </c>
      <c r="CD198" s="43"/>
      <c r="CE198" s="2">
        <f t="shared" si="52"/>
        <v>0</v>
      </c>
      <c r="CF198" s="2">
        <f t="shared" si="57"/>
        <v>-3024.1224817558186</v>
      </c>
      <c r="CG198" s="2"/>
      <c r="CH198" s="2">
        <f t="shared" si="58"/>
        <v>-3024.1224817558186</v>
      </c>
      <c r="CI198" s="45">
        <f>-CH198*'Batt IN'!$E$7</f>
        <v>635.06572116872189</v>
      </c>
      <c r="CJ198" s="48"/>
      <c r="CK198" s="45">
        <f>IF('Batt IN'!$F$4="PV Only",0,IF(C198&gt;'Batt IN'!$H$43*12,0,CC198+CI198))</f>
        <v>0</v>
      </c>
      <c r="CM198" s="10">
        <f t="shared" si="59"/>
        <v>0</v>
      </c>
      <c r="CN198" s="2">
        <f>CK198/(1+('Batt IN'!$G$8))^(C198)</f>
        <v>0</v>
      </c>
      <c r="CO198" s="2">
        <f>IF(C198&lt;='Batt IN'!$O$30*12,CN198+CO197,NA())</f>
        <v>0</v>
      </c>
      <c r="CQ198" s="2">
        <f>CK198/((1+('Batt IN'!$E$8/12))^BattCalcs!C198)</f>
        <v>0</v>
      </c>
      <c r="CS198" s="10">
        <f t="shared" si="60"/>
        <v>-3024.1224817558186</v>
      </c>
      <c r="CT198" s="10">
        <f t="shared" si="61"/>
        <v>0</v>
      </c>
      <c r="CU198" s="10">
        <f t="shared" si="62"/>
        <v>-3024.1224817558186</v>
      </c>
      <c r="CV198" s="10">
        <f t="shared" si="63"/>
        <v>-3024.1224817558186</v>
      </c>
      <c r="CW198" s="2">
        <f t="shared" si="64"/>
        <v>0</v>
      </c>
      <c r="CX198" s="2">
        <f>-(SUM(CV198:CW198)*'PV IN'!$E$8)</f>
        <v>635.06572116872189</v>
      </c>
      <c r="CY198" s="2">
        <f t="shared" si="65"/>
        <v>-2389.0567605870965</v>
      </c>
      <c r="CZ198" s="2">
        <f>IF(C198&lt;='Batt IN'!$H$43*12,CY198/(1+('PV IN'!$G$9))^(C198),0)</f>
        <v>-1085.5907473885836</v>
      </c>
      <c r="DA198" s="33">
        <f>IF(C198&lt;='Batt IN'!$H$43*12,AE198,0)</f>
        <v>30366.783333333333</v>
      </c>
    </row>
    <row r="199" spans="1:105" x14ac:dyDescent="0.25">
      <c r="A199">
        <f>IF(C199&lt;='Batt IN'!$H$43*12,C199,"")</f>
        <v>195</v>
      </c>
      <c r="C199">
        <v>195</v>
      </c>
      <c r="D199" s="21">
        <v>730</v>
      </c>
      <c r="E199" s="1">
        <f>1-'Batt IN'!$E$31</f>
        <v>2.0000000000000018E-2</v>
      </c>
      <c r="F199" s="12">
        <f>('Batt IN'!$E$33*365)/8760</f>
        <v>0</v>
      </c>
      <c r="G199" s="22">
        <f>'Batt IN'!$E$32/8760</f>
        <v>5.7077625570776253E-3</v>
      </c>
      <c r="H199" s="22">
        <f>'Batt IN'!$E$13/8760</f>
        <v>5.5936073059360729E-3</v>
      </c>
      <c r="I199" s="23">
        <f>IF(C199&lt;='Batt IN'!$G$14*12,'Batt IN'!$E$15/8760*'Batt IN'!$G$15,0)</f>
        <v>0</v>
      </c>
      <c r="J199" s="12">
        <f>Z199/'Batt IN'!$E$27/730</f>
        <v>2.4999999999999996E-3</v>
      </c>
      <c r="K199" s="23">
        <f>AA199/'Batt IN'!$E$27/730</f>
        <v>1.6027397260273972E-3</v>
      </c>
      <c r="L199" s="23">
        <f>AB199/'Batt IN'!$E$27/730</f>
        <v>2.0547945205479451E-4</v>
      </c>
      <c r="M199" s="23">
        <f>AC199/'Batt IN'!$E$27/730</f>
        <v>4.7945205479452057E-3</v>
      </c>
      <c r="N199" s="23">
        <f>AD199/'Batt IN'!$E$27/730</f>
        <v>3.4246575342465752E-3</v>
      </c>
      <c r="O199" s="12">
        <f t="shared" si="53"/>
        <v>4.3828767123287697E-2</v>
      </c>
      <c r="P199" s="21">
        <f t="shared" si="54"/>
        <v>698.005</v>
      </c>
      <c r="Q199" s="2">
        <f>IF('Batt IN'!$E$27*'Batt IN'!$E$24&lt;='Batt IN'!$E$28,(('Batt IN'!$E$23*'Batt IN'!$E$27*'Batt IN'!$E$24)/1000)*P199,(('Batt IN'!$E$23*'Batt IN'!$E$28*'Batt IN'!$E$24)/1000)*P199)</f>
        <v>11168.08</v>
      </c>
      <c r="R199" s="2"/>
      <c r="S199" s="77">
        <f>IF(C199&lt;='Batt IN'!$G$14*12,'Batt IN'!$E$15/12,0)</f>
        <v>0</v>
      </c>
      <c r="T199" s="77"/>
      <c r="U199" s="80">
        <f>'Batt IN'!$E$28*('Batt IN'!$G$24/24)*730*(1-O199)</f>
        <v>81433.916666666657</v>
      </c>
      <c r="V199" s="78">
        <f>U199*'Batt IN'!$F$30</f>
        <v>16286.783333333333</v>
      </c>
      <c r="W199" s="78">
        <f>'Batt IN'!$E$28*'Batt IN'!$G$32*('Batt IN'!$E$32/12)*(1+'Batt IN'!$F$30)</f>
        <v>1750.0000000000002</v>
      </c>
      <c r="X199" s="78">
        <f>'Batt IN'!$E$28*'Batt IN'!$G$13*('Batt IN'!$E$13/12)*(1+'Batt IN'!$F$30)</f>
        <v>3184.9999999999995</v>
      </c>
      <c r="Y199" s="33">
        <f>S199*'Batt IN'!$G$15*'Batt IN'!$E$28*(1+'Batt IN'!$F$30)</f>
        <v>0</v>
      </c>
      <c r="Z199" s="33">
        <f>'Batt IN'!$G$16*365/12*(1+'Batt IN'!$F$30)</f>
        <v>1824.9999999999998</v>
      </c>
      <c r="AA199" s="33">
        <f>'Batt IN'!$G$17*'Batt IN'!$E$18*'Batt IN'!$G$18/12*(1+'Batt IN'!$F$30)</f>
        <v>1170</v>
      </c>
      <c r="AB199" s="33">
        <f>'Batt IN'!$G$19*'Batt IN'!$E$20*'Batt IN'!$G$20/12*(1+'Batt IN'!$F$30)</f>
        <v>150</v>
      </c>
      <c r="AC199" s="33">
        <f>'Batt IN'!$G$21*(1+'Batt IN'!$F$30)/12</f>
        <v>3500</v>
      </c>
      <c r="AD199" s="33">
        <f>'Batt IN'!$G$22*(1+'Batt IN'!$F$30)/12</f>
        <v>2500</v>
      </c>
      <c r="AE199" s="33">
        <f t="shared" si="66"/>
        <v>30366.783333333333</v>
      </c>
      <c r="AF199" s="33">
        <f>IF('PV IN'!$F$4="Battery Only",0,AE199*'Batt IN'!$E$29)</f>
        <v>25811.765833333331</v>
      </c>
      <c r="AG199" s="33">
        <f>PVCalcs!L199</f>
        <v>25811.765833333331</v>
      </c>
      <c r="AH199" s="33">
        <f t="shared" si="67"/>
        <v>4555.0175000000017</v>
      </c>
      <c r="AI199" s="33"/>
      <c r="AJ199" s="2">
        <f>IF(AND('Batt IN'!$D$53="Yes",$AL$1&gt;=1),IF($C199='Batt IN'!$H$54*12,-'Batt IN'!$F$54,0),0)</f>
        <v>0</v>
      </c>
      <c r="AK199" s="2">
        <f>IF(AND('Batt IN'!$D$53="Yes",$AL$1&gt;=2),IF($C199='Batt IN'!$H$55*12,-'Batt IN'!$F$55,0),0)</f>
        <v>0</v>
      </c>
      <c r="AL199" s="2">
        <f>IF(AND('Batt IN'!$D$53="Yes",$AL$1&gt;=3),IF($C199='Batt IN'!$H$56*12,-'Batt IN'!$F$56,0),0)</f>
        <v>0</v>
      </c>
      <c r="AM199" s="2">
        <f>IF(AND('Batt IN'!$D$53="Yes",$AL$1&gt;=4),IF($C199='Batt IN'!$H$57*12,-'Batt IN'!$F$57,0),0)</f>
        <v>0</v>
      </c>
      <c r="AN199" s="2">
        <f>IF(AND('Batt IN'!$D$53="Yes",$AL$1&gt;=5),IF($C199='Batt IN'!$H$58*12,-'Batt IN'!$F$58,0),0)</f>
        <v>0</v>
      </c>
      <c r="AO199" s="10">
        <f>IF(AND('Batt IN'!$D$44="YES",$C199&lt;='Batt IN'!$E$44*12),-'Batt IN'!$E$28*'Batt IN'!$E$42/12,0)</f>
        <v>0</v>
      </c>
      <c r="AP199" s="10">
        <f>IF(AND('Batt IN'!$D$46="YES",$C199&lt;='Batt IN'!$E$46*12),-'Batt IN'!$E$28*'Batt IN'!$E$45/12,0)</f>
        <v>0</v>
      </c>
      <c r="AR199" s="10">
        <f>BattLoan!M226</f>
        <v>0</v>
      </c>
      <c r="AS199" s="10">
        <f>'Batt IN'!$G$16*365/12*'Batt IN'!$E$16</f>
        <v>76.041666666666671</v>
      </c>
      <c r="AT199" s="10">
        <f>IF(AND('Batt IN'!$E$18&gt;0,'Batt IN'!$G$18&gt;0),'Batt IN'!$E$17*'Batt IN'!$G$17,0)</f>
        <v>119.44619999999999</v>
      </c>
      <c r="AU199" s="10">
        <f>IF(AND('Batt IN'!$E$20&gt;0,'Batt IN'!$G$20&gt;0),'Batt IN'!$E$19*'Batt IN'!$G$19,0)</f>
        <v>231</v>
      </c>
      <c r="AV199" s="10"/>
      <c r="AW199" s="10"/>
      <c r="AX199" s="10">
        <f>IF('Batt IN'!$E$11="Non-Taxable",Q199,0)</f>
        <v>11168.08</v>
      </c>
      <c r="AY199" s="10">
        <f>IF('Batt IN'!$E$11="Non-Taxable",'Batt IN'!$E$28/1000*'Batt IN'!$G$13*('Batt IN'!$E$13/12)*'Batt IN'!$E$12,0)</f>
        <v>244.42220833333334</v>
      </c>
      <c r="AZ199" s="10">
        <f>IF('Batt IN'!$E$11="Non-Taxable",$S199*'Batt IN'!$G$15*'Batt IN'!$E$28*'Batt IN'!$E$14/1000,0)</f>
        <v>0</v>
      </c>
      <c r="BA199" s="10">
        <f>IF('Batt IN'!$E$11="Non-Taxable",'Batt IN'!$E$21*'Batt IN'!$G$21/12,0)</f>
        <v>437.5</v>
      </c>
      <c r="BB199" s="10">
        <f>IF('Batt IN'!$E$11="Non-Taxable",'Batt IN'!$E$22*'Batt IN'!$G$22/12,0)</f>
        <v>1145.8333333333335</v>
      </c>
      <c r="BC199" s="10">
        <f>IF('Batt IN'!$E$11="Taxable",Q199,0)</f>
        <v>0</v>
      </c>
      <c r="BD199" s="10">
        <f>IF('Batt IN'!$E$11="Taxable",'Batt IN'!$E$28/1000*'Batt IN'!$G$13*('Batt IN'!$E$13/12)*'Batt IN'!$E$12,0)</f>
        <v>0</v>
      </c>
      <c r="BE199" s="10">
        <f>IF('Batt IN'!$E$11="Taxable",$S199*'Batt IN'!$G$15*'Batt IN'!$E$28*'Batt IN'!$E$14/1000,0)</f>
        <v>0</v>
      </c>
      <c r="BF199" s="10">
        <f>IF('Batt IN'!$E$11="Taxable",'Batt IN'!$E$21*'Batt IN'!$G$21/12,0)</f>
        <v>0</v>
      </c>
      <c r="BG199" s="10">
        <f>IF('Batt IN'!$E$11="Taxable",'Batt IN'!$E$22*'Batt IN'!$G$22/12,0)</f>
        <v>0</v>
      </c>
      <c r="BK199" s="10">
        <f>IF('Batt IN'!$N$18="Yes",-BattLoan!H227,-BattLoan!L227)</f>
        <v>0</v>
      </c>
      <c r="BL199" s="10">
        <f>IF('Batt IN'!$N$18="Yes",-BattLoan!F227,0)</f>
        <v>0</v>
      </c>
      <c r="BM199" s="10">
        <f>IF(AND('Batt IN'!$D$44="YES",$C199&lt;='Batt IN'!$E$44*12),0,-'Batt IN'!$E$28*'Batt IN'!$E$42/12)</f>
        <v>-83.333333333333329</v>
      </c>
      <c r="BN199" s="10">
        <f>IF(AND('Batt IN'!$D$46="YES",$C199&lt;='Batt IN'!$E$46*12),0,-'Batt IN'!$E$28*'Batt IN'!$E$45/12)</f>
        <v>-166.66666666666666</v>
      </c>
      <c r="BO199" s="2">
        <f>IF(AND('Batt IN'!$D$41="YES",BattCalcs!C199=ROUNDUP('Batt IN'!$H$41*12,)),-'Batt IN'!$E$41*'Batt IN'!$E$28,0)</f>
        <v>0</v>
      </c>
      <c r="BP199" s="2">
        <f>IF(AND('Batt IN'!$D$53="Yes",$AL$1&gt;=1),0,IF($C199='Batt IN'!$H$54*12,-'Batt IN'!$F$54,0))</f>
        <v>0</v>
      </c>
      <c r="BQ199" s="2">
        <f>IF(AND('Batt IN'!$D$53="Yes",$AL$1&gt;=2),0,IF($C199='Batt IN'!$H$55*12,-'Batt IN'!$F$55,0))</f>
        <v>0</v>
      </c>
      <c r="BR199" s="2">
        <f>IF(AND('Batt IN'!$D$53="Yes",$AL$1&gt;=3),0,IF($C199='Batt IN'!$H$56*12,-'Batt IN'!$F$56,0))</f>
        <v>0</v>
      </c>
      <c r="BS199" s="2">
        <f>IF(AND('Batt IN'!$D$53="Yes",$AL$1&gt;=4),0,IF($C199='Batt IN'!$H$57*12,-'Batt IN'!$F$57,0))</f>
        <v>0</v>
      </c>
      <c r="BT199" s="2">
        <f>IF(AND('Batt IN'!$D$53="Yes",$AL$1&gt;=5),0,IF($C199='Batt IN'!$H$58*12,-'Batt IN'!$F$58,0))</f>
        <v>0</v>
      </c>
      <c r="BU199" s="2">
        <f>-AH199*PVCalcs!F199</f>
        <v>-374.12248175581863</v>
      </c>
      <c r="BV199" s="2">
        <f>-'Batt IN'!$E$47</f>
        <v>-150</v>
      </c>
      <c r="BW199" s="2">
        <f>-'Batt IN'!$E$49</f>
        <v>-2250</v>
      </c>
      <c r="BX199" s="2">
        <f>IF('Batt IN'!$H$50="No",-(BC199*'Batt IN'!$E$50),-(BC199+BE199)*'Batt IN'!$E$50)</f>
        <v>0</v>
      </c>
      <c r="BY199" s="2">
        <f>IF(C199='Batt IN'!$H$43*12,-'Batt IN'!$E$43,0)</f>
        <v>0</v>
      </c>
      <c r="BZ199" s="38"/>
      <c r="CA199" s="10">
        <f t="shared" si="51"/>
        <v>13422.323408333334</v>
      </c>
      <c r="CB199" s="2">
        <f t="shared" si="55"/>
        <v>-3024.1224817558186</v>
      </c>
      <c r="CC199" s="45">
        <f t="shared" si="56"/>
        <v>10398.200926577516</v>
      </c>
      <c r="CD199" s="43"/>
      <c r="CE199" s="2">
        <f t="shared" si="52"/>
        <v>0</v>
      </c>
      <c r="CF199" s="2">
        <f t="shared" si="57"/>
        <v>-3024.1224817558186</v>
      </c>
      <c r="CG199" s="2"/>
      <c r="CH199" s="2">
        <f t="shared" si="58"/>
        <v>-3024.1224817558186</v>
      </c>
      <c r="CI199" s="45">
        <f>-CH199*'Batt IN'!$E$7</f>
        <v>635.06572116872189</v>
      </c>
      <c r="CJ199" s="48"/>
      <c r="CK199" s="45">
        <f>IF('Batt IN'!$F$4="PV Only",0,IF(C199&gt;'Batt IN'!$H$43*12,0,CC199+CI199))</f>
        <v>0</v>
      </c>
      <c r="CM199" s="10">
        <f t="shared" si="59"/>
        <v>0</v>
      </c>
      <c r="CN199" s="2">
        <f>CK199/(1+('Batt IN'!$G$8))^(C199)</f>
        <v>0</v>
      </c>
      <c r="CO199" s="2">
        <f>IF(C199&lt;='Batt IN'!$O$30*12,CN199+CO198,NA())</f>
        <v>0</v>
      </c>
      <c r="CQ199" s="2">
        <f>CK199/((1+('Batt IN'!$E$8/12))^BattCalcs!C199)</f>
        <v>0</v>
      </c>
      <c r="CS199" s="10">
        <f t="shared" si="60"/>
        <v>-3024.1224817558186</v>
      </c>
      <c r="CT199" s="10">
        <f t="shared" si="61"/>
        <v>0</v>
      </c>
      <c r="CU199" s="10">
        <f t="shared" si="62"/>
        <v>-3024.1224817558186</v>
      </c>
      <c r="CV199" s="10">
        <f t="shared" si="63"/>
        <v>-3024.1224817558186</v>
      </c>
      <c r="CW199" s="2">
        <f t="shared" si="64"/>
        <v>0</v>
      </c>
      <c r="CX199" s="2">
        <f>-(SUM(CV199:CW199)*'PV IN'!$E$8)</f>
        <v>635.06572116872189</v>
      </c>
      <c r="CY199" s="2">
        <f t="shared" si="65"/>
        <v>-2389.0567605870965</v>
      </c>
      <c r="CZ199" s="2">
        <f>IF(C199&lt;='Batt IN'!$H$43*12,CY199/(1+('PV IN'!$G$9))^(C199),0)</f>
        <v>-1081.1858623522298</v>
      </c>
      <c r="DA199" s="33">
        <f>IF(C199&lt;='Batt IN'!$H$43*12,AE199,0)</f>
        <v>30366.783333333333</v>
      </c>
    </row>
    <row r="200" spans="1:105" x14ac:dyDescent="0.25">
      <c r="A200">
        <f>IF(C200&lt;='Batt IN'!$H$43*12,C200,"")</f>
        <v>196</v>
      </c>
      <c r="C200">
        <v>196</v>
      </c>
      <c r="D200" s="21">
        <v>730</v>
      </c>
      <c r="E200" s="1">
        <f>1-'Batt IN'!$E$31</f>
        <v>2.0000000000000018E-2</v>
      </c>
      <c r="F200" s="12">
        <f>('Batt IN'!$E$33*365)/8760</f>
        <v>0</v>
      </c>
      <c r="G200" s="22">
        <f>'Batt IN'!$E$32/8760</f>
        <v>5.7077625570776253E-3</v>
      </c>
      <c r="H200" s="22">
        <f>'Batt IN'!$E$13/8760</f>
        <v>5.5936073059360729E-3</v>
      </c>
      <c r="I200" s="23">
        <f>IF(C200&lt;='Batt IN'!$G$14*12,'Batt IN'!$E$15/8760*'Batt IN'!$G$15,0)</f>
        <v>0</v>
      </c>
      <c r="J200" s="12">
        <f>Z200/'Batt IN'!$E$27/730</f>
        <v>2.4999999999999996E-3</v>
      </c>
      <c r="K200" s="23">
        <f>AA200/'Batt IN'!$E$27/730</f>
        <v>1.6027397260273972E-3</v>
      </c>
      <c r="L200" s="23">
        <f>AB200/'Batt IN'!$E$27/730</f>
        <v>2.0547945205479451E-4</v>
      </c>
      <c r="M200" s="23">
        <f>AC200/'Batt IN'!$E$27/730</f>
        <v>4.7945205479452057E-3</v>
      </c>
      <c r="N200" s="23">
        <f>AD200/'Batt IN'!$E$27/730</f>
        <v>3.4246575342465752E-3</v>
      </c>
      <c r="O200" s="12">
        <f t="shared" si="53"/>
        <v>4.3828767123287697E-2</v>
      </c>
      <c r="P200" s="21">
        <f t="shared" si="54"/>
        <v>698.005</v>
      </c>
      <c r="Q200" s="2">
        <f>IF('Batt IN'!$E$27*'Batt IN'!$E$24&lt;='Batt IN'!$E$28,(('Batt IN'!$E$23*'Batt IN'!$E$27*'Batt IN'!$E$24)/1000)*P200,(('Batt IN'!$E$23*'Batt IN'!$E$28*'Batt IN'!$E$24)/1000)*P200)</f>
        <v>11168.08</v>
      </c>
      <c r="R200" s="2"/>
      <c r="S200" s="77">
        <f>IF(C200&lt;='Batt IN'!$G$14*12,'Batt IN'!$E$15/12,0)</f>
        <v>0</v>
      </c>
      <c r="T200" s="77"/>
      <c r="U200" s="80">
        <f>'Batt IN'!$E$28*('Batt IN'!$G$24/24)*730*(1-O200)</f>
        <v>81433.916666666657</v>
      </c>
      <c r="V200" s="78">
        <f>U200*'Batt IN'!$F$30</f>
        <v>16286.783333333333</v>
      </c>
      <c r="W200" s="78">
        <f>'Batt IN'!$E$28*'Batt IN'!$G$32*('Batt IN'!$E$32/12)*(1+'Batt IN'!$F$30)</f>
        <v>1750.0000000000002</v>
      </c>
      <c r="X200" s="78">
        <f>'Batt IN'!$E$28*'Batt IN'!$G$13*('Batt IN'!$E$13/12)*(1+'Batt IN'!$F$30)</f>
        <v>3184.9999999999995</v>
      </c>
      <c r="Y200" s="33">
        <f>S200*'Batt IN'!$G$15*'Batt IN'!$E$28*(1+'Batt IN'!$F$30)</f>
        <v>0</v>
      </c>
      <c r="Z200" s="33">
        <f>'Batt IN'!$G$16*365/12*(1+'Batt IN'!$F$30)</f>
        <v>1824.9999999999998</v>
      </c>
      <c r="AA200" s="33">
        <f>'Batt IN'!$G$17*'Batt IN'!$E$18*'Batt IN'!$G$18/12*(1+'Batt IN'!$F$30)</f>
        <v>1170</v>
      </c>
      <c r="AB200" s="33">
        <f>'Batt IN'!$G$19*'Batt IN'!$E$20*'Batt IN'!$G$20/12*(1+'Batt IN'!$F$30)</f>
        <v>150</v>
      </c>
      <c r="AC200" s="33">
        <f>'Batt IN'!$G$21*(1+'Batt IN'!$F$30)/12</f>
        <v>3500</v>
      </c>
      <c r="AD200" s="33">
        <f>'Batt IN'!$G$22*(1+'Batt IN'!$F$30)/12</f>
        <v>2500</v>
      </c>
      <c r="AE200" s="33">
        <f t="shared" si="66"/>
        <v>30366.783333333333</v>
      </c>
      <c r="AF200" s="33">
        <f>IF('PV IN'!$F$4="Battery Only",0,AE200*'Batt IN'!$E$29)</f>
        <v>25811.765833333331</v>
      </c>
      <c r="AG200" s="33">
        <f>PVCalcs!L200</f>
        <v>25811.765833333331</v>
      </c>
      <c r="AH200" s="33">
        <f t="shared" si="67"/>
        <v>4555.0175000000017</v>
      </c>
      <c r="AI200" s="33"/>
      <c r="AJ200" s="2">
        <f>IF(AND('Batt IN'!$D$53="Yes",$AL$1&gt;=1),IF($C200='Batt IN'!$H$54*12,-'Batt IN'!$F$54,0),0)</f>
        <v>0</v>
      </c>
      <c r="AK200" s="2">
        <f>IF(AND('Batt IN'!$D$53="Yes",$AL$1&gt;=2),IF($C200='Batt IN'!$H$55*12,-'Batt IN'!$F$55,0),0)</f>
        <v>0</v>
      </c>
      <c r="AL200" s="2">
        <f>IF(AND('Batt IN'!$D$53="Yes",$AL$1&gt;=3),IF($C200='Batt IN'!$H$56*12,-'Batt IN'!$F$56,0),0)</f>
        <v>0</v>
      </c>
      <c r="AM200" s="2">
        <f>IF(AND('Batt IN'!$D$53="Yes",$AL$1&gt;=4),IF($C200='Batt IN'!$H$57*12,-'Batt IN'!$F$57,0),0)</f>
        <v>0</v>
      </c>
      <c r="AN200" s="2">
        <f>IF(AND('Batt IN'!$D$53="Yes",$AL$1&gt;=5),IF($C200='Batt IN'!$H$58*12,-'Batt IN'!$F$58,0),0)</f>
        <v>0</v>
      </c>
      <c r="AO200" s="10">
        <f>IF(AND('Batt IN'!$D$44="YES",$C200&lt;='Batt IN'!$E$44*12),-'Batt IN'!$E$28*'Batt IN'!$E$42/12,0)</f>
        <v>0</v>
      </c>
      <c r="AP200" s="10">
        <f>IF(AND('Batt IN'!$D$46="YES",$C200&lt;='Batt IN'!$E$46*12),-'Batt IN'!$E$28*'Batt IN'!$E$45/12,0)</f>
        <v>0</v>
      </c>
      <c r="AR200" s="10">
        <f>BattLoan!M227</f>
        <v>0</v>
      </c>
      <c r="AS200" s="10">
        <f>'Batt IN'!$G$16*365/12*'Batt IN'!$E$16</f>
        <v>76.041666666666671</v>
      </c>
      <c r="AT200" s="10">
        <f>IF(AND('Batt IN'!$E$18&gt;0,'Batt IN'!$G$18&gt;0),'Batt IN'!$E$17*'Batt IN'!$G$17,0)</f>
        <v>119.44619999999999</v>
      </c>
      <c r="AU200" s="10">
        <f>IF(AND('Batt IN'!$E$20&gt;0,'Batt IN'!$G$20&gt;0),'Batt IN'!$E$19*'Batt IN'!$G$19,0)</f>
        <v>231</v>
      </c>
      <c r="AV200" s="10"/>
      <c r="AW200" s="10"/>
      <c r="AX200" s="10">
        <f>IF('Batt IN'!$E$11="Non-Taxable",Q200,0)</f>
        <v>11168.08</v>
      </c>
      <c r="AY200" s="10">
        <f>IF('Batt IN'!$E$11="Non-Taxable",'Batt IN'!$E$28/1000*'Batt IN'!$G$13*('Batt IN'!$E$13/12)*'Batt IN'!$E$12,0)</f>
        <v>244.42220833333334</v>
      </c>
      <c r="AZ200" s="10">
        <f>IF('Batt IN'!$E$11="Non-Taxable",$S200*'Batt IN'!$G$15*'Batt IN'!$E$28*'Batt IN'!$E$14/1000,0)</f>
        <v>0</v>
      </c>
      <c r="BA200" s="10">
        <f>IF('Batt IN'!$E$11="Non-Taxable",'Batt IN'!$E$21*'Batt IN'!$G$21/12,0)</f>
        <v>437.5</v>
      </c>
      <c r="BB200" s="10">
        <f>IF('Batt IN'!$E$11="Non-Taxable",'Batt IN'!$E$22*'Batt IN'!$G$22/12,0)</f>
        <v>1145.8333333333335</v>
      </c>
      <c r="BC200" s="10">
        <f>IF('Batt IN'!$E$11="Taxable",Q200,0)</f>
        <v>0</v>
      </c>
      <c r="BD200" s="10">
        <f>IF('Batt IN'!$E$11="Taxable",'Batt IN'!$E$28/1000*'Batt IN'!$G$13*('Batt IN'!$E$13/12)*'Batt IN'!$E$12,0)</f>
        <v>0</v>
      </c>
      <c r="BE200" s="10">
        <f>IF('Batt IN'!$E$11="Taxable",$S200*'Batt IN'!$G$15*'Batt IN'!$E$28*'Batt IN'!$E$14/1000,0)</f>
        <v>0</v>
      </c>
      <c r="BF200" s="10">
        <f>IF('Batt IN'!$E$11="Taxable",'Batt IN'!$E$21*'Batt IN'!$G$21/12,0)</f>
        <v>0</v>
      </c>
      <c r="BG200" s="10">
        <f>IF('Batt IN'!$E$11="Taxable",'Batt IN'!$E$22*'Batt IN'!$G$22/12,0)</f>
        <v>0</v>
      </c>
      <c r="BK200" s="10">
        <f>IF('Batt IN'!$N$18="Yes",-BattLoan!H228,-BattLoan!L228)</f>
        <v>0</v>
      </c>
      <c r="BL200" s="10">
        <f>IF('Batt IN'!$N$18="Yes",-BattLoan!F228,0)</f>
        <v>0</v>
      </c>
      <c r="BM200" s="10">
        <f>IF(AND('Batt IN'!$D$44="YES",$C200&lt;='Batt IN'!$E$44*12),0,-'Batt IN'!$E$28*'Batt IN'!$E$42/12)</f>
        <v>-83.333333333333329</v>
      </c>
      <c r="BN200" s="10">
        <f>IF(AND('Batt IN'!$D$46="YES",$C200&lt;='Batt IN'!$E$46*12),0,-'Batt IN'!$E$28*'Batt IN'!$E$45/12)</f>
        <v>-166.66666666666666</v>
      </c>
      <c r="BO200" s="2">
        <f>IF(AND('Batt IN'!$D$41="YES",BattCalcs!C200=ROUNDUP('Batt IN'!$H$41*12,)),-'Batt IN'!$E$41*'Batt IN'!$E$28,0)</f>
        <v>0</v>
      </c>
      <c r="BP200" s="2">
        <f>IF(AND('Batt IN'!$D$53="Yes",$AL$1&gt;=1),0,IF($C200='Batt IN'!$H$54*12,-'Batt IN'!$F$54,0))</f>
        <v>0</v>
      </c>
      <c r="BQ200" s="2">
        <f>IF(AND('Batt IN'!$D$53="Yes",$AL$1&gt;=2),0,IF($C200='Batt IN'!$H$55*12,-'Batt IN'!$F$55,0))</f>
        <v>0</v>
      </c>
      <c r="BR200" s="2">
        <f>IF(AND('Batt IN'!$D$53="Yes",$AL$1&gt;=3),0,IF($C200='Batt IN'!$H$56*12,-'Batt IN'!$F$56,0))</f>
        <v>0</v>
      </c>
      <c r="BS200" s="2">
        <f>IF(AND('Batt IN'!$D$53="Yes",$AL$1&gt;=4),0,IF($C200='Batt IN'!$H$57*12,-'Batt IN'!$F$57,0))</f>
        <v>0</v>
      </c>
      <c r="BT200" s="2">
        <f>IF(AND('Batt IN'!$D$53="Yes",$AL$1&gt;=5),0,IF($C200='Batt IN'!$H$58*12,-'Batt IN'!$F$58,0))</f>
        <v>0</v>
      </c>
      <c r="BU200" s="2">
        <f>-AH200*PVCalcs!F200</f>
        <v>-374.12248175581863</v>
      </c>
      <c r="BV200" s="2">
        <f>-'Batt IN'!$E$47</f>
        <v>-150</v>
      </c>
      <c r="BW200" s="2">
        <f>-'Batt IN'!$E$49</f>
        <v>-2250</v>
      </c>
      <c r="BX200" s="2">
        <f>IF('Batt IN'!$H$50="No",-(BC200*'Batt IN'!$E$50),-(BC200+BE200)*'Batt IN'!$E$50)</f>
        <v>0</v>
      </c>
      <c r="BY200" s="2">
        <f>IF(C200='Batt IN'!$H$43*12,-'Batt IN'!$E$43,0)</f>
        <v>0</v>
      </c>
      <c r="BZ200" s="38"/>
      <c r="CA200" s="10">
        <f t="shared" si="51"/>
        <v>13422.323408333334</v>
      </c>
      <c r="CB200" s="2">
        <f t="shared" si="55"/>
        <v>-3024.1224817558186</v>
      </c>
      <c r="CC200" s="45">
        <f t="shared" si="56"/>
        <v>10398.200926577516</v>
      </c>
      <c r="CD200" s="43"/>
      <c r="CE200" s="2">
        <f t="shared" si="52"/>
        <v>0</v>
      </c>
      <c r="CF200" s="2">
        <f t="shared" si="57"/>
        <v>-3024.1224817558186</v>
      </c>
      <c r="CG200" s="2"/>
      <c r="CH200" s="2">
        <f t="shared" si="58"/>
        <v>-3024.1224817558186</v>
      </c>
      <c r="CI200" s="45">
        <f>-CH200*'Batt IN'!$E$7</f>
        <v>635.06572116872189</v>
      </c>
      <c r="CJ200" s="48"/>
      <c r="CK200" s="45">
        <f>IF('Batt IN'!$F$4="PV Only",0,IF(C200&gt;'Batt IN'!$H$43*12,0,CC200+CI200))</f>
        <v>0</v>
      </c>
      <c r="CM200" s="10">
        <f t="shared" si="59"/>
        <v>0</v>
      </c>
      <c r="CN200" s="2">
        <f>CK200/(1+('Batt IN'!$G$8))^(C200)</f>
        <v>0</v>
      </c>
      <c r="CO200" s="2">
        <f>IF(C200&lt;='Batt IN'!$O$30*12,CN200+CO199,NA())</f>
        <v>0</v>
      </c>
      <c r="CQ200" s="2">
        <f>CK200/((1+('Batt IN'!$E$8/12))^BattCalcs!C200)</f>
        <v>0</v>
      </c>
      <c r="CS200" s="10">
        <f t="shared" si="60"/>
        <v>-3024.1224817558186</v>
      </c>
      <c r="CT200" s="10">
        <f t="shared" si="61"/>
        <v>0</v>
      </c>
      <c r="CU200" s="10">
        <f t="shared" si="62"/>
        <v>-3024.1224817558186</v>
      </c>
      <c r="CV200" s="10">
        <f t="shared" si="63"/>
        <v>-3024.1224817558186</v>
      </c>
      <c r="CW200" s="2">
        <f t="shared" si="64"/>
        <v>0</v>
      </c>
      <c r="CX200" s="2">
        <f>-(SUM(CV200:CW200)*'PV IN'!$E$8)</f>
        <v>635.06572116872189</v>
      </c>
      <c r="CY200" s="2">
        <f t="shared" si="65"/>
        <v>-2389.0567605870965</v>
      </c>
      <c r="CZ200" s="2">
        <f>IF(C200&lt;='Batt IN'!$H$43*12,CY200/(1+('PV IN'!$G$9))^(C200),0)</f>
        <v>-1076.7988505450191</v>
      </c>
      <c r="DA200" s="33">
        <f>IF(C200&lt;='Batt IN'!$H$43*12,AE200,0)</f>
        <v>30366.783333333333</v>
      </c>
    </row>
    <row r="201" spans="1:105" x14ac:dyDescent="0.25">
      <c r="A201">
        <f>IF(C201&lt;='Batt IN'!$H$43*12,C201,"")</f>
        <v>197</v>
      </c>
      <c r="C201">
        <v>197</v>
      </c>
      <c r="D201" s="21">
        <v>730</v>
      </c>
      <c r="E201" s="1">
        <f>1-'Batt IN'!$E$31</f>
        <v>2.0000000000000018E-2</v>
      </c>
      <c r="F201" s="12">
        <f>('Batt IN'!$E$33*365)/8760</f>
        <v>0</v>
      </c>
      <c r="G201" s="22">
        <f>'Batt IN'!$E$32/8760</f>
        <v>5.7077625570776253E-3</v>
      </c>
      <c r="H201" s="22">
        <f>'Batt IN'!$E$13/8760</f>
        <v>5.5936073059360729E-3</v>
      </c>
      <c r="I201" s="23">
        <f>IF(C201&lt;='Batt IN'!$G$14*12,'Batt IN'!$E$15/8760*'Batt IN'!$G$15,0)</f>
        <v>0</v>
      </c>
      <c r="J201" s="12">
        <f>Z201/'Batt IN'!$E$27/730</f>
        <v>2.4999999999999996E-3</v>
      </c>
      <c r="K201" s="23">
        <f>AA201/'Batt IN'!$E$27/730</f>
        <v>1.6027397260273972E-3</v>
      </c>
      <c r="L201" s="23">
        <f>AB201/'Batt IN'!$E$27/730</f>
        <v>2.0547945205479451E-4</v>
      </c>
      <c r="M201" s="23">
        <f>AC201/'Batt IN'!$E$27/730</f>
        <v>4.7945205479452057E-3</v>
      </c>
      <c r="N201" s="23">
        <f>AD201/'Batt IN'!$E$27/730</f>
        <v>3.4246575342465752E-3</v>
      </c>
      <c r="O201" s="12">
        <f t="shared" si="53"/>
        <v>4.3828767123287697E-2</v>
      </c>
      <c r="P201" s="21">
        <f t="shared" si="54"/>
        <v>698.005</v>
      </c>
      <c r="Q201" s="2">
        <f>IF('Batt IN'!$E$27*'Batt IN'!$E$24&lt;='Batt IN'!$E$28,(('Batt IN'!$E$23*'Batt IN'!$E$27*'Batt IN'!$E$24)/1000)*P201,(('Batt IN'!$E$23*'Batt IN'!$E$28*'Batt IN'!$E$24)/1000)*P201)</f>
        <v>11168.08</v>
      </c>
      <c r="R201" s="2"/>
      <c r="S201" s="77">
        <f>IF(C201&lt;='Batt IN'!$G$14*12,'Batt IN'!$E$15/12,0)</f>
        <v>0</v>
      </c>
      <c r="T201" s="77"/>
      <c r="U201" s="80">
        <f>'Batt IN'!$E$28*('Batt IN'!$G$24/24)*730*(1-O201)</f>
        <v>81433.916666666657</v>
      </c>
      <c r="V201" s="78">
        <f>U201*'Batt IN'!$F$30</f>
        <v>16286.783333333333</v>
      </c>
      <c r="W201" s="78">
        <f>'Batt IN'!$E$28*'Batt IN'!$G$32*('Batt IN'!$E$32/12)*(1+'Batt IN'!$F$30)</f>
        <v>1750.0000000000002</v>
      </c>
      <c r="X201" s="78">
        <f>'Batt IN'!$E$28*'Batt IN'!$G$13*('Batt IN'!$E$13/12)*(1+'Batt IN'!$F$30)</f>
        <v>3184.9999999999995</v>
      </c>
      <c r="Y201" s="33">
        <f>S201*'Batt IN'!$G$15*'Batt IN'!$E$28*(1+'Batt IN'!$F$30)</f>
        <v>0</v>
      </c>
      <c r="Z201" s="33">
        <f>'Batt IN'!$G$16*365/12*(1+'Batt IN'!$F$30)</f>
        <v>1824.9999999999998</v>
      </c>
      <c r="AA201" s="33">
        <f>'Batt IN'!$G$17*'Batt IN'!$E$18*'Batt IN'!$G$18/12*(1+'Batt IN'!$F$30)</f>
        <v>1170</v>
      </c>
      <c r="AB201" s="33">
        <f>'Batt IN'!$G$19*'Batt IN'!$E$20*'Batt IN'!$G$20/12*(1+'Batt IN'!$F$30)</f>
        <v>150</v>
      </c>
      <c r="AC201" s="33">
        <f>'Batt IN'!$G$21*(1+'Batt IN'!$F$30)/12</f>
        <v>3500</v>
      </c>
      <c r="AD201" s="33">
        <f>'Batt IN'!$G$22*(1+'Batt IN'!$F$30)/12</f>
        <v>2500</v>
      </c>
      <c r="AE201" s="33">
        <f t="shared" si="66"/>
        <v>30366.783333333333</v>
      </c>
      <c r="AF201" s="33">
        <f>IF('PV IN'!$F$4="Battery Only",0,AE201*'Batt IN'!$E$29)</f>
        <v>25811.765833333331</v>
      </c>
      <c r="AG201" s="33">
        <f>PVCalcs!L201</f>
        <v>25811.765833333331</v>
      </c>
      <c r="AH201" s="33">
        <f t="shared" si="67"/>
        <v>4555.0175000000017</v>
      </c>
      <c r="AI201" s="33"/>
      <c r="AJ201" s="2">
        <f>IF(AND('Batt IN'!$D$53="Yes",$AL$1&gt;=1),IF($C201='Batt IN'!$H$54*12,-'Batt IN'!$F$54,0),0)</f>
        <v>0</v>
      </c>
      <c r="AK201" s="2">
        <f>IF(AND('Batt IN'!$D$53="Yes",$AL$1&gt;=2),IF($C201='Batt IN'!$H$55*12,-'Batt IN'!$F$55,0),0)</f>
        <v>0</v>
      </c>
      <c r="AL201" s="2">
        <f>IF(AND('Batt IN'!$D$53="Yes",$AL$1&gt;=3),IF($C201='Batt IN'!$H$56*12,-'Batt IN'!$F$56,0),0)</f>
        <v>0</v>
      </c>
      <c r="AM201" s="2">
        <f>IF(AND('Batt IN'!$D$53="Yes",$AL$1&gt;=4),IF($C201='Batt IN'!$H$57*12,-'Batt IN'!$F$57,0),0)</f>
        <v>0</v>
      </c>
      <c r="AN201" s="2">
        <f>IF(AND('Batt IN'!$D$53="Yes",$AL$1&gt;=5),IF($C201='Batt IN'!$H$58*12,-'Batt IN'!$F$58,0),0)</f>
        <v>0</v>
      </c>
      <c r="AO201" s="10">
        <f>IF(AND('Batt IN'!$D$44="YES",$C201&lt;='Batt IN'!$E$44*12),-'Batt IN'!$E$28*'Batt IN'!$E$42/12,0)</f>
        <v>0</v>
      </c>
      <c r="AP201" s="10">
        <f>IF(AND('Batt IN'!$D$46="YES",$C201&lt;='Batt IN'!$E$46*12),-'Batt IN'!$E$28*'Batt IN'!$E$45/12,0)</f>
        <v>0</v>
      </c>
      <c r="AR201" s="10">
        <f>BattLoan!M228</f>
        <v>0</v>
      </c>
      <c r="AS201" s="10">
        <f>'Batt IN'!$G$16*365/12*'Batt IN'!$E$16</f>
        <v>76.041666666666671</v>
      </c>
      <c r="AT201" s="10">
        <f>IF(AND('Batt IN'!$E$18&gt;0,'Batt IN'!$G$18&gt;0),'Batt IN'!$E$17*'Batt IN'!$G$17,0)</f>
        <v>119.44619999999999</v>
      </c>
      <c r="AU201" s="10">
        <f>IF(AND('Batt IN'!$E$20&gt;0,'Batt IN'!$G$20&gt;0),'Batt IN'!$E$19*'Batt IN'!$G$19,0)</f>
        <v>231</v>
      </c>
      <c r="AV201" s="10"/>
      <c r="AW201" s="10"/>
      <c r="AX201" s="10">
        <f>IF('Batt IN'!$E$11="Non-Taxable",Q201,0)</f>
        <v>11168.08</v>
      </c>
      <c r="AY201" s="10">
        <f>IF('Batt IN'!$E$11="Non-Taxable",'Batt IN'!$E$28/1000*'Batt IN'!$G$13*('Batt IN'!$E$13/12)*'Batt IN'!$E$12,0)</f>
        <v>244.42220833333334</v>
      </c>
      <c r="AZ201" s="10">
        <f>IF('Batt IN'!$E$11="Non-Taxable",$S201*'Batt IN'!$G$15*'Batt IN'!$E$28*'Batt IN'!$E$14/1000,0)</f>
        <v>0</v>
      </c>
      <c r="BA201" s="10">
        <f>IF('Batt IN'!$E$11="Non-Taxable",'Batt IN'!$E$21*'Batt IN'!$G$21/12,0)</f>
        <v>437.5</v>
      </c>
      <c r="BB201" s="10">
        <f>IF('Batt IN'!$E$11="Non-Taxable",'Batt IN'!$E$22*'Batt IN'!$G$22/12,0)</f>
        <v>1145.8333333333335</v>
      </c>
      <c r="BC201" s="10">
        <f>IF('Batt IN'!$E$11="Taxable",Q201,0)</f>
        <v>0</v>
      </c>
      <c r="BD201" s="10">
        <f>IF('Batt IN'!$E$11="Taxable",'Batt IN'!$E$28/1000*'Batt IN'!$G$13*('Batt IN'!$E$13/12)*'Batt IN'!$E$12,0)</f>
        <v>0</v>
      </c>
      <c r="BE201" s="10">
        <f>IF('Batt IN'!$E$11="Taxable",$S201*'Batt IN'!$G$15*'Batt IN'!$E$28*'Batt IN'!$E$14/1000,0)</f>
        <v>0</v>
      </c>
      <c r="BF201" s="10">
        <f>IF('Batt IN'!$E$11="Taxable",'Batt IN'!$E$21*'Batt IN'!$G$21/12,0)</f>
        <v>0</v>
      </c>
      <c r="BG201" s="10">
        <f>IF('Batt IN'!$E$11="Taxable",'Batt IN'!$E$22*'Batt IN'!$G$22/12,0)</f>
        <v>0</v>
      </c>
      <c r="BK201" s="10">
        <f>IF('Batt IN'!$N$18="Yes",-BattLoan!H229,-BattLoan!L229)</f>
        <v>0</v>
      </c>
      <c r="BL201" s="10">
        <f>IF('Batt IN'!$N$18="Yes",-BattLoan!F229,0)</f>
        <v>0</v>
      </c>
      <c r="BM201" s="10">
        <f>IF(AND('Batt IN'!$D$44="YES",$C201&lt;='Batt IN'!$E$44*12),0,-'Batt IN'!$E$28*'Batt IN'!$E$42/12)</f>
        <v>-83.333333333333329</v>
      </c>
      <c r="BN201" s="10">
        <f>IF(AND('Batt IN'!$D$46="YES",$C201&lt;='Batt IN'!$E$46*12),0,-'Batt IN'!$E$28*'Batt IN'!$E$45/12)</f>
        <v>-166.66666666666666</v>
      </c>
      <c r="BO201" s="2">
        <f>IF(AND('Batt IN'!$D$41="YES",BattCalcs!C201=ROUNDUP('Batt IN'!$H$41*12,)),-'Batt IN'!$E$41*'Batt IN'!$E$28,0)</f>
        <v>0</v>
      </c>
      <c r="BP201" s="2">
        <f>IF(AND('Batt IN'!$D$53="Yes",$AL$1&gt;=1),0,IF($C201='Batt IN'!$H$54*12,-'Batt IN'!$F$54,0))</f>
        <v>0</v>
      </c>
      <c r="BQ201" s="2">
        <f>IF(AND('Batt IN'!$D$53="Yes",$AL$1&gt;=2),0,IF($C201='Batt IN'!$H$55*12,-'Batt IN'!$F$55,0))</f>
        <v>0</v>
      </c>
      <c r="BR201" s="2">
        <f>IF(AND('Batt IN'!$D$53="Yes",$AL$1&gt;=3),0,IF($C201='Batt IN'!$H$56*12,-'Batt IN'!$F$56,0))</f>
        <v>0</v>
      </c>
      <c r="BS201" s="2">
        <f>IF(AND('Batt IN'!$D$53="Yes",$AL$1&gt;=4),0,IF($C201='Batt IN'!$H$57*12,-'Batt IN'!$F$57,0))</f>
        <v>0</v>
      </c>
      <c r="BT201" s="2">
        <f>IF(AND('Batt IN'!$D$53="Yes",$AL$1&gt;=5),0,IF($C201='Batt IN'!$H$58*12,-'Batt IN'!$F$58,0))</f>
        <v>0</v>
      </c>
      <c r="BU201" s="2">
        <f>-AH201*PVCalcs!F201</f>
        <v>-374.12248175581863</v>
      </c>
      <c r="BV201" s="2">
        <f>-'Batt IN'!$E$47</f>
        <v>-150</v>
      </c>
      <c r="BW201" s="2">
        <f>-'Batt IN'!$E$49</f>
        <v>-2250</v>
      </c>
      <c r="BX201" s="2">
        <f>IF('Batt IN'!$H$50="No",-(BC201*'Batt IN'!$E$50),-(BC201+BE201)*'Batt IN'!$E$50)</f>
        <v>0</v>
      </c>
      <c r="BY201" s="2">
        <f>IF(C201='Batt IN'!$H$43*12,-'Batt IN'!$E$43,0)</f>
        <v>0</v>
      </c>
      <c r="BZ201" s="38"/>
      <c r="CA201" s="10">
        <f t="shared" si="51"/>
        <v>13422.323408333334</v>
      </c>
      <c r="CB201" s="2">
        <f t="shared" si="55"/>
        <v>-3024.1224817558186</v>
      </c>
      <c r="CC201" s="45">
        <f t="shared" si="56"/>
        <v>10398.200926577516</v>
      </c>
      <c r="CD201" s="43"/>
      <c r="CE201" s="2">
        <f t="shared" si="52"/>
        <v>0</v>
      </c>
      <c r="CF201" s="2">
        <f t="shared" si="57"/>
        <v>-3024.1224817558186</v>
      </c>
      <c r="CG201" s="2"/>
      <c r="CH201" s="2">
        <f t="shared" si="58"/>
        <v>-3024.1224817558186</v>
      </c>
      <c r="CI201" s="45">
        <f>-CH201*'Batt IN'!$E$7</f>
        <v>635.06572116872189</v>
      </c>
      <c r="CJ201" s="48"/>
      <c r="CK201" s="45">
        <f>IF('Batt IN'!$F$4="PV Only",0,IF(C201&gt;'Batt IN'!$H$43*12,0,CC201+CI201))</f>
        <v>0</v>
      </c>
      <c r="CM201" s="10">
        <f t="shared" si="59"/>
        <v>0</v>
      </c>
      <c r="CN201" s="2">
        <f>CK201/(1+('Batt IN'!$G$8))^(C201)</f>
        <v>0</v>
      </c>
      <c r="CO201" s="2">
        <f>IF(C201&lt;='Batt IN'!$O$30*12,CN201+CO200,NA())</f>
        <v>0</v>
      </c>
      <c r="CQ201" s="2">
        <f>CK201/((1+('Batt IN'!$E$8/12))^BattCalcs!C201)</f>
        <v>0</v>
      </c>
      <c r="CS201" s="10">
        <f t="shared" si="60"/>
        <v>-3024.1224817558186</v>
      </c>
      <c r="CT201" s="10">
        <f t="shared" si="61"/>
        <v>0</v>
      </c>
      <c r="CU201" s="10">
        <f t="shared" si="62"/>
        <v>-3024.1224817558186</v>
      </c>
      <c r="CV201" s="10">
        <f t="shared" si="63"/>
        <v>-3024.1224817558186</v>
      </c>
      <c r="CW201" s="2">
        <f t="shared" si="64"/>
        <v>0</v>
      </c>
      <c r="CX201" s="2">
        <f>-(SUM(CV201:CW201)*'PV IN'!$E$8)</f>
        <v>635.06572116872189</v>
      </c>
      <c r="CY201" s="2">
        <f t="shared" si="65"/>
        <v>-2389.0567605870965</v>
      </c>
      <c r="CZ201" s="2">
        <f>IF(C201&lt;='Batt IN'!$H$43*12,CY201/(1+('PV IN'!$G$9))^(C201),0)</f>
        <v>-1072.4296394446683</v>
      </c>
      <c r="DA201" s="33">
        <f>IF(C201&lt;='Batt IN'!$H$43*12,AE201,0)</f>
        <v>30366.783333333333</v>
      </c>
    </row>
    <row r="202" spans="1:105" x14ac:dyDescent="0.25">
      <c r="A202">
        <f>IF(C202&lt;='Batt IN'!$H$43*12,C202,"")</f>
        <v>198</v>
      </c>
      <c r="C202">
        <v>198</v>
      </c>
      <c r="D202" s="21">
        <v>730</v>
      </c>
      <c r="E202" s="1">
        <f>1-'Batt IN'!$E$31</f>
        <v>2.0000000000000018E-2</v>
      </c>
      <c r="F202" s="12">
        <f>('Batt IN'!$E$33*365)/8760</f>
        <v>0</v>
      </c>
      <c r="G202" s="22">
        <f>'Batt IN'!$E$32/8760</f>
        <v>5.7077625570776253E-3</v>
      </c>
      <c r="H202" s="22">
        <f>'Batt IN'!$E$13/8760</f>
        <v>5.5936073059360729E-3</v>
      </c>
      <c r="I202" s="23">
        <f>IF(C202&lt;='Batt IN'!$G$14*12,'Batt IN'!$E$15/8760*'Batt IN'!$G$15,0)</f>
        <v>0</v>
      </c>
      <c r="J202" s="12">
        <f>Z202/'Batt IN'!$E$27/730</f>
        <v>2.4999999999999996E-3</v>
      </c>
      <c r="K202" s="23">
        <f>AA202/'Batt IN'!$E$27/730</f>
        <v>1.6027397260273972E-3</v>
      </c>
      <c r="L202" s="23">
        <f>AB202/'Batt IN'!$E$27/730</f>
        <v>2.0547945205479451E-4</v>
      </c>
      <c r="M202" s="23">
        <f>AC202/'Batt IN'!$E$27/730</f>
        <v>4.7945205479452057E-3</v>
      </c>
      <c r="N202" s="23">
        <f>AD202/'Batt IN'!$E$27/730</f>
        <v>3.4246575342465752E-3</v>
      </c>
      <c r="O202" s="12">
        <f t="shared" si="53"/>
        <v>4.3828767123287697E-2</v>
      </c>
      <c r="P202" s="21">
        <f t="shared" si="54"/>
        <v>698.005</v>
      </c>
      <c r="Q202" s="2">
        <f>IF('Batt IN'!$E$27*'Batt IN'!$E$24&lt;='Batt IN'!$E$28,(('Batt IN'!$E$23*'Batt IN'!$E$27*'Batt IN'!$E$24)/1000)*P202,(('Batt IN'!$E$23*'Batt IN'!$E$28*'Batt IN'!$E$24)/1000)*P202)</f>
        <v>11168.08</v>
      </c>
      <c r="R202" s="2"/>
      <c r="S202" s="77">
        <f>IF(C202&lt;='Batt IN'!$G$14*12,'Batt IN'!$E$15/12,0)</f>
        <v>0</v>
      </c>
      <c r="T202" s="77"/>
      <c r="U202" s="80">
        <f>'Batt IN'!$E$28*('Batt IN'!$G$24/24)*730*(1-O202)</f>
        <v>81433.916666666657</v>
      </c>
      <c r="V202" s="78">
        <f>U202*'Batt IN'!$F$30</f>
        <v>16286.783333333333</v>
      </c>
      <c r="W202" s="78">
        <f>'Batt IN'!$E$28*'Batt IN'!$G$32*('Batt IN'!$E$32/12)*(1+'Batt IN'!$F$30)</f>
        <v>1750.0000000000002</v>
      </c>
      <c r="X202" s="78">
        <f>'Batt IN'!$E$28*'Batt IN'!$G$13*('Batt IN'!$E$13/12)*(1+'Batt IN'!$F$30)</f>
        <v>3184.9999999999995</v>
      </c>
      <c r="Y202" s="33">
        <f>S202*'Batt IN'!$G$15*'Batt IN'!$E$28*(1+'Batt IN'!$F$30)</f>
        <v>0</v>
      </c>
      <c r="Z202" s="33">
        <f>'Batt IN'!$G$16*365/12*(1+'Batt IN'!$F$30)</f>
        <v>1824.9999999999998</v>
      </c>
      <c r="AA202" s="33">
        <f>'Batt IN'!$G$17*'Batt IN'!$E$18*'Batt IN'!$G$18/12*(1+'Batt IN'!$F$30)</f>
        <v>1170</v>
      </c>
      <c r="AB202" s="33">
        <f>'Batt IN'!$G$19*'Batt IN'!$E$20*'Batt IN'!$G$20/12*(1+'Batt IN'!$F$30)</f>
        <v>150</v>
      </c>
      <c r="AC202" s="33">
        <f>'Batt IN'!$G$21*(1+'Batt IN'!$F$30)/12</f>
        <v>3500</v>
      </c>
      <c r="AD202" s="33">
        <f>'Batt IN'!$G$22*(1+'Batt IN'!$F$30)/12</f>
        <v>2500</v>
      </c>
      <c r="AE202" s="33">
        <f t="shared" si="66"/>
        <v>30366.783333333333</v>
      </c>
      <c r="AF202" s="33">
        <f>IF('PV IN'!$F$4="Battery Only",0,AE202*'Batt IN'!$E$29)</f>
        <v>25811.765833333331</v>
      </c>
      <c r="AG202" s="33">
        <f>PVCalcs!L202</f>
        <v>25811.765833333331</v>
      </c>
      <c r="AH202" s="33">
        <f t="shared" si="67"/>
        <v>4555.0175000000017</v>
      </c>
      <c r="AI202" s="33"/>
      <c r="AJ202" s="2">
        <f>IF(AND('Batt IN'!$D$53="Yes",$AL$1&gt;=1),IF($C202='Batt IN'!$H$54*12,-'Batt IN'!$F$54,0),0)</f>
        <v>0</v>
      </c>
      <c r="AK202" s="2">
        <f>IF(AND('Batt IN'!$D$53="Yes",$AL$1&gt;=2),IF($C202='Batt IN'!$H$55*12,-'Batt IN'!$F$55,0),0)</f>
        <v>0</v>
      </c>
      <c r="AL202" s="2">
        <f>IF(AND('Batt IN'!$D$53="Yes",$AL$1&gt;=3),IF($C202='Batt IN'!$H$56*12,-'Batt IN'!$F$56,0),0)</f>
        <v>0</v>
      </c>
      <c r="AM202" s="2">
        <f>IF(AND('Batt IN'!$D$53="Yes",$AL$1&gt;=4),IF($C202='Batt IN'!$H$57*12,-'Batt IN'!$F$57,0),0)</f>
        <v>0</v>
      </c>
      <c r="AN202" s="2">
        <f>IF(AND('Batt IN'!$D$53="Yes",$AL$1&gt;=5),IF($C202='Batt IN'!$H$58*12,-'Batt IN'!$F$58,0),0)</f>
        <v>0</v>
      </c>
      <c r="AO202" s="10">
        <f>IF(AND('Batt IN'!$D$44="YES",$C202&lt;='Batt IN'!$E$44*12),-'Batt IN'!$E$28*'Batt IN'!$E$42/12,0)</f>
        <v>0</v>
      </c>
      <c r="AP202" s="10">
        <f>IF(AND('Batt IN'!$D$46="YES",$C202&lt;='Batt IN'!$E$46*12),-'Batt IN'!$E$28*'Batt IN'!$E$45/12,0)</f>
        <v>0</v>
      </c>
      <c r="AR202" s="10">
        <f>BattLoan!M229</f>
        <v>0</v>
      </c>
      <c r="AS202" s="10">
        <f>'Batt IN'!$G$16*365/12*'Batt IN'!$E$16</f>
        <v>76.041666666666671</v>
      </c>
      <c r="AT202" s="10">
        <f>IF(AND('Batt IN'!$E$18&gt;0,'Batt IN'!$G$18&gt;0),'Batt IN'!$E$17*'Batt IN'!$G$17,0)</f>
        <v>119.44619999999999</v>
      </c>
      <c r="AU202" s="10">
        <f>IF(AND('Batt IN'!$E$20&gt;0,'Batt IN'!$G$20&gt;0),'Batt IN'!$E$19*'Batt IN'!$G$19,0)</f>
        <v>231</v>
      </c>
      <c r="AV202" s="10"/>
      <c r="AW202" s="10"/>
      <c r="AX202" s="10">
        <f>IF('Batt IN'!$E$11="Non-Taxable",Q202,0)</f>
        <v>11168.08</v>
      </c>
      <c r="AY202" s="10">
        <f>IF('Batt IN'!$E$11="Non-Taxable",'Batt IN'!$E$28/1000*'Batt IN'!$G$13*('Batt IN'!$E$13/12)*'Batt IN'!$E$12,0)</f>
        <v>244.42220833333334</v>
      </c>
      <c r="AZ202" s="10">
        <f>IF('Batt IN'!$E$11="Non-Taxable",$S202*'Batt IN'!$G$15*'Batt IN'!$E$28*'Batt IN'!$E$14/1000,0)</f>
        <v>0</v>
      </c>
      <c r="BA202" s="10">
        <f>IF('Batt IN'!$E$11="Non-Taxable",'Batt IN'!$E$21*'Batt IN'!$G$21/12,0)</f>
        <v>437.5</v>
      </c>
      <c r="BB202" s="10">
        <f>IF('Batt IN'!$E$11="Non-Taxable",'Batt IN'!$E$22*'Batt IN'!$G$22/12,0)</f>
        <v>1145.8333333333335</v>
      </c>
      <c r="BC202" s="10">
        <f>IF('Batt IN'!$E$11="Taxable",Q202,0)</f>
        <v>0</v>
      </c>
      <c r="BD202" s="10">
        <f>IF('Batt IN'!$E$11="Taxable",'Batt IN'!$E$28/1000*'Batt IN'!$G$13*('Batt IN'!$E$13/12)*'Batt IN'!$E$12,0)</f>
        <v>0</v>
      </c>
      <c r="BE202" s="10">
        <f>IF('Batt IN'!$E$11="Taxable",$S202*'Batt IN'!$G$15*'Batt IN'!$E$28*'Batt IN'!$E$14/1000,0)</f>
        <v>0</v>
      </c>
      <c r="BF202" s="10">
        <f>IF('Batt IN'!$E$11="Taxable",'Batt IN'!$E$21*'Batt IN'!$G$21/12,0)</f>
        <v>0</v>
      </c>
      <c r="BG202" s="10">
        <f>IF('Batt IN'!$E$11="Taxable",'Batt IN'!$E$22*'Batt IN'!$G$22/12,0)</f>
        <v>0</v>
      </c>
      <c r="BK202" s="10">
        <f>IF('Batt IN'!$N$18="Yes",-BattLoan!H230,-BattLoan!L230)</f>
        <v>0</v>
      </c>
      <c r="BL202" s="10">
        <f>IF('Batt IN'!$N$18="Yes",-BattLoan!F230,0)</f>
        <v>0</v>
      </c>
      <c r="BM202" s="10">
        <f>IF(AND('Batt IN'!$D$44="YES",$C202&lt;='Batt IN'!$E$44*12),0,-'Batt IN'!$E$28*'Batt IN'!$E$42/12)</f>
        <v>-83.333333333333329</v>
      </c>
      <c r="BN202" s="10">
        <f>IF(AND('Batt IN'!$D$46="YES",$C202&lt;='Batt IN'!$E$46*12),0,-'Batt IN'!$E$28*'Batt IN'!$E$45/12)</f>
        <v>-166.66666666666666</v>
      </c>
      <c r="BO202" s="2">
        <f>IF(AND('Batt IN'!$D$41="YES",BattCalcs!C202=ROUNDUP('Batt IN'!$H$41*12,)),-'Batt IN'!$E$41*'Batt IN'!$E$28,0)</f>
        <v>0</v>
      </c>
      <c r="BP202" s="2">
        <f>IF(AND('Batt IN'!$D$53="Yes",$AL$1&gt;=1),0,IF($C202='Batt IN'!$H$54*12,-'Batt IN'!$F$54,0))</f>
        <v>0</v>
      </c>
      <c r="BQ202" s="2">
        <f>IF(AND('Batt IN'!$D$53="Yes",$AL$1&gt;=2),0,IF($C202='Batt IN'!$H$55*12,-'Batt IN'!$F$55,0))</f>
        <v>0</v>
      </c>
      <c r="BR202" s="2">
        <f>IF(AND('Batt IN'!$D$53="Yes",$AL$1&gt;=3),0,IF($C202='Batt IN'!$H$56*12,-'Batt IN'!$F$56,0))</f>
        <v>0</v>
      </c>
      <c r="BS202" s="2">
        <f>IF(AND('Batt IN'!$D$53="Yes",$AL$1&gt;=4),0,IF($C202='Batt IN'!$H$57*12,-'Batt IN'!$F$57,0))</f>
        <v>0</v>
      </c>
      <c r="BT202" s="2">
        <f>IF(AND('Batt IN'!$D$53="Yes",$AL$1&gt;=5),0,IF($C202='Batt IN'!$H$58*12,-'Batt IN'!$F$58,0))</f>
        <v>0</v>
      </c>
      <c r="BU202" s="2">
        <f>-AH202*PVCalcs!F202</f>
        <v>-374.12248175581863</v>
      </c>
      <c r="BV202" s="2">
        <f>-'Batt IN'!$E$47</f>
        <v>-150</v>
      </c>
      <c r="BW202" s="2">
        <f>-'Batt IN'!$E$49</f>
        <v>-2250</v>
      </c>
      <c r="BX202" s="2">
        <f>IF('Batt IN'!$H$50="No",-(BC202*'Batt IN'!$E$50),-(BC202+BE202)*'Batt IN'!$E$50)</f>
        <v>0</v>
      </c>
      <c r="BY202" s="2">
        <f>IF(C202='Batt IN'!$H$43*12,-'Batt IN'!$E$43,0)</f>
        <v>0</v>
      </c>
      <c r="BZ202" s="38"/>
      <c r="CA202" s="10">
        <f t="shared" si="51"/>
        <v>13422.323408333334</v>
      </c>
      <c r="CB202" s="2">
        <f t="shared" si="55"/>
        <v>-3024.1224817558186</v>
      </c>
      <c r="CC202" s="45">
        <f t="shared" si="56"/>
        <v>10398.200926577516</v>
      </c>
      <c r="CD202" s="43"/>
      <c r="CE202" s="2">
        <f t="shared" si="52"/>
        <v>0</v>
      </c>
      <c r="CF202" s="2">
        <f t="shared" si="57"/>
        <v>-3024.1224817558186</v>
      </c>
      <c r="CG202" s="2"/>
      <c r="CH202" s="2">
        <f t="shared" si="58"/>
        <v>-3024.1224817558186</v>
      </c>
      <c r="CI202" s="45">
        <f>-CH202*'Batt IN'!$E$7</f>
        <v>635.06572116872189</v>
      </c>
      <c r="CJ202" s="48"/>
      <c r="CK202" s="45">
        <f>IF('Batt IN'!$F$4="PV Only",0,IF(C202&gt;'Batt IN'!$H$43*12,0,CC202+CI202))</f>
        <v>0</v>
      </c>
      <c r="CM202" s="10">
        <f t="shared" si="59"/>
        <v>0</v>
      </c>
      <c r="CN202" s="2">
        <f>CK202/(1+('Batt IN'!$G$8))^(C202)</f>
        <v>0</v>
      </c>
      <c r="CO202" s="2">
        <f>IF(C202&lt;='Batt IN'!$O$30*12,CN202+CO201,NA())</f>
        <v>0</v>
      </c>
      <c r="CQ202" s="2">
        <f>CK202/((1+('Batt IN'!$E$8/12))^BattCalcs!C202)</f>
        <v>0</v>
      </c>
      <c r="CS202" s="10">
        <f t="shared" si="60"/>
        <v>-3024.1224817558186</v>
      </c>
      <c r="CT202" s="10">
        <f t="shared" si="61"/>
        <v>0</v>
      </c>
      <c r="CU202" s="10">
        <f t="shared" si="62"/>
        <v>-3024.1224817558186</v>
      </c>
      <c r="CV202" s="10">
        <f t="shared" si="63"/>
        <v>-3024.1224817558186</v>
      </c>
      <c r="CW202" s="2">
        <f t="shared" si="64"/>
        <v>0</v>
      </c>
      <c r="CX202" s="2">
        <f>-(SUM(CV202:CW202)*'PV IN'!$E$8)</f>
        <v>635.06572116872189</v>
      </c>
      <c r="CY202" s="2">
        <f t="shared" si="65"/>
        <v>-2389.0567605870965</v>
      </c>
      <c r="CZ202" s="2">
        <f>IF(C202&lt;='Batt IN'!$H$43*12,CY202/(1+('PV IN'!$G$9))^(C202),0)</f>
        <v>-1068.0781568231596</v>
      </c>
      <c r="DA202" s="33">
        <f>IF(C202&lt;='Batt IN'!$H$43*12,AE202,0)</f>
        <v>30366.783333333333</v>
      </c>
    </row>
    <row r="203" spans="1:105" x14ac:dyDescent="0.25">
      <c r="A203">
        <f>IF(C203&lt;='Batt IN'!$H$43*12,C203,"")</f>
        <v>199</v>
      </c>
      <c r="C203">
        <v>199</v>
      </c>
      <c r="D203" s="21">
        <v>730</v>
      </c>
      <c r="E203" s="1">
        <f>1-'Batt IN'!$E$31</f>
        <v>2.0000000000000018E-2</v>
      </c>
      <c r="F203" s="12">
        <f>('Batt IN'!$E$33*365)/8760</f>
        <v>0</v>
      </c>
      <c r="G203" s="22">
        <f>'Batt IN'!$E$32/8760</f>
        <v>5.7077625570776253E-3</v>
      </c>
      <c r="H203" s="22">
        <f>'Batt IN'!$E$13/8760</f>
        <v>5.5936073059360729E-3</v>
      </c>
      <c r="I203" s="23">
        <f>IF(C203&lt;='Batt IN'!$G$14*12,'Batt IN'!$E$15/8760*'Batt IN'!$G$15,0)</f>
        <v>0</v>
      </c>
      <c r="J203" s="12">
        <f>Z203/'Batt IN'!$E$27/730</f>
        <v>2.4999999999999996E-3</v>
      </c>
      <c r="K203" s="23">
        <f>AA203/'Batt IN'!$E$27/730</f>
        <v>1.6027397260273972E-3</v>
      </c>
      <c r="L203" s="23">
        <f>AB203/'Batt IN'!$E$27/730</f>
        <v>2.0547945205479451E-4</v>
      </c>
      <c r="M203" s="23">
        <f>AC203/'Batt IN'!$E$27/730</f>
        <v>4.7945205479452057E-3</v>
      </c>
      <c r="N203" s="23">
        <f>AD203/'Batt IN'!$E$27/730</f>
        <v>3.4246575342465752E-3</v>
      </c>
      <c r="O203" s="12">
        <f t="shared" si="53"/>
        <v>4.3828767123287697E-2</v>
      </c>
      <c r="P203" s="21">
        <f t="shared" si="54"/>
        <v>698.005</v>
      </c>
      <c r="Q203" s="2">
        <f>IF('Batt IN'!$E$27*'Batt IN'!$E$24&lt;='Batt IN'!$E$28,(('Batt IN'!$E$23*'Batt IN'!$E$27*'Batt IN'!$E$24)/1000)*P203,(('Batt IN'!$E$23*'Batt IN'!$E$28*'Batt IN'!$E$24)/1000)*P203)</f>
        <v>11168.08</v>
      </c>
      <c r="R203" s="2"/>
      <c r="S203" s="77">
        <f>IF(C203&lt;='Batt IN'!$G$14*12,'Batt IN'!$E$15/12,0)</f>
        <v>0</v>
      </c>
      <c r="T203" s="77"/>
      <c r="U203" s="80">
        <f>'Batt IN'!$E$28*('Batt IN'!$G$24/24)*730*(1-O203)</f>
        <v>81433.916666666657</v>
      </c>
      <c r="V203" s="78">
        <f>U203*'Batt IN'!$F$30</f>
        <v>16286.783333333333</v>
      </c>
      <c r="W203" s="78">
        <f>'Batt IN'!$E$28*'Batt IN'!$G$32*('Batt IN'!$E$32/12)*(1+'Batt IN'!$F$30)</f>
        <v>1750.0000000000002</v>
      </c>
      <c r="X203" s="78">
        <f>'Batt IN'!$E$28*'Batt IN'!$G$13*('Batt IN'!$E$13/12)*(1+'Batt IN'!$F$30)</f>
        <v>3184.9999999999995</v>
      </c>
      <c r="Y203" s="33">
        <f>S203*'Batt IN'!$G$15*'Batt IN'!$E$28*(1+'Batt IN'!$F$30)</f>
        <v>0</v>
      </c>
      <c r="Z203" s="33">
        <f>'Batt IN'!$G$16*365/12*(1+'Batt IN'!$F$30)</f>
        <v>1824.9999999999998</v>
      </c>
      <c r="AA203" s="33">
        <f>'Batt IN'!$G$17*'Batt IN'!$E$18*'Batt IN'!$G$18/12*(1+'Batt IN'!$F$30)</f>
        <v>1170</v>
      </c>
      <c r="AB203" s="33">
        <f>'Batt IN'!$G$19*'Batt IN'!$E$20*'Batt IN'!$G$20/12*(1+'Batt IN'!$F$30)</f>
        <v>150</v>
      </c>
      <c r="AC203" s="33">
        <f>'Batt IN'!$G$21*(1+'Batt IN'!$F$30)/12</f>
        <v>3500</v>
      </c>
      <c r="AD203" s="33">
        <f>'Batt IN'!$G$22*(1+'Batt IN'!$F$30)/12</f>
        <v>2500</v>
      </c>
      <c r="AE203" s="33">
        <f t="shared" si="66"/>
        <v>30366.783333333333</v>
      </c>
      <c r="AF203" s="33">
        <f>IF('PV IN'!$F$4="Battery Only",0,AE203*'Batt IN'!$E$29)</f>
        <v>25811.765833333331</v>
      </c>
      <c r="AG203" s="33">
        <f>PVCalcs!L203</f>
        <v>25811.765833333331</v>
      </c>
      <c r="AH203" s="33">
        <f t="shared" si="67"/>
        <v>4555.0175000000017</v>
      </c>
      <c r="AI203" s="33"/>
      <c r="AJ203" s="2">
        <f>IF(AND('Batt IN'!$D$53="Yes",$AL$1&gt;=1),IF($C203='Batt IN'!$H$54*12,-'Batt IN'!$F$54,0),0)</f>
        <v>0</v>
      </c>
      <c r="AK203" s="2">
        <f>IF(AND('Batt IN'!$D$53="Yes",$AL$1&gt;=2),IF($C203='Batt IN'!$H$55*12,-'Batt IN'!$F$55,0),0)</f>
        <v>0</v>
      </c>
      <c r="AL203" s="2">
        <f>IF(AND('Batt IN'!$D$53="Yes",$AL$1&gt;=3),IF($C203='Batt IN'!$H$56*12,-'Batt IN'!$F$56,0),0)</f>
        <v>0</v>
      </c>
      <c r="AM203" s="2">
        <f>IF(AND('Batt IN'!$D$53="Yes",$AL$1&gt;=4),IF($C203='Batt IN'!$H$57*12,-'Batt IN'!$F$57,0),0)</f>
        <v>0</v>
      </c>
      <c r="AN203" s="2">
        <f>IF(AND('Batt IN'!$D$53="Yes",$AL$1&gt;=5),IF($C203='Batt IN'!$H$58*12,-'Batt IN'!$F$58,0),0)</f>
        <v>0</v>
      </c>
      <c r="AO203" s="10">
        <f>IF(AND('Batt IN'!$D$44="YES",$C203&lt;='Batt IN'!$E$44*12),-'Batt IN'!$E$28*'Batt IN'!$E$42/12,0)</f>
        <v>0</v>
      </c>
      <c r="AP203" s="10">
        <f>IF(AND('Batt IN'!$D$46="YES",$C203&lt;='Batt IN'!$E$46*12),-'Batt IN'!$E$28*'Batt IN'!$E$45/12,0)</f>
        <v>0</v>
      </c>
      <c r="AR203" s="10">
        <f>BattLoan!M230</f>
        <v>0</v>
      </c>
      <c r="AS203" s="10">
        <f>'Batt IN'!$G$16*365/12*'Batt IN'!$E$16</f>
        <v>76.041666666666671</v>
      </c>
      <c r="AT203" s="10">
        <f>IF(AND('Batt IN'!$E$18&gt;0,'Batt IN'!$G$18&gt;0),'Batt IN'!$E$17*'Batt IN'!$G$17,0)</f>
        <v>119.44619999999999</v>
      </c>
      <c r="AU203" s="10">
        <f>IF(AND('Batt IN'!$E$20&gt;0,'Batt IN'!$G$20&gt;0),'Batt IN'!$E$19*'Batt IN'!$G$19,0)</f>
        <v>231</v>
      </c>
      <c r="AV203" s="10"/>
      <c r="AW203" s="10"/>
      <c r="AX203" s="10">
        <f>IF('Batt IN'!$E$11="Non-Taxable",Q203,0)</f>
        <v>11168.08</v>
      </c>
      <c r="AY203" s="10">
        <f>IF('Batt IN'!$E$11="Non-Taxable",'Batt IN'!$E$28/1000*'Batt IN'!$G$13*('Batt IN'!$E$13/12)*'Batt IN'!$E$12,0)</f>
        <v>244.42220833333334</v>
      </c>
      <c r="AZ203" s="10">
        <f>IF('Batt IN'!$E$11="Non-Taxable",$S203*'Batt IN'!$G$15*'Batt IN'!$E$28*'Batt IN'!$E$14/1000,0)</f>
        <v>0</v>
      </c>
      <c r="BA203" s="10">
        <f>IF('Batt IN'!$E$11="Non-Taxable",'Batt IN'!$E$21*'Batt IN'!$G$21/12,0)</f>
        <v>437.5</v>
      </c>
      <c r="BB203" s="10">
        <f>IF('Batt IN'!$E$11="Non-Taxable",'Batt IN'!$E$22*'Batt IN'!$G$22/12,0)</f>
        <v>1145.8333333333335</v>
      </c>
      <c r="BC203" s="10">
        <f>IF('Batt IN'!$E$11="Taxable",Q203,0)</f>
        <v>0</v>
      </c>
      <c r="BD203" s="10">
        <f>IF('Batt IN'!$E$11="Taxable",'Batt IN'!$E$28/1000*'Batt IN'!$G$13*('Batt IN'!$E$13/12)*'Batt IN'!$E$12,0)</f>
        <v>0</v>
      </c>
      <c r="BE203" s="10">
        <f>IF('Batt IN'!$E$11="Taxable",$S203*'Batt IN'!$G$15*'Batt IN'!$E$28*'Batt IN'!$E$14/1000,0)</f>
        <v>0</v>
      </c>
      <c r="BF203" s="10">
        <f>IF('Batt IN'!$E$11="Taxable",'Batt IN'!$E$21*'Batt IN'!$G$21/12,0)</f>
        <v>0</v>
      </c>
      <c r="BG203" s="10">
        <f>IF('Batt IN'!$E$11="Taxable",'Batt IN'!$E$22*'Batt IN'!$G$22/12,0)</f>
        <v>0</v>
      </c>
      <c r="BK203" s="10">
        <f>IF('Batt IN'!$N$18="Yes",-BattLoan!H231,-BattLoan!L231)</f>
        <v>0</v>
      </c>
      <c r="BL203" s="10">
        <f>IF('Batt IN'!$N$18="Yes",-BattLoan!F231,0)</f>
        <v>0</v>
      </c>
      <c r="BM203" s="10">
        <f>IF(AND('Batt IN'!$D$44="YES",$C203&lt;='Batt IN'!$E$44*12),0,-'Batt IN'!$E$28*'Batt IN'!$E$42/12)</f>
        <v>-83.333333333333329</v>
      </c>
      <c r="BN203" s="10">
        <f>IF(AND('Batt IN'!$D$46="YES",$C203&lt;='Batt IN'!$E$46*12),0,-'Batt IN'!$E$28*'Batt IN'!$E$45/12)</f>
        <v>-166.66666666666666</v>
      </c>
      <c r="BO203" s="2">
        <f>IF(AND('Batt IN'!$D$41="YES",BattCalcs!C203=ROUNDUP('Batt IN'!$H$41*12,)),-'Batt IN'!$E$41*'Batt IN'!$E$28,0)</f>
        <v>0</v>
      </c>
      <c r="BP203" s="2">
        <f>IF(AND('Batt IN'!$D$53="Yes",$AL$1&gt;=1),0,IF($C203='Batt IN'!$H$54*12,-'Batt IN'!$F$54,0))</f>
        <v>0</v>
      </c>
      <c r="BQ203" s="2">
        <f>IF(AND('Batt IN'!$D$53="Yes",$AL$1&gt;=2),0,IF($C203='Batt IN'!$H$55*12,-'Batt IN'!$F$55,0))</f>
        <v>0</v>
      </c>
      <c r="BR203" s="2">
        <f>IF(AND('Batt IN'!$D$53="Yes",$AL$1&gt;=3),0,IF($C203='Batt IN'!$H$56*12,-'Batt IN'!$F$56,0))</f>
        <v>0</v>
      </c>
      <c r="BS203" s="2">
        <f>IF(AND('Batt IN'!$D$53="Yes",$AL$1&gt;=4),0,IF($C203='Batt IN'!$H$57*12,-'Batt IN'!$F$57,0))</f>
        <v>0</v>
      </c>
      <c r="BT203" s="2">
        <f>IF(AND('Batt IN'!$D$53="Yes",$AL$1&gt;=5),0,IF($C203='Batt IN'!$H$58*12,-'Batt IN'!$F$58,0))</f>
        <v>0</v>
      </c>
      <c r="BU203" s="2">
        <f>-AH203*PVCalcs!F203</f>
        <v>-374.12248175581863</v>
      </c>
      <c r="BV203" s="2">
        <f>-'Batt IN'!$E$47</f>
        <v>-150</v>
      </c>
      <c r="BW203" s="2">
        <f>-'Batt IN'!$E$49</f>
        <v>-2250</v>
      </c>
      <c r="BX203" s="2">
        <f>IF('Batt IN'!$H$50="No",-(BC203*'Batt IN'!$E$50),-(BC203+BE203)*'Batt IN'!$E$50)</f>
        <v>0</v>
      </c>
      <c r="BY203" s="2">
        <f>IF(C203='Batt IN'!$H$43*12,-'Batt IN'!$E$43,0)</f>
        <v>0</v>
      </c>
      <c r="BZ203" s="38"/>
      <c r="CA203" s="10">
        <f t="shared" si="51"/>
        <v>13422.323408333334</v>
      </c>
      <c r="CB203" s="2">
        <f t="shared" si="55"/>
        <v>-3024.1224817558186</v>
      </c>
      <c r="CC203" s="45">
        <f t="shared" si="56"/>
        <v>10398.200926577516</v>
      </c>
      <c r="CD203" s="43"/>
      <c r="CE203" s="2">
        <f t="shared" si="52"/>
        <v>0</v>
      </c>
      <c r="CF203" s="2">
        <f t="shared" si="57"/>
        <v>-3024.1224817558186</v>
      </c>
      <c r="CG203" s="2"/>
      <c r="CH203" s="2">
        <f t="shared" si="58"/>
        <v>-3024.1224817558186</v>
      </c>
      <c r="CI203" s="45">
        <f>-CH203*'Batt IN'!$E$7</f>
        <v>635.06572116872189</v>
      </c>
      <c r="CJ203" s="48"/>
      <c r="CK203" s="45">
        <f>IF('Batt IN'!$F$4="PV Only",0,IF(C203&gt;'Batt IN'!$H$43*12,0,CC203+CI203))</f>
        <v>0</v>
      </c>
      <c r="CM203" s="10">
        <f t="shared" si="59"/>
        <v>0</v>
      </c>
      <c r="CN203" s="2">
        <f>CK203/(1+('Batt IN'!$G$8))^(C203)</f>
        <v>0</v>
      </c>
      <c r="CO203" s="2">
        <f>IF(C203&lt;='Batt IN'!$O$30*12,CN203+CO202,NA())</f>
        <v>0</v>
      </c>
      <c r="CQ203" s="2">
        <f>CK203/((1+('Batt IN'!$E$8/12))^BattCalcs!C203)</f>
        <v>0</v>
      </c>
      <c r="CS203" s="10">
        <f t="shared" si="60"/>
        <v>-3024.1224817558186</v>
      </c>
      <c r="CT203" s="10">
        <f t="shared" si="61"/>
        <v>0</v>
      </c>
      <c r="CU203" s="10">
        <f t="shared" si="62"/>
        <v>-3024.1224817558186</v>
      </c>
      <c r="CV203" s="10">
        <f t="shared" si="63"/>
        <v>-3024.1224817558186</v>
      </c>
      <c r="CW203" s="2">
        <f t="shared" si="64"/>
        <v>0</v>
      </c>
      <c r="CX203" s="2">
        <f>-(SUM(CV203:CW203)*'PV IN'!$E$8)</f>
        <v>635.06572116872189</v>
      </c>
      <c r="CY203" s="2">
        <f t="shared" si="65"/>
        <v>-2389.0567605870965</v>
      </c>
      <c r="CZ203" s="2">
        <f>IF(C203&lt;='Batt IN'!$H$43*12,CY203/(1+('PV IN'!$G$9))^(C203),0)</f>
        <v>-1063.744330745548</v>
      </c>
      <c r="DA203" s="33">
        <f>IF(C203&lt;='Batt IN'!$H$43*12,AE203,0)</f>
        <v>30366.783333333333</v>
      </c>
    </row>
    <row r="204" spans="1:105" x14ac:dyDescent="0.25">
      <c r="A204">
        <f>IF(C204&lt;='Batt IN'!$H$43*12,C204,"")</f>
        <v>200</v>
      </c>
      <c r="C204">
        <v>200</v>
      </c>
      <c r="D204" s="21">
        <v>730</v>
      </c>
      <c r="E204" s="1">
        <f>1-'Batt IN'!$E$31</f>
        <v>2.0000000000000018E-2</v>
      </c>
      <c r="F204" s="12">
        <f>('Batt IN'!$E$33*365)/8760</f>
        <v>0</v>
      </c>
      <c r="G204" s="22">
        <f>'Batt IN'!$E$32/8760</f>
        <v>5.7077625570776253E-3</v>
      </c>
      <c r="H204" s="22">
        <f>'Batt IN'!$E$13/8760</f>
        <v>5.5936073059360729E-3</v>
      </c>
      <c r="I204" s="23">
        <f>IF(C204&lt;='Batt IN'!$G$14*12,'Batt IN'!$E$15/8760*'Batt IN'!$G$15,0)</f>
        <v>0</v>
      </c>
      <c r="J204" s="12">
        <f>Z204/'Batt IN'!$E$27/730</f>
        <v>2.4999999999999996E-3</v>
      </c>
      <c r="K204" s="23">
        <f>AA204/'Batt IN'!$E$27/730</f>
        <v>1.6027397260273972E-3</v>
      </c>
      <c r="L204" s="23">
        <f>AB204/'Batt IN'!$E$27/730</f>
        <v>2.0547945205479451E-4</v>
      </c>
      <c r="M204" s="23">
        <f>AC204/'Batt IN'!$E$27/730</f>
        <v>4.7945205479452057E-3</v>
      </c>
      <c r="N204" s="23">
        <f>AD204/'Batt IN'!$E$27/730</f>
        <v>3.4246575342465752E-3</v>
      </c>
      <c r="O204" s="12">
        <f t="shared" si="53"/>
        <v>4.3828767123287697E-2</v>
      </c>
      <c r="P204" s="21">
        <f t="shared" si="54"/>
        <v>698.005</v>
      </c>
      <c r="Q204" s="2">
        <f>IF('Batt IN'!$E$27*'Batt IN'!$E$24&lt;='Batt IN'!$E$28,(('Batt IN'!$E$23*'Batt IN'!$E$27*'Batt IN'!$E$24)/1000)*P204,(('Batt IN'!$E$23*'Batt IN'!$E$28*'Batt IN'!$E$24)/1000)*P204)</f>
        <v>11168.08</v>
      </c>
      <c r="R204" s="2"/>
      <c r="S204" s="77">
        <f>IF(C204&lt;='Batt IN'!$G$14*12,'Batt IN'!$E$15/12,0)</f>
        <v>0</v>
      </c>
      <c r="T204" s="77"/>
      <c r="U204" s="80">
        <f>'Batt IN'!$E$28*('Batt IN'!$G$24/24)*730*(1-O204)</f>
        <v>81433.916666666657</v>
      </c>
      <c r="V204" s="78">
        <f>U204*'Batt IN'!$F$30</f>
        <v>16286.783333333333</v>
      </c>
      <c r="W204" s="78">
        <f>'Batt IN'!$E$28*'Batt IN'!$G$32*('Batt IN'!$E$32/12)*(1+'Batt IN'!$F$30)</f>
        <v>1750.0000000000002</v>
      </c>
      <c r="X204" s="78">
        <f>'Batt IN'!$E$28*'Batt IN'!$G$13*('Batt IN'!$E$13/12)*(1+'Batt IN'!$F$30)</f>
        <v>3184.9999999999995</v>
      </c>
      <c r="Y204" s="33">
        <f>S204*'Batt IN'!$G$15*'Batt IN'!$E$28*(1+'Batt IN'!$F$30)</f>
        <v>0</v>
      </c>
      <c r="Z204" s="33">
        <f>'Batt IN'!$G$16*365/12*(1+'Batt IN'!$F$30)</f>
        <v>1824.9999999999998</v>
      </c>
      <c r="AA204" s="33">
        <f>'Batt IN'!$G$17*'Batt IN'!$E$18*'Batt IN'!$G$18/12*(1+'Batt IN'!$F$30)</f>
        <v>1170</v>
      </c>
      <c r="AB204" s="33">
        <f>'Batt IN'!$G$19*'Batt IN'!$E$20*'Batt IN'!$G$20/12*(1+'Batt IN'!$F$30)</f>
        <v>150</v>
      </c>
      <c r="AC204" s="33">
        <f>'Batt IN'!$G$21*(1+'Batt IN'!$F$30)/12</f>
        <v>3500</v>
      </c>
      <c r="AD204" s="33">
        <f>'Batt IN'!$G$22*(1+'Batt IN'!$F$30)/12</f>
        <v>2500</v>
      </c>
      <c r="AE204" s="33">
        <f t="shared" si="66"/>
        <v>30366.783333333333</v>
      </c>
      <c r="AF204" s="33">
        <f>IF('PV IN'!$F$4="Battery Only",0,AE204*'Batt IN'!$E$29)</f>
        <v>25811.765833333331</v>
      </c>
      <c r="AG204" s="33">
        <f>PVCalcs!L204</f>
        <v>25811.765833333331</v>
      </c>
      <c r="AH204" s="33">
        <f t="shared" si="67"/>
        <v>4555.0175000000017</v>
      </c>
      <c r="AI204" s="33"/>
      <c r="AJ204" s="2">
        <f>IF(AND('Batt IN'!$D$53="Yes",$AL$1&gt;=1),IF($C204='Batt IN'!$H$54*12,-'Batt IN'!$F$54,0),0)</f>
        <v>0</v>
      </c>
      <c r="AK204" s="2">
        <f>IF(AND('Batt IN'!$D$53="Yes",$AL$1&gt;=2),IF($C204='Batt IN'!$H$55*12,-'Batt IN'!$F$55,0),0)</f>
        <v>0</v>
      </c>
      <c r="AL204" s="2">
        <f>IF(AND('Batt IN'!$D$53="Yes",$AL$1&gt;=3),IF($C204='Batt IN'!$H$56*12,-'Batt IN'!$F$56,0),0)</f>
        <v>0</v>
      </c>
      <c r="AM204" s="2">
        <f>IF(AND('Batt IN'!$D$53="Yes",$AL$1&gt;=4),IF($C204='Batt IN'!$H$57*12,-'Batt IN'!$F$57,0),0)</f>
        <v>0</v>
      </c>
      <c r="AN204" s="2">
        <f>IF(AND('Batt IN'!$D$53="Yes",$AL$1&gt;=5),IF($C204='Batt IN'!$H$58*12,-'Batt IN'!$F$58,0),0)</f>
        <v>0</v>
      </c>
      <c r="AO204" s="10">
        <f>IF(AND('Batt IN'!$D$44="YES",$C204&lt;='Batt IN'!$E$44*12),-'Batt IN'!$E$28*'Batt IN'!$E$42/12,0)</f>
        <v>0</v>
      </c>
      <c r="AP204" s="10">
        <f>IF(AND('Batt IN'!$D$46="YES",$C204&lt;='Batt IN'!$E$46*12),-'Batt IN'!$E$28*'Batt IN'!$E$45/12,0)</f>
        <v>0</v>
      </c>
      <c r="AR204" s="10">
        <f>BattLoan!M231</f>
        <v>0</v>
      </c>
      <c r="AS204" s="10">
        <f>'Batt IN'!$G$16*365/12*'Batt IN'!$E$16</f>
        <v>76.041666666666671</v>
      </c>
      <c r="AT204" s="10">
        <f>IF(AND('Batt IN'!$E$18&gt;0,'Batt IN'!$G$18&gt;0),'Batt IN'!$E$17*'Batt IN'!$G$17,0)</f>
        <v>119.44619999999999</v>
      </c>
      <c r="AU204" s="10">
        <f>IF(AND('Batt IN'!$E$20&gt;0,'Batt IN'!$G$20&gt;0),'Batt IN'!$E$19*'Batt IN'!$G$19,0)</f>
        <v>231</v>
      </c>
      <c r="AV204" s="10"/>
      <c r="AW204" s="10"/>
      <c r="AX204" s="10">
        <f>IF('Batt IN'!$E$11="Non-Taxable",Q204,0)</f>
        <v>11168.08</v>
      </c>
      <c r="AY204" s="10">
        <f>IF('Batt IN'!$E$11="Non-Taxable",'Batt IN'!$E$28/1000*'Batt IN'!$G$13*('Batt IN'!$E$13/12)*'Batt IN'!$E$12,0)</f>
        <v>244.42220833333334</v>
      </c>
      <c r="AZ204" s="10">
        <f>IF('Batt IN'!$E$11="Non-Taxable",$S204*'Batt IN'!$G$15*'Batt IN'!$E$28*'Batt IN'!$E$14/1000,0)</f>
        <v>0</v>
      </c>
      <c r="BA204" s="10">
        <f>IF('Batt IN'!$E$11="Non-Taxable",'Batt IN'!$E$21*'Batt IN'!$G$21/12,0)</f>
        <v>437.5</v>
      </c>
      <c r="BB204" s="10">
        <f>IF('Batt IN'!$E$11="Non-Taxable",'Batt IN'!$E$22*'Batt IN'!$G$22/12,0)</f>
        <v>1145.8333333333335</v>
      </c>
      <c r="BC204" s="10">
        <f>IF('Batt IN'!$E$11="Taxable",Q204,0)</f>
        <v>0</v>
      </c>
      <c r="BD204" s="10">
        <f>IF('Batt IN'!$E$11="Taxable",'Batt IN'!$E$28/1000*'Batt IN'!$G$13*('Batt IN'!$E$13/12)*'Batt IN'!$E$12,0)</f>
        <v>0</v>
      </c>
      <c r="BE204" s="10">
        <f>IF('Batt IN'!$E$11="Taxable",$S204*'Batt IN'!$G$15*'Batt IN'!$E$28*'Batt IN'!$E$14/1000,0)</f>
        <v>0</v>
      </c>
      <c r="BF204" s="10">
        <f>IF('Batt IN'!$E$11="Taxable",'Batt IN'!$E$21*'Batt IN'!$G$21/12,0)</f>
        <v>0</v>
      </c>
      <c r="BG204" s="10">
        <f>IF('Batt IN'!$E$11="Taxable",'Batt IN'!$E$22*'Batt IN'!$G$22/12,0)</f>
        <v>0</v>
      </c>
      <c r="BK204" s="10">
        <f>IF('Batt IN'!$N$18="Yes",-BattLoan!H232,-BattLoan!L232)</f>
        <v>0</v>
      </c>
      <c r="BL204" s="10">
        <f>IF('Batt IN'!$N$18="Yes",-BattLoan!F232,0)</f>
        <v>0</v>
      </c>
      <c r="BM204" s="10">
        <f>IF(AND('Batt IN'!$D$44="YES",$C204&lt;='Batt IN'!$E$44*12),0,-'Batt IN'!$E$28*'Batt IN'!$E$42/12)</f>
        <v>-83.333333333333329</v>
      </c>
      <c r="BN204" s="10">
        <f>IF(AND('Batt IN'!$D$46="YES",$C204&lt;='Batt IN'!$E$46*12),0,-'Batt IN'!$E$28*'Batt IN'!$E$45/12)</f>
        <v>-166.66666666666666</v>
      </c>
      <c r="BO204" s="2">
        <f>IF(AND('Batt IN'!$D$41="YES",BattCalcs!C204=ROUNDUP('Batt IN'!$H$41*12,)),-'Batt IN'!$E$41*'Batt IN'!$E$28,0)</f>
        <v>0</v>
      </c>
      <c r="BP204" s="2">
        <f>IF(AND('Batt IN'!$D$53="Yes",$AL$1&gt;=1),0,IF($C204='Batt IN'!$H$54*12,-'Batt IN'!$F$54,0))</f>
        <v>0</v>
      </c>
      <c r="BQ204" s="2">
        <f>IF(AND('Batt IN'!$D$53="Yes",$AL$1&gt;=2),0,IF($C204='Batt IN'!$H$55*12,-'Batt IN'!$F$55,0))</f>
        <v>0</v>
      </c>
      <c r="BR204" s="2">
        <f>IF(AND('Batt IN'!$D$53="Yes",$AL$1&gt;=3),0,IF($C204='Batt IN'!$H$56*12,-'Batt IN'!$F$56,0))</f>
        <v>0</v>
      </c>
      <c r="BS204" s="2">
        <f>IF(AND('Batt IN'!$D$53="Yes",$AL$1&gt;=4),0,IF($C204='Batt IN'!$H$57*12,-'Batt IN'!$F$57,0))</f>
        <v>0</v>
      </c>
      <c r="BT204" s="2">
        <f>IF(AND('Batt IN'!$D$53="Yes",$AL$1&gt;=5),0,IF($C204='Batt IN'!$H$58*12,-'Batt IN'!$F$58,0))</f>
        <v>0</v>
      </c>
      <c r="BU204" s="2">
        <f>-AH204*PVCalcs!F204</f>
        <v>-374.12248175581863</v>
      </c>
      <c r="BV204" s="2">
        <f>-'Batt IN'!$E$47</f>
        <v>-150</v>
      </c>
      <c r="BW204" s="2">
        <f>-'Batt IN'!$E$49</f>
        <v>-2250</v>
      </c>
      <c r="BX204" s="2">
        <f>IF('Batt IN'!$H$50="No",-(BC204*'Batt IN'!$E$50),-(BC204+BE204)*'Batt IN'!$E$50)</f>
        <v>0</v>
      </c>
      <c r="BY204" s="2">
        <f>IF(C204='Batt IN'!$H$43*12,-'Batt IN'!$E$43,0)</f>
        <v>0</v>
      </c>
      <c r="BZ204" s="38"/>
      <c r="CA204" s="10">
        <f t="shared" si="51"/>
        <v>13422.323408333334</v>
      </c>
      <c r="CB204" s="2">
        <f t="shared" si="55"/>
        <v>-3024.1224817558186</v>
      </c>
      <c r="CC204" s="45">
        <f t="shared" si="56"/>
        <v>10398.200926577516</v>
      </c>
      <c r="CD204" s="43"/>
      <c r="CE204" s="2">
        <f t="shared" si="52"/>
        <v>0</v>
      </c>
      <c r="CF204" s="2">
        <f t="shared" si="57"/>
        <v>-3024.1224817558186</v>
      </c>
      <c r="CG204" s="2"/>
      <c r="CH204" s="2">
        <f t="shared" si="58"/>
        <v>-3024.1224817558186</v>
      </c>
      <c r="CI204" s="45">
        <f>-CH204*'Batt IN'!$E$7</f>
        <v>635.06572116872189</v>
      </c>
      <c r="CJ204" s="48"/>
      <c r="CK204" s="45">
        <f>IF('Batt IN'!$F$4="PV Only",0,IF(C204&gt;'Batt IN'!$H$43*12,0,CC204+CI204))</f>
        <v>0</v>
      </c>
      <c r="CM204" s="10">
        <f t="shared" si="59"/>
        <v>0</v>
      </c>
      <c r="CN204" s="2">
        <f>CK204/(1+('Batt IN'!$G$8))^(C204)</f>
        <v>0</v>
      </c>
      <c r="CO204" s="2">
        <f>IF(C204&lt;='Batt IN'!$O$30*12,CN204+CO203,NA())</f>
        <v>0</v>
      </c>
      <c r="CQ204" s="2">
        <f>CK204/((1+('Batt IN'!$E$8/12))^BattCalcs!C204)</f>
        <v>0</v>
      </c>
      <c r="CS204" s="10">
        <f t="shared" si="60"/>
        <v>-3024.1224817558186</v>
      </c>
      <c r="CT204" s="10">
        <f t="shared" si="61"/>
        <v>0</v>
      </c>
      <c r="CU204" s="10">
        <f t="shared" si="62"/>
        <v>-3024.1224817558186</v>
      </c>
      <c r="CV204" s="10">
        <f t="shared" si="63"/>
        <v>-3024.1224817558186</v>
      </c>
      <c r="CW204" s="2">
        <f t="shared" si="64"/>
        <v>0</v>
      </c>
      <c r="CX204" s="2">
        <f>-(SUM(CV204:CW204)*'PV IN'!$E$8)</f>
        <v>635.06572116872189</v>
      </c>
      <c r="CY204" s="2">
        <f t="shared" si="65"/>
        <v>-2389.0567605870965</v>
      </c>
      <c r="CZ204" s="2">
        <f>IF(C204&lt;='Batt IN'!$H$43*12,CY204/(1+('PV IN'!$G$9))^(C204),0)</f>
        <v>-1059.4280895687707</v>
      </c>
      <c r="DA204" s="33">
        <f>IF(C204&lt;='Batt IN'!$H$43*12,AE204,0)</f>
        <v>30366.783333333333</v>
      </c>
    </row>
    <row r="205" spans="1:105" x14ac:dyDescent="0.25">
      <c r="A205">
        <f>IF(C205&lt;='Batt IN'!$H$43*12,C205,"")</f>
        <v>201</v>
      </c>
      <c r="C205">
        <v>201</v>
      </c>
      <c r="D205" s="21">
        <v>730</v>
      </c>
      <c r="E205" s="1">
        <f>1-'Batt IN'!$E$31</f>
        <v>2.0000000000000018E-2</v>
      </c>
      <c r="F205" s="12">
        <f>('Batt IN'!$E$33*365)/8760</f>
        <v>0</v>
      </c>
      <c r="G205" s="22">
        <f>'Batt IN'!$E$32/8760</f>
        <v>5.7077625570776253E-3</v>
      </c>
      <c r="H205" s="22">
        <f>'Batt IN'!$E$13/8760</f>
        <v>5.5936073059360729E-3</v>
      </c>
      <c r="I205" s="23">
        <f>IF(C205&lt;='Batt IN'!$G$14*12,'Batt IN'!$E$15/8760*'Batt IN'!$G$15,0)</f>
        <v>0</v>
      </c>
      <c r="J205" s="12">
        <f>Z205/'Batt IN'!$E$27/730</f>
        <v>2.4999999999999996E-3</v>
      </c>
      <c r="K205" s="23">
        <f>AA205/'Batt IN'!$E$27/730</f>
        <v>1.6027397260273972E-3</v>
      </c>
      <c r="L205" s="23">
        <f>AB205/'Batt IN'!$E$27/730</f>
        <v>2.0547945205479451E-4</v>
      </c>
      <c r="M205" s="23">
        <f>AC205/'Batt IN'!$E$27/730</f>
        <v>4.7945205479452057E-3</v>
      </c>
      <c r="N205" s="23">
        <f>AD205/'Batt IN'!$E$27/730</f>
        <v>3.4246575342465752E-3</v>
      </c>
      <c r="O205" s="12">
        <f t="shared" si="53"/>
        <v>4.3828767123287697E-2</v>
      </c>
      <c r="P205" s="21">
        <f t="shared" si="54"/>
        <v>698.005</v>
      </c>
      <c r="Q205" s="2">
        <f>IF('Batt IN'!$E$27*'Batt IN'!$E$24&lt;='Batt IN'!$E$28,(('Batt IN'!$E$23*'Batt IN'!$E$27*'Batt IN'!$E$24)/1000)*P205,(('Batt IN'!$E$23*'Batt IN'!$E$28*'Batt IN'!$E$24)/1000)*P205)</f>
        <v>11168.08</v>
      </c>
      <c r="R205" s="2"/>
      <c r="S205" s="77">
        <f>IF(C205&lt;='Batt IN'!$G$14*12,'Batt IN'!$E$15/12,0)</f>
        <v>0</v>
      </c>
      <c r="T205" s="77"/>
      <c r="U205" s="80">
        <f>'Batt IN'!$E$28*('Batt IN'!$G$24/24)*730*(1-O205)</f>
        <v>81433.916666666657</v>
      </c>
      <c r="V205" s="78">
        <f>U205*'Batt IN'!$F$30</f>
        <v>16286.783333333333</v>
      </c>
      <c r="W205" s="78">
        <f>'Batt IN'!$E$28*'Batt IN'!$G$32*('Batt IN'!$E$32/12)*(1+'Batt IN'!$F$30)</f>
        <v>1750.0000000000002</v>
      </c>
      <c r="X205" s="78">
        <f>'Batt IN'!$E$28*'Batt IN'!$G$13*('Batt IN'!$E$13/12)*(1+'Batt IN'!$F$30)</f>
        <v>3184.9999999999995</v>
      </c>
      <c r="Y205" s="33">
        <f>S205*'Batt IN'!$G$15*'Batt IN'!$E$28*(1+'Batt IN'!$F$30)</f>
        <v>0</v>
      </c>
      <c r="Z205" s="33">
        <f>'Batt IN'!$G$16*365/12*(1+'Batt IN'!$F$30)</f>
        <v>1824.9999999999998</v>
      </c>
      <c r="AA205" s="33">
        <f>'Batt IN'!$G$17*'Batt IN'!$E$18*'Batt IN'!$G$18/12*(1+'Batt IN'!$F$30)</f>
        <v>1170</v>
      </c>
      <c r="AB205" s="33">
        <f>'Batt IN'!$G$19*'Batt IN'!$E$20*'Batt IN'!$G$20/12*(1+'Batt IN'!$F$30)</f>
        <v>150</v>
      </c>
      <c r="AC205" s="33">
        <f>'Batt IN'!$G$21*(1+'Batt IN'!$F$30)/12</f>
        <v>3500</v>
      </c>
      <c r="AD205" s="33">
        <f>'Batt IN'!$G$22*(1+'Batt IN'!$F$30)/12</f>
        <v>2500</v>
      </c>
      <c r="AE205" s="33">
        <f t="shared" si="66"/>
        <v>30366.783333333333</v>
      </c>
      <c r="AF205" s="33">
        <f>IF('PV IN'!$F$4="Battery Only",0,AE205*'Batt IN'!$E$29)</f>
        <v>25811.765833333331</v>
      </c>
      <c r="AG205" s="33">
        <f>PVCalcs!L205</f>
        <v>25811.765833333331</v>
      </c>
      <c r="AH205" s="33">
        <f t="shared" si="67"/>
        <v>4555.0175000000017</v>
      </c>
      <c r="AI205" s="33"/>
      <c r="AJ205" s="2">
        <f>IF(AND('Batt IN'!$D$53="Yes",$AL$1&gt;=1),IF($C205='Batt IN'!$H$54*12,-'Batt IN'!$F$54,0),0)</f>
        <v>0</v>
      </c>
      <c r="AK205" s="2">
        <f>IF(AND('Batt IN'!$D$53="Yes",$AL$1&gt;=2),IF($C205='Batt IN'!$H$55*12,-'Batt IN'!$F$55,0),0)</f>
        <v>0</v>
      </c>
      <c r="AL205" s="2">
        <f>IF(AND('Batt IN'!$D$53="Yes",$AL$1&gt;=3),IF($C205='Batt IN'!$H$56*12,-'Batt IN'!$F$56,0),0)</f>
        <v>0</v>
      </c>
      <c r="AM205" s="2">
        <f>IF(AND('Batt IN'!$D$53="Yes",$AL$1&gt;=4),IF($C205='Batt IN'!$H$57*12,-'Batt IN'!$F$57,0),0)</f>
        <v>0</v>
      </c>
      <c r="AN205" s="2">
        <f>IF(AND('Batt IN'!$D$53="Yes",$AL$1&gt;=5),IF($C205='Batt IN'!$H$58*12,-'Batt IN'!$F$58,0),0)</f>
        <v>0</v>
      </c>
      <c r="AO205" s="10">
        <f>IF(AND('Batt IN'!$D$44="YES",$C205&lt;='Batt IN'!$E$44*12),-'Batt IN'!$E$28*'Batt IN'!$E$42/12,0)</f>
        <v>0</v>
      </c>
      <c r="AP205" s="10">
        <f>IF(AND('Batt IN'!$D$46="YES",$C205&lt;='Batt IN'!$E$46*12),-'Batt IN'!$E$28*'Batt IN'!$E$45/12,0)</f>
        <v>0</v>
      </c>
      <c r="AR205" s="10">
        <f>BattLoan!M232</f>
        <v>0</v>
      </c>
      <c r="AS205" s="10">
        <f>'Batt IN'!$G$16*365/12*'Batt IN'!$E$16</f>
        <v>76.041666666666671</v>
      </c>
      <c r="AT205" s="10">
        <f>IF(AND('Batt IN'!$E$18&gt;0,'Batt IN'!$G$18&gt;0),'Batt IN'!$E$17*'Batt IN'!$G$17,0)</f>
        <v>119.44619999999999</v>
      </c>
      <c r="AU205" s="10">
        <f>IF(AND('Batt IN'!$E$20&gt;0,'Batt IN'!$G$20&gt;0),'Batt IN'!$E$19*'Batt IN'!$G$19,0)</f>
        <v>231</v>
      </c>
      <c r="AV205" s="10"/>
      <c r="AW205" s="10"/>
      <c r="AX205" s="10">
        <f>IF('Batt IN'!$E$11="Non-Taxable",Q205,0)</f>
        <v>11168.08</v>
      </c>
      <c r="AY205" s="10">
        <f>IF('Batt IN'!$E$11="Non-Taxable",'Batt IN'!$E$28/1000*'Batt IN'!$G$13*('Batt IN'!$E$13/12)*'Batt IN'!$E$12,0)</f>
        <v>244.42220833333334</v>
      </c>
      <c r="AZ205" s="10">
        <f>IF('Batt IN'!$E$11="Non-Taxable",$S205*'Batt IN'!$G$15*'Batt IN'!$E$28*'Batt IN'!$E$14/1000,0)</f>
        <v>0</v>
      </c>
      <c r="BA205" s="10">
        <f>IF('Batt IN'!$E$11="Non-Taxable",'Batt IN'!$E$21*'Batt IN'!$G$21/12,0)</f>
        <v>437.5</v>
      </c>
      <c r="BB205" s="10">
        <f>IF('Batt IN'!$E$11="Non-Taxable",'Batt IN'!$E$22*'Batt IN'!$G$22/12,0)</f>
        <v>1145.8333333333335</v>
      </c>
      <c r="BC205" s="10">
        <f>IF('Batt IN'!$E$11="Taxable",Q205,0)</f>
        <v>0</v>
      </c>
      <c r="BD205" s="10">
        <f>IF('Batt IN'!$E$11="Taxable",'Batt IN'!$E$28/1000*'Batt IN'!$G$13*('Batt IN'!$E$13/12)*'Batt IN'!$E$12,0)</f>
        <v>0</v>
      </c>
      <c r="BE205" s="10">
        <f>IF('Batt IN'!$E$11="Taxable",$S205*'Batt IN'!$G$15*'Batt IN'!$E$28*'Batt IN'!$E$14/1000,0)</f>
        <v>0</v>
      </c>
      <c r="BF205" s="10">
        <f>IF('Batt IN'!$E$11="Taxable",'Batt IN'!$E$21*'Batt IN'!$G$21/12,0)</f>
        <v>0</v>
      </c>
      <c r="BG205" s="10">
        <f>IF('Batt IN'!$E$11="Taxable",'Batt IN'!$E$22*'Batt IN'!$G$22/12,0)</f>
        <v>0</v>
      </c>
      <c r="BK205" s="10">
        <f>IF('Batt IN'!$N$18="Yes",-BattLoan!H233,-BattLoan!L233)</f>
        <v>0</v>
      </c>
      <c r="BL205" s="10">
        <f>IF('Batt IN'!$N$18="Yes",-BattLoan!F233,0)</f>
        <v>0</v>
      </c>
      <c r="BM205" s="10">
        <f>IF(AND('Batt IN'!$D$44="YES",$C205&lt;='Batt IN'!$E$44*12),0,-'Batt IN'!$E$28*'Batt IN'!$E$42/12)</f>
        <v>-83.333333333333329</v>
      </c>
      <c r="BN205" s="10">
        <f>IF(AND('Batt IN'!$D$46="YES",$C205&lt;='Batt IN'!$E$46*12),0,-'Batt IN'!$E$28*'Batt IN'!$E$45/12)</f>
        <v>-166.66666666666666</v>
      </c>
      <c r="BO205" s="2">
        <f>IF(AND('Batt IN'!$D$41="YES",BattCalcs!C205=ROUNDUP('Batt IN'!$H$41*12,)),-'Batt IN'!$E$41*'Batt IN'!$E$28,0)</f>
        <v>0</v>
      </c>
      <c r="BP205" s="2">
        <f>IF(AND('Batt IN'!$D$53="Yes",$AL$1&gt;=1),0,IF($C205='Batt IN'!$H$54*12,-'Batt IN'!$F$54,0))</f>
        <v>0</v>
      </c>
      <c r="BQ205" s="2">
        <f>IF(AND('Batt IN'!$D$53="Yes",$AL$1&gt;=2),0,IF($C205='Batt IN'!$H$55*12,-'Batt IN'!$F$55,0))</f>
        <v>0</v>
      </c>
      <c r="BR205" s="2">
        <f>IF(AND('Batt IN'!$D$53="Yes",$AL$1&gt;=3),0,IF($C205='Batt IN'!$H$56*12,-'Batt IN'!$F$56,0))</f>
        <v>0</v>
      </c>
      <c r="BS205" s="2">
        <f>IF(AND('Batt IN'!$D$53="Yes",$AL$1&gt;=4),0,IF($C205='Batt IN'!$H$57*12,-'Batt IN'!$F$57,0))</f>
        <v>0</v>
      </c>
      <c r="BT205" s="2">
        <f>IF(AND('Batt IN'!$D$53="Yes",$AL$1&gt;=5),0,IF($C205='Batt IN'!$H$58*12,-'Batt IN'!$F$58,0))</f>
        <v>0</v>
      </c>
      <c r="BU205" s="2">
        <f>-AH205*PVCalcs!F205</f>
        <v>-374.12248175581863</v>
      </c>
      <c r="BV205" s="2">
        <f>-'Batt IN'!$E$47</f>
        <v>-150</v>
      </c>
      <c r="BW205" s="2">
        <f>-'Batt IN'!$E$49</f>
        <v>-2250</v>
      </c>
      <c r="BX205" s="2">
        <f>IF('Batt IN'!$H$50="No",-(BC205*'Batt IN'!$E$50),-(BC205+BE205)*'Batt IN'!$E$50)</f>
        <v>0</v>
      </c>
      <c r="BY205" s="2">
        <f>IF(C205='Batt IN'!$H$43*12,-'Batt IN'!$E$43,0)</f>
        <v>0</v>
      </c>
      <c r="BZ205" s="38"/>
      <c r="CA205" s="10">
        <f t="shared" si="51"/>
        <v>13422.323408333334</v>
      </c>
      <c r="CB205" s="2">
        <f t="shared" si="55"/>
        <v>-3024.1224817558186</v>
      </c>
      <c r="CC205" s="45">
        <f t="shared" si="56"/>
        <v>10398.200926577516</v>
      </c>
      <c r="CD205" s="43"/>
      <c r="CE205" s="2">
        <f t="shared" si="52"/>
        <v>0</v>
      </c>
      <c r="CF205" s="2">
        <f t="shared" si="57"/>
        <v>-3024.1224817558186</v>
      </c>
      <c r="CG205" s="2"/>
      <c r="CH205" s="2">
        <f t="shared" si="58"/>
        <v>-3024.1224817558186</v>
      </c>
      <c r="CI205" s="45">
        <f>-CH205*'Batt IN'!$E$7</f>
        <v>635.06572116872189</v>
      </c>
      <c r="CJ205" s="48"/>
      <c r="CK205" s="45">
        <f>IF('Batt IN'!$F$4="PV Only",0,IF(C205&gt;'Batt IN'!$H$43*12,0,CC205+CI205))</f>
        <v>0</v>
      </c>
      <c r="CM205" s="10">
        <f t="shared" si="59"/>
        <v>0</v>
      </c>
      <c r="CN205" s="2">
        <f>CK205/(1+('Batt IN'!$G$8))^(C205)</f>
        <v>0</v>
      </c>
      <c r="CO205" s="2">
        <f>IF(C205&lt;='Batt IN'!$O$30*12,CN205+CO204,NA())</f>
        <v>0</v>
      </c>
      <c r="CQ205" s="2">
        <f>CK205/((1+('Batt IN'!$E$8/12))^BattCalcs!C205)</f>
        <v>0</v>
      </c>
      <c r="CS205" s="10">
        <f t="shared" si="60"/>
        <v>-3024.1224817558186</v>
      </c>
      <c r="CT205" s="10">
        <f t="shared" si="61"/>
        <v>0</v>
      </c>
      <c r="CU205" s="10">
        <f t="shared" si="62"/>
        <v>-3024.1224817558186</v>
      </c>
      <c r="CV205" s="10">
        <f t="shared" si="63"/>
        <v>-3024.1224817558186</v>
      </c>
      <c r="CW205" s="2">
        <f t="shared" si="64"/>
        <v>0</v>
      </c>
      <c r="CX205" s="2">
        <f>-(SUM(CV205:CW205)*'PV IN'!$E$8)</f>
        <v>635.06572116872189</v>
      </c>
      <c r="CY205" s="2">
        <f t="shared" si="65"/>
        <v>-2389.0567605870965</v>
      </c>
      <c r="CZ205" s="2">
        <f>IF(C205&lt;='Batt IN'!$H$43*12,CY205/(1+('PV IN'!$G$9))^(C205),0)</f>
        <v>-1055.1293619404632</v>
      </c>
      <c r="DA205" s="33">
        <f>IF(C205&lt;='Batt IN'!$H$43*12,AE205,0)</f>
        <v>30366.783333333333</v>
      </c>
    </row>
    <row r="206" spans="1:105" x14ac:dyDescent="0.25">
      <c r="A206">
        <f>IF(C206&lt;='Batt IN'!$H$43*12,C206,"")</f>
        <v>202</v>
      </c>
      <c r="C206">
        <v>202</v>
      </c>
      <c r="D206" s="21">
        <v>730</v>
      </c>
      <c r="E206" s="1">
        <f>1-'Batt IN'!$E$31</f>
        <v>2.0000000000000018E-2</v>
      </c>
      <c r="F206" s="12">
        <f>('Batt IN'!$E$33*365)/8760</f>
        <v>0</v>
      </c>
      <c r="G206" s="22">
        <f>'Batt IN'!$E$32/8760</f>
        <v>5.7077625570776253E-3</v>
      </c>
      <c r="H206" s="22">
        <f>'Batt IN'!$E$13/8760</f>
        <v>5.5936073059360729E-3</v>
      </c>
      <c r="I206" s="23">
        <f>IF(C206&lt;='Batt IN'!$G$14*12,'Batt IN'!$E$15/8760*'Batt IN'!$G$15,0)</f>
        <v>0</v>
      </c>
      <c r="J206" s="12">
        <f>Z206/'Batt IN'!$E$27/730</f>
        <v>2.4999999999999996E-3</v>
      </c>
      <c r="K206" s="23">
        <f>AA206/'Batt IN'!$E$27/730</f>
        <v>1.6027397260273972E-3</v>
      </c>
      <c r="L206" s="23">
        <f>AB206/'Batt IN'!$E$27/730</f>
        <v>2.0547945205479451E-4</v>
      </c>
      <c r="M206" s="23">
        <f>AC206/'Batt IN'!$E$27/730</f>
        <v>4.7945205479452057E-3</v>
      </c>
      <c r="N206" s="23">
        <f>AD206/'Batt IN'!$E$27/730</f>
        <v>3.4246575342465752E-3</v>
      </c>
      <c r="O206" s="12">
        <f t="shared" si="53"/>
        <v>4.3828767123287697E-2</v>
      </c>
      <c r="P206" s="21">
        <f t="shared" si="54"/>
        <v>698.005</v>
      </c>
      <c r="Q206" s="2">
        <f>IF('Batt IN'!$E$27*'Batt IN'!$E$24&lt;='Batt IN'!$E$28,(('Batt IN'!$E$23*'Batt IN'!$E$27*'Batt IN'!$E$24)/1000)*P206,(('Batt IN'!$E$23*'Batt IN'!$E$28*'Batt IN'!$E$24)/1000)*P206)</f>
        <v>11168.08</v>
      </c>
      <c r="R206" s="2"/>
      <c r="S206" s="77">
        <f>IF(C206&lt;='Batt IN'!$G$14*12,'Batt IN'!$E$15/12,0)</f>
        <v>0</v>
      </c>
      <c r="T206" s="77"/>
      <c r="U206" s="80">
        <f>'Batt IN'!$E$28*('Batt IN'!$G$24/24)*730*(1-O206)</f>
        <v>81433.916666666657</v>
      </c>
      <c r="V206" s="78">
        <f>U206*'Batt IN'!$F$30</f>
        <v>16286.783333333333</v>
      </c>
      <c r="W206" s="78">
        <f>'Batt IN'!$E$28*'Batt IN'!$G$32*('Batt IN'!$E$32/12)*(1+'Batt IN'!$F$30)</f>
        <v>1750.0000000000002</v>
      </c>
      <c r="X206" s="78">
        <f>'Batt IN'!$E$28*'Batt IN'!$G$13*('Batt IN'!$E$13/12)*(1+'Batt IN'!$F$30)</f>
        <v>3184.9999999999995</v>
      </c>
      <c r="Y206" s="33">
        <f>S206*'Batt IN'!$G$15*'Batt IN'!$E$28*(1+'Batt IN'!$F$30)</f>
        <v>0</v>
      </c>
      <c r="Z206" s="33">
        <f>'Batt IN'!$G$16*365/12*(1+'Batt IN'!$F$30)</f>
        <v>1824.9999999999998</v>
      </c>
      <c r="AA206" s="33">
        <f>'Batt IN'!$G$17*'Batt IN'!$E$18*'Batt IN'!$G$18/12*(1+'Batt IN'!$F$30)</f>
        <v>1170</v>
      </c>
      <c r="AB206" s="33">
        <f>'Batt IN'!$G$19*'Batt IN'!$E$20*'Batt IN'!$G$20/12*(1+'Batt IN'!$F$30)</f>
        <v>150</v>
      </c>
      <c r="AC206" s="33">
        <f>'Batt IN'!$G$21*(1+'Batt IN'!$F$30)/12</f>
        <v>3500</v>
      </c>
      <c r="AD206" s="33">
        <f>'Batt IN'!$G$22*(1+'Batt IN'!$F$30)/12</f>
        <v>2500</v>
      </c>
      <c r="AE206" s="33">
        <f t="shared" si="66"/>
        <v>30366.783333333333</v>
      </c>
      <c r="AF206" s="33">
        <f>IF('PV IN'!$F$4="Battery Only",0,AE206*'Batt IN'!$E$29)</f>
        <v>25811.765833333331</v>
      </c>
      <c r="AG206" s="33">
        <f>PVCalcs!L206</f>
        <v>25811.765833333331</v>
      </c>
      <c r="AH206" s="33">
        <f t="shared" si="67"/>
        <v>4555.0175000000017</v>
      </c>
      <c r="AI206" s="33"/>
      <c r="AJ206" s="2">
        <f>IF(AND('Batt IN'!$D$53="Yes",$AL$1&gt;=1),IF($C206='Batt IN'!$H$54*12,-'Batt IN'!$F$54,0),0)</f>
        <v>0</v>
      </c>
      <c r="AK206" s="2">
        <f>IF(AND('Batt IN'!$D$53="Yes",$AL$1&gt;=2),IF($C206='Batt IN'!$H$55*12,-'Batt IN'!$F$55,0),0)</f>
        <v>0</v>
      </c>
      <c r="AL206" s="2">
        <f>IF(AND('Batt IN'!$D$53="Yes",$AL$1&gt;=3),IF($C206='Batt IN'!$H$56*12,-'Batt IN'!$F$56,0),0)</f>
        <v>0</v>
      </c>
      <c r="AM206" s="2">
        <f>IF(AND('Batt IN'!$D$53="Yes",$AL$1&gt;=4),IF($C206='Batt IN'!$H$57*12,-'Batt IN'!$F$57,0),0)</f>
        <v>0</v>
      </c>
      <c r="AN206" s="2">
        <f>IF(AND('Batt IN'!$D$53="Yes",$AL$1&gt;=5),IF($C206='Batt IN'!$H$58*12,-'Batt IN'!$F$58,0),0)</f>
        <v>0</v>
      </c>
      <c r="AO206" s="10">
        <f>IF(AND('Batt IN'!$D$44="YES",$C206&lt;='Batt IN'!$E$44*12),-'Batt IN'!$E$28*'Batt IN'!$E$42/12,0)</f>
        <v>0</v>
      </c>
      <c r="AP206" s="10">
        <f>IF(AND('Batt IN'!$D$46="YES",$C206&lt;='Batt IN'!$E$46*12),-'Batt IN'!$E$28*'Batt IN'!$E$45/12,0)</f>
        <v>0</v>
      </c>
      <c r="AR206" s="10">
        <f>BattLoan!M233</f>
        <v>0</v>
      </c>
      <c r="AS206" s="10">
        <f>'Batt IN'!$G$16*365/12*'Batt IN'!$E$16</f>
        <v>76.041666666666671</v>
      </c>
      <c r="AT206" s="10">
        <f>IF(AND('Batt IN'!$E$18&gt;0,'Batt IN'!$G$18&gt;0),'Batt IN'!$E$17*'Batt IN'!$G$17,0)</f>
        <v>119.44619999999999</v>
      </c>
      <c r="AU206" s="10">
        <f>IF(AND('Batt IN'!$E$20&gt;0,'Batt IN'!$G$20&gt;0),'Batt IN'!$E$19*'Batt IN'!$G$19,0)</f>
        <v>231</v>
      </c>
      <c r="AV206" s="10"/>
      <c r="AW206" s="10"/>
      <c r="AX206" s="10">
        <f>IF('Batt IN'!$E$11="Non-Taxable",Q206,0)</f>
        <v>11168.08</v>
      </c>
      <c r="AY206" s="10">
        <f>IF('Batt IN'!$E$11="Non-Taxable",'Batt IN'!$E$28/1000*'Batt IN'!$G$13*('Batt IN'!$E$13/12)*'Batt IN'!$E$12,0)</f>
        <v>244.42220833333334</v>
      </c>
      <c r="AZ206" s="10">
        <f>IF('Batt IN'!$E$11="Non-Taxable",$S206*'Batt IN'!$G$15*'Batt IN'!$E$28*'Batt IN'!$E$14/1000,0)</f>
        <v>0</v>
      </c>
      <c r="BA206" s="10">
        <f>IF('Batt IN'!$E$11="Non-Taxable",'Batt IN'!$E$21*'Batt IN'!$G$21/12,0)</f>
        <v>437.5</v>
      </c>
      <c r="BB206" s="10">
        <f>IF('Batt IN'!$E$11="Non-Taxable",'Batt IN'!$E$22*'Batt IN'!$G$22/12,0)</f>
        <v>1145.8333333333335</v>
      </c>
      <c r="BC206" s="10">
        <f>IF('Batt IN'!$E$11="Taxable",Q206,0)</f>
        <v>0</v>
      </c>
      <c r="BD206" s="10">
        <f>IF('Batt IN'!$E$11="Taxable",'Batt IN'!$E$28/1000*'Batt IN'!$G$13*('Batt IN'!$E$13/12)*'Batt IN'!$E$12,0)</f>
        <v>0</v>
      </c>
      <c r="BE206" s="10">
        <f>IF('Batt IN'!$E$11="Taxable",$S206*'Batt IN'!$G$15*'Batt IN'!$E$28*'Batt IN'!$E$14/1000,0)</f>
        <v>0</v>
      </c>
      <c r="BF206" s="10">
        <f>IF('Batt IN'!$E$11="Taxable",'Batt IN'!$E$21*'Batt IN'!$G$21/12,0)</f>
        <v>0</v>
      </c>
      <c r="BG206" s="10">
        <f>IF('Batt IN'!$E$11="Taxable",'Batt IN'!$E$22*'Batt IN'!$G$22/12,0)</f>
        <v>0</v>
      </c>
      <c r="BK206" s="10">
        <f>IF('Batt IN'!$N$18="Yes",-BattLoan!H234,-BattLoan!L234)</f>
        <v>0</v>
      </c>
      <c r="BL206" s="10">
        <f>IF('Batt IN'!$N$18="Yes",-BattLoan!F234,0)</f>
        <v>0</v>
      </c>
      <c r="BM206" s="10">
        <f>IF(AND('Batt IN'!$D$44="YES",$C206&lt;='Batt IN'!$E$44*12),0,-'Batt IN'!$E$28*'Batt IN'!$E$42/12)</f>
        <v>-83.333333333333329</v>
      </c>
      <c r="BN206" s="10">
        <f>IF(AND('Batt IN'!$D$46="YES",$C206&lt;='Batt IN'!$E$46*12),0,-'Batt IN'!$E$28*'Batt IN'!$E$45/12)</f>
        <v>-166.66666666666666</v>
      </c>
      <c r="BO206" s="2">
        <f>IF(AND('Batt IN'!$D$41="YES",BattCalcs!C206=ROUNDUP('Batt IN'!$H$41*12,)),-'Batt IN'!$E$41*'Batt IN'!$E$28,0)</f>
        <v>0</v>
      </c>
      <c r="BP206" s="2">
        <f>IF(AND('Batt IN'!$D$53="Yes",$AL$1&gt;=1),0,IF($C206='Batt IN'!$H$54*12,-'Batt IN'!$F$54,0))</f>
        <v>0</v>
      </c>
      <c r="BQ206" s="2">
        <f>IF(AND('Batt IN'!$D$53="Yes",$AL$1&gt;=2),0,IF($C206='Batt IN'!$H$55*12,-'Batt IN'!$F$55,0))</f>
        <v>0</v>
      </c>
      <c r="BR206" s="2">
        <f>IF(AND('Batt IN'!$D$53="Yes",$AL$1&gt;=3),0,IF($C206='Batt IN'!$H$56*12,-'Batt IN'!$F$56,0))</f>
        <v>0</v>
      </c>
      <c r="BS206" s="2">
        <f>IF(AND('Batt IN'!$D$53="Yes",$AL$1&gt;=4),0,IF($C206='Batt IN'!$H$57*12,-'Batt IN'!$F$57,0))</f>
        <v>0</v>
      </c>
      <c r="BT206" s="2">
        <f>IF(AND('Batt IN'!$D$53="Yes",$AL$1&gt;=5),0,IF($C206='Batt IN'!$H$58*12,-'Batt IN'!$F$58,0))</f>
        <v>0</v>
      </c>
      <c r="BU206" s="2">
        <f>-AH206*PVCalcs!F206</f>
        <v>-374.12248175581863</v>
      </c>
      <c r="BV206" s="2">
        <f>-'Batt IN'!$E$47</f>
        <v>-150</v>
      </c>
      <c r="BW206" s="2">
        <f>-'Batt IN'!$E$49</f>
        <v>-2250</v>
      </c>
      <c r="BX206" s="2">
        <f>IF('Batt IN'!$H$50="No",-(BC206*'Batt IN'!$E$50),-(BC206+BE206)*'Batt IN'!$E$50)</f>
        <v>0</v>
      </c>
      <c r="BY206" s="2">
        <f>IF(C206='Batt IN'!$H$43*12,-'Batt IN'!$E$43,0)</f>
        <v>0</v>
      </c>
      <c r="BZ206" s="38"/>
      <c r="CA206" s="10">
        <f t="shared" si="51"/>
        <v>13422.323408333334</v>
      </c>
      <c r="CB206" s="2">
        <f t="shared" si="55"/>
        <v>-3024.1224817558186</v>
      </c>
      <c r="CC206" s="45">
        <f t="shared" si="56"/>
        <v>10398.200926577516</v>
      </c>
      <c r="CD206" s="43"/>
      <c r="CE206" s="2">
        <f t="shared" si="52"/>
        <v>0</v>
      </c>
      <c r="CF206" s="2">
        <f t="shared" si="57"/>
        <v>-3024.1224817558186</v>
      </c>
      <c r="CG206" s="2"/>
      <c r="CH206" s="2">
        <f t="shared" si="58"/>
        <v>-3024.1224817558186</v>
      </c>
      <c r="CI206" s="45">
        <f>-CH206*'Batt IN'!$E$7</f>
        <v>635.06572116872189</v>
      </c>
      <c r="CJ206" s="48"/>
      <c r="CK206" s="45">
        <f>IF('Batt IN'!$F$4="PV Only",0,IF(C206&gt;'Batt IN'!$H$43*12,0,CC206+CI206))</f>
        <v>0</v>
      </c>
      <c r="CM206" s="10">
        <f t="shared" si="59"/>
        <v>0</v>
      </c>
      <c r="CN206" s="2">
        <f>CK206/(1+('Batt IN'!$G$8))^(C206)</f>
        <v>0</v>
      </c>
      <c r="CO206" s="2">
        <f>IF(C206&lt;='Batt IN'!$O$30*12,CN206+CO205,NA())</f>
        <v>0</v>
      </c>
      <c r="CQ206" s="2">
        <f>CK206/((1+('Batt IN'!$E$8/12))^BattCalcs!C206)</f>
        <v>0</v>
      </c>
      <c r="CS206" s="10">
        <f t="shared" si="60"/>
        <v>-3024.1224817558186</v>
      </c>
      <c r="CT206" s="10">
        <f t="shared" si="61"/>
        <v>0</v>
      </c>
      <c r="CU206" s="10">
        <f t="shared" si="62"/>
        <v>-3024.1224817558186</v>
      </c>
      <c r="CV206" s="10">
        <f t="shared" si="63"/>
        <v>-3024.1224817558186</v>
      </c>
      <c r="CW206" s="2">
        <f t="shared" si="64"/>
        <v>0</v>
      </c>
      <c r="CX206" s="2">
        <f>-(SUM(CV206:CW206)*'PV IN'!$E$8)</f>
        <v>635.06572116872189</v>
      </c>
      <c r="CY206" s="2">
        <f t="shared" si="65"/>
        <v>-2389.0567605870965</v>
      </c>
      <c r="CZ206" s="2">
        <f>IF(C206&lt;='Batt IN'!$H$43*12,CY206/(1+('PV IN'!$G$9))^(C206),0)</f>
        <v>-1050.8480767977803</v>
      </c>
      <c r="DA206" s="33">
        <f>IF(C206&lt;='Batt IN'!$H$43*12,AE206,0)</f>
        <v>30366.783333333333</v>
      </c>
    </row>
    <row r="207" spans="1:105" x14ac:dyDescent="0.25">
      <c r="A207">
        <f>IF(C207&lt;='Batt IN'!$H$43*12,C207,"")</f>
        <v>203</v>
      </c>
      <c r="C207">
        <v>203</v>
      </c>
      <c r="D207" s="21">
        <v>730</v>
      </c>
      <c r="E207" s="1">
        <f>1-'Batt IN'!$E$31</f>
        <v>2.0000000000000018E-2</v>
      </c>
      <c r="F207" s="12">
        <f>('Batt IN'!$E$33*365)/8760</f>
        <v>0</v>
      </c>
      <c r="G207" s="22">
        <f>'Batt IN'!$E$32/8760</f>
        <v>5.7077625570776253E-3</v>
      </c>
      <c r="H207" s="22">
        <f>'Batt IN'!$E$13/8760</f>
        <v>5.5936073059360729E-3</v>
      </c>
      <c r="I207" s="23">
        <f>IF(C207&lt;='Batt IN'!$G$14*12,'Batt IN'!$E$15/8760*'Batt IN'!$G$15,0)</f>
        <v>0</v>
      </c>
      <c r="J207" s="12">
        <f>Z207/'Batt IN'!$E$27/730</f>
        <v>2.4999999999999996E-3</v>
      </c>
      <c r="K207" s="23">
        <f>AA207/'Batt IN'!$E$27/730</f>
        <v>1.6027397260273972E-3</v>
      </c>
      <c r="L207" s="23">
        <f>AB207/'Batt IN'!$E$27/730</f>
        <v>2.0547945205479451E-4</v>
      </c>
      <c r="M207" s="23">
        <f>AC207/'Batt IN'!$E$27/730</f>
        <v>4.7945205479452057E-3</v>
      </c>
      <c r="N207" s="23">
        <f>AD207/'Batt IN'!$E$27/730</f>
        <v>3.4246575342465752E-3</v>
      </c>
      <c r="O207" s="12">
        <f t="shared" si="53"/>
        <v>4.3828767123287697E-2</v>
      </c>
      <c r="P207" s="21">
        <f t="shared" si="54"/>
        <v>698.005</v>
      </c>
      <c r="Q207" s="2">
        <f>IF('Batt IN'!$E$27*'Batt IN'!$E$24&lt;='Batt IN'!$E$28,(('Batt IN'!$E$23*'Batt IN'!$E$27*'Batt IN'!$E$24)/1000)*P207,(('Batt IN'!$E$23*'Batt IN'!$E$28*'Batt IN'!$E$24)/1000)*P207)</f>
        <v>11168.08</v>
      </c>
      <c r="R207" s="2"/>
      <c r="S207" s="77">
        <f>IF(C207&lt;='Batt IN'!$G$14*12,'Batt IN'!$E$15/12,0)</f>
        <v>0</v>
      </c>
      <c r="T207" s="77"/>
      <c r="U207" s="80">
        <f>'Batt IN'!$E$28*('Batt IN'!$G$24/24)*730*(1-O207)</f>
        <v>81433.916666666657</v>
      </c>
      <c r="V207" s="78">
        <f>U207*'Batt IN'!$F$30</f>
        <v>16286.783333333333</v>
      </c>
      <c r="W207" s="78">
        <f>'Batt IN'!$E$28*'Batt IN'!$G$32*('Batt IN'!$E$32/12)*(1+'Batt IN'!$F$30)</f>
        <v>1750.0000000000002</v>
      </c>
      <c r="X207" s="78">
        <f>'Batt IN'!$E$28*'Batt IN'!$G$13*('Batt IN'!$E$13/12)*(1+'Batt IN'!$F$30)</f>
        <v>3184.9999999999995</v>
      </c>
      <c r="Y207" s="33">
        <f>S207*'Batt IN'!$G$15*'Batt IN'!$E$28*(1+'Batt IN'!$F$30)</f>
        <v>0</v>
      </c>
      <c r="Z207" s="33">
        <f>'Batt IN'!$G$16*365/12*(1+'Batt IN'!$F$30)</f>
        <v>1824.9999999999998</v>
      </c>
      <c r="AA207" s="33">
        <f>'Batt IN'!$G$17*'Batt IN'!$E$18*'Batt IN'!$G$18/12*(1+'Batt IN'!$F$30)</f>
        <v>1170</v>
      </c>
      <c r="AB207" s="33">
        <f>'Batt IN'!$G$19*'Batt IN'!$E$20*'Batt IN'!$G$20/12*(1+'Batt IN'!$F$30)</f>
        <v>150</v>
      </c>
      <c r="AC207" s="33">
        <f>'Batt IN'!$G$21*(1+'Batt IN'!$F$30)/12</f>
        <v>3500</v>
      </c>
      <c r="AD207" s="33">
        <f>'Batt IN'!$G$22*(1+'Batt IN'!$F$30)/12</f>
        <v>2500</v>
      </c>
      <c r="AE207" s="33">
        <f t="shared" si="66"/>
        <v>30366.783333333333</v>
      </c>
      <c r="AF207" s="33">
        <f>IF('PV IN'!$F$4="Battery Only",0,AE207*'Batt IN'!$E$29)</f>
        <v>25811.765833333331</v>
      </c>
      <c r="AG207" s="33">
        <f>PVCalcs!L207</f>
        <v>25811.765833333331</v>
      </c>
      <c r="AH207" s="33">
        <f t="shared" si="67"/>
        <v>4555.0175000000017</v>
      </c>
      <c r="AI207" s="33"/>
      <c r="AJ207" s="2">
        <f>IF(AND('Batt IN'!$D$53="Yes",$AL$1&gt;=1),IF($C207='Batt IN'!$H$54*12,-'Batt IN'!$F$54,0),0)</f>
        <v>0</v>
      </c>
      <c r="AK207" s="2">
        <f>IF(AND('Batt IN'!$D$53="Yes",$AL$1&gt;=2),IF($C207='Batt IN'!$H$55*12,-'Batt IN'!$F$55,0),0)</f>
        <v>0</v>
      </c>
      <c r="AL207" s="2">
        <f>IF(AND('Batt IN'!$D$53="Yes",$AL$1&gt;=3),IF($C207='Batt IN'!$H$56*12,-'Batt IN'!$F$56,0),0)</f>
        <v>0</v>
      </c>
      <c r="AM207" s="2">
        <f>IF(AND('Batt IN'!$D$53="Yes",$AL$1&gt;=4),IF($C207='Batt IN'!$H$57*12,-'Batt IN'!$F$57,0),0)</f>
        <v>0</v>
      </c>
      <c r="AN207" s="2">
        <f>IF(AND('Batt IN'!$D$53="Yes",$AL$1&gt;=5),IF($C207='Batt IN'!$H$58*12,-'Batt IN'!$F$58,0),0)</f>
        <v>0</v>
      </c>
      <c r="AO207" s="10">
        <f>IF(AND('Batt IN'!$D$44="YES",$C207&lt;='Batt IN'!$E$44*12),-'Batt IN'!$E$28*'Batt IN'!$E$42/12,0)</f>
        <v>0</v>
      </c>
      <c r="AP207" s="10">
        <f>IF(AND('Batt IN'!$D$46="YES",$C207&lt;='Batt IN'!$E$46*12),-'Batt IN'!$E$28*'Batt IN'!$E$45/12,0)</f>
        <v>0</v>
      </c>
      <c r="AR207" s="10">
        <f>BattLoan!M234</f>
        <v>0</v>
      </c>
      <c r="AS207" s="10">
        <f>'Batt IN'!$G$16*365/12*'Batt IN'!$E$16</f>
        <v>76.041666666666671</v>
      </c>
      <c r="AT207" s="10">
        <f>IF(AND('Batt IN'!$E$18&gt;0,'Batt IN'!$G$18&gt;0),'Batt IN'!$E$17*'Batt IN'!$G$17,0)</f>
        <v>119.44619999999999</v>
      </c>
      <c r="AU207" s="10">
        <f>IF(AND('Batt IN'!$E$20&gt;0,'Batt IN'!$G$20&gt;0),'Batt IN'!$E$19*'Batt IN'!$G$19,0)</f>
        <v>231</v>
      </c>
      <c r="AV207" s="10"/>
      <c r="AW207" s="10"/>
      <c r="AX207" s="10">
        <f>IF('Batt IN'!$E$11="Non-Taxable",Q207,0)</f>
        <v>11168.08</v>
      </c>
      <c r="AY207" s="10">
        <f>IF('Batt IN'!$E$11="Non-Taxable",'Batt IN'!$E$28/1000*'Batt IN'!$G$13*('Batt IN'!$E$13/12)*'Batt IN'!$E$12,0)</f>
        <v>244.42220833333334</v>
      </c>
      <c r="AZ207" s="10">
        <f>IF('Batt IN'!$E$11="Non-Taxable",$S207*'Batt IN'!$G$15*'Batt IN'!$E$28*'Batt IN'!$E$14/1000,0)</f>
        <v>0</v>
      </c>
      <c r="BA207" s="10">
        <f>IF('Batt IN'!$E$11="Non-Taxable",'Batt IN'!$E$21*'Batt IN'!$G$21/12,0)</f>
        <v>437.5</v>
      </c>
      <c r="BB207" s="10">
        <f>IF('Batt IN'!$E$11="Non-Taxable",'Batt IN'!$E$22*'Batt IN'!$G$22/12,0)</f>
        <v>1145.8333333333335</v>
      </c>
      <c r="BC207" s="10">
        <f>IF('Batt IN'!$E$11="Taxable",Q207,0)</f>
        <v>0</v>
      </c>
      <c r="BD207" s="10">
        <f>IF('Batt IN'!$E$11="Taxable",'Batt IN'!$E$28/1000*'Batt IN'!$G$13*('Batt IN'!$E$13/12)*'Batt IN'!$E$12,0)</f>
        <v>0</v>
      </c>
      <c r="BE207" s="10">
        <f>IF('Batt IN'!$E$11="Taxable",$S207*'Batt IN'!$G$15*'Batt IN'!$E$28*'Batt IN'!$E$14/1000,0)</f>
        <v>0</v>
      </c>
      <c r="BF207" s="10">
        <f>IF('Batt IN'!$E$11="Taxable",'Batt IN'!$E$21*'Batt IN'!$G$21/12,0)</f>
        <v>0</v>
      </c>
      <c r="BG207" s="10">
        <f>IF('Batt IN'!$E$11="Taxable",'Batt IN'!$E$22*'Batt IN'!$G$22/12,0)</f>
        <v>0</v>
      </c>
      <c r="BK207" s="10">
        <f>IF('Batt IN'!$N$18="Yes",-BattLoan!H235,-BattLoan!L235)</f>
        <v>0</v>
      </c>
      <c r="BL207" s="10">
        <f>IF('Batt IN'!$N$18="Yes",-BattLoan!F235,0)</f>
        <v>0</v>
      </c>
      <c r="BM207" s="10">
        <f>IF(AND('Batt IN'!$D$44="YES",$C207&lt;='Batt IN'!$E$44*12),0,-'Batt IN'!$E$28*'Batt IN'!$E$42/12)</f>
        <v>-83.333333333333329</v>
      </c>
      <c r="BN207" s="10">
        <f>IF(AND('Batt IN'!$D$46="YES",$C207&lt;='Batt IN'!$E$46*12),0,-'Batt IN'!$E$28*'Batt IN'!$E$45/12)</f>
        <v>-166.66666666666666</v>
      </c>
      <c r="BO207" s="2">
        <f>IF(AND('Batt IN'!$D$41="YES",BattCalcs!C207=ROUNDUP('Batt IN'!$H$41*12,)),-'Batt IN'!$E$41*'Batt IN'!$E$28,0)</f>
        <v>0</v>
      </c>
      <c r="BP207" s="2">
        <f>IF(AND('Batt IN'!$D$53="Yes",$AL$1&gt;=1),0,IF($C207='Batt IN'!$H$54*12,-'Batt IN'!$F$54,0))</f>
        <v>0</v>
      </c>
      <c r="BQ207" s="2">
        <f>IF(AND('Batt IN'!$D$53="Yes",$AL$1&gt;=2),0,IF($C207='Batt IN'!$H$55*12,-'Batt IN'!$F$55,0))</f>
        <v>0</v>
      </c>
      <c r="BR207" s="2">
        <f>IF(AND('Batt IN'!$D$53="Yes",$AL$1&gt;=3),0,IF($C207='Batt IN'!$H$56*12,-'Batt IN'!$F$56,0))</f>
        <v>0</v>
      </c>
      <c r="BS207" s="2">
        <f>IF(AND('Batt IN'!$D$53="Yes",$AL$1&gt;=4),0,IF($C207='Batt IN'!$H$57*12,-'Batt IN'!$F$57,0))</f>
        <v>0</v>
      </c>
      <c r="BT207" s="2">
        <f>IF(AND('Batt IN'!$D$53="Yes",$AL$1&gt;=5),0,IF($C207='Batt IN'!$H$58*12,-'Batt IN'!$F$58,0))</f>
        <v>0</v>
      </c>
      <c r="BU207" s="2">
        <f>-AH207*PVCalcs!F207</f>
        <v>-374.12248175581863</v>
      </c>
      <c r="BV207" s="2">
        <f>-'Batt IN'!$E$47</f>
        <v>-150</v>
      </c>
      <c r="BW207" s="2">
        <f>-'Batt IN'!$E$49</f>
        <v>-2250</v>
      </c>
      <c r="BX207" s="2">
        <f>IF('Batt IN'!$H$50="No",-(BC207*'Batt IN'!$E$50),-(BC207+BE207)*'Batt IN'!$E$50)</f>
        <v>0</v>
      </c>
      <c r="BY207" s="2">
        <f>IF(C207='Batt IN'!$H$43*12,-'Batt IN'!$E$43,0)</f>
        <v>0</v>
      </c>
      <c r="BZ207" s="38"/>
      <c r="CA207" s="10">
        <f t="shared" si="51"/>
        <v>13422.323408333334</v>
      </c>
      <c r="CB207" s="2">
        <f t="shared" si="55"/>
        <v>-3024.1224817558186</v>
      </c>
      <c r="CC207" s="45">
        <f t="shared" si="56"/>
        <v>10398.200926577516</v>
      </c>
      <c r="CD207" s="43"/>
      <c r="CE207" s="2">
        <f t="shared" si="52"/>
        <v>0</v>
      </c>
      <c r="CF207" s="2">
        <f t="shared" si="57"/>
        <v>-3024.1224817558186</v>
      </c>
      <c r="CG207" s="2"/>
      <c r="CH207" s="2">
        <f t="shared" si="58"/>
        <v>-3024.1224817558186</v>
      </c>
      <c r="CI207" s="45">
        <f>-CH207*'Batt IN'!$E$7</f>
        <v>635.06572116872189</v>
      </c>
      <c r="CJ207" s="48"/>
      <c r="CK207" s="45">
        <f>IF('Batt IN'!$F$4="PV Only",0,IF(C207&gt;'Batt IN'!$H$43*12,0,CC207+CI207))</f>
        <v>0</v>
      </c>
      <c r="CM207" s="10">
        <f t="shared" si="59"/>
        <v>0</v>
      </c>
      <c r="CN207" s="2">
        <f>CK207/(1+('Batt IN'!$G$8))^(C207)</f>
        <v>0</v>
      </c>
      <c r="CO207" s="2">
        <f>IF(C207&lt;='Batt IN'!$O$30*12,CN207+CO206,NA())</f>
        <v>0</v>
      </c>
      <c r="CQ207" s="2">
        <f>CK207/((1+('Batt IN'!$E$8/12))^BattCalcs!C207)</f>
        <v>0</v>
      </c>
      <c r="CS207" s="10">
        <f t="shared" si="60"/>
        <v>-3024.1224817558186</v>
      </c>
      <c r="CT207" s="10">
        <f t="shared" si="61"/>
        <v>0</v>
      </c>
      <c r="CU207" s="10">
        <f t="shared" si="62"/>
        <v>-3024.1224817558186</v>
      </c>
      <c r="CV207" s="10">
        <f t="shared" si="63"/>
        <v>-3024.1224817558186</v>
      </c>
      <c r="CW207" s="2">
        <f t="shared" si="64"/>
        <v>0</v>
      </c>
      <c r="CX207" s="2">
        <f>-(SUM(CV207:CW207)*'PV IN'!$E$8)</f>
        <v>635.06572116872189</v>
      </c>
      <c r="CY207" s="2">
        <f t="shared" si="65"/>
        <v>-2389.0567605870965</v>
      </c>
      <c r="CZ207" s="2">
        <f>IF(C207&lt;='Batt IN'!$H$43*12,CY207/(1+('PV IN'!$G$9))^(C207),0)</f>
        <v>-1046.5841633662203</v>
      </c>
      <c r="DA207" s="33">
        <f>IF(C207&lt;='Batt IN'!$H$43*12,AE207,0)</f>
        <v>30366.783333333333</v>
      </c>
    </row>
    <row r="208" spans="1:105" x14ac:dyDescent="0.25">
      <c r="A208">
        <f>IF(C208&lt;='Batt IN'!$H$43*12,C208,"")</f>
        <v>204</v>
      </c>
      <c r="B208">
        <v>17</v>
      </c>
      <c r="C208">
        <v>204</v>
      </c>
      <c r="D208" s="21">
        <v>730</v>
      </c>
      <c r="E208" s="1">
        <f>1-'Batt IN'!$E$31</f>
        <v>2.0000000000000018E-2</v>
      </c>
      <c r="F208" s="12">
        <f>('Batt IN'!$E$33*365)/8760</f>
        <v>0</v>
      </c>
      <c r="G208" s="22">
        <f>'Batt IN'!$E$32/8760</f>
        <v>5.7077625570776253E-3</v>
      </c>
      <c r="H208" s="22">
        <f>'Batt IN'!$E$13/8760</f>
        <v>5.5936073059360729E-3</v>
      </c>
      <c r="I208" s="23">
        <f>IF(C208&lt;='Batt IN'!$G$14*12,'Batt IN'!$E$15/8760*'Batt IN'!$G$15,0)</f>
        <v>0</v>
      </c>
      <c r="J208" s="12">
        <f>Z208/'Batt IN'!$E$27/730</f>
        <v>2.4999999999999996E-3</v>
      </c>
      <c r="K208" s="23">
        <f>AA208/'Batt IN'!$E$27/730</f>
        <v>1.6027397260273972E-3</v>
      </c>
      <c r="L208" s="23">
        <f>AB208/'Batt IN'!$E$27/730</f>
        <v>2.0547945205479451E-4</v>
      </c>
      <c r="M208" s="23">
        <f>AC208/'Batt IN'!$E$27/730</f>
        <v>4.7945205479452057E-3</v>
      </c>
      <c r="N208" s="23">
        <f>AD208/'Batt IN'!$E$27/730</f>
        <v>3.4246575342465752E-3</v>
      </c>
      <c r="O208" s="12">
        <f t="shared" si="53"/>
        <v>4.3828767123287697E-2</v>
      </c>
      <c r="P208" s="21">
        <f t="shared" si="54"/>
        <v>698.005</v>
      </c>
      <c r="Q208" s="2">
        <f>IF('Batt IN'!$E$27*'Batt IN'!$E$24&lt;='Batt IN'!$E$28,(('Batt IN'!$E$23*'Batt IN'!$E$27*'Batt IN'!$E$24)/1000)*P208,(('Batt IN'!$E$23*'Batt IN'!$E$28*'Batt IN'!$E$24)/1000)*P208)</f>
        <v>11168.08</v>
      </c>
      <c r="R208" s="2"/>
      <c r="S208" s="77">
        <f>IF(C208&lt;='Batt IN'!$G$14*12,'Batt IN'!$E$15/12,0)</f>
        <v>0</v>
      </c>
      <c r="T208" s="77"/>
      <c r="U208" s="80">
        <f>'Batt IN'!$E$28*('Batt IN'!$G$24/24)*730*(1-O208)</f>
        <v>81433.916666666657</v>
      </c>
      <c r="V208" s="78">
        <f>U208*'Batt IN'!$F$30</f>
        <v>16286.783333333333</v>
      </c>
      <c r="W208" s="78">
        <f>'Batt IN'!$E$28*'Batt IN'!$G$32*('Batt IN'!$E$32/12)*(1+'Batt IN'!$F$30)</f>
        <v>1750.0000000000002</v>
      </c>
      <c r="X208" s="78">
        <f>'Batt IN'!$E$28*'Batt IN'!$G$13*('Batt IN'!$E$13/12)*(1+'Batt IN'!$F$30)</f>
        <v>3184.9999999999995</v>
      </c>
      <c r="Y208" s="33">
        <f>S208*'Batt IN'!$G$15*'Batt IN'!$E$28*(1+'Batt IN'!$F$30)</f>
        <v>0</v>
      </c>
      <c r="Z208" s="33">
        <f>'Batt IN'!$G$16*365/12*(1+'Batt IN'!$F$30)</f>
        <v>1824.9999999999998</v>
      </c>
      <c r="AA208" s="33">
        <f>'Batt IN'!$G$17*'Batt IN'!$E$18*'Batt IN'!$G$18/12*(1+'Batt IN'!$F$30)</f>
        <v>1170</v>
      </c>
      <c r="AB208" s="33">
        <f>'Batt IN'!$G$19*'Batt IN'!$E$20*'Batt IN'!$G$20/12*(1+'Batt IN'!$F$30)</f>
        <v>150</v>
      </c>
      <c r="AC208" s="33">
        <f>'Batt IN'!$G$21*(1+'Batt IN'!$F$30)/12</f>
        <v>3500</v>
      </c>
      <c r="AD208" s="33">
        <f>'Batt IN'!$G$22*(1+'Batt IN'!$F$30)/12</f>
        <v>2500</v>
      </c>
      <c r="AE208" s="33">
        <f t="shared" si="66"/>
        <v>30366.783333333333</v>
      </c>
      <c r="AF208" s="33">
        <f>IF('PV IN'!$F$4="Battery Only",0,AE208*'Batt IN'!$E$29)</f>
        <v>25811.765833333331</v>
      </c>
      <c r="AG208" s="33">
        <f>PVCalcs!L208</f>
        <v>25811.765833333331</v>
      </c>
      <c r="AH208" s="33">
        <f t="shared" si="67"/>
        <v>4555.0175000000017</v>
      </c>
      <c r="AI208" s="33"/>
      <c r="AJ208" s="2">
        <f>IF(AND('Batt IN'!$D$53="Yes",$AL$1&gt;=1),IF($C208='Batt IN'!$H$54*12,-'Batt IN'!$F$54,0),0)</f>
        <v>0</v>
      </c>
      <c r="AK208" s="2">
        <f>IF(AND('Batt IN'!$D$53="Yes",$AL$1&gt;=2),IF($C208='Batt IN'!$H$55*12,-'Batt IN'!$F$55,0),0)</f>
        <v>0</v>
      </c>
      <c r="AL208" s="2">
        <f>IF(AND('Batt IN'!$D$53="Yes",$AL$1&gt;=3),IF($C208='Batt IN'!$H$56*12,-'Batt IN'!$F$56,0),0)</f>
        <v>0</v>
      </c>
      <c r="AM208" s="2">
        <f>IF(AND('Batt IN'!$D$53="Yes",$AL$1&gt;=4),IF($C208='Batt IN'!$H$57*12,-'Batt IN'!$F$57,0),0)</f>
        <v>0</v>
      </c>
      <c r="AN208" s="2">
        <f>IF(AND('Batt IN'!$D$53="Yes",$AL$1&gt;=5),IF($C208='Batt IN'!$H$58*12,-'Batt IN'!$F$58,0),0)</f>
        <v>0</v>
      </c>
      <c r="AO208" s="10">
        <f>IF(AND('Batt IN'!$D$44="YES",$C208&lt;='Batt IN'!$E$44*12),-'Batt IN'!$E$28*'Batt IN'!$E$42/12,0)</f>
        <v>0</v>
      </c>
      <c r="AP208" s="10">
        <f>IF(AND('Batt IN'!$D$46="YES",$C208&lt;='Batt IN'!$E$46*12),-'Batt IN'!$E$28*'Batt IN'!$E$45/12,0)</f>
        <v>0</v>
      </c>
      <c r="AR208" s="10">
        <f>BattLoan!M235</f>
        <v>0</v>
      </c>
      <c r="AS208" s="10">
        <f>'Batt IN'!$G$16*365/12*'Batt IN'!$E$16</f>
        <v>76.041666666666671</v>
      </c>
      <c r="AT208" s="10">
        <f>IF(AND('Batt IN'!$E$18&gt;0,'Batt IN'!$G$18&gt;0),'Batt IN'!$E$17*'Batt IN'!$G$17,0)</f>
        <v>119.44619999999999</v>
      </c>
      <c r="AU208" s="10">
        <f>IF(AND('Batt IN'!$E$20&gt;0,'Batt IN'!$G$20&gt;0),'Batt IN'!$E$19*'Batt IN'!$G$19,0)</f>
        <v>231</v>
      </c>
      <c r="AV208" s="10"/>
      <c r="AW208" s="10"/>
      <c r="AX208" s="10">
        <f>IF('Batt IN'!$E$11="Non-Taxable",Q208,0)</f>
        <v>11168.08</v>
      </c>
      <c r="AY208" s="10">
        <f>IF('Batt IN'!$E$11="Non-Taxable",'Batt IN'!$E$28/1000*'Batt IN'!$G$13*('Batt IN'!$E$13/12)*'Batt IN'!$E$12,0)</f>
        <v>244.42220833333334</v>
      </c>
      <c r="AZ208" s="10">
        <f>IF('Batt IN'!$E$11="Non-Taxable",$S208*'Batt IN'!$G$15*'Batt IN'!$E$28*'Batt IN'!$E$14/1000,0)</f>
        <v>0</v>
      </c>
      <c r="BA208" s="10">
        <f>IF('Batt IN'!$E$11="Non-Taxable",'Batt IN'!$E$21*'Batt IN'!$G$21/12,0)</f>
        <v>437.5</v>
      </c>
      <c r="BB208" s="10">
        <f>IF('Batt IN'!$E$11="Non-Taxable",'Batt IN'!$E$22*'Batt IN'!$G$22/12,0)</f>
        <v>1145.8333333333335</v>
      </c>
      <c r="BC208" s="10">
        <f>IF('Batt IN'!$E$11="Taxable",Q208,0)</f>
        <v>0</v>
      </c>
      <c r="BD208" s="10">
        <f>IF('Batt IN'!$E$11="Taxable",'Batt IN'!$E$28/1000*'Batt IN'!$G$13*('Batt IN'!$E$13/12)*'Batt IN'!$E$12,0)</f>
        <v>0</v>
      </c>
      <c r="BE208" s="10">
        <f>IF('Batt IN'!$E$11="Taxable",$S208*'Batt IN'!$G$15*'Batt IN'!$E$28*'Batt IN'!$E$14/1000,0)</f>
        <v>0</v>
      </c>
      <c r="BF208" s="10">
        <f>IF('Batt IN'!$E$11="Taxable",'Batt IN'!$E$21*'Batt IN'!$G$21/12,0)</f>
        <v>0</v>
      </c>
      <c r="BG208" s="10">
        <f>IF('Batt IN'!$E$11="Taxable",'Batt IN'!$E$22*'Batt IN'!$G$22/12,0)</f>
        <v>0</v>
      </c>
      <c r="BK208" s="10">
        <f>IF('Batt IN'!$N$18="Yes",-BattLoan!H236,-BattLoan!L236)</f>
        <v>0</v>
      </c>
      <c r="BL208" s="10">
        <f>IF('Batt IN'!$N$18="Yes",-BattLoan!F236,0)</f>
        <v>0</v>
      </c>
      <c r="BM208" s="10">
        <f>IF(AND('Batt IN'!$D$44="YES",$C208&lt;='Batt IN'!$E$44*12),0,-'Batt IN'!$E$28*'Batt IN'!$E$42/12)</f>
        <v>-83.333333333333329</v>
      </c>
      <c r="BN208" s="10">
        <f>IF(AND('Batt IN'!$D$46="YES",$C208&lt;='Batt IN'!$E$46*12),0,-'Batt IN'!$E$28*'Batt IN'!$E$45/12)</f>
        <v>-166.66666666666666</v>
      </c>
      <c r="BO208" s="2">
        <f>IF(AND('Batt IN'!$D$41="YES",BattCalcs!C208=ROUNDUP('Batt IN'!$H$41*12,)),-'Batt IN'!$E$41*'Batt IN'!$E$28,0)</f>
        <v>0</v>
      </c>
      <c r="BP208" s="2">
        <f>IF(AND('Batt IN'!$D$53="Yes",$AL$1&gt;=1),0,IF($C208='Batt IN'!$H$54*12,-'Batt IN'!$F$54,0))</f>
        <v>0</v>
      </c>
      <c r="BQ208" s="2">
        <f>IF(AND('Batt IN'!$D$53="Yes",$AL$1&gt;=2),0,IF($C208='Batt IN'!$H$55*12,-'Batt IN'!$F$55,0))</f>
        <v>0</v>
      </c>
      <c r="BR208" s="2">
        <f>IF(AND('Batt IN'!$D$53="Yes",$AL$1&gt;=3),0,IF($C208='Batt IN'!$H$56*12,-'Batt IN'!$F$56,0))</f>
        <v>0</v>
      </c>
      <c r="BS208" s="2">
        <f>IF(AND('Batt IN'!$D$53="Yes",$AL$1&gt;=4),0,IF($C208='Batt IN'!$H$57*12,-'Batt IN'!$F$57,0))</f>
        <v>0</v>
      </c>
      <c r="BT208" s="2">
        <f>IF(AND('Batt IN'!$D$53="Yes",$AL$1&gt;=5),0,IF($C208='Batt IN'!$H$58*12,-'Batt IN'!$F$58,0))</f>
        <v>0</v>
      </c>
      <c r="BU208" s="2">
        <f>-AH208*PVCalcs!F208</f>
        <v>-374.12248175581863</v>
      </c>
      <c r="BV208" s="2">
        <f>-'Batt IN'!$E$47</f>
        <v>-150</v>
      </c>
      <c r="BW208" s="2">
        <f>-'Batt IN'!$E$49</f>
        <v>-2250</v>
      </c>
      <c r="BX208" s="2">
        <f>IF('Batt IN'!$H$50="No",-(BC208*'Batt IN'!$E$50),-(BC208+BE208)*'Batt IN'!$E$50)</f>
        <v>0</v>
      </c>
      <c r="BY208" s="2">
        <f>IF(C208='Batt IN'!$H$43*12,-'Batt IN'!$E$43,0)</f>
        <v>0</v>
      </c>
      <c r="BZ208" s="38"/>
      <c r="CA208" s="10">
        <f t="shared" si="51"/>
        <v>13422.323408333334</v>
      </c>
      <c r="CB208" s="2">
        <f t="shared" si="55"/>
        <v>-3024.1224817558186</v>
      </c>
      <c r="CC208" s="45">
        <f t="shared" si="56"/>
        <v>10398.200926577516</v>
      </c>
      <c r="CD208" s="43"/>
      <c r="CE208" s="2">
        <f t="shared" si="52"/>
        <v>0</v>
      </c>
      <c r="CF208" s="2">
        <f t="shared" si="57"/>
        <v>-3024.1224817558186</v>
      </c>
      <c r="CG208" s="2"/>
      <c r="CH208" s="2">
        <f t="shared" si="58"/>
        <v>-3024.1224817558186</v>
      </c>
      <c r="CI208" s="45">
        <f>-CH208*'Batt IN'!$E$7</f>
        <v>635.06572116872189</v>
      </c>
      <c r="CJ208" s="48"/>
      <c r="CK208" s="45">
        <f>IF('Batt IN'!$F$4="PV Only",0,IF(C208&gt;'Batt IN'!$H$43*12,0,CC208+CI208))</f>
        <v>0</v>
      </c>
      <c r="CM208" s="10">
        <f t="shared" si="59"/>
        <v>0</v>
      </c>
      <c r="CN208" s="2">
        <f>CK208/(1+('Batt IN'!$G$8))^(C208)</f>
        <v>0</v>
      </c>
      <c r="CO208" s="2">
        <f>IF(C208&lt;='Batt IN'!$O$30*12,CN208+CO207,NA())</f>
        <v>0</v>
      </c>
      <c r="CQ208" s="2">
        <f>CK208/((1+('Batt IN'!$E$8/12))^BattCalcs!C208)</f>
        <v>0</v>
      </c>
      <c r="CS208" s="10">
        <f t="shared" si="60"/>
        <v>-3024.1224817558186</v>
      </c>
      <c r="CT208" s="10">
        <f t="shared" si="61"/>
        <v>0</v>
      </c>
      <c r="CU208" s="10">
        <f t="shared" si="62"/>
        <v>-3024.1224817558186</v>
      </c>
      <c r="CV208" s="10">
        <f t="shared" si="63"/>
        <v>-3024.1224817558186</v>
      </c>
      <c r="CW208" s="2">
        <f t="shared" si="64"/>
        <v>0</v>
      </c>
      <c r="CX208" s="2">
        <f>-(SUM(CV208:CW208)*'PV IN'!$E$8)</f>
        <v>635.06572116872189</v>
      </c>
      <c r="CY208" s="2">
        <f t="shared" si="65"/>
        <v>-2389.0567605870965</v>
      </c>
      <c r="CZ208" s="2">
        <f>IF(C208&lt;='Batt IN'!$H$43*12,CY208/(1+('PV IN'!$G$9))^(C208),0)</f>
        <v>-1042.3375511584557</v>
      </c>
      <c r="DA208" s="33">
        <f>IF(C208&lt;='Batt IN'!$H$43*12,AE208,0)</f>
        <v>30366.783333333333</v>
      </c>
    </row>
    <row r="209" spans="1:105" x14ac:dyDescent="0.25">
      <c r="A209">
        <f>IF(C209&lt;='Batt IN'!$H$43*12,C209,"")</f>
        <v>205</v>
      </c>
      <c r="C209">
        <v>205</v>
      </c>
      <c r="D209" s="21">
        <v>730</v>
      </c>
      <c r="E209" s="1">
        <f>1-'Batt IN'!$E$31</f>
        <v>2.0000000000000018E-2</v>
      </c>
      <c r="F209" s="12">
        <f>('Batt IN'!$E$33*365)/8760</f>
        <v>0</v>
      </c>
      <c r="G209" s="22">
        <f>'Batt IN'!$E$32/8760</f>
        <v>5.7077625570776253E-3</v>
      </c>
      <c r="H209" s="22">
        <f>'Batt IN'!$E$13/8760</f>
        <v>5.5936073059360729E-3</v>
      </c>
      <c r="I209" s="23">
        <f>IF(C209&lt;='Batt IN'!$G$14*12,'Batt IN'!$E$15/8760*'Batt IN'!$G$15,0)</f>
        <v>0</v>
      </c>
      <c r="J209" s="12">
        <f>Z209/'Batt IN'!$E$27/730</f>
        <v>2.4999999999999996E-3</v>
      </c>
      <c r="K209" s="23">
        <f>AA209/'Batt IN'!$E$27/730</f>
        <v>1.6027397260273972E-3</v>
      </c>
      <c r="L209" s="23">
        <f>AB209/'Batt IN'!$E$27/730</f>
        <v>2.0547945205479451E-4</v>
      </c>
      <c r="M209" s="23">
        <f>AC209/'Batt IN'!$E$27/730</f>
        <v>4.7945205479452057E-3</v>
      </c>
      <c r="N209" s="23">
        <f>AD209/'Batt IN'!$E$27/730</f>
        <v>3.4246575342465752E-3</v>
      </c>
      <c r="O209" s="12">
        <f t="shared" si="53"/>
        <v>4.3828767123287697E-2</v>
      </c>
      <c r="P209" s="21">
        <f t="shared" si="54"/>
        <v>698.005</v>
      </c>
      <c r="Q209" s="2">
        <f>IF('Batt IN'!$E$27*'Batt IN'!$E$24&lt;='Batt IN'!$E$28,(('Batt IN'!$E$23*'Batt IN'!$E$27*'Batt IN'!$E$24)/1000)*P209,(('Batt IN'!$E$23*'Batt IN'!$E$28*'Batt IN'!$E$24)/1000)*P209)</f>
        <v>11168.08</v>
      </c>
      <c r="R209" s="2"/>
      <c r="S209" s="77">
        <f>IF(C209&lt;='Batt IN'!$G$14*12,'Batt IN'!$E$15/12,0)</f>
        <v>0</v>
      </c>
      <c r="T209" s="77"/>
      <c r="U209" s="80">
        <f>'Batt IN'!$E$28*('Batt IN'!$G$24/24)*730*(1-O209)</f>
        <v>81433.916666666657</v>
      </c>
      <c r="V209" s="78">
        <f>U209*'Batt IN'!$F$30</f>
        <v>16286.783333333333</v>
      </c>
      <c r="W209" s="78">
        <f>'Batt IN'!$E$28*'Batt IN'!$G$32*('Batt IN'!$E$32/12)*(1+'Batt IN'!$F$30)</f>
        <v>1750.0000000000002</v>
      </c>
      <c r="X209" s="78">
        <f>'Batt IN'!$E$28*'Batt IN'!$G$13*('Batt IN'!$E$13/12)*(1+'Batt IN'!$F$30)</f>
        <v>3184.9999999999995</v>
      </c>
      <c r="Y209" s="33">
        <f>S209*'Batt IN'!$G$15*'Batt IN'!$E$28*(1+'Batt IN'!$F$30)</f>
        <v>0</v>
      </c>
      <c r="Z209" s="33">
        <f>'Batt IN'!$G$16*365/12*(1+'Batt IN'!$F$30)</f>
        <v>1824.9999999999998</v>
      </c>
      <c r="AA209" s="33">
        <f>'Batt IN'!$G$17*'Batt IN'!$E$18*'Batt IN'!$G$18/12*(1+'Batt IN'!$F$30)</f>
        <v>1170</v>
      </c>
      <c r="AB209" s="33">
        <f>'Batt IN'!$G$19*'Batt IN'!$E$20*'Batt IN'!$G$20/12*(1+'Batt IN'!$F$30)</f>
        <v>150</v>
      </c>
      <c r="AC209" s="33">
        <f>'Batt IN'!$G$21*(1+'Batt IN'!$F$30)/12</f>
        <v>3500</v>
      </c>
      <c r="AD209" s="33">
        <f>'Batt IN'!$G$22*(1+'Batt IN'!$F$30)/12</f>
        <v>2500</v>
      </c>
      <c r="AE209" s="33">
        <f t="shared" si="66"/>
        <v>30366.783333333333</v>
      </c>
      <c r="AF209" s="33">
        <f>IF('PV IN'!$F$4="Battery Only",0,AE209*'Batt IN'!$E$29)</f>
        <v>25811.765833333331</v>
      </c>
      <c r="AG209" s="33">
        <f>PVCalcs!L209</f>
        <v>25811.765833333331</v>
      </c>
      <c r="AH209" s="33">
        <f t="shared" si="67"/>
        <v>4555.0175000000017</v>
      </c>
      <c r="AI209" s="33"/>
      <c r="AJ209" s="2">
        <f>IF(AND('Batt IN'!$D$53="Yes",$AL$1&gt;=1),IF($C209='Batt IN'!$H$54*12,-'Batt IN'!$F$54,0),0)</f>
        <v>0</v>
      </c>
      <c r="AK209" s="2">
        <f>IF(AND('Batt IN'!$D$53="Yes",$AL$1&gt;=2),IF($C209='Batt IN'!$H$55*12,-'Batt IN'!$F$55,0),0)</f>
        <v>0</v>
      </c>
      <c r="AL209" s="2">
        <f>IF(AND('Batt IN'!$D$53="Yes",$AL$1&gt;=3),IF($C209='Batt IN'!$H$56*12,-'Batt IN'!$F$56,0),0)</f>
        <v>0</v>
      </c>
      <c r="AM209" s="2">
        <f>IF(AND('Batt IN'!$D$53="Yes",$AL$1&gt;=4),IF($C209='Batt IN'!$H$57*12,-'Batt IN'!$F$57,0),0)</f>
        <v>0</v>
      </c>
      <c r="AN209" s="2">
        <f>IF(AND('Batt IN'!$D$53="Yes",$AL$1&gt;=5),IF($C209='Batt IN'!$H$58*12,-'Batt IN'!$F$58,0),0)</f>
        <v>0</v>
      </c>
      <c r="AO209" s="10">
        <f>IF(AND('Batt IN'!$D$44="YES",$C209&lt;='Batt IN'!$E$44*12),-'Batt IN'!$E$28*'Batt IN'!$E$42/12,0)</f>
        <v>0</v>
      </c>
      <c r="AP209" s="10">
        <f>IF(AND('Batt IN'!$D$46="YES",$C209&lt;='Batt IN'!$E$46*12),-'Batt IN'!$E$28*'Batt IN'!$E$45/12,0)</f>
        <v>0</v>
      </c>
      <c r="AR209" s="10">
        <f>BattLoan!M236</f>
        <v>0</v>
      </c>
      <c r="AS209" s="10">
        <f>'Batt IN'!$G$16*365/12*'Batt IN'!$E$16</f>
        <v>76.041666666666671</v>
      </c>
      <c r="AT209" s="10">
        <f>IF(AND('Batt IN'!$E$18&gt;0,'Batt IN'!$G$18&gt;0),'Batt IN'!$E$17*'Batt IN'!$G$17,0)</f>
        <v>119.44619999999999</v>
      </c>
      <c r="AU209" s="10">
        <f>IF(AND('Batt IN'!$E$20&gt;0,'Batt IN'!$G$20&gt;0),'Batt IN'!$E$19*'Batt IN'!$G$19,0)</f>
        <v>231</v>
      </c>
      <c r="AV209" s="10"/>
      <c r="AW209" s="10"/>
      <c r="AX209" s="10">
        <f>IF('Batt IN'!$E$11="Non-Taxable",Q209,0)</f>
        <v>11168.08</v>
      </c>
      <c r="AY209" s="10">
        <f>IF('Batt IN'!$E$11="Non-Taxable",'Batt IN'!$E$28/1000*'Batt IN'!$G$13*('Batt IN'!$E$13/12)*'Batt IN'!$E$12,0)</f>
        <v>244.42220833333334</v>
      </c>
      <c r="AZ209" s="10">
        <f>IF('Batt IN'!$E$11="Non-Taxable",$S209*'Batt IN'!$G$15*'Batt IN'!$E$28*'Batt IN'!$E$14/1000,0)</f>
        <v>0</v>
      </c>
      <c r="BA209" s="10">
        <f>IF('Batt IN'!$E$11="Non-Taxable",'Batt IN'!$E$21*'Batt IN'!$G$21/12,0)</f>
        <v>437.5</v>
      </c>
      <c r="BB209" s="10">
        <f>IF('Batt IN'!$E$11="Non-Taxable",'Batt IN'!$E$22*'Batt IN'!$G$22/12,0)</f>
        <v>1145.8333333333335</v>
      </c>
      <c r="BC209" s="10">
        <f>IF('Batt IN'!$E$11="Taxable",Q209,0)</f>
        <v>0</v>
      </c>
      <c r="BD209" s="10">
        <f>IF('Batt IN'!$E$11="Taxable",'Batt IN'!$E$28/1000*'Batt IN'!$G$13*('Batt IN'!$E$13/12)*'Batt IN'!$E$12,0)</f>
        <v>0</v>
      </c>
      <c r="BE209" s="10">
        <f>IF('Batt IN'!$E$11="Taxable",$S209*'Batt IN'!$G$15*'Batt IN'!$E$28*'Batt IN'!$E$14/1000,0)</f>
        <v>0</v>
      </c>
      <c r="BF209" s="10">
        <f>IF('Batt IN'!$E$11="Taxable",'Batt IN'!$E$21*'Batt IN'!$G$21/12,0)</f>
        <v>0</v>
      </c>
      <c r="BG209" s="10">
        <f>IF('Batt IN'!$E$11="Taxable",'Batt IN'!$E$22*'Batt IN'!$G$22/12,0)</f>
        <v>0</v>
      </c>
      <c r="BK209" s="10">
        <f>IF('Batt IN'!$N$18="Yes",-BattLoan!H237,-BattLoan!L237)</f>
        <v>0</v>
      </c>
      <c r="BL209" s="10">
        <f>IF('Batt IN'!$N$18="Yes",-BattLoan!F237,0)</f>
        <v>0</v>
      </c>
      <c r="BM209" s="10">
        <f>IF(AND('Batt IN'!$D$44="YES",$C209&lt;='Batt IN'!$E$44*12),0,-'Batt IN'!$E$28*'Batt IN'!$E$42/12)</f>
        <v>-83.333333333333329</v>
      </c>
      <c r="BN209" s="10">
        <f>IF(AND('Batt IN'!$D$46="YES",$C209&lt;='Batt IN'!$E$46*12),0,-'Batt IN'!$E$28*'Batt IN'!$E$45/12)</f>
        <v>-166.66666666666666</v>
      </c>
      <c r="BO209" s="2">
        <f>IF(AND('Batt IN'!$D$41="YES",BattCalcs!C209=ROUNDUP('Batt IN'!$H$41*12,)),-'Batt IN'!$E$41*'Batt IN'!$E$28,0)</f>
        <v>0</v>
      </c>
      <c r="BP209" s="2">
        <f>IF(AND('Batt IN'!$D$53="Yes",$AL$1&gt;=1),0,IF($C209='Batt IN'!$H$54*12,-'Batt IN'!$F$54,0))</f>
        <v>0</v>
      </c>
      <c r="BQ209" s="2">
        <f>IF(AND('Batt IN'!$D$53="Yes",$AL$1&gt;=2),0,IF($C209='Batt IN'!$H$55*12,-'Batt IN'!$F$55,0))</f>
        <v>0</v>
      </c>
      <c r="BR209" s="2">
        <f>IF(AND('Batt IN'!$D$53="Yes",$AL$1&gt;=3),0,IF($C209='Batt IN'!$H$56*12,-'Batt IN'!$F$56,0))</f>
        <v>0</v>
      </c>
      <c r="BS209" s="2">
        <f>IF(AND('Batt IN'!$D$53="Yes",$AL$1&gt;=4),0,IF($C209='Batt IN'!$H$57*12,-'Batt IN'!$F$57,0))</f>
        <v>0</v>
      </c>
      <c r="BT209" s="2">
        <f>IF(AND('Batt IN'!$D$53="Yes",$AL$1&gt;=5),0,IF($C209='Batt IN'!$H$58*12,-'Batt IN'!$F$58,0))</f>
        <v>0</v>
      </c>
      <c r="BU209" s="2">
        <f>-AH209*PVCalcs!F209</f>
        <v>-379.65428629825368</v>
      </c>
      <c r="BV209" s="2">
        <f>-'Batt IN'!$E$47</f>
        <v>-150</v>
      </c>
      <c r="BW209" s="2">
        <f>-'Batt IN'!$E$49</f>
        <v>-2250</v>
      </c>
      <c r="BX209" s="2">
        <f>IF('Batt IN'!$H$50="No",-(BC209*'Batt IN'!$E$50),-(BC209+BE209)*'Batt IN'!$E$50)</f>
        <v>0</v>
      </c>
      <c r="BY209" s="2">
        <f>IF(C209='Batt IN'!$H$43*12,-'Batt IN'!$E$43,0)</f>
        <v>0</v>
      </c>
      <c r="BZ209" s="38"/>
      <c r="CA209" s="10">
        <f t="shared" si="51"/>
        <v>13422.323408333334</v>
      </c>
      <c r="CB209" s="2">
        <f t="shared" si="55"/>
        <v>-3029.6542862982537</v>
      </c>
      <c r="CC209" s="45">
        <f t="shared" si="56"/>
        <v>10392.66912203508</v>
      </c>
      <c r="CD209" s="43"/>
      <c r="CE209" s="2">
        <f t="shared" si="52"/>
        <v>0</v>
      </c>
      <c r="CF209" s="2">
        <f t="shared" si="57"/>
        <v>-3029.6542862982537</v>
      </c>
      <c r="CG209" s="2"/>
      <c r="CH209" s="2">
        <f t="shared" si="58"/>
        <v>-3029.6542862982537</v>
      </c>
      <c r="CI209" s="45">
        <f>-CH209*'Batt IN'!$E$7</f>
        <v>636.2274001226333</v>
      </c>
      <c r="CJ209" s="48"/>
      <c r="CK209" s="45">
        <f>IF('Batt IN'!$F$4="PV Only",0,IF(C209&gt;'Batt IN'!$H$43*12,0,CC209+CI209))</f>
        <v>0</v>
      </c>
      <c r="CM209" s="10">
        <f t="shared" si="59"/>
        <v>0</v>
      </c>
      <c r="CN209" s="2">
        <f>CK209/(1+('Batt IN'!$G$8))^(C209)</f>
        <v>0</v>
      </c>
      <c r="CO209" s="2">
        <f>IF(C209&lt;='Batt IN'!$O$30*12,CN209+CO208,NA())</f>
        <v>0</v>
      </c>
      <c r="CQ209" s="2">
        <f>CK209/((1+('Batt IN'!$E$8/12))^BattCalcs!C209)</f>
        <v>0</v>
      </c>
      <c r="CS209" s="10">
        <f t="shared" si="60"/>
        <v>-3029.6542862982537</v>
      </c>
      <c r="CT209" s="10">
        <f t="shared" si="61"/>
        <v>0</v>
      </c>
      <c r="CU209" s="10">
        <f t="shared" si="62"/>
        <v>-3029.6542862982537</v>
      </c>
      <c r="CV209" s="10">
        <f t="shared" si="63"/>
        <v>-3029.6542862982537</v>
      </c>
      <c r="CW209" s="2">
        <f t="shared" si="64"/>
        <v>0</v>
      </c>
      <c r="CX209" s="2">
        <f>-(SUM(CV209:CW209)*'PV IN'!$E$8)</f>
        <v>636.2274001226333</v>
      </c>
      <c r="CY209" s="2">
        <f t="shared" si="65"/>
        <v>-2393.4268861756204</v>
      </c>
      <c r="CZ209" s="2">
        <f>IF(C209&lt;='Batt IN'!$H$43*12,CY209/(1+('PV IN'!$G$9))^(C209),0)</f>
        <v>-1040.0071047963581</v>
      </c>
      <c r="DA209" s="33">
        <f>IF(C209&lt;='Batt IN'!$H$43*12,AE209,0)</f>
        <v>30366.783333333333</v>
      </c>
    </row>
    <row r="210" spans="1:105" x14ac:dyDescent="0.25">
      <c r="A210">
        <f>IF(C210&lt;='Batt IN'!$H$43*12,C210,"")</f>
        <v>206</v>
      </c>
      <c r="C210">
        <v>206</v>
      </c>
      <c r="D210" s="21">
        <v>730</v>
      </c>
      <c r="E210" s="1">
        <f>1-'Batt IN'!$E$31</f>
        <v>2.0000000000000018E-2</v>
      </c>
      <c r="F210" s="12">
        <f>('Batt IN'!$E$33*365)/8760</f>
        <v>0</v>
      </c>
      <c r="G210" s="22">
        <f>'Batt IN'!$E$32/8760</f>
        <v>5.7077625570776253E-3</v>
      </c>
      <c r="H210" s="22">
        <f>'Batt IN'!$E$13/8760</f>
        <v>5.5936073059360729E-3</v>
      </c>
      <c r="I210" s="23">
        <f>IF(C210&lt;='Batt IN'!$G$14*12,'Batt IN'!$E$15/8760*'Batt IN'!$G$15,0)</f>
        <v>0</v>
      </c>
      <c r="J210" s="12">
        <f>Z210/'Batt IN'!$E$27/730</f>
        <v>2.4999999999999996E-3</v>
      </c>
      <c r="K210" s="23">
        <f>AA210/'Batt IN'!$E$27/730</f>
        <v>1.6027397260273972E-3</v>
      </c>
      <c r="L210" s="23">
        <f>AB210/'Batt IN'!$E$27/730</f>
        <v>2.0547945205479451E-4</v>
      </c>
      <c r="M210" s="23">
        <f>AC210/'Batt IN'!$E$27/730</f>
        <v>4.7945205479452057E-3</v>
      </c>
      <c r="N210" s="23">
        <f>AD210/'Batt IN'!$E$27/730</f>
        <v>3.4246575342465752E-3</v>
      </c>
      <c r="O210" s="12">
        <f t="shared" si="53"/>
        <v>4.3828767123287697E-2</v>
      </c>
      <c r="P210" s="21">
        <f t="shared" si="54"/>
        <v>698.005</v>
      </c>
      <c r="Q210" s="2">
        <f>IF('Batt IN'!$E$27*'Batt IN'!$E$24&lt;='Batt IN'!$E$28,(('Batt IN'!$E$23*'Batt IN'!$E$27*'Batt IN'!$E$24)/1000)*P210,(('Batt IN'!$E$23*'Batt IN'!$E$28*'Batt IN'!$E$24)/1000)*P210)</f>
        <v>11168.08</v>
      </c>
      <c r="R210" s="2"/>
      <c r="S210" s="77">
        <f>IF(C210&lt;='Batt IN'!$G$14*12,'Batt IN'!$E$15/12,0)</f>
        <v>0</v>
      </c>
      <c r="T210" s="77"/>
      <c r="U210" s="80">
        <f>'Batt IN'!$E$28*('Batt IN'!$G$24/24)*730*(1-O210)</f>
        <v>81433.916666666657</v>
      </c>
      <c r="V210" s="78">
        <f>U210*'Batt IN'!$F$30</f>
        <v>16286.783333333333</v>
      </c>
      <c r="W210" s="78">
        <f>'Batt IN'!$E$28*'Batt IN'!$G$32*('Batt IN'!$E$32/12)*(1+'Batt IN'!$F$30)</f>
        <v>1750.0000000000002</v>
      </c>
      <c r="X210" s="78">
        <f>'Batt IN'!$E$28*'Batt IN'!$G$13*('Batt IN'!$E$13/12)*(1+'Batt IN'!$F$30)</f>
        <v>3184.9999999999995</v>
      </c>
      <c r="Y210" s="33">
        <f>S210*'Batt IN'!$G$15*'Batt IN'!$E$28*(1+'Batt IN'!$F$30)</f>
        <v>0</v>
      </c>
      <c r="Z210" s="33">
        <f>'Batt IN'!$G$16*365/12*(1+'Batt IN'!$F$30)</f>
        <v>1824.9999999999998</v>
      </c>
      <c r="AA210" s="33">
        <f>'Batt IN'!$G$17*'Batt IN'!$E$18*'Batt IN'!$G$18/12*(1+'Batt IN'!$F$30)</f>
        <v>1170</v>
      </c>
      <c r="AB210" s="33">
        <f>'Batt IN'!$G$19*'Batt IN'!$E$20*'Batt IN'!$G$20/12*(1+'Batt IN'!$F$30)</f>
        <v>150</v>
      </c>
      <c r="AC210" s="33">
        <f>'Batt IN'!$G$21*(1+'Batt IN'!$F$30)/12</f>
        <v>3500</v>
      </c>
      <c r="AD210" s="33">
        <f>'Batt IN'!$G$22*(1+'Batt IN'!$F$30)/12</f>
        <v>2500</v>
      </c>
      <c r="AE210" s="33">
        <f t="shared" si="66"/>
        <v>30366.783333333333</v>
      </c>
      <c r="AF210" s="33">
        <f>IF('PV IN'!$F$4="Battery Only",0,AE210*'Batt IN'!$E$29)</f>
        <v>25811.765833333331</v>
      </c>
      <c r="AG210" s="33">
        <f>PVCalcs!L210</f>
        <v>25811.765833333331</v>
      </c>
      <c r="AH210" s="33">
        <f t="shared" si="67"/>
        <v>4555.0175000000017</v>
      </c>
      <c r="AI210" s="33"/>
      <c r="AJ210" s="2">
        <f>IF(AND('Batt IN'!$D$53="Yes",$AL$1&gt;=1),IF($C210='Batt IN'!$H$54*12,-'Batt IN'!$F$54,0),0)</f>
        <v>0</v>
      </c>
      <c r="AK210" s="2">
        <f>IF(AND('Batt IN'!$D$53="Yes",$AL$1&gt;=2),IF($C210='Batt IN'!$H$55*12,-'Batt IN'!$F$55,0),0)</f>
        <v>0</v>
      </c>
      <c r="AL210" s="2">
        <f>IF(AND('Batt IN'!$D$53="Yes",$AL$1&gt;=3),IF($C210='Batt IN'!$H$56*12,-'Batt IN'!$F$56,0),0)</f>
        <v>0</v>
      </c>
      <c r="AM210" s="2">
        <f>IF(AND('Batt IN'!$D$53="Yes",$AL$1&gt;=4),IF($C210='Batt IN'!$H$57*12,-'Batt IN'!$F$57,0),0)</f>
        <v>0</v>
      </c>
      <c r="AN210" s="2">
        <f>IF(AND('Batt IN'!$D$53="Yes",$AL$1&gt;=5),IF($C210='Batt IN'!$H$58*12,-'Batt IN'!$F$58,0),0)</f>
        <v>0</v>
      </c>
      <c r="AO210" s="10">
        <f>IF(AND('Batt IN'!$D$44="YES",$C210&lt;='Batt IN'!$E$44*12),-'Batt IN'!$E$28*'Batt IN'!$E$42/12,0)</f>
        <v>0</v>
      </c>
      <c r="AP210" s="10">
        <f>IF(AND('Batt IN'!$D$46="YES",$C210&lt;='Batt IN'!$E$46*12),-'Batt IN'!$E$28*'Batt IN'!$E$45/12,0)</f>
        <v>0</v>
      </c>
      <c r="AR210" s="10">
        <f>BattLoan!M237</f>
        <v>0</v>
      </c>
      <c r="AS210" s="10">
        <f>'Batt IN'!$G$16*365/12*'Batt IN'!$E$16</f>
        <v>76.041666666666671</v>
      </c>
      <c r="AT210" s="10">
        <f>IF(AND('Batt IN'!$E$18&gt;0,'Batt IN'!$G$18&gt;0),'Batt IN'!$E$17*'Batt IN'!$G$17,0)</f>
        <v>119.44619999999999</v>
      </c>
      <c r="AU210" s="10">
        <f>IF(AND('Batt IN'!$E$20&gt;0,'Batt IN'!$G$20&gt;0),'Batt IN'!$E$19*'Batt IN'!$G$19,0)</f>
        <v>231</v>
      </c>
      <c r="AV210" s="10"/>
      <c r="AW210" s="10"/>
      <c r="AX210" s="10">
        <f>IF('Batt IN'!$E$11="Non-Taxable",Q210,0)</f>
        <v>11168.08</v>
      </c>
      <c r="AY210" s="10">
        <f>IF('Batt IN'!$E$11="Non-Taxable",'Batt IN'!$E$28/1000*'Batt IN'!$G$13*('Batt IN'!$E$13/12)*'Batt IN'!$E$12,0)</f>
        <v>244.42220833333334</v>
      </c>
      <c r="AZ210" s="10">
        <f>IF('Batt IN'!$E$11="Non-Taxable",$S210*'Batt IN'!$G$15*'Batt IN'!$E$28*'Batt IN'!$E$14/1000,0)</f>
        <v>0</v>
      </c>
      <c r="BA210" s="10">
        <f>IF('Batt IN'!$E$11="Non-Taxable",'Batt IN'!$E$21*'Batt IN'!$G$21/12,0)</f>
        <v>437.5</v>
      </c>
      <c r="BB210" s="10">
        <f>IF('Batt IN'!$E$11="Non-Taxable",'Batt IN'!$E$22*'Batt IN'!$G$22/12,0)</f>
        <v>1145.8333333333335</v>
      </c>
      <c r="BC210" s="10">
        <f>IF('Batt IN'!$E$11="Taxable",Q210,0)</f>
        <v>0</v>
      </c>
      <c r="BD210" s="10">
        <f>IF('Batt IN'!$E$11="Taxable",'Batt IN'!$E$28/1000*'Batt IN'!$G$13*('Batt IN'!$E$13/12)*'Batt IN'!$E$12,0)</f>
        <v>0</v>
      </c>
      <c r="BE210" s="10">
        <f>IF('Batt IN'!$E$11="Taxable",$S210*'Batt IN'!$G$15*'Batt IN'!$E$28*'Batt IN'!$E$14/1000,0)</f>
        <v>0</v>
      </c>
      <c r="BF210" s="10">
        <f>IF('Batt IN'!$E$11="Taxable",'Batt IN'!$E$21*'Batt IN'!$G$21/12,0)</f>
        <v>0</v>
      </c>
      <c r="BG210" s="10">
        <f>IF('Batt IN'!$E$11="Taxable",'Batt IN'!$E$22*'Batt IN'!$G$22/12,0)</f>
        <v>0</v>
      </c>
      <c r="BK210" s="10">
        <f>IF('Batt IN'!$N$18="Yes",-BattLoan!H238,-BattLoan!L238)</f>
        <v>0</v>
      </c>
      <c r="BL210" s="10">
        <f>IF('Batt IN'!$N$18="Yes",-BattLoan!F238,0)</f>
        <v>0</v>
      </c>
      <c r="BM210" s="10">
        <f>IF(AND('Batt IN'!$D$44="YES",$C210&lt;='Batt IN'!$E$44*12),0,-'Batt IN'!$E$28*'Batt IN'!$E$42/12)</f>
        <v>-83.333333333333329</v>
      </c>
      <c r="BN210" s="10">
        <f>IF(AND('Batt IN'!$D$46="YES",$C210&lt;='Batt IN'!$E$46*12),0,-'Batt IN'!$E$28*'Batt IN'!$E$45/12)</f>
        <v>-166.66666666666666</v>
      </c>
      <c r="BO210" s="2">
        <f>IF(AND('Batt IN'!$D$41="YES",BattCalcs!C210=ROUNDUP('Batt IN'!$H$41*12,)),-'Batt IN'!$E$41*'Batt IN'!$E$28,0)</f>
        <v>0</v>
      </c>
      <c r="BP210" s="2">
        <f>IF(AND('Batt IN'!$D$53="Yes",$AL$1&gt;=1),0,IF($C210='Batt IN'!$H$54*12,-'Batt IN'!$F$54,0))</f>
        <v>0</v>
      </c>
      <c r="BQ210" s="2">
        <f>IF(AND('Batt IN'!$D$53="Yes",$AL$1&gt;=2),0,IF($C210='Batt IN'!$H$55*12,-'Batt IN'!$F$55,0))</f>
        <v>0</v>
      </c>
      <c r="BR210" s="2">
        <f>IF(AND('Batt IN'!$D$53="Yes",$AL$1&gt;=3),0,IF($C210='Batt IN'!$H$56*12,-'Batt IN'!$F$56,0))</f>
        <v>0</v>
      </c>
      <c r="BS210" s="2">
        <f>IF(AND('Batt IN'!$D$53="Yes",$AL$1&gt;=4),0,IF($C210='Batt IN'!$H$57*12,-'Batt IN'!$F$57,0))</f>
        <v>0</v>
      </c>
      <c r="BT210" s="2">
        <f>IF(AND('Batt IN'!$D$53="Yes",$AL$1&gt;=5),0,IF($C210='Batt IN'!$H$58*12,-'Batt IN'!$F$58,0))</f>
        <v>0</v>
      </c>
      <c r="BU210" s="2">
        <f>-AH210*PVCalcs!F210</f>
        <v>-379.65428629825368</v>
      </c>
      <c r="BV210" s="2">
        <f>-'Batt IN'!$E$47</f>
        <v>-150</v>
      </c>
      <c r="BW210" s="2">
        <f>-'Batt IN'!$E$49</f>
        <v>-2250</v>
      </c>
      <c r="BX210" s="2">
        <f>IF('Batt IN'!$H$50="No",-(BC210*'Batt IN'!$E$50),-(BC210+BE210)*'Batt IN'!$E$50)</f>
        <v>0</v>
      </c>
      <c r="BY210" s="2">
        <f>IF(C210='Batt IN'!$H$43*12,-'Batt IN'!$E$43,0)</f>
        <v>0</v>
      </c>
      <c r="BZ210" s="38"/>
      <c r="CA210" s="10">
        <f t="shared" si="51"/>
        <v>13422.323408333334</v>
      </c>
      <c r="CB210" s="2">
        <f t="shared" si="55"/>
        <v>-3029.6542862982537</v>
      </c>
      <c r="CC210" s="45">
        <f t="shared" si="56"/>
        <v>10392.66912203508</v>
      </c>
      <c r="CD210" s="43"/>
      <c r="CE210" s="2">
        <f t="shared" si="52"/>
        <v>0</v>
      </c>
      <c r="CF210" s="2">
        <f t="shared" si="57"/>
        <v>-3029.6542862982537</v>
      </c>
      <c r="CG210" s="2"/>
      <c r="CH210" s="2">
        <f t="shared" si="58"/>
        <v>-3029.6542862982537</v>
      </c>
      <c r="CI210" s="45">
        <f>-CH210*'Batt IN'!$E$7</f>
        <v>636.2274001226333</v>
      </c>
      <c r="CJ210" s="48"/>
      <c r="CK210" s="45">
        <f>IF('Batt IN'!$F$4="PV Only",0,IF(C210&gt;'Batt IN'!$H$43*12,0,CC210+CI210))</f>
        <v>0</v>
      </c>
      <c r="CM210" s="10">
        <f t="shared" si="59"/>
        <v>0</v>
      </c>
      <c r="CN210" s="2">
        <f>CK210/(1+('Batt IN'!$G$8))^(C210)</f>
        <v>0</v>
      </c>
      <c r="CO210" s="2">
        <f>IF(C210&lt;='Batt IN'!$O$30*12,CN210+CO209,NA())</f>
        <v>0</v>
      </c>
      <c r="CQ210" s="2">
        <f>CK210/((1+('Batt IN'!$E$8/12))^BattCalcs!C210)</f>
        <v>0</v>
      </c>
      <c r="CS210" s="10">
        <f t="shared" si="60"/>
        <v>-3029.6542862982537</v>
      </c>
      <c r="CT210" s="10">
        <f t="shared" si="61"/>
        <v>0</v>
      </c>
      <c r="CU210" s="10">
        <f t="shared" si="62"/>
        <v>-3029.6542862982537</v>
      </c>
      <c r="CV210" s="10">
        <f t="shared" si="63"/>
        <v>-3029.6542862982537</v>
      </c>
      <c r="CW210" s="2">
        <f t="shared" si="64"/>
        <v>0</v>
      </c>
      <c r="CX210" s="2">
        <f>-(SUM(CV210:CW210)*'PV IN'!$E$8)</f>
        <v>636.2274001226333</v>
      </c>
      <c r="CY210" s="2">
        <f t="shared" si="65"/>
        <v>-2393.4268861756204</v>
      </c>
      <c r="CZ210" s="2">
        <f>IF(C210&lt;='Batt IN'!$H$43*12,CY210/(1+('PV IN'!$G$9))^(C210),0)</f>
        <v>-1035.7871796130983</v>
      </c>
      <c r="DA210" s="33">
        <f>IF(C210&lt;='Batt IN'!$H$43*12,AE210,0)</f>
        <v>30366.783333333333</v>
      </c>
    </row>
    <row r="211" spans="1:105" x14ac:dyDescent="0.25">
      <c r="A211">
        <f>IF(C211&lt;='Batt IN'!$H$43*12,C211,"")</f>
        <v>207</v>
      </c>
      <c r="C211">
        <v>207</v>
      </c>
      <c r="D211" s="21">
        <v>730</v>
      </c>
      <c r="E211" s="1">
        <f>1-'Batt IN'!$E$31</f>
        <v>2.0000000000000018E-2</v>
      </c>
      <c r="F211" s="12">
        <f>('Batt IN'!$E$33*365)/8760</f>
        <v>0</v>
      </c>
      <c r="G211" s="22">
        <f>'Batt IN'!$E$32/8760</f>
        <v>5.7077625570776253E-3</v>
      </c>
      <c r="H211" s="22">
        <f>'Batt IN'!$E$13/8760</f>
        <v>5.5936073059360729E-3</v>
      </c>
      <c r="I211" s="23">
        <f>IF(C211&lt;='Batt IN'!$G$14*12,'Batt IN'!$E$15/8760*'Batt IN'!$G$15,0)</f>
        <v>0</v>
      </c>
      <c r="J211" s="12">
        <f>Z211/'Batt IN'!$E$27/730</f>
        <v>2.4999999999999996E-3</v>
      </c>
      <c r="K211" s="23">
        <f>AA211/'Batt IN'!$E$27/730</f>
        <v>1.6027397260273972E-3</v>
      </c>
      <c r="L211" s="23">
        <f>AB211/'Batt IN'!$E$27/730</f>
        <v>2.0547945205479451E-4</v>
      </c>
      <c r="M211" s="23">
        <f>AC211/'Batt IN'!$E$27/730</f>
        <v>4.7945205479452057E-3</v>
      </c>
      <c r="N211" s="23">
        <f>AD211/'Batt IN'!$E$27/730</f>
        <v>3.4246575342465752E-3</v>
      </c>
      <c r="O211" s="12">
        <f t="shared" si="53"/>
        <v>4.3828767123287697E-2</v>
      </c>
      <c r="P211" s="21">
        <f t="shared" si="54"/>
        <v>698.005</v>
      </c>
      <c r="Q211" s="2">
        <f>IF('Batt IN'!$E$27*'Batt IN'!$E$24&lt;='Batt IN'!$E$28,(('Batt IN'!$E$23*'Batt IN'!$E$27*'Batt IN'!$E$24)/1000)*P211,(('Batt IN'!$E$23*'Batt IN'!$E$28*'Batt IN'!$E$24)/1000)*P211)</f>
        <v>11168.08</v>
      </c>
      <c r="R211" s="2"/>
      <c r="S211" s="77">
        <f>IF(C211&lt;='Batt IN'!$G$14*12,'Batt IN'!$E$15/12,0)</f>
        <v>0</v>
      </c>
      <c r="T211" s="77"/>
      <c r="U211" s="80">
        <f>'Batt IN'!$E$28*('Batt IN'!$G$24/24)*730*(1-O211)</f>
        <v>81433.916666666657</v>
      </c>
      <c r="V211" s="78">
        <f>U211*'Batt IN'!$F$30</f>
        <v>16286.783333333333</v>
      </c>
      <c r="W211" s="78">
        <f>'Batt IN'!$E$28*'Batt IN'!$G$32*('Batt IN'!$E$32/12)*(1+'Batt IN'!$F$30)</f>
        <v>1750.0000000000002</v>
      </c>
      <c r="X211" s="78">
        <f>'Batt IN'!$E$28*'Batt IN'!$G$13*('Batt IN'!$E$13/12)*(1+'Batt IN'!$F$30)</f>
        <v>3184.9999999999995</v>
      </c>
      <c r="Y211" s="33">
        <f>S211*'Batt IN'!$G$15*'Batt IN'!$E$28*(1+'Batt IN'!$F$30)</f>
        <v>0</v>
      </c>
      <c r="Z211" s="33">
        <f>'Batt IN'!$G$16*365/12*(1+'Batt IN'!$F$30)</f>
        <v>1824.9999999999998</v>
      </c>
      <c r="AA211" s="33">
        <f>'Batt IN'!$G$17*'Batt IN'!$E$18*'Batt IN'!$G$18/12*(1+'Batt IN'!$F$30)</f>
        <v>1170</v>
      </c>
      <c r="AB211" s="33">
        <f>'Batt IN'!$G$19*'Batt IN'!$E$20*'Batt IN'!$G$20/12*(1+'Batt IN'!$F$30)</f>
        <v>150</v>
      </c>
      <c r="AC211" s="33">
        <f>'Batt IN'!$G$21*(1+'Batt IN'!$F$30)/12</f>
        <v>3500</v>
      </c>
      <c r="AD211" s="33">
        <f>'Batt IN'!$G$22*(1+'Batt IN'!$F$30)/12</f>
        <v>2500</v>
      </c>
      <c r="AE211" s="33">
        <f t="shared" si="66"/>
        <v>30366.783333333333</v>
      </c>
      <c r="AF211" s="33">
        <f>IF('PV IN'!$F$4="Battery Only",0,AE211*'Batt IN'!$E$29)</f>
        <v>25811.765833333331</v>
      </c>
      <c r="AG211" s="33">
        <f>PVCalcs!L211</f>
        <v>25811.765833333331</v>
      </c>
      <c r="AH211" s="33">
        <f t="shared" si="67"/>
        <v>4555.0175000000017</v>
      </c>
      <c r="AI211" s="33"/>
      <c r="AJ211" s="2">
        <f>IF(AND('Batt IN'!$D$53="Yes",$AL$1&gt;=1),IF($C211='Batt IN'!$H$54*12,-'Batt IN'!$F$54,0),0)</f>
        <v>0</v>
      </c>
      <c r="AK211" s="2">
        <f>IF(AND('Batt IN'!$D$53="Yes",$AL$1&gt;=2),IF($C211='Batt IN'!$H$55*12,-'Batt IN'!$F$55,0),0)</f>
        <v>0</v>
      </c>
      <c r="AL211" s="2">
        <f>IF(AND('Batt IN'!$D$53="Yes",$AL$1&gt;=3),IF($C211='Batt IN'!$H$56*12,-'Batt IN'!$F$56,0),0)</f>
        <v>0</v>
      </c>
      <c r="AM211" s="2">
        <f>IF(AND('Batt IN'!$D$53="Yes",$AL$1&gt;=4),IF($C211='Batt IN'!$H$57*12,-'Batt IN'!$F$57,0),0)</f>
        <v>0</v>
      </c>
      <c r="AN211" s="2">
        <f>IF(AND('Batt IN'!$D$53="Yes",$AL$1&gt;=5),IF($C211='Batt IN'!$H$58*12,-'Batt IN'!$F$58,0),0)</f>
        <v>0</v>
      </c>
      <c r="AO211" s="10">
        <f>IF(AND('Batt IN'!$D$44="YES",$C211&lt;='Batt IN'!$E$44*12),-'Batt IN'!$E$28*'Batt IN'!$E$42/12,0)</f>
        <v>0</v>
      </c>
      <c r="AP211" s="10">
        <f>IF(AND('Batt IN'!$D$46="YES",$C211&lt;='Batt IN'!$E$46*12),-'Batt IN'!$E$28*'Batt IN'!$E$45/12,0)</f>
        <v>0</v>
      </c>
      <c r="AR211" s="10">
        <f>BattLoan!M238</f>
        <v>0</v>
      </c>
      <c r="AS211" s="10">
        <f>'Batt IN'!$G$16*365/12*'Batt IN'!$E$16</f>
        <v>76.041666666666671</v>
      </c>
      <c r="AT211" s="10">
        <f>IF(AND('Batt IN'!$E$18&gt;0,'Batt IN'!$G$18&gt;0),'Batt IN'!$E$17*'Batt IN'!$G$17,0)</f>
        <v>119.44619999999999</v>
      </c>
      <c r="AU211" s="10">
        <f>IF(AND('Batt IN'!$E$20&gt;0,'Batt IN'!$G$20&gt;0),'Batt IN'!$E$19*'Batt IN'!$G$19,0)</f>
        <v>231</v>
      </c>
      <c r="AV211" s="10"/>
      <c r="AW211" s="10"/>
      <c r="AX211" s="10">
        <f>IF('Batt IN'!$E$11="Non-Taxable",Q211,0)</f>
        <v>11168.08</v>
      </c>
      <c r="AY211" s="10">
        <f>IF('Batt IN'!$E$11="Non-Taxable",'Batt IN'!$E$28/1000*'Batt IN'!$G$13*('Batt IN'!$E$13/12)*'Batt IN'!$E$12,0)</f>
        <v>244.42220833333334</v>
      </c>
      <c r="AZ211" s="10">
        <f>IF('Batt IN'!$E$11="Non-Taxable",$S211*'Batt IN'!$G$15*'Batt IN'!$E$28*'Batt IN'!$E$14/1000,0)</f>
        <v>0</v>
      </c>
      <c r="BA211" s="10">
        <f>IF('Batt IN'!$E$11="Non-Taxable",'Batt IN'!$E$21*'Batt IN'!$G$21/12,0)</f>
        <v>437.5</v>
      </c>
      <c r="BB211" s="10">
        <f>IF('Batt IN'!$E$11="Non-Taxable",'Batt IN'!$E$22*'Batt IN'!$G$22/12,0)</f>
        <v>1145.8333333333335</v>
      </c>
      <c r="BC211" s="10">
        <f>IF('Batt IN'!$E$11="Taxable",Q211,0)</f>
        <v>0</v>
      </c>
      <c r="BD211" s="10">
        <f>IF('Batt IN'!$E$11="Taxable",'Batt IN'!$E$28/1000*'Batt IN'!$G$13*('Batt IN'!$E$13/12)*'Batt IN'!$E$12,0)</f>
        <v>0</v>
      </c>
      <c r="BE211" s="10">
        <f>IF('Batt IN'!$E$11="Taxable",$S211*'Batt IN'!$G$15*'Batt IN'!$E$28*'Batt IN'!$E$14/1000,0)</f>
        <v>0</v>
      </c>
      <c r="BF211" s="10">
        <f>IF('Batt IN'!$E$11="Taxable",'Batt IN'!$E$21*'Batt IN'!$G$21/12,0)</f>
        <v>0</v>
      </c>
      <c r="BG211" s="10">
        <f>IF('Batt IN'!$E$11="Taxable",'Batt IN'!$E$22*'Batt IN'!$G$22/12,0)</f>
        <v>0</v>
      </c>
      <c r="BK211" s="10">
        <f>IF('Batt IN'!$N$18="Yes",-BattLoan!H239,-BattLoan!L239)</f>
        <v>0</v>
      </c>
      <c r="BL211" s="10">
        <f>IF('Batt IN'!$N$18="Yes",-BattLoan!F239,0)</f>
        <v>0</v>
      </c>
      <c r="BM211" s="10">
        <f>IF(AND('Batt IN'!$D$44="YES",$C211&lt;='Batt IN'!$E$44*12),0,-'Batt IN'!$E$28*'Batt IN'!$E$42/12)</f>
        <v>-83.333333333333329</v>
      </c>
      <c r="BN211" s="10">
        <f>IF(AND('Batt IN'!$D$46="YES",$C211&lt;='Batt IN'!$E$46*12),0,-'Batt IN'!$E$28*'Batt IN'!$E$45/12)</f>
        <v>-166.66666666666666</v>
      </c>
      <c r="BO211" s="2">
        <f>IF(AND('Batt IN'!$D$41="YES",BattCalcs!C211=ROUNDUP('Batt IN'!$H$41*12,)),-'Batt IN'!$E$41*'Batt IN'!$E$28,0)</f>
        <v>0</v>
      </c>
      <c r="BP211" s="2">
        <f>IF(AND('Batt IN'!$D$53="Yes",$AL$1&gt;=1),0,IF($C211='Batt IN'!$H$54*12,-'Batt IN'!$F$54,0))</f>
        <v>0</v>
      </c>
      <c r="BQ211" s="2">
        <f>IF(AND('Batt IN'!$D$53="Yes",$AL$1&gt;=2),0,IF($C211='Batt IN'!$H$55*12,-'Batt IN'!$F$55,0))</f>
        <v>0</v>
      </c>
      <c r="BR211" s="2">
        <f>IF(AND('Batt IN'!$D$53="Yes",$AL$1&gt;=3),0,IF($C211='Batt IN'!$H$56*12,-'Batt IN'!$F$56,0))</f>
        <v>0</v>
      </c>
      <c r="BS211" s="2">
        <f>IF(AND('Batt IN'!$D$53="Yes",$AL$1&gt;=4),0,IF($C211='Batt IN'!$H$57*12,-'Batt IN'!$F$57,0))</f>
        <v>0</v>
      </c>
      <c r="BT211" s="2">
        <f>IF(AND('Batt IN'!$D$53="Yes",$AL$1&gt;=5),0,IF($C211='Batt IN'!$H$58*12,-'Batt IN'!$F$58,0))</f>
        <v>0</v>
      </c>
      <c r="BU211" s="2">
        <f>-AH211*PVCalcs!F211</f>
        <v>-379.65428629825368</v>
      </c>
      <c r="BV211" s="2">
        <f>-'Batt IN'!$E$47</f>
        <v>-150</v>
      </c>
      <c r="BW211" s="2">
        <f>-'Batt IN'!$E$49</f>
        <v>-2250</v>
      </c>
      <c r="BX211" s="2">
        <f>IF('Batt IN'!$H$50="No",-(BC211*'Batt IN'!$E$50),-(BC211+BE211)*'Batt IN'!$E$50)</f>
        <v>0</v>
      </c>
      <c r="BY211" s="2">
        <f>IF(C211='Batt IN'!$H$43*12,-'Batt IN'!$E$43,0)</f>
        <v>0</v>
      </c>
      <c r="BZ211" s="38"/>
      <c r="CA211" s="10">
        <f t="shared" si="51"/>
        <v>13422.323408333334</v>
      </c>
      <c r="CB211" s="2">
        <f t="shared" si="55"/>
        <v>-3029.6542862982537</v>
      </c>
      <c r="CC211" s="45">
        <f t="shared" si="56"/>
        <v>10392.66912203508</v>
      </c>
      <c r="CD211" s="43"/>
      <c r="CE211" s="2">
        <f t="shared" si="52"/>
        <v>0</v>
      </c>
      <c r="CF211" s="2">
        <f t="shared" si="57"/>
        <v>-3029.6542862982537</v>
      </c>
      <c r="CG211" s="2"/>
      <c r="CH211" s="2">
        <f t="shared" si="58"/>
        <v>-3029.6542862982537</v>
      </c>
      <c r="CI211" s="45">
        <f>-CH211*'Batt IN'!$E$7</f>
        <v>636.2274001226333</v>
      </c>
      <c r="CJ211" s="48"/>
      <c r="CK211" s="45">
        <f>IF('Batt IN'!$F$4="PV Only",0,IF(C211&gt;'Batt IN'!$H$43*12,0,CC211+CI211))</f>
        <v>0</v>
      </c>
      <c r="CM211" s="10">
        <f t="shared" si="59"/>
        <v>0</v>
      </c>
      <c r="CN211" s="2">
        <f>CK211/(1+('Batt IN'!$G$8))^(C211)</f>
        <v>0</v>
      </c>
      <c r="CO211" s="2">
        <f>IF(C211&lt;='Batt IN'!$O$30*12,CN211+CO210,NA())</f>
        <v>0</v>
      </c>
      <c r="CQ211" s="2">
        <f>CK211/((1+('Batt IN'!$E$8/12))^BattCalcs!C211)</f>
        <v>0</v>
      </c>
      <c r="CS211" s="10">
        <f t="shared" si="60"/>
        <v>-3029.6542862982537</v>
      </c>
      <c r="CT211" s="10">
        <f t="shared" si="61"/>
        <v>0</v>
      </c>
      <c r="CU211" s="10">
        <f t="shared" si="62"/>
        <v>-3029.6542862982537</v>
      </c>
      <c r="CV211" s="10">
        <f t="shared" si="63"/>
        <v>-3029.6542862982537</v>
      </c>
      <c r="CW211" s="2">
        <f t="shared" si="64"/>
        <v>0</v>
      </c>
      <c r="CX211" s="2">
        <f>-(SUM(CV211:CW211)*'PV IN'!$E$8)</f>
        <v>636.2274001226333</v>
      </c>
      <c r="CY211" s="2">
        <f t="shared" si="65"/>
        <v>-2393.4268861756204</v>
      </c>
      <c r="CZ211" s="2">
        <f>IF(C211&lt;='Batt IN'!$H$43*12,CY211/(1+('PV IN'!$G$9))^(C211),0)</f>
        <v>-1031.584377167241</v>
      </c>
      <c r="DA211" s="33">
        <f>IF(C211&lt;='Batt IN'!$H$43*12,AE211,0)</f>
        <v>30366.783333333333</v>
      </c>
    </row>
    <row r="212" spans="1:105" x14ac:dyDescent="0.25">
      <c r="A212">
        <f>IF(C212&lt;='Batt IN'!$H$43*12,C212,"")</f>
        <v>208</v>
      </c>
      <c r="C212">
        <v>208</v>
      </c>
      <c r="D212" s="21">
        <v>730</v>
      </c>
      <c r="E212" s="1">
        <f>1-'Batt IN'!$E$31</f>
        <v>2.0000000000000018E-2</v>
      </c>
      <c r="F212" s="12">
        <f>('Batt IN'!$E$33*365)/8760</f>
        <v>0</v>
      </c>
      <c r="G212" s="22">
        <f>'Batt IN'!$E$32/8760</f>
        <v>5.7077625570776253E-3</v>
      </c>
      <c r="H212" s="22">
        <f>'Batt IN'!$E$13/8760</f>
        <v>5.5936073059360729E-3</v>
      </c>
      <c r="I212" s="23">
        <f>IF(C212&lt;='Batt IN'!$G$14*12,'Batt IN'!$E$15/8760*'Batt IN'!$G$15,0)</f>
        <v>0</v>
      </c>
      <c r="J212" s="12">
        <f>Z212/'Batt IN'!$E$27/730</f>
        <v>2.4999999999999996E-3</v>
      </c>
      <c r="K212" s="23">
        <f>AA212/'Batt IN'!$E$27/730</f>
        <v>1.6027397260273972E-3</v>
      </c>
      <c r="L212" s="23">
        <f>AB212/'Batt IN'!$E$27/730</f>
        <v>2.0547945205479451E-4</v>
      </c>
      <c r="M212" s="23">
        <f>AC212/'Batt IN'!$E$27/730</f>
        <v>4.7945205479452057E-3</v>
      </c>
      <c r="N212" s="23">
        <f>AD212/'Batt IN'!$E$27/730</f>
        <v>3.4246575342465752E-3</v>
      </c>
      <c r="O212" s="12">
        <f t="shared" si="53"/>
        <v>4.3828767123287697E-2</v>
      </c>
      <c r="P212" s="21">
        <f t="shared" si="54"/>
        <v>698.005</v>
      </c>
      <c r="Q212" s="2">
        <f>IF('Batt IN'!$E$27*'Batt IN'!$E$24&lt;='Batt IN'!$E$28,(('Batt IN'!$E$23*'Batt IN'!$E$27*'Batt IN'!$E$24)/1000)*P212,(('Batt IN'!$E$23*'Batt IN'!$E$28*'Batt IN'!$E$24)/1000)*P212)</f>
        <v>11168.08</v>
      </c>
      <c r="R212" s="2"/>
      <c r="S212" s="77">
        <f>IF(C212&lt;='Batt IN'!$G$14*12,'Batt IN'!$E$15/12,0)</f>
        <v>0</v>
      </c>
      <c r="T212" s="77"/>
      <c r="U212" s="80">
        <f>'Batt IN'!$E$28*('Batt IN'!$G$24/24)*730*(1-O212)</f>
        <v>81433.916666666657</v>
      </c>
      <c r="V212" s="78">
        <f>U212*'Batt IN'!$F$30</f>
        <v>16286.783333333333</v>
      </c>
      <c r="W212" s="78">
        <f>'Batt IN'!$E$28*'Batt IN'!$G$32*('Batt IN'!$E$32/12)*(1+'Batt IN'!$F$30)</f>
        <v>1750.0000000000002</v>
      </c>
      <c r="X212" s="78">
        <f>'Batt IN'!$E$28*'Batt IN'!$G$13*('Batt IN'!$E$13/12)*(1+'Batt IN'!$F$30)</f>
        <v>3184.9999999999995</v>
      </c>
      <c r="Y212" s="33">
        <f>S212*'Batt IN'!$G$15*'Batt IN'!$E$28*(1+'Batt IN'!$F$30)</f>
        <v>0</v>
      </c>
      <c r="Z212" s="33">
        <f>'Batt IN'!$G$16*365/12*(1+'Batt IN'!$F$30)</f>
        <v>1824.9999999999998</v>
      </c>
      <c r="AA212" s="33">
        <f>'Batt IN'!$G$17*'Batt IN'!$E$18*'Batt IN'!$G$18/12*(1+'Batt IN'!$F$30)</f>
        <v>1170</v>
      </c>
      <c r="AB212" s="33">
        <f>'Batt IN'!$G$19*'Batt IN'!$E$20*'Batt IN'!$G$20/12*(1+'Batt IN'!$F$30)</f>
        <v>150</v>
      </c>
      <c r="AC212" s="33">
        <f>'Batt IN'!$G$21*(1+'Batt IN'!$F$30)/12</f>
        <v>3500</v>
      </c>
      <c r="AD212" s="33">
        <f>'Batt IN'!$G$22*(1+'Batt IN'!$F$30)/12</f>
        <v>2500</v>
      </c>
      <c r="AE212" s="33">
        <f t="shared" si="66"/>
        <v>30366.783333333333</v>
      </c>
      <c r="AF212" s="33">
        <f>IF('PV IN'!$F$4="Battery Only",0,AE212*'Batt IN'!$E$29)</f>
        <v>25811.765833333331</v>
      </c>
      <c r="AG212" s="33">
        <f>PVCalcs!L212</f>
        <v>25811.765833333331</v>
      </c>
      <c r="AH212" s="33">
        <f t="shared" si="67"/>
        <v>4555.0175000000017</v>
      </c>
      <c r="AI212" s="33"/>
      <c r="AJ212" s="2">
        <f>IF(AND('Batt IN'!$D$53="Yes",$AL$1&gt;=1),IF($C212='Batt IN'!$H$54*12,-'Batt IN'!$F$54,0),0)</f>
        <v>0</v>
      </c>
      <c r="AK212" s="2">
        <f>IF(AND('Batt IN'!$D$53="Yes",$AL$1&gt;=2),IF($C212='Batt IN'!$H$55*12,-'Batt IN'!$F$55,0),0)</f>
        <v>0</v>
      </c>
      <c r="AL212" s="2">
        <f>IF(AND('Batt IN'!$D$53="Yes",$AL$1&gt;=3),IF($C212='Batt IN'!$H$56*12,-'Batt IN'!$F$56,0),0)</f>
        <v>0</v>
      </c>
      <c r="AM212" s="2">
        <f>IF(AND('Batt IN'!$D$53="Yes",$AL$1&gt;=4),IF($C212='Batt IN'!$H$57*12,-'Batt IN'!$F$57,0),0)</f>
        <v>0</v>
      </c>
      <c r="AN212" s="2">
        <f>IF(AND('Batt IN'!$D$53="Yes",$AL$1&gt;=5),IF($C212='Batt IN'!$H$58*12,-'Batt IN'!$F$58,0),0)</f>
        <v>0</v>
      </c>
      <c r="AO212" s="10">
        <f>IF(AND('Batt IN'!$D$44="YES",$C212&lt;='Batt IN'!$E$44*12),-'Batt IN'!$E$28*'Batt IN'!$E$42/12,0)</f>
        <v>0</v>
      </c>
      <c r="AP212" s="10">
        <f>IF(AND('Batt IN'!$D$46="YES",$C212&lt;='Batt IN'!$E$46*12),-'Batt IN'!$E$28*'Batt IN'!$E$45/12,0)</f>
        <v>0</v>
      </c>
      <c r="AR212" s="10">
        <f>BattLoan!M239</f>
        <v>0</v>
      </c>
      <c r="AS212" s="10">
        <f>'Batt IN'!$G$16*365/12*'Batt IN'!$E$16</f>
        <v>76.041666666666671</v>
      </c>
      <c r="AT212" s="10">
        <f>IF(AND('Batt IN'!$E$18&gt;0,'Batt IN'!$G$18&gt;0),'Batt IN'!$E$17*'Batt IN'!$G$17,0)</f>
        <v>119.44619999999999</v>
      </c>
      <c r="AU212" s="10">
        <f>IF(AND('Batt IN'!$E$20&gt;0,'Batt IN'!$G$20&gt;0),'Batt IN'!$E$19*'Batt IN'!$G$19,0)</f>
        <v>231</v>
      </c>
      <c r="AV212" s="10"/>
      <c r="AW212" s="10"/>
      <c r="AX212" s="10">
        <f>IF('Batt IN'!$E$11="Non-Taxable",Q212,0)</f>
        <v>11168.08</v>
      </c>
      <c r="AY212" s="10">
        <f>IF('Batt IN'!$E$11="Non-Taxable",'Batt IN'!$E$28/1000*'Batt IN'!$G$13*('Batt IN'!$E$13/12)*'Batt IN'!$E$12,0)</f>
        <v>244.42220833333334</v>
      </c>
      <c r="AZ212" s="10">
        <f>IF('Batt IN'!$E$11="Non-Taxable",$S212*'Batt IN'!$G$15*'Batt IN'!$E$28*'Batt IN'!$E$14/1000,0)</f>
        <v>0</v>
      </c>
      <c r="BA212" s="10">
        <f>IF('Batt IN'!$E$11="Non-Taxable",'Batt IN'!$E$21*'Batt IN'!$G$21/12,0)</f>
        <v>437.5</v>
      </c>
      <c r="BB212" s="10">
        <f>IF('Batt IN'!$E$11="Non-Taxable",'Batt IN'!$E$22*'Batt IN'!$G$22/12,0)</f>
        <v>1145.8333333333335</v>
      </c>
      <c r="BC212" s="10">
        <f>IF('Batt IN'!$E$11="Taxable",Q212,0)</f>
        <v>0</v>
      </c>
      <c r="BD212" s="10">
        <f>IF('Batt IN'!$E$11="Taxable",'Batt IN'!$E$28/1000*'Batt IN'!$G$13*('Batt IN'!$E$13/12)*'Batt IN'!$E$12,0)</f>
        <v>0</v>
      </c>
      <c r="BE212" s="10">
        <f>IF('Batt IN'!$E$11="Taxable",$S212*'Batt IN'!$G$15*'Batt IN'!$E$28*'Batt IN'!$E$14/1000,0)</f>
        <v>0</v>
      </c>
      <c r="BF212" s="10">
        <f>IF('Batt IN'!$E$11="Taxable",'Batt IN'!$E$21*'Batt IN'!$G$21/12,0)</f>
        <v>0</v>
      </c>
      <c r="BG212" s="10">
        <f>IF('Batt IN'!$E$11="Taxable",'Batt IN'!$E$22*'Batt IN'!$G$22/12,0)</f>
        <v>0</v>
      </c>
      <c r="BK212" s="10">
        <f>IF('Batt IN'!$N$18="Yes",-BattLoan!H240,-BattLoan!L240)</f>
        <v>0</v>
      </c>
      <c r="BL212" s="10">
        <f>IF('Batt IN'!$N$18="Yes",-BattLoan!F240,0)</f>
        <v>0</v>
      </c>
      <c r="BM212" s="10">
        <f>IF(AND('Batt IN'!$D$44="YES",$C212&lt;='Batt IN'!$E$44*12),0,-'Batt IN'!$E$28*'Batt IN'!$E$42/12)</f>
        <v>-83.333333333333329</v>
      </c>
      <c r="BN212" s="10">
        <f>IF(AND('Batt IN'!$D$46="YES",$C212&lt;='Batt IN'!$E$46*12),0,-'Batt IN'!$E$28*'Batt IN'!$E$45/12)</f>
        <v>-166.66666666666666</v>
      </c>
      <c r="BO212" s="2">
        <f>IF(AND('Batt IN'!$D$41="YES",BattCalcs!C212=ROUNDUP('Batt IN'!$H$41*12,)),-'Batt IN'!$E$41*'Batt IN'!$E$28,0)</f>
        <v>0</v>
      </c>
      <c r="BP212" s="2">
        <f>IF(AND('Batt IN'!$D$53="Yes",$AL$1&gt;=1),0,IF($C212='Batt IN'!$H$54*12,-'Batt IN'!$F$54,0))</f>
        <v>0</v>
      </c>
      <c r="BQ212" s="2">
        <f>IF(AND('Batt IN'!$D$53="Yes",$AL$1&gt;=2),0,IF($C212='Batt IN'!$H$55*12,-'Batt IN'!$F$55,0))</f>
        <v>0</v>
      </c>
      <c r="BR212" s="2">
        <f>IF(AND('Batt IN'!$D$53="Yes",$AL$1&gt;=3),0,IF($C212='Batt IN'!$H$56*12,-'Batt IN'!$F$56,0))</f>
        <v>0</v>
      </c>
      <c r="BS212" s="2">
        <f>IF(AND('Batt IN'!$D$53="Yes",$AL$1&gt;=4),0,IF($C212='Batt IN'!$H$57*12,-'Batt IN'!$F$57,0))</f>
        <v>0</v>
      </c>
      <c r="BT212" s="2">
        <f>IF(AND('Batt IN'!$D$53="Yes",$AL$1&gt;=5),0,IF($C212='Batt IN'!$H$58*12,-'Batt IN'!$F$58,0))</f>
        <v>0</v>
      </c>
      <c r="BU212" s="2">
        <f>-AH212*PVCalcs!F212</f>
        <v>-379.65428629825368</v>
      </c>
      <c r="BV212" s="2">
        <f>-'Batt IN'!$E$47</f>
        <v>-150</v>
      </c>
      <c r="BW212" s="2">
        <f>-'Batt IN'!$E$49</f>
        <v>-2250</v>
      </c>
      <c r="BX212" s="2">
        <f>IF('Batt IN'!$H$50="No",-(BC212*'Batt IN'!$E$50),-(BC212+BE212)*'Batt IN'!$E$50)</f>
        <v>0</v>
      </c>
      <c r="BY212" s="2">
        <f>IF(C212='Batt IN'!$H$43*12,-'Batt IN'!$E$43,0)</f>
        <v>0</v>
      </c>
      <c r="BZ212" s="38"/>
      <c r="CA212" s="10">
        <f t="shared" si="51"/>
        <v>13422.323408333334</v>
      </c>
      <c r="CB212" s="2">
        <f t="shared" si="55"/>
        <v>-3029.6542862982537</v>
      </c>
      <c r="CC212" s="45">
        <f t="shared" si="56"/>
        <v>10392.66912203508</v>
      </c>
      <c r="CD212" s="43"/>
      <c r="CE212" s="2">
        <f t="shared" si="52"/>
        <v>0</v>
      </c>
      <c r="CF212" s="2">
        <f t="shared" si="57"/>
        <v>-3029.6542862982537</v>
      </c>
      <c r="CG212" s="2"/>
      <c r="CH212" s="2">
        <f t="shared" si="58"/>
        <v>-3029.6542862982537</v>
      </c>
      <c r="CI212" s="45">
        <f>-CH212*'Batt IN'!$E$7</f>
        <v>636.2274001226333</v>
      </c>
      <c r="CJ212" s="48"/>
      <c r="CK212" s="45">
        <f>IF('Batt IN'!$F$4="PV Only",0,IF(C212&gt;'Batt IN'!$H$43*12,0,CC212+CI212))</f>
        <v>0</v>
      </c>
      <c r="CM212" s="10">
        <f t="shared" si="59"/>
        <v>0</v>
      </c>
      <c r="CN212" s="2">
        <f>CK212/(1+('Batt IN'!$G$8))^(C212)</f>
        <v>0</v>
      </c>
      <c r="CO212" s="2">
        <f>IF(C212&lt;='Batt IN'!$O$30*12,CN212+CO211,NA())</f>
        <v>0</v>
      </c>
      <c r="CQ212" s="2">
        <f>CK212/((1+('Batt IN'!$E$8/12))^BattCalcs!C212)</f>
        <v>0</v>
      </c>
      <c r="CS212" s="10">
        <f t="shared" si="60"/>
        <v>-3029.6542862982537</v>
      </c>
      <c r="CT212" s="10">
        <f t="shared" si="61"/>
        <v>0</v>
      </c>
      <c r="CU212" s="10">
        <f t="shared" si="62"/>
        <v>-3029.6542862982537</v>
      </c>
      <c r="CV212" s="10">
        <f t="shared" si="63"/>
        <v>-3029.6542862982537</v>
      </c>
      <c r="CW212" s="2">
        <f t="shared" si="64"/>
        <v>0</v>
      </c>
      <c r="CX212" s="2">
        <f>-(SUM(CV212:CW212)*'PV IN'!$E$8)</f>
        <v>636.2274001226333</v>
      </c>
      <c r="CY212" s="2">
        <f t="shared" si="65"/>
        <v>-2393.4268861756204</v>
      </c>
      <c r="CZ212" s="2">
        <f>IF(C212&lt;='Batt IN'!$H$43*12,CY212/(1+('PV IN'!$G$9))^(C212),0)</f>
        <v>-1027.3986279816932</v>
      </c>
      <c r="DA212" s="33">
        <f>IF(C212&lt;='Batt IN'!$H$43*12,AE212,0)</f>
        <v>30366.783333333333</v>
      </c>
    </row>
    <row r="213" spans="1:105" x14ac:dyDescent="0.25">
      <c r="A213">
        <f>IF(C213&lt;='Batt IN'!$H$43*12,C213,"")</f>
        <v>209</v>
      </c>
      <c r="C213">
        <v>209</v>
      </c>
      <c r="D213" s="21">
        <v>730</v>
      </c>
      <c r="E213" s="1">
        <f>1-'Batt IN'!$E$31</f>
        <v>2.0000000000000018E-2</v>
      </c>
      <c r="F213" s="12">
        <f>('Batt IN'!$E$33*365)/8760</f>
        <v>0</v>
      </c>
      <c r="G213" s="22">
        <f>'Batt IN'!$E$32/8760</f>
        <v>5.7077625570776253E-3</v>
      </c>
      <c r="H213" s="22">
        <f>'Batt IN'!$E$13/8760</f>
        <v>5.5936073059360729E-3</v>
      </c>
      <c r="I213" s="23">
        <f>IF(C213&lt;='Batt IN'!$G$14*12,'Batt IN'!$E$15/8760*'Batt IN'!$G$15,0)</f>
        <v>0</v>
      </c>
      <c r="J213" s="12">
        <f>Z213/'Batt IN'!$E$27/730</f>
        <v>2.4999999999999996E-3</v>
      </c>
      <c r="K213" s="23">
        <f>AA213/'Batt IN'!$E$27/730</f>
        <v>1.6027397260273972E-3</v>
      </c>
      <c r="L213" s="23">
        <f>AB213/'Batt IN'!$E$27/730</f>
        <v>2.0547945205479451E-4</v>
      </c>
      <c r="M213" s="23">
        <f>AC213/'Batt IN'!$E$27/730</f>
        <v>4.7945205479452057E-3</v>
      </c>
      <c r="N213" s="23">
        <f>AD213/'Batt IN'!$E$27/730</f>
        <v>3.4246575342465752E-3</v>
      </c>
      <c r="O213" s="12">
        <f t="shared" si="53"/>
        <v>4.3828767123287697E-2</v>
      </c>
      <c r="P213" s="21">
        <f t="shared" si="54"/>
        <v>698.005</v>
      </c>
      <c r="Q213" s="2">
        <f>IF('Batt IN'!$E$27*'Batt IN'!$E$24&lt;='Batt IN'!$E$28,(('Batt IN'!$E$23*'Batt IN'!$E$27*'Batt IN'!$E$24)/1000)*P213,(('Batt IN'!$E$23*'Batt IN'!$E$28*'Batt IN'!$E$24)/1000)*P213)</f>
        <v>11168.08</v>
      </c>
      <c r="R213" s="2"/>
      <c r="S213" s="77">
        <f>IF(C213&lt;='Batt IN'!$G$14*12,'Batt IN'!$E$15/12,0)</f>
        <v>0</v>
      </c>
      <c r="T213" s="77"/>
      <c r="U213" s="80">
        <f>'Batt IN'!$E$28*('Batt IN'!$G$24/24)*730*(1-O213)</f>
        <v>81433.916666666657</v>
      </c>
      <c r="V213" s="78">
        <f>U213*'Batt IN'!$F$30</f>
        <v>16286.783333333333</v>
      </c>
      <c r="W213" s="78">
        <f>'Batt IN'!$E$28*'Batt IN'!$G$32*('Batt IN'!$E$32/12)*(1+'Batt IN'!$F$30)</f>
        <v>1750.0000000000002</v>
      </c>
      <c r="X213" s="78">
        <f>'Batt IN'!$E$28*'Batt IN'!$G$13*('Batt IN'!$E$13/12)*(1+'Batt IN'!$F$30)</f>
        <v>3184.9999999999995</v>
      </c>
      <c r="Y213" s="33">
        <f>S213*'Batt IN'!$G$15*'Batt IN'!$E$28*(1+'Batt IN'!$F$30)</f>
        <v>0</v>
      </c>
      <c r="Z213" s="33">
        <f>'Batt IN'!$G$16*365/12*(1+'Batt IN'!$F$30)</f>
        <v>1824.9999999999998</v>
      </c>
      <c r="AA213" s="33">
        <f>'Batt IN'!$G$17*'Batt IN'!$E$18*'Batt IN'!$G$18/12*(1+'Batt IN'!$F$30)</f>
        <v>1170</v>
      </c>
      <c r="AB213" s="33">
        <f>'Batt IN'!$G$19*'Batt IN'!$E$20*'Batt IN'!$G$20/12*(1+'Batt IN'!$F$30)</f>
        <v>150</v>
      </c>
      <c r="AC213" s="33">
        <f>'Batt IN'!$G$21*(1+'Batt IN'!$F$30)/12</f>
        <v>3500</v>
      </c>
      <c r="AD213" s="33">
        <f>'Batt IN'!$G$22*(1+'Batt IN'!$F$30)/12</f>
        <v>2500</v>
      </c>
      <c r="AE213" s="33">
        <f t="shared" si="66"/>
        <v>30366.783333333333</v>
      </c>
      <c r="AF213" s="33">
        <f>IF('PV IN'!$F$4="Battery Only",0,AE213*'Batt IN'!$E$29)</f>
        <v>25811.765833333331</v>
      </c>
      <c r="AG213" s="33">
        <f>PVCalcs!L213</f>
        <v>25811.765833333331</v>
      </c>
      <c r="AH213" s="33">
        <f t="shared" si="67"/>
        <v>4555.0175000000017</v>
      </c>
      <c r="AI213" s="33"/>
      <c r="AJ213" s="2">
        <f>IF(AND('Batt IN'!$D$53="Yes",$AL$1&gt;=1),IF($C213='Batt IN'!$H$54*12,-'Batt IN'!$F$54,0),0)</f>
        <v>0</v>
      </c>
      <c r="AK213" s="2">
        <f>IF(AND('Batt IN'!$D$53="Yes",$AL$1&gt;=2),IF($C213='Batt IN'!$H$55*12,-'Batt IN'!$F$55,0),0)</f>
        <v>0</v>
      </c>
      <c r="AL213" s="2">
        <f>IF(AND('Batt IN'!$D$53="Yes",$AL$1&gt;=3),IF($C213='Batt IN'!$H$56*12,-'Batt IN'!$F$56,0),0)</f>
        <v>0</v>
      </c>
      <c r="AM213" s="2">
        <f>IF(AND('Batt IN'!$D$53="Yes",$AL$1&gt;=4),IF($C213='Batt IN'!$H$57*12,-'Batt IN'!$F$57,0),0)</f>
        <v>0</v>
      </c>
      <c r="AN213" s="2">
        <f>IF(AND('Batt IN'!$D$53="Yes",$AL$1&gt;=5),IF($C213='Batt IN'!$H$58*12,-'Batt IN'!$F$58,0),0)</f>
        <v>0</v>
      </c>
      <c r="AO213" s="10">
        <f>IF(AND('Batt IN'!$D$44="YES",$C213&lt;='Batt IN'!$E$44*12),-'Batt IN'!$E$28*'Batt IN'!$E$42/12,0)</f>
        <v>0</v>
      </c>
      <c r="AP213" s="10">
        <f>IF(AND('Batt IN'!$D$46="YES",$C213&lt;='Batt IN'!$E$46*12),-'Batt IN'!$E$28*'Batt IN'!$E$45/12,0)</f>
        <v>0</v>
      </c>
      <c r="AR213" s="10">
        <f>BattLoan!M240</f>
        <v>0</v>
      </c>
      <c r="AS213" s="10">
        <f>'Batt IN'!$G$16*365/12*'Batt IN'!$E$16</f>
        <v>76.041666666666671</v>
      </c>
      <c r="AT213" s="10">
        <f>IF(AND('Batt IN'!$E$18&gt;0,'Batt IN'!$G$18&gt;0),'Batt IN'!$E$17*'Batt IN'!$G$17,0)</f>
        <v>119.44619999999999</v>
      </c>
      <c r="AU213" s="10">
        <f>IF(AND('Batt IN'!$E$20&gt;0,'Batt IN'!$G$20&gt;0),'Batt IN'!$E$19*'Batt IN'!$G$19,0)</f>
        <v>231</v>
      </c>
      <c r="AV213" s="10"/>
      <c r="AW213" s="10"/>
      <c r="AX213" s="10">
        <f>IF('Batt IN'!$E$11="Non-Taxable",Q213,0)</f>
        <v>11168.08</v>
      </c>
      <c r="AY213" s="10">
        <f>IF('Batt IN'!$E$11="Non-Taxable",'Batt IN'!$E$28/1000*'Batt IN'!$G$13*('Batt IN'!$E$13/12)*'Batt IN'!$E$12,0)</f>
        <v>244.42220833333334</v>
      </c>
      <c r="AZ213" s="10">
        <f>IF('Batt IN'!$E$11="Non-Taxable",$S213*'Batt IN'!$G$15*'Batt IN'!$E$28*'Batt IN'!$E$14/1000,0)</f>
        <v>0</v>
      </c>
      <c r="BA213" s="10">
        <f>IF('Batt IN'!$E$11="Non-Taxable",'Batt IN'!$E$21*'Batt IN'!$G$21/12,0)</f>
        <v>437.5</v>
      </c>
      <c r="BB213" s="10">
        <f>IF('Batt IN'!$E$11="Non-Taxable",'Batt IN'!$E$22*'Batt IN'!$G$22/12,0)</f>
        <v>1145.8333333333335</v>
      </c>
      <c r="BC213" s="10">
        <f>IF('Batt IN'!$E$11="Taxable",Q213,0)</f>
        <v>0</v>
      </c>
      <c r="BD213" s="10">
        <f>IF('Batt IN'!$E$11="Taxable",'Batt IN'!$E$28/1000*'Batt IN'!$G$13*('Batt IN'!$E$13/12)*'Batt IN'!$E$12,0)</f>
        <v>0</v>
      </c>
      <c r="BE213" s="10">
        <f>IF('Batt IN'!$E$11="Taxable",$S213*'Batt IN'!$G$15*'Batt IN'!$E$28*'Batt IN'!$E$14/1000,0)</f>
        <v>0</v>
      </c>
      <c r="BF213" s="10">
        <f>IF('Batt IN'!$E$11="Taxable",'Batt IN'!$E$21*'Batt IN'!$G$21/12,0)</f>
        <v>0</v>
      </c>
      <c r="BG213" s="10">
        <f>IF('Batt IN'!$E$11="Taxable",'Batt IN'!$E$22*'Batt IN'!$G$22/12,0)</f>
        <v>0</v>
      </c>
      <c r="BK213" s="10">
        <f>IF('Batt IN'!$N$18="Yes",-BattLoan!H241,-BattLoan!L241)</f>
        <v>0</v>
      </c>
      <c r="BL213" s="10">
        <f>IF('Batt IN'!$N$18="Yes",-BattLoan!F241,0)</f>
        <v>0</v>
      </c>
      <c r="BM213" s="10">
        <f>IF(AND('Batt IN'!$D$44="YES",$C213&lt;='Batt IN'!$E$44*12),0,-'Batt IN'!$E$28*'Batt IN'!$E$42/12)</f>
        <v>-83.333333333333329</v>
      </c>
      <c r="BN213" s="10">
        <f>IF(AND('Batt IN'!$D$46="YES",$C213&lt;='Batt IN'!$E$46*12),0,-'Batt IN'!$E$28*'Batt IN'!$E$45/12)</f>
        <v>-166.66666666666666</v>
      </c>
      <c r="BO213" s="2">
        <f>IF(AND('Batt IN'!$D$41="YES",BattCalcs!C213=ROUNDUP('Batt IN'!$H$41*12,)),-'Batt IN'!$E$41*'Batt IN'!$E$28,0)</f>
        <v>0</v>
      </c>
      <c r="BP213" s="2">
        <f>IF(AND('Batt IN'!$D$53="Yes",$AL$1&gt;=1),0,IF($C213='Batt IN'!$H$54*12,-'Batt IN'!$F$54,0))</f>
        <v>0</v>
      </c>
      <c r="BQ213" s="2">
        <f>IF(AND('Batt IN'!$D$53="Yes",$AL$1&gt;=2),0,IF($C213='Batt IN'!$H$55*12,-'Batt IN'!$F$55,0))</f>
        <v>0</v>
      </c>
      <c r="BR213" s="2">
        <f>IF(AND('Batt IN'!$D$53="Yes",$AL$1&gt;=3),0,IF($C213='Batt IN'!$H$56*12,-'Batt IN'!$F$56,0))</f>
        <v>0</v>
      </c>
      <c r="BS213" s="2">
        <f>IF(AND('Batt IN'!$D$53="Yes",$AL$1&gt;=4),0,IF($C213='Batt IN'!$H$57*12,-'Batt IN'!$F$57,0))</f>
        <v>0</v>
      </c>
      <c r="BT213" s="2">
        <f>IF(AND('Batt IN'!$D$53="Yes",$AL$1&gt;=5),0,IF($C213='Batt IN'!$H$58*12,-'Batt IN'!$F$58,0))</f>
        <v>0</v>
      </c>
      <c r="BU213" s="2">
        <f>-AH213*PVCalcs!F213</f>
        <v>-379.65428629825368</v>
      </c>
      <c r="BV213" s="2">
        <f>-'Batt IN'!$E$47</f>
        <v>-150</v>
      </c>
      <c r="BW213" s="2">
        <f>-'Batt IN'!$E$49</f>
        <v>-2250</v>
      </c>
      <c r="BX213" s="2">
        <f>IF('Batt IN'!$H$50="No",-(BC213*'Batt IN'!$E$50),-(BC213+BE213)*'Batt IN'!$E$50)</f>
        <v>0</v>
      </c>
      <c r="BY213" s="2">
        <f>IF(C213='Batt IN'!$H$43*12,-'Batt IN'!$E$43,0)</f>
        <v>0</v>
      </c>
      <c r="BZ213" s="38"/>
      <c r="CA213" s="10">
        <f t="shared" si="51"/>
        <v>13422.323408333334</v>
      </c>
      <c r="CB213" s="2">
        <f t="shared" si="55"/>
        <v>-3029.6542862982537</v>
      </c>
      <c r="CC213" s="45">
        <f t="shared" si="56"/>
        <v>10392.66912203508</v>
      </c>
      <c r="CD213" s="43"/>
      <c r="CE213" s="2">
        <f t="shared" si="52"/>
        <v>0</v>
      </c>
      <c r="CF213" s="2">
        <f t="shared" si="57"/>
        <v>-3029.6542862982537</v>
      </c>
      <c r="CG213" s="2"/>
      <c r="CH213" s="2">
        <f t="shared" si="58"/>
        <v>-3029.6542862982537</v>
      </c>
      <c r="CI213" s="45">
        <f>-CH213*'Batt IN'!$E$7</f>
        <v>636.2274001226333</v>
      </c>
      <c r="CJ213" s="48"/>
      <c r="CK213" s="45">
        <f>IF('Batt IN'!$F$4="PV Only",0,IF(C213&gt;'Batt IN'!$H$43*12,0,CC213+CI213))</f>
        <v>0</v>
      </c>
      <c r="CM213" s="10">
        <f t="shared" si="59"/>
        <v>0</v>
      </c>
      <c r="CN213" s="2">
        <f>CK213/(1+('Batt IN'!$G$8))^(C213)</f>
        <v>0</v>
      </c>
      <c r="CO213" s="2">
        <f>IF(C213&lt;='Batt IN'!$O$30*12,CN213+CO212,NA())</f>
        <v>0</v>
      </c>
      <c r="CQ213" s="2">
        <f>CK213/((1+('Batt IN'!$E$8/12))^BattCalcs!C213)</f>
        <v>0</v>
      </c>
      <c r="CS213" s="10">
        <f t="shared" si="60"/>
        <v>-3029.6542862982537</v>
      </c>
      <c r="CT213" s="10">
        <f t="shared" si="61"/>
        <v>0</v>
      </c>
      <c r="CU213" s="10">
        <f t="shared" si="62"/>
        <v>-3029.6542862982537</v>
      </c>
      <c r="CV213" s="10">
        <f t="shared" si="63"/>
        <v>-3029.6542862982537</v>
      </c>
      <c r="CW213" s="2">
        <f t="shared" si="64"/>
        <v>0</v>
      </c>
      <c r="CX213" s="2">
        <f>-(SUM(CV213:CW213)*'PV IN'!$E$8)</f>
        <v>636.2274001226333</v>
      </c>
      <c r="CY213" s="2">
        <f t="shared" si="65"/>
        <v>-2393.4268861756204</v>
      </c>
      <c r="CZ213" s="2">
        <f>IF(C213&lt;='Batt IN'!$H$43*12,CY213/(1+('PV IN'!$G$9))^(C213),0)</f>
        <v>-1023.2298628612707</v>
      </c>
      <c r="DA213" s="33">
        <f>IF(C213&lt;='Batt IN'!$H$43*12,AE213,0)</f>
        <v>30366.783333333333</v>
      </c>
    </row>
    <row r="214" spans="1:105" x14ac:dyDescent="0.25">
      <c r="A214">
        <f>IF(C214&lt;='Batt IN'!$H$43*12,C214,"")</f>
        <v>210</v>
      </c>
      <c r="C214">
        <v>210</v>
      </c>
      <c r="D214" s="21">
        <v>730</v>
      </c>
      <c r="E214" s="1">
        <f>1-'Batt IN'!$E$31</f>
        <v>2.0000000000000018E-2</v>
      </c>
      <c r="F214" s="12">
        <f>('Batt IN'!$E$33*365)/8760</f>
        <v>0</v>
      </c>
      <c r="G214" s="22">
        <f>'Batt IN'!$E$32/8760</f>
        <v>5.7077625570776253E-3</v>
      </c>
      <c r="H214" s="22">
        <f>'Batt IN'!$E$13/8760</f>
        <v>5.5936073059360729E-3</v>
      </c>
      <c r="I214" s="23">
        <f>IF(C214&lt;='Batt IN'!$G$14*12,'Batt IN'!$E$15/8760*'Batt IN'!$G$15,0)</f>
        <v>0</v>
      </c>
      <c r="J214" s="12">
        <f>Z214/'Batt IN'!$E$27/730</f>
        <v>2.4999999999999996E-3</v>
      </c>
      <c r="K214" s="23">
        <f>AA214/'Batt IN'!$E$27/730</f>
        <v>1.6027397260273972E-3</v>
      </c>
      <c r="L214" s="23">
        <f>AB214/'Batt IN'!$E$27/730</f>
        <v>2.0547945205479451E-4</v>
      </c>
      <c r="M214" s="23">
        <f>AC214/'Batt IN'!$E$27/730</f>
        <v>4.7945205479452057E-3</v>
      </c>
      <c r="N214" s="23">
        <f>AD214/'Batt IN'!$E$27/730</f>
        <v>3.4246575342465752E-3</v>
      </c>
      <c r="O214" s="12">
        <f t="shared" si="53"/>
        <v>4.3828767123287697E-2</v>
      </c>
      <c r="P214" s="21">
        <f t="shared" si="54"/>
        <v>698.005</v>
      </c>
      <c r="Q214" s="2">
        <f>IF('Batt IN'!$E$27*'Batt IN'!$E$24&lt;='Batt IN'!$E$28,(('Batt IN'!$E$23*'Batt IN'!$E$27*'Batt IN'!$E$24)/1000)*P214,(('Batt IN'!$E$23*'Batt IN'!$E$28*'Batt IN'!$E$24)/1000)*P214)</f>
        <v>11168.08</v>
      </c>
      <c r="R214" s="2"/>
      <c r="S214" s="77">
        <f>IF(C214&lt;='Batt IN'!$G$14*12,'Batt IN'!$E$15/12,0)</f>
        <v>0</v>
      </c>
      <c r="T214" s="77"/>
      <c r="U214" s="80">
        <f>'Batt IN'!$E$28*('Batt IN'!$G$24/24)*730*(1-O214)</f>
        <v>81433.916666666657</v>
      </c>
      <c r="V214" s="78">
        <f>U214*'Batt IN'!$F$30</f>
        <v>16286.783333333333</v>
      </c>
      <c r="W214" s="78">
        <f>'Batt IN'!$E$28*'Batt IN'!$G$32*('Batt IN'!$E$32/12)*(1+'Batt IN'!$F$30)</f>
        <v>1750.0000000000002</v>
      </c>
      <c r="X214" s="78">
        <f>'Batt IN'!$E$28*'Batt IN'!$G$13*('Batt IN'!$E$13/12)*(1+'Batt IN'!$F$30)</f>
        <v>3184.9999999999995</v>
      </c>
      <c r="Y214" s="33">
        <f>S214*'Batt IN'!$G$15*'Batt IN'!$E$28*(1+'Batt IN'!$F$30)</f>
        <v>0</v>
      </c>
      <c r="Z214" s="33">
        <f>'Batt IN'!$G$16*365/12*(1+'Batt IN'!$F$30)</f>
        <v>1824.9999999999998</v>
      </c>
      <c r="AA214" s="33">
        <f>'Batt IN'!$G$17*'Batt IN'!$E$18*'Batt IN'!$G$18/12*(1+'Batt IN'!$F$30)</f>
        <v>1170</v>
      </c>
      <c r="AB214" s="33">
        <f>'Batt IN'!$G$19*'Batt IN'!$E$20*'Batt IN'!$G$20/12*(1+'Batt IN'!$F$30)</f>
        <v>150</v>
      </c>
      <c r="AC214" s="33">
        <f>'Batt IN'!$G$21*(1+'Batt IN'!$F$30)/12</f>
        <v>3500</v>
      </c>
      <c r="AD214" s="33">
        <f>'Batt IN'!$G$22*(1+'Batt IN'!$F$30)/12</f>
        <v>2500</v>
      </c>
      <c r="AE214" s="33">
        <f t="shared" si="66"/>
        <v>30366.783333333333</v>
      </c>
      <c r="AF214" s="33">
        <f>IF('PV IN'!$F$4="Battery Only",0,AE214*'Batt IN'!$E$29)</f>
        <v>25811.765833333331</v>
      </c>
      <c r="AG214" s="33">
        <f>PVCalcs!L214</f>
        <v>25811.765833333331</v>
      </c>
      <c r="AH214" s="33">
        <f t="shared" si="67"/>
        <v>4555.0175000000017</v>
      </c>
      <c r="AI214" s="33"/>
      <c r="AJ214" s="2">
        <f>IF(AND('Batt IN'!$D$53="Yes",$AL$1&gt;=1),IF($C214='Batt IN'!$H$54*12,-'Batt IN'!$F$54,0),0)</f>
        <v>0</v>
      </c>
      <c r="AK214" s="2">
        <f>IF(AND('Batt IN'!$D$53="Yes",$AL$1&gt;=2),IF($C214='Batt IN'!$H$55*12,-'Batt IN'!$F$55,0),0)</f>
        <v>0</v>
      </c>
      <c r="AL214" s="2">
        <f>IF(AND('Batt IN'!$D$53="Yes",$AL$1&gt;=3),IF($C214='Batt IN'!$H$56*12,-'Batt IN'!$F$56,0),0)</f>
        <v>0</v>
      </c>
      <c r="AM214" s="2">
        <f>IF(AND('Batt IN'!$D$53="Yes",$AL$1&gt;=4),IF($C214='Batt IN'!$H$57*12,-'Batt IN'!$F$57,0),0)</f>
        <v>0</v>
      </c>
      <c r="AN214" s="2">
        <f>IF(AND('Batt IN'!$D$53="Yes",$AL$1&gt;=5),IF($C214='Batt IN'!$H$58*12,-'Batt IN'!$F$58,0),0)</f>
        <v>0</v>
      </c>
      <c r="AO214" s="10">
        <f>IF(AND('Batt IN'!$D$44="YES",$C214&lt;='Batt IN'!$E$44*12),-'Batt IN'!$E$28*'Batt IN'!$E$42/12,0)</f>
        <v>0</v>
      </c>
      <c r="AP214" s="10">
        <f>IF(AND('Batt IN'!$D$46="YES",$C214&lt;='Batt IN'!$E$46*12),-'Batt IN'!$E$28*'Batt IN'!$E$45/12,0)</f>
        <v>0</v>
      </c>
      <c r="AR214" s="10">
        <f>BattLoan!M241</f>
        <v>0</v>
      </c>
      <c r="AS214" s="10">
        <f>'Batt IN'!$G$16*365/12*'Batt IN'!$E$16</f>
        <v>76.041666666666671</v>
      </c>
      <c r="AT214" s="10">
        <f>IF(AND('Batt IN'!$E$18&gt;0,'Batt IN'!$G$18&gt;0),'Batt IN'!$E$17*'Batt IN'!$G$17,0)</f>
        <v>119.44619999999999</v>
      </c>
      <c r="AU214" s="10">
        <f>IF(AND('Batt IN'!$E$20&gt;0,'Batt IN'!$G$20&gt;0),'Batt IN'!$E$19*'Batt IN'!$G$19,0)</f>
        <v>231</v>
      </c>
      <c r="AV214" s="10"/>
      <c r="AW214" s="10"/>
      <c r="AX214" s="10">
        <f>IF('Batt IN'!$E$11="Non-Taxable",Q214,0)</f>
        <v>11168.08</v>
      </c>
      <c r="AY214" s="10">
        <f>IF('Batt IN'!$E$11="Non-Taxable",'Batt IN'!$E$28/1000*'Batt IN'!$G$13*('Batt IN'!$E$13/12)*'Batt IN'!$E$12,0)</f>
        <v>244.42220833333334</v>
      </c>
      <c r="AZ214" s="10">
        <f>IF('Batt IN'!$E$11="Non-Taxable",$S214*'Batt IN'!$G$15*'Batt IN'!$E$28*'Batt IN'!$E$14/1000,0)</f>
        <v>0</v>
      </c>
      <c r="BA214" s="10">
        <f>IF('Batt IN'!$E$11="Non-Taxable",'Batt IN'!$E$21*'Batt IN'!$G$21/12,0)</f>
        <v>437.5</v>
      </c>
      <c r="BB214" s="10">
        <f>IF('Batt IN'!$E$11="Non-Taxable",'Batt IN'!$E$22*'Batt IN'!$G$22/12,0)</f>
        <v>1145.8333333333335</v>
      </c>
      <c r="BC214" s="10">
        <f>IF('Batt IN'!$E$11="Taxable",Q214,0)</f>
        <v>0</v>
      </c>
      <c r="BD214" s="10">
        <f>IF('Batt IN'!$E$11="Taxable",'Batt IN'!$E$28/1000*'Batt IN'!$G$13*('Batt IN'!$E$13/12)*'Batt IN'!$E$12,0)</f>
        <v>0</v>
      </c>
      <c r="BE214" s="10">
        <f>IF('Batt IN'!$E$11="Taxable",$S214*'Batt IN'!$G$15*'Batt IN'!$E$28*'Batt IN'!$E$14/1000,0)</f>
        <v>0</v>
      </c>
      <c r="BF214" s="10">
        <f>IF('Batt IN'!$E$11="Taxable",'Batt IN'!$E$21*'Batt IN'!$G$21/12,0)</f>
        <v>0</v>
      </c>
      <c r="BG214" s="10">
        <f>IF('Batt IN'!$E$11="Taxable",'Batt IN'!$E$22*'Batt IN'!$G$22/12,0)</f>
        <v>0</v>
      </c>
      <c r="BK214" s="10">
        <f>IF('Batt IN'!$N$18="Yes",-BattLoan!H242,-BattLoan!L242)</f>
        <v>0</v>
      </c>
      <c r="BL214" s="10">
        <f>IF('Batt IN'!$N$18="Yes",-BattLoan!F242,0)</f>
        <v>0</v>
      </c>
      <c r="BM214" s="10">
        <f>IF(AND('Batt IN'!$D$44="YES",$C214&lt;='Batt IN'!$E$44*12),0,-'Batt IN'!$E$28*'Batt IN'!$E$42/12)</f>
        <v>-83.333333333333329</v>
      </c>
      <c r="BN214" s="10">
        <f>IF(AND('Batt IN'!$D$46="YES",$C214&lt;='Batt IN'!$E$46*12),0,-'Batt IN'!$E$28*'Batt IN'!$E$45/12)</f>
        <v>-166.66666666666666</v>
      </c>
      <c r="BO214" s="2">
        <f>IF(AND('Batt IN'!$D$41="YES",BattCalcs!C214=ROUNDUP('Batt IN'!$H$41*12,)),-'Batt IN'!$E$41*'Batt IN'!$E$28,0)</f>
        <v>0</v>
      </c>
      <c r="BP214" s="2">
        <f>IF(AND('Batt IN'!$D$53="Yes",$AL$1&gt;=1),0,IF($C214='Batt IN'!$H$54*12,-'Batt IN'!$F$54,0))</f>
        <v>0</v>
      </c>
      <c r="BQ214" s="2">
        <f>IF(AND('Batt IN'!$D$53="Yes",$AL$1&gt;=2),0,IF($C214='Batt IN'!$H$55*12,-'Batt IN'!$F$55,0))</f>
        <v>0</v>
      </c>
      <c r="BR214" s="2">
        <f>IF(AND('Batt IN'!$D$53="Yes",$AL$1&gt;=3),0,IF($C214='Batt IN'!$H$56*12,-'Batt IN'!$F$56,0))</f>
        <v>0</v>
      </c>
      <c r="BS214" s="2">
        <f>IF(AND('Batt IN'!$D$53="Yes",$AL$1&gt;=4),0,IF($C214='Batt IN'!$H$57*12,-'Batt IN'!$F$57,0))</f>
        <v>0</v>
      </c>
      <c r="BT214" s="2">
        <f>IF(AND('Batt IN'!$D$53="Yes",$AL$1&gt;=5),0,IF($C214='Batt IN'!$H$58*12,-'Batt IN'!$F$58,0))</f>
        <v>0</v>
      </c>
      <c r="BU214" s="2">
        <f>-AH214*PVCalcs!F214</f>
        <v>-379.65428629825368</v>
      </c>
      <c r="BV214" s="2">
        <f>-'Batt IN'!$E$47</f>
        <v>-150</v>
      </c>
      <c r="BW214" s="2">
        <f>-'Batt IN'!$E$49</f>
        <v>-2250</v>
      </c>
      <c r="BX214" s="2">
        <f>IF('Batt IN'!$H$50="No",-(BC214*'Batt IN'!$E$50),-(BC214+BE214)*'Batt IN'!$E$50)</f>
        <v>0</v>
      </c>
      <c r="BY214" s="2">
        <f>IF(C214='Batt IN'!$H$43*12,-'Batt IN'!$E$43,0)</f>
        <v>0</v>
      </c>
      <c r="BZ214" s="38"/>
      <c r="CA214" s="10">
        <f t="shared" si="51"/>
        <v>13422.323408333334</v>
      </c>
      <c r="CB214" s="2">
        <f t="shared" si="55"/>
        <v>-3029.6542862982537</v>
      </c>
      <c r="CC214" s="45">
        <f t="shared" si="56"/>
        <v>10392.66912203508</v>
      </c>
      <c r="CD214" s="43"/>
      <c r="CE214" s="2">
        <f t="shared" si="52"/>
        <v>0</v>
      </c>
      <c r="CF214" s="2">
        <f t="shared" si="57"/>
        <v>-3029.6542862982537</v>
      </c>
      <c r="CG214" s="2"/>
      <c r="CH214" s="2">
        <f t="shared" si="58"/>
        <v>-3029.6542862982537</v>
      </c>
      <c r="CI214" s="45">
        <f>-CH214*'Batt IN'!$E$7</f>
        <v>636.2274001226333</v>
      </c>
      <c r="CJ214" s="48"/>
      <c r="CK214" s="45">
        <f>IF('Batt IN'!$F$4="PV Only",0,IF(C214&gt;'Batt IN'!$H$43*12,0,CC214+CI214))</f>
        <v>0</v>
      </c>
      <c r="CM214" s="10">
        <f t="shared" si="59"/>
        <v>0</v>
      </c>
      <c r="CN214" s="2">
        <f>CK214/(1+('Batt IN'!$G$8))^(C214)</f>
        <v>0</v>
      </c>
      <c r="CO214" s="2">
        <f>IF(C214&lt;='Batt IN'!$O$30*12,CN214+CO213,NA())</f>
        <v>0</v>
      </c>
      <c r="CQ214" s="2">
        <f>CK214/((1+('Batt IN'!$E$8/12))^BattCalcs!C214)</f>
        <v>0</v>
      </c>
      <c r="CS214" s="10">
        <f t="shared" si="60"/>
        <v>-3029.6542862982537</v>
      </c>
      <c r="CT214" s="10">
        <f t="shared" si="61"/>
        <v>0</v>
      </c>
      <c r="CU214" s="10">
        <f t="shared" si="62"/>
        <v>-3029.6542862982537</v>
      </c>
      <c r="CV214" s="10">
        <f t="shared" si="63"/>
        <v>-3029.6542862982537</v>
      </c>
      <c r="CW214" s="2">
        <f t="shared" si="64"/>
        <v>0</v>
      </c>
      <c r="CX214" s="2">
        <f>-(SUM(CV214:CW214)*'PV IN'!$E$8)</f>
        <v>636.2274001226333</v>
      </c>
      <c r="CY214" s="2">
        <f t="shared" si="65"/>
        <v>-2393.4268861756204</v>
      </c>
      <c r="CZ214" s="2">
        <f>IF(C214&lt;='Batt IN'!$H$43*12,CY214/(1+('PV IN'!$G$9))^(C214),0)</f>
        <v>-1019.078012891556</v>
      </c>
      <c r="DA214" s="33">
        <f>IF(C214&lt;='Batt IN'!$H$43*12,AE214,0)</f>
        <v>30366.783333333333</v>
      </c>
    </row>
    <row r="215" spans="1:105" x14ac:dyDescent="0.25">
      <c r="A215">
        <f>IF(C215&lt;='Batt IN'!$H$43*12,C215,"")</f>
        <v>211</v>
      </c>
      <c r="C215">
        <v>211</v>
      </c>
      <c r="D215" s="21">
        <v>730</v>
      </c>
      <c r="E215" s="1">
        <f>1-'Batt IN'!$E$31</f>
        <v>2.0000000000000018E-2</v>
      </c>
      <c r="F215" s="12">
        <f>('Batt IN'!$E$33*365)/8760</f>
        <v>0</v>
      </c>
      <c r="G215" s="22">
        <f>'Batt IN'!$E$32/8760</f>
        <v>5.7077625570776253E-3</v>
      </c>
      <c r="H215" s="22">
        <f>'Batt IN'!$E$13/8760</f>
        <v>5.5936073059360729E-3</v>
      </c>
      <c r="I215" s="23">
        <f>IF(C215&lt;='Batt IN'!$G$14*12,'Batt IN'!$E$15/8760*'Batt IN'!$G$15,0)</f>
        <v>0</v>
      </c>
      <c r="J215" s="12">
        <f>Z215/'Batt IN'!$E$27/730</f>
        <v>2.4999999999999996E-3</v>
      </c>
      <c r="K215" s="23">
        <f>AA215/'Batt IN'!$E$27/730</f>
        <v>1.6027397260273972E-3</v>
      </c>
      <c r="L215" s="23">
        <f>AB215/'Batt IN'!$E$27/730</f>
        <v>2.0547945205479451E-4</v>
      </c>
      <c r="M215" s="23">
        <f>AC215/'Batt IN'!$E$27/730</f>
        <v>4.7945205479452057E-3</v>
      </c>
      <c r="N215" s="23">
        <f>AD215/'Batt IN'!$E$27/730</f>
        <v>3.4246575342465752E-3</v>
      </c>
      <c r="O215" s="12">
        <f t="shared" si="53"/>
        <v>4.3828767123287697E-2</v>
      </c>
      <c r="P215" s="21">
        <f t="shared" si="54"/>
        <v>698.005</v>
      </c>
      <c r="Q215" s="2">
        <f>IF('Batt IN'!$E$27*'Batt IN'!$E$24&lt;='Batt IN'!$E$28,(('Batt IN'!$E$23*'Batt IN'!$E$27*'Batt IN'!$E$24)/1000)*P215,(('Batt IN'!$E$23*'Batt IN'!$E$28*'Batt IN'!$E$24)/1000)*P215)</f>
        <v>11168.08</v>
      </c>
      <c r="R215" s="2"/>
      <c r="S215" s="77">
        <f>IF(C215&lt;='Batt IN'!$G$14*12,'Batt IN'!$E$15/12,0)</f>
        <v>0</v>
      </c>
      <c r="T215" s="77"/>
      <c r="U215" s="80">
        <f>'Batt IN'!$E$28*('Batt IN'!$G$24/24)*730*(1-O215)</f>
        <v>81433.916666666657</v>
      </c>
      <c r="V215" s="78">
        <f>U215*'Batt IN'!$F$30</f>
        <v>16286.783333333333</v>
      </c>
      <c r="W215" s="78">
        <f>'Batt IN'!$E$28*'Batt IN'!$G$32*('Batt IN'!$E$32/12)*(1+'Batt IN'!$F$30)</f>
        <v>1750.0000000000002</v>
      </c>
      <c r="X215" s="78">
        <f>'Batt IN'!$E$28*'Batt IN'!$G$13*('Batt IN'!$E$13/12)*(1+'Batt IN'!$F$30)</f>
        <v>3184.9999999999995</v>
      </c>
      <c r="Y215" s="33">
        <f>S215*'Batt IN'!$G$15*'Batt IN'!$E$28*(1+'Batt IN'!$F$30)</f>
        <v>0</v>
      </c>
      <c r="Z215" s="33">
        <f>'Batt IN'!$G$16*365/12*(1+'Batt IN'!$F$30)</f>
        <v>1824.9999999999998</v>
      </c>
      <c r="AA215" s="33">
        <f>'Batt IN'!$G$17*'Batt IN'!$E$18*'Batt IN'!$G$18/12*(1+'Batt IN'!$F$30)</f>
        <v>1170</v>
      </c>
      <c r="AB215" s="33">
        <f>'Batt IN'!$G$19*'Batt IN'!$E$20*'Batt IN'!$G$20/12*(1+'Batt IN'!$F$30)</f>
        <v>150</v>
      </c>
      <c r="AC215" s="33">
        <f>'Batt IN'!$G$21*(1+'Batt IN'!$F$30)/12</f>
        <v>3500</v>
      </c>
      <c r="AD215" s="33">
        <f>'Batt IN'!$G$22*(1+'Batt IN'!$F$30)/12</f>
        <v>2500</v>
      </c>
      <c r="AE215" s="33">
        <f t="shared" si="66"/>
        <v>30366.783333333333</v>
      </c>
      <c r="AF215" s="33">
        <f>IF('PV IN'!$F$4="Battery Only",0,AE215*'Batt IN'!$E$29)</f>
        <v>25811.765833333331</v>
      </c>
      <c r="AG215" s="33">
        <f>PVCalcs!L215</f>
        <v>25811.765833333331</v>
      </c>
      <c r="AH215" s="33">
        <f t="shared" si="67"/>
        <v>4555.0175000000017</v>
      </c>
      <c r="AI215" s="33"/>
      <c r="AJ215" s="2">
        <f>IF(AND('Batt IN'!$D$53="Yes",$AL$1&gt;=1),IF($C215='Batt IN'!$H$54*12,-'Batt IN'!$F$54,0),0)</f>
        <v>0</v>
      </c>
      <c r="AK215" s="2">
        <f>IF(AND('Batt IN'!$D$53="Yes",$AL$1&gt;=2),IF($C215='Batt IN'!$H$55*12,-'Batt IN'!$F$55,0),0)</f>
        <v>0</v>
      </c>
      <c r="AL215" s="2">
        <f>IF(AND('Batt IN'!$D$53="Yes",$AL$1&gt;=3),IF($C215='Batt IN'!$H$56*12,-'Batt IN'!$F$56,0),0)</f>
        <v>0</v>
      </c>
      <c r="AM215" s="2">
        <f>IF(AND('Batt IN'!$D$53="Yes",$AL$1&gt;=4),IF($C215='Batt IN'!$H$57*12,-'Batt IN'!$F$57,0),0)</f>
        <v>0</v>
      </c>
      <c r="AN215" s="2">
        <f>IF(AND('Batt IN'!$D$53="Yes",$AL$1&gt;=5),IF($C215='Batt IN'!$H$58*12,-'Batt IN'!$F$58,0),0)</f>
        <v>0</v>
      </c>
      <c r="AO215" s="10">
        <f>IF(AND('Batt IN'!$D$44="YES",$C215&lt;='Batt IN'!$E$44*12),-'Batt IN'!$E$28*'Batt IN'!$E$42/12,0)</f>
        <v>0</v>
      </c>
      <c r="AP215" s="10">
        <f>IF(AND('Batt IN'!$D$46="YES",$C215&lt;='Batt IN'!$E$46*12),-'Batt IN'!$E$28*'Batt IN'!$E$45/12,0)</f>
        <v>0</v>
      </c>
      <c r="AR215" s="10">
        <f>BattLoan!M242</f>
        <v>0</v>
      </c>
      <c r="AS215" s="10">
        <f>'Batt IN'!$G$16*365/12*'Batt IN'!$E$16</f>
        <v>76.041666666666671</v>
      </c>
      <c r="AT215" s="10">
        <f>IF(AND('Batt IN'!$E$18&gt;0,'Batt IN'!$G$18&gt;0),'Batt IN'!$E$17*'Batt IN'!$G$17,0)</f>
        <v>119.44619999999999</v>
      </c>
      <c r="AU215" s="10">
        <f>IF(AND('Batt IN'!$E$20&gt;0,'Batt IN'!$G$20&gt;0),'Batt IN'!$E$19*'Batt IN'!$G$19,0)</f>
        <v>231</v>
      </c>
      <c r="AV215" s="10"/>
      <c r="AW215" s="10"/>
      <c r="AX215" s="10">
        <f>IF('Batt IN'!$E$11="Non-Taxable",Q215,0)</f>
        <v>11168.08</v>
      </c>
      <c r="AY215" s="10">
        <f>IF('Batt IN'!$E$11="Non-Taxable",'Batt IN'!$E$28/1000*'Batt IN'!$G$13*('Batt IN'!$E$13/12)*'Batt IN'!$E$12,0)</f>
        <v>244.42220833333334</v>
      </c>
      <c r="AZ215" s="10">
        <f>IF('Batt IN'!$E$11="Non-Taxable",$S215*'Batt IN'!$G$15*'Batt IN'!$E$28*'Batt IN'!$E$14/1000,0)</f>
        <v>0</v>
      </c>
      <c r="BA215" s="10">
        <f>IF('Batt IN'!$E$11="Non-Taxable",'Batt IN'!$E$21*'Batt IN'!$G$21/12,0)</f>
        <v>437.5</v>
      </c>
      <c r="BB215" s="10">
        <f>IF('Batt IN'!$E$11="Non-Taxable",'Batt IN'!$E$22*'Batt IN'!$G$22/12,0)</f>
        <v>1145.8333333333335</v>
      </c>
      <c r="BC215" s="10">
        <f>IF('Batt IN'!$E$11="Taxable",Q215,0)</f>
        <v>0</v>
      </c>
      <c r="BD215" s="10">
        <f>IF('Batt IN'!$E$11="Taxable",'Batt IN'!$E$28/1000*'Batt IN'!$G$13*('Batt IN'!$E$13/12)*'Batt IN'!$E$12,0)</f>
        <v>0</v>
      </c>
      <c r="BE215" s="10">
        <f>IF('Batt IN'!$E$11="Taxable",$S215*'Batt IN'!$G$15*'Batt IN'!$E$28*'Batt IN'!$E$14/1000,0)</f>
        <v>0</v>
      </c>
      <c r="BF215" s="10">
        <f>IF('Batt IN'!$E$11="Taxable",'Batt IN'!$E$21*'Batt IN'!$G$21/12,0)</f>
        <v>0</v>
      </c>
      <c r="BG215" s="10">
        <f>IF('Batt IN'!$E$11="Taxable",'Batt IN'!$E$22*'Batt IN'!$G$22/12,0)</f>
        <v>0</v>
      </c>
      <c r="BK215" s="10">
        <f>IF('Batt IN'!$N$18="Yes",-BattLoan!H243,-BattLoan!L243)</f>
        <v>0</v>
      </c>
      <c r="BL215" s="10">
        <f>IF('Batt IN'!$N$18="Yes",-BattLoan!F243,0)</f>
        <v>0</v>
      </c>
      <c r="BM215" s="10">
        <f>IF(AND('Batt IN'!$D$44="YES",$C215&lt;='Batt IN'!$E$44*12),0,-'Batt IN'!$E$28*'Batt IN'!$E$42/12)</f>
        <v>-83.333333333333329</v>
      </c>
      <c r="BN215" s="10">
        <f>IF(AND('Batt IN'!$D$46="YES",$C215&lt;='Batt IN'!$E$46*12),0,-'Batt IN'!$E$28*'Batt IN'!$E$45/12)</f>
        <v>-166.66666666666666</v>
      </c>
      <c r="BO215" s="2">
        <f>IF(AND('Batt IN'!$D$41="YES",BattCalcs!C215=ROUNDUP('Batt IN'!$H$41*12,)),-'Batt IN'!$E$41*'Batt IN'!$E$28,0)</f>
        <v>0</v>
      </c>
      <c r="BP215" s="2">
        <f>IF(AND('Batt IN'!$D$53="Yes",$AL$1&gt;=1),0,IF($C215='Batt IN'!$H$54*12,-'Batt IN'!$F$54,0))</f>
        <v>0</v>
      </c>
      <c r="BQ215" s="2">
        <f>IF(AND('Batt IN'!$D$53="Yes",$AL$1&gt;=2),0,IF($C215='Batt IN'!$H$55*12,-'Batt IN'!$F$55,0))</f>
        <v>0</v>
      </c>
      <c r="BR215" s="2">
        <f>IF(AND('Batt IN'!$D$53="Yes",$AL$1&gt;=3),0,IF($C215='Batt IN'!$H$56*12,-'Batt IN'!$F$56,0))</f>
        <v>0</v>
      </c>
      <c r="BS215" s="2">
        <f>IF(AND('Batt IN'!$D$53="Yes",$AL$1&gt;=4),0,IF($C215='Batt IN'!$H$57*12,-'Batt IN'!$F$57,0))</f>
        <v>0</v>
      </c>
      <c r="BT215" s="2">
        <f>IF(AND('Batt IN'!$D$53="Yes",$AL$1&gt;=5),0,IF($C215='Batt IN'!$H$58*12,-'Batt IN'!$F$58,0))</f>
        <v>0</v>
      </c>
      <c r="BU215" s="2">
        <f>-AH215*PVCalcs!F215</f>
        <v>-379.65428629825368</v>
      </c>
      <c r="BV215" s="2">
        <f>-'Batt IN'!$E$47</f>
        <v>-150</v>
      </c>
      <c r="BW215" s="2">
        <f>-'Batt IN'!$E$49</f>
        <v>-2250</v>
      </c>
      <c r="BX215" s="2">
        <f>IF('Batt IN'!$H$50="No",-(BC215*'Batt IN'!$E$50),-(BC215+BE215)*'Batt IN'!$E$50)</f>
        <v>0</v>
      </c>
      <c r="BY215" s="2">
        <f>IF(C215='Batt IN'!$H$43*12,-'Batt IN'!$E$43,0)</f>
        <v>0</v>
      </c>
      <c r="BZ215" s="38"/>
      <c r="CA215" s="10">
        <f t="shared" si="51"/>
        <v>13422.323408333334</v>
      </c>
      <c r="CB215" s="2">
        <f t="shared" si="55"/>
        <v>-3029.6542862982537</v>
      </c>
      <c r="CC215" s="45">
        <f t="shared" si="56"/>
        <v>10392.66912203508</v>
      </c>
      <c r="CD215" s="43"/>
      <c r="CE215" s="2">
        <f t="shared" si="52"/>
        <v>0</v>
      </c>
      <c r="CF215" s="2">
        <f t="shared" si="57"/>
        <v>-3029.6542862982537</v>
      </c>
      <c r="CG215" s="2"/>
      <c r="CH215" s="2">
        <f t="shared" si="58"/>
        <v>-3029.6542862982537</v>
      </c>
      <c r="CI215" s="45">
        <f>-CH215*'Batt IN'!$E$7</f>
        <v>636.2274001226333</v>
      </c>
      <c r="CJ215" s="48"/>
      <c r="CK215" s="45">
        <f>IF('Batt IN'!$F$4="PV Only",0,IF(C215&gt;'Batt IN'!$H$43*12,0,CC215+CI215))</f>
        <v>0</v>
      </c>
      <c r="CM215" s="10">
        <f t="shared" si="59"/>
        <v>0</v>
      </c>
      <c r="CN215" s="2">
        <f>CK215/(1+('Batt IN'!$G$8))^(C215)</f>
        <v>0</v>
      </c>
      <c r="CO215" s="2">
        <f>IF(C215&lt;='Batt IN'!$O$30*12,CN215+CO214,NA())</f>
        <v>0</v>
      </c>
      <c r="CQ215" s="2">
        <f>CK215/((1+('Batt IN'!$E$8/12))^BattCalcs!C215)</f>
        <v>0</v>
      </c>
      <c r="CS215" s="10">
        <f t="shared" si="60"/>
        <v>-3029.6542862982537</v>
      </c>
      <c r="CT215" s="10">
        <f t="shared" si="61"/>
        <v>0</v>
      </c>
      <c r="CU215" s="10">
        <f t="shared" si="62"/>
        <v>-3029.6542862982537</v>
      </c>
      <c r="CV215" s="10">
        <f t="shared" si="63"/>
        <v>-3029.6542862982537</v>
      </c>
      <c r="CW215" s="2">
        <f t="shared" si="64"/>
        <v>0</v>
      </c>
      <c r="CX215" s="2">
        <f>-(SUM(CV215:CW215)*'PV IN'!$E$8)</f>
        <v>636.2274001226333</v>
      </c>
      <c r="CY215" s="2">
        <f t="shared" si="65"/>
        <v>-2393.4268861756204</v>
      </c>
      <c r="CZ215" s="2">
        <f>IF(C215&lt;='Batt IN'!$H$43*12,CY215/(1+('PV IN'!$G$9))^(C215),0)</f>
        <v>-1014.943009437758</v>
      </c>
      <c r="DA215" s="33">
        <f>IF(C215&lt;='Batt IN'!$H$43*12,AE215,0)</f>
        <v>30366.783333333333</v>
      </c>
    </row>
    <row r="216" spans="1:105" x14ac:dyDescent="0.25">
      <c r="A216">
        <f>IF(C216&lt;='Batt IN'!$H$43*12,C216,"")</f>
        <v>212</v>
      </c>
      <c r="C216">
        <v>212</v>
      </c>
      <c r="D216" s="21">
        <v>730</v>
      </c>
      <c r="E216" s="1">
        <f>1-'Batt IN'!$E$31</f>
        <v>2.0000000000000018E-2</v>
      </c>
      <c r="F216" s="12">
        <f>('Batt IN'!$E$33*365)/8760</f>
        <v>0</v>
      </c>
      <c r="G216" s="22">
        <f>'Batt IN'!$E$32/8760</f>
        <v>5.7077625570776253E-3</v>
      </c>
      <c r="H216" s="22">
        <f>'Batt IN'!$E$13/8760</f>
        <v>5.5936073059360729E-3</v>
      </c>
      <c r="I216" s="23">
        <f>IF(C216&lt;='Batt IN'!$G$14*12,'Batt IN'!$E$15/8760*'Batt IN'!$G$15,0)</f>
        <v>0</v>
      </c>
      <c r="J216" s="12">
        <f>Z216/'Batt IN'!$E$27/730</f>
        <v>2.4999999999999996E-3</v>
      </c>
      <c r="K216" s="23">
        <f>AA216/'Batt IN'!$E$27/730</f>
        <v>1.6027397260273972E-3</v>
      </c>
      <c r="L216" s="23">
        <f>AB216/'Batt IN'!$E$27/730</f>
        <v>2.0547945205479451E-4</v>
      </c>
      <c r="M216" s="23">
        <f>AC216/'Batt IN'!$E$27/730</f>
        <v>4.7945205479452057E-3</v>
      </c>
      <c r="N216" s="23">
        <f>AD216/'Batt IN'!$E$27/730</f>
        <v>3.4246575342465752E-3</v>
      </c>
      <c r="O216" s="12">
        <f t="shared" si="53"/>
        <v>4.3828767123287697E-2</v>
      </c>
      <c r="P216" s="21">
        <f t="shared" si="54"/>
        <v>698.005</v>
      </c>
      <c r="Q216" s="2">
        <f>IF('Batt IN'!$E$27*'Batt IN'!$E$24&lt;='Batt IN'!$E$28,(('Batt IN'!$E$23*'Batt IN'!$E$27*'Batt IN'!$E$24)/1000)*P216,(('Batt IN'!$E$23*'Batt IN'!$E$28*'Batt IN'!$E$24)/1000)*P216)</f>
        <v>11168.08</v>
      </c>
      <c r="R216" s="2"/>
      <c r="S216" s="77">
        <f>IF(C216&lt;='Batt IN'!$G$14*12,'Batt IN'!$E$15/12,0)</f>
        <v>0</v>
      </c>
      <c r="T216" s="77"/>
      <c r="U216" s="80">
        <f>'Batt IN'!$E$28*('Batt IN'!$G$24/24)*730*(1-O216)</f>
        <v>81433.916666666657</v>
      </c>
      <c r="V216" s="78">
        <f>U216*'Batt IN'!$F$30</f>
        <v>16286.783333333333</v>
      </c>
      <c r="W216" s="78">
        <f>'Batt IN'!$E$28*'Batt IN'!$G$32*('Batt IN'!$E$32/12)*(1+'Batt IN'!$F$30)</f>
        <v>1750.0000000000002</v>
      </c>
      <c r="X216" s="78">
        <f>'Batt IN'!$E$28*'Batt IN'!$G$13*('Batt IN'!$E$13/12)*(1+'Batt IN'!$F$30)</f>
        <v>3184.9999999999995</v>
      </c>
      <c r="Y216" s="33">
        <f>S216*'Batt IN'!$G$15*'Batt IN'!$E$28*(1+'Batt IN'!$F$30)</f>
        <v>0</v>
      </c>
      <c r="Z216" s="33">
        <f>'Batt IN'!$G$16*365/12*(1+'Batt IN'!$F$30)</f>
        <v>1824.9999999999998</v>
      </c>
      <c r="AA216" s="33">
        <f>'Batt IN'!$G$17*'Batt IN'!$E$18*'Batt IN'!$G$18/12*(1+'Batt IN'!$F$30)</f>
        <v>1170</v>
      </c>
      <c r="AB216" s="33">
        <f>'Batt IN'!$G$19*'Batt IN'!$E$20*'Batt IN'!$G$20/12*(1+'Batt IN'!$F$30)</f>
        <v>150</v>
      </c>
      <c r="AC216" s="33">
        <f>'Batt IN'!$G$21*(1+'Batt IN'!$F$30)/12</f>
        <v>3500</v>
      </c>
      <c r="AD216" s="33">
        <f>'Batt IN'!$G$22*(1+'Batt IN'!$F$30)/12</f>
        <v>2500</v>
      </c>
      <c r="AE216" s="33">
        <f t="shared" si="66"/>
        <v>30366.783333333333</v>
      </c>
      <c r="AF216" s="33">
        <f>IF('PV IN'!$F$4="Battery Only",0,AE216*'Batt IN'!$E$29)</f>
        <v>25811.765833333331</v>
      </c>
      <c r="AG216" s="33">
        <f>PVCalcs!L216</f>
        <v>25811.765833333331</v>
      </c>
      <c r="AH216" s="33">
        <f t="shared" si="67"/>
        <v>4555.0175000000017</v>
      </c>
      <c r="AI216" s="33"/>
      <c r="AJ216" s="2">
        <f>IF(AND('Batt IN'!$D$53="Yes",$AL$1&gt;=1),IF($C216='Batt IN'!$H$54*12,-'Batt IN'!$F$54,0),0)</f>
        <v>0</v>
      </c>
      <c r="AK216" s="2">
        <f>IF(AND('Batt IN'!$D$53="Yes",$AL$1&gt;=2),IF($C216='Batt IN'!$H$55*12,-'Batt IN'!$F$55,0),0)</f>
        <v>0</v>
      </c>
      <c r="AL216" s="2">
        <f>IF(AND('Batt IN'!$D$53="Yes",$AL$1&gt;=3),IF($C216='Batt IN'!$H$56*12,-'Batt IN'!$F$56,0),0)</f>
        <v>0</v>
      </c>
      <c r="AM216" s="2">
        <f>IF(AND('Batt IN'!$D$53="Yes",$AL$1&gt;=4),IF($C216='Batt IN'!$H$57*12,-'Batt IN'!$F$57,0),0)</f>
        <v>0</v>
      </c>
      <c r="AN216" s="2">
        <f>IF(AND('Batt IN'!$D$53="Yes",$AL$1&gt;=5),IF($C216='Batt IN'!$H$58*12,-'Batt IN'!$F$58,0),0)</f>
        <v>0</v>
      </c>
      <c r="AO216" s="10">
        <f>IF(AND('Batt IN'!$D$44="YES",$C216&lt;='Batt IN'!$E$44*12),-'Batt IN'!$E$28*'Batt IN'!$E$42/12,0)</f>
        <v>0</v>
      </c>
      <c r="AP216" s="10">
        <f>IF(AND('Batt IN'!$D$46="YES",$C216&lt;='Batt IN'!$E$46*12),-'Batt IN'!$E$28*'Batt IN'!$E$45/12,0)</f>
        <v>0</v>
      </c>
      <c r="AR216" s="10">
        <f>BattLoan!M243</f>
        <v>0</v>
      </c>
      <c r="AS216" s="10">
        <f>'Batt IN'!$G$16*365/12*'Batt IN'!$E$16</f>
        <v>76.041666666666671</v>
      </c>
      <c r="AT216" s="10">
        <f>IF(AND('Batt IN'!$E$18&gt;0,'Batt IN'!$G$18&gt;0),'Batt IN'!$E$17*'Batt IN'!$G$17,0)</f>
        <v>119.44619999999999</v>
      </c>
      <c r="AU216" s="10">
        <f>IF(AND('Batt IN'!$E$20&gt;0,'Batt IN'!$G$20&gt;0),'Batt IN'!$E$19*'Batt IN'!$G$19,0)</f>
        <v>231</v>
      </c>
      <c r="AV216" s="10"/>
      <c r="AW216" s="10"/>
      <c r="AX216" s="10">
        <f>IF('Batt IN'!$E$11="Non-Taxable",Q216,0)</f>
        <v>11168.08</v>
      </c>
      <c r="AY216" s="10">
        <f>IF('Batt IN'!$E$11="Non-Taxable",'Batt IN'!$E$28/1000*'Batt IN'!$G$13*('Batt IN'!$E$13/12)*'Batt IN'!$E$12,0)</f>
        <v>244.42220833333334</v>
      </c>
      <c r="AZ216" s="10">
        <f>IF('Batt IN'!$E$11="Non-Taxable",$S216*'Batt IN'!$G$15*'Batt IN'!$E$28*'Batt IN'!$E$14/1000,0)</f>
        <v>0</v>
      </c>
      <c r="BA216" s="10">
        <f>IF('Batt IN'!$E$11="Non-Taxable",'Batt IN'!$E$21*'Batt IN'!$G$21/12,0)</f>
        <v>437.5</v>
      </c>
      <c r="BB216" s="10">
        <f>IF('Batt IN'!$E$11="Non-Taxable",'Batt IN'!$E$22*'Batt IN'!$G$22/12,0)</f>
        <v>1145.8333333333335</v>
      </c>
      <c r="BC216" s="10">
        <f>IF('Batt IN'!$E$11="Taxable",Q216,0)</f>
        <v>0</v>
      </c>
      <c r="BD216" s="10">
        <f>IF('Batt IN'!$E$11="Taxable",'Batt IN'!$E$28/1000*'Batt IN'!$G$13*('Batt IN'!$E$13/12)*'Batt IN'!$E$12,0)</f>
        <v>0</v>
      </c>
      <c r="BE216" s="10">
        <f>IF('Batt IN'!$E$11="Taxable",$S216*'Batt IN'!$G$15*'Batt IN'!$E$28*'Batt IN'!$E$14/1000,0)</f>
        <v>0</v>
      </c>
      <c r="BF216" s="10">
        <f>IF('Batt IN'!$E$11="Taxable",'Batt IN'!$E$21*'Batt IN'!$G$21/12,0)</f>
        <v>0</v>
      </c>
      <c r="BG216" s="10">
        <f>IF('Batt IN'!$E$11="Taxable",'Batt IN'!$E$22*'Batt IN'!$G$22/12,0)</f>
        <v>0</v>
      </c>
      <c r="BK216" s="10">
        <f>IF('Batt IN'!$N$18="Yes",-BattLoan!H244,-BattLoan!L244)</f>
        <v>0</v>
      </c>
      <c r="BL216" s="10">
        <f>IF('Batt IN'!$N$18="Yes",-BattLoan!F244,0)</f>
        <v>0</v>
      </c>
      <c r="BM216" s="10">
        <f>IF(AND('Batt IN'!$D$44="YES",$C216&lt;='Batt IN'!$E$44*12),0,-'Batt IN'!$E$28*'Batt IN'!$E$42/12)</f>
        <v>-83.333333333333329</v>
      </c>
      <c r="BN216" s="10">
        <f>IF(AND('Batt IN'!$D$46="YES",$C216&lt;='Batt IN'!$E$46*12),0,-'Batt IN'!$E$28*'Batt IN'!$E$45/12)</f>
        <v>-166.66666666666666</v>
      </c>
      <c r="BO216" s="2">
        <f>IF(AND('Batt IN'!$D$41="YES",BattCalcs!C216=ROUNDUP('Batt IN'!$H$41*12,)),-'Batt IN'!$E$41*'Batt IN'!$E$28,0)</f>
        <v>0</v>
      </c>
      <c r="BP216" s="2">
        <f>IF(AND('Batt IN'!$D$53="Yes",$AL$1&gt;=1),0,IF($C216='Batt IN'!$H$54*12,-'Batt IN'!$F$54,0))</f>
        <v>0</v>
      </c>
      <c r="BQ216" s="2">
        <f>IF(AND('Batt IN'!$D$53="Yes",$AL$1&gt;=2),0,IF($C216='Batt IN'!$H$55*12,-'Batt IN'!$F$55,0))</f>
        <v>0</v>
      </c>
      <c r="BR216" s="2">
        <f>IF(AND('Batt IN'!$D$53="Yes",$AL$1&gt;=3),0,IF($C216='Batt IN'!$H$56*12,-'Batt IN'!$F$56,0))</f>
        <v>0</v>
      </c>
      <c r="BS216" s="2">
        <f>IF(AND('Batt IN'!$D$53="Yes",$AL$1&gt;=4),0,IF($C216='Batt IN'!$H$57*12,-'Batt IN'!$F$57,0))</f>
        <v>0</v>
      </c>
      <c r="BT216" s="2">
        <f>IF(AND('Batt IN'!$D$53="Yes",$AL$1&gt;=5),0,IF($C216='Batt IN'!$H$58*12,-'Batt IN'!$F$58,0))</f>
        <v>0</v>
      </c>
      <c r="BU216" s="2">
        <f>-AH216*PVCalcs!F216</f>
        <v>-379.65428629825368</v>
      </c>
      <c r="BV216" s="2">
        <f>-'Batt IN'!$E$47</f>
        <v>-150</v>
      </c>
      <c r="BW216" s="2">
        <f>-'Batt IN'!$E$49</f>
        <v>-2250</v>
      </c>
      <c r="BX216" s="2">
        <f>IF('Batt IN'!$H$50="No",-(BC216*'Batt IN'!$E$50),-(BC216+BE216)*'Batt IN'!$E$50)</f>
        <v>0</v>
      </c>
      <c r="BY216" s="2">
        <f>IF(C216='Batt IN'!$H$43*12,-'Batt IN'!$E$43,0)</f>
        <v>0</v>
      </c>
      <c r="BZ216" s="38"/>
      <c r="CA216" s="10">
        <f t="shared" si="51"/>
        <v>13422.323408333334</v>
      </c>
      <c r="CB216" s="2">
        <f t="shared" si="55"/>
        <v>-3029.6542862982537</v>
      </c>
      <c r="CC216" s="45">
        <f t="shared" si="56"/>
        <v>10392.66912203508</v>
      </c>
      <c r="CD216" s="43"/>
      <c r="CE216" s="2">
        <f t="shared" si="52"/>
        <v>0</v>
      </c>
      <c r="CF216" s="2">
        <f t="shared" si="57"/>
        <v>-3029.6542862982537</v>
      </c>
      <c r="CG216" s="2"/>
      <c r="CH216" s="2">
        <f t="shared" si="58"/>
        <v>-3029.6542862982537</v>
      </c>
      <c r="CI216" s="45">
        <f>-CH216*'Batt IN'!$E$7</f>
        <v>636.2274001226333</v>
      </c>
      <c r="CJ216" s="48"/>
      <c r="CK216" s="45">
        <f>IF('Batt IN'!$F$4="PV Only",0,IF(C216&gt;'Batt IN'!$H$43*12,0,CC216+CI216))</f>
        <v>0</v>
      </c>
      <c r="CM216" s="10">
        <f t="shared" si="59"/>
        <v>0</v>
      </c>
      <c r="CN216" s="2">
        <f>CK216/(1+('Batt IN'!$G$8))^(C216)</f>
        <v>0</v>
      </c>
      <c r="CO216" s="2">
        <f>IF(C216&lt;='Batt IN'!$O$30*12,CN216+CO215,NA())</f>
        <v>0</v>
      </c>
      <c r="CQ216" s="2">
        <f>CK216/((1+('Batt IN'!$E$8/12))^BattCalcs!C216)</f>
        <v>0</v>
      </c>
      <c r="CS216" s="10">
        <f t="shared" si="60"/>
        <v>-3029.6542862982537</v>
      </c>
      <c r="CT216" s="10">
        <f t="shared" si="61"/>
        <v>0</v>
      </c>
      <c r="CU216" s="10">
        <f t="shared" si="62"/>
        <v>-3029.6542862982537</v>
      </c>
      <c r="CV216" s="10">
        <f t="shared" si="63"/>
        <v>-3029.6542862982537</v>
      </c>
      <c r="CW216" s="2">
        <f t="shared" si="64"/>
        <v>0</v>
      </c>
      <c r="CX216" s="2">
        <f>-(SUM(CV216:CW216)*'PV IN'!$E$8)</f>
        <v>636.2274001226333</v>
      </c>
      <c r="CY216" s="2">
        <f t="shared" si="65"/>
        <v>-2393.4268861756204</v>
      </c>
      <c r="CZ216" s="2">
        <f>IF(C216&lt;='Batt IN'!$H$43*12,CY216/(1+('PV IN'!$G$9))^(C216),0)</f>
        <v>-1010.8247841435773</v>
      </c>
      <c r="DA216" s="33">
        <f>IF(C216&lt;='Batt IN'!$H$43*12,AE216,0)</f>
        <v>30366.783333333333</v>
      </c>
    </row>
    <row r="217" spans="1:105" x14ac:dyDescent="0.25">
      <c r="A217">
        <f>IF(C217&lt;='Batt IN'!$H$43*12,C217,"")</f>
        <v>213</v>
      </c>
      <c r="C217">
        <v>213</v>
      </c>
      <c r="D217" s="21">
        <v>730</v>
      </c>
      <c r="E217" s="1">
        <f>1-'Batt IN'!$E$31</f>
        <v>2.0000000000000018E-2</v>
      </c>
      <c r="F217" s="12">
        <f>('Batt IN'!$E$33*365)/8760</f>
        <v>0</v>
      </c>
      <c r="G217" s="22">
        <f>'Batt IN'!$E$32/8760</f>
        <v>5.7077625570776253E-3</v>
      </c>
      <c r="H217" s="22">
        <f>'Batt IN'!$E$13/8760</f>
        <v>5.5936073059360729E-3</v>
      </c>
      <c r="I217" s="23">
        <f>IF(C217&lt;='Batt IN'!$G$14*12,'Batt IN'!$E$15/8760*'Batt IN'!$G$15,0)</f>
        <v>0</v>
      </c>
      <c r="J217" s="12">
        <f>Z217/'Batt IN'!$E$27/730</f>
        <v>2.4999999999999996E-3</v>
      </c>
      <c r="K217" s="23">
        <f>AA217/'Batt IN'!$E$27/730</f>
        <v>1.6027397260273972E-3</v>
      </c>
      <c r="L217" s="23">
        <f>AB217/'Batt IN'!$E$27/730</f>
        <v>2.0547945205479451E-4</v>
      </c>
      <c r="M217" s="23">
        <f>AC217/'Batt IN'!$E$27/730</f>
        <v>4.7945205479452057E-3</v>
      </c>
      <c r="N217" s="23">
        <f>AD217/'Batt IN'!$E$27/730</f>
        <v>3.4246575342465752E-3</v>
      </c>
      <c r="O217" s="12">
        <f t="shared" si="53"/>
        <v>4.3828767123287697E-2</v>
      </c>
      <c r="P217" s="21">
        <f t="shared" si="54"/>
        <v>698.005</v>
      </c>
      <c r="Q217" s="2">
        <f>IF('Batt IN'!$E$27*'Batt IN'!$E$24&lt;='Batt IN'!$E$28,(('Batt IN'!$E$23*'Batt IN'!$E$27*'Batt IN'!$E$24)/1000)*P217,(('Batt IN'!$E$23*'Batt IN'!$E$28*'Batt IN'!$E$24)/1000)*P217)</f>
        <v>11168.08</v>
      </c>
      <c r="R217" s="2"/>
      <c r="S217" s="77">
        <f>IF(C217&lt;='Batt IN'!$G$14*12,'Batt IN'!$E$15/12,0)</f>
        <v>0</v>
      </c>
      <c r="T217" s="77"/>
      <c r="U217" s="80">
        <f>'Batt IN'!$E$28*('Batt IN'!$G$24/24)*730*(1-O217)</f>
        <v>81433.916666666657</v>
      </c>
      <c r="V217" s="78">
        <f>U217*'Batt IN'!$F$30</f>
        <v>16286.783333333333</v>
      </c>
      <c r="W217" s="78">
        <f>'Batt IN'!$E$28*'Batt IN'!$G$32*('Batt IN'!$E$32/12)*(1+'Batt IN'!$F$30)</f>
        <v>1750.0000000000002</v>
      </c>
      <c r="X217" s="78">
        <f>'Batt IN'!$E$28*'Batt IN'!$G$13*('Batt IN'!$E$13/12)*(1+'Batt IN'!$F$30)</f>
        <v>3184.9999999999995</v>
      </c>
      <c r="Y217" s="33">
        <f>S217*'Batt IN'!$G$15*'Batt IN'!$E$28*(1+'Batt IN'!$F$30)</f>
        <v>0</v>
      </c>
      <c r="Z217" s="33">
        <f>'Batt IN'!$G$16*365/12*(1+'Batt IN'!$F$30)</f>
        <v>1824.9999999999998</v>
      </c>
      <c r="AA217" s="33">
        <f>'Batt IN'!$G$17*'Batt IN'!$E$18*'Batt IN'!$G$18/12*(1+'Batt IN'!$F$30)</f>
        <v>1170</v>
      </c>
      <c r="AB217" s="33">
        <f>'Batt IN'!$G$19*'Batt IN'!$E$20*'Batt IN'!$G$20/12*(1+'Batt IN'!$F$30)</f>
        <v>150</v>
      </c>
      <c r="AC217" s="33">
        <f>'Batt IN'!$G$21*(1+'Batt IN'!$F$30)/12</f>
        <v>3500</v>
      </c>
      <c r="AD217" s="33">
        <f>'Batt IN'!$G$22*(1+'Batt IN'!$F$30)/12</f>
        <v>2500</v>
      </c>
      <c r="AE217" s="33">
        <f t="shared" si="66"/>
        <v>30366.783333333333</v>
      </c>
      <c r="AF217" s="33">
        <f>IF('PV IN'!$F$4="Battery Only",0,AE217*'Batt IN'!$E$29)</f>
        <v>25811.765833333331</v>
      </c>
      <c r="AG217" s="33">
        <f>PVCalcs!L217</f>
        <v>25811.765833333331</v>
      </c>
      <c r="AH217" s="33">
        <f t="shared" si="67"/>
        <v>4555.0175000000017</v>
      </c>
      <c r="AI217" s="33"/>
      <c r="AJ217" s="2">
        <f>IF(AND('Batt IN'!$D$53="Yes",$AL$1&gt;=1),IF($C217='Batt IN'!$H$54*12,-'Batt IN'!$F$54,0),0)</f>
        <v>0</v>
      </c>
      <c r="AK217" s="2">
        <f>IF(AND('Batt IN'!$D$53="Yes",$AL$1&gt;=2),IF($C217='Batt IN'!$H$55*12,-'Batt IN'!$F$55,0),0)</f>
        <v>0</v>
      </c>
      <c r="AL217" s="2">
        <f>IF(AND('Batt IN'!$D$53="Yes",$AL$1&gt;=3),IF($C217='Batt IN'!$H$56*12,-'Batt IN'!$F$56,0),0)</f>
        <v>0</v>
      </c>
      <c r="AM217" s="2">
        <f>IF(AND('Batt IN'!$D$53="Yes",$AL$1&gt;=4),IF($C217='Batt IN'!$H$57*12,-'Batt IN'!$F$57,0),0)</f>
        <v>0</v>
      </c>
      <c r="AN217" s="2">
        <f>IF(AND('Batt IN'!$D$53="Yes",$AL$1&gt;=5),IF($C217='Batt IN'!$H$58*12,-'Batt IN'!$F$58,0),0)</f>
        <v>0</v>
      </c>
      <c r="AO217" s="10">
        <f>IF(AND('Batt IN'!$D$44="YES",$C217&lt;='Batt IN'!$E$44*12),-'Batt IN'!$E$28*'Batt IN'!$E$42/12,0)</f>
        <v>0</v>
      </c>
      <c r="AP217" s="10">
        <f>IF(AND('Batt IN'!$D$46="YES",$C217&lt;='Batt IN'!$E$46*12),-'Batt IN'!$E$28*'Batt IN'!$E$45/12,0)</f>
        <v>0</v>
      </c>
      <c r="AR217" s="10">
        <f>BattLoan!M244</f>
        <v>0</v>
      </c>
      <c r="AS217" s="10">
        <f>'Batt IN'!$G$16*365/12*'Batt IN'!$E$16</f>
        <v>76.041666666666671</v>
      </c>
      <c r="AT217" s="10">
        <f>IF(AND('Batt IN'!$E$18&gt;0,'Batt IN'!$G$18&gt;0),'Batt IN'!$E$17*'Batt IN'!$G$17,0)</f>
        <v>119.44619999999999</v>
      </c>
      <c r="AU217" s="10">
        <f>IF(AND('Batt IN'!$E$20&gt;0,'Batt IN'!$G$20&gt;0),'Batt IN'!$E$19*'Batt IN'!$G$19,0)</f>
        <v>231</v>
      </c>
      <c r="AV217" s="10"/>
      <c r="AW217" s="10"/>
      <c r="AX217" s="10">
        <f>IF('Batt IN'!$E$11="Non-Taxable",Q217,0)</f>
        <v>11168.08</v>
      </c>
      <c r="AY217" s="10">
        <f>IF('Batt IN'!$E$11="Non-Taxable",'Batt IN'!$E$28/1000*'Batt IN'!$G$13*('Batt IN'!$E$13/12)*'Batt IN'!$E$12,0)</f>
        <v>244.42220833333334</v>
      </c>
      <c r="AZ217" s="10">
        <f>IF('Batt IN'!$E$11="Non-Taxable",$S217*'Batt IN'!$G$15*'Batt IN'!$E$28*'Batt IN'!$E$14/1000,0)</f>
        <v>0</v>
      </c>
      <c r="BA217" s="10">
        <f>IF('Batt IN'!$E$11="Non-Taxable",'Batt IN'!$E$21*'Batt IN'!$G$21/12,0)</f>
        <v>437.5</v>
      </c>
      <c r="BB217" s="10">
        <f>IF('Batt IN'!$E$11="Non-Taxable",'Batt IN'!$E$22*'Batt IN'!$G$22/12,0)</f>
        <v>1145.8333333333335</v>
      </c>
      <c r="BC217" s="10">
        <f>IF('Batt IN'!$E$11="Taxable",Q217,0)</f>
        <v>0</v>
      </c>
      <c r="BD217" s="10">
        <f>IF('Batt IN'!$E$11="Taxable",'Batt IN'!$E$28/1000*'Batt IN'!$G$13*('Batt IN'!$E$13/12)*'Batt IN'!$E$12,0)</f>
        <v>0</v>
      </c>
      <c r="BE217" s="10">
        <f>IF('Batt IN'!$E$11="Taxable",$S217*'Batt IN'!$G$15*'Batt IN'!$E$28*'Batt IN'!$E$14/1000,0)</f>
        <v>0</v>
      </c>
      <c r="BF217" s="10">
        <f>IF('Batt IN'!$E$11="Taxable",'Batt IN'!$E$21*'Batt IN'!$G$21/12,0)</f>
        <v>0</v>
      </c>
      <c r="BG217" s="10">
        <f>IF('Batt IN'!$E$11="Taxable",'Batt IN'!$E$22*'Batt IN'!$G$22/12,0)</f>
        <v>0</v>
      </c>
      <c r="BK217" s="10">
        <f>IF('Batt IN'!$N$18="Yes",-BattLoan!H245,-BattLoan!L245)</f>
        <v>0</v>
      </c>
      <c r="BL217" s="10">
        <f>IF('Batt IN'!$N$18="Yes",-BattLoan!F245,0)</f>
        <v>0</v>
      </c>
      <c r="BM217" s="10">
        <f>IF(AND('Batt IN'!$D$44="YES",$C217&lt;='Batt IN'!$E$44*12),0,-'Batt IN'!$E$28*'Batt IN'!$E$42/12)</f>
        <v>-83.333333333333329</v>
      </c>
      <c r="BN217" s="10">
        <f>IF(AND('Batt IN'!$D$46="YES",$C217&lt;='Batt IN'!$E$46*12),0,-'Batt IN'!$E$28*'Batt IN'!$E$45/12)</f>
        <v>-166.66666666666666</v>
      </c>
      <c r="BO217" s="2">
        <f>IF(AND('Batt IN'!$D$41="YES",BattCalcs!C217=ROUNDUP('Batt IN'!$H$41*12,)),-'Batt IN'!$E$41*'Batt IN'!$E$28,0)</f>
        <v>0</v>
      </c>
      <c r="BP217" s="2">
        <f>IF(AND('Batt IN'!$D$53="Yes",$AL$1&gt;=1),0,IF($C217='Batt IN'!$H$54*12,-'Batt IN'!$F$54,0))</f>
        <v>0</v>
      </c>
      <c r="BQ217" s="2">
        <f>IF(AND('Batt IN'!$D$53="Yes",$AL$1&gt;=2),0,IF($C217='Batt IN'!$H$55*12,-'Batt IN'!$F$55,0))</f>
        <v>0</v>
      </c>
      <c r="BR217" s="2">
        <f>IF(AND('Batt IN'!$D$53="Yes",$AL$1&gt;=3),0,IF($C217='Batt IN'!$H$56*12,-'Batt IN'!$F$56,0))</f>
        <v>0</v>
      </c>
      <c r="BS217" s="2">
        <f>IF(AND('Batt IN'!$D$53="Yes",$AL$1&gt;=4),0,IF($C217='Batt IN'!$H$57*12,-'Batt IN'!$F$57,0))</f>
        <v>0</v>
      </c>
      <c r="BT217" s="2">
        <f>IF(AND('Batt IN'!$D$53="Yes",$AL$1&gt;=5),0,IF($C217='Batt IN'!$H$58*12,-'Batt IN'!$F$58,0))</f>
        <v>0</v>
      </c>
      <c r="BU217" s="2">
        <f>-AH217*PVCalcs!F217</f>
        <v>-379.65428629825368</v>
      </c>
      <c r="BV217" s="2">
        <f>-'Batt IN'!$E$47</f>
        <v>-150</v>
      </c>
      <c r="BW217" s="2">
        <f>-'Batt IN'!$E$49</f>
        <v>-2250</v>
      </c>
      <c r="BX217" s="2">
        <f>IF('Batt IN'!$H$50="No",-(BC217*'Batt IN'!$E$50),-(BC217+BE217)*'Batt IN'!$E$50)</f>
        <v>0</v>
      </c>
      <c r="BY217" s="2">
        <f>IF(C217='Batt IN'!$H$43*12,-'Batt IN'!$E$43,0)</f>
        <v>0</v>
      </c>
      <c r="BZ217" s="38"/>
      <c r="CA217" s="10">
        <f t="shared" si="51"/>
        <v>13422.323408333334</v>
      </c>
      <c r="CB217" s="2">
        <f t="shared" si="55"/>
        <v>-3029.6542862982537</v>
      </c>
      <c r="CC217" s="45">
        <f t="shared" si="56"/>
        <v>10392.66912203508</v>
      </c>
      <c r="CD217" s="43"/>
      <c r="CE217" s="2">
        <f t="shared" si="52"/>
        <v>0</v>
      </c>
      <c r="CF217" s="2">
        <f t="shared" si="57"/>
        <v>-3029.6542862982537</v>
      </c>
      <c r="CG217" s="2"/>
      <c r="CH217" s="2">
        <f t="shared" si="58"/>
        <v>-3029.6542862982537</v>
      </c>
      <c r="CI217" s="45">
        <f>-CH217*'Batt IN'!$E$7</f>
        <v>636.2274001226333</v>
      </c>
      <c r="CJ217" s="48"/>
      <c r="CK217" s="45">
        <f>IF('Batt IN'!$F$4="PV Only",0,IF(C217&gt;'Batt IN'!$H$43*12,0,CC217+CI217))</f>
        <v>0</v>
      </c>
      <c r="CM217" s="10">
        <f t="shared" si="59"/>
        <v>0</v>
      </c>
      <c r="CN217" s="2">
        <f>CK217/(1+('Batt IN'!$G$8))^(C217)</f>
        <v>0</v>
      </c>
      <c r="CO217" s="2">
        <f>IF(C217&lt;='Batt IN'!$O$30*12,CN217+CO216,NA())</f>
        <v>0</v>
      </c>
      <c r="CQ217" s="2">
        <f>CK217/((1+('Batt IN'!$E$8/12))^BattCalcs!C217)</f>
        <v>0</v>
      </c>
      <c r="CS217" s="10">
        <f t="shared" si="60"/>
        <v>-3029.6542862982537</v>
      </c>
      <c r="CT217" s="10">
        <f t="shared" si="61"/>
        <v>0</v>
      </c>
      <c r="CU217" s="10">
        <f t="shared" si="62"/>
        <v>-3029.6542862982537</v>
      </c>
      <c r="CV217" s="10">
        <f t="shared" si="63"/>
        <v>-3029.6542862982537</v>
      </c>
      <c r="CW217" s="2">
        <f t="shared" si="64"/>
        <v>0</v>
      </c>
      <c r="CX217" s="2">
        <f>-(SUM(CV217:CW217)*'PV IN'!$E$8)</f>
        <v>636.2274001226333</v>
      </c>
      <c r="CY217" s="2">
        <f t="shared" si="65"/>
        <v>-2393.4268861756204</v>
      </c>
      <c r="CZ217" s="2">
        <f>IF(C217&lt;='Batt IN'!$H$43*12,CY217/(1+('PV IN'!$G$9))^(C217),0)</f>
        <v>-1006.7232689300771</v>
      </c>
      <c r="DA217" s="33">
        <f>IF(C217&lt;='Batt IN'!$H$43*12,AE217,0)</f>
        <v>30366.783333333333</v>
      </c>
    </row>
    <row r="218" spans="1:105" x14ac:dyDescent="0.25">
      <c r="A218">
        <f>IF(C218&lt;='Batt IN'!$H$43*12,C218,"")</f>
        <v>214</v>
      </c>
      <c r="C218">
        <v>214</v>
      </c>
      <c r="D218" s="21">
        <v>730</v>
      </c>
      <c r="E218" s="1">
        <f>1-'Batt IN'!$E$31</f>
        <v>2.0000000000000018E-2</v>
      </c>
      <c r="F218" s="12">
        <f>('Batt IN'!$E$33*365)/8760</f>
        <v>0</v>
      </c>
      <c r="G218" s="22">
        <f>'Batt IN'!$E$32/8760</f>
        <v>5.7077625570776253E-3</v>
      </c>
      <c r="H218" s="22">
        <f>'Batt IN'!$E$13/8760</f>
        <v>5.5936073059360729E-3</v>
      </c>
      <c r="I218" s="23">
        <f>IF(C218&lt;='Batt IN'!$G$14*12,'Batt IN'!$E$15/8760*'Batt IN'!$G$15,0)</f>
        <v>0</v>
      </c>
      <c r="J218" s="12">
        <f>Z218/'Batt IN'!$E$27/730</f>
        <v>2.4999999999999996E-3</v>
      </c>
      <c r="K218" s="23">
        <f>AA218/'Batt IN'!$E$27/730</f>
        <v>1.6027397260273972E-3</v>
      </c>
      <c r="L218" s="23">
        <f>AB218/'Batt IN'!$E$27/730</f>
        <v>2.0547945205479451E-4</v>
      </c>
      <c r="M218" s="23">
        <f>AC218/'Batt IN'!$E$27/730</f>
        <v>4.7945205479452057E-3</v>
      </c>
      <c r="N218" s="23">
        <f>AD218/'Batt IN'!$E$27/730</f>
        <v>3.4246575342465752E-3</v>
      </c>
      <c r="O218" s="12">
        <f t="shared" si="53"/>
        <v>4.3828767123287697E-2</v>
      </c>
      <c r="P218" s="21">
        <f t="shared" si="54"/>
        <v>698.005</v>
      </c>
      <c r="Q218" s="2">
        <f>IF('Batt IN'!$E$27*'Batt IN'!$E$24&lt;='Batt IN'!$E$28,(('Batt IN'!$E$23*'Batt IN'!$E$27*'Batt IN'!$E$24)/1000)*P218,(('Batt IN'!$E$23*'Batt IN'!$E$28*'Batt IN'!$E$24)/1000)*P218)</f>
        <v>11168.08</v>
      </c>
      <c r="R218" s="2"/>
      <c r="S218" s="77">
        <f>IF(C218&lt;='Batt IN'!$G$14*12,'Batt IN'!$E$15/12,0)</f>
        <v>0</v>
      </c>
      <c r="T218" s="77"/>
      <c r="U218" s="80">
        <f>'Batt IN'!$E$28*('Batt IN'!$G$24/24)*730*(1-O218)</f>
        <v>81433.916666666657</v>
      </c>
      <c r="V218" s="78">
        <f>U218*'Batt IN'!$F$30</f>
        <v>16286.783333333333</v>
      </c>
      <c r="W218" s="78">
        <f>'Batt IN'!$E$28*'Batt IN'!$G$32*('Batt IN'!$E$32/12)*(1+'Batt IN'!$F$30)</f>
        <v>1750.0000000000002</v>
      </c>
      <c r="X218" s="78">
        <f>'Batt IN'!$E$28*'Batt IN'!$G$13*('Batt IN'!$E$13/12)*(1+'Batt IN'!$F$30)</f>
        <v>3184.9999999999995</v>
      </c>
      <c r="Y218" s="33">
        <f>S218*'Batt IN'!$G$15*'Batt IN'!$E$28*(1+'Batt IN'!$F$30)</f>
        <v>0</v>
      </c>
      <c r="Z218" s="33">
        <f>'Batt IN'!$G$16*365/12*(1+'Batt IN'!$F$30)</f>
        <v>1824.9999999999998</v>
      </c>
      <c r="AA218" s="33">
        <f>'Batt IN'!$G$17*'Batt IN'!$E$18*'Batt IN'!$G$18/12*(1+'Batt IN'!$F$30)</f>
        <v>1170</v>
      </c>
      <c r="AB218" s="33">
        <f>'Batt IN'!$G$19*'Batt IN'!$E$20*'Batt IN'!$G$20/12*(1+'Batt IN'!$F$30)</f>
        <v>150</v>
      </c>
      <c r="AC218" s="33">
        <f>'Batt IN'!$G$21*(1+'Batt IN'!$F$30)/12</f>
        <v>3500</v>
      </c>
      <c r="AD218" s="33">
        <f>'Batt IN'!$G$22*(1+'Batt IN'!$F$30)/12</f>
        <v>2500</v>
      </c>
      <c r="AE218" s="33">
        <f t="shared" si="66"/>
        <v>30366.783333333333</v>
      </c>
      <c r="AF218" s="33">
        <f>IF('PV IN'!$F$4="Battery Only",0,AE218*'Batt IN'!$E$29)</f>
        <v>25811.765833333331</v>
      </c>
      <c r="AG218" s="33">
        <f>PVCalcs!L218</f>
        <v>25811.765833333331</v>
      </c>
      <c r="AH218" s="33">
        <f t="shared" si="67"/>
        <v>4555.0175000000017</v>
      </c>
      <c r="AI218" s="33"/>
      <c r="AJ218" s="2">
        <f>IF(AND('Batt IN'!$D$53="Yes",$AL$1&gt;=1),IF($C218='Batt IN'!$H$54*12,-'Batt IN'!$F$54,0),0)</f>
        <v>0</v>
      </c>
      <c r="AK218" s="2">
        <f>IF(AND('Batt IN'!$D$53="Yes",$AL$1&gt;=2),IF($C218='Batt IN'!$H$55*12,-'Batt IN'!$F$55,0),0)</f>
        <v>0</v>
      </c>
      <c r="AL218" s="2">
        <f>IF(AND('Batt IN'!$D$53="Yes",$AL$1&gt;=3),IF($C218='Batt IN'!$H$56*12,-'Batt IN'!$F$56,0),0)</f>
        <v>0</v>
      </c>
      <c r="AM218" s="2">
        <f>IF(AND('Batt IN'!$D$53="Yes",$AL$1&gt;=4),IF($C218='Batt IN'!$H$57*12,-'Batt IN'!$F$57,0),0)</f>
        <v>0</v>
      </c>
      <c r="AN218" s="2">
        <f>IF(AND('Batt IN'!$D$53="Yes",$AL$1&gt;=5),IF($C218='Batt IN'!$H$58*12,-'Batt IN'!$F$58,0),0)</f>
        <v>0</v>
      </c>
      <c r="AO218" s="10">
        <f>IF(AND('Batt IN'!$D$44="YES",$C218&lt;='Batt IN'!$E$44*12),-'Batt IN'!$E$28*'Batt IN'!$E$42/12,0)</f>
        <v>0</v>
      </c>
      <c r="AP218" s="10">
        <f>IF(AND('Batt IN'!$D$46="YES",$C218&lt;='Batt IN'!$E$46*12),-'Batt IN'!$E$28*'Batt IN'!$E$45/12,0)</f>
        <v>0</v>
      </c>
      <c r="AR218" s="10">
        <f>BattLoan!M245</f>
        <v>0</v>
      </c>
      <c r="AS218" s="10">
        <f>'Batt IN'!$G$16*365/12*'Batt IN'!$E$16</f>
        <v>76.041666666666671</v>
      </c>
      <c r="AT218" s="10">
        <f>IF(AND('Batt IN'!$E$18&gt;0,'Batt IN'!$G$18&gt;0),'Batt IN'!$E$17*'Batt IN'!$G$17,0)</f>
        <v>119.44619999999999</v>
      </c>
      <c r="AU218" s="10">
        <f>IF(AND('Batt IN'!$E$20&gt;0,'Batt IN'!$G$20&gt;0),'Batt IN'!$E$19*'Batt IN'!$G$19,0)</f>
        <v>231</v>
      </c>
      <c r="AV218" s="10"/>
      <c r="AW218" s="10"/>
      <c r="AX218" s="10">
        <f>IF('Batt IN'!$E$11="Non-Taxable",Q218,0)</f>
        <v>11168.08</v>
      </c>
      <c r="AY218" s="10">
        <f>IF('Batt IN'!$E$11="Non-Taxable",'Batt IN'!$E$28/1000*'Batt IN'!$G$13*('Batt IN'!$E$13/12)*'Batt IN'!$E$12,0)</f>
        <v>244.42220833333334</v>
      </c>
      <c r="AZ218" s="10">
        <f>IF('Batt IN'!$E$11="Non-Taxable",$S218*'Batt IN'!$G$15*'Batt IN'!$E$28*'Batt IN'!$E$14/1000,0)</f>
        <v>0</v>
      </c>
      <c r="BA218" s="10">
        <f>IF('Batt IN'!$E$11="Non-Taxable",'Batt IN'!$E$21*'Batt IN'!$G$21/12,0)</f>
        <v>437.5</v>
      </c>
      <c r="BB218" s="10">
        <f>IF('Batt IN'!$E$11="Non-Taxable",'Batt IN'!$E$22*'Batt IN'!$G$22/12,0)</f>
        <v>1145.8333333333335</v>
      </c>
      <c r="BC218" s="10">
        <f>IF('Batt IN'!$E$11="Taxable",Q218,0)</f>
        <v>0</v>
      </c>
      <c r="BD218" s="10">
        <f>IF('Batt IN'!$E$11="Taxable",'Batt IN'!$E$28/1000*'Batt IN'!$G$13*('Batt IN'!$E$13/12)*'Batt IN'!$E$12,0)</f>
        <v>0</v>
      </c>
      <c r="BE218" s="10">
        <f>IF('Batt IN'!$E$11="Taxable",$S218*'Batt IN'!$G$15*'Batt IN'!$E$28*'Batt IN'!$E$14/1000,0)</f>
        <v>0</v>
      </c>
      <c r="BF218" s="10">
        <f>IF('Batt IN'!$E$11="Taxable",'Batt IN'!$E$21*'Batt IN'!$G$21/12,0)</f>
        <v>0</v>
      </c>
      <c r="BG218" s="10">
        <f>IF('Batt IN'!$E$11="Taxable",'Batt IN'!$E$22*'Batt IN'!$G$22/12,0)</f>
        <v>0</v>
      </c>
      <c r="BK218" s="10">
        <f>IF('Batt IN'!$N$18="Yes",-BattLoan!H246,-BattLoan!L246)</f>
        <v>0</v>
      </c>
      <c r="BL218" s="10">
        <f>IF('Batt IN'!$N$18="Yes",-BattLoan!F246,0)</f>
        <v>0</v>
      </c>
      <c r="BM218" s="10">
        <f>IF(AND('Batt IN'!$D$44="YES",$C218&lt;='Batt IN'!$E$44*12),0,-'Batt IN'!$E$28*'Batt IN'!$E$42/12)</f>
        <v>-83.333333333333329</v>
      </c>
      <c r="BN218" s="10">
        <f>IF(AND('Batt IN'!$D$46="YES",$C218&lt;='Batt IN'!$E$46*12),0,-'Batt IN'!$E$28*'Batt IN'!$E$45/12)</f>
        <v>-166.66666666666666</v>
      </c>
      <c r="BO218" s="2">
        <f>IF(AND('Batt IN'!$D$41="YES",BattCalcs!C218=ROUNDUP('Batt IN'!$H$41*12,)),-'Batt IN'!$E$41*'Batt IN'!$E$28,0)</f>
        <v>0</v>
      </c>
      <c r="BP218" s="2">
        <f>IF(AND('Batt IN'!$D$53="Yes",$AL$1&gt;=1),0,IF($C218='Batt IN'!$H$54*12,-'Batt IN'!$F$54,0))</f>
        <v>0</v>
      </c>
      <c r="BQ218" s="2">
        <f>IF(AND('Batt IN'!$D$53="Yes",$AL$1&gt;=2),0,IF($C218='Batt IN'!$H$55*12,-'Batt IN'!$F$55,0))</f>
        <v>0</v>
      </c>
      <c r="BR218" s="2">
        <f>IF(AND('Batt IN'!$D$53="Yes",$AL$1&gt;=3),0,IF($C218='Batt IN'!$H$56*12,-'Batt IN'!$F$56,0))</f>
        <v>0</v>
      </c>
      <c r="BS218" s="2">
        <f>IF(AND('Batt IN'!$D$53="Yes",$AL$1&gt;=4),0,IF($C218='Batt IN'!$H$57*12,-'Batt IN'!$F$57,0))</f>
        <v>0</v>
      </c>
      <c r="BT218" s="2">
        <f>IF(AND('Batt IN'!$D$53="Yes",$AL$1&gt;=5),0,IF($C218='Batt IN'!$H$58*12,-'Batt IN'!$F$58,0))</f>
        <v>0</v>
      </c>
      <c r="BU218" s="2">
        <f>-AH218*PVCalcs!F218</f>
        <v>-379.65428629825368</v>
      </c>
      <c r="BV218" s="2">
        <f>-'Batt IN'!$E$47</f>
        <v>-150</v>
      </c>
      <c r="BW218" s="2">
        <f>-'Batt IN'!$E$49</f>
        <v>-2250</v>
      </c>
      <c r="BX218" s="2">
        <f>IF('Batt IN'!$H$50="No",-(BC218*'Batt IN'!$E$50),-(BC218+BE218)*'Batt IN'!$E$50)</f>
        <v>0</v>
      </c>
      <c r="BY218" s="2">
        <f>IF(C218='Batt IN'!$H$43*12,-'Batt IN'!$E$43,0)</f>
        <v>0</v>
      </c>
      <c r="BZ218" s="38"/>
      <c r="CA218" s="10">
        <f t="shared" si="51"/>
        <v>13422.323408333334</v>
      </c>
      <c r="CB218" s="2">
        <f t="shared" si="55"/>
        <v>-3029.6542862982537</v>
      </c>
      <c r="CC218" s="45">
        <f t="shared" si="56"/>
        <v>10392.66912203508</v>
      </c>
      <c r="CD218" s="43"/>
      <c r="CE218" s="2">
        <f t="shared" si="52"/>
        <v>0</v>
      </c>
      <c r="CF218" s="2">
        <f t="shared" si="57"/>
        <v>-3029.6542862982537</v>
      </c>
      <c r="CG218" s="2"/>
      <c r="CH218" s="2">
        <f t="shared" si="58"/>
        <v>-3029.6542862982537</v>
      </c>
      <c r="CI218" s="45">
        <f>-CH218*'Batt IN'!$E$7</f>
        <v>636.2274001226333</v>
      </c>
      <c r="CJ218" s="48"/>
      <c r="CK218" s="45">
        <f>IF('Batt IN'!$F$4="PV Only",0,IF(C218&gt;'Batt IN'!$H$43*12,0,CC218+CI218))</f>
        <v>0</v>
      </c>
      <c r="CM218" s="10">
        <f t="shared" si="59"/>
        <v>0</v>
      </c>
      <c r="CN218" s="2">
        <f>CK218/(1+('Batt IN'!$G$8))^(C218)</f>
        <v>0</v>
      </c>
      <c r="CO218" s="2">
        <f>IF(C218&lt;='Batt IN'!$O$30*12,CN218+CO217,NA())</f>
        <v>0</v>
      </c>
      <c r="CQ218" s="2">
        <f>CK218/((1+('Batt IN'!$E$8/12))^BattCalcs!C218)</f>
        <v>0</v>
      </c>
      <c r="CS218" s="10">
        <f t="shared" si="60"/>
        <v>-3029.6542862982537</v>
      </c>
      <c r="CT218" s="10">
        <f t="shared" si="61"/>
        <v>0</v>
      </c>
      <c r="CU218" s="10">
        <f t="shared" si="62"/>
        <v>-3029.6542862982537</v>
      </c>
      <c r="CV218" s="10">
        <f t="shared" si="63"/>
        <v>-3029.6542862982537</v>
      </c>
      <c r="CW218" s="2">
        <f t="shared" si="64"/>
        <v>0</v>
      </c>
      <c r="CX218" s="2">
        <f>-(SUM(CV218:CW218)*'PV IN'!$E$8)</f>
        <v>636.2274001226333</v>
      </c>
      <c r="CY218" s="2">
        <f t="shared" si="65"/>
        <v>-2393.4268861756204</v>
      </c>
      <c r="CZ218" s="2">
        <f>IF(C218&lt;='Batt IN'!$H$43*12,CY218/(1+('PV IN'!$G$9))^(C218),0)</f>
        <v>-1002.6383959945566</v>
      </c>
      <c r="DA218" s="33">
        <f>IF(C218&lt;='Batt IN'!$H$43*12,AE218,0)</f>
        <v>30366.783333333333</v>
      </c>
    </row>
    <row r="219" spans="1:105" x14ac:dyDescent="0.25">
      <c r="A219">
        <f>IF(C219&lt;='Batt IN'!$H$43*12,C219,"")</f>
        <v>215</v>
      </c>
      <c r="C219">
        <v>215</v>
      </c>
      <c r="D219" s="21">
        <v>730</v>
      </c>
      <c r="E219" s="1">
        <f>1-'Batt IN'!$E$31</f>
        <v>2.0000000000000018E-2</v>
      </c>
      <c r="F219" s="12">
        <f>('Batt IN'!$E$33*365)/8760</f>
        <v>0</v>
      </c>
      <c r="G219" s="22">
        <f>'Batt IN'!$E$32/8760</f>
        <v>5.7077625570776253E-3</v>
      </c>
      <c r="H219" s="22">
        <f>'Batt IN'!$E$13/8760</f>
        <v>5.5936073059360729E-3</v>
      </c>
      <c r="I219" s="23">
        <f>IF(C219&lt;='Batt IN'!$G$14*12,'Batt IN'!$E$15/8760*'Batt IN'!$G$15,0)</f>
        <v>0</v>
      </c>
      <c r="J219" s="12">
        <f>Z219/'Batt IN'!$E$27/730</f>
        <v>2.4999999999999996E-3</v>
      </c>
      <c r="K219" s="23">
        <f>AA219/'Batt IN'!$E$27/730</f>
        <v>1.6027397260273972E-3</v>
      </c>
      <c r="L219" s="23">
        <f>AB219/'Batt IN'!$E$27/730</f>
        <v>2.0547945205479451E-4</v>
      </c>
      <c r="M219" s="23">
        <f>AC219/'Batt IN'!$E$27/730</f>
        <v>4.7945205479452057E-3</v>
      </c>
      <c r="N219" s="23">
        <f>AD219/'Batt IN'!$E$27/730</f>
        <v>3.4246575342465752E-3</v>
      </c>
      <c r="O219" s="12">
        <f t="shared" si="53"/>
        <v>4.3828767123287697E-2</v>
      </c>
      <c r="P219" s="21">
        <f t="shared" si="54"/>
        <v>698.005</v>
      </c>
      <c r="Q219" s="2">
        <f>IF('Batt IN'!$E$27*'Batt IN'!$E$24&lt;='Batt IN'!$E$28,(('Batt IN'!$E$23*'Batt IN'!$E$27*'Batt IN'!$E$24)/1000)*P219,(('Batt IN'!$E$23*'Batt IN'!$E$28*'Batt IN'!$E$24)/1000)*P219)</f>
        <v>11168.08</v>
      </c>
      <c r="R219" s="2"/>
      <c r="S219" s="77">
        <f>IF(C219&lt;='Batt IN'!$G$14*12,'Batt IN'!$E$15/12,0)</f>
        <v>0</v>
      </c>
      <c r="T219" s="77"/>
      <c r="U219" s="80">
        <f>'Batt IN'!$E$28*('Batt IN'!$G$24/24)*730*(1-O219)</f>
        <v>81433.916666666657</v>
      </c>
      <c r="V219" s="78">
        <f>U219*'Batt IN'!$F$30</f>
        <v>16286.783333333333</v>
      </c>
      <c r="W219" s="78">
        <f>'Batt IN'!$E$28*'Batt IN'!$G$32*('Batt IN'!$E$32/12)*(1+'Batt IN'!$F$30)</f>
        <v>1750.0000000000002</v>
      </c>
      <c r="X219" s="78">
        <f>'Batt IN'!$E$28*'Batt IN'!$G$13*('Batt IN'!$E$13/12)*(1+'Batt IN'!$F$30)</f>
        <v>3184.9999999999995</v>
      </c>
      <c r="Y219" s="33">
        <f>S219*'Batt IN'!$G$15*'Batt IN'!$E$28*(1+'Batt IN'!$F$30)</f>
        <v>0</v>
      </c>
      <c r="Z219" s="33">
        <f>'Batt IN'!$G$16*365/12*(1+'Batt IN'!$F$30)</f>
        <v>1824.9999999999998</v>
      </c>
      <c r="AA219" s="33">
        <f>'Batt IN'!$G$17*'Batt IN'!$E$18*'Batt IN'!$G$18/12*(1+'Batt IN'!$F$30)</f>
        <v>1170</v>
      </c>
      <c r="AB219" s="33">
        <f>'Batt IN'!$G$19*'Batt IN'!$E$20*'Batt IN'!$G$20/12*(1+'Batt IN'!$F$30)</f>
        <v>150</v>
      </c>
      <c r="AC219" s="33">
        <f>'Batt IN'!$G$21*(1+'Batt IN'!$F$30)/12</f>
        <v>3500</v>
      </c>
      <c r="AD219" s="33">
        <f>'Batt IN'!$G$22*(1+'Batt IN'!$F$30)/12</f>
        <v>2500</v>
      </c>
      <c r="AE219" s="33">
        <f t="shared" si="66"/>
        <v>30366.783333333333</v>
      </c>
      <c r="AF219" s="33">
        <f>IF('PV IN'!$F$4="Battery Only",0,AE219*'Batt IN'!$E$29)</f>
        <v>25811.765833333331</v>
      </c>
      <c r="AG219" s="33">
        <f>PVCalcs!L219</f>
        <v>25811.765833333331</v>
      </c>
      <c r="AH219" s="33">
        <f t="shared" si="67"/>
        <v>4555.0175000000017</v>
      </c>
      <c r="AI219" s="33"/>
      <c r="AJ219" s="2">
        <f>IF(AND('Batt IN'!$D$53="Yes",$AL$1&gt;=1),IF($C219='Batt IN'!$H$54*12,-'Batt IN'!$F$54,0),0)</f>
        <v>0</v>
      </c>
      <c r="AK219" s="2">
        <f>IF(AND('Batt IN'!$D$53="Yes",$AL$1&gt;=2),IF($C219='Batt IN'!$H$55*12,-'Batt IN'!$F$55,0),0)</f>
        <v>0</v>
      </c>
      <c r="AL219" s="2">
        <f>IF(AND('Batt IN'!$D$53="Yes",$AL$1&gt;=3),IF($C219='Batt IN'!$H$56*12,-'Batt IN'!$F$56,0),0)</f>
        <v>0</v>
      </c>
      <c r="AM219" s="2">
        <f>IF(AND('Batt IN'!$D$53="Yes",$AL$1&gt;=4),IF($C219='Batt IN'!$H$57*12,-'Batt IN'!$F$57,0),0)</f>
        <v>0</v>
      </c>
      <c r="AN219" s="2">
        <f>IF(AND('Batt IN'!$D$53="Yes",$AL$1&gt;=5),IF($C219='Batt IN'!$H$58*12,-'Batt IN'!$F$58,0),0)</f>
        <v>0</v>
      </c>
      <c r="AO219" s="10">
        <f>IF(AND('Batt IN'!$D$44="YES",$C219&lt;='Batt IN'!$E$44*12),-'Batt IN'!$E$28*'Batt IN'!$E$42/12,0)</f>
        <v>0</v>
      </c>
      <c r="AP219" s="10">
        <f>IF(AND('Batt IN'!$D$46="YES",$C219&lt;='Batt IN'!$E$46*12),-'Batt IN'!$E$28*'Batt IN'!$E$45/12,0)</f>
        <v>0</v>
      </c>
      <c r="AR219" s="10">
        <f>BattLoan!M246</f>
        <v>0</v>
      </c>
      <c r="AS219" s="10">
        <f>'Batt IN'!$G$16*365/12*'Batt IN'!$E$16</f>
        <v>76.041666666666671</v>
      </c>
      <c r="AT219" s="10">
        <f>IF(AND('Batt IN'!$E$18&gt;0,'Batt IN'!$G$18&gt;0),'Batt IN'!$E$17*'Batt IN'!$G$17,0)</f>
        <v>119.44619999999999</v>
      </c>
      <c r="AU219" s="10">
        <f>IF(AND('Batt IN'!$E$20&gt;0,'Batt IN'!$G$20&gt;0),'Batt IN'!$E$19*'Batt IN'!$G$19,0)</f>
        <v>231</v>
      </c>
      <c r="AV219" s="10"/>
      <c r="AW219" s="10"/>
      <c r="AX219" s="10">
        <f>IF('Batt IN'!$E$11="Non-Taxable",Q219,0)</f>
        <v>11168.08</v>
      </c>
      <c r="AY219" s="10">
        <f>IF('Batt IN'!$E$11="Non-Taxable",'Batt IN'!$E$28/1000*'Batt IN'!$G$13*('Batt IN'!$E$13/12)*'Batt IN'!$E$12,0)</f>
        <v>244.42220833333334</v>
      </c>
      <c r="AZ219" s="10">
        <f>IF('Batt IN'!$E$11="Non-Taxable",$S219*'Batt IN'!$G$15*'Batt IN'!$E$28*'Batt IN'!$E$14/1000,0)</f>
        <v>0</v>
      </c>
      <c r="BA219" s="10">
        <f>IF('Batt IN'!$E$11="Non-Taxable",'Batt IN'!$E$21*'Batt IN'!$G$21/12,0)</f>
        <v>437.5</v>
      </c>
      <c r="BB219" s="10">
        <f>IF('Batt IN'!$E$11="Non-Taxable",'Batt IN'!$E$22*'Batt IN'!$G$22/12,0)</f>
        <v>1145.8333333333335</v>
      </c>
      <c r="BC219" s="10">
        <f>IF('Batt IN'!$E$11="Taxable",Q219,0)</f>
        <v>0</v>
      </c>
      <c r="BD219" s="10">
        <f>IF('Batt IN'!$E$11="Taxable",'Batt IN'!$E$28/1000*'Batt IN'!$G$13*('Batt IN'!$E$13/12)*'Batt IN'!$E$12,0)</f>
        <v>0</v>
      </c>
      <c r="BE219" s="10">
        <f>IF('Batt IN'!$E$11="Taxable",$S219*'Batt IN'!$G$15*'Batt IN'!$E$28*'Batt IN'!$E$14/1000,0)</f>
        <v>0</v>
      </c>
      <c r="BF219" s="10">
        <f>IF('Batt IN'!$E$11="Taxable",'Batt IN'!$E$21*'Batt IN'!$G$21/12,0)</f>
        <v>0</v>
      </c>
      <c r="BG219" s="10">
        <f>IF('Batt IN'!$E$11="Taxable",'Batt IN'!$E$22*'Batt IN'!$G$22/12,0)</f>
        <v>0</v>
      </c>
      <c r="BK219" s="10">
        <f>IF('Batt IN'!$N$18="Yes",-BattLoan!H247,-BattLoan!L247)</f>
        <v>0</v>
      </c>
      <c r="BL219" s="10">
        <f>IF('Batt IN'!$N$18="Yes",-BattLoan!F247,0)</f>
        <v>0</v>
      </c>
      <c r="BM219" s="10">
        <f>IF(AND('Batt IN'!$D$44="YES",$C219&lt;='Batt IN'!$E$44*12),0,-'Batt IN'!$E$28*'Batt IN'!$E$42/12)</f>
        <v>-83.333333333333329</v>
      </c>
      <c r="BN219" s="10">
        <f>IF(AND('Batt IN'!$D$46="YES",$C219&lt;='Batt IN'!$E$46*12),0,-'Batt IN'!$E$28*'Batt IN'!$E$45/12)</f>
        <v>-166.66666666666666</v>
      </c>
      <c r="BO219" s="2">
        <f>IF(AND('Batt IN'!$D$41="YES",BattCalcs!C219=ROUNDUP('Batt IN'!$H$41*12,)),-'Batt IN'!$E$41*'Batt IN'!$E$28,0)</f>
        <v>0</v>
      </c>
      <c r="BP219" s="2">
        <f>IF(AND('Batt IN'!$D$53="Yes",$AL$1&gt;=1),0,IF($C219='Batt IN'!$H$54*12,-'Batt IN'!$F$54,0))</f>
        <v>0</v>
      </c>
      <c r="BQ219" s="2">
        <f>IF(AND('Batt IN'!$D$53="Yes",$AL$1&gt;=2),0,IF($C219='Batt IN'!$H$55*12,-'Batt IN'!$F$55,0))</f>
        <v>0</v>
      </c>
      <c r="BR219" s="2">
        <f>IF(AND('Batt IN'!$D$53="Yes",$AL$1&gt;=3),0,IF($C219='Batt IN'!$H$56*12,-'Batt IN'!$F$56,0))</f>
        <v>0</v>
      </c>
      <c r="BS219" s="2">
        <f>IF(AND('Batt IN'!$D$53="Yes",$AL$1&gt;=4),0,IF($C219='Batt IN'!$H$57*12,-'Batt IN'!$F$57,0))</f>
        <v>0</v>
      </c>
      <c r="BT219" s="2">
        <f>IF(AND('Batt IN'!$D$53="Yes",$AL$1&gt;=5),0,IF($C219='Batt IN'!$H$58*12,-'Batt IN'!$F$58,0))</f>
        <v>0</v>
      </c>
      <c r="BU219" s="2">
        <f>-AH219*PVCalcs!F219</f>
        <v>-379.65428629825368</v>
      </c>
      <c r="BV219" s="2">
        <f>-'Batt IN'!$E$47</f>
        <v>-150</v>
      </c>
      <c r="BW219" s="2">
        <f>-'Batt IN'!$E$49</f>
        <v>-2250</v>
      </c>
      <c r="BX219" s="2">
        <f>IF('Batt IN'!$H$50="No",-(BC219*'Batt IN'!$E$50),-(BC219+BE219)*'Batt IN'!$E$50)</f>
        <v>0</v>
      </c>
      <c r="BY219" s="2">
        <f>IF(C219='Batt IN'!$H$43*12,-'Batt IN'!$E$43,0)</f>
        <v>0</v>
      </c>
      <c r="BZ219" s="38"/>
      <c r="CA219" s="10">
        <f t="shared" si="51"/>
        <v>13422.323408333334</v>
      </c>
      <c r="CB219" s="2">
        <f t="shared" si="55"/>
        <v>-3029.6542862982537</v>
      </c>
      <c r="CC219" s="45">
        <f t="shared" si="56"/>
        <v>10392.66912203508</v>
      </c>
      <c r="CD219" s="43"/>
      <c r="CE219" s="2">
        <f t="shared" si="52"/>
        <v>0</v>
      </c>
      <c r="CF219" s="2">
        <f t="shared" si="57"/>
        <v>-3029.6542862982537</v>
      </c>
      <c r="CG219" s="2"/>
      <c r="CH219" s="2">
        <f t="shared" si="58"/>
        <v>-3029.6542862982537</v>
      </c>
      <c r="CI219" s="45">
        <f>-CH219*'Batt IN'!$E$7</f>
        <v>636.2274001226333</v>
      </c>
      <c r="CJ219" s="48"/>
      <c r="CK219" s="45">
        <f>IF('Batt IN'!$F$4="PV Only",0,IF(C219&gt;'Batt IN'!$H$43*12,0,CC219+CI219))</f>
        <v>0</v>
      </c>
      <c r="CM219" s="10">
        <f t="shared" si="59"/>
        <v>0</v>
      </c>
      <c r="CN219" s="2">
        <f>CK219/(1+('Batt IN'!$G$8))^(C219)</f>
        <v>0</v>
      </c>
      <c r="CO219" s="2">
        <f>IF(C219&lt;='Batt IN'!$O$30*12,CN219+CO218,NA())</f>
        <v>0</v>
      </c>
      <c r="CQ219" s="2">
        <f>CK219/((1+('Batt IN'!$E$8/12))^BattCalcs!C219)</f>
        <v>0</v>
      </c>
      <c r="CS219" s="10">
        <f t="shared" si="60"/>
        <v>-3029.6542862982537</v>
      </c>
      <c r="CT219" s="10">
        <f t="shared" si="61"/>
        <v>0</v>
      </c>
      <c r="CU219" s="10">
        <f t="shared" si="62"/>
        <v>-3029.6542862982537</v>
      </c>
      <c r="CV219" s="10">
        <f t="shared" si="63"/>
        <v>-3029.6542862982537</v>
      </c>
      <c r="CW219" s="2">
        <f t="shared" si="64"/>
        <v>0</v>
      </c>
      <c r="CX219" s="2">
        <f>-(SUM(CV219:CW219)*'PV IN'!$E$8)</f>
        <v>636.2274001226333</v>
      </c>
      <c r="CY219" s="2">
        <f t="shared" si="65"/>
        <v>-2393.4268861756204</v>
      </c>
      <c r="CZ219" s="2">
        <f>IF(C219&lt;='Batt IN'!$H$43*12,CY219/(1+('PV IN'!$G$9))^(C219),0)</f>
        <v>-998.57009780943122</v>
      </c>
      <c r="DA219" s="33">
        <f>IF(C219&lt;='Batt IN'!$H$43*12,AE219,0)</f>
        <v>30366.783333333333</v>
      </c>
    </row>
    <row r="220" spans="1:105" x14ac:dyDescent="0.25">
      <c r="A220">
        <f>IF(C220&lt;='Batt IN'!$H$43*12,C220,"")</f>
        <v>216</v>
      </c>
      <c r="B220">
        <v>18</v>
      </c>
      <c r="C220">
        <v>216</v>
      </c>
      <c r="D220" s="21">
        <v>730</v>
      </c>
      <c r="E220" s="1">
        <f>1-'Batt IN'!$E$31</f>
        <v>2.0000000000000018E-2</v>
      </c>
      <c r="F220" s="12">
        <f>('Batt IN'!$E$33*365)/8760</f>
        <v>0</v>
      </c>
      <c r="G220" s="22">
        <f>'Batt IN'!$E$32/8760</f>
        <v>5.7077625570776253E-3</v>
      </c>
      <c r="H220" s="22">
        <f>'Batt IN'!$E$13/8760</f>
        <v>5.5936073059360729E-3</v>
      </c>
      <c r="I220" s="23">
        <f>IF(C220&lt;='Batt IN'!$G$14*12,'Batt IN'!$E$15/8760*'Batt IN'!$G$15,0)</f>
        <v>0</v>
      </c>
      <c r="J220" s="12">
        <f>Z220/'Batt IN'!$E$27/730</f>
        <v>2.4999999999999996E-3</v>
      </c>
      <c r="K220" s="23">
        <f>AA220/'Batt IN'!$E$27/730</f>
        <v>1.6027397260273972E-3</v>
      </c>
      <c r="L220" s="23">
        <f>AB220/'Batt IN'!$E$27/730</f>
        <v>2.0547945205479451E-4</v>
      </c>
      <c r="M220" s="23">
        <f>AC220/'Batt IN'!$E$27/730</f>
        <v>4.7945205479452057E-3</v>
      </c>
      <c r="N220" s="23">
        <f>AD220/'Batt IN'!$E$27/730</f>
        <v>3.4246575342465752E-3</v>
      </c>
      <c r="O220" s="12">
        <f t="shared" si="53"/>
        <v>4.3828767123287697E-2</v>
      </c>
      <c r="P220" s="21">
        <f t="shared" si="54"/>
        <v>698.005</v>
      </c>
      <c r="Q220" s="2">
        <f>IF('Batt IN'!$E$27*'Batt IN'!$E$24&lt;='Batt IN'!$E$28,(('Batt IN'!$E$23*'Batt IN'!$E$27*'Batt IN'!$E$24)/1000)*P220,(('Batt IN'!$E$23*'Batt IN'!$E$28*'Batt IN'!$E$24)/1000)*P220)</f>
        <v>11168.08</v>
      </c>
      <c r="R220" s="2"/>
      <c r="S220" s="77">
        <f>IF(C220&lt;='Batt IN'!$G$14*12,'Batt IN'!$E$15/12,0)</f>
        <v>0</v>
      </c>
      <c r="T220" s="77"/>
      <c r="U220" s="80">
        <f>'Batt IN'!$E$28*('Batt IN'!$G$24/24)*730*(1-O220)</f>
        <v>81433.916666666657</v>
      </c>
      <c r="V220" s="78">
        <f>U220*'Batt IN'!$F$30</f>
        <v>16286.783333333333</v>
      </c>
      <c r="W220" s="78">
        <f>'Batt IN'!$E$28*'Batt IN'!$G$32*('Batt IN'!$E$32/12)*(1+'Batt IN'!$F$30)</f>
        <v>1750.0000000000002</v>
      </c>
      <c r="X220" s="78">
        <f>'Batt IN'!$E$28*'Batt IN'!$G$13*('Batt IN'!$E$13/12)*(1+'Batt IN'!$F$30)</f>
        <v>3184.9999999999995</v>
      </c>
      <c r="Y220" s="33">
        <f>S220*'Batt IN'!$G$15*'Batt IN'!$E$28*(1+'Batt IN'!$F$30)</f>
        <v>0</v>
      </c>
      <c r="Z220" s="33">
        <f>'Batt IN'!$G$16*365/12*(1+'Batt IN'!$F$30)</f>
        <v>1824.9999999999998</v>
      </c>
      <c r="AA220" s="33">
        <f>'Batt IN'!$G$17*'Batt IN'!$E$18*'Batt IN'!$G$18/12*(1+'Batt IN'!$F$30)</f>
        <v>1170</v>
      </c>
      <c r="AB220" s="33">
        <f>'Batt IN'!$G$19*'Batt IN'!$E$20*'Batt IN'!$G$20/12*(1+'Batt IN'!$F$30)</f>
        <v>150</v>
      </c>
      <c r="AC220" s="33">
        <f>'Batt IN'!$G$21*(1+'Batt IN'!$F$30)/12</f>
        <v>3500</v>
      </c>
      <c r="AD220" s="33">
        <f>'Batt IN'!$G$22*(1+'Batt IN'!$F$30)/12</f>
        <v>2500</v>
      </c>
      <c r="AE220" s="33">
        <f t="shared" si="66"/>
        <v>30366.783333333333</v>
      </c>
      <c r="AF220" s="33">
        <f>IF('PV IN'!$F$4="Battery Only",0,AE220*'Batt IN'!$E$29)</f>
        <v>25811.765833333331</v>
      </c>
      <c r="AG220" s="33">
        <f>PVCalcs!L220</f>
        <v>25811.765833333331</v>
      </c>
      <c r="AH220" s="33">
        <f t="shared" si="67"/>
        <v>4555.0175000000017</v>
      </c>
      <c r="AI220" s="33"/>
      <c r="AJ220" s="2">
        <f>IF(AND('Batt IN'!$D$53="Yes",$AL$1&gt;=1),IF($C220='Batt IN'!$H$54*12,-'Batt IN'!$F$54,0),0)</f>
        <v>0</v>
      </c>
      <c r="AK220" s="2">
        <f>IF(AND('Batt IN'!$D$53="Yes",$AL$1&gt;=2),IF($C220='Batt IN'!$H$55*12,-'Batt IN'!$F$55,0),0)</f>
        <v>0</v>
      </c>
      <c r="AL220" s="2">
        <f>IF(AND('Batt IN'!$D$53="Yes",$AL$1&gt;=3),IF($C220='Batt IN'!$H$56*12,-'Batt IN'!$F$56,0),0)</f>
        <v>0</v>
      </c>
      <c r="AM220" s="2">
        <f>IF(AND('Batt IN'!$D$53="Yes",$AL$1&gt;=4),IF($C220='Batt IN'!$H$57*12,-'Batt IN'!$F$57,0),0)</f>
        <v>0</v>
      </c>
      <c r="AN220" s="2">
        <f>IF(AND('Batt IN'!$D$53="Yes",$AL$1&gt;=5),IF($C220='Batt IN'!$H$58*12,-'Batt IN'!$F$58,0),0)</f>
        <v>0</v>
      </c>
      <c r="AO220" s="10">
        <f>IF(AND('Batt IN'!$D$44="YES",$C220&lt;='Batt IN'!$E$44*12),-'Batt IN'!$E$28*'Batt IN'!$E$42/12,0)</f>
        <v>0</v>
      </c>
      <c r="AP220" s="10">
        <f>IF(AND('Batt IN'!$D$46="YES",$C220&lt;='Batt IN'!$E$46*12),-'Batt IN'!$E$28*'Batt IN'!$E$45/12,0)</f>
        <v>0</v>
      </c>
      <c r="AR220" s="10">
        <f>BattLoan!M247</f>
        <v>0</v>
      </c>
      <c r="AS220" s="10">
        <f>'Batt IN'!$G$16*365/12*'Batt IN'!$E$16</f>
        <v>76.041666666666671</v>
      </c>
      <c r="AT220" s="10">
        <f>IF(AND('Batt IN'!$E$18&gt;0,'Batt IN'!$G$18&gt;0),'Batt IN'!$E$17*'Batt IN'!$G$17,0)</f>
        <v>119.44619999999999</v>
      </c>
      <c r="AU220" s="10">
        <f>IF(AND('Batt IN'!$E$20&gt;0,'Batt IN'!$G$20&gt;0),'Batt IN'!$E$19*'Batt IN'!$G$19,0)</f>
        <v>231</v>
      </c>
      <c r="AV220" s="10"/>
      <c r="AW220" s="10"/>
      <c r="AX220" s="10">
        <f>IF('Batt IN'!$E$11="Non-Taxable",Q220,0)</f>
        <v>11168.08</v>
      </c>
      <c r="AY220" s="10">
        <f>IF('Batt IN'!$E$11="Non-Taxable",'Batt IN'!$E$28/1000*'Batt IN'!$G$13*('Batt IN'!$E$13/12)*'Batt IN'!$E$12,0)</f>
        <v>244.42220833333334</v>
      </c>
      <c r="AZ220" s="10">
        <f>IF('Batt IN'!$E$11="Non-Taxable",$S220*'Batt IN'!$G$15*'Batt IN'!$E$28*'Batt IN'!$E$14/1000,0)</f>
        <v>0</v>
      </c>
      <c r="BA220" s="10">
        <f>IF('Batt IN'!$E$11="Non-Taxable",'Batt IN'!$E$21*'Batt IN'!$G$21/12,0)</f>
        <v>437.5</v>
      </c>
      <c r="BB220" s="10">
        <f>IF('Batt IN'!$E$11="Non-Taxable",'Batt IN'!$E$22*'Batt IN'!$G$22/12,0)</f>
        <v>1145.8333333333335</v>
      </c>
      <c r="BC220" s="10">
        <f>IF('Batt IN'!$E$11="Taxable",Q220,0)</f>
        <v>0</v>
      </c>
      <c r="BD220" s="10">
        <f>IF('Batt IN'!$E$11="Taxable",'Batt IN'!$E$28/1000*'Batt IN'!$G$13*('Batt IN'!$E$13/12)*'Batt IN'!$E$12,0)</f>
        <v>0</v>
      </c>
      <c r="BE220" s="10">
        <f>IF('Batt IN'!$E$11="Taxable",$S220*'Batt IN'!$G$15*'Batt IN'!$E$28*'Batt IN'!$E$14/1000,0)</f>
        <v>0</v>
      </c>
      <c r="BF220" s="10">
        <f>IF('Batt IN'!$E$11="Taxable",'Batt IN'!$E$21*'Batt IN'!$G$21/12,0)</f>
        <v>0</v>
      </c>
      <c r="BG220" s="10">
        <f>IF('Batt IN'!$E$11="Taxable",'Batt IN'!$E$22*'Batt IN'!$G$22/12,0)</f>
        <v>0</v>
      </c>
      <c r="BK220" s="10">
        <f>IF('Batt IN'!$N$18="Yes",-BattLoan!H248,-BattLoan!L248)</f>
        <v>0</v>
      </c>
      <c r="BL220" s="10">
        <f>IF('Batt IN'!$N$18="Yes",-BattLoan!F248,0)</f>
        <v>0</v>
      </c>
      <c r="BM220" s="10">
        <f>IF(AND('Batt IN'!$D$44="YES",$C220&lt;='Batt IN'!$E$44*12),0,-'Batt IN'!$E$28*'Batt IN'!$E$42/12)</f>
        <v>-83.333333333333329</v>
      </c>
      <c r="BN220" s="10">
        <f>IF(AND('Batt IN'!$D$46="YES",$C220&lt;='Batt IN'!$E$46*12),0,-'Batt IN'!$E$28*'Batt IN'!$E$45/12)</f>
        <v>-166.66666666666666</v>
      </c>
      <c r="BO220" s="2">
        <f>IF(AND('Batt IN'!$D$41="YES",BattCalcs!C220=ROUNDUP('Batt IN'!$H$41*12,)),-'Batt IN'!$E$41*'Batt IN'!$E$28,0)</f>
        <v>0</v>
      </c>
      <c r="BP220" s="2">
        <f>IF(AND('Batt IN'!$D$53="Yes",$AL$1&gt;=1),0,IF($C220='Batt IN'!$H$54*12,-'Batt IN'!$F$54,0))</f>
        <v>0</v>
      </c>
      <c r="BQ220" s="2">
        <f>IF(AND('Batt IN'!$D$53="Yes",$AL$1&gt;=2),0,IF($C220='Batt IN'!$H$55*12,-'Batt IN'!$F$55,0))</f>
        <v>0</v>
      </c>
      <c r="BR220" s="2">
        <f>IF(AND('Batt IN'!$D$53="Yes",$AL$1&gt;=3),0,IF($C220='Batt IN'!$H$56*12,-'Batt IN'!$F$56,0))</f>
        <v>0</v>
      </c>
      <c r="BS220" s="2">
        <f>IF(AND('Batt IN'!$D$53="Yes",$AL$1&gt;=4),0,IF($C220='Batt IN'!$H$57*12,-'Batt IN'!$F$57,0))</f>
        <v>0</v>
      </c>
      <c r="BT220" s="2">
        <f>IF(AND('Batt IN'!$D$53="Yes",$AL$1&gt;=5),0,IF($C220='Batt IN'!$H$58*12,-'Batt IN'!$F$58,0))</f>
        <v>0</v>
      </c>
      <c r="BU220" s="2">
        <f>-AH220*PVCalcs!F220</f>
        <v>-379.65428629825368</v>
      </c>
      <c r="BV220" s="2">
        <f>-'Batt IN'!$E$47</f>
        <v>-150</v>
      </c>
      <c r="BW220" s="2">
        <f>-'Batt IN'!$E$49</f>
        <v>-2250</v>
      </c>
      <c r="BX220" s="2">
        <f>IF('Batt IN'!$H$50="No",-(BC220*'Batt IN'!$E$50),-(BC220+BE220)*'Batt IN'!$E$50)</f>
        <v>0</v>
      </c>
      <c r="BY220" s="2">
        <f>IF(C220='Batt IN'!$H$43*12,-'Batt IN'!$E$43,0)</f>
        <v>0</v>
      </c>
      <c r="BZ220" s="38"/>
      <c r="CA220" s="10">
        <f t="shared" si="51"/>
        <v>13422.323408333334</v>
      </c>
      <c r="CB220" s="2">
        <f t="shared" si="55"/>
        <v>-3029.6542862982537</v>
      </c>
      <c r="CC220" s="45">
        <f t="shared" si="56"/>
        <v>10392.66912203508</v>
      </c>
      <c r="CD220" s="43"/>
      <c r="CE220" s="2">
        <f t="shared" si="52"/>
        <v>0</v>
      </c>
      <c r="CF220" s="2">
        <f t="shared" si="57"/>
        <v>-3029.6542862982537</v>
      </c>
      <c r="CG220" s="2"/>
      <c r="CH220" s="2">
        <f t="shared" si="58"/>
        <v>-3029.6542862982537</v>
      </c>
      <c r="CI220" s="45">
        <f>-CH220*'Batt IN'!$E$7</f>
        <v>636.2274001226333</v>
      </c>
      <c r="CJ220" s="48"/>
      <c r="CK220" s="45">
        <f>IF('Batt IN'!$F$4="PV Only",0,IF(C220&gt;'Batt IN'!$H$43*12,0,CC220+CI220))</f>
        <v>0</v>
      </c>
      <c r="CM220" s="10">
        <f t="shared" si="59"/>
        <v>0</v>
      </c>
      <c r="CN220" s="2">
        <f>CK220/(1+('Batt IN'!$G$8))^(C220)</f>
        <v>0</v>
      </c>
      <c r="CO220" s="2">
        <f>IF(C220&lt;='Batt IN'!$O$30*12,CN220+CO219,NA())</f>
        <v>0</v>
      </c>
      <c r="CQ220" s="2">
        <f>CK220/((1+('Batt IN'!$E$8/12))^BattCalcs!C220)</f>
        <v>0</v>
      </c>
      <c r="CS220" s="10">
        <f t="shared" si="60"/>
        <v>-3029.6542862982537</v>
      </c>
      <c r="CT220" s="10">
        <f t="shared" si="61"/>
        <v>0</v>
      </c>
      <c r="CU220" s="10">
        <f t="shared" si="62"/>
        <v>-3029.6542862982537</v>
      </c>
      <c r="CV220" s="10">
        <f t="shared" si="63"/>
        <v>-3029.6542862982537</v>
      </c>
      <c r="CW220" s="2">
        <f t="shared" si="64"/>
        <v>0</v>
      </c>
      <c r="CX220" s="2">
        <f>-(SUM(CV220:CW220)*'PV IN'!$E$8)</f>
        <v>636.2274001226333</v>
      </c>
      <c r="CY220" s="2">
        <f t="shared" si="65"/>
        <v>-2393.4268861756204</v>
      </c>
      <c r="CZ220" s="2">
        <f>IF(C220&lt;='Batt IN'!$H$43*12,CY220/(1+('PV IN'!$G$9))^(C220),0)</f>
        <v>-994.51830712111519</v>
      </c>
      <c r="DA220" s="33">
        <f>IF(C220&lt;='Batt IN'!$H$43*12,AE220,0)</f>
        <v>30366.783333333333</v>
      </c>
    </row>
    <row r="221" spans="1:105" x14ac:dyDescent="0.25">
      <c r="A221">
        <f>IF(C221&lt;='Batt IN'!$H$43*12,C221,"")</f>
        <v>217</v>
      </c>
      <c r="C221">
        <v>217</v>
      </c>
      <c r="D221" s="21">
        <v>730</v>
      </c>
      <c r="E221" s="1">
        <f>1-'Batt IN'!$E$31</f>
        <v>2.0000000000000018E-2</v>
      </c>
      <c r="F221" s="12">
        <f>('Batt IN'!$E$33*365)/8760</f>
        <v>0</v>
      </c>
      <c r="G221" s="22">
        <f>'Batt IN'!$E$32/8760</f>
        <v>5.7077625570776253E-3</v>
      </c>
      <c r="H221" s="22">
        <f>'Batt IN'!$E$13/8760</f>
        <v>5.5936073059360729E-3</v>
      </c>
      <c r="I221" s="23">
        <f>IF(C221&lt;='Batt IN'!$G$14*12,'Batt IN'!$E$15/8760*'Batt IN'!$G$15,0)</f>
        <v>0</v>
      </c>
      <c r="J221" s="12">
        <f>Z221/'Batt IN'!$E$27/730</f>
        <v>2.4999999999999996E-3</v>
      </c>
      <c r="K221" s="23">
        <f>AA221/'Batt IN'!$E$27/730</f>
        <v>1.6027397260273972E-3</v>
      </c>
      <c r="L221" s="23">
        <f>AB221/'Batt IN'!$E$27/730</f>
        <v>2.0547945205479451E-4</v>
      </c>
      <c r="M221" s="23">
        <f>AC221/'Batt IN'!$E$27/730</f>
        <v>4.7945205479452057E-3</v>
      </c>
      <c r="N221" s="23">
        <f>AD221/'Batt IN'!$E$27/730</f>
        <v>3.4246575342465752E-3</v>
      </c>
      <c r="O221" s="12">
        <f t="shared" si="53"/>
        <v>4.3828767123287697E-2</v>
      </c>
      <c r="P221" s="21">
        <f t="shared" si="54"/>
        <v>698.005</v>
      </c>
      <c r="Q221" s="2">
        <f>IF('Batt IN'!$E$27*'Batt IN'!$E$24&lt;='Batt IN'!$E$28,(('Batt IN'!$E$23*'Batt IN'!$E$27*'Batt IN'!$E$24)/1000)*P221,(('Batt IN'!$E$23*'Batt IN'!$E$28*'Batt IN'!$E$24)/1000)*P221)</f>
        <v>11168.08</v>
      </c>
      <c r="R221" s="2"/>
      <c r="S221" s="77">
        <f>IF(C221&lt;='Batt IN'!$G$14*12,'Batt IN'!$E$15/12,0)</f>
        <v>0</v>
      </c>
      <c r="T221" s="77"/>
      <c r="U221" s="80">
        <f>'Batt IN'!$E$28*('Batt IN'!$G$24/24)*730*(1-O221)</f>
        <v>81433.916666666657</v>
      </c>
      <c r="V221" s="78">
        <f>U221*'Batt IN'!$F$30</f>
        <v>16286.783333333333</v>
      </c>
      <c r="W221" s="78">
        <f>'Batt IN'!$E$28*'Batt IN'!$G$32*('Batt IN'!$E$32/12)*(1+'Batt IN'!$F$30)</f>
        <v>1750.0000000000002</v>
      </c>
      <c r="X221" s="78">
        <f>'Batt IN'!$E$28*'Batt IN'!$G$13*('Batt IN'!$E$13/12)*(1+'Batt IN'!$F$30)</f>
        <v>3184.9999999999995</v>
      </c>
      <c r="Y221" s="33">
        <f>S221*'Batt IN'!$G$15*'Batt IN'!$E$28*(1+'Batt IN'!$F$30)</f>
        <v>0</v>
      </c>
      <c r="Z221" s="33">
        <f>'Batt IN'!$G$16*365/12*(1+'Batt IN'!$F$30)</f>
        <v>1824.9999999999998</v>
      </c>
      <c r="AA221" s="33">
        <f>'Batt IN'!$G$17*'Batt IN'!$E$18*'Batt IN'!$G$18/12*(1+'Batt IN'!$F$30)</f>
        <v>1170</v>
      </c>
      <c r="AB221" s="33">
        <f>'Batt IN'!$G$19*'Batt IN'!$E$20*'Batt IN'!$G$20/12*(1+'Batt IN'!$F$30)</f>
        <v>150</v>
      </c>
      <c r="AC221" s="33">
        <f>'Batt IN'!$G$21*(1+'Batt IN'!$F$30)/12</f>
        <v>3500</v>
      </c>
      <c r="AD221" s="33">
        <f>'Batt IN'!$G$22*(1+'Batt IN'!$F$30)/12</f>
        <v>2500</v>
      </c>
      <c r="AE221" s="33">
        <f t="shared" si="66"/>
        <v>30366.783333333333</v>
      </c>
      <c r="AF221" s="33">
        <f>IF('PV IN'!$F$4="Battery Only",0,AE221*'Batt IN'!$E$29)</f>
        <v>25811.765833333331</v>
      </c>
      <c r="AG221" s="33">
        <f>PVCalcs!L221</f>
        <v>25811.765833333331</v>
      </c>
      <c r="AH221" s="33">
        <f t="shared" si="67"/>
        <v>4555.0175000000017</v>
      </c>
      <c r="AI221" s="33"/>
      <c r="AJ221" s="2">
        <f>IF(AND('Batt IN'!$D$53="Yes",$AL$1&gt;=1),IF($C221='Batt IN'!$H$54*12,-'Batt IN'!$F$54,0),0)</f>
        <v>0</v>
      </c>
      <c r="AK221" s="2">
        <f>IF(AND('Batt IN'!$D$53="Yes",$AL$1&gt;=2),IF($C221='Batt IN'!$H$55*12,-'Batt IN'!$F$55,0),0)</f>
        <v>0</v>
      </c>
      <c r="AL221" s="2">
        <f>IF(AND('Batt IN'!$D$53="Yes",$AL$1&gt;=3),IF($C221='Batt IN'!$H$56*12,-'Batt IN'!$F$56,0),0)</f>
        <v>0</v>
      </c>
      <c r="AM221" s="2">
        <f>IF(AND('Batt IN'!$D$53="Yes",$AL$1&gt;=4),IF($C221='Batt IN'!$H$57*12,-'Batt IN'!$F$57,0),0)</f>
        <v>0</v>
      </c>
      <c r="AN221" s="2">
        <f>IF(AND('Batt IN'!$D$53="Yes",$AL$1&gt;=5),IF($C221='Batt IN'!$H$58*12,-'Batt IN'!$F$58,0),0)</f>
        <v>0</v>
      </c>
      <c r="AO221" s="10">
        <f>IF(AND('Batt IN'!$D$44="YES",$C221&lt;='Batt IN'!$E$44*12),-'Batt IN'!$E$28*'Batt IN'!$E$42/12,0)</f>
        <v>0</v>
      </c>
      <c r="AP221" s="10">
        <f>IF(AND('Batt IN'!$D$46="YES",$C221&lt;='Batt IN'!$E$46*12),-'Batt IN'!$E$28*'Batt IN'!$E$45/12,0)</f>
        <v>0</v>
      </c>
      <c r="AR221" s="10">
        <f>BattLoan!M248</f>
        <v>0</v>
      </c>
      <c r="AS221" s="10">
        <f>'Batt IN'!$G$16*365/12*'Batt IN'!$E$16</f>
        <v>76.041666666666671</v>
      </c>
      <c r="AT221" s="10">
        <f>IF(AND('Batt IN'!$E$18&gt;0,'Batt IN'!$G$18&gt;0),'Batt IN'!$E$17*'Batt IN'!$G$17,0)</f>
        <v>119.44619999999999</v>
      </c>
      <c r="AU221" s="10">
        <f>IF(AND('Batt IN'!$E$20&gt;0,'Batt IN'!$G$20&gt;0),'Batt IN'!$E$19*'Batt IN'!$G$19,0)</f>
        <v>231</v>
      </c>
      <c r="AV221" s="10"/>
      <c r="AW221" s="10"/>
      <c r="AX221" s="10">
        <f>IF('Batt IN'!$E$11="Non-Taxable",Q221,0)</f>
        <v>11168.08</v>
      </c>
      <c r="AY221" s="10">
        <f>IF('Batt IN'!$E$11="Non-Taxable",'Batt IN'!$E$28/1000*'Batt IN'!$G$13*('Batt IN'!$E$13/12)*'Batt IN'!$E$12,0)</f>
        <v>244.42220833333334</v>
      </c>
      <c r="AZ221" s="10">
        <f>IF('Batt IN'!$E$11="Non-Taxable",$S221*'Batt IN'!$G$15*'Batt IN'!$E$28*'Batt IN'!$E$14/1000,0)</f>
        <v>0</v>
      </c>
      <c r="BA221" s="10">
        <f>IF('Batt IN'!$E$11="Non-Taxable",'Batt IN'!$E$21*'Batt IN'!$G$21/12,0)</f>
        <v>437.5</v>
      </c>
      <c r="BB221" s="10">
        <f>IF('Batt IN'!$E$11="Non-Taxable",'Batt IN'!$E$22*'Batt IN'!$G$22/12,0)</f>
        <v>1145.8333333333335</v>
      </c>
      <c r="BC221" s="10">
        <f>IF('Batt IN'!$E$11="Taxable",Q221,0)</f>
        <v>0</v>
      </c>
      <c r="BD221" s="10">
        <f>IF('Batt IN'!$E$11="Taxable",'Batt IN'!$E$28/1000*'Batt IN'!$G$13*('Batt IN'!$E$13/12)*'Batt IN'!$E$12,0)</f>
        <v>0</v>
      </c>
      <c r="BE221" s="10">
        <f>IF('Batt IN'!$E$11="Taxable",$S221*'Batt IN'!$G$15*'Batt IN'!$E$28*'Batt IN'!$E$14/1000,0)</f>
        <v>0</v>
      </c>
      <c r="BF221" s="10">
        <f>IF('Batt IN'!$E$11="Taxable",'Batt IN'!$E$21*'Batt IN'!$G$21/12,0)</f>
        <v>0</v>
      </c>
      <c r="BG221" s="10">
        <f>IF('Batt IN'!$E$11="Taxable",'Batt IN'!$E$22*'Batt IN'!$G$22/12,0)</f>
        <v>0</v>
      </c>
      <c r="BK221" s="10">
        <f>IF('Batt IN'!$N$18="Yes",-BattLoan!H249,-BattLoan!L249)</f>
        <v>0</v>
      </c>
      <c r="BL221" s="10">
        <f>IF('Batt IN'!$N$18="Yes",-BattLoan!F249,0)</f>
        <v>0</v>
      </c>
      <c r="BM221" s="10">
        <f>IF(AND('Batt IN'!$D$44="YES",$C221&lt;='Batt IN'!$E$44*12),0,-'Batt IN'!$E$28*'Batt IN'!$E$42/12)</f>
        <v>-83.333333333333329</v>
      </c>
      <c r="BN221" s="10">
        <f>IF(AND('Batt IN'!$D$46="YES",$C221&lt;='Batt IN'!$E$46*12),0,-'Batt IN'!$E$28*'Batt IN'!$E$45/12)</f>
        <v>-166.66666666666666</v>
      </c>
      <c r="BO221" s="2">
        <f>IF(AND('Batt IN'!$D$41="YES",BattCalcs!C221=ROUNDUP('Batt IN'!$H$41*12,)),-'Batt IN'!$E$41*'Batt IN'!$E$28,0)</f>
        <v>0</v>
      </c>
      <c r="BP221" s="2">
        <f>IF(AND('Batt IN'!$D$53="Yes",$AL$1&gt;=1),0,IF($C221='Batt IN'!$H$54*12,-'Batt IN'!$F$54,0))</f>
        <v>0</v>
      </c>
      <c r="BQ221" s="2">
        <f>IF(AND('Batt IN'!$D$53="Yes",$AL$1&gt;=2),0,IF($C221='Batt IN'!$H$55*12,-'Batt IN'!$F$55,0))</f>
        <v>0</v>
      </c>
      <c r="BR221" s="2">
        <f>IF(AND('Batt IN'!$D$53="Yes",$AL$1&gt;=3),0,IF($C221='Batt IN'!$H$56*12,-'Batt IN'!$F$56,0))</f>
        <v>0</v>
      </c>
      <c r="BS221" s="2">
        <f>IF(AND('Batt IN'!$D$53="Yes",$AL$1&gt;=4),0,IF($C221='Batt IN'!$H$57*12,-'Batt IN'!$F$57,0))</f>
        <v>0</v>
      </c>
      <c r="BT221" s="2">
        <f>IF(AND('Batt IN'!$D$53="Yes",$AL$1&gt;=5),0,IF($C221='Batt IN'!$H$58*12,-'Batt IN'!$F$58,0))</f>
        <v>0</v>
      </c>
      <c r="BU221" s="2">
        <f>-AH221*PVCalcs!F221</f>
        <v>-380.88882327414336</v>
      </c>
      <c r="BV221" s="2">
        <f>-'Batt IN'!$E$47</f>
        <v>-150</v>
      </c>
      <c r="BW221" s="2">
        <f>-'Batt IN'!$E$49</f>
        <v>-2250</v>
      </c>
      <c r="BX221" s="2">
        <f>IF('Batt IN'!$H$50="No",-(BC221*'Batt IN'!$E$50),-(BC221+BE221)*'Batt IN'!$E$50)</f>
        <v>0</v>
      </c>
      <c r="BY221" s="2">
        <f>IF(C221='Batt IN'!$H$43*12,-'Batt IN'!$E$43,0)</f>
        <v>0</v>
      </c>
      <c r="BZ221" s="38"/>
      <c r="CA221" s="10">
        <f t="shared" si="51"/>
        <v>13422.323408333334</v>
      </c>
      <c r="CB221" s="2">
        <f t="shared" si="55"/>
        <v>-3030.8888232741433</v>
      </c>
      <c r="CC221" s="45">
        <f t="shared" si="56"/>
        <v>10391.434585059191</v>
      </c>
      <c r="CD221" s="43"/>
      <c r="CE221" s="2">
        <f t="shared" si="52"/>
        <v>0</v>
      </c>
      <c r="CF221" s="2">
        <f t="shared" si="57"/>
        <v>-3030.8888232741433</v>
      </c>
      <c r="CG221" s="2"/>
      <c r="CH221" s="2">
        <f t="shared" si="58"/>
        <v>-3030.8888232741433</v>
      </c>
      <c r="CI221" s="45">
        <f>-CH221*'Batt IN'!$E$7</f>
        <v>636.48665288757002</v>
      </c>
      <c r="CJ221" s="48"/>
      <c r="CK221" s="45">
        <f>IF('Batt IN'!$F$4="PV Only",0,IF(C221&gt;'Batt IN'!$H$43*12,0,CC221+CI221))</f>
        <v>0</v>
      </c>
      <c r="CM221" s="10">
        <f t="shared" si="59"/>
        <v>0</v>
      </c>
      <c r="CN221" s="2">
        <f>CK221/(1+('Batt IN'!$G$8))^(C221)</f>
        <v>0</v>
      </c>
      <c r="CO221" s="2">
        <f>IF(C221&lt;='Batt IN'!$O$30*12,CN221+CO220,NA())</f>
        <v>0</v>
      </c>
      <c r="CQ221" s="2">
        <f>CK221/((1+('Batt IN'!$E$8/12))^BattCalcs!C221)</f>
        <v>0</v>
      </c>
      <c r="CS221" s="10">
        <f t="shared" si="60"/>
        <v>-3030.8888232741433</v>
      </c>
      <c r="CT221" s="10">
        <f t="shared" si="61"/>
        <v>0</v>
      </c>
      <c r="CU221" s="10">
        <f t="shared" si="62"/>
        <v>-3030.8888232741433</v>
      </c>
      <c r="CV221" s="10">
        <f t="shared" si="63"/>
        <v>-3030.8888232741433</v>
      </c>
      <c r="CW221" s="2">
        <f t="shared" si="64"/>
        <v>0</v>
      </c>
      <c r="CX221" s="2">
        <f>-(SUM(CV221:CW221)*'PV IN'!$E$8)</f>
        <v>636.48665288757002</v>
      </c>
      <c r="CY221" s="2">
        <f t="shared" si="65"/>
        <v>-2394.4021703865733</v>
      </c>
      <c r="CZ221" s="2">
        <f>IF(C221&lt;='Batt IN'!$H$43*12,CY221/(1+('PV IN'!$G$9))^(C221),0)</f>
        <v>-990.88656334052882</v>
      </c>
      <c r="DA221" s="33">
        <f>IF(C221&lt;='Batt IN'!$H$43*12,AE221,0)</f>
        <v>30366.783333333333</v>
      </c>
    </row>
    <row r="222" spans="1:105" x14ac:dyDescent="0.25">
      <c r="A222">
        <f>IF(C222&lt;='Batt IN'!$H$43*12,C222,"")</f>
        <v>218</v>
      </c>
      <c r="C222">
        <v>218</v>
      </c>
      <c r="D222" s="21">
        <v>730</v>
      </c>
      <c r="E222" s="1">
        <f>1-'Batt IN'!$E$31</f>
        <v>2.0000000000000018E-2</v>
      </c>
      <c r="F222" s="12">
        <f>('Batt IN'!$E$33*365)/8760</f>
        <v>0</v>
      </c>
      <c r="G222" s="22">
        <f>'Batt IN'!$E$32/8760</f>
        <v>5.7077625570776253E-3</v>
      </c>
      <c r="H222" s="22">
        <f>'Batt IN'!$E$13/8760</f>
        <v>5.5936073059360729E-3</v>
      </c>
      <c r="I222" s="23">
        <f>IF(C222&lt;='Batt IN'!$G$14*12,'Batt IN'!$E$15/8760*'Batt IN'!$G$15,0)</f>
        <v>0</v>
      </c>
      <c r="J222" s="12">
        <f>Z222/'Batt IN'!$E$27/730</f>
        <v>2.4999999999999996E-3</v>
      </c>
      <c r="K222" s="23">
        <f>AA222/'Batt IN'!$E$27/730</f>
        <v>1.6027397260273972E-3</v>
      </c>
      <c r="L222" s="23">
        <f>AB222/'Batt IN'!$E$27/730</f>
        <v>2.0547945205479451E-4</v>
      </c>
      <c r="M222" s="23">
        <f>AC222/'Batt IN'!$E$27/730</f>
        <v>4.7945205479452057E-3</v>
      </c>
      <c r="N222" s="23">
        <f>AD222/'Batt IN'!$E$27/730</f>
        <v>3.4246575342465752E-3</v>
      </c>
      <c r="O222" s="12">
        <f t="shared" si="53"/>
        <v>4.3828767123287697E-2</v>
      </c>
      <c r="P222" s="21">
        <f t="shared" si="54"/>
        <v>698.005</v>
      </c>
      <c r="Q222" s="2">
        <f>IF('Batt IN'!$E$27*'Batt IN'!$E$24&lt;='Batt IN'!$E$28,(('Batt IN'!$E$23*'Batt IN'!$E$27*'Batt IN'!$E$24)/1000)*P222,(('Batt IN'!$E$23*'Batt IN'!$E$28*'Batt IN'!$E$24)/1000)*P222)</f>
        <v>11168.08</v>
      </c>
      <c r="R222" s="2"/>
      <c r="S222" s="77">
        <f>IF(C222&lt;='Batt IN'!$G$14*12,'Batt IN'!$E$15/12,0)</f>
        <v>0</v>
      </c>
      <c r="T222" s="77"/>
      <c r="U222" s="80">
        <f>'Batt IN'!$E$28*('Batt IN'!$G$24/24)*730*(1-O222)</f>
        <v>81433.916666666657</v>
      </c>
      <c r="V222" s="78">
        <f>U222*'Batt IN'!$F$30</f>
        <v>16286.783333333333</v>
      </c>
      <c r="W222" s="78">
        <f>'Batt IN'!$E$28*'Batt IN'!$G$32*('Batt IN'!$E$32/12)*(1+'Batt IN'!$F$30)</f>
        <v>1750.0000000000002</v>
      </c>
      <c r="X222" s="78">
        <f>'Batt IN'!$E$28*'Batt IN'!$G$13*('Batt IN'!$E$13/12)*(1+'Batt IN'!$F$30)</f>
        <v>3184.9999999999995</v>
      </c>
      <c r="Y222" s="33">
        <f>S222*'Batt IN'!$G$15*'Batt IN'!$E$28*(1+'Batt IN'!$F$30)</f>
        <v>0</v>
      </c>
      <c r="Z222" s="33">
        <f>'Batt IN'!$G$16*365/12*(1+'Batt IN'!$F$30)</f>
        <v>1824.9999999999998</v>
      </c>
      <c r="AA222" s="33">
        <f>'Batt IN'!$G$17*'Batt IN'!$E$18*'Batt IN'!$G$18/12*(1+'Batt IN'!$F$30)</f>
        <v>1170</v>
      </c>
      <c r="AB222" s="33">
        <f>'Batt IN'!$G$19*'Batt IN'!$E$20*'Batt IN'!$G$20/12*(1+'Batt IN'!$F$30)</f>
        <v>150</v>
      </c>
      <c r="AC222" s="33">
        <f>'Batt IN'!$G$21*(1+'Batt IN'!$F$30)/12</f>
        <v>3500</v>
      </c>
      <c r="AD222" s="33">
        <f>'Batt IN'!$G$22*(1+'Batt IN'!$F$30)/12</f>
        <v>2500</v>
      </c>
      <c r="AE222" s="33">
        <f t="shared" si="66"/>
        <v>30366.783333333333</v>
      </c>
      <c r="AF222" s="33">
        <f>IF('PV IN'!$F$4="Battery Only",0,AE222*'Batt IN'!$E$29)</f>
        <v>25811.765833333331</v>
      </c>
      <c r="AG222" s="33">
        <f>PVCalcs!L222</f>
        <v>25811.765833333331</v>
      </c>
      <c r="AH222" s="33">
        <f t="shared" si="67"/>
        <v>4555.0175000000017</v>
      </c>
      <c r="AI222" s="33"/>
      <c r="AJ222" s="2">
        <f>IF(AND('Batt IN'!$D$53="Yes",$AL$1&gt;=1),IF($C222='Batt IN'!$H$54*12,-'Batt IN'!$F$54,0),0)</f>
        <v>0</v>
      </c>
      <c r="AK222" s="2">
        <f>IF(AND('Batt IN'!$D$53="Yes",$AL$1&gt;=2),IF($C222='Batt IN'!$H$55*12,-'Batt IN'!$F$55,0),0)</f>
        <v>0</v>
      </c>
      <c r="AL222" s="2">
        <f>IF(AND('Batt IN'!$D$53="Yes",$AL$1&gt;=3),IF($C222='Batt IN'!$H$56*12,-'Batt IN'!$F$56,0),0)</f>
        <v>0</v>
      </c>
      <c r="AM222" s="2">
        <f>IF(AND('Batt IN'!$D$53="Yes",$AL$1&gt;=4),IF($C222='Batt IN'!$H$57*12,-'Batt IN'!$F$57,0),0)</f>
        <v>0</v>
      </c>
      <c r="AN222" s="2">
        <f>IF(AND('Batt IN'!$D$53="Yes",$AL$1&gt;=5),IF($C222='Batt IN'!$H$58*12,-'Batt IN'!$F$58,0),0)</f>
        <v>0</v>
      </c>
      <c r="AO222" s="10">
        <f>IF(AND('Batt IN'!$D$44="YES",$C222&lt;='Batt IN'!$E$44*12),-'Batt IN'!$E$28*'Batt IN'!$E$42/12,0)</f>
        <v>0</v>
      </c>
      <c r="AP222" s="10">
        <f>IF(AND('Batt IN'!$D$46="YES",$C222&lt;='Batt IN'!$E$46*12),-'Batt IN'!$E$28*'Batt IN'!$E$45/12,0)</f>
        <v>0</v>
      </c>
      <c r="AR222" s="10">
        <f>BattLoan!M249</f>
        <v>0</v>
      </c>
      <c r="AS222" s="10">
        <f>'Batt IN'!$G$16*365/12*'Batt IN'!$E$16</f>
        <v>76.041666666666671</v>
      </c>
      <c r="AT222" s="10">
        <f>IF(AND('Batt IN'!$E$18&gt;0,'Batt IN'!$G$18&gt;0),'Batt IN'!$E$17*'Batt IN'!$G$17,0)</f>
        <v>119.44619999999999</v>
      </c>
      <c r="AU222" s="10">
        <f>IF(AND('Batt IN'!$E$20&gt;0,'Batt IN'!$G$20&gt;0),'Batt IN'!$E$19*'Batt IN'!$G$19,0)</f>
        <v>231</v>
      </c>
      <c r="AV222" s="10"/>
      <c r="AW222" s="10"/>
      <c r="AX222" s="10">
        <f>IF('Batt IN'!$E$11="Non-Taxable",Q222,0)</f>
        <v>11168.08</v>
      </c>
      <c r="AY222" s="10">
        <f>IF('Batt IN'!$E$11="Non-Taxable",'Batt IN'!$E$28/1000*'Batt IN'!$G$13*('Batt IN'!$E$13/12)*'Batt IN'!$E$12,0)</f>
        <v>244.42220833333334</v>
      </c>
      <c r="AZ222" s="10">
        <f>IF('Batt IN'!$E$11="Non-Taxable",$S222*'Batt IN'!$G$15*'Batt IN'!$E$28*'Batt IN'!$E$14/1000,0)</f>
        <v>0</v>
      </c>
      <c r="BA222" s="10">
        <f>IF('Batt IN'!$E$11="Non-Taxable",'Batt IN'!$E$21*'Batt IN'!$G$21/12,0)</f>
        <v>437.5</v>
      </c>
      <c r="BB222" s="10">
        <f>IF('Batt IN'!$E$11="Non-Taxable",'Batt IN'!$E$22*'Batt IN'!$G$22/12,0)</f>
        <v>1145.8333333333335</v>
      </c>
      <c r="BC222" s="10">
        <f>IF('Batt IN'!$E$11="Taxable",Q222,0)</f>
        <v>0</v>
      </c>
      <c r="BD222" s="10">
        <f>IF('Batt IN'!$E$11="Taxable",'Batt IN'!$E$28/1000*'Batt IN'!$G$13*('Batt IN'!$E$13/12)*'Batt IN'!$E$12,0)</f>
        <v>0</v>
      </c>
      <c r="BE222" s="10">
        <f>IF('Batt IN'!$E$11="Taxable",$S222*'Batt IN'!$G$15*'Batt IN'!$E$28*'Batt IN'!$E$14/1000,0)</f>
        <v>0</v>
      </c>
      <c r="BF222" s="10">
        <f>IF('Batt IN'!$E$11="Taxable",'Batt IN'!$E$21*'Batt IN'!$G$21/12,0)</f>
        <v>0</v>
      </c>
      <c r="BG222" s="10">
        <f>IF('Batt IN'!$E$11="Taxable",'Batt IN'!$E$22*'Batt IN'!$G$22/12,0)</f>
        <v>0</v>
      </c>
      <c r="BK222" s="10">
        <f>IF('Batt IN'!$N$18="Yes",-BattLoan!H250,-BattLoan!L250)</f>
        <v>0</v>
      </c>
      <c r="BL222" s="10">
        <f>IF('Batt IN'!$N$18="Yes",-BattLoan!F250,0)</f>
        <v>0</v>
      </c>
      <c r="BM222" s="10">
        <f>IF(AND('Batt IN'!$D$44="YES",$C222&lt;='Batt IN'!$E$44*12),0,-'Batt IN'!$E$28*'Batt IN'!$E$42/12)</f>
        <v>-83.333333333333329</v>
      </c>
      <c r="BN222" s="10">
        <f>IF(AND('Batt IN'!$D$46="YES",$C222&lt;='Batt IN'!$E$46*12),0,-'Batt IN'!$E$28*'Batt IN'!$E$45/12)</f>
        <v>-166.66666666666666</v>
      </c>
      <c r="BO222" s="2">
        <f>IF(AND('Batt IN'!$D$41="YES",BattCalcs!C222=ROUNDUP('Batt IN'!$H$41*12,)),-'Batt IN'!$E$41*'Batt IN'!$E$28,0)</f>
        <v>0</v>
      </c>
      <c r="BP222" s="2">
        <f>IF(AND('Batt IN'!$D$53="Yes",$AL$1&gt;=1),0,IF($C222='Batt IN'!$H$54*12,-'Batt IN'!$F$54,0))</f>
        <v>0</v>
      </c>
      <c r="BQ222" s="2">
        <f>IF(AND('Batt IN'!$D$53="Yes",$AL$1&gt;=2),0,IF($C222='Batt IN'!$H$55*12,-'Batt IN'!$F$55,0))</f>
        <v>0</v>
      </c>
      <c r="BR222" s="2">
        <f>IF(AND('Batt IN'!$D$53="Yes",$AL$1&gt;=3),0,IF($C222='Batt IN'!$H$56*12,-'Batt IN'!$F$56,0))</f>
        <v>0</v>
      </c>
      <c r="BS222" s="2">
        <f>IF(AND('Batt IN'!$D$53="Yes",$AL$1&gt;=4),0,IF($C222='Batt IN'!$H$57*12,-'Batt IN'!$F$57,0))</f>
        <v>0</v>
      </c>
      <c r="BT222" s="2">
        <f>IF(AND('Batt IN'!$D$53="Yes",$AL$1&gt;=5),0,IF($C222='Batt IN'!$H$58*12,-'Batt IN'!$F$58,0))</f>
        <v>0</v>
      </c>
      <c r="BU222" s="2">
        <f>-AH222*PVCalcs!F222</f>
        <v>-380.88882327414336</v>
      </c>
      <c r="BV222" s="2">
        <f>-'Batt IN'!$E$47</f>
        <v>-150</v>
      </c>
      <c r="BW222" s="2">
        <f>-'Batt IN'!$E$49</f>
        <v>-2250</v>
      </c>
      <c r="BX222" s="2">
        <f>IF('Batt IN'!$H$50="No",-(BC222*'Batt IN'!$E$50),-(BC222+BE222)*'Batt IN'!$E$50)</f>
        <v>0</v>
      </c>
      <c r="BY222" s="2">
        <f>IF(C222='Batt IN'!$H$43*12,-'Batt IN'!$E$43,0)</f>
        <v>0</v>
      </c>
      <c r="BZ222" s="38"/>
      <c r="CA222" s="10">
        <f t="shared" si="51"/>
        <v>13422.323408333334</v>
      </c>
      <c r="CB222" s="2">
        <f t="shared" si="55"/>
        <v>-3030.8888232741433</v>
      </c>
      <c r="CC222" s="45">
        <f t="shared" si="56"/>
        <v>10391.434585059191</v>
      </c>
      <c r="CD222" s="43"/>
      <c r="CE222" s="2">
        <f t="shared" si="52"/>
        <v>0</v>
      </c>
      <c r="CF222" s="2">
        <f t="shared" si="57"/>
        <v>-3030.8888232741433</v>
      </c>
      <c r="CG222" s="2"/>
      <c r="CH222" s="2">
        <f t="shared" si="58"/>
        <v>-3030.8888232741433</v>
      </c>
      <c r="CI222" s="45">
        <f>-CH222*'Batt IN'!$E$7</f>
        <v>636.48665288757002</v>
      </c>
      <c r="CJ222" s="48"/>
      <c r="CK222" s="45">
        <f>IF('Batt IN'!$F$4="PV Only",0,IF(C222&gt;'Batt IN'!$H$43*12,0,CC222+CI222))</f>
        <v>0</v>
      </c>
      <c r="CM222" s="10">
        <f t="shared" si="59"/>
        <v>0</v>
      </c>
      <c r="CN222" s="2">
        <f>CK222/(1+('Batt IN'!$G$8))^(C222)</f>
        <v>0</v>
      </c>
      <c r="CO222" s="2">
        <f>IF(C222&lt;='Batt IN'!$O$30*12,CN222+CO221,NA())</f>
        <v>0</v>
      </c>
      <c r="CQ222" s="2">
        <f>CK222/((1+('Batt IN'!$E$8/12))^BattCalcs!C222)</f>
        <v>0</v>
      </c>
      <c r="CS222" s="10">
        <f t="shared" si="60"/>
        <v>-3030.8888232741433</v>
      </c>
      <c r="CT222" s="10">
        <f t="shared" si="61"/>
        <v>0</v>
      </c>
      <c r="CU222" s="10">
        <f t="shared" si="62"/>
        <v>-3030.8888232741433</v>
      </c>
      <c r="CV222" s="10">
        <f t="shared" si="63"/>
        <v>-3030.8888232741433</v>
      </c>
      <c r="CW222" s="2">
        <f t="shared" si="64"/>
        <v>0</v>
      </c>
      <c r="CX222" s="2">
        <f>-(SUM(CV222:CW222)*'PV IN'!$E$8)</f>
        <v>636.48665288757002</v>
      </c>
      <c r="CY222" s="2">
        <f t="shared" si="65"/>
        <v>-2394.4021703865733</v>
      </c>
      <c r="CZ222" s="2">
        <f>IF(C222&lt;='Batt IN'!$H$43*12,CY222/(1+('PV IN'!$G$9))^(C222),0)</f>
        <v>-986.86594930519186</v>
      </c>
      <c r="DA222" s="33">
        <f>IF(C222&lt;='Batt IN'!$H$43*12,AE222,0)</f>
        <v>30366.783333333333</v>
      </c>
    </row>
    <row r="223" spans="1:105" x14ac:dyDescent="0.25">
      <c r="A223">
        <f>IF(C223&lt;='Batt IN'!$H$43*12,C223,"")</f>
        <v>219</v>
      </c>
      <c r="C223">
        <v>219</v>
      </c>
      <c r="D223" s="21">
        <v>730</v>
      </c>
      <c r="E223" s="1">
        <f>1-'Batt IN'!$E$31</f>
        <v>2.0000000000000018E-2</v>
      </c>
      <c r="F223" s="12">
        <f>('Batt IN'!$E$33*365)/8760</f>
        <v>0</v>
      </c>
      <c r="G223" s="22">
        <f>'Batt IN'!$E$32/8760</f>
        <v>5.7077625570776253E-3</v>
      </c>
      <c r="H223" s="22">
        <f>'Batt IN'!$E$13/8760</f>
        <v>5.5936073059360729E-3</v>
      </c>
      <c r="I223" s="23">
        <f>IF(C223&lt;='Batt IN'!$G$14*12,'Batt IN'!$E$15/8760*'Batt IN'!$G$15,0)</f>
        <v>0</v>
      </c>
      <c r="J223" s="12">
        <f>Z223/'Batt IN'!$E$27/730</f>
        <v>2.4999999999999996E-3</v>
      </c>
      <c r="K223" s="23">
        <f>AA223/'Batt IN'!$E$27/730</f>
        <v>1.6027397260273972E-3</v>
      </c>
      <c r="L223" s="23">
        <f>AB223/'Batt IN'!$E$27/730</f>
        <v>2.0547945205479451E-4</v>
      </c>
      <c r="M223" s="23">
        <f>AC223/'Batt IN'!$E$27/730</f>
        <v>4.7945205479452057E-3</v>
      </c>
      <c r="N223" s="23">
        <f>AD223/'Batt IN'!$E$27/730</f>
        <v>3.4246575342465752E-3</v>
      </c>
      <c r="O223" s="12">
        <f t="shared" si="53"/>
        <v>4.3828767123287697E-2</v>
      </c>
      <c r="P223" s="21">
        <f t="shared" si="54"/>
        <v>698.005</v>
      </c>
      <c r="Q223" s="2">
        <f>IF('Batt IN'!$E$27*'Batt IN'!$E$24&lt;='Batt IN'!$E$28,(('Batt IN'!$E$23*'Batt IN'!$E$27*'Batt IN'!$E$24)/1000)*P223,(('Batt IN'!$E$23*'Batt IN'!$E$28*'Batt IN'!$E$24)/1000)*P223)</f>
        <v>11168.08</v>
      </c>
      <c r="R223" s="2"/>
      <c r="S223" s="77">
        <f>IF(C223&lt;='Batt IN'!$G$14*12,'Batt IN'!$E$15/12,0)</f>
        <v>0</v>
      </c>
      <c r="T223" s="77"/>
      <c r="U223" s="80">
        <f>'Batt IN'!$E$28*('Batt IN'!$G$24/24)*730*(1-O223)</f>
        <v>81433.916666666657</v>
      </c>
      <c r="V223" s="78">
        <f>U223*'Batt IN'!$F$30</f>
        <v>16286.783333333333</v>
      </c>
      <c r="W223" s="78">
        <f>'Batt IN'!$E$28*'Batt IN'!$G$32*('Batt IN'!$E$32/12)*(1+'Batt IN'!$F$30)</f>
        <v>1750.0000000000002</v>
      </c>
      <c r="X223" s="78">
        <f>'Batt IN'!$E$28*'Batt IN'!$G$13*('Batt IN'!$E$13/12)*(1+'Batt IN'!$F$30)</f>
        <v>3184.9999999999995</v>
      </c>
      <c r="Y223" s="33">
        <f>S223*'Batt IN'!$G$15*'Batt IN'!$E$28*(1+'Batt IN'!$F$30)</f>
        <v>0</v>
      </c>
      <c r="Z223" s="33">
        <f>'Batt IN'!$G$16*365/12*(1+'Batt IN'!$F$30)</f>
        <v>1824.9999999999998</v>
      </c>
      <c r="AA223" s="33">
        <f>'Batt IN'!$G$17*'Batt IN'!$E$18*'Batt IN'!$G$18/12*(1+'Batt IN'!$F$30)</f>
        <v>1170</v>
      </c>
      <c r="AB223" s="33">
        <f>'Batt IN'!$G$19*'Batt IN'!$E$20*'Batt IN'!$G$20/12*(1+'Batt IN'!$F$30)</f>
        <v>150</v>
      </c>
      <c r="AC223" s="33">
        <f>'Batt IN'!$G$21*(1+'Batt IN'!$F$30)/12</f>
        <v>3500</v>
      </c>
      <c r="AD223" s="33">
        <f>'Batt IN'!$G$22*(1+'Batt IN'!$F$30)/12</f>
        <v>2500</v>
      </c>
      <c r="AE223" s="33">
        <f t="shared" si="66"/>
        <v>30366.783333333333</v>
      </c>
      <c r="AF223" s="33">
        <f>IF('PV IN'!$F$4="Battery Only",0,AE223*'Batt IN'!$E$29)</f>
        <v>25811.765833333331</v>
      </c>
      <c r="AG223" s="33">
        <f>PVCalcs!L223</f>
        <v>25811.765833333331</v>
      </c>
      <c r="AH223" s="33">
        <f t="shared" si="67"/>
        <v>4555.0175000000017</v>
      </c>
      <c r="AI223" s="33"/>
      <c r="AJ223" s="2">
        <f>IF(AND('Batt IN'!$D$53="Yes",$AL$1&gt;=1),IF($C223='Batt IN'!$H$54*12,-'Batt IN'!$F$54,0),0)</f>
        <v>0</v>
      </c>
      <c r="AK223" s="2">
        <f>IF(AND('Batt IN'!$D$53="Yes",$AL$1&gt;=2),IF($C223='Batt IN'!$H$55*12,-'Batt IN'!$F$55,0),0)</f>
        <v>0</v>
      </c>
      <c r="AL223" s="2">
        <f>IF(AND('Batt IN'!$D$53="Yes",$AL$1&gt;=3),IF($C223='Batt IN'!$H$56*12,-'Batt IN'!$F$56,0),0)</f>
        <v>0</v>
      </c>
      <c r="AM223" s="2">
        <f>IF(AND('Batt IN'!$D$53="Yes",$AL$1&gt;=4),IF($C223='Batt IN'!$H$57*12,-'Batt IN'!$F$57,0),0)</f>
        <v>0</v>
      </c>
      <c r="AN223" s="2">
        <f>IF(AND('Batt IN'!$D$53="Yes",$AL$1&gt;=5),IF($C223='Batt IN'!$H$58*12,-'Batt IN'!$F$58,0),0)</f>
        <v>0</v>
      </c>
      <c r="AO223" s="10">
        <f>IF(AND('Batt IN'!$D$44="YES",$C223&lt;='Batt IN'!$E$44*12),-'Batt IN'!$E$28*'Batt IN'!$E$42/12,0)</f>
        <v>0</v>
      </c>
      <c r="AP223" s="10">
        <f>IF(AND('Batt IN'!$D$46="YES",$C223&lt;='Batt IN'!$E$46*12),-'Batt IN'!$E$28*'Batt IN'!$E$45/12,0)</f>
        <v>0</v>
      </c>
      <c r="AR223" s="10">
        <f>BattLoan!M250</f>
        <v>0</v>
      </c>
      <c r="AS223" s="10">
        <f>'Batt IN'!$G$16*365/12*'Batt IN'!$E$16</f>
        <v>76.041666666666671</v>
      </c>
      <c r="AT223" s="10">
        <f>IF(AND('Batt IN'!$E$18&gt;0,'Batt IN'!$G$18&gt;0),'Batt IN'!$E$17*'Batt IN'!$G$17,0)</f>
        <v>119.44619999999999</v>
      </c>
      <c r="AU223" s="10">
        <f>IF(AND('Batt IN'!$E$20&gt;0,'Batt IN'!$G$20&gt;0),'Batt IN'!$E$19*'Batt IN'!$G$19,0)</f>
        <v>231</v>
      </c>
      <c r="AV223" s="10"/>
      <c r="AW223" s="10"/>
      <c r="AX223" s="10">
        <f>IF('Batt IN'!$E$11="Non-Taxable",Q223,0)</f>
        <v>11168.08</v>
      </c>
      <c r="AY223" s="10">
        <f>IF('Batt IN'!$E$11="Non-Taxable",'Batt IN'!$E$28/1000*'Batt IN'!$G$13*('Batt IN'!$E$13/12)*'Batt IN'!$E$12,0)</f>
        <v>244.42220833333334</v>
      </c>
      <c r="AZ223" s="10">
        <f>IF('Batt IN'!$E$11="Non-Taxable",$S223*'Batt IN'!$G$15*'Batt IN'!$E$28*'Batt IN'!$E$14/1000,0)</f>
        <v>0</v>
      </c>
      <c r="BA223" s="10">
        <f>IF('Batt IN'!$E$11="Non-Taxable",'Batt IN'!$E$21*'Batt IN'!$G$21/12,0)</f>
        <v>437.5</v>
      </c>
      <c r="BB223" s="10">
        <f>IF('Batt IN'!$E$11="Non-Taxable",'Batt IN'!$E$22*'Batt IN'!$G$22/12,0)</f>
        <v>1145.8333333333335</v>
      </c>
      <c r="BC223" s="10">
        <f>IF('Batt IN'!$E$11="Taxable",Q223,0)</f>
        <v>0</v>
      </c>
      <c r="BD223" s="10">
        <f>IF('Batt IN'!$E$11="Taxable",'Batt IN'!$E$28/1000*'Batt IN'!$G$13*('Batt IN'!$E$13/12)*'Batt IN'!$E$12,0)</f>
        <v>0</v>
      </c>
      <c r="BE223" s="10">
        <f>IF('Batt IN'!$E$11="Taxable",$S223*'Batt IN'!$G$15*'Batt IN'!$E$28*'Batt IN'!$E$14/1000,0)</f>
        <v>0</v>
      </c>
      <c r="BF223" s="10">
        <f>IF('Batt IN'!$E$11="Taxable",'Batt IN'!$E$21*'Batt IN'!$G$21/12,0)</f>
        <v>0</v>
      </c>
      <c r="BG223" s="10">
        <f>IF('Batt IN'!$E$11="Taxable",'Batt IN'!$E$22*'Batt IN'!$G$22/12,0)</f>
        <v>0</v>
      </c>
      <c r="BK223" s="10">
        <f>IF('Batt IN'!$N$18="Yes",-BattLoan!H251,-BattLoan!L251)</f>
        <v>0</v>
      </c>
      <c r="BL223" s="10">
        <f>IF('Batt IN'!$N$18="Yes",-BattLoan!F251,0)</f>
        <v>0</v>
      </c>
      <c r="BM223" s="10">
        <f>IF(AND('Batt IN'!$D$44="YES",$C223&lt;='Batt IN'!$E$44*12),0,-'Batt IN'!$E$28*'Batt IN'!$E$42/12)</f>
        <v>-83.333333333333329</v>
      </c>
      <c r="BN223" s="10">
        <f>IF(AND('Batt IN'!$D$46="YES",$C223&lt;='Batt IN'!$E$46*12),0,-'Batt IN'!$E$28*'Batt IN'!$E$45/12)</f>
        <v>-166.66666666666666</v>
      </c>
      <c r="BO223" s="2">
        <f>IF(AND('Batt IN'!$D$41="YES",BattCalcs!C223=ROUNDUP('Batt IN'!$H$41*12,)),-'Batt IN'!$E$41*'Batt IN'!$E$28,0)</f>
        <v>0</v>
      </c>
      <c r="BP223" s="2">
        <f>IF(AND('Batt IN'!$D$53="Yes",$AL$1&gt;=1),0,IF($C223='Batt IN'!$H$54*12,-'Batt IN'!$F$54,0))</f>
        <v>0</v>
      </c>
      <c r="BQ223" s="2">
        <f>IF(AND('Batt IN'!$D$53="Yes",$AL$1&gt;=2),0,IF($C223='Batt IN'!$H$55*12,-'Batt IN'!$F$55,0))</f>
        <v>0</v>
      </c>
      <c r="BR223" s="2">
        <f>IF(AND('Batt IN'!$D$53="Yes",$AL$1&gt;=3),0,IF($C223='Batt IN'!$H$56*12,-'Batt IN'!$F$56,0))</f>
        <v>0</v>
      </c>
      <c r="BS223" s="2">
        <f>IF(AND('Batt IN'!$D$53="Yes",$AL$1&gt;=4),0,IF($C223='Batt IN'!$H$57*12,-'Batt IN'!$F$57,0))</f>
        <v>0</v>
      </c>
      <c r="BT223" s="2">
        <f>IF(AND('Batt IN'!$D$53="Yes",$AL$1&gt;=5),0,IF($C223='Batt IN'!$H$58*12,-'Batt IN'!$F$58,0))</f>
        <v>0</v>
      </c>
      <c r="BU223" s="2">
        <f>-AH223*PVCalcs!F223</f>
        <v>-380.88882327414336</v>
      </c>
      <c r="BV223" s="2">
        <f>-'Batt IN'!$E$47</f>
        <v>-150</v>
      </c>
      <c r="BW223" s="2">
        <f>-'Batt IN'!$E$49</f>
        <v>-2250</v>
      </c>
      <c r="BX223" s="2">
        <f>IF('Batt IN'!$H$50="No",-(BC223*'Batt IN'!$E$50),-(BC223+BE223)*'Batt IN'!$E$50)</f>
        <v>0</v>
      </c>
      <c r="BY223" s="2">
        <f>IF(C223='Batt IN'!$H$43*12,-'Batt IN'!$E$43,0)</f>
        <v>0</v>
      </c>
      <c r="BZ223" s="38"/>
      <c r="CA223" s="10">
        <f t="shared" si="51"/>
        <v>13422.323408333334</v>
      </c>
      <c r="CB223" s="2">
        <f t="shared" si="55"/>
        <v>-3030.8888232741433</v>
      </c>
      <c r="CC223" s="45">
        <f t="shared" si="56"/>
        <v>10391.434585059191</v>
      </c>
      <c r="CD223" s="43"/>
      <c r="CE223" s="2">
        <f t="shared" si="52"/>
        <v>0</v>
      </c>
      <c r="CF223" s="2">
        <f t="shared" si="57"/>
        <v>-3030.8888232741433</v>
      </c>
      <c r="CG223" s="2"/>
      <c r="CH223" s="2">
        <f t="shared" si="58"/>
        <v>-3030.8888232741433</v>
      </c>
      <c r="CI223" s="45">
        <f>-CH223*'Batt IN'!$E$7</f>
        <v>636.48665288757002</v>
      </c>
      <c r="CJ223" s="48"/>
      <c r="CK223" s="45">
        <f>IF('Batt IN'!$F$4="PV Only",0,IF(C223&gt;'Batt IN'!$H$43*12,0,CC223+CI223))</f>
        <v>0</v>
      </c>
      <c r="CM223" s="10">
        <f t="shared" si="59"/>
        <v>0</v>
      </c>
      <c r="CN223" s="2">
        <f>CK223/(1+('Batt IN'!$G$8))^(C223)</f>
        <v>0</v>
      </c>
      <c r="CO223" s="2">
        <f>IF(C223&lt;='Batt IN'!$O$30*12,CN223+CO222,NA())</f>
        <v>0</v>
      </c>
      <c r="CQ223" s="2">
        <f>CK223/((1+('Batt IN'!$E$8/12))^BattCalcs!C223)</f>
        <v>0</v>
      </c>
      <c r="CS223" s="10">
        <f t="shared" si="60"/>
        <v>-3030.8888232741433</v>
      </c>
      <c r="CT223" s="10">
        <f t="shared" si="61"/>
        <v>0</v>
      </c>
      <c r="CU223" s="10">
        <f t="shared" si="62"/>
        <v>-3030.8888232741433</v>
      </c>
      <c r="CV223" s="10">
        <f t="shared" si="63"/>
        <v>-3030.8888232741433</v>
      </c>
      <c r="CW223" s="2">
        <f t="shared" si="64"/>
        <v>0</v>
      </c>
      <c r="CX223" s="2">
        <f>-(SUM(CV223:CW223)*'PV IN'!$E$8)</f>
        <v>636.48665288757002</v>
      </c>
      <c r="CY223" s="2">
        <f t="shared" si="65"/>
        <v>-2394.4021703865733</v>
      </c>
      <c r="CZ223" s="2">
        <f>IF(C223&lt;='Batt IN'!$H$43*12,CY223/(1+('PV IN'!$G$9))^(C223),0)</f>
        <v>-982.86164928380902</v>
      </c>
      <c r="DA223" s="33">
        <f>IF(C223&lt;='Batt IN'!$H$43*12,AE223,0)</f>
        <v>30366.783333333333</v>
      </c>
    </row>
    <row r="224" spans="1:105" x14ac:dyDescent="0.25">
      <c r="A224">
        <f>IF(C224&lt;='Batt IN'!$H$43*12,C224,"")</f>
        <v>220</v>
      </c>
      <c r="C224">
        <v>220</v>
      </c>
      <c r="D224" s="21">
        <v>730</v>
      </c>
      <c r="E224" s="1">
        <f>1-'Batt IN'!$E$31</f>
        <v>2.0000000000000018E-2</v>
      </c>
      <c r="F224" s="12">
        <f>('Batt IN'!$E$33*365)/8760</f>
        <v>0</v>
      </c>
      <c r="G224" s="22">
        <f>'Batt IN'!$E$32/8760</f>
        <v>5.7077625570776253E-3</v>
      </c>
      <c r="H224" s="22">
        <f>'Batt IN'!$E$13/8760</f>
        <v>5.5936073059360729E-3</v>
      </c>
      <c r="I224" s="23">
        <f>IF(C224&lt;='Batt IN'!$G$14*12,'Batt IN'!$E$15/8760*'Batt IN'!$G$15,0)</f>
        <v>0</v>
      </c>
      <c r="J224" s="12">
        <f>Z224/'Batt IN'!$E$27/730</f>
        <v>2.4999999999999996E-3</v>
      </c>
      <c r="K224" s="23">
        <f>AA224/'Batt IN'!$E$27/730</f>
        <v>1.6027397260273972E-3</v>
      </c>
      <c r="L224" s="23">
        <f>AB224/'Batt IN'!$E$27/730</f>
        <v>2.0547945205479451E-4</v>
      </c>
      <c r="M224" s="23">
        <f>AC224/'Batt IN'!$E$27/730</f>
        <v>4.7945205479452057E-3</v>
      </c>
      <c r="N224" s="23">
        <f>AD224/'Batt IN'!$E$27/730</f>
        <v>3.4246575342465752E-3</v>
      </c>
      <c r="O224" s="12">
        <f t="shared" si="53"/>
        <v>4.3828767123287697E-2</v>
      </c>
      <c r="P224" s="21">
        <f t="shared" si="54"/>
        <v>698.005</v>
      </c>
      <c r="Q224" s="2">
        <f>IF('Batt IN'!$E$27*'Batt IN'!$E$24&lt;='Batt IN'!$E$28,(('Batt IN'!$E$23*'Batt IN'!$E$27*'Batt IN'!$E$24)/1000)*P224,(('Batt IN'!$E$23*'Batt IN'!$E$28*'Batt IN'!$E$24)/1000)*P224)</f>
        <v>11168.08</v>
      </c>
      <c r="R224" s="2"/>
      <c r="S224" s="77">
        <f>IF(C224&lt;='Batt IN'!$G$14*12,'Batt IN'!$E$15/12,0)</f>
        <v>0</v>
      </c>
      <c r="T224" s="77"/>
      <c r="U224" s="80">
        <f>'Batt IN'!$E$28*('Batt IN'!$G$24/24)*730*(1-O224)</f>
        <v>81433.916666666657</v>
      </c>
      <c r="V224" s="78">
        <f>U224*'Batt IN'!$F$30</f>
        <v>16286.783333333333</v>
      </c>
      <c r="W224" s="78">
        <f>'Batt IN'!$E$28*'Batt IN'!$G$32*('Batt IN'!$E$32/12)*(1+'Batt IN'!$F$30)</f>
        <v>1750.0000000000002</v>
      </c>
      <c r="X224" s="78">
        <f>'Batt IN'!$E$28*'Batt IN'!$G$13*('Batt IN'!$E$13/12)*(1+'Batt IN'!$F$30)</f>
        <v>3184.9999999999995</v>
      </c>
      <c r="Y224" s="33">
        <f>S224*'Batt IN'!$G$15*'Batt IN'!$E$28*(1+'Batt IN'!$F$30)</f>
        <v>0</v>
      </c>
      <c r="Z224" s="33">
        <f>'Batt IN'!$G$16*365/12*(1+'Batt IN'!$F$30)</f>
        <v>1824.9999999999998</v>
      </c>
      <c r="AA224" s="33">
        <f>'Batt IN'!$G$17*'Batt IN'!$E$18*'Batt IN'!$G$18/12*(1+'Batt IN'!$F$30)</f>
        <v>1170</v>
      </c>
      <c r="AB224" s="33">
        <f>'Batt IN'!$G$19*'Batt IN'!$E$20*'Batt IN'!$G$20/12*(1+'Batt IN'!$F$30)</f>
        <v>150</v>
      </c>
      <c r="AC224" s="33">
        <f>'Batt IN'!$G$21*(1+'Batt IN'!$F$30)/12</f>
        <v>3500</v>
      </c>
      <c r="AD224" s="33">
        <f>'Batt IN'!$G$22*(1+'Batt IN'!$F$30)/12</f>
        <v>2500</v>
      </c>
      <c r="AE224" s="33">
        <f t="shared" si="66"/>
        <v>30366.783333333333</v>
      </c>
      <c r="AF224" s="33">
        <f>IF('PV IN'!$F$4="Battery Only",0,AE224*'Batt IN'!$E$29)</f>
        <v>25811.765833333331</v>
      </c>
      <c r="AG224" s="33">
        <f>PVCalcs!L224</f>
        <v>25811.765833333331</v>
      </c>
      <c r="AH224" s="33">
        <f t="shared" si="67"/>
        <v>4555.0175000000017</v>
      </c>
      <c r="AI224" s="33"/>
      <c r="AJ224" s="2">
        <f>IF(AND('Batt IN'!$D$53="Yes",$AL$1&gt;=1),IF($C224='Batt IN'!$H$54*12,-'Batt IN'!$F$54,0),0)</f>
        <v>0</v>
      </c>
      <c r="AK224" s="2">
        <f>IF(AND('Batt IN'!$D$53="Yes",$AL$1&gt;=2),IF($C224='Batt IN'!$H$55*12,-'Batt IN'!$F$55,0),0)</f>
        <v>0</v>
      </c>
      <c r="AL224" s="2">
        <f>IF(AND('Batt IN'!$D$53="Yes",$AL$1&gt;=3),IF($C224='Batt IN'!$H$56*12,-'Batt IN'!$F$56,0),0)</f>
        <v>0</v>
      </c>
      <c r="AM224" s="2">
        <f>IF(AND('Batt IN'!$D$53="Yes",$AL$1&gt;=4),IF($C224='Batt IN'!$H$57*12,-'Batt IN'!$F$57,0),0)</f>
        <v>0</v>
      </c>
      <c r="AN224" s="2">
        <f>IF(AND('Batt IN'!$D$53="Yes",$AL$1&gt;=5),IF($C224='Batt IN'!$H$58*12,-'Batt IN'!$F$58,0),0)</f>
        <v>0</v>
      </c>
      <c r="AO224" s="10">
        <f>IF(AND('Batt IN'!$D$44="YES",$C224&lt;='Batt IN'!$E$44*12),-'Batt IN'!$E$28*'Batt IN'!$E$42/12,0)</f>
        <v>0</v>
      </c>
      <c r="AP224" s="10">
        <f>IF(AND('Batt IN'!$D$46="YES",$C224&lt;='Batt IN'!$E$46*12),-'Batt IN'!$E$28*'Batt IN'!$E$45/12,0)</f>
        <v>0</v>
      </c>
      <c r="AR224" s="10">
        <f>BattLoan!M251</f>
        <v>0</v>
      </c>
      <c r="AS224" s="10">
        <f>'Batt IN'!$G$16*365/12*'Batt IN'!$E$16</f>
        <v>76.041666666666671</v>
      </c>
      <c r="AT224" s="10">
        <f>IF(AND('Batt IN'!$E$18&gt;0,'Batt IN'!$G$18&gt;0),'Batt IN'!$E$17*'Batt IN'!$G$17,0)</f>
        <v>119.44619999999999</v>
      </c>
      <c r="AU224" s="10">
        <f>IF(AND('Batt IN'!$E$20&gt;0,'Batt IN'!$G$20&gt;0),'Batt IN'!$E$19*'Batt IN'!$G$19,0)</f>
        <v>231</v>
      </c>
      <c r="AV224" s="10"/>
      <c r="AW224" s="10"/>
      <c r="AX224" s="10">
        <f>IF('Batt IN'!$E$11="Non-Taxable",Q224,0)</f>
        <v>11168.08</v>
      </c>
      <c r="AY224" s="10">
        <f>IF('Batt IN'!$E$11="Non-Taxable",'Batt IN'!$E$28/1000*'Batt IN'!$G$13*('Batt IN'!$E$13/12)*'Batt IN'!$E$12,0)</f>
        <v>244.42220833333334</v>
      </c>
      <c r="AZ224" s="10">
        <f>IF('Batt IN'!$E$11="Non-Taxable",$S224*'Batt IN'!$G$15*'Batt IN'!$E$28*'Batt IN'!$E$14/1000,0)</f>
        <v>0</v>
      </c>
      <c r="BA224" s="10">
        <f>IF('Batt IN'!$E$11="Non-Taxable",'Batt IN'!$E$21*'Batt IN'!$G$21/12,0)</f>
        <v>437.5</v>
      </c>
      <c r="BB224" s="10">
        <f>IF('Batt IN'!$E$11="Non-Taxable",'Batt IN'!$E$22*'Batt IN'!$G$22/12,0)</f>
        <v>1145.8333333333335</v>
      </c>
      <c r="BC224" s="10">
        <f>IF('Batt IN'!$E$11="Taxable",Q224,0)</f>
        <v>0</v>
      </c>
      <c r="BD224" s="10">
        <f>IF('Batt IN'!$E$11="Taxable",'Batt IN'!$E$28/1000*'Batt IN'!$G$13*('Batt IN'!$E$13/12)*'Batt IN'!$E$12,0)</f>
        <v>0</v>
      </c>
      <c r="BE224" s="10">
        <f>IF('Batt IN'!$E$11="Taxable",$S224*'Batt IN'!$G$15*'Batt IN'!$E$28*'Batt IN'!$E$14/1000,0)</f>
        <v>0</v>
      </c>
      <c r="BF224" s="10">
        <f>IF('Batt IN'!$E$11="Taxable",'Batt IN'!$E$21*'Batt IN'!$G$21/12,0)</f>
        <v>0</v>
      </c>
      <c r="BG224" s="10">
        <f>IF('Batt IN'!$E$11="Taxable",'Batt IN'!$E$22*'Batt IN'!$G$22/12,0)</f>
        <v>0</v>
      </c>
      <c r="BK224" s="10">
        <f>IF('Batt IN'!$N$18="Yes",-BattLoan!H252,-BattLoan!L252)</f>
        <v>0</v>
      </c>
      <c r="BL224" s="10">
        <f>IF('Batt IN'!$N$18="Yes",-BattLoan!F252,0)</f>
        <v>0</v>
      </c>
      <c r="BM224" s="10">
        <f>IF(AND('Batt IN'!$D$44="YES",$C224&lt;='Batt IN'!$E$44*12),0,-'Batt IN'!$E$28*'Batt IN'!$E$42/12)</f>
        <v>-83.333333333333329</v>
      </c>
      <c r="BN224" s="10">
        <f>IF(AND('Batt IN'!$D$46="YES",$C224&lt;='Batt IN'!$E$46*12),0,-'Batt IN'!$E$28*'Batt IN'!$E$45/12)</f>
        <v>-166.66666666666666</v>
      </c>
      <c r="BO224" s="2">
        <f>IF(AND('Batt IN'!$D$41="YES",BattCalcs!C224=ROUNDUP('Batt IN'!$H$41*12,)),-'Batt IN'!$E$41*'Batt IN'!$E$28,0)</f>
        <v>0</v>
      </c>
      <c r="BP224" s="2">
        <f>IF(AND('Batt IN'!$D$53="Yes",$AL$1&gt;=1),0,IF($C224='Batt IN'!$H$54*12,-'Batt IN'!$F$54,0))</f>
        <v>0</v>
      </c>
      <c r="BQ224" s="2">
        <f>IF(AND('Batt IN'!$D$53="Yes",$AL$1&gt;=2),0,IF($C224='Batt IN'!$H$55*12,-'Batt IN'!$F$55,0))</f>
        <v>0</v>
      </c>
      <c r="BR224" s="2">
        <f>IF(AND('Batt IN'!$D$53="Yes",$AL$1&gt;=3),0,IF($C224='Batt IN'!$H$56*12,-'Batt IN'!$F$56,0))</f>
        <v>0</v>
      </c>
      <c r="BS224" s="2">
        <f>IF(AND('Batt IN'!$D$53="Yes",$AL$1&gt;=4),0,IF($C224='Batt IN'!$H$57*12,-'Batt IN'!$F$57,0))</f>
        <v>0</v>
      </c>
      <c r="BT224" s="2">
        <f>IF(AND('Batt IN'!$D$53="Yes",$AL$1&gt;=5),0,IF($C224='Batt IN'!$H$58*12,-'Batt IN'!$F$58,0))</f>
        <v>0</v>
      </c>
      <c r="BU224" s="2">
        <f>-AH224*PVCalcs!F224</f>
        <v>-380.88882327414336</v>
      </c>
      <c r="BV224" s="2">
        <f>-'Batt IN'!$E$47</f>
        <v>-150</v>
      </c>
      <c r="BW224" s="2">
        <f>-'Batt IN'!$E$49</f>
        <v>-2250</v>
      </c>
      <c r="BX224" s="2">
        <f>IF('Batt IN'!$H$50="No",-(BC224*'Batt IN'!$E$50),-(BC224+BE224)*'Batt IN'!$E$50)</f>
        <v>0</v>
      </c>
      <c r="BY224" s="2">
        <f>IF(C224='Batt IN'!$H$43*12,-'Batt IN'!$E$43,0)</f>
        <v>0</v>
      </c>
      <c r="BZ224" s="38"/>
      <c r="CA224" s="10">
        <f t="shared" si="51"/>
        <v>13422.323408333334</v>
      </c>
      <c r="CB224" s="2">
        <f t="shared" si="55"/>
        <v>-3030.8888232741433</v>
      </c>
      <c r="CC224" s="45">
        <f t="shared" si="56"/>
        <v>10391.434585059191</v>
      </c>
      <c r="CD224" s="43"/>
      <c r="CE224" s="2">
        <f t="shared" si="52"/>
        <v>0</v>
      </c>
      <c r="CF224" s="2">
        <f t="shared" si="57"/>
        <v>-3030.8888232741433</v>
      </c>
      <c r="CG224" s="2"/>
      <c r="CH224" s="2">
        <f t="shared" si="58"/>
        <v>-3030.8888232741433</v>
      </c>
      <c r="CI224" s="45">
        <f>-CH224*'Batt IN'!$E$7</f>
        <v>636.48665288757002</v>
      </c>
      <c r="CJ224" s="48"/>
      <c r="CK224" s="45">
        <f>IF('Batt IN'!$F$4="PV Only",0,IF(C224&gt;'Batt IN'!$H$43*12,0,CC224+CI224))</f>
        <v>0</v>
      </c>
      <c r="CM224" s="10">
        <f t="shared" si="59"/>
        <v>0</v>
      </c>
      <c r="CN224" s="2">
        <f>CK224/(1+('Batt IN'!$G$8))^(C224)</f>
        <v>0</v>
      </c>
      <c r="CO224" s="2">
        <f>IF(C224&lt;='Batt IN'!$O$30*12,CN224+CO223,NA())</f>
        <v>0</v>
      </c>
      <c r="CQ224" s="2">
        <f>CK224/((1+('Batt IN'!$E$8/12))^BattCalcs!C224)</f>
        <v>0</v>
      </c>
      <c r="CS224" s="10">
        <f t="shared" si="60"/>
        <v>-3030.8888232741433</v>
      </c>
      <c r="CT224" s="10">
        <f t="shared" si="61"/>
        <v>0</v>
      </c>
      <c r="CU224" s="10">
        <f t="shared" si="62"/>
        <v>-3030.8888232741433</v>
      </c>
      <c r="CV224" s="10">
        <f t="shared" si="63"/>
        <v>-3030.8888232741433</v>
      </c>
      <c r="CW224" s="2">
        <f t="shared" si="64"/>
        <v>0</v>
      </c>
      <c r="CX224" s="2">
        <f>-(SUM(CV224:CW224)*'PV IN'!$E$8)</f>
        <v>636.48665288757002</v>
      </c>
      <c r="CY224" s="2">
        <f t="shared" si="65"/>
        <v>-2394.4021703865733</v>
      </c>
      <c r="CZ224" s="2">
        <f>IF(C224&lt;='Batt IN'!$H$43*12,CY224/(1+('PV IN'!$G$9))^(C224),0)</f>
        <v>-978.87359708075678</v>
      </c>
      <c r="DA224" s="33">
        <f>IF(C224&lt;='Batt IN'!$H$43*12,AE224,0)</f>
        <v>30366.783333333333</v>
      </c>
    </row>
    <row r="225" spans="1:105" x14ac:dyDescent="0.25">
      <c r="A225">
        <f>IF(C225&lt;='Batt IN'!$H$43*12,C225,"")</f>
        <v>221</v>
      </c>
      <c r="C225">
        <v>221</v>
      </c>
      <c r="D225" s="21">
        <v>730</v>
      </c>
      <c r="E225" s="1">
        <f>1-'Batt IN'!$E$31</f>
        <v>2.0000000000000018E-2</v>
      </c>
      <c r="F225" s="12">
        <f>('Batt IN'!$E$33*365)/8760</f>
        <v>0</v>
      </c>
      <c r="G225" s="22">
        <f>'Batt IN'!$E$32/8760</f>
        <v>5.7077625570776253E-3</v>
      </c>
      <c r="H225" s="22">
        <f>'Batt IN'!$E$13/8760</f>
        <v>5.5936073059360729E-3</v>
      </c>
      <c r="I225" s="23">
        <f>IF(C225&lt;='Batt IN'!$G$14*12,'Batt IN'!$E$15/8760*'Batt IN'!$G$15,0)</f>
        <v>0</v>
      </c>
      <c r="J225" s="12">
        <f>Z225/'Batt IN'!$E$27/730</f>
        <v>2.4999999999999996E-3</v>
      </c>
      <c r="K225" s="23">
        <f>AA225/'Batt IN'!$E$27/730</f>
        <v>1.6027397260273972E-3</v>
      </c>
      <c r="L225" s="23">
        <f>AB225/'Batt IN'!$E$27/730</f>
        <v>2.0547945205479451E-4</v>
      </c>
      <c r="M225" s="23">
        <f>AC225/'Batt IN'!$E$27/730</f>
        <v>4.7945205479452057E-3</v>
      </c>
      <c r="N225" s="23">
        <f>AD225/'Batt IN'!$E$27/730</f>
        <v>3.4246575342465752E-3</v>
      </c>
      <c r="O225" s="12">
        <f t="shared" si="53"/>
        <v>4.3828767123287697E-2</v>
      </c>
      <c r="P225" s="21">
        <f t="shared" si="54"/>
        <v>698.005</v>
      </c>
      <c r="Q225" s="2">
        <f>IF('Batt IN'!$E$27*'Batt IN'!$E$24&lt;='Batt IN'!$E$28,(('Batt IN'!$E$23*'Batt IN'!$E$27*'Batt IN'!$E$24)/1000)*P225,(('Batt IN'!$E$23*'Batt IN'!$E$28*'Batt IN'!$E$24)/1000)*P225)</f>
        <v>11168.08</v>
      </c>
      <c r="R225" s="2"/>
      <c r="S225" s="77">
        <f>IF(C225&lt;='Batt IN'!$G$14*12,'Batt IN'!$E$15/12,0)</f>
        <v>0</v>
      </c>
      <c r="T225" s="77"/>
      <c r="U225" s="80">
        <f>'Batt IN'!$E$28*('Batt IN'!$G$24/24)*730*(1-O225)</f>
        <v>81433.916666666657</v>
      </c>
      <c r="V225" s="78">
        <f>U225*'Batt IN'!$F$30</f>
        <v>16286.783333333333</v>
      </c>
      <c r="W225" s="78">
        <f>'Batt IN'!$E$28*'Batt IN'!$G$32*('Batt IN'!$E$32/12)*(1+'Batt IN'!$F$30)</f>
        <v>1750.0000000000002</v>
      </c>
      <c r="X225" s="78">
        <f>'Batt IN'!$E$28*'Batt IN'!$G$13*('Batt IN'!$E$13/12)*(1+'Batt IN'!$F$30)</f>
        <v>3184.9999999999995</v>
      </c>
      <c r="Y225" s="33">
        <f>S225*'Batt IN'!$G$15*'Batt IN'!$E$28*(1+'Batt IN'!$F$30)</f>
        <v>0</v>
      </c>
      <c r="Z225" s="33">
        <f>'Batt IN'!$G$16*365/12*(1+'Batt IN'!$F$30)</f>
        <v>1824.9999999999998</v>
      </c>
      <c r="AA225" s="33">
        <f>'Batt IN'!$G$17*'Batt IN'!$E$18*'Batt IN'!$G$18/12*(1+'Batt IN'!$F$30)</f>
        <v>1170</v>
      </c>
      <c r="AB225" s="33">
        <f>'Batt IN'!$G$19*'Batt IN'!$E$20*'Batt IN'!$G$20/12*(1+'Batt IN'!$F$30)</f>
        <v>150</v>
      </c>
      <c r="AC225" s="33">
        <f>'Batt IN'!$G$21*(1+'Batt IN'!$F$30)/12</f>
        <v>3500</v>
      </c>
      <c r="AD225" s="33">
        <f>'Batt IN'!$G$22*(1+'Batt IN'!$F$30)/12</f>
        <v>2500</v>
      </c>
      <c r="AE225" s="33">
        <f t="shared" si="66"/>
        <v>30366.783333333333</v>
      </c>
      <c r="AF225" s="33">
        <f>IF('PV IN'!$F$4="Battery Only",0,AE225*'Batt IN'!$E$29)</f>
        <v>25811.765833333331</v>
      </c>
      <c r="AG225" s="33">
        <f>PVCalcs!L225</f>
        <v>25811.765833333331</v>
      </c>
      <c r="AH225" s="33">
        <f t="shared" si="67"/>
        <v>4555.0175000000017</v>
      </c>
      <c r="AI225" s="33"/>
      <c r="AJ225" s="2">
        <f>IF(AND('Batt IN'!$D$53="Yes",$AL$1&gt;=1),IF($C225='Batt IN'!$H$54*12,-'Batt IN'!$F$54,0),0)</f>
        <v>0</v>
      </c>
      <c r="AK225" s="2">
        <f>IF(AND('Batt IN'!$D$53="Yes",$AL$1&gt;=2),IF($C225='Batt IN'!$H$55*12,-'Batt IN'!$F$55,0),0)</f>
        <v>0</v>
      </c>
      <c r="AL225" s="2">
        <f>IF(AND('Batt IN'!$D$53="Yes",$AL$1&gt;=3),IF($C225='Batt IN'!$H$56*12,-'Batt IN'!$F$56,0),0)</f>
        <v>0</v>
      </c>
      <c r="AM225" s="2">
        <f>IF(AND('Batt IN'!$D$53="Yes",$AL$1&gt;=4),IF($C225='Batt IN'!$H$57*12,-'Batt IN'!$F$57,0),0)</f>
        <v>0</v>
      </c>
      <c r="AN225" s="2">
        <f>IF(AND('Batt IN'!$D$53="Yes",$AL$1&gt;=5),IF($C225='Batt IN'!$H$58*12,-'Batt IN'!$F$58,0),0)</f>
        <v>0</v>
      </c>
      <c r="AO225" s="10">
        <f>IF(AND('Batt IN'!$D$44="YES",$C225&lt;='Batt IN'!$E$44*12),-'Batt IN'!$E$28*'Batt IN'!$E$42/12,0)</f>
        <v>0</v>
      </c>
      <c r="AP225" s="10">
        <f>IF(AND('Batt IN'!$D$46="YES",$C225&lt;='Batt IN'!$E$46*12),-'Batt IN'!$E$28*'Batt IN'!$E$45/12,0)</f>
        <v>0</v>
      </c>
      <c r="AR225" s="10">
        <f>BattLoan!M252</f>
        <v>0</v>
      </c>
      <c r="AS225" s="10">
        <f>'Batt IN'!$G$16*365/12*'Batt IN'!$E$16</f>
        <v>76.041666666666671</v>
      </c>
      <c r="AT225" s="10">
        <f>IF(AND('Batt IN'!$E$18&gt;0,'Batt IN'!$G$18&gt;0),'Batt IN'!$E$17*'Batt IN'!$G$17,0)</f>
        <v>119.44619999999999</v>
      </c>
      <c r="AU225" s="10">
        <f>IF(AND('Batt IN'!$E$20&gt;0,'Batt IN'!$G$20&gt;0),'Batt IN'!$E$19*'Batt IN'!$G$19,0)</f>
        <v>231</v>
      </c>
      <c r="AV225" s="10"/>
      <c r="AW225" s="10"/>
      <c r="AX225" s="10">
        <f>IF('Batt IN'!$E$11="Non-Taxable",Q225,0)</f>
        <v>11168.08</v>
      </c>
      <c r="AY225" s="10">
        <f>IF('Batt IN'!$E$11="Non-Taxable",'Batt IN'!$E$28/1000*'Batt IN'!$G$13*('Batt IN'!$E$13/12)*'Batt IN'!$E$12,0)</f>
        <v>244.42220833333334</v>
      </c>
      <c r="AZ225" s="10">
        <f>IF('Batt IN'!$E$11="Non-Taxable",$S225*'Batt IN'!$G$15*'Batt IN'!$E$28*'Batt IN'!$E$14/1000,0)</f>
        <v>0</v>
      </c>
      <c r="BA225" s="10">
        <f>IF('Batt IN'!$E$11="Non-Taxable",'Batt IN'!$E$21*'Batt IN'!$G$21/12,0)</f>
        <v>437.5</v>
      </c>
      <c r="BB225" s="10">
        <f>IF('Batt IN'!$E$11="Non-Taxable",'Batt IN'!$E$22*'Batt IN'!$G$22/12,0)</f>
        <v>1145.8333333333335</v>
      </c>
      <c r="BC225" s="10">
        <f>IF('Batt IN'!$E$11="Taxable",Q225,0)</f>
        <v>0</v>
      </c>
      <c r="BD225" s="10">
        <f>IF('Batt IN'!$E$11="Taxable",'Batt IN'!$E$28/1000*'Batt IN'!$G$13*('Batt IN'!$E$13/12)*'Batt IN'!$E$12,0)</f>
        <v>0</v>
      </c>
      <c r="BE225" s="10">
        <f>IF('Batt IN'!$E$11="Taxable",$S225*'Batt IN'!$G$15*'Batt IN'!$E$28*'Batt IN'!$E$14/1000,0)</f>
        <v>0</v>
      </c>
      <c r="BF225" s="10">
        <f>IF('Batt IN'!$E$11="Taxable",'Batt IN'!$E$21*'Batt IN'!$G$21/12,0)</f>
        <v>0</v>
      </c>
      <c r="BG225" s="10">
        <f>IF('Batt IN'!$E$11="Taxable",'Batt IN'!$E$22*'Batt IN'!$G$22/12,0)</f>
        <v>0</v>
      </c>
      <c r="BK225" s="10">
        <f>IF('Batt IN'!$N$18="Yes",-BattLoan!H253,-BattLoan!L253)</f>
        <v>0</v>
      </c>
      <c r="BL225" s="10">
        <f>IF('Batt IN'!$N$18="Yes",-BattLoan!F253,0)</f>
        <v>0</v>
      </c>
      <c r="BM225" s="10">
        <f>IF(AND('Batt IN'!$D$44="YES",$C225&lt;='Batt IN'!$E$44*12),0,-'Batt IN'!$E$28*'Batt IN'!$E$42/12)</f>
        <v>-83.333333333333329</v>
      </c>
      <c r="BN225" s="10">
        <f>IF(AND('Batt IN'!$D$46="YES",$C225&lt;='Batt IN'!$E$46*12),0,-'Batt IN'!$E$28*'Batt IN'!$E$45/12)</f>
        <v>-166.66666666666666</v>
      </c>
      <c r="BO225" s="2">
        <f>IF(AND('Batt IN'!$D$41="YES",BattCalcs!C225=ROUNDUP('Batt IN'!$H$41*12,)),-'Batt IN'!$E$41*'Batt IN'!$E$28,0)</f>
        <v>0</v>
      </c>
      <c r="BP225" s="2">
        <f>IF(AND('Batt IN'!$D$53="Yes",$AL$1&gt;=1),0,IF($C225='Batt IN'!$H$54*12,-'Batt IN'!$F$54,0))</f>
        <v>0</v>
      </c>
      <c r="BQ225" s="2">
        <f>IF(AND('Batt IN'!$D$53="Yes",$AL$1&gt;=2),0,IF($C225='Batt IN'!$H$55*12,-'Batt IN'!$F$55,0))</f>
        <v>0</v>
      </c>
      <c r="BR225" s="2">
        <f>IF(AND('Batt IN'!$D$53="Yes",$AL$1&gt;=3),0,IF($C225='Batt IN'!$H$56*12,-'Batt IN'!$F$56,0))</f>
        <v>0</v>
      </c>
      <c r="BS225" s="2">
        <f>IF(AND('Batt IN'!$D$53="Yes",$AL$1&gt;=4),0,IF($C225='Batt IN'!$H$57*12,-'Batt IN'!$F$57,0))</f>
        <v>0</v>
      </c>
      <c r="BT225" s="2">
        <f>IF(AND('Batt IN'!$D$53="Yes",$AL$1&gt;=5),0,IF($C225='Batt IN'!$H$58*12,-'Batt IN'!$F$58,0))</f>
        <v>0</v>
      </c>
      <c r="BU225" s="2">
        <f>-AH225*PVCalcs!F225</f>
        <v>-380.88882327414336</v>
      </c>
      <c r="BV225" s="2">
        <f>-'Batt IN'!$E$47</f>
        <v>-150</v>
      </c>
      <c r="BW225" s="2">
        <f>-'Batt IN'!$E$49</f>
        <v>-2250</v>
      </c>
      <c r="BX225" s="2">
        <f>IF('Batt IN'!$H$50="No",-(BC225*'Batt IN'!$E$50),-(BC225+BE225)*'Batt IN'!$E$50)</f>
        <v>0</v>
      </c>
      <c r="BY225" s="2">
        <f>IF(C225='Batt IN'!$H$43*12,-'Batt IN'!$E$43,0)</f>
        <v>0</v>
      </c>
      <c r="BZ225" s="38"/>
      <c r="CA225" s="10">
        <f t="shared" si="51"/>
        <v>13422.323408333334</v>
      </c>
      <c r="CB225" s="2">
        <f t="shared" si="55"/>
        <v>-3030.8888232741433</v>
      </c>
      <c r="CC225" s="45">
        <f t="shared" si="56"/>
        <v>10391.434585059191</v>
      </c>
      <c r="CD225" s="43"/>
      <c r="CE225" s="2">
        <f t="shared" si="52"/>
        <v>0</v>
      </c>
      <c r="CF225" s="2">
        <f t="shared" si="57"/>
        <v>-3030.8888232741433</v>
      </c>
      <c r="CG225" s="2"/>
      <c r="CH225" s="2">
        <f t="shared" si="58"/>
        <v>-3030.8888232741433</v>
      </c>
      <c r="CI225" s="45">
        <f>-CH225*'Batt IN'!$E$7</f>
        <v>636.48665288757002</v>
      </c>
      <c r="CJ225" s="48"/>
      <c r="CK225" s="45">
        <f>IF('Batt IN'!$F$4="PV Only",0,IF(C225&gt;'Batt IN'!$H$43*12,0,CC225+CI225))</f>
        <v>0</v>
      </c>
      <c r="CM225" s="10">
        <f t="shared" si="59"/>
        <v>0</v>
      </c>
      <c r="CN225" s="2">
        <f>CK225/(1+('Batt IN'!$G$8))^(C225)</f>
        <v>0</v>
      </c>
      <c r="CO225" s="2">
        <f>IF(C225&lt;='Batt IN'!$O$30*12,CN225+CO224,NA())</f>
        <v>0</v>
      </c>
      <c r="CQ225" s="2">
        <f>CK225/((1+('Batt IN'!$E$8/12))^BattCalcs!C225)</f>
        <v>0</v>
      </c>
      <c r="CS225" s="10">
        <f t="shared" si="60"/>
        <v>-3030.8888232741433</v>
      </c>
      <c r="CT225" s="10">
        <f t="shared" si="61"/>
        <v>0</v>
      </c>
      <c r="CU225" s="10">
        <f t="shared" si="62"/>
        <v>-3030.8888232741433</v>
      </c>
      <c r="CV225" s="10">
        <f t="shared" si="63"/>
        <v>-3030.8888232741433</v>
      </c>
      <c r="CW225" s="2">
        <f t="shared" si="64"/>
        <v>0</v>
      </c>
      <c r="CX225" s="2">
        <f>-(SUM(CV225:CW225)*'PV IN'!$E$8)</f>
        <v>636.48665288757002</v>
      </c>
      <c r="CY225" s="2">
        <f t="shared" si="65"/>
        <v>-2394.4021703865733</v>
      </c>
      <c r="CZ225" s="2">
        <f>IF(C225&lt;='Batt IN'!$H$43*12,CY225/(1+('PV IN'!$G$9))^(C225),0)</f>
        <v>-974.90172676900715</v>
      </c>
      <c r="DA225" s="33">
        <f>IF(C225&lt;='Batt IN'!$H$43*12,AE225,0)</f>
        <v>30366.783333333333</v>
      </c>
    </row>
    <row r="226" spans="1:105" x14ac:dyDescent="0.25">
      <c r="A226">
        <f>IF(C226&lt;='Batt IN'!$H$43*12,C226,"")</f>
        <v>222</v>
      </c>
      <c r="C226">
        <v>222</v>
      </c>
      <c r="D226" s="21">
        <v>730</v>
      </c>
      <c r="E226" s="1">
        <f>1-'Batt IN'!$E$31</f>
        <v>2.0000000000000018E-2</v>
      </c>
      <c r="F226" s="12">
        <f>('Batt IN'!$E$33*365)/8760</f>
        <v>0</v>
      </c>
      <c r="G226" s="22">
        <f>'Batt IN'!$E$32/8760</f>
        <v>5.7077625570776253E-3</v>
      </c>
      <c r="H226" s="22">
        <f>'Batt IN'!$E$13/8760</f>
        <v>5.5936073059360729E-3</v>
      </c>
      <c r="I226" s="23">
        <f>IF(C226&lt;='Batt IN'!$G$14*12,'Batt IN'!$E$15/8760*'Batt IN'!$G$15,0)</f>
        <v>0</v>
      </c>
      <c r="J226" s="12">
        <f>Z226/'Batt IN'!$E$27/730</f>
        <v>2.4999999999999996E-3</v>
      </c>
      <c r="K226" s="23">
        <f>AA226/'Batt IN'!$E$27/730</f>
        <v>1.6027397260273972E-3</v>
      </c>
      <c r="L226" s="23">
        <f>AB226/'Batt IN'!$E$27/730</f>
        <v>2.0547945205479451E-4</v>
      </c>
      <c r="M226" s="23">
        <f>AC226/'Batt IN'!$E$27/730</f>
        <v>4.7945205479452057E-3</v>
      </c>
      <c r="N226" s="23">
        <f>AD226/'Batt IN'!$E$27/730</f>
        <v>3.4246575342465752E-3</v>
      </c>
      <c r="O226" s="12">
        <f t="shared" si="53"/>
        <v>4.3828767123287697E-2</v>
      </c>
      <c r="P226" s="21">
        <f t="shared" si="54"/>
        <v>698.005</v>
      </c>
      <c r="Q226" s="2">
        <f>IF('Batt IN'!$E$27*'Batt IN'!$E$24&lt;='Batt IN'!$E$28,(('Batt IN'!$E$23*'Batt IN'!$E$27*'Batt IN'!$E$24)/1000)*P226,(('Batt IN'!$E$23*'Batt IN'!$E$28*'Batt IN'!$E$24)/1000)*P226)</f>
        <v>11168.08</v>
      </c>
      <c r="R226" s="2"/>
      <c r="S226" s="77">
        <f>IF(C226&lt;='Batt IN'!$G$14*12,'Batt IN'!$E$15/12,0)</f>
        <v>0</v>
      </c>
      <c r="T226" s="77"/>
      <c r="U226" s="80">
        <f>'Batt IN'!$E$28*('Batt IN'!$G$24/24)*730*(1-O226)</f>
        <v>81433.916666666657</v>
      </c>
      <c r="V226" s="78">
        <f>U226*'Batt IN'!$F$30</f>
        <v>16286.783333333333</v>
      </c>
      <c r="W226" s="78">
        <f>'Batt IN'!$E$28*'Batt IN'!$G$32*('Batt IN'!$E$32/12)*(1+'Batt IN'!$F$30)</f>
        <v>1750.0000000000002</v>
      </c>
      <c r="X226" s="78">
        <f>'Batt IN'!$E$28*'Batt IN'!$G$13*('Batt IN'!$E$13/12)*(1+'Batt IN'!$F$30)</f>
        <v>3184.9999999999995</v>
      </c>
      <c r="Y226" s="33">
        <f>S226*'Batt IN'!$G$15*'Batt IN'!$E$28*(1+'Batt IN'!$F$30)</f>
        <v>0</v>
      </c>
      <c r="Z226" s="33">
        <f>'Batt IN'!$G$16*365/12*(1+'Batt IN'!$F$30)</f>
        <v>1824.9999999999998</v>
      </c>
      <c r="AA226" s="33">
        <f>'Batt IN'!$G$17*'Batt IN'!$E$18*'Batt IN'!$G$18/12*(1+'Batt IN'!$F$30)</f>
        <v>1170</v>
      </c>
      <c r="AB226" s="33">
        <f>'Batt IN'!$G$19*'Batt IN'!$E$20*'Batt IN'!$G$20/12*(1+'Batt IN'!$F$30)</f>
        <v>150</v>
      </c>
      <c r="AC226" s="33">
        <f>'Batt IN'!$G$21*(1+'Batt IN'!$F$30)/12</f>
        <v>3500</v>
      </c>
      <c r="AD226" s="33">
        <f>'Batt IN'!$G$22*(1+'Batt IN'!$F$30)/12</f>
        <v>2500</v>
      </c>
      <c r="AE226" s="33">
        <f t="shared" si="66"/>
        <v>30366.783333333333</v>
      </c>
      <c r="AF226" s="33">
        <f>IF('PV IN'!$F$4="Battery Only",0,AE226*'Batt IN'!$E$29)</f>
        <v>25811.765833333331</v>
      </c>
      <c r="AG226" s="33">
        <f>PVCalcs!L226</f>
        <v>25811.765833333331</v>
      </c>
      <c r="AH226" s="33">
        <f t="shared" si="67"/>
        <v>4555.0175000000017</v>
      </c>
      <c r="AI226" s="33"/>
      <c r="AJ226" s="2">
        <f>IF(AND('Batt IN'!$D$53="Yes",$AL$1&gt;=1),IF($C226='Batt IN'!$H$54*12,-'Batt IN'!$F$54,0),0)</f>
        <v>0</v>
      </c>
      <c r="AK226" s="2">
        <f>IF(AND('Batt IN'!$D$53="Yes",$AL$1&gt;=2),IF($C226='Batt IN'!$H$55*12,-'Batt IN'!$F$55,0),0)</f>
        <v>0</v>
      </c>
      <c r="AL226" s="2">
        <f>IF(AND('Batt IN'!$D$53="Yes",$AL$1&gt;=3),IF($C226='Batt IN'!$H$56*12,-'Batt IN'!$F$56,0),0)</f>
        <v>0</v>
      </c>
      <c r="AM226" s="2">
        <f>IF(AND('Batt IN'!$D$53="Yes",$AL$1&gt;=4),IF($C226='Batt IN'!$H$57*12,-'Batt IN'!$F$57,0),0)</f>
        <v>0</v>
      </c>
      <c r="AN226" s="2">
        <f>IF(AND('Batt IN'!$D$53="Yes",$AL$1&gt;=5),IF($C226='Batt IN'!$H$58*12,-'Batt IN'!$F$58,0),0)</f>
        <v>0</v>
      </c>
      <c r="AO226" s="10">
        <f>IF(AND('Batt IN'!$D$44="YES",$C226&lt;='Batt IN'!$E$44*12),-'Batt IN'!$E$28*'Batt IN'!$E$42/12,0)</f>
        <v>0</v>
      </c>
      <c r="AP226" s="10">
        <f>IF(AND('Batt IN'!$D$46="YES",$C226&lt;='Batt IN'!$E$46*12),-'Batt IN'!$E$28*'Batt IN'!$E$45/12,0)</f>
        <v>0</v>
      </c>
      <c r="AR226" s="10">
        <f>BattLoan!M253</f>
        <v>0</v>
      </c>
      <c r="AS226" s="10">
        <f>'Batt IN'!$G$16*365/12*'Batt IN'!$E$16</f>
        <v>76.041666666666671</v>
      </c>
      <c r="AT226" s="10">
        <f>IF(AND('Batt IN'!$E$18&gt;0,'Batt IN'!$G$18&gt;0),'Batt IN'!$E$17*'Batt IN'!$G$17,0)</f>
        <v>119.44619999999999</v>
      </c>
      <c r="AU226" s="10">
        <f>IF(AND('Batt IN'!$E$20&gt;0,'Batt IN'!$G$20&gt;0),'Batt IN'!$E$19*'Batt IN'!$G$19,0)</f>
        <v>231</v>
      </c>
      <c r="AV226" s="10"/>
      <c r="AW226" s="10"/>
      <c r="AX226" s="10">
        <f>IF('Batt IN'!$E$11="Non-Taxable",Q226,0)</f>
        <v>11168.08</v>
      </c>
      <c r="AY226" s="10">
        <f>IF('Batt IN'!$E$11="Non-Taxable",'Batt IN'!$E$28/1000*'Batt IN'!$G$13*('Batt IN'!$E$13/12)*'Batt IN'!$E$12,0)</f>
        <v>244.42220833333334</v>
      </c>
      <c r="AZ226" s="10">
        <f>IF('Batt IN'!$E$11="Non-Taxable",$S226*'Batt IN'!$G$15*'Batt IN'!$E$28*'Batt IN'!$E$14/1000,0)</f>
        <v>0</v>
      </c>
      <c r="BA226" s="10">
        <f>IF('Batt IN'!$E$11="Non-Taxable",'Batt IN'!$E$21*'Batt IN'!$G$21/12,0)</f>
        <v>437.5</v>
      </c>
      <c r="BB226" s="10">
        <f>IF('Batt IN'!$E$11="Non-Taxable",'Batt IN'!$E$22*'Batt IN'!$G$22/12,0)</f>
        <v>1145.8333333333335</v>
      </c>
      <c r="BC226" s="10">
        <f>IF('Batt IN'!$E$11="Taxable",Q226,0)</f>
        <v>0</v>
      </c>
      <c r="BD226" s="10">
        <f>IF('Batt IN'!$E$11="Taxable",'Batt IN'!$E$28/1000*'Batt IN'!$G$13*('Batt IN'!$E$13/12)*'Batt IN'!$E$12,0)</f>
        <v>0</v>
      </c>
      <c r="BE226" s="10">
        <f>IF('Batt IN'!$E$11="Taxable",$S226*'Batt IN'!$G$15*'Batt IN'!$E$28*'Batt IN'!$E$14/1000,0)</f>
        <v>0</v>
      </c>
      <c r="BF226" s="10">
        <f>IF('Batt IN'!$E$11="Taxable",'Batt IN'!$E$21*'Batt IN'!$G$21/12,0)</f>
        <v>0</v>
      </c>
      <c r="BG226" s="10">
        <f>IF('Batt IN'!$E$11="Taxable",'Batt IN'!$E$22*'Batt IN'!$G$22/12,0)</f>
        <v>0</v>
      </c>
      <c r="BK226" s="10">
        <f>IF('Batt IN'!$N$18="Yes",-BattLoan!H254,-BattLoan!L254)</f>
        <v>0</v>
      </c>
      <c r="BL226" s="10">
        <f>IF('Batt IN'!$N$18="Yes",-BattLoan!F254,0)</f>
        <v>0</v>
      </c>
      <c r="BM226" s="10">
        <f>IF(AND('Batt IN'!$D$44="YES",$C226&lt;='Batt IN'!$E$44*12),0,-'Batt IN'!$E$28*'Batt IN'!$E$42/12)</f>
        <v>-83.333333333333329</v>
      </c>
      <c r="BN226" s="10">
        <f>IF(AND('Batt IN'!$D$46="YES",$C226&lt;='Batt IN'!$E$46*12),0,-'Batt IN'!$E$28*'Batt IN'!$E$45/12)</f>
        <v>-166.66666666666666</v>
      </c>
      <c r="BO226" s="2">
        <f>IF(AND('Batt IN'!$D$41="YES",BattCalcs!C226=ROUNDUP('Batt IN'!$H$41*12,)),-'Batt IN'!$E$41*'Batt IN'!$E$28,0)</f>
        <v>0</v>
      </c>
      <c r="BP226" s="2">
        <f>IF(AND('Batt IN'!$D$53="Yes",$AL$1&gt;=1),0,IF($C226='Batt IN'!$H$54*12,-'Batt IN'!$F$54,0))</f>
        <v>0</v>
      </c>
      <c r="BQ226" s="2">
        <f>IF(AND('Batt IN'!$D$53="Yes",$AL$1&gt;=2),0,IF($C226='Batt IN'!$H$55*12,-'Batt IN'!$F$55,0))</f>
        <v>0</v>
      </c>
      <c r="BR226" s="2">
        <f>IF(AND('Batt IN'!$D$53="Yes",$AL$1&gt;=3),0,IF($C226='Batt IN'!$H$56*12,-'Batt IN'!$F$56,0))</f>
        <v>0</v>
      </c>
      <c r="BS226" s="2">
        <f>IF(AND('Batt IN'!$D$53="Yes",$AL$1&gt;=4),0,IF($C226='Batt IN'!$H$57*12,-'Batt IN'!$F$57,0))</f>
        <v>0</v>
      </c>
      <c r="BT226" s="2">
        <f>IF(AND('Batt IN'!$D$53="Yes",$AL$1&gt;=5),0,IF($C226='Batt IN'!$H$58*12,-'Batt IN'!$F$58,0))</f>
        <v>0</v>
      </c>
      <c r="BU226" s="2">
        <f>-AH226*PVCalcs!F226</f>
        <v>-380.88882327414336</v>
      </c>
      <c r="BV226" s="2">
        <f>-'Batt IN'!$E$47</f>
        <v>-150</v>
      </c>
      <c r="BW226" s="2">
        <f>-'Batt IN'!$E$49</f>
        <v>-2250</v>
      </c>
      <c r="BX226" s="2">
        <f>IF('Batt IN'!$H$50="No",-(BC226*'Batt IN'!$E$50),-(BC226+BE226)*'Batt IN'!$E$50)</f>
        <v>0</v>
      </c>
      <c r="BY226" s="2">
        <f>IF(C226='Batt IN'!$H$43*12,-'Batt IN'!$E$43,0)</f>
        <v>0</v>
      </c>
      <c r="BZ226" s="38"/>
      <c r="CA226" s="10">
        <f t="shared" si="51"/>
        <v>13422.323408333334</v>
      </c>
      <c r="CB226" s="2">
        <f t="shared" si="55"/>
        <v>-3030.8888232741433</v>
      </c>
      <c r="CC226" s="45">
        <f t="shared" si="56"/>
        <v>10391.434585059191</v>
      </c>
      <c r="CD226" s="43"/>
      <c r="CE226" s="2">
        <f t="shared" si="52"/>
        <v>0</v>
      </c>
      <c r="CF226" s="2">
        <f t="shared" si="57"/>
        <v>-3030.8888232741433</v>
      </c>
      <c r="CG226" s="2"/>
      <c r="CH226" s="2">
        <f t="shared" si="58"/>
        <v>-3030.8888232741433</v>
      </c>
      <c r="CI226" s="45">
        <f>-CH226*'Batt IN'!$E$7</f>
        <v>636.48665288757002</v>
      </c>
      <c r="CJ226" s="48"/>
      <c r="CK226" s="45">
        <f>IF('Batt IN'!$F$4="PV Only",0,IF(C226&gt;'Batt IN'!$H$43*12,0,CC226+CI226))</f>
        <v>0</v>
      </c>
      <c r="CM226" s="10">
        <f t="shared" si="59"/>
        <v>0</v>
      </c>
      <c r="CN226" s="2">
        <f>CK226/(1+('Batt IN'!$G$8))^(C226)</f>
        <v>0</v>
      </c>
      <c r="CO226" s="2">
        <f>IF(C226&lt;='Batt IN'!$O$30*12,CN226+CO225,NA())</f>
        <v>0</v>
      </c>
      <c r="CQ226" s="2">
        <f>CK226/((1+('Batt IN'!$E$8/12))^BattCalcs!C226)</f>
        <v>0</v>
      </c>
      <c r="CS226" s="10">
        <f t="shared" si="60"/>
        <v>-3030.8888232741433</v>
      </c>
      <c r="CT226" s="10">
        <f t="shared" si="61"/>
        <v>0</v>
      </c>
      <c r="CU226" s="10">
        <f t="shared" si="62"/>
        <v>-3030.8888232741433</v>
      </c>
      <c r="CV226" s="10">
        <f t="shared" si="63"/>
        <v>-3030.8888232741433</v>
      </c>
      <c r="CW226" s="2">
        <f t="shared" si="64"/>
        <v>0</v>
      </c>
      <c r="CX226" s="2">
        <f>-(SUM(CV226:CW226)*'PV IN'!$E$8)</f>
        <v>636.48665288757002</v>
      </c>
      <c r="CY226" s="2">
        <f t="shared" si="65"/>
        <v>-2394.4021703865733</v>
      </c>
      <c r="CZ226" s="2">
        <f>IF(C226&lt;='Batt IN'!$H$43*12,CY226/(1+('PV IN'!$G$9))^(C226),0)</f>
        <v>-970.94597268903726</v>
      </c>
      <c r="DA226" s="33">
        <f>IF(C226&lt;='Batt IN'!$H$43*12,AE226,0)</f>
        <v>30366.783333333333</v>
      </c>
    </row>
    <row r="227" spans="1:105" x14ac:dyDescent="0.25">
      <c r="A227">
        <f>IF(C227&lt;='Batt IN'!$H$43*12,C227,"")</f>
        <v>223</v>
      </c>
      <c r="C227">
        <v>223</v>
      </c>
      <c r="D227" s="21">
        <v>730</v>
      </c>
      <c r="E227" s="1">
        <f>1-'Batt IN'!$E$31</f>
        <v>2.0000000000000018E-2</v>
      </c>
      <c r="F227" s="12">
        <f>('Batt IN'!$E$33*365)/8760</f>
        <v>0</v>
      </c>
      <c r="G227" s="22">
        <f>'Batt IN'!$E$32/8760</f>
        <v>5.7077625570776253E-3</v>
      </c>
      <c r="H227" s="22">
        <f>'Batt IN'!$E$13/8760</f>
        <v>5.5936073059360729E-3</v>
      </c>
      <c r="I227" s="23">
        <f>IF(C227&lt;='Batt IN'!$G$14*12,'Batt IN'!$E$15/8760*'Batt IN'!$G$15,0)</f>
        <v>0</v>
      </c>
      <c r="J227" s="12">
        <f>Z227/'Batt IN'!$E$27/730</f>
        <v>2.4999999999999996E-3</v>
      </c>
      <c r="K227" s="23">
        <f>AA227/'Batt IN'!$E$27/730</f>
        <v>1.6027397260273972E-3</v>
      </c>
      <c r="L227" s="23">
        <f>AB227/'Batt IN'!$E$27/730</f>
        <v>2.0547945205479451E-4</v>
      </c>
      <c r="M227" s="23">
        <f>AC227/'Batt IN'!$E$27/730</f>
        <v>4.7945205479452057E-3</v>
      </c>
      <c r="N227" s="23">
        <f>AD227/'Batt IN'!$E$27/730</f>
        <v>3.4246575342465752E-3</v>
      </c>
      <c r="O227" s="12">
        <f t="shared" si="53"/>
        <v>4.3828767123287697E-2</v>
      </c>
      <c r="P227" s="21">
        <f t="shared" si="54"/>
        <v>698.005</v>
      </c>
      <c r="Q227" s="2">
        <f>IF('Batt IN'!$E$27*'Batt IN'!$E$24&lt;='Batt IN'!$E$28,(('Batt IN'!$E$23*'Batt IN'!$E$27*'Batt IN'!$E$24)/1000)*P227,(('Batt IN'!$E$23*'Batt IN'!$E$28*'Batt IN'!$E$24)/1000)*P227)</f>
        <v>11168.08</v>
      </c>
      <c r="R227" s="2"/>
      <c r="S227" s="77">
        <f>IF(C227&lt;='Batt IN'!$G$14*12,'Batt IN'!$E$15/12,0)</f>
        <v>0</v>
      </c>
      <c r="T227" s="77"/>
      <c r="U227" s="80">
        <f>'Batt IN'!$E$28*('Batt IN'!$G$24/24)*730*(1-O227)</f>
        <v>81433.916666666657</v>
      </c>
      <c r="V227" s="78">
        <f>U227*'Batt IN'!$F$30</f>
        <v>16286.783333333333</v>
      </c>
      <c r="W227" s="78">
        <f>'Batt IN'!$E$28*'Batt IN'!$G$32*('Batt IN'!$E$32/12)*(1+'Batt IN'!$F$30)</f>
        <v>1750.0000000000002</v>
      </c>
      <c r="X227" s="78">
        <f>'Batt IN'!$E$28*'Batt IN'!$G$13*('Batt IN'!$E$13/12)*(1+'Batt IN'!$F$30)</f>
        <v>3184.9999999999995</v>
      </c>
      <c r="Y227" s="33">
        <f>S227*'Batt IN'!$G$15*'Batt IN'!$E$28*(1+'Batt IN'!$F$30)</f>
        <v>0</v>
      </c>
      <c r="Z227" s="33">
        <f>'Batt IN'!$G$16*365/12*(1+'Batt IN'!$F$30)</f>
        <v>1824.9999999999998</v>
      </c>
      <c r="AA227" s="33">
        <f>'Batt IN'!$G$17*'Batt IN'!$E$18*'Batt IN'!$G$18/12*(1+'Batt IN'!$F$30)</f>
        <v>1170</v>
      </c>
      <c r="AB227" s="33">
        <f>'Batt IN'!$G$19*'Batt IN'!$E$20*'Batt IN'!$G$20/12*(1+'Batt IN'!$F$30)</f>
        <v>150</v>
      </c>
      <c r="AC227" s="33">
        <f>'Batt IN'!$G$21*(1+'Batt IN'!$F$30)/12</f>
        <v>3500</v>
      </c>
      <c r="AD227" s="33">
        <f>'Batt IN'!$G$22*(1+'Batt IN'!$F$30)/12</f>
        <v>2500</v>
      </c>
      <c r="AE227" s="33">
        <f t="shared" si="66"/>
        <v>30366.783333333333</v>
      </c>
      <c r="AF227" s="33">
        <f>IF('PV IN'!$F$4="Battery Only",0,AE227*'Batt IN'!$E$29)</f>
        <v>25811.765833333331</v>
      </c>
      <c r="AG227" s="33">
        <f>PVCalcs!L227</f>
        <v>25811.765833333331</v>
      </c>
      <c r="AH227" s="33">
        <f t="shared" si="67"/>
        <v>4555.0175000000017</v>
      </c>
      <c r="AI227" s="33"/>
      <c r="AJ227" s="2">
        <f>IF(AND('Batt IN'!$D$53="Yes",$AL$1&gt;=1),IF($C227='Batt IN'!$H$54*12,-'Batt IN'!$F$54,0),0)</f>
        <v>0</v>
      </c>
      <c r="AK227" s="2">
        <f>IF(AND('Batt IN'!$D$53="Yes",$AL$1&gt;=2),IF($C227='Batt IN'!$H$55*12,-'Batt IN'!$F$55,0),0)</f>
        <v>0</v>
      </c>
      <c r="AL227" s="2">
        <f>IF(AND('Batt IN'!$D$53="Yes",$AL$1&gt;=3),IF($C227='Batt IN'!$H$56*12,-'Batt IN'!$F$56,0),0)</f>
        <v>0</v>
      </c>
      <c r="AM227" s="2">
        <f>IF(AND('Batt IN'!$D$53="Yes",$AL$1&gt;=4),IF($C227='Batt IN'!$H$57*12,-'Batt IN'!$F$57,0),0)</f>
        <v>0</v>
      </c>
      <c r="AN227" s="2">
        <f>IF(AND('Batt IN'!$D$53="Yes",$AL$1&gt;=5),IF($C227='Batt IN'!$H$58*12,-'Batt IN'!$F$58,0),0)</f>
        <v>0</v>
      </c>
      <c r="AO227" s="10">
        <f>IF(AND('Batt IN'!$D$44="YES",$C227&lt;='Batt IN'!$E$44*12),-'Batt IN'!$E$28*'Batt IN'!$E$42/12,0)</f>
        <v>0</v>
      </c>
      <c r="AP227" s="10">
        <f>IF(AND('Batt IN'!$D$46="YES",$C227&lt;='Batt IN'!$E$46*12),-'Batt IN'!$E$28*'Batt IN'!$E$45/12,0)</f>
        <v>0</v>
      </c>
      <c r="AR227" s="10">
        <f>BattLoan!M254</f>
        <v>0</v>
      </c>
      <c r="AS227" s="10">
        <f>'Batt IN'!$G$16*365/12*'Batt IN'!$E$16</f>
        <v>76.041666666666671</v>
      </c>
      <c r="AT227" s="10">
        <f>IF(AND('Batt IN'!$E$18&gt;0,'Batt IN'!$G$18&gt;0),'Batt IN'!$E$17*'Batt IN'!$G$17,0)</f>
        <v>119.44619999999999</v>
      </c>
      <c r="AU227" s="10">
        <f>IF(AND('Batt IN'!$E$20&gt;0,'Batt IN'!$G$20&gt;0),'Batt IN'!$E$19*'Batt IN'!$G$19,0)</f>
        <v>231</v>
      </c>
      <c r="AV227" s="10"/>
      <c r="AW227" s="10"/>
      <c r="AX227" s="10">
        <f>IF('Batt IN'!$E$11="Non-Taxable",Q227,0)</f>
        <v>11168.08</v>
      </c>
      <c r="AY227" s="10">
        <f>IF('Batt IN'!$E$11="Non-Taxable",'Batt IN'!$E$28/1000*'Batt IN'!$G$13*('Batt IN'!$E$13/12)*'Batt IN'!$E$12,0)</f>
        <v>244.42220833333334</v>
      </c>
      <c r="AZ227" s="10">
        <f>IF('Batt IN'!$E$11="Non-Taxable",$S227*'Batt IN'!$G$15*'Batt IN'!$E$28*'Batt IN'!$E$14/1000,0)</f>
        <v>0</v>
      </c>
      <c r="BA227" s="10">
        <f>IF('Batt IN'!$E$11="Non-Taxable",'Batt IN'!$E$21*'Batt IN'!$G$21/12,0)</f>
        <v>437.5</v>
      </c>
      <c r="BB227" s="10">
        <f>IF('Batt IN'!$E$11="Non-Taxable",'Batt IN'!$E$22*'Batt IN'!$G$22/12,0)</f>
        <v>1145.8333333333335</v>
      </c>
      <c r="BC227" s="10">
        <f>IF('Batt IN'!$E$11="Taxable",Q227,0)</f>
        <v>0</v>
      </c>
      <c r="BD227" s="10">
        <f>IF('Batt IN'!$E$11="Taxable",'Batt IN'!$E$28/1000*'Batt IN'!$G$13*('Batt IN'!$E$13/12)*'Batt IN'!$E$12,0)</f>
        <v>0</v>
      </c>
      <c r="BE227" s="10">
        <f>IF('Batt IN'!$E$11="Taxable",$S227*'Batt IN'!$G$15*'Batt IN'!$E$28*'Batt IN'!$E$14/1000,0)</f>
        <v>0</v>
      </c>
      <c r="BF227" s="10">
        <f>IF('Batt IN'!$E$11="Taxable",'Batt IN'!$E$21*'Batt IN'!$G$21/12,0)</f>
        <v>0</v>
      </c>
      <c r="BG227" s="10">
        <f>IF('Batt IN'!$E$11="Taxable",'Batt IN'!$E$22*'Batt IN'!$G$22/12,0)</f>
        <v>0</v>
      </c>
      <c r="BK227" s="10">
        <f>IF('Batt IN'!$N$18="Yes",-BattLoan!H255,-BattLoan!L255)</f>
        <v>0</v>
      </c>
      <c r="BL227" s="10">
        <f>IF('Batt IN'!$N$18="Yes",-BattLoan!F255,0)</f>
        <v>0</v>
      </c>
      <c r="BM227" s="10">
        <f>IF(AND('Batt IN'!$D$44="YES",$C227&lt;='Batt IN'!$E$44*12),0,-'Batt IN'!$E$28*'Batt IN'!$E$42/12)</f>
        <v>-83.333333333333329</v>
      </c>
      <c r="BN227" s="10">
        <f>IF(AND('Batt IN'!$D$46="YES",$C227&lt;='Batt IN'!$E$46*12),0,-'Batt IN'!$E$28*'Batt IN'!$E$45/12)</f>
        <v>-166.66666666666666</v>
      </c>
      <c r="BO227" s="2">
        <f>IF(AND('Batt IN'!$D$41="YES",BattCalcs!C227=ROUNDUP('Batt IN'!$H$41*12,)),-'Batt IN'!$E$41*'Batt IN'!$E$28,0)</f>
        <v>0</v>
      </c>
      <c r="BP227" s="2">
        <f>IF(AND('Batt IN'!$D$53="Yes",$AL$1&gt;=1),0,IF($C227='Batt IN'!$H$54*12,-'Batt IN'!$F$54,0))</f>
        <v>0</v>
      </c>
      <c r="BQ227" s="2">
        <f>IF(AND('Batt IN'!$D$53="Yes",$AL$1&gt;=2),0,IF($C227='Batt IN'!$H$55*12,-'Batt IN'!$F$55,0))</f>
        <v>0</v>
      </c>
      <c r="BR227" s="2">
        <f>IF(AND('Batt IN'!$D$53="Yes",$AL$1&gt;=3),0,IF($C227='Batt IN'!$H$56*12,-'Batt IN'!$F$56,0))</f>
        <v>0</v>
      </c>
      <c r="BS227" s="2">
        <f>IF(AND('Batt IN'!$D$53="Yes",$AL$1&gt;=4),0,IF($C227='Batt IN'!$H$57*12,-'Batt IN'!$F$57,0))</f>
        <v>0</v>
      </c>
      <c r="BT227" s="2">
        <f>IF(AND('Batt IN'!$D$53="Yes",$AL$1&gt;=5),0,IF($C227='Batt IN'!$H$58*12,-'Batt IN'!$F$58,0))</f>
        <v>0</v>
      </c>
      <c r="BU227" s="2">
        <f>-AH227*PVCalcs!F227</f>
        <v>-380.88882327414336</v>
      </c>
      <c r="BV227" s="2">
        <f>-'Batt IN'!$E$47</f>
        <v>-150</v>
      </c>
      <c r="BW227" s="2">
        <f>-'Batt IN'!$E$49</f>
        <v>-2250</v>
      </c>
      <c r="BX227" s="2">
        <f>IF('Batt IN'!$H$50="No",-(BC227*'Batt IN'!$E$50),-(BC227+BE227)*'Batt IN'!$E$50)</f>
        <v>0</v>
      </c>
      <c r="BY227" s="2">
        <f>IF(C227='Batt IN'!$H$43*12,-'Batt IN'!$E$43,0)</f>
        <v>0</v>
      </c>
      <c r="BZ227" s="38"/>
      <c r="CA227" s="10">
        <f t="shared" si="51"/>
        <v>13422.323408333334</v>
      </c>
      <c r="CB227" s="2">
        <f t="shared" si="55"/>
        <v>-3030.8888232741433</v>
      </c>
      <c r="CC227" s="45">
        <f t="shared" si="56"/>
        <v>10391.434585059191</v>
      </c>
      <c r="CD227" s="43"/>
      <c r="CE227" s="2">
        <f t="shared" si="52"/>
        <v>0</v>
      </c>
      <c r="CF227" s="2">
        <f t="shared" si="57"/>
        <v>-3030.8888232741433</v>
      </c>
      <c r="CG227" s="2"/>
      <c r="CH227" s="2">
        <f t="shared" si="58"/>
        <v>-3030.8888232741433</v>
      </c>
      <c r="CI227" s="45">
        <f>-CH227*'Batt IN'!$E$7</f>
        <v>636.48665288757002</v>
      </c>
      <c r="CJ227" s="48"/>
      <c r="CK227" s="45">
        <f>IF('Batt IN'!$F$4="PV Only",0,IF(C227&gt;'Batt IN'!$H$43*12,0,CC227+CI227))</f>
        <v>0</v>
      </c>
      <c r="CM227" s="10">
        <f t="shared" si="59"/>
        <v>0</v>
      </c>
      <c r="CN227" s="2">
        <f>CK227/(1+('Batt IN'!$G$8))^(C227)</f>
        <v>0</v>
      </c>
      <c r="CO227" s="2">
        <f>IF(C227&lt;='Batt IN'!$O$30*12,CN227+CO226,NA())</f>
        <v>0</v>
      </c>
      <c r="CQ227" s="2">
        <f>CK227/((1+('Batt IN'!$E$8/12))^BattCalcs!C227)</f>
        <v>0</v>
      </c>
      <c r="CS227" s="10">
        <f t="shared" si="60"/>
        <v>-3030.8888232741433</v>
      </c>
      <c r="CT227" s="10">
        <f t="shared" si="61"/>
        <v>0</v>
      </c>
      <c r="CU227" s="10">
        <f t="shared" si="62"/>
        <v>-3030.8888232741433</v>
      </c>
      <c r="CV227" s="10">
        <f t="shared" si="63"/>
        <v>-3030.8888232741433</v>
      </c>
      <c r="CW227" s="2">
        <f t="shared" si="64"/>
        <v>0</v>
      </c>
      <c r="CX227" s="2">
        <f>-(SUM(CV227:CW227)*'PV IN'!$E$8)</f>
        <v>636.48665288757002</v>
      </c>
      <c r="CY227" s="2">
        <f t="shared" si="65"/>
        <v>-2394.4021703865733</v>
      </c>
      <c r="CZ227" s="2">
        <f>IF(C227&lt;='Batt IN'!$H$43*12,CY227/(1+('PV IN'!$G$9))^(C227),0)</f>
        <v>-967.00626944774297</v>
      </c>
      <c r="DA227" s="33">
        <f>IF(C227&lt;='Batt IN'!$H$43*12,AE227,0)</f>
        <v>30366.783333333333</v>
      </c>
    </row>
    <row r="228" spans="1:105" x14ac:dyDescent="0.25">
      <c r="A228">
        <f>IF(C228&lt;='Batt IN'!$H$43*12,C228,"")</f>
        <v>224</v>
      </c>
      <c r="C228">
        <v>224</v>
      </c>
      <c r="D228" s="21">
        <v>730</v>
      </c>
      <c r="E228" s="1">
        <f>1-'Batt IN'!$E$31</f>
        <v>2.0000000000000018E-2</v>
      </c>
      <c r="F228" s="12">
        <f>('Batt IN'!$E$33*365)/8760</f>
        <v>0</v>
      </c>
      <c r="G228" s="22">
        <f>'Batt IN'!$E$32/8760</f>
        <v>5.7077625570776253E-3</v>
      </c>
      <c r="H228" s="22">
        <f>'Batt IN'!$E$13/8760</f>
        <v>5.5936073059360729E-3</v>
      </c>
      <c r="I228" s="23">
        <f>IF(C228&lt;='Batt IN'!$G$14*12,'Batt IN'!$E$15/8760*'Batt IN'!$G$15,0)</f>
        <v>0</v>
      </c>
      <c r="J228" s="12">
        <f>Z228/'Batt IN'!$E$27/730</f>
        <v>2.4999999999999996E-3</v>
      </c>
      <c r="K228" s="23">
        <f>AA228/'Batt IN'!$E$27/730</f>
        <v>1.6027397260273972E-3</v>
      </c>
      <c r="L228" s="23">
        <f>AB228/'Batt IN'!$E$27/730</f>
        <v>2.0547945205479451E-4</v>
      </c>
      <c r="M228" s="23">
        <f>AC228/'Batt IN'!$E$27/730</f>
        <v>4.7945205479452057E-3</v>
      </c>
      <c r="N228" s="23">
        <f>AD228/'Batt IN'!$E$27/730</f>
        <v>3.4246575342465752E-3</v>
      </c>
      <c r="O228" s="12">
        <f t="shared" si="53"/>
        <v>4.3828767123287697E-2</v>
      </c>
      <c r="P228" s="21">
        <f t="shared" si="54"/>
        <v>698.005</v>
      </c>
      <c r="Q228" s="2">
        <f>IF('Batt IN'!$E$27*'Batt IN'!$E$24&lt;='Batt IN'!$E$28,(('Batt IN'!$E$23*'Batt IN'!$E$27*'Batt IN'!$E$24)/1000)*P228,(('Batt IN'!$E$23*'Batt IN'!$E$28*'Batt IN'!$E$24)/1000)*P228)</f>
        <v>11168.08</v>
      </c>
      <c r="R228" s="2"/>
      <c r="S228" s="77">
        <f>IF(C228&lt;='Batt IN'!$G$14*12,'Batt IN'!$E$15/12,0)</f>
        <v>0</v>
      </c>
      <c r="T228" s="77"/>
      <c r="U228" s="80">
        <f>'Batt IN'!$E$28*('Batt IN'!$G$24/24)*730*(1-O228)</f>
        <v>81433.916666666657</v>
      </c>
      <c r="V228" s="78">
        <f>U228*'Batt IN'!$F$30</f>
        <v>16286.783333333333</v>
      </c>
      <c r="W228" s="78">
        <f>'Batt IN'!$E$28*'Batt IN'!$G$32*('Batt IN'!$E$32/12)*(1+'Batt IN'!$F$30)</f>
        <v>1750.0000000000002</v>
      </c>
      <c r="X228" s="78">
        <f>'Batt IN'!$E$28*'Batt IN'!$G$13*('Batt IN'!$E$13/12)*(1+'Batt IN'!$F$30)</f>
        <v>3184.9999999999995</v>
      </c>
      <c r="Y228" s="33">
        <f>S228*'Batt IN'!$G$15*'Batt IN'!$E$28*(1+'Batt IN'!$F$30)</f>
        <v>0</v>
      </c>
      <c r="Z228" s="33">
        <f>'Batt IN'!$G$16*365/12*(1+'Batt IN'!$F$30)</f>
        <v>1824.9999999999998</v>
      </c>
      <c r="AA228" s="33">
        <f>'Batt IN'!$G$17*'Batt IN'!$E$18*'Batt IN'!$G$18/12*(1+'Batt IN'!$F$30)</f>
        <v>1170</v>
      </c>
      <c r="AB228" s="33">
        <f>'Batt IN'!$G$19*'Batt IN'!$E$20*'Batt IN'!$G$20/12*(1+'Batt IN'!$F$30)</f>
        <v>150</v>
      </c>
      <c r="AC228" s="33">
        <f>'Batt IN'!$G$21*(1+'Batt IN'!$F$30)/12</f>
        <v>3500</v>
      </c>
      <c r="AD228" s="33">
        <f>'Batt IN'!$G$22*(1+'Batt IN'!$F$30)/12</f>
        <v>2500</v>
      </c>
      <c r="AE228" s="33">
        <f t="shared" si="66"/>
        <v>30366.783333333333</v>
      </c>
      <c r="AF228" s="33">
        <f>IF('PV IN'!$F$4="Battery Only",0,AE228*'Batt IN'!$E$29)</f>
        <v>25811.765833333331</v>
      </c>
      <c r="AG228" s="33">
        <f>PVCalcs!L228</f>
        <v>25811.765833333331</v>
      </c>
      <c r="AH228" s="33">
        <f t="shared" si="67"/>
        <v>4555.0175000000017</v>
      </c>
      <c r="AI228" s="33"/>
      <c r="AJ228" s="2">
        <f>IF(AND('Batt IN'!$D$53="Yes",$AL$1&gt;=1),IF($C228='Batt IN'!$H$54*12,-'Batt IN'!$F$54,0),0)</f>
        <v>0</v>
      </c>
      <c r="AK228" s="2">
        <f>IF(AND('Batt IN'!$D$53="Yes",$AL$1&gt;=2),IF($C228='Batt IN'!$H$55*12,-'Batt IN'!$F$55,0),0)</f>
        <v>0</v>
      </c>
      <c r="AL228" s="2">
        <f>IF(AND('Batt IN'!$D$53="Yes",$AL$1&gt;=3),IF($C228='Batt IN'!$H$56*12,-'Batt IN'!$F$56,0),0)</f>
        <v>0</v>
      </c>
      <c r="AM228" s="2">
        <f>IF(AND('Batt IN'!$D$53="Yes",$AL$1&gt;=4),IF($C228='Batt IN'!$H$57*12,-'Batt IN'!$F$57,0),0)</f>
        <v>0</v>
      </c>
      <c r="AN228" s="2">
        <f>IF(AND('Batt IN'!$D$53="Yes",$AL$1&gt;=5),IF($C228='Batt IN'!$H$58*12,-'Batt IN'!$F$58,0),0)</f>
        <v>0</v>
      </c>
      <c r="AO228" s="10">
        <f>IF(AND('Batt IN'!$D$44="YES",$C228&lt;='Batt IN'!$E$44*12),-'Batt IN'!$E$28*'Batt IN'!$E$42/12,0)</f>
        <v>0</v>
      </c>
      <c r="AP228" s="10">
        <f>IF(AND('Batt IN'!$D$46="YES",$C228&lt;='Batt IN'!$E$46*12),-'Batt IN'!$E$28*'Batt IN'!$E$45/12,0)</f>
        <v>0</v>
      </c>
      <c r="AR228" s="10">
        <f>BattLoan!M255</f>
        <v>0</v>
      </c>
      <c r="AS228" s="10">
        <f>'Batt IN'!$G$16*365/12*'Batt IN'!$E$16</f>
        <v>76.041666666666671</v>
      </c>
      <c r="AT228" s="10">
        <f>IF(AND('Batt IN'!$E$18&gt;0,'Batt IN'!$G$18&gt;0),'Batt IN'!$E$17*'Batt IN'!$G$17,0)</f>
        <v>119.44619999999999</v>
      </c>
      <c r="AU228" s="10">
        <f>IF(AND('Batt IN'!$E$20&gt;0,'Batt IN'!$G$20&gt;0),'Batt IN'!$E$19*'Batt IN'!$G$19,0)</f>
        <v>231</v>
      </c>
      <c r="AV228" s="10"/>
      <c r="AW228" s="10"/>
      <c r="AX228" s="10">
        <f>IF('Batt IN'!$E$11="Non-Taxable",Q228,0)</f>
        <v>11168.08</v>
      </c>
      <c r="AY228" s="10">
        <f>IF('Batt IN'!$E$11="Non-Taxable",'Batt IN'!$E$28/1000*'Batt IN'!$G$13*('Batt IN'!$E$13/12)*'Batt IN'!$E$12,0)</f>
        <v>244.42220833333334</v>
      </c>
      <c r="AZ228" s="10">
        <f>IF('Batt IN'!$E$11="Non-Taxable",$S228*'Batt IN'!$G$15*'Batt IN'!$E$28*'Batt IN'!$E$14/1000,0)</f>
        <v>0</v>
      </c>
      <c r="BA228" s="10">
        <f>IF('Batt IN'!$E$11="Non-Taxable",'Batt IN'!$E$21*'Batt IN'!$G$21/12,0)</f>
        <v>437.5</v>
      </c>
      <c r="BB228" s="10">
        <f>IF('Batt IN'!$E$11="Non-Taxable",'Batt IN'!$E$22*'Batt IN'!$G$22/12,0)</f>
        <v>1145.8333333333335</v>
      </c>
      <c r="BC228" s="10">
        <f>IF('Batt IN'!$E$11="Taxable",Q228,0)</f>
        <v>0</v>
      </c>
      <c r="BD228" s="10">
        <f>IF('Batt IN'!$E$11="Taxable",'Batt IN'!$E$28/1000*'Batt IN'!$G$13*('Batt IN'!$E$13/12)*'Batt IN'!$E$12,0)</f>
        <v>0</v>
      </c>
      <c r="BE228" s="10">
        <f>IF('Batt IN'!$E$11="Taxable",$S228*'Batt IN'!$G$15*'Batt IN'!$E$28*'Batt IN'!$E$14/1000,0)</f>
        <v>0</v>
      </c>
      <c r="BF228" s="10">
        <f>IF('Batt IN'!$E$11="Taxable",'Batt IN'!$E$21*'Batt IN'!$G$21/12,0)</f>
        <v>0</v>
      </c>
      <c r="BG228" s="10">
        <f>IF('Batt IN'!$E$11="Taxable",'Batt IN'!$E$22*'Batt IN'!$G$22/12,0)</f>
        <v>0</v>
      </c>
      <c r="BK228" s="10">
        <f>IF('Batt IN'!$N$18="Yes",-BattLoan!H256,-BattLoan!L256)</f>
        <v>0</v>
      </c>
      <c r="BL228" s="10">
        <f>IF('Batt IN'!$N$18="Yes",-BattLoan!F256,0)</f>
        <v>0</v>
      </c>
      <c r="BM228" s="10">
        <f>IF(AND('Batt IN'!$D$44="YES",$C228&lt;='Batt IN'!$E$44*12),0,-'Batt IN'!$E$28*'Batt IN'!$E$42/12)</f>
        <v>-83.333333333333329</v>
      </c>
      <c r="BN228" s="10">
        <f>IF(AND('Batt IN'!$D$46="YES",$C228&lt;='Batt IN'!$E$46*12),0,-'Batt IN'!$E$28*'Batt IN'!$E$45/12)</f>
        <v>-166.66666666666666</v>
      </c>
      <c r="BO228" s="2">
        <f>IF(AND('Batt IN'!$D$41="YES",BattCalcs!C228=ROUNDUP('Batt IN'!$H$41*12,)),-'Batt IN'!$E$41*'Batt IN'!$E$28,0)</f>
        <v>0</v>
      </c>
      <c r="BP228" s="2">
        <f>IF(AND('Batt IN'!$D$53="Yes",$AL$1&gt;=1),0,IF($C228='Batt IN'!$H$54*12,-'Batt IN'!$F$54,0))</f>
        <v>0</v>
      </c>
      <c r="BQ228" s="2">
        <f>IF(AND('Batt IN'!$D$53="Yes",$AL$1&gt;=2),0,IF($C228='Batt IN'!$H$55*12,-'Batt IN'!$F$55,0))</f>
        <v>0</v>
      </c>
      <c r="BR228" s="2">
        <f>IF(AND('Batt IN'!$D$53="Yes",$AL$1&gt;=3),0,IF($C228='Batt IN'!$H$56*12,-'Batt IN'!$F$56,0))</f>
        <v>0</v>
      </c>
      <c r="BS228" s="2">
        <f>IF(AND('Batt IN'!$D$53="Yes",$AL$1&gt;=4),0,IF($C228='Batt IN'!$H$57*12,-'Batt IN'!$F$57,0))</f>
        <v>0</v>
      </c>
      <c r="BT228" s="2">
        <f>IF(AND('Batt IN'!$D$53="Yes",$AL$1&gt;=5),0,IF($C228='Batt IN'!$H$58*12,-'Batt IN'!$F$58,0))</f>
        <v>0</v>
      </c>
      <c r="BU228" s="2">
        <f>-AH228*PVCalcs!F228</f>
        <v>-380.88882327414336</v>
      </c>
      <c r="BV228" s="2">
        <f>-'Batt IN'!$E$47</f>
        <v>-150</v>
      </c>
      <c r="BW228" s="2">
        <f>-'Batt IN'!$E$49</f>
        <v>-2250</v>
      </c>
      <c r="BX228" s="2">
        <f>IF('Batt IN'!$H$50="No",-(BC228*'Batt IN'!$E$50),-(BC228+BE228)*'Batt IN'!$E$50)</f>
        <v>0</v>
      </c>
      <c r="BY228" s="2">
        <f>IF(C228='Batt IN'!$H$43*12,-'Batt IN'!$E$43,0)</f>
        <v>0</v>
      </c>
      <c r="BZ228" s="38"/>
      <c r="CA228" s="10">
        <f t="shared" si="51"/>
        <v>13422.323408333334</v>
      </c>
      <c r="CB228" s="2">
        <f t="shared" si="55"/>
        <v>-3030.8888232741433</v>
      </c>
      <c r="CC228" s="45">
        <f t="shared" si="56"/>
        <v>10391.434585059191</v>
      </c>
      <c r="CD228" s="43"/>
      <c r="CE228" s="2">
        <f t="shared" si="52"/>
        <v>0</v>
      </c>
      <c r="CF228" s="2">
        <f t="shared" si="57"/>
        <v>-3030.8888232741433</v>
      </c>
      <c r="CG228" s="2"/>
      <c r="CH228" s="2">
        <f t="shared" si="58"/>
        <v>-3030.8888232741433</v>
      </c>
      <c r="CI228" s="45">
        <f>-CH228*'Batt IN'!$E$7</f>
        <v>636.48665288757002</v>
      </c>
      <c r="CJ228" s="48"/>
      <c r="CK228" s="45">
        <f>IF('Batt IN'!$F$4="PV Only",0,IF(C228&gt;'Batt IN'!$H$43*12,0,CC228+CI228))</f>
        <v>0</v>
      </c>
      <c r="CM228" s="10">
        <f t="shared" si="59"/>
        <v>0</v>
      </c>
      <c r="CN228" s="2">
        <f>CK228/(1+('Batt IN'!$G$8))^(C228)</f>
        <v>0</v>
      </c>
      <c r="CO228" s="2">
        <f>IF(C228&lt;='Batt IN'!$O$30*12,CN228+CO227,NA())</f>
        <v>0</v>
      </c>
      <c r="CQ228" s="2">
        <f>CK228/((1+('Batt IN'!$E$8/12))^BattCalcs!C228)</f>
        <v>0</v>
      </c>
      <c r="CS228" s="10">
        <f t="shared" si="60"/>
        <v>-3030.8888232741433</v>
      </c>
      <c r="CT228" s="10">
        <f t="shared" si="61"/>
        <v>0</v>
      </c>
      <c r="CU228" s="10">
        <f t="shared" si="62"/>
        <v>-3030.8888232741433</v>
      </c>
      <c r="CV228" s="10">
        <f t="shared" si="63"/>
        <v>-3030.8888232741433</v>
      </c>
      <c r="CW228" s="2">
        <f t="shared" si="64"/>
        <v>0</v>
      </c>
      <c r="CX228" s="2">
        <f>-(SUM(CV228:CW228)*'PV IN'!$E$8)</f>
        <v>636.48665288757002</v>
      </c>
      <c r="CY228" s="2">
        <f t="shared" si="65"/>
        <v>-2394.4021703865733</v>
      </c>
      <c r="CZ228" s="2">
        <f>IF(C228&lt;='Batt IN'!$H$43*12,CY228/(1+('PV IN'!$G$9))^(C228),0)</f>
        <v>-963.08255191735975</v>
      </c>
      <c r="DA228" s="33">
        <f>IF(C228&lt;='Batt IN'!$H$43*12,AE228,0)</f>
        <v>30366.783333333333</v>
      </c>
    </row>
    <row r="229" spans="1:105" x14ac:dyDescent="0.25">
      <c r="A229">
        <f>IF(C229&lt;='Batt IN'!$H$43*12,C229,"")</f>
        <v>225</v>
      </c>
      <c r="C229">
        <v>225</v>
      </c>
      <c r="D229" s="21">
        <v>730</v>
      </c>
      <c r="E229" s="1">
        <f>1-'Batt IN'!$E$31</f>
        <v>2.0000000000000018E-2</v>
      </c>
      <c r="F229" s="12">
        <f>('Batt IN'!$E$33*365)/8760</f>
        <v>0</v>
      </c>
      <c r="G229" s="22">
        <f>'Batt IN'!$E$32/8760</f>
        <v>5.7077625570776253E-3</v>
      </c>
      <c r="H229" s="22">
        <f>'Batt IN'!$E$13/8760</f>
        <v>5.5936073059360729E-3</v>
      </c>
      <c r="I229" s="23">
        <f>IF(C229&lt;='Batt IN'!$G$14*12,'Batt IN'!$E$15/8760*'Batt IN'!$G$15,0)</f>
        <v>0</v>
      </c>
      <c r="J229" s="12">
        <f>Z229/'Batt IN'!$E$27/730</f>
        <v>2.4999999999999996E-3</v>
      </c>
      <c r="K229" s="23">
        <f>AA229/'Batt IN'!$E$27/730</f>
        <v>1.6027397260273972E-3</v>
      </c>
      <c r="L229" s="23">
        <f>AB229/'Batt IN'!$E$27/730</f>
        <v>2.0547945205479451E-4</v>
      </c>
      <c r="M229" s="23">
        <f>AC229/'Batt IN'!$E$27/730</f>
        <v>4.7945205479452057E-3</v>
      </c>
      <c r="N229" s="23">
        <f>AD229/'Batt IN'!$E$27/730</f>
        <v>3.4246575342465752E-3</v>
      </c>
      <c r="O229" s="12">
        <f t="shared" si="53"/>
        <v>4.3828767123287697E-2</v>
      </c>
      <c r="P229" s="21">
        <f t="shared" si="54"/>
        <v>698.005</v>
      </c>
      <c r="Q229" s="2">
        <f>IF('Batt IN'!$E$27*'Batt IN'!$E$24&lt;='Batt IN'!$E$28,(('Batt IN'!$E$23*'Batt IN'!$E$27*'Batt IN'!$E$24)/1000)*P229,(('Batt IN'!$E$23*'Batt IN'!$E$28*'Batt IN'!$E$24)/1000)*P229)</f>
        <v>11168.08</v>
      </c>
      <c r="R229" s="2"/>
      <c r="S229" s="77">
        <f>IF(C229&lt;='Batt IN'!$G$14*12,'Batt IN'!$E$15/12,0)</f>
        <v>0</v>
      </c>
      <c r="T229" s="77"/>
      <c r="U229" s="80">
        <f>'Batt IN'!$E$28*('Batt IN'!$G$24/24)*730*(1-O229)</f>
        <v>81433.916666666657</v>
      </c>
      <c r="V229" s="78">
        <f>U229*'Batt IN'!$F$30</f>
        <v>16286.783333333333</v>
      </c>
      <c r="W229" s="78">
        <f>'Batt IN'!$E$28*'Batt IN'!$G$32*('Batt IN'!$E$32/12)*(1+'Batt IN'!$F$30)</f>
        <v>1750.0000000000002</v>
      </c>
      <c r="X229" s="78">
        <f>'Batt IN'!$E$28*'Batt IN'!$G$13*('Batt IN'!$E$13/12)*(1+'Batt IN'!$F$30)</f>
        <v>3184.9999999999995</v>
      </c>
      <c r="Y229" s="33">
        <f>S229*'Batt IN'!$G$15*'Batt IN'!$E$28*(1+'Batt IN'!$F$30)</f>
        <v>0</v>
      </c>
      <c r="Z229" s="33">
        <f>'Batt IN'!$G$16*365/12*(1+'Batt IN'!$F$30)</f>
        <v>1824.9999999999998</v>
      </c>
      <c r="AA229" s="33">
        <f>'Batt IN'!$G$17*'Batt IN'!$E$18*'Batt IN'!$G$18/12*(1+'Batt IN'!$F$30)</f>
        <v>1170</v>
      </c>
      <c r="AB229" s="33">
        <f>'Batt IN'!$G$19*'Batt IN'!$E$20*'Batt IN'!$G$20/12*(1+'Batt IN'!$F$30)</f>
        <v>150</v>
      </c>
      <c r="AC229" s="33">
        <f>'Batt IN'!$G$21*(1+'Batt IN'!$F$30)/12</f>
        <v>3500</v>
      </c>
      <c r="AD229" s="33">
        <f>'Batt IN'!$G$22*(1+'Batt IN'!$F$30)/12</f>
        <v>2500</v>
      </c>
      <c r="AE229" s="33">
        <f t="shared" si="66"/>
        <v>30366.783333333333</v>
      </c>
      <c r="AF229" s="33">
        <f>IF('PV IN'!$F$4="Battery Only",0,AE229*'Batt IN'!$E$29)</f>
        <v>25811.765833333331</v>
      </c>
      <c r="AG229" s="33">
        <f>PVCalcs!L229</f>
        <v>25811.765833333331</v>
      </c>
      <c r="AH229" s="33">
        <f t="shared" si="67"/>
        <v>4555.0175000000017</v>
      </c>
      <c r="AI229" s="33"/>
      <c r="AJ229" s="2">
        <f>IF(AND('Batt IN'!$D$53="Yes",$AL$1&gt;=1),IF($C229='Batt IN'!$H$54*12,-'Batt IN'!$F$54,0),0)</f>
        <v>0</v>
      </c>
      <c r="AK229" s="2">
        <f>IF(AND('Batt IN'!$D$53="Yes",$AL$1&gt;=2),IF($C229='Batt IN'!$H$55*12,-'Batt IN'!$F$55,0),0)</f>
        <v>0</v>
      </c>
      <c r="AL229" s="2">
        <f>IF(AND('Batt IN'!$D$53="Yes",$AL$1&gt;=3),IF($C229='Batt IN'!$H$56*12,-'Batt IN'!$F$56,0),0)</f>
        <v>0</v>
      </c>
      <c r="AM229" s="2">
        <f>IF(AND('Batt IN'!$D$53="Yes",$AL$1&gt;=4),IF($C229='Batt IN'!$H$57*12,-'Batt IN'!$F$57,0),0)</f>
        <v>0</v>
      </c>
      <c r="AN229" s="2">
        <f>IF(AND('Batt IN'!$D$53="Yes",$AL$1&gt;=5),IF($C229='Batt IN'!$H$58*12,-'Batt IN'!$F$58,0),0)</f>
        <v>0</v>
      </c>
      <c r="AO229" s="10">
        <f>IF(AND('Batt IN'!$D$44="YES",$C229&lt;='Batt IN'!$E$44*12),-'Batt IN'!$E$28*'Batt IN'!$E$42/12,0)</f>
        <v>0</v>
      </c>
      <c r="AP229" s="10">
        <f>IF(AND('Batt IN'!$D$46="YES",$C229&lt;='Batt IN'!$E$46*12),-'Batt IN'!$E$28*'Batt IN'!$E$45/12,0)</f>
        <v>0</v>
      </c>
      <c r="AR229" s="10">
        <f>BattLoan!M256</f>
        <v>0</v>
      </c>
      <c r="AS229" s="10">
        <f>'Batt IN'!$G$16*365/12*'Batt IN'!$E$16</f>
        <v>76.041666666666671</v>
      </c>
      <c r="AT229" s="10">
        <f>IF(AND('Batt IN'!$E$18&gt;0,'Batt IN'!$G$18&gt;0),'Batt IN'!$E$17*'Batt IN'!$G$17,0)</f>
        <v>119.44619999999999</v>
      </c>
      <c r="AU229" s="10">
        <f>IF(AND('Batt IN'!$E$20&gt;0,'Batt IN'!$G$20&gt;0),'Batt IN'!$E$19*'Batt IN'!$G$19,0)</f>
        <v>231</v>
      </c>
      <c r="AV229" s="10"/>
      <c r="AW229" s="10"/>
      <c r="AX229" s="10">
        <f>IF('Batt IN'!$E$11="Non-Taxable",Q229,0)</f>
        <v>11168.08</v>
      </c>
      <c r="AY229" s="10">
        <f>IF('Batt IN'!$E$11="Non-Taxable",'Batt IN'!$E$28/1000*'Batt IN'!$G$13*('Batt IN'!$E$13/12)*'Batt IN'!$E$12,0)</f>
        <v>244.42220833333334</v>
      </c>
      <c r="AZ229" s="10">
        <f>IF('Batt IN'!$E$11="Non-Taxable",$S229*'Batt IN'!$G$15*'Batt IN'!$E$28*'Batt IN'!$E$14/1000,0)</f>
        <v>0</v>
      </c>
      <c r="BA229" s="10">
        <f>IF('Batt IN'!$E$11="Non-Taxable",'Batt IN'!$E$21*'Batt IN'!$G$21/12,0)</f>
        <v>437.5</v>
      </c>
      <c r="BB229" s="10">
        <f>IF('Batt IN'!$E$11="Non-Taxable",'Batt IN'!$E$22*'Batt IN'!$G$22/12,0)</f>
        <v>1145.8333333333335</v>
      </c>
      <c r="BC229" s="10">
        <f>IF('Batt IN'!$E$11="Taxable",Q229,0)</f>
        <v>0</v>
      </c>
      <c r="BD229" s="10">
        <f>IF('Batt IN'!$E$11="Taxable",'Batt IN'!$E$28/1000*'Batt IN'!$G$13*('Batt IN'!$E$13/12)*'Batt IN'!$E$12,0)</f>
        <v>0</v>
      </c>
      <c r="BE229" s="10">
        <f>IF('Batt IN'!$E$11="Taxable",$S229*'Batt IN'!$G$15*'Batt IN'!$E$28*'Batt IN'!$E$14/1000,0)</f>
        <v>0</v>
      </c>
      <c r="BF229" s="10">
        <f>IF('Batt IN'!$E$11="Taxable",'Batt IN'!$E$21*'Batt IN'!$G$21/12,0)</f>
        <v>0</v>
      </c>
      <c r="BG229" s="10">
        <f>IF('Batt IN'!$E$11="Taxable",'Batt IN'!$E$22*'Batt IN'!$G$22/12,0)</f>
        <v>0</v>
      </c>
      <c r="BK229" s="10">
        <f>IF('Batt IN'!$N$18="Yes",-BattLoan!H257,-BattLoan!L257)</f>
        <v>0</v>
      </c>
      <c r="BL229" s="10">
        <f>IF('Batt IN'!$N$18="Yes",-BattLoan!F257,0)</f>
        <v>0</v>
      </c>
      <c r="BM229" s="10">
        <f>IF(AND('Batt IN'!$D$44="YES",$C229&lt;='Batt IN'!$E$44*12),0,-'Batt IN'!$E$28*'Batt IN'!$E$42/12)</f>
        <v>-83.333333333333329</v>
      </c>
      <c r="BN229" s="10">
        <f>IF(AND('Batt IN'!$D$46="YES",$C229&lt;='Batt IN'!$E$46*12),0,-'Batt IN'!$E$28*'Batt IN'!$E$45/12)</f>
        <v>-166.66666666666666</v>
      </c>
      <c r="BO229" s="2">
        <f>IF(AND('Batt IN'!$D$41="YES",BattCalcs!C229=ROUNDUP('Batt IN'!$H$41*12,)),-'Batt IN'!$E$41*'Batt IN'!$E$28,0)</f>
        <v>0</v>
      </c>
      <c r="BP229" s="2">
        <f>IF(AND('Batt IN'!$D$53="Yes",$AL$1&gt;=1),0,IF($C229='Batt IN'!$H$54*12,-'Batt IN'!$F$54,0))</f>
        <v>0</v>
      </c>
      <c r="BQ229" s="2">
        <f>IF(AND('Batt IN'!$D$53="Yes",$AL$1&gt;=2),0,IF($C229='Batt IN'!$H$55*12,-'Batt IN'!$F$55,0))</f>
        <v>0</v>
      </c>
      <c r="BR229" s="2">
        <f>IF(AND('Batt IN'!$D$53="Yes",$AL$1&gt;=3),0,IF($C229='Batt IN'!$H$56*12,-'Batt IN'!$F$56,0))</f>
        <v>0</v>
      </c>
      <c r="BS229" s="2">
        <f>IF(AND('Batt IN'!$D$53="Yes",$AL$1&gt;=4),0,IF($C229='Batt IN'!$H$57*12,-'Batt IN'!$F$57,0))</f>
        <v>0</v>
      </c>
      <c r="BT229" s="2">
        <f>IF(AND('Batt IN'!$D$53="Yes",$AL$1&gt;=5),0,IF($C229='Batt IN'!$H$58*12,-'Batt IN'!$F$58,0))</f>
        <v>0</v>
      </c>
      <c r="BU229" s="2">
        <f>-AH229*PVCalcs!F229</f>
        <v>-380.88882327414336</v>
      </c>
      <c r="BV229" s="2">
        <f>-'Batt IN'!$E$47</f>
        <v>-150</v>
      </c>
      <c r="BW229" s="2">
        <f>-'Batt IN'!$E$49</f>
        <v>-2250</v>
      </c>
      <c r="BX229" s="2">
        <f>IF('Batt IN'!$H$50="No",-(BC229*'Batt IN'!$E$50),-(BC229+BE229)*'Batt IN'!$E$50)</f>
        <v>0</v>
      </c>
      <c r="BY229" s="2">
        <f>IF(C229='Batt IN'!$H$43*12,-'Batt IN'!$E$43,0)</f>
        <v>0</v>
      </c>
      <c r="BZ229" s="38"/>
      <c r="CA229" s="10">
        <f t="shared" si="51"/>
        <v>13422.323408333334</v>
      </c>
      <c r="CB229" s="2">
        <f t="shared" si="55"/>
        <v>-3030.8888232741433</v>
      </c>
      <c r="CC229" s="45">
        <f t="shared" si="56"/>
        <v>10391.434585059191</v>
      </c>
      <c r="CD229" s="43"/>
      <c r="CE229" s="2">
        <f t="shared" si="52"/>
        <v>0</v>
      </c>
      <c r="CF229" s="2">
        <f t="shared" si="57"/>
        <v>-3030.8888232741433</v>
      </c>
      <c r="CG229" s="2"/>
      <c r="CH229" s="2">
        <f t="shared" si="58"/>
        <v>-3030.8888232741433</v>
      </c>
      <c r="CI229" s="45">
        <f>-CH229*'Batt IN'!$E$7</f>
        <v>636.48665288757002</v>
      </c>
      <c r="CJ229" s="48"/>
      <c r="CK229" s="45">
        <f>IF('Batt IN'!$F$4="PV Only",0,IF(C229&gt;'Batt IN'!$H$43*12,0,CC229+CI229))</f>
        <v>0</v>
      </c>
      <c r="CM229" s="10">
        <f t="shared" si="59"/>
        <v>0</v>
      </c>
      <c r="CN229" s="2">
        <f>CK229/(1+('Batt IN'!$G$8))^(C229)</f>
        <v>0</v>
      </c>
      <c r="CO229" s="2">
        <f>IF(C229&lt;='Batt IN'!$O$30*12,CN229+CO228,NA())</f>
        <v>0</v>
      </c>
      <c r="CQ229" s="2">
        <f>CK229/((1+('Batt IN'!$E$8/12))^BattCalcs!C229)</f>
        <v>0</v>
      </c>
      <c r="CS229" s="10">
        <f t="shared" si="60"/>
        <v>-3030.8888232741433</v>
      </c>
      <c r="CT229" s="10">
        <f t="shared" si="61"/>
        <v>0</v>
      </c>
      <c r="CU229" s="10">
        <f t="shared" si="62"/>
        <v>-3030.8888232741433</v>
      </c>
      <c r="CV229" s="10">
        <f t="shared" si="63"/>
        <v>-3030.8888232741433</v>
      </c>
      <c r="CW229" s="2">
        <f t="shared" si="64"/>
        <v>0</v>
      </c>
      <c r="CX229" s="2">
        <f>-(SUM(CV229:CW229)*'PV IN'!$E$8)</f>
        <v>636.48665288757002</v>
      </c>
      <c r="CY229" s="2">
        <f t="shared" si="65"/>
        <v>-2394.4021703865733</v>
      </c>
      <c r="CZ229" s="2">
        <f>IF(C229&lt;='Batt IN'!$H$43*12,CY229/(1+('PV IN'!$G$9))^(C229),0)</f>
        <v>-959.17475523438418</v>
      </c>
      <c r="DA229" s="33">
        <f>IF(C229&lt;='Batt IN'!$H$43*12,AE229,0)</f>
        <v>30366.783333333333</v>
      </c>
    </row>
    <row r="230" spans="1:105" x14ac:dyDescent="0.25">
      <c r="A230">
        <f>IF(C230&lt;='Batt IN'!$H$43*12,C230,"")</f>
        <v>226</v>
      </c>
      <c r="C230">
        <v>226</v>
      </c>
      <c r="D230" s="21">
        <v>730</v>
      </c>
      <c r="E230" s="1">
        <f>1-'Batt IN'!$E$31</f>
        <v>2.0000000000000018E-2</v>
      </c>
      <c r="F230" s="12">
        <f>('Batt IN'!$E$33*365)/8760</f>
        <v>0</v>
      </c>
      <c r="G230" s="22">
        <f>'Batt IN'!$E$32/8760</f>
        <v>5.7077625570776253E-3</v>
      </c>
      <c r="H230" s="22">
        <f>'Batt IN'!$E$13/8760</f>
        <v>5.5936073059360729E-3</v>
      </c>
      <c r="I230" s="23">
        <f>IF(C230&lt;='Batt IN'!$G$14*12,'Batt IN'!$E$15/8760*'Batt IN'!$G$15,0)</f>
        <v>0</v>
      </c>
      <c r="J230" s="12">
        <f>Z230/'Batt IN'!$E$27/730</f>
        <v>2.4999999999999996E-3</v>
      </c>
      <c r="K230" s="23">
        <f>AA230/'Batt IN'!$E$27/730</f>
        <v>1.6027397260273972E-3</v>
      </c>
      <c r="L230" s="23">
        <f>AB230/'Batt IN'!$E$27/730</f>
        <v>2.0547945205479451E-4</v>
      </c>
      <c r="M230" s="23">
        <f>AC230/'Batt IN'!$E$27/730</f>
        <v>4.7945205479452057E-3</v>
      </c>
      <c r="N230" s="23">
        <f>AD230/'Batt IN'!$E$27/730</f>
        <v>3.4246575342465752E-3</v>
      </c>
      <c r="O230" s="12">
        <f t="shared" si="53"/>
        <v>4.3828767123287697E-2</v>
      </c>
      <c r="P230" s="21">
        <f t="shared" si="54"/>
        <v>698.005</v>
      </c>
      <c r="Q230" s="2">
        <f>IF('Batt IN'!$E$27*'Batt IN'!$E$24&lt;='Batt IN'!$E$28,(('Batt IN'!$E$23*'Batt IN'!$E$27*'Batt IN'!$E$24)/1000)*P230,(('Batt IN'!$E$23*'Batt IN'!$E$28*'Batt IN'!$E$24)/1000)*P230)</f>
        <v>11168.08</v>
      </c>
      <c r="R230" s="2"/>
      <c r="S230" s="77">
        <f>IF(C230&lt;='Batt IN'!$G$14*12,'Batt IN'!$E$15/12,0)</f>
        <v>0</v>
      </c>
      <c r="T230" s="77"/>
      <c r="U230" s="80">
        <f>'Batt IN'!$E$28*('Batt IN'!$G$24/24)*730*(1-O230)</f>
        <v>81433.916666666657</v>
      </c>
      <c r="V230" s="78">
        <f>U230*'Batt IN'!$F$30</f>
        <v>16286.783333333333</v>
      </c>
      <c r="W230" s="78">
        <f>'Batt IN'!$E$28*'Batt IN'!$G$32*('Batt IN'!$E$32/12)*(1+'Batt IN'!$F$30)</f>
        <v>1750.0000000000002</v>
      </c>
      <c r="X230" s="78">
        <f>'Batt IN'!$E$28*'Batt IN'!$G$13*('Batt IN'!$E$13/12)*(1+'Batt IN'!$F$30)</f>
        <v>3184.9999999999995</v>
      </c>
      <c r="Y230" s="33">
        <f>S230*'Batt IN'!$G$15*'Batt IN'!$E$28*(1+'Batt IN'!$F$30)</f>
        <v>0</v>
      </c>
      <c r="Z230" s="33">
        <f>'Batt IN'!$G$16*365/12*(1+'Batt IN'!$F$30)</f>
        <v>1824.9999999999998</v>
      </c>
      <c r="AA230" s="33">
        <f>'Batt IN'!$G$17*'Batt IN'!$E$18*'Batt IN'!$G$18/12*(1+'Batt IN'!$F$30)</f>
        <v>1170</v>
      </c>
      <c r="AB230" s="33">
        <f>'Batt IN'!$G$19*'Batt IN'!$E$20*'Batt IN'!$G$20/12*(1+'Batt IN'!$F$30)</f>
        <v>150</v>
      </c>
      <c r="AC230" s="33">
        <f>'Batt IN'!$G$21*(1+'Batt IN'!$F$30)/12</f>
        <v>3500</v>
      </c>
      <c r="AD230" s="33">
        <f>'Batt IN'!$G$22*(1+'Batt IN'!$F$30)/12</f>
        <v>2500</v>
      </c>
      <c r="AE230" s="33">
        <f t="shared" si="66"/>
        <v>30366.783333333333</v>
      </c>
      <c r="AF230" s="33">
        <f>IF('PV IN'!$F$4="Battery Only",0,AE230*'Batt IN'!$E$29)</f>
        <v>25811.765833333331</v>
      </c>
      <c r="AG230" s="33">
        <f>PVCalcs!L230</f>
        <v>25811.765833333331</v>
      </c>
      <c r="AH230" s="33">
        <f t="shared" si="67"/>
        <v>4555.0175000000017</v>
      </c>
      <c r="AI230" s="33"/>
      <c r="AJ230" s="2">
        <f>IF(AND('Batt IN'!$D$53="Yes",$AL$1&gt;=1),IF($C230='Batt IN'!$H$54*12,-'Batt IN'!$F$54,0),0)</f>
        <v>0</v>
      </c>
      <c r="AK230" s="2">
        <f>IF(AND('Batt IN'!$D$53="Yes",$AL$1&gt;=2),IF($C230='Batt IN'!$H$55*12,-'Batt IN'!$F$55,0),0)</f>
        <v>0</v>
      </c>
      <c r="AL230" s="2">
        <f>IF(AND('Batt IN'!$D$53="Yes",$AL$1&gt;=3),IF($C230='Batt IN'!$H$56*12,-'Batt IN'!$F$56,0),0)</f>
        <v>0</v>
      </c>
      <c r="AM230" s="2">
        <f>IF(AND('Batt IN'!$D$53="Yes",$AL$1&gt;=4),IF($C230='Batt IN'!$H$57*12,-'Batt IN'!$F$57,0),0)</f>
        <v>0</v>
      </c>
      <c r="AN230" s="2">
        <f>IF(AND('Batt IN'!$D$53="Yes",$AL$1&gt;=5),IF($C230='Batt IN'!$H$58*12,-'Batt IN'!$F$58,0),0)</f>
        <v>0</v>
      </c>
      <c r="AO230" s="10">
        <f>IF(AND('Batt IN'!$D$44="YES",$C230&lt;='Batt IN'!$E$44*12),-'Batt IN'!$E$28*'Batt IN'!$E$42/12,0)</f>
        <v>0</v>
      </c>
      <c r="AP230" s="10">
        <f>IF(AND('Batt IN'!$D$46="YES",$C230&lt;='Batt IN'!$E$46*12),-'Batt IN'!$E$28*'Batt IN'!$E$45/12,0)</f>
        <v>0</v>
      </c>
      <c r="AR230" s="10">
        <f>BattLoan!M257</f>
        <v>0</v>
      </c>
      <c r="AS230" s="10">
        <f>'Batt IN'!$G$16*365/12*'Batt IN'!$E$16</f>
        <v>76.041666666666671</v>
      </c>
      <c r="AT230" s="10">
        <f>IF(AND('Batt IN'!$E$18&gt;0,'Batt IN'!$G$18&gt;0),'Batt IN'!$E$17*'Batt IN'!$G$17,0)</f>
        <v>119.44619999999999</v>
      </c>
      <c r="AU230" s="10">
        <f>IF(AND('Batt IN'!$E$20&gt;0,'Batt IN'!$G$20&gt;0),'Batt IN'!$E$19*'Batt IN'!$G$19,0)</f>
        <v>231</v>
      </c>
      <c r="AV230" s="10"/>
      <c r="AW230" s="10"/>
      <c r="AX230" s="10">
        <f>IF('Batt IN'!$E$11="Non-Taxable",Q230,0)</f>
        <v>11168.08</v>
      </c>
      <c r="AY230" s="10">
        <f>IF('Batt IN'!$E$11="Non-Taxable",'Batt IN'!$E$28/1000*'Batt IN'!$G$13*('Batt IN'!$E$13/12)*'Batt IN'!$E$12,0)</f>
        <v>244.42220833333334</v>
      </c>
      <c r="AZ230" s="10">
        <f>IF('Batt IN'!$E$11="Non-Taxable",$S230*'Batt IN'!$G$15*'Batt IN'!$E$28*'Batt IN'!$E$14/1000,0)</f>
        <v>0</v>
      </c>
      <c r="BA230" s="10">
        <f>IF('Batt IN'!$E$11="Non-Taxable",'Batt IN'!$E$21*'Batt IN'!$G$21/12,0)</f>
        <v>437.5</v>
      </c>
      <c r="BB230" s="10">
        <f>IF('Batt IN'!$E$11="Non-Taxable",'Batt IN'!$E$22*'Batt IN'!$G$22/12,0)</f>
        <v>1145.8333333333335</v>
      </c>
      <c r="BC230" s="10">
        <f>IF('Batt IN'!$E$11="Taxable",Q230,0)</f>
        <v>0</v>
      </c>
      <c r="BD230" s="10">
        <f>IF('Batt IN'!$E$11="Taxable",'Batt IN'!$E$28/1000*'Batt IN'!$G$13*('Batt IN'!$E$13/12)*'Batt IN'!$E$12,0)</f>
        <v>0</v>
      </c>
      <c r="BE230" s="10">
        <f>IF('Batt IN'!$E$11="Taxable",$S230*'Batt IN'!$G$15*'Batt IN'!$E$28*'Batt IN'!$E$14/1000,0)</f>
        <v>0</v>
      </c>
      <c r="BF230" s="10">
        <f>IF('Batt IN'!$E$11="Taxable",'Batt IN'!$E$21*'Batt IN'!$G$21/12,0)</f>
        <v>0</v>
      </c>
      <c r="BG230" s="10">
        <f>IF('Batt IN'!$E$11="Taxable",'Batt IN'!$E$22*'Batt IN'!$G$22/12,0)</f>
        <v>0</v>
      </c>
      <c r="BK230" s="10">
        <f>IF('Batt IN'!$N$18="Yes",-BattLoan!H258,-BattLoan!L258)</f>
        <v>0</v>
      </c>
      <c r="BL230" s="10">
        <f>IF('Batt IN'!$N$18="Yes",-BattLoan!F258,0)</f>
        <v>0</v>
      </c>
      <c r="BM230" s="10">
        <f>IF(AND('Batt IN'!$D$44="YES",$C230&lt;='Batt IN'!$E$44*12),0,-'Batt IN'!$E$28*'Batt IN'!$E$42/12)</f>
        <v>-83.333333333333329</v>
      </c>
      <c r="BN230" s="10">
        <f>IF(AND('Batt IN'!$D$46="YES",$C230&lt;='Batt IN'!$E$46*12),0,-'Batt IN'!$E$28*'Batt IN'!$E$45/12)</f>
        <v>-166.66666666666666</v>
      </c>
      <c r="BO230" s="2">
        <f>IF(AND('Batt IN'!$D$41="YES",BattCalcs!C230=ROUNDUP('Batt IN'!$H$41*12,)),-'Batt IN'!$E$41*'Batt IN'!$E$28,0)</f>
        <v>0</v>
      </c>
      <c r="BP230" s="2">
        <f>IF(AND('Batt IN'!$D$53="Yes",$AL$1&gt;=1),0,IF($C230='Batt IN'!$H$54*12,-'Batt IN'!$F$54,0))</f>
        <v>0</v>
      </c>
      <c r="BQ230" s="2">
        <f>IF(AND('Batt IN'!$D$53="Yes",$AL$1&gt;=2),0,IF($C230='Batt IN'!$H$55*12,-'Batt IN'!$F$55,0))</f>
        <v>0</v>
      </c>
      <c r="BR230" s="2">
        <f>IF(AND('Batt IN'!$D$53="Yes",$AL$1&gt;=3),0,IF($C230='Batt IN'!$H$56*12,-'Batt IN'!$F$56,0))</f>
        <v>0</v>
      </c>
      <c r="BS230" s="2">
        <f>IF(AND('Batt IN'!$D$53="Yes",$AL$1&gt;=4),0,IF($C230='Batt IN'!$H$57*12,-'Batt IN'!$F$57,0))</f>
        <v>0</v>
      </c>
      <c r="BT230" s="2">
        <f>IF(AND('Batt IN'!$D$53="Yes",$AL$1&gt;=5),0,IF($C230='Batt IN'!$H$58*12,-'Batt IN'!$F$58,0))</f>
        <v>0</v>
      </c>
      <c r="BU230" s="2">
        <f>-AH230*PVCalcs!F230</f>
        <v>-380.88882327414336</v>
      </c>
      <c r="BV230" s="2">
        <f>-'Batt IN'!$E$47</f>
        <v>-150</v>
      </c>
      <c r="BW230" s="2">
        <f>-'Batt IN'!$E$49</f>
        <v>-2250</v>
      </c>
      <c r="BX230" s="2">
        <f>IF('Batt IN'!$H$50="No",-(BC230*'Batt IN'!$E$50),-(BC230+BE230)*'Batt IN'!$E$50)</f>
        <v>0</v>
      </c>
      <c r="BY230" s="2">
        <f>IF(C230='Batt IN'!$H$43*12,-'Batt IN'!$E$43,0)</f>
        <v>0</v>
      </c>
      <c r="BZ230" s="38"/>
      <c r="CA230" s="10">
        <f t="shared" si="51"/>
        <v>13422.323408333334</v>
      </c>
      <c r="CB230" s="2">
        <f t="shared" si="55"/>
        <v>-3030.8888232741433</v>
      </c>
      <c r="CC230" s="45">
        <f t="shared" si="56"/>
        <v>10391.434585059191</v>
      </c>
      <c r="CD230" s="43"/>
      <c r="CE230" s="2">
        <f t="shared" si="52"/>
        <v>0</v>
      </c>
      <c r="CF230" s="2">
        <f t="shared" si="57"/>
        <v>-3030.8888232741433</v>
      </c>
      <c r="CG230" s="2"/>
      <c r="CH230" s="2">
        <f t="shared" si="58"/>
        <v>-3030.8888232741433</v>
      </c>
      <c r="CI230" s="45">
        <f>-CH230*'Batt IN'!$E$7</f>
        <v>636.48665288757002</v>
      </c>
      <c r="CJ230" s="48"/>
      <c r="CK230" s="45">
        <f>IF('Batt IN'!$F$4="PV Only",0,IF(C230&gt;'Batt IN'!$H$43*12,0,CC230+CI230))</f>
        <v>0</v>
      </c>
      <c r="CM230" s="10">
        <f t="shared" si="59"/>
        <v>0</v>
      </c>
      <c r="CN230" s="2">
        <f>CK230/(1+('Batt IN'!$G$8))^(C230)</f>
        <v>0</v>
      </c>
      <c r="CO230" s="2">
        <f>IF(C230&lt;='Batt IN'!$O$30*12,CN230+CO229,NA())</f>
        <v>0</v>
      </c>
      <c r="CQ230" s="2">
        <f>CK230/((1+('Batt IN'!$E$8/12))^BattCalcs!C230)</f>
        <v>0</v>
      </c>
      <c r="CS230" s="10">
        <f t="shared" si="60"/>
        <v>-3030.8888232741433</v>
      </c>
      <c r="CT230" s="10">
        <f t="shared" si="61"/>
        <v>0</v>
      </c>
      <c r="CU230" s="10">
        <f t="shared" si="62"/>
        <v>-3030.8888232741433</v>
      </c>
      <c r="CV230" s="10">
        <f t="shared" si="63"/>
        <v>-3030.8888232741433</v>
      </c>
      <c r="CW230" s="2">
        <f t="shared" si="64"/>
        <v>0</v>
      </c>
      <c r="CX230" s="2">
        <f>-(SUM(CV230:CW230)*'PV IN'!$E$8)</f>
        <v>636.48665288757002</v>
      </c>
      <c r="CY230" s="2">
        <f t="shared" si="65"/>
        <v>-2394.4021703865733</v>
      </c>
      <c r="CZ230" s="2">
        <f>IF(C230&lt;='Batt IN'!$H$43*12,CY230/(1+('PV IN'!$G$9))^(C230),0)</f>
        <v>-955.28281479850295</v>
      </c>
      <c r="DA230" s="33">
        <f>IF(C230&lt;='Batt IN'!$H$43*12,AE230,0)</f>
        <v>30366.783333333333</v>
      </c>
    </row>
    <row r="231" spans="1:105" x14ac:dyDescent="0.25">
      <c r="A231">
        <f>IF(C231&lt;='Batt IN'!$H$43*12,C231,"")</f>
        <v>227</v>
      </c>
      <c r="C231">
        <v>227</v>
      </c>
      <c r="D231" s="21">
        <v>730</v>
      </c>
      <c r="E231" s="1">
        <f>1-'Batt IN'!$E$31</f>
        <v>2.0000000000000018E-2</v>
      </c>
      <c r="F231" s="12">
        <f>('Batt IN'!$E$33*365)/8760</f>
        <v>0</v>
      </c>
      <c r="G231" s="22">
        <f>'Batt IN'!$E$32/8760</f>
        <v>5.7077625570776253E-3</v>
      </c>
      <c r="H231" s="22">
        <f>'Batt IN'!$E$13/8760</f>
        <v>5.5936073059360729E-3</v>
      </c>
      <c r="I231" s="23">
        <f>IF(C231&lt;='Batt IN'!$G$14*12,'Batt IN'!$E$15/8760*'Batt IN'!$G$15,0)</f>
        <v>0</v>
      </c>
      <c r="J231" s="12">
        <f>Z231/'Batt IN'!$E$27/730</f>
        <v>2.4999999999999996E-3</v>
      </c>
      <c r="K231" s="23">
        <f>AA231/'Batt IN'!$E$27/730</f>
        <v>1.6027397260273972E-3</v>
      </c>
      <c r="L231" s="23">
        <f>AB231/'Batt IN'!$E$27/730</f>
        <v>2.0547945205479451E-4</v>
      </c>
      <c r="M231" s="23">
        <f>AC231/'Batt IN'!$E$27/730</f>
        <v>4.7945205479452057E-3</v>
      </c>
      <c r="N231" s="23">
        <f>AD231/'Batt IN'!$E$27/730</f>
        <v>3.4246575342465752E-3</v>
      </c>
      <c r="O231" s="12">
        <f t="shared" si="53"/>
        <v>4.3828767123287697E-2</v>
      </c>
      <c r="P231" s="21">
        <f t="shared" si="54"/>
        <v>698.005</v>
      </c>
      <c r="Q231" s="2">
        <f>IF('Batt IN'!$E$27*'Batt IN'!$E$24&lt;='Batt IN'!$E$28,(('Batt IN'!$E$23*'Batt IN'!$E$27*'Batt IN'!$E$24)/1000)*P231,(('Batt IN'!$E$23*'Batt IN'!$E$28*'Batt IN'!$E$24)/1000)*P231)</f>
        <v>11168.08</v>
      </c>
      <c r="R231" s="2"/>
      <c r="S231" s="77">
        <f>IF(C231&lt;='Batt IN'!$G$14*12,'Batt IN'!$E$15/12,0)</f>
        <v>0</v>
      </c>
      <c r="T231" s="77"/>
      <c r="U231" s="80">
        <f>'Batt IN'!$E$28*('Batt IN'!$G$24/24)*730*(1-O231)</f>
        <v>81433.916666666657</v>
      </c>
      <c r="V231" s="78">
        <f>U231*'Batt IN'!$F$30</f>
        <v>16286.783333333333</v>
      </c>
      <c r="W231" s="78">
        <f>'Batt IN'!$E$28*'Batt IN'!$G$32*('Batt IN'!$E$32/12)*(1+'Batt IN'!$F$30)</f>
        <v>1750.0000000000002</v>
      </c>
      <c r="X231" s="78">
        <f>'Batt IN'!$E$28*'Batt IN'!$G$13*('Batt IN'!$E$13/12)*(1+'Batt IN'!$F$30)</f>
        <v>3184.9999999999995</v>
      </c>
      <c r="Y231" s="33">
        <f>S231*'Batt IN'!$G$15*'Batt IN'!$E$28*(1+'Batt IN'!$F$30)</f>
        <v>0</v>
      </c>
      <c r="Z231" s="33">
        <f>'Batt IN'!$G$16*365/12*(1+'Batt IN'!$F$30)</f>
        <v>1824.9999999999998</v>
      </c>
      <c r="AA231" s="33">
        <f>'Batt IN'!$G$17*'Batt IN'!$E$18*'Batt IN'!$G$18/12*(1+'Batt IN'!$F$30)</f>
        <v>1170</v>
      </c>
      <c r="AB231" s="33">
        <f>'Batt IN'!$G$19*'Batt IN'!$E$20*'Batt IN'!$G$20/12*(1+'Batt IN'!$F$30)</f>
        <v>150</v>
      </c>
      <c r="AC231" s="33">
        <f>'Batt IN'!$G$21*(1+'Batt IN'!$F$30)/12</f>
        <v>3500</v>
      </c>
      <c r="AD231" s="33">
        <f>'Batt IN'!$G$22*(1+'Batt IN'!$F$30)/12</f>
        <v>2500</v>
      </c>
      <c r="AE231" s="33">
        <f t="shared" si="66"/>
        <v>30366.783333333333</v>
      </c>
      <c r="AF231" s="33">
        <f>IF('PV IN'!$F$4="Battery Only",0,AE231*'Batt IN'!$E$29)</f>
        <v>25811.765833333331</v>
      </c>
      <c r="AG231" s="33">
        <f>PVCalcs!L231</f>
        <v>25811.765833333331</v>
      </c>
      <c r="AH231" s="33">
        <f t="shared" si="67"/>
        <v>4555.0175000000017</v>
      </c>
      <c r="AI231" s="33"/>
      <c r="AJ231" s="2">
        <f>IF(AND('Batt IN'!$D$53="Yes",$AL$1&gt;=1),IF($C231='Batt IN'!$H$54*12,-'Batt IN'!$F$54,0),0)</f>
        <v>0</v>
      </c>
      <c r="AK231" s="2">
        <f>IF(AND('Batt IN'!$D$53="Yes",$AL$1&gt;=2),IF($C231='Batt IN'!$H$55*12,-'Batt IN'!$F$55,0),0)</f>
        <v>0</v>
      </c>
      <c r="AL231" s="2">
        <f>IF(AND('Batt IN'!$D$53="Yes",$AL$1&gt;=3),IF($C231='Batt IN'!$H$56*12,-'Batt IN'!$F$56,0),0)</f>
        <v>0</v>
      </c>
      <c r="AM231" s="2">
        <f>IF(AND('Batt IN'!$D$53="Yes",$AL$1&gt;=4),IF($C231='Batt IN'!$H$57*12,-'Batt IN'!$F$57,0),0)</f>
        <v>0</v>
      </c>
      <c r="AN231" s="2">
        <f>IF(AND('Batt IN'!$D$53="Yes",$AL$1&gt;=5),IF($C231='Batt IN'!$H$58*12,-'Batt IN'!$F$58,0),0)</f>
        <v>0</v>
      </c>
      <c r="AO231" s="10">
        <f>IF(AND('Batt IN'!$D$44="YES",$C231&lt;='Batt IN'!$E$44*12),-'Batt IN'!$E$28*'Batt IN'!$E$42/12,0)</f>
        <v>0</v>
      </c>
      <c r="AP231" s="10">
        <f>IF(AND('Batt IN'!$D$46="YES",$C231&lt;='Batt IN'!$E$46*12),-'Batt IN'!$E$28*'Batt IN'!$E$45/12,0)</f>
        <v>0</v>
      </c>
      <c r="AR231" s="10">
        <f>BattLoan!M258</f>
        <v>0</v>
      </c>
      <c r="AS231" s="10">
        <f>'Batt IN'!$G$16*365/12*'Batt IN'!$E$16</f>
        <v>76.041666666666671</v>
      </c>
      <c r="AT231" s="10">
        <f>IF(AND('Batt IN'!$E$18&gt;0,'Batt IN'!$G$18&gt;0),'Batt IN'!$E$17*'Batt IN'!$G$17,0)</f>
        <v>119.44619999999999</v>
      </c>
      <c r="AU231" s="10">
        <f>IF(AND('Batt IN'!$E$20&gt;0,'Batt IN'!$G$20&gt;0),'Batt IN'!$E$19*'Batt IN'!$G$19,0)</f>
        <v>231</v>
      </c>
      <c r="AV231" s="10"/>
      <c r="AW231" s="10"/>
      <c r="AX231" s="10">
        <f>IF('Batt IN'!$E$11="Non-Taxable",Q231,0)</f>
        <v>11168.08</v>
      </c>
      <c r="AY231" s="10">
        <f>IF('Batt IN'!$E$11="Non-Taxable",'Batt IN'!$E$28/1000*'Batt IN'!$G$13*('Batt IN'!$E$13/12)*'Batt IN'!$E$12,0)</f>
        <v>244.42220833333334</v>
      </c>
      <c r="AZ231" s="10">
        <f>IF('Batt IN'!$E$11="Non-Taxable",$S231*'Batt IN'!$G$15*'Batt IN'!$E$28*'Batt IN'!$E$14/1000,0)</f>
        <v>0</v>
      </c>
      <c r="BA231" s="10">
        <f>IF('Batt IN'!$E$11="Non-Taxable",'Batt IN'!$E$21*'Batt IN'!$G$21/12,0)</f>
        <v>437.5</v>
      </c>
      <c r="BB231" s="10">
        <f>IF('Batt IN'!$E$11="Non-Taxable",'Batt IN'!$E$22*'Batt IN'!$G$22/12,0)</f>
        <v>1145.8333333333335</v>
      </c>
      <c r="BC231" s="10">
        <f>IF('Batt IN'!$E$11="Taxable",Q231,0)</f>
        <v>0</v>
      </c>
      <c r="BD231" s="10">
        <f>IF('Batt IN'!$E$11="Taxable",'Batt IN'!$E$28/1000*'Batt IN'!$G$13*('Batt IN'!$E$13/12)*'Batt IN'!$E$12,0)</f>
        <v>0</v>
      </c>
      <c r="BE231" s="10">
        <f>IF('Batt IN'!$E$11="Taxable",$S231*'Batt IN'!$G$15*'Batt IN'!$E$28*'Batt IN'!$E$14/1000,0)</f>
        <v>0</v>
      </c>
      <c r="BF231" s="10">
        <f>IF('Batt IN'!$E$11="Taxable",'Batt IN'!$E$21*'Batt IN'!$G$21/12,0)</f>
        <v>0</v>
      </c>
      <c r="BG231" s="10">
        <f>IF('Batt IN'!$E$11="Taxable",'Batt IN'!$E$22*'Batt IN'!$G$22/12,0)</f>
        <v>0</v>
      </c>
      <c r="BK231" s="10">
        <f>IF('Batt IN'!$N$18="Yes",-BattLoan!H259,-BattLoan!L259)</f>
        <v>0</v>
      </c>
      <c r="BL231" s="10">
        <f>IF('Batt IN'!$N$18="Yes",-BattLoan!F259,0)</f>
        <v>0</v>
      </c>
      <c r="BM231" s="10">
        <f>IF(AND('Batt IN'!$D$44="YES",$C231&lt;='Batt IN'!$E$44*12),0,-'Batt IN'!$E$28*'Batt IN'!$E$42/12)</f>
        <v>-83.333333333333329</v>
      </c>
      <c r="BN231" s="10">
        <f>IF(AND('Batt IN'!$D$46="YES",$C231&lt;='Batt IN'!$E$46*12),0,-'Batt IN'!$E$28*'Batt IN'!$E$45/12)</f>
        <v>-166.66666666666666</v>
      </c>
      <c r="BO231" s="2">
        <f>IF(AND('Batt IN'!$D$41="YES",BattCalcs!C231=ROUNDUP('Batt IN'!$H$41*12,)),-'Batt IN'!$E$41*'Batt IN'!$E$28,0)</f>
        <v>0</v>
      </c>
      <c r="BP231" s="2">
        <f>IF(AND('Batt IN'!$D$53="Yes",$AL$1&gt;=1),0,IF($C231='Batt IN'!$H$54*12,-'Batt IN'!$F$54,0))</f>
        <v>0</v>
      </c>
      <c r="BQ231" s="2">
        <f>IF(AND('Batt IN'!$D$53="Yes",$AL$1&gt;=2),0,IF($C231='Batt IN'!$H$55*12,-'Batt IN'!$F$55,0))</f>
        <v>0</v>
      </c>
      <c r="BR231" s="2">
        <f>IF(AND('Batt IN'!$D$53="Yes",$AL$1&gt;=3),0,IF($C231='Batt IN'!$H$56*12,-'Batt IN'!$F$56,0))</f>
        <v>0</v>
      </c>
      <c r="BS231" s="2">
        <f>IF(AND('Batt IN'!$D$53="Yes",$AL$1&gt;=4),0,IF($C231='Batt IN'!$H$57*12,-'Batt IN'!$F$57,0))</f>
        <v>0</v>
      </c>
      <c r="BT231" s="2">
        <f>IF(AND('Batt IN'!$D$53="Yes",$AL$1&gt;=5),0,IF($C231='Batt IN'!$H$58*12,-'Batt IN'!$F$58,0))</f>
        <v>0</v>
      </c>
      <c r="BU231" s="2">
        <f>-AH231*PVCalcs!F231</f>
        <v>-380.88882327414336</v>
      </c>
      <c r="BV231" s="2">
        <f>-'Batt IN'!$E$47</f>
        <v>-150</v>
      </c>
      <c r="BW231" s="2">
        <f>-'Batt IN'!$E$49</f>
        <v>-2250</v>
      </c>
      <c r="BX231" s="2">
        <f>IF('Batt IN'!$H$50="No",-(BC231*'Batt IN'!$E$50),-(BC231+BE231)*'Batt IN'!$E$50)</f>
        <v>0</v>
      </c>
      <c r="BY231" s="2">
        <f>IF(C231='Batt IN'!$H$43*12,-'Batt IN'!$E$43,0)</f>
        <v>0</v>
      </c>
      <c r="BZ231" s="38"/>
      <c r="CA231" s="10">
        <f t="shared" si="51"/>
        <v>13422.323408333334</v>
      </c>
      <c r="CB231" s="2">
        <f t="shared" si="55"/>
        <v>-3030.8888232741433</v>
      </c>
      <c r="CC231" s="45">
        <f t="shared" si="56"/>
        <v>10391.434585059191</v>
      </c>
      <c r="CD231" s="43"/>
      <c r="CE231" s="2">
        <f t="shared" si="52"/>
        <v>0</v>
      </c>
      <c r="CF231" s="2">
        <f t="shared" si="57"/>
        <v>-3030.8888232741433</v>
      </c>
      <c r="CG231" s="2"/>
      <c r="CH231" s="2">
        <f t="shared" si="58"/>
        <v>-3030.8888232741433</v>
      </c>
      <c r="CI231" s="45">
        <f>-CH231*'Batt IN'!$E$7</f>
        <v>636.48665288757002</v>
      </c>
      <c r="CJ231" s="48"/>
      <c r="CK231" s="45">
        <f>IF('Batt IN'!$F$4="PV Only",0,IF(C231&gt;'Batt IN'!$H$43*12,0,CC231+CI231))</f>
        <v>0</v>
      </c>
      <c r="CM231" s="10">
        <f t="shared" si="59"/>
        <v>0</v>
      </c>
      <c r="CN231" s="2">
        <f>CK231/(1+('Batt IN'!$G$8))^(C231)</f>
        <v>0</v>
      </c>
      <c r="CO231" s="2">
        <f>IF(C231&lt;='Batt IN'!$O$30*12,CN231+CO230,NA())</f>
        <v>0</v>
      </c>
      <c r="CQ231" s="2">
        <f>CK231/((1+('Batt IN'!$E$8/12))^BattCalcs!C231)</f>
        <v>0</v>
      </c>
      <c r="CS231" s="10">
        <f t="shared" si="60"/>
        <v>-3030.8888232741433</v>
      </c>
      <c r="CT231" s="10">
        <f t="shared" si="61"/>
        <v>0</v>
      </c>
      <c r="CU231" s="10">
        <f t="shared" si="62"/>
        <v>-3030.8888232741433</v>
      </c>
      <c r="CV231" s="10">
        <f t="shared" si="63"/>
        <v>-3030.8888232741433</v>
      </c>
      <c r="CW231" s="2">
        <f t="shared" si="64"/>
        <v>0</v>
      </c>
      <c r="CX231" s="2">
        <f>-(SUM(CV231:CW231)*'PV IN'!$E$8)</f>
        <v>636.48665288757002</v>
      </c>
      <c r="CY231" s="2">
        <f t="shared" si="65"/>
        <v>-2394.4021703865733</v>
      </c>
      <c r="CZ231" s="2">
        <f>IF(C231&lt;='Batt IN'!$H$43*12,CY231/(1+('PV IN'!$G$9))^(C231),0)</f>
        <v>-951.40666627152439</v>
      </c>
      <c r="DA231" s="33">
        <f>IF(C231&lt;='Batt IN'!$H$43*12,AE231,0)</f>
        <v>30366.783333333333</v>
      </c>
    </row>
    <row r="232" spans="1:105" x14ac:dyDescent="0.25">
      <c r="A232">
        <f>IF(C232&lt;='Batt IN'!$H$43*12,C232,"")</f>
        <v>228</v>
      </c>
      <c r="B232">
        <v>19</v>
      </c>
      <c r="C232">
        <v>228</v>
      </c>
      <c r="D232" s="21">
        <v>730</v>
      </c>
      <c r="E232" s="1">
        <f>1-'Batt IN'!$E$31</f>
        <v>2.0000000000000018E-2</v>
      </c>
      <c r="F232" s="12">
        <f>('Batt IN'!$E$33*365)/8760</f>
        <v>0</v>
      </c>
      <c r="G232" s="22">
        <f>'Batt IN'!$E$32/8760</f>
        <v>5.7077625570776253E-3</v>
      </c>
      <c r="H232" s="22">
        <f>'Batt IN'!$E$13/8760</f>
        <v>5.5936073059360729E-3</v>
      </c>
      <c r="I232" s="23">
        <f>IF(C232&lt;='Batt IN'!$G$14*12,'Batt IN'!$E$15/8760*'Batt IN'!$G$15,0)</f>
        <v>0</v>
      </c>
      <c r="J232" s="12">
        <f>Z232/'Batt IN'!$E$27/730</f>
        <v>2.4999999999999996E-3</v>
      </c>
      <c r="K232" s="23">
        <f>AA232/'Batt IN'!$E$27/730</f>
        <v>1.6027397260273972E-3</v>
      </c>
      <c r="L232" s="23">
        <f>AB232/'Batt IN'!$E$27/730</f>
        <v>2.0547945205479451E-4</v>
      </c>
      <c r="M232" s="23">
        <f>AC232/'Batt IN'!$E$27/730</f>
        <v>4.7945205479452057E-3</v>
      </c>
      <c r="N232" s="23">
        <f>AD232/'Batt IN'!$E$27/730</f>
        <v>3.4246575342465752E-3</v>
      </c>
      <c r="O232" s="12">
        <f t="shared" si="53"/>
        <v>4.3828767123287697E-2</v>
      </c>
      <c r="P232" s="21">
        <f t="shared" si="54"/>
        <v>698.005</v>
      </c>
      <c r="Q232" s="2">
        <f>IF('Batt IN'!$E$27*'Batt IN'!$E$24&lt;='Batt IN'!$E$28,(('Batt IN'!$E$23*'Batt IN'!$E$27*'Batt IN'!$E$24)/1000)*P232,(('Batt IN'!$E$23*'Batt IN'!$E$28*'Batt IN'!$E$24)/1000)*P232)</f>
        <v>11168.08</v>
      </c>
      <c r="R232" s="2"/>
      <c r="S232" s="77">
        <f>IF(C232&lt;='Batt IN'!$G$14*12,'Batt IN'!$E$15/12,0)</f>
        <v>0</v>
      </c>
      <c r="T232" s="77"/>
      <c r="U232" s="80">
        <f>'Batt IN'!$E$28*('Batt IN'!$G$24/24)*730*(1-O232)</f>
        <v>81433.916666666657</v>
      </c>
      <c r="V232" s="78">
        <f>U232*'Batt IN'!$F$30</f>
        <v>16286.783333333333</v>
      </c>
      <c r="W232" s="78">
        <f>'Batt IN'!$E$28*'Batt IN'!$G$32*('Batt IN'!$E$32/12)*(1+'Batt IN'!$F$30)</f>
        <v>1750.0000000000002</v>
      </c>
      <c r="X232" s="78">
        <f>'Batt IN'!$E$28*'Batt IN'!$G$13*('Batt IN'!$E$13/12)*(1+'Batt IN'!$F$30)</f>
        <v>3184.9999999999995</v>
      </c>
      <c r="Y232" s="33">
        <f>S232*'Batt IN'!$G$15*'Batt IN'!$E$28*(1+'Batt IN'!$F$30)</f>
        <v>0</v>
      </c>
      <c r="Z232" s="33">
        <f>'Batt IN'!$G$16*365/12*(1+'Batt IN'!$F$30)</f>
        <v>1824.9999999999998</v>
      </c>
      <c r="AA232" s="33">
        <f>'Batt IN'!$G$17*'Batt IN'!$E$18*'Batt IN'!$G$18/12*(1+'Batt IN'!$F$30)</f>
        <v>1170</v>
      </c>
      <c r="AB232" s="33">
        <f>'Batt IN'!$G$19*'Batt IN'!$E$20*'Batt IN'!$G$20/12*(1+'Batt IN'!$F$30)</f>
        <v>150</v>
      </c>
      <c r="AC232" s="33">
        <f>'Batt IN'!$G$21*(1+'Batt IN'!$F$30)/12</f>
        <v>3500</v>
      </c>
      <c r="AD232" s="33">
        <f>'Batt IN'!$G$22*(1+'Batt IN'!$F$30)/12</f>
        <v>2500</v>
      </c>
      <c r="AE232" s="33">
        <f t="shared" si="66"/>
        <v>30366.783333333333</v>
      </c>
      <c r="AF232" s="33">
        <f>IF('PV IN'!$F$4="Battery Only",0,AE232*'Batt IN'!$E$29)</f>
        <v>25811.765833333331</v>
      </c>
      <c r="AG232" s="33">
        <f>PVCalcs!L232</f>
        <v>25811.765833333331</v>
      </c>
      <c r="AH232" s="33">
        <f t="shared" si="67"/>
        <v>4555.0175000000017</v>
      </c>
      <c r="AI232" s="33"/>
      <c r="AJ232" s="2">
        <f>IF(AND('Batt IN'!$D$53="Yes",$AL$1&gt;=1),IF($C232='Batt IN'!$H$54*12,-'Batt IN'!$F$54,0),0)</f>
        <v>0</v>
      </c>
      <c r="AK232" s="2">
        <f>IF(AND('Batt IN'!$D$53="Yes",$AL$1&gt;=2),IF($C232='Batt IN'!$H$55*12,-'Batt IN'!$F$55,0),0)</f>
        <v>0</v>
      </c>
      <c r="AL232" s="2">
        <f>IF(AND('Batt IN'!$D$53="Yes",$AL$1&gt;=3),IF($C232='Batt IN'!$H$56*12,-'Batt IN'!$F$56,0),0)</f>
        <v>0</v>
      </c>
      <c r="AM232" s="2">
        <f>IF(AND('Batt IN'!$D$53="Yes",$AL$1&gt;=4),IF($C232='Batt IN'!$H$57*12,-'Batt IN'!$F$57,0),0)</f>
        <v>0</v>
      </c>
      <c r="AN232" s="2">
        <f>IF(AND('Batt IN'!$D$53="Yes",$AL$1&gt;=5),IF($C232='Batt IN'!$H$58*12,-'Batt IN'!$F$58,0),0)</f>
        <v>0</v>
      </c>
      <c r="AO232" s="10">
        <f>IF(AND('Batt IN'!$D$44="YES",$C232&lt;='Batt IN'!$E$44*12),-'Batt IN'!$E$28*'Batt IN'!$E$42/12,0)</f>
        <v>0</v>
      </c>
      <c r="AP232" s="10">
        <f>IF(AND('Batt IN'!$D$46="YES",$C232&lt;='Batt IN'!$E$46*12),-'Batt IN'!$E$28*'Batt IN'!$E$45/12,0)</f>
        <v>0</v>
      </c>
      <c r="AR232" s="10">
        <f>BattLoan!M259</f>
        <v>0</v>
      </c>
      <c r="AS232" s="10">
        <f>'Batt IN'!$G$16*365/12*'Batt IN'!$E$16</f>
        <v>76.041666666666671</v>
      </c>
      <c r="AT232" s="10">
        <f>IF(AND('Batt IN'!$E$18&gt;0,'Batt IN'!$G$18&gt;0),'Batt IN'!$E$17*'Batt IN'!$G$17,0)</f>
        <v>119.44619999999999</v>
      </c>
      <c r="AU232" s="10">
        <f>IF(AND('Batt IN'!$E$20&gt;0,'Batt IN'!$G$20&gt;0),'Batt IN'!$E$19*'Batt IN'!$G$19,0)</f>
        <v>231</v>
      </c>
      <c r="AV232" s="10"/>
      <c r="AW232" s="10"/>
      <c r="AX232" s="10">
        <f>IF('Batt IN'!$E$11="Non-Taxable",Q232,0)</f>
        <v>11168.08</v>
      </c>
      <c r="AY232" s="10">
        <f>IF('Batt IN'!$E$11="Non-Taxable",'Batt IN'!$E$28/1000*'Batt IN'!$G$13*('Batt IN'!$E$13/12)*'Batt IN'!$E$12,0)</f>
        <v>244.42220833333334</v>
      </c>
      <c r="AZ232" s="10">
        <f>IF('Batt IN'!$E$11="Non-Taxable",$S232*'Batt IN'!$G$15*'Batt IN'!$E$28*'Batt IN'!$E$14/1000,0)</f>
        <v>0</v>
      </c>
      <c r="BA232" s="10">
        <f>IF('Batt IN'!$E$11="Non-Taxable",'Batt IN'!$E$21*'Batt IN'!$G$21/12,0)</f>
        <v>437.5</v>
      </c>
      <c r="BB232" s="10">
        <f>IF('Batt IN'!$E$11="Non-Taxable",'Batt IN'!$E$22*'Batt IN'!$G$22/12,0)</f>
        <v>1145.8333333333335</v>
      </c>
      <c r="BC232" s="10">
        <f>IF('Batt IN'!$E$11="Taxable",Q232,0)</f>
        <v>0</v>
      </c>
      <c r="BD232" s="10">
        <f>IF('Batt IN'!$E$11="Taxable",'Batt IN'!$E$28/1000*'Batt IN'!$G$13*('Batt IN'!$E$13/12)*'Batt IN'!$E$12,0)</f>
        <v>0</v>
      </c>
      <c r="BE232" s="10">
        <f>IF('Batt IN'!$E$11="Taxable",$S232*'Batt IN'!$G$15*'Batt IN'!$E$28*'Batt IN'!$E$14/1000,0)</f>
        <v>0</v>
      </c>
      <c r="BF232" s="10">
        <f>IF('Batt IN'!$E$11="Taxable",'Batt IN'!$E$21*'Batt IN'!$G$21/12,0)</f>
        <v>0</v>
      </c>
      <c r="BG232" s="10">
        <f>IF('Batt IN'!$E$11="Taxable",'Batt IN'!$E$22*'Batt IN'!$G$22/12,0)</f>
        <v>0</v>
      </c>
      <c r="BK232" s="10">
        <f>IF('Batt IN'!$N$18="Yes",-BattLoan!H260,-BattLoan!L260)</f>
        <v>0</v>
      </c>
      <c r="BL232" s="10">
        <f>IF('Batt IN'!$N$18="Yes",-BattLoan!F260,0)</f>
        <v>0</v>
      </c>
      <c r="BM232" s="10">
        <f>IF(AND('Batt IN'!$D$44="YES",$C232&lt;='Batt IN'!$E$44*12),0,-'Batt IN'!$E$28*'Batt IN'!$E$42/12)</f>
        <v>-83.333333333333329</v>
      </c>
      <c r="BN232" s="10">
        <f>IF(AND('Batt IN'!$D$46="YES",$C232&lt;='Batt IN'!$E$46*12),0,-'Batt IN'!$E$28*'Batt IN'!$E$45/12)</f>
        <v>-166.66666666666666</v>
      </c>
      <c r="BO232" s="2">
        <f>IF(AND('Batt IN'!$D$41="YES",BattCalcs!C232=ROUNDUP('Batt IN'!$H$41*12,)),-'Batt IN'!$E$41*'Batt IN'!$E$28,0)</f>
        <v>0</v>
      </c>
      <c r="BP232" s="2">
        <f>IF(AND('Batt IN'!$D$53="Yes",$AL$1&gt;=1),0,IF($C232='Batt IN'!$H$54*12,-'Batt IN'!$F$54,0))</f>
        <v>0</v>
      </c>
      <c r="BQ232" s="2">
        <f>IF(AND('Batt IN'!$D$53="Yes",$AL$1&gt;=2),0,IF($C232='Batt IN'!$H$55*12,-'Batt IN'!$F$55,0))</f>
        <v>0</v>
      </c>
      <c r="BR232" s="2">
        <f>IF(AND('Batt IN'!$D$53="Yes",$AL$1&gt;=3),0,IF($C232='Batt IN'!$H$56*12,-'Batt IN'!$F$56,0))</f>
        <v>0</v>
      </c>
      <c r="BS232" s="2">
        <f>IF(AND('Batt IN'!$D$53="Yes",$AL$1&gt;=4),0,IF($C232='Batt IN'!$H$57*12,-'Batt IN'!$F$57,0))</f>
        <v>0</v>
      </c>
      <c r="BT232" s="2">
        <f>IF(AND('Batt IN'!$D$53="Yes",$AL$1&gt;=5),0,IF($C232='Batt IN'!$H$58*12,-'Batt IN'!$F$58,0))</f>
        <v>0</v>
      </c>
      <c r="BU232" s="2">
        <f>-AH232*PVCalcs!F232</f>
        <v>-380.88882327414336</v>
      </c>
      <c r="BV232" s="2">
        <f>-'Batt IN'!$E$47</f>
        <v>-150</v>
      </c>
      <c r="BW232" s="2">
        <f>-'Batt IN'!$E$49</f>
        <v>-2250</v>
      </c>
      <c r="BX232" s="2">
        <f>IF('Batt IN'!$H$50="No",-(BC232*'Batt IN'!$E$50),-(BC232+BE232)*'Batt IN'!$E$50)</f>
        <v>0</v>
      </c>
      <c r="BY232" s="2">
        <f>IF(C232='Batt IN'!$H$43*12,-'Batt IN'!$E$43,0)</f>
        <v>0</v>
      </c>
      <c r="BZ232" s="38"/>
      <c r="CA232" s="10">
        <f t="shared" si="51"/>
        <v>13422.323408333334</v>
      </c>
      <c r="CB232" s="2">
        <f t="shared" si="55"/>
        <v>-3030.8888232741433</v>
      </c>
      <c r="CC232" s="45">
        <f t="shared" si="56"/>
        <v>10391.434585059191</v>
      </c>
      <c r="CD232" s="43"/>
      <c r="CE232" s="2">
        <f t="shared" si="52"/>
        <v>0</v>
      </c>
      <c r="CF232" s="2">
        <f t="shared" si="57"/>
        <v>-3030.8888232741433</v>
      </c>
      <c r="CG232" s="2"/>
      <c r="CH232" s="2">
        <f t="shared" si="58"/>
        <v>-3030.8888232741433</v>
      </c>
      <c r="CI232" s="45">
        <f>-CH232*'Batt IN'!$E$7</f>
        <v>636.48665288757002</v>
      </c>
      <c r="CJ232" s="48"/>
      <c r="CK232" s="45">
        <f>IF('Batt IN'!$F$4="PV Only",0,IF(C232&gt;'Batt IN'!$H$43*12,0,CC232+CI232))</f>
        <v>0</v>
      </c>
      <c r="CM232" s="10">
        <f t="shared" si="59"/>
        <v>0</v>
      </c>
      <c r="CN232" s="2">
        <f>CK232/(1+('Batt IN'!$G$8))^(C232)</f>
        <v>0</v>
      </c>
      <c r="CO232" s="2">
        <f>IF(C232&lt;='Batt IN'!$O$30*12,CN232+CO231,NA())</f>
        <v>0</v>
      </c>
      <c r="CQ232" s="2">
        <f>CK232/((1+('Batt IN'!$E$8/12))^BattCalcs!C232)</f>
        <v>0</v>
      </c>
      <c r="CS232" s="10">
        <f t="shared" si="60"/>
        <v>-3030.8888232741433</v>
      </c>
      <c r="CT232" s="10">
        <f t="shared" si="61"/>
        <v>0</v>
      </c>
      <c r="CU232" s="10">
        <f t="shared" si="62"/>
        <v>-3030.8888232741433</v>
      </c>
      <c r="CV232" s="10">
        <f t="shared" si="63"/>
        <v>-3030.8888232741433</v>
      </c>
      <c r="CW232" s="2">
        <f t="shared" si="64"/>
        <v>0</v>
      </c>
      <c r="CX232" s="2">
        <f>-(SUM(CV232:CW232)*'PV IN'!$E$8)</f>
        <v>636.48665288757002</v>
      </c>
      <c r="CY232" s="2">
        <f t="shared" si="65"/>
        <v>-2394.4021703865733</v>
      </c>
      <c r="CZ232" s="2">
        <f>IF(C232&lt;='Batt IN'!$H$43*12,CY232/(1+('PV IN'!$G$9))^(C232),0)</f>
        <v>-947.5462455763153</v>
      </c>
      <c r="DA232" s="33">
        <f>IF(C232&lt;='Batt IN'!$H$43*12,AE232,0)</f>
        <v>30366.783333333333</v>
      </c>
    </row>
    <row r="233" spans="1:105" x14ac:dyDescent="0.25">
      <c r="A233">
        <f>IF(C233&lt;='Batt IN'!$H$43*12,C233,"")</f>
        <v>229</v>
      </c>
      <c r="C233">
        <v>229</v>
      </c>
      <c r="D233" s="21">
        <v>730</v>
      </c>
      <c r="E233" s="1">
        <f>1-'Batt IN'!$E$31</f>
        <v>2.0000000000000018E-2</v>
      </c>
      <c r="F233" s="12">
        <f>('Batt IN'!$E$33*365)/8760</f>
        <v>0</v>
      </c>
      <c r="G233" s="22">
        <f>'Batt IN'!$E$32/8760</f>
        <v>5.7077625570776253E-3</v>
      </c>
      <c r="H233" s="22">
        <f>'Batt IN'!$E$13/8760</f>
        <v>5.5936073059360729E-3</v>
      </c>
      <c r="I233" s="23">
        <f>IF(C233&lt;='Batt IN'!$G$14*12,'Batt IN'!$E$15/8760*'Batt IN'!$G$15,0)</f>
        <v>0</v>
      </c>
      <c r="J233" s="12">
        <f>Z233/'Batt IN'!$E$27/730</f>
        <v>2.4999999999999996E-3</v>
      </c>
      <c r="K233" s="23">
        <f>AA233/'Batt IN'!$E$27/730</f>
        <v>1.6027397260273972E-3</v>
      </c>
      <c r="L233" s="23">
        <f>AB233/'Batt IN'!$E$27/730</f>
        <v>2.0547945205479451E-4</v>
      </c>
      <c r="M233" s="23">
        <f>AC233/'Batt IN'!$E$27/730</f>
        <v>4.7945205479452057E-3</v>
      </c>
      <c r="N233" s="23">
        <f>AD233/'Batt IN'!$E$27/730</f>
        <v>3.4246575342465752E-3</v>
      </c>
      <c r="O233" s="12">
        <f t="shared" si="53"/>
        <v>4.3828767123287697E-2</v>
      </c>
      <c r="P233" s="21">
        <f t="shared" si="54"/>
        <v>698.005</v>
      </c>
      <c r="Q233" s="2">
        <f>IF('Batt IN'!$E$27*'Batt IN'!$E$24&lt;='Batt IN'!$E$28,(('Batt IN'!$E$23*'Batt IN'!$E$27*'Batt IN'!$E$24)/1000)*P233,(('Batt IN'!$E$23*'Batt IN'!$E$28*'Batt IN'!$E$24)/1000)*P233)</f>
        <v>11168.08</v>
      </c>
      <c r="R233" s="2"/>
      <c r="S233" s="77">
        <f>IF(C233&lt;='Batt IN'!$G$14*12,'Batt IN'!$E$15/12,0)</f>
        <v>0</v>
      </c>
      <c r="T233" s="77"/>
      <c r="U233" s="80">
        <f>'Batt IN'!$E$28*('Batt IN'!$G$24/24)*730*(1-O233)</f>
        <v>81433.916666666657</v>
      </c>
      <c r="V233" s="78">
        <f>U233*'Batt IN'!$F$30</f>
        <v>16286.783333333333</v>
      </c>
      <c r="W233" s="78">
        <f>'Batt IN'!$E$28*'Batt IN'!$G$32*('Batt IN'!$E$32/12)*(1+'Batt IN'!$F$30)</f>
        <v>1750.0000000000002</v>
      </c>
      <c r="X233" s="78">
        <f>'Batt IN'!$E$28*'Batt IN'!$G$13*('Batt IN'!$E$13/12)*(1+'Batt IN'!$F$30)</f>
        <v>3184.9999999999995</v>
      </c>
      <c r="Y233" s="33">
        <f>S233*'Batt IN'!$G$15*'Batt IN'!$E$28*(1+'Batt IN'!$F$30)</f>
        <v>0</v>
      </c>
      <c r="Z233" s="33">
        <f>'Batt IN'!$G$16*365/12*(1+'Batt IN'!$F$30)</f>
        <v>1824.9999999999998</v>
      </c>
      <c r="AA233" s="33">
        <f>'Batt IN'!$G$17*'Batt IN'!$E$18*'Batt IN'!$G$18/12*(1+'Batt IN'!$F$30)</f>
        <v>1170</v>
      </c>
      <c r="AB233" s="33">
        <f>'Batt IN'!$G$19*'Batt IN'!$E$20*'Batt IN'!$G$20/12*(1+'Batt IN'!$F$30)</f>
        <v>150</v>
      </c>
      <c r="AC233" s="33">
        <f>'Batt IN'!$G$21*(1+'Batt IN'!$F$30)/12</f>
        <v>3500</v>
      </c>
      <c r="AD233" s="33">
        <f>'Batt IN'!$G$22*(1+'Batt IN'!$F$30)/12</f>
        <v>2500</v>
      </c>
      <c r="AE233" s="33">
        <f t="shared" si="66"/>
        <v>30366.783333333333</v>
      </c>
      <c r="AF233" s="33">
        <f>IF('PV IN'!$F$4="Battery Only",0,AE233*'Batt IN'!$E$29)</f>
        <v>25811.765833333331</v>
      </c>
      <c r="AG233" s="33">
        <f>PVCalcs!L233</f>
        <v>25811.765833333331</v>
      </c>
      <c r="AH233" s="33">
        <f t="shared" si="67"/>
        <v>4555.0175000000017</v>
      </c>
      <c r="AI233" s="33"/>
      <c r="AJ233" s="2">
        <f>IF(AND('Batt IN'!$D$53="Yes",$AL$1&gt;=1),IF($C233='Batt IN'!$H$54*12,-'Batt IN'!$F$54,0),0)</f>
        <v>0</v>
      </c>
      <c r="AK233" s="2">
        <f>IF(AND('Batt IN'!$D$53="Yes",$AL$1&gt;=2),IF($C233='Batt IN'!$H$55*12,-'Batt IN'!$F$55,0),0)</f>
        <v>0</v>
      </c>
      <c r="AL233" s="2">
        <f>IF(AND('Batt IN'!$D$53="Yes",$AL$1&gt;=3),IF($C233='Batt IN'!$H$56*12,-'Batt IN'!$F$56,0),0)</f>
        <v>0</v>
      </c>
      <c r="AM233" s="2">
        <f>IF(AND('Batt IN'!$D$53="Yes",$AL$1&gt;=4),IF($C233='Batt IN'!$H$57*12,-'Batt IN'!$F$57,0),0)</f>
        <v>0</v>
      </c>
      <c r="AN233" s="2">
        <f>IF(AND('Batt IN'!$D$53="Yes",$AL$1&gt;=5),IF($C233='Batt IN'!$H$58*12,-'Batt IN'!$F$58,0),0)</f>
        <v>0</v>
      </c>
      <c r="AO233" s="10">
        <f>IF(AND('Batt IN'!$D$44="YES",$C233&lt;='Batt IN'!$E$44*12),-'Batt IN'!$E$28*'Batt IN'!$E$42/12,0)</f>
        <v>0</v>
      </c>
      <c r="AP233" s="10">
        <f>IF(AND('Batt IN'!$D$46="YES",$C233&lt;='Batt IN'!$E$46*12),-'Batt IN'!$E$28*'Batt IN'!$E$45/12,0)</f>
        <v>0</v>
      </c>
      <c r="AR233" s="10">
        <f>BattLoan!M260</f>
        <v>0</v>
      </c>
      <c r="AS233" s="10">
        <f>'Batt IN'!$G$16*365/12*'Batt IN'!$E$16</f>
        <v>76.041666666666671</v>
      </c>
      <c r="AT233" s="10">
        <f>IF(AND('Batt IN'!$E$18&gt;0,'Batt IN'!$G$18&gt;0),'Batt IN'!$E$17*'Batt IN'!$G$17,0)</f>
        <v>119.44619999999999</v>
      </c>
      <c r="AU233" s="10">
        <f>IF(AND('Batt IN'!$E$20&gt;0,'Batt IN'!$G$20&gt;0),'Batt IN'!$E$19*'Batt IN'!$G$19,0)</f>
        <v>231</v>
      </c>
      <c r="AV233" s="10"/>
      <c r="AW233" s="10"/>
      <c r="AX233" s="10">
        <f>IF('Batt IN'!$E$11="Non-Taxable",Q233,0)</f>
        <v>11168.08</v>
      </c>
      <c r="AY233" s="10">
        <f>IF('Batt IN'!$E$11="Non-Taxable",'Batt IN'!$E$28/1000*'Batt IN'!$G$13*('Batt IN'!$E$13/12)*'Batt IN'!$E$12,0)</f>
        <v>244.42220833333334</v>
      </c>
      <c r="AZ233" s="10">
        <f>IF('Batt IN'!$E$11="Non-Taxable",$S233*'Batt IN'!$G$15*'Batt IN'!$E$28*'Batt IN'!$E$14/1000,0)</f>
        <v>0</v>
      </c>
      <c r="BA233" s="10">
        <f>IF('Batt IN'!$E$11="Non-Taxable",'Batt IN'!$E$21*'Batt IN'!$G$21/12,0)</f>
        <v>437.5</v>
      </c>
      <c r="BB233" s="10">
        <f>IF('Batt IN'!$E$11="Non-Taxable",'Batt IN'!$E$22*'Batt IN'!$G$22/12,0)</f>
        <v>1145.8333333333335</v>
      </c>
      <c r="BC233" s="10">
        <f>IF('Batt IN'!$E$11="Taxable",Q233,0)</f>
        <v>0</v>
      </c>
      <c r="BD233" s="10">
        <f>IF('Batt IN'!$E$11="Taxable",'Batt IN'!$E$28/1000*'Batt IN'!$G$13*('Batt IN'!$E$13/12)*'Batt IN'!$E$12,0)</f>
        <v>0</v>
      </c>
      <c r="BE233" s="10">
        <f>IF('Batt IN'!$E$11="Taxable",$S233*'Batt IN'!$G$15*'Batt IN'!$E$28*'Batt IN'!$E$14/1000,0)</f>
        <v>0</v>
      </c>
      <c r="BF233" s="10">
        <f>IF('Batt IN'!$E$11="Taxable",'Batt IN'!$E$21*'Batt IN'!$G$21/12,0)</f>
        <v>0</v>
      </c>
      <c r="BG233" s="10">
        <f>IF('Batt IN'!$E$11="Taxable",'Batt IN'!$E$22*'Batt IN'!$G$22/12,0)</f>
        <v>0</v>
      </c>
      <c r="BK233" s="10">
        <f>IF('Batt IN'!$N$18="Yes",-BattLoan!H261,-BattLoan!L261)</f>
        <v>0</v>
      </c>
      <c r="BL233" s="10">
        <f>IF('Batt IN'!$N$18="Yes",-BattLoan!F261,0)</f>
        <v>0</v>
      </c>
      <c r="BM233" s="10">
        <f>IF(AND('Batt IN'!$D$44="YES",$C233&lt;='Batt IN'!$E$44*12),0,-'Batt IN'!$E$28*'Batt IN'!$E$42/12)</f>
        <v>-83.333333333333329</v>
      </c>
      <c r="BN233" s="10">
        <f>IF(AND('Batt IN'!$D$46="YES",$C233&lt;='Batt IN'!$E$46*12),0,-'Batt IN'!$E$28*'Batt IN'!$E$45/12)</f>
        <v>-166.66666666666666</v>
      </c>
      <c r="BO233" s="2">
        <f>IF(AND('Batt IN'!$D$41="YES",BattCalcs!C233=ROUNDUP('Batt IN'!$H$41*12,)),-'Batt IN'!$E$41*'Batt IN'!$E$28,0)</f>
        <v>0</v>
      </c>
      <c r="BP233" s="2">
        <f>IF(AND('Batt IN'!$D$53="Yes",$AL$1&gt;=1),0,IF($C233='Batt IN'!$H$54*12,-'Batt IN'!$F$54,0))</f>
        <v>0</v>
      </c>
      <c r="BQ233" s="2">
        <f>IF(AND('Batt IN'!$D$53="Yes",$AL$1&gt;=2),0,IF($C233='Batt IN'!$H$55*12,-'Batt IN'!$F$55,0))</f>
        <v>0</v>
      </c>
      <c r="BR233" s="2">
        <f>IF(AND('Batt IN'!$D$53="Yes",$AL$1&gt;=3),0,IF($C233='Batt IN'!$H$56*12,-'Batt IN'!$F$56,0))</f>
        <v>0</v>
      </c>
      <c r="BS233" s="2">
        <f>IF(AND('Batt IN'!$D$53="Yes",$AL$1&gt;=4),0,IF($C233='Batt IN'!$H$57*12,-'Batt IN'!$F$57,0))</f>
        <v>0</v>
      </c>
      <c r="BT233" s="2">
        <f>IF(AND('Batt IN'!$D$53="Yes",$AL$1&gt;=5),0,IF($C233='Batt IN'!$H$58*12,-'Batt IN'!$F$58,0))</f>
        <v>0</v>
      </c>
      <c r="BU233" s="2">
        <f>-AH233*PVCalcs!F233</f>
        <v>-380.26098829165892</v>
      </c>
      <c r="BV233" s="2">
        <f>-'Batt IN'!$E$47</f>
        <v>-150</v>
      </c>
      <c r="BW233" s="2">
        <f>-'Batt IN'!$E$49</f>
        <v>-2250</v>
      </c>
      <c r="BX233" s="2">
        <f>IF('Batt IN'!$H$50="No",-(BC233*'Batt IN'!$E$50),-(BC233+BE233)*'Batt IN'!$E$50)</f>
        <v>0</v>
      </c>
      <c r="BY233" s="2">
        <f>IF(C233='Batt IN'!$H$43*12,-'Batt IN'!$E$43,0)</f>
        <v>0</v>
      </c>
      <c r="BZ233" s="38"/>
      <c r="CA233" s="10">
        <f t="shared" si="51"/>
        <v>13422.323408333334</v>
      </c>
      <c r="CB233" s="2">
        <f t="shared" si="55"/>
        <v>-3030.260988291659</v>
      </c>
      <c r="CC233" s="45">
        <f t="shared" si="56"/>
        <v>10392.062420041675</v>
      </c>
      <c r="CD233" s="43"/>
      <c r="CE233" s="2">
        <f t="shared" si="52"/>
        <v>0</v>
      </c>
      <c r="CF233" s="2">
        <f t="shared" si="57"/>
        <v>-3030.260988291659</v>
      </c>
      <c r="CG233" s="2"/>
      <c r="CH233" s="2">
        <f t="shared" si="58"/>
        <v>-3030.260988291659</v>
      </c>
      <c r="CI233" s="45">
        <f>-CH233*'Batt IN'!$E$7</f>
        <v>636.35480754124842</v>
      </c>
      <c r="CJ233" s="48"/>
      <c r="CK233" s="45">
        <f>IF('Batt IN'!$F$4="PV Only",0,IF(C233&gt;'Batt IN'!$H$43*12,0,CC233+CI233))</f>
        <v>0</v>
      </c>
      <c r="CM233" s="10">
        <f t="shared" si="59"/>
        <v>0</v>
      </c>
      <c r="CN233" s="2">
        <f>CK233/(1+('Batt IN'!$G$8))^(C233)</f>
        <v>0</v>
      </c>
      <c r="CO233" s="2">
        <f>IF(C233&lt;='Batt IN'!$O$30*12,CN233+CO232,NA())</f>
        <v>0</v>
      </c>
      <c r="CQ233" s="2">
        <f>CK233/((1+('Batt IN'!$E$8/12))^BattCalcs!C233)</f>
        <v>0</v>
      </c>
      <c r="CS233" s="10">
        <f t="shared" si="60"/>
        <v>-3030.260988291659</v>
      </c>
      <c r="CT233" s="10">
        <f t="shared" si="61"/>
        <v>0</v>
      </c>
      <c r="CU233" s="10">
        <f t="shared" si="62"/>
        <v>-3030.260988291659</v>
      </c>
      <c r="CV233" s="10">
        <f t="shared" si="63"/>
        <v>-3030.260988291659</v>
      </c>
      <c r="CW233" s="2">
        <f t="shared" si="64"/>
        <v>0</v>
      </c>
      <c r="CX233" s="2">
        <f>-(SUM(CV233:CW233)*'PV IN'!$E$8)</f>
        <v>636.35480754124842</v>
      </c>
      <c r="CY233" s="2">
        <f t="shared" si="65"/>
        <v>-2393.9061807504104</v>
      </c>
      <c r="CZ233" s="2">
        <f>IF(C233&lt;='Batt IN'!$H$43*12,CY233/(1+('PV IN'!$G$9))^(C233),0)</f>
        <v>-943.50600537843002</v>
      </c>
      <c r="DA233" s="33">
        <f>IF(C233&lt;='Batt IN'!$H$43*12,AE233,0)</f>
        <v>30366.783333333333</v>
      </c>
    </row>
    <row r="234" spans="1:105" x14ac:dyDescent="0.25">
      <c r="A234">
        <f>IF(C234&lt;='Batt IN'!$H$43*12,C234,"")</f>
        <v>230</v>
      </c>
      <c r="C234">
        <v>230</v>
      </c>
      <c r="D234" s="21">
        <v>730</v>
      </c>
      <c r="E234" s="1">
        <f>1-'Batt IN'!$E$31</f>
        <v>2.0000000000000018E-2</v>
      </c>
      <c r="F234" s="12">
        <f>('Batt IN'!$E$33*365)/8760</f>
        <v>0</v>
      </c>
      <c r="G234" s="22">
        <f>'Batt IN'!$E$32/8760</f>
        <v>5.7077625570776253E-3</v>
      </c>
      <c r="H234" s="22">
        <f>'Batt IN'!$E$13/8760</f>
        <v>5.5936073059360729E-3</v>
      </c>
      <c r="I234" s="23">
        <f>IF(C234&lt;='Batt IN'!$G$14*12,'Batt IN'!$E$15/8760*'Batt IN'!$G$15,0)</f>
        <v>0</v>
      </c>
      <c r="J234" s="12">
        <f>Z234/'Batt IN'!$E$27/730</f>
        <v>2.4999999999999996E-3</v>
      </c>
      <c r="K234" s="23">
        <f>AA234/'Batt IN'!$E$27/730</f>
        <v>1.6027397260273972E-3</v>
      </c>
      <c r="L234" s="23">
        <f>AB234/'Batt IN'!$E$27/730</f>
        <v>2.0547945205479451E-4</v>
      </c>
      <c r="M234" s="23">
        <f>AC234/'Batt IN'!$E$27/730</f>
        <v>4.7945205479452057E-3</v>
      </c>
      <c r="N234" s="23">
        <f>AD234/'Batt IN'!$E$27/730</f>
        <v>3.4246575342465752E-3</v>
      </c>
      <c r="O234" s="12">
        <f t="shared" si="53"/>
        <v>4.3828767123287697E-2</v>
      </c>
      <c r="P234" s="21">
        <f t="shared" si="54"/>
        <v>698.005</v>
      </c>
      <c r="Q234" s="2">
        <f>IF('Batt IN'!$E$27*'Batt IN'!$E$24&lt;='Batt IN'!$E$28,(('Batt IN'!$E$23*'Batt IN'!$E$27*'Batt IN'!$E$24)/1000)*P234,(('Batt IN'!$E$23*'Batt IN'!$E$28*'Batt IN'!$E$24)/1000)*P234)</f>
        <v>11168.08</v>
      </c>
      <c r="R234" s="2"/>
      <c r="S234" s="77">
        <f>IF(C234&lt;='Batt IN'!$G$14*12,'Batt IN'!$E$15/12,0)</f>
        <v>0</v>
      </c>
      <c r="T234" s="77"/>
      <c r="U234" s="80">
        <f>'Batt IN'!$E$28*('Batt IN'!$G$24/24)*730*(1-O234)</f>
        <v>81433.916666666657</v>
      </c>
      <c r="V234" s="78">
        <f>U234*'Batt IN'!$F$30</f>
        <v>16286.783333333333</v>
      </c>
      <c r="W234" s="78">
        <f>'Batt IN'!$E$28*'Batt IN'!$G$32*('Batt IN'!$E$32/12)*(1+'Batt IN'!$F$30)</f>
        <v>1750.0000000000002</v>
      </c>
      <c r="X234" s="78">
        <f>'Batt IN'!$E$28*'Batt IN'!$G$13*('Batt IN'!$E$13/12)*(1+'Batt IN'!$F$30)</f>
        <v>3184.9999999999995</v>
      </c>
      <c r="Y234" s="33">
        <f>S234*'Batt IN'!$G$15*'Batt IN'!$E$28*(1+'Batt IN'!$F$30)</f>
        <v>0</v>
      </c>
      <c r="Z234" s="33">
        <f>'Batt IN'!$G$16*365/12*(1+'Batt IN'!$F$30)</f>
        <v>1824.9999999999998</v>
      </c>
      <c r="AA234" s="33">
        <f>'Batt IN'!$G$17*'Batt IN'!$E$18*'Batt IN'!$G$18/12*(1+'Batt IN'!$F$30)</f>
        <v>1170</v>
      </c>
      <c r="AB234" s="33">
        <f>'Batt IN'!$G$19*'Batt IN'!$E$20*'Batt IN'!$G$20/12*(1+'Batt IN'!$F$30)</f>
        <v>150</v>
      </c>
      <c r="AC234" s="33">
        <f>'Batt IN'!$G$21*(1+'Batt IN'!$F$30)/12</f>
        <v>3500</v>
      </c>
      <c r="AD234" s="33">
        <f>'Batt IN'!$G$22*(1+'Batt IN'!$F$30)/12</f>
        <v>2500</v>
      </c>
      <c r="AE234" s="33">
        <f t="shared" si="66"/>
        <v>30366.783333333333</v>
      </c>
      <c r="AF234" s="33">
        <f>IF('PV IN'!$F$4="Battery Only",0,AE234*'Batt IN'!$E$29)</f>
        <v>25811.765833333331</v>
      </c>
      <c r="AG234" s="33">
        <f>PVCalcs!L234</f>
        <v>25811.765833333331</v>
      </c>
      <c r="AH234" s="33">
        <f t="shared" si="67"/>
        <v>4555.0175000000017</v>
      </c>
      <c r="AI234" s="33"/>
      <c r="AJ234" s="2">
        <f>IF(AND('Batt IN'!$D$53="Yes",$AL$1&gt;=1),IF($C234='Batt IN'!$H$54*12,-'Batt IN'!$F$54,0),0)</f>
        <v>0</v>
      </c>
      <c r="AK234" s="2">
        <f>IF(AND('Batt IN'!$D$53="Yes",$AL$1&gt;=2),IF($C234='Batt IN'!$H$55*12,-'Batt IN'!$F$55,0),0)</f>
        <v>0</v>
      </c>
      <c r="AL234" s="2">
        <f>IF(AND('Batt IN'!$D$53="Yes",$AL$1&gt;=3),IF($C234='Batt IN'!$H$56*12,-'Batt IN'!$F$56,0),0)</f>
        <v>0</v>
      </c>
      <c r="AM234" s="2">
        <f>IF(AND('Batt IN'!$D$53="Yes",$AL$1&gt;=4),IF($C234='Batt IN'!$H$57*12,-'Batt IN'!$F$57,0),0)</f>
        <v>0</v>
      </c>
      <c r="AN234" s="2">
        <f>IF(AND('Batt IN'!$D$53="Yes",$AL$1&gt;=5),IF($C234='Batt IN'!$H$58*12,-'Batt IN'!$F$58,0),0)</f>
        <v>0</v>
      </c>
      <c r="AO234" s="10">
        <f>IF(AND('Batt IN'!$D$44="YES",$C234&lt;='Batt IN'!$E$44*12),-'Batt IN'!$E$28*'Batt IN'!$E$42/12,0)</f>
        <v>0</v>
      </c>
      <c r="AP234" s="10">
        <f>IF(AND('Batt IN'!$D$46="YES",$C234&lt;='Batt IN'!$E$46*12),-'Batt IN'!$E$28*'Batt IN'!$E$45/12,0)</f>
        <v>0</v>
      </c>
      <c r="AR234" s="10">
        <f>BattLoan!M261</f>
        <v>0</v>
      </c>
      <c r="AS234" s="10">
        <f>'Batt IN'!$G$16*365/12*'Batt IN'!$E$16</f>
        <v>76.041666666666671</v>
      </c>
      <c r="AT234" s="10">
        <f>IF(AND('Batt IN'!$E$18&gt;0,'Batt IN'!$G$18&gt;0),'Batt IN'!$E$17*'Batt IN'!$G$17,0)</f>
        <v>119.44619999999999</v>
      </c>
      <c r="AU234" s="10">
        <f>IF(AND('Batt IN'!$E$20&gt;0,'Batt IN'!$G$20&gt;0),'Batt IN'!$E$19*'Batt IN'!$G$19,0)</f>
        <v>231</v>
      </c>
      <c r="AV234" s="10"/>
      <c r="AW234" s="10"/>
      <c r="AX234" s="10">
        <f>IF('Batt IN'!$E$11="Non-Taxable",Q234,0)</f>
        <v>11168.08</v>
      </c>
      <c r="AY234" s="10">
        <f>IF('Batt IN'!$E$11="Non-Taxable",'Batt IN'!$E$28/1000*'Batt IN'!$G$13*('Batt IN'!$E$13/12)*'Batt IN'!$E$12,0)</f>
        <v>244.42220833333334</v>
      </c>
      <c r="AZ234" s="10">
        <f>IF('Batt IN'!$E$11="Non-Taxable",$S234*'Batt IN'!$G$15*'Batt IN'!$E$28*'Batt IN'!$E$14/1000,0)</f>
        <v>0</v>
      </c>
      <c r="BA234" s="10">
        <f>IF('Batt IN'!$E$11="Non-Taxable",'Batt IN'!$E$21*'Batt IN'!$G$21/12,0)</f>
        <v>437.5</v>
      </c>
      <c r="BB234" s="10">
        <f>IF('Batt IN'!$E$11="Non-Taxable",'Batt IN'!$E$22*'Batt IN'!$G$22/12,0)</f>
        <v>1145.8333333333335</v>
      </c>
      <c r="BC234" s="10">
        <f>IF('Batt IN'!$E$11="Taxable",Q234,0)</f>
        <v>0</v>
      </c>
      <c r="BD234" s="10">
        <f>IF('Batt IN'!$E$11="Taxable",'Batt IN'!$E$28/1000*'Batt IN'!$G$13*('Batt IN'!$E$13/12)*'Batt IN'!$E$12,0)</f>
        <v>0</v>
      </c>
      <c r="BE234" s="10">
        <f>IF('Batt IN'!$E$11="Taxable",$S234*'Batt IN'!$G$15*'Batt IN'!$E$28*'Batt IN'!$E$14/1000,0)</f>
        <v>0</v>
      </c>
      <c r="BF234" s="10">
        <f>IF('Batt IN'!$E$11="Taxable",'Batt IN'!$E$21*'Batt IN'!$G$21/12,0)</f>
        <v>0</v>
      </c>
      <c r="BG234" s="10">
        <f>IF('Batt IN'!$E$11="Taxable",'Batt IN'!$E$22*'Batt IN'!$G$22/12,0)</f>
        <v>0</v>
      </c>
      <c r="BK234" s="10">
        <f>IF('Batt IN'!$N$18="Yes",-BattLoan!H262,-BattLoan!L262)</f>
        <v>0</v>
      </c>
      <c r="BL234" s="10">
        <f>IF('Batt IN'!$N$18="Yes",-BattLoan!F262,0)</f>
        <v>0</v>
      </c>
      <c r="BM234" s="10">
        <f>IF(AND('Batt IN'!$D$44="YES",$C234&lt;='Batt IN'!$E$44*12),0,-'Batt IN'!$E$28*'Batt IN'!$E$42/12)</f>
        <v>-83.333333333333329</v>
      </c>
      <c r="BN234" s="10">
        <f>IF(AND('Batt IN'!$D$46="YES",$C234&lt;='Batt IN'!$E$46*12),0,-'Batt IN'!$E$28*'Batt IN'!$E$45/12)</f>
        <v>-166.66666666666666</v>
      </c>
      <c r="BO234" s="2">
        <f>IF(AND('Batt IN'!$D$41="YES",BattCalcs!C234=ROUNDUP('Batt IN'!$H$41*12,)),-'Batt IN'!$E$41*'Batt IN'!$E$28,0)</f>
        <v>0</v>
      </c>
      <c r="BP234" s="2">
        <f>IF(AND('Batt IN'!$D$53="Yes",$AL$1&gt;=1),0,IF($C234='Batt IN'!$H$54*12,-'Batt IN'!$F$54,0))</f>
        <v>0</v>
      </c>
      <c r="BQ234" s="2">
        <f>IF(AND('Batt IN'!$D$53="Yes",$AL$1&gt;=2),0,IF($C234='Batt IN'!$H$55*12,-'Batt IN'!$F$55,0))</f>
        <v>0</v>
      </c>
      <c r="BR234" s="2">
        <f>IF(AND('Batt IN'!$D$53="Yes",$AL$1&gt;=3),0,IF($C234='Batt IN'!$H$56*12,-'Batt IN'!$F$56,0))</f>
        <v>0</v>
      </c>
      <c r="BS234" s="2">
        <f>IF(AND('Batt IN'!$D$53="Yes",$AL$1&gt;=4),0,IF($C234='Batt IN'!$H$57*12,-'Batt IN'!$F$57,0))</f>
        <v>0</v>
      </c>
      <c r="BT234" s="2">
        <f>IF(AND('Batt IN'!$D$53="Yes",$AL$1&gt;=5),0,IF($C234='Batt IN'!$H$58*12,-'Batt IN'!$F$58,0))</f>
        <v>0</v>
      </c>
      <c r="BU234" s="2">
        <f>-AH234*PVCalcs!F234</f>
        <v>-380.26098829165892</v>
      </c>
      <c r="BV234" s="2">
        <f>-'Batt IN'!$E$47</f>
        <v>-150</v>
      </c>
      <c r="BW234" s="2">
        <f>-'Batt IN'!$E$49</f>
        <v>-2250</v>
      </c>
      <c r="BX234" s="2">
        <f>IF('Batt IN'!$H$50="No",-(BC234*'Batt IN'!$E$50),-(BC234+BE234)*'Batt IN'!$E$50)</f>
        <v>0</v>
      </c>
      <c r="BY234" s="2">
        <f>IF(C234='Batt IN'!$H$43*12,-'Batt IN'!$E$43,0)</f>
        <v>0</v>
      </c>
      <c r="BZ234" s="38"/>
      <c r="CA234" s="10">
        <f t="shared" si="51"/>
        <v>13422.323408333334</v>
      </c>
      <c r="CB234" s="2">
        <f t="shared" si="55"/>
        <v>-3030.260988291659</v>
      </c>
      <c r="CC234" s="45">
        <f t="shared" si="56"/>
        <v>10392.062420041675</v>
      </c>
      <c r="CD234" s="43"/>
      <c r="CE234" s="2">
        <f t="shared" si="52"/>
        <v>0</v>
      </c>
      <c r="CF234" s="2">
        <f t="shared" si="57"/>
        <v>-3030.260988291659</v>
      </c>
      <c r="CG234" s="2"/>
      <c r="CH234" s="2">
        <f t="shared" si="58"/>
        <v>-3030.260988291659</v>
      </c>
      <c r="CI234" s="45">
        <f>-CH234*'Batt IN'!$E$7</f>
        <v>636.35480754124842</v>
      </c>
      <c r="CJ234" s="48"/>
      <c r="CK234" s="45">
        <f>IF('Batt IN'!$F$4="PV Only",0,IF(C234&gt;'Batt IN'!$H$43*12,0,CC234+CI234))</f>
        <v>0</v>
      </c>
      <c r="CM234" s="10">
        <f t="shared" si="59"/>
        <v>0</v>
      </c>
      <c r="CN234" s="2">
        <f>CK234/(1+('Batt IN'!$G$8))^(C234)</f>
        <v>0</v>
      </c>
      <c r="CO234" s="2">
        <f>IF(C234&lt;='Batt IN'!$O$30*12,CN234+CO233,NA())</f>
        <v>0</v>
      </c>
      <c r="CQ234" s="2">
        <f>CK234/((1+('Batt IN'!$E$8/12))^BattCalcs!C234)</f>
        <v>0</v>
      </c>
      <c r="CS234" s="10">
        <f t="shared" si="60"/>
        <v>-3030.260988291659</v>
      </c>
      <c r="CT234" s="10">
        <f t="shared" si="61"/>
        <v>0</v>
      </c>
      <c r="CU234" s="10">
        <f t="shared" si="62"/>
        <v>-3030.260988291659</v>
      </c>
      <c r="CV234" s="10">
        <f t="shared" si="63"/>
        <v>-3030.260988291659</v>
      </c>
      <c r="CW234" s="2">
        <f t="shared" si="64"/>
        <v>0</v>
      </c>
      <c r="CX234" s="2">
        <f>-(SUM(CV234:CW234)*'PV IN'!$E$8)</f>
        <v>636.35480754124842</v>
      </c>
      <c r="CY234" s="2">
        <f t="shared" si="65"/>
        <v>-2393.9061807504104</v>
      </c>
      <c r="CZ234" s="2">
        <f>IF(C234&lt;='Batt IN'!$H$43*12,CY234/(1+('PV IN'!$G$9))^(C234),0)</f>
        <v>-939.67764234678236</v>
      </c>
      <c r="DA234" s="33">
        <f>IF(C234&lt;='Batt IN'!$H$43*12,AE234,0)</f>
        <v>30366.783333333333</v>
      </c>
    </row>
    <row r="235" spans="1:105" x14ac:dyDescent="0.25">
      <c r="A235">
        <f>IF(C235&lt;='Batt IN'!$H$43*12,C235,"")</f>
        <v>231</v>
      </c>
      <c r="C235">
        <v>231</v>
      </c>
      <c r="D235" s="21">
        <v>730</v>
      </c>
      <c r="E235" s="1">
        <f>1-'Batt IN'!$E$31</f>
        <v>2.0000000000000018E-2</v>
      </c>
      <c r="F235" s="12">
        <f>('Batt IN'!$E$33*365)/8760</f>
        <v>0</v>
      </c>
      <c r="G235" s="22">
        <f>'Batt IN'!$E$32/8760</f>
        <v>5.7077625570776253E-3</v>
      </c>
      <c r="H235" s="22">
        <f>'Batt IN'!$E$13/8760</f>
        <v>5.5936073059360729E-3</v>
      </c>
      <c r="I235" s="23">
        <f>IF(C235&lt;='Batt IN'!$G$14*12,'Batt IN'!$E$15/8760*'Batt IN'!$G$15,0)</f>
        <v>0</v>
      </c>
      <c r="J235" s="12">
        <f>Z235/'Batt IN'!$E$27/730</f>
        <v>2.4999999999999996E-3</v>
      </c>
      <c r="K235" s="23">
        <f>AA235/'Batt IN'!$E$27/730</f>
        <v>1.6027397260273972E-3</v>
      </c>
      <c r="L235" s="23">
        <f>AB235/'Batt IN'!$E$27/730</f>
        <v>2.0547945205479451E-4</v>
      </c>
      <c r="M235" s="23">
        <f>AC235/'Batt IN'!$E$27/730</f>
        <v>4.7945205479452057E-3</v>
      </c>
      <c r="N235" s="23">
        <f>AD235/'Batt IN'!$E$27/730</f>
        <v>3.4246575342465752E-3</v>
      </c>
      <c r="O235" s="12">
        <f t="shared" si="53"/>
        <v>4.3828767123287697E-2</v>
      </c>
      <c r="P235" s="21">
        <f t="shared" si="54"/>
        <v>698.005</v>
      </c>
      <c r="Q235" s="2">
        <f>IF('Batt IN'!$E$27*'Batt IN'!$E$24&lt;='Batt IN'!$E$28,(('Batt IN'!$E$23*'Batt IN'!$E$27*'Batt IN'!$E$24)/1000)*P235,(('Batt IN'!$E$23*'Batt IN'!$E$28*'Batt IN'!$E$24)/1000)*P235)</f>
        <v>11168.08</v>
      </c>
      <c r="R235" s="2"/>
      <c r="S235" s="77">
        <f>IF(C235&lt;='Batt IN'!$G$14*12,'Batt IN'!$E$15/12,0)</f>
        <v>0</v>
      </c>
      <c r="T235" s="77"/>
      <c r="U235" s="80">
        <f>'Batt IN'!$E$28*('Batt IN'!$G$24/24)*730*(1-O235)</f>
        <v>81433.916666666657</v>
      </c>
      <c r="V235" s="78">
        <f>U235*'Batt IN'!$F$30</f>
        <v>16286.783333333333</v>
      </c>
      <c r="W235" s="78">
        <f>'Batt IN'!$E$28*'Batt IN'!$G$32*('Batt IN'!$E$32/12)*(1+'Batt IN'!$F$30)</f>
        <v>1750.0000000000002</v>
      </c>
      <c r="X235" s="78">
        <f>'Batt IN'!$E$28*'Batt IN'!$G$13*('Batt IN'!$E$13/12)*(1+'Batt IN'!$F$30)</f>
        <v>3184.9999999999995</v>
      </c>
      <c r="Y235" s="33">
        <f>S235*'Batt IN'!$G$15*'Batt IN'!$E$28*(1+'Batt IN'!$F$30)</f>
        <v>0</v>
      </c>
      <c r="Z235" s="33">
        <f>'Batt IN'!$G$16*365/12*(1+'Batt IN'!$F$30)</f>
        <v>1824.9999999999998</v>
      </c>
      <c r="AA235" s="33">
        <f>'Batt IN'!$G$17*'Batt IN'!$E$18*'Batt IN'!$G$18/12*(1+'Batt IN'!$F$30)</f>
        <v>1170</v>
      </c>
      <c r="AB235" s="33">
        <f>'Batt IN'!$G$19*'Batt IN'!$E$20*'Batt IN'!$G$20/12*(1+'Batt IN'!$F$30)</f>
        <v>150</v>
      </c>
      <c r="AC235" s="33">
        <f>'Batt IN'!$G$21*(1+'Batt IN'!$F$30)/12</f>
        <v>3500</v>
      </c>
      <c r="AD235" s="33">
        <f>'Batt IN'!$G$22*(1+'Batt IN'!$F$30)/12</f>
        <v>2500</v>
      </c>
      <c r="AE235" s="33">
        <f t="shared" si="66"/>
        <v>30366.783333333333</v>
      </c>
      <c r="AF235" s="33">
        <f>IF('PV IN'!$F$4="Battery Only",0,AE235*'Batt IN'!$E$29)</f>
        <v>25811.765833333331</v>
      </c>
      <c r="AG235" s="33">
        <f>PVCalcs!L235</f>
        <v>25811.765833333331</v>
      </c>
      <c r="AH235" s="33">
        <f t="shared" si="67"/>
        <v>4555.0175000000017</v>
      </c>
      <c r="AI235" s="33"/>
      <c r="AJ235" s="2">
        <f>IF(AND('Batt IN'!$D$53="Yes",$AL$1&gt;=1),IF($C235='Batt IN'!$H$54*12,-'Batt IN'!$F$54,0),0)</f>
        <v>0</v>
      </c>
      <c r="AK235" s="2">
        <f>IF(AND('Batt IN'!$D$53="Yes",$AL$1&gt;=2),IF($C235='Batt IN'!$H$55*12,-'Batt IN'!$F$55,0),0)</f>
        <v>0</v>
      </c>
      <c r="AL235" s="2">
        <f>IF(AND('Batt IN'!$D$53="Yes",$AL$1&gt;=3),IF($C235='Batt IN'!$H$56*12,-'Batt IN'!$F$56,0),0)</f>
        <v>0</v>
      </c>
      <c r="AM235" s="2">
        <f>IF(AND('Batt IN'!$D$53="Yes",$AL$1&gt;=4),IF($C235='Batt IN'!$H$57*12,-'Batt IN'!$F$57,0),0)</f>
        <v>0</v>
      </c>
      <c r="AN235" s="2">
        <f>IF(AND('Batt IN'!$D$53="Yes",$AL$1&gt;=5),IF($C235='Batt IN'!$H$58*12,-'Batt IN'!$F$58,0),0)</f>
        <v>0</v>
      </c>
      <c r="AO235" s="10">
        <f>IF(AND('Batt IN'!$D$44="YES",$C235&lt;='Batt IN'!$E$44*12),-'Batt IN'!$E$28*'Batt IN'!$E$42/12,0)</f>
        <v>0</v>
      </c>
      <c r="AP235" s="10">
        <f>IF(AND('Batt IN'!$D$46="YES",$C235&lt;='Batt IN'!$E$46*12),-'Batt IN'!$E$28*'Batt IN'!$E$45/12,0)</f>
        <v>0</v>
      </c>
      <c r="AR235" s="10">
        <f>BattLoan!M262</f>
        <v>0</v>
      </c>
      <c r="AS235" s="10">
        <f>'Batt IN'!$G$16*365/12*'Batt IN'!$E$16</f>
        <v>76.041666666666671</v>
      </c>
      <c r="AT235" s="10">
        <f>IF(AND('Batt IN'!$E$18&gt;0,'Batt IN'!$G$18&gt;0),'Batt IN'!$E$17*'Batt IN'!$G$17,0)</f>
        <v>119.44619999999999</v>
      </c>
      <c r="AU235" s="10">
        <f>IF(AND('Batt IN'!$E$20&gt;0,'Batt IN'!$G$20&gt;0),'Batt IN'!$E$19*'Batt IN'!$G$19,0)</f>
        <v>231</v>
      </c>
      <c r="AV235" s="10"/>
      <c r="AW235" s="10"/>
      <c r="AX235" s="10">
        <f>IF('Batt IN'!$E$11="Non-Taxable",Q235,0)</f>
        <v>11168.08</v>
      </c>
      <c r="AY235" s="10">
        <f>IF('Batt IN'!$E$11="Non-Taxable",'Batt IN'!$E$28/1000*'Batt IN'!$G$13*('Batt IN'!$E$13/12)*'Batt IN'!$E$12,0)</f>
        <v>244.42220833333334</v>
      </c>
      <c r="AZ235" s="10">
        <f>IF('Batt IN'!$E$11="Non-Taxable",$S235*'Batt IN'!$G$15*'Batt IN'!$E$28*'Batt IN'!$E$14/1000,0)</f>
        <v>0</v>
      </c>
      <c r="BA235" s="10">
        <f>IF('Batt IN'!$E$11="Non-Taxable",'Batt IN'!$E$21*'Batt IN'!$G$21/12,0)</f>
        <v>437.5</v>
      </c>
      <c r="BB235" s="10">
        <f>IF('Batt IN'!$E$11="Non-Taxable",'Batt IN'!$E$22*'Batt IN'!$G$22/12,0)</f>
        <v>1145.8333333333335</v>
      </c>
      <c r="BC235" s="10">
        <f>IF('Batt IN'!$E$11="Taxable",Q235,0)</f>
        <v>0</v>
      </c>
      <c r="BD235" s="10">
        <f>IF('Batt IN'!$E$11="Taxable",'Batt IN'!$E$28/1000*'Batt IN'!$G$13*('Batt IN'!$E$13/12)*'Batt IN'!$E$12,0)</f>
        <v>0</v>
      </c>
      <c r="BE235" s="10">
        <f>IF('Batt IN'!$E$11="Taxable",$S235*'Batt IN'!$G$15*'Batt IN'!$E$28*'Batt IN'!$E$14/1000,0)</f>
        <v>0</v>
      </c>
      <c r="BF235" s="10">
        <f>IF('Batt IN'!$E$11="Taxable",'Batt IN'!$E$21*'Batt IN'!$G$21/12,0)</f>
        <v>0</v>
      </c>
      <c r="BG235" s="10">
        <f>IF('Batt IN'!$E$11="Taxable",'Batt IN'!$E$22*'Batt IN'!$G$22/12,0)</f>
        <v>0</v>
      </c>
      <c r="BK235" s="10">
        <f>IF('Batt IN'!$N$18="Yes",-BattLoan!H263,-BattLoan!L263)</f>
        <v>0</v>
      </c>
      <c r="BL235" s="10">
        <f>IF('Batt IN'!$N$18="Yes",-BattLoan!F263,0)</f>
        <v>0</v>
      </c>
      <c r="BM235" s="10">
        <f>IF(AND('Batt IN'!$D$44="YES",$C235&lt;='Batt IN'!$E$44*12),0,-'Batt IN'!$E$28*'Batt IN'!$E$42/12)</f>
        <v>-83.333333333333329</v>
      </c>
      <c r="BN235" s="10">
        <f>IF(AND('Batt IN'!$D$46="YES",$C235&lt;='Batt IN'!$E$46*12),0,-'Batt IN'!$E$28*'Batt IN'!$E$45/12)</f>
        <v>-166.66666666666666</v>
      </c>
      <c r="BO235" s="2">
        <f>IF(AND('Batt IN'!$D$41="YES",BattCalcs!C235=ROUNDUP('Batt IN'!$H$41*12,)),-'Batt IN'!$E$41*'Batt IN'!$E$28,0)</f>
        <v>0</v>
      </c>
      <c r="BP235" s="2">
        <f>IF(AND('Batt IN'!$D$53="Yes",$AL$1&gt;=1),0,IF($C235='Batt IN'!$H$54*12,-'Batt IN'!$F$54,0))</f>
        <v>0</v>
      </c>
      <c r="BQ235" s="2">
        <f>IF(AND('Batt IN'!$D$53="Yes",$AL$1&gt;=2),0,IF($C235='Batt IN'!$H$55*12,-'Batt IN'!$F$55,0))</f>
        <v>0</v>
      </c>
      <c r="BR235" s="2">
        <f>IF(AND('Batt IN'!$D$53="Yes",$AL$1&gt;=3),0,IF($C235='Batt IN'!$H$56*12,-'Batt IN'!$F$56,0))</f>
        <v>0</v>
      </c>
      <c r="BS235" s="2">
        <f>IF(AND('Batt IN'!$D$53="Yes",$AL$1&gt;=4),0,IF($C235='Batt IN'!$H$57*12,-'Batt IN'!$F$57,0))</f>
        <v>0</v>
      </c>
      <c r="BT235" s="2">
        <f>IF(AND('Batt IN'!$D$53="Yes",$AL$1&gt;=5),0,IF($C235='Batt IN'!$H$58*12,-'Batt IN'!$F$58,0))</f>
        <v>0</v>
      </c>
      <c r="BU235" s="2">
        <f>-AH235*PVCalcs!F235</f>
        <v>-380.26098829165892</v>
      </c>
      <c r="BV235" s="2">
        <f>-'Batt IN'!$E$47</f>
        <v>-150</v>
      </c>
      <c r="BW235" s="2">
        <f>-'Batt IN'!$E$49</f>
        <v>-2250</v>
      </c>
      <c r="BX235" s="2">
        <f>IF('Batt IN'!$H$50="No",-(BC235*'Batt IN'!$E$50),-(BC235+BE235)*'Batt IN'!$E$50)</f>
        <v>0</v>
      </c>
      <c r="BY235" s="2">
        <f>IF(C235='Batt IN'!$H$43*12,-'Batt IN'!$E$43,0)</f>
        <v>0</v>
      </c>
      <c r="BZ235" s="38"/>
      <c r="CA235" s="10">
        <f t="shared" si="51"/>
        <v>13422.323408333334</v>
      </c>
      <c r="CB235" s="2">
        <f t="shared" si="55"/>
        <v>-3030.260988291659</v>
      </c>
      <c r="CC235" s="45">
        <f t="shared" si="56"/>
        <v>10392.062420041675</v>
      </c>
      <c r="CD235" s="43"/>
      <c r="CE235" s="2">
        <f t="shared" si="52"/>
        <v>0</v>
      </c>
      <c r="CF235" s="2">
        <f t="shared" si="57"/>
        <v>-3030.260988291659</v>
      </c>
      <c r="CG235" s="2"/>
      <c r="CH235" s="2">
        <f t="shared" si="58"/>
        <v>-3030.260988291659</v>
      </c>
      <c r="CI235" s="45">
        <f>-CH235*'Batt IN'!$E$7</f>
        <v>636.35480754124842</v>
      </c>
      <c r="CJ235" s="48"/>
      <c r="CK235" s="45">
        <f>IF('Batt IN'!$F$4="PV Only",0,IF(C235&gt;'Batt IN'!$H$43*12,0,CC235+CI235))</f>
        <v>0</v>
      </c>
      <c r="CM235" s="10">
        <f t="shared" si="59"/>
        <v>0</v>
      </c>
      <c r="CN235" s="2">
        <f>CK235/(1+('Batt IN'!$G$8))^(C235)</f>
        <v>0</v>
      </c>
      <c r="CO235" s="2">
        <f>IF(C235&lt;='Batt IN'!$O$30*12,CN235+CO234,NA())</f>
        <v>0</v>
      </c>
      <c r="CQ235" s="2">
        <f>CK235/((1+('Batt IN'!$E$8/12))^BattCalcs!C235)</f>
        <v>0</v>
      </c>
      <c r="CS235" s="10">
        <f t="shared" si="60"/>
        <v>-3030.260988291659</v>
      </c>
      <c r="CT235" s="10">
        <f t="shared" si="61"/>
        <v>0</v>
      </c>
      <c r="CU235" s="10">
        <f t="shared" si="62"/>
        <v>-3030.260988291659</v>
      </c>
      <c r="CV235" s="10">
        <f t="shared" si="63"/>
        <v>-3030.260988291659</v>
      </c>
      <c r="CW235" s="2">
        <f t="shared" si="64"/>
        <v>0</v>
      </c>
      <c r="CX235" s="2">
        <f>-(SUM(CV235:CW235)*'PV IN'!$E$8)</f>
        <v>636.35480754124842</v>
      </c>
      <c r="CY235" s="2">
        <f t="shared" si="65"/>
        <v>-2393.9061807504104</v>
      </c>
      <c r="CZ235" s="2">
        <f>IF(C235&lt;='Batt IN'!$H$43*12,CY235/(1+('PV IN'!$G$9))^(C235),0)</f>
        <v>-935.86481325282932</v>
      </c>
      <c r="DA235" s="33">
        <f>IF(C235&lt;='Batt IN'!$H$43*12,AE235,0)</f>
        <v>30366.783333333333</v>
      </c>
    </row>
    <row r="236" spans="1:105" x14ac:dyDescent="0.25">
      <c r="A236">
        <f>IF(C236&lt;='Batt IN'!$H$43*12,C236,"")</f>
        <v>232</v>
      </c>
      <c r="C236">
        <v>232</v>
      </c>
      <c r="D236" s="21">
        <v>730</v>
      </c>
      <c r="E236" s="1">
        <f>1-'Batt IN'!$E$31</f>
        <v>2.0000000000000018E-2</v>
      </c>
      <c r="F236" s="12">
        <f>('Batt IN'!$E$33*365)/8760</f>
        <v>0</v>
      </c>
      <c r="G236" s="22">
        <f>'Batt IN'!$E$32/8760</f>
        <v>5.7077625570776253E-3</v>
      </c>
      <c r="H236" s="22">
        <f>'Batt IN'!$E$13/8760</f>
        <v>5.5936073059360729E-3</v>
      </c>
      <c r="I236" s="23">
        <f>IF(C236&lt;='Batt IN'!$G$14*12,'Batt IN'!$E$15/8760*'Batt IN'!$G$15,0)</f>
        <v>0</v>
      </c>
      <c r="J236" s="12">
        <f>Z236/'Batt IN'!$E$27/730</f>
        <v>2.4999999999999996E-3</v>
      </c>
      <c r="K236" s="23">
        <f>AA236/'Batt IN'!$E$27/730</f>
        <v>1.6027397260273972E-3</v>
      </c>
      <c r="L236" s="23">
        <f>AB236/'Batt IN'!$E$27/730</f>
        <v>2.0547945205479451E-4</v>
      </c>
      <c r="M236" s="23">
        <f>AC236/'Batt IN'!$E$27/730</f>
        <v>4.7945205479452057E-3</v>
      </c>
      <c r="N236" s="23">
        <f>AD236/'Batt IN'!$E$27/730</f>
        <v>3.4246575342465752E-3</v>
      </c>
      <c r="O236" s="12">
        <f t="shared" si="53"/>
        <v>4.3828767123287697E-2</v>
      </c>
      <c r="P236" s="21">
        <f t="shared" si="54"/>
        <v>698.005</v>
      </c>
      <c r="Q236" s="2">
        <f>IF('Batt IN'!$E$27*'Batt IN'!$E$24&lt;='Batt IN'!$E$28,(('Batt IN'!$E$23*'Batt IN'!$E$27*'Batt IN'!$E$24)/1000)*P236,(('Batt IN'!$E$23*'Batt IN'!$E$28*'Batt IN'!$E$24)/1000)*P236)</f>
        <v>11168.08</v>
      </c>
      <c r="R236" s="2"/>
      <c r="S236" s="77">
        <f>IF(C236&lt;='Batt IN'!$G$14*12,'Batt IN'!$E$15/12,0)</f>
        <v>0</v>
      </c>
      <c r="T236" s="77"/>
      <c r="U236" s="80">
        <f>'Batt IN'!$E$28*('Batt IN'!$G$24/24)*730*(1-O236)</f>
        <v>81433.916666666657</v>
      </c>
      <c r="V236" s="78">
        <f>U236*'Batt IN'!$F$30</f>
        <v>16286.783333333333</v>
      </c>
      <c r="W236" s="78">
        <f>'Batt IN'!$E$28*'Batt IN'!$G$32*('Batt IN'!$E$32/12)*(1+'Batt IN'!$F$30)</f>
        <v>1750.0000000000002</v>
      </c>
      <c r="X236" s="78">
        <f>'Batt IN'!$E$28*'Batt IN'!$G$13*('Batt IN'!$E$13/12)*(1+'Batt IN'!$F$30)</f>
        <v>3184.9999999999995</v>
      </c>
      <c r="Y236" s="33">
        <f>S236*'Batt IN'!$G$15*'Batt IN'!$E$28*(1+'Batt IN'!$F$30)</f>
        <v>0</v>
      </c>
      <c r="Z236" s="33">
        <f>'Batt IN'!$G$16*365/12*(1+'Batt IN'!$F$30)</f>
        <v>1824.9999999999998</v>
      </c>
      <c r="AA236" s="33">
        <f>'Batt IN'!$G$17*'Batt IN'!$E$18*'Batt IN'!$G$18/12*(1+'Batt IN'!$F$30)</f>
        <v>1170</v>
      </c>
      <c r="AB236" s="33">
        <f>'Batt IN'!$G$19*'Batt IN'!$E$20*'Batt IN'!$G$20/12*(1+'Batt IN'!$F$30)</f>
        <v>150</v>
      </c>
      <c r="AC236" s="33">
        <f>'Batt IN'!$G$21*(1+'Batt IN'!$F$30)/12</f>
        <v>3500</v>
      </c>
      <c r="AD236" s="33">
        <f>'Batt IN'!$G$22*(1+'Batt IN'!$F$30)/12</f>
        <v>2500</v>
      </c>
      <c r="AE236" s="33">
        <f t="shared" si="66"/>
        <v>30366.783333333333</v>
      </c>
      <c r="AF236" s="33">
        <f>IF('PV IN'!$F$4="Battery Only",0,AE236*'Batt IN'!$E$29)</f>
        <v>25811.765833333331</v>
      </c>
      <c r="AG236" s="33">
        <f>PVCalcs!L236</f>
        <v>25811.765833333331</v>
      </c>
      <c r="AH236" s="33">
        <f t="shared" si="67"/>
        <v>4555.0175000000017</v>
      </c>
      <c r="AI236" s="33"/>
      <c r="AJ236" s="2">
        <f>IF(AND('Batt IN'!$D$53="Yes",$AL$1&gt;=1),IF($C236='Batt IN'!$H$54*12,-'Batt IN'!$F$54,0),0)</f>
        <v>0</v>
      </c>
      <c r="AK236" s="2">
        <f>IF(AND('Batt IN'!$D$53="Yes",$AL$1&gt;=2),IF($C236='Batt IN'!$H$55*12,-'Batt IN'!$F$55,0),0)</f>
        <v>0</v>
      </c>
      <c r="AL236" s="2">
        <f>IF(AND('Batt IN'!$D$53="Yes",$AL$1&gt;=3),IF($C236='Batt IN'!$H$56*12,-'Batt IN'!$F$56,0),0)</f>
        <v>0</v>
      </c>
      <c r="AM236" s="2">
        <f>IF(AND('Batt IN'!$D$53="Yes",$AL$1&gt;=4),IF($C236='Batt IN'!$H$57*12,-'Batt IN'!$F$57,0),0)</f>
        <v>0</v>
      </c>
      <c r="AN236" s="2">
        <f>IF(AND('Batt IN'!$D$53="Yes",$AL$1&gt;=5),IF($C236='Batt IN'!$H$58*12,-'Batt IN'!$F$58,0),0)</f>
        <v>0</v>
      </c>
      <c r="AO236" s="10">
        <f>IF(AND('Batt IN'!$D$44="YES",$C236&lt;='Batt IN'!$E$44*12),-'Batt IN'!$E$28*'Batt IN'!$E$42/12,0)</f>
        <v>0</v>
      </c>
      <c r="AP236" s="10">
        <f>IF(AND('Batt IN'!$D$46="YES",$C236&lt;='Batt IN'!$E$46*12),-'Batt IN'!$E$28*'Batt IN'!$E$45/12,0)</f>
        <v>0</v>
      </c>
      <c r="AR236" s="10">
        <f>BattLoan!M263</f>
        <v>0</v>
      </c>
      <c r="AS236" s="10">
        <f>'Batt IN'!$G$16*365/12*'Batt IN'!$E$16</f>
        <v>76.041666666666671</v>
      </c>
      <c r="AT236" s="10">
        <f>IF(AND('Batt IN'!$E$18&gt;0,'Batt IN'!$G$18&gt;0),'Batt IN'!$E$17*'Batt IN'!$G$17,0)</f>
        <v>119.44619999999999</v>
      </c>
      <c r="AU236" s="10">
        <f>IF(AND('Batt IN'!$E$20&gt;0,'Batt IN'!$G$20&gt;0),'Batt IN'!$E$19*'Batt IN'!$G$19,0)</f>
        <v>231</v>
      </c>
      <c r="AV236" s="10"/>
      <c r="AW236" s="10"/>
      <c r="AX236" s="10">
        <f>IF('Batt IN'!$E$11="Non-Taxable",Q236,0)</f>
        <v>11168.08</v>
      </c>
      <c r="AY236" s="10">
        <f>IF('Batt IN'!$E$11="Non-Taxable",'Batt IN'!$E$28/1000*'Batt IN'!$G$13*('Batt IN'!$E$13/12)*'Batt IN'!$E$12,0)</f>
        <v>244.42220833333334</v>
      </c>
      <c r="AZ236" s="10">
        <f>IF('Batt IN'!$E$11="Non-Taxable",$S236*'Batt IN'!$G$15*'Batt IN'!$E$28*'Batt IN'!$E$14/1000,0)</f>
        <v>0</v>
      </c>
      <c r="BA236" s="10">
        <f>IF('Batt IN'!$E$11="Non-Taxable",'Batt IN'!$E$21*'Batt IN'!$G$21/12,0)</f>
        <v>437.5</v>
      </c>
      <c r="BB236" s="10">
        <f>IF('Batt IN'!$E$11="Non-Taxable",'Batt IN'!$E$22*'Batt IN'!$G$22/12,0)</f>
        <v>1145.8333333333335</v>
      </c>
      <c r="BC236" s="10">
        <f>IF('Batt IN'!$E$11="Taxable",Q236,0)</f>
        <v>0</v>
      </c>
      <c r="BD236" s="10">
        <f>IF('Batt IN'!$E$11="Taxable",'Batt IN'!$E$28/1000*'Batt IN'!$G$13*('Batt IN'!$E$13/12)*'Batt IN'!$E$12,0)</f>
        <v>0</v>
      </c>
      <c r="BE236" s="10">
        <f>IF('Batt IN'!$E$11="Taxable",$S236*'Batt IN'!$G$15*'Batt IN'!$E$28*'Batt IN'!$E$14/1000,0)</f>
        <v>0</v>
      </c>
      <c r="BF236" s="10">
        <f>IF('Batt IN'!$E$11="Taxable",'Batt IN'!$E$21*'Batt IN'!$G$21/12,0)</f>
        <v>0</v>
      </c>
      <c r="BG236" s="10">
        <f>IF('Batt IN'!$E$11="Taxable",'Batt IN'!$E$22*'Batt IN'!$G$22/12,0)</f>
        <v>0</v>
      </c>
      <c r="BK236" s="10">
        <f>IF('Batt IN'!$N$18="Yes",-BattLoan!H264,-BattLoan!L264)</f>
        <v>0</v>
      </c>
      <c r="BL236" s="10">
        <f>IF('Batt IN'!$N$18="Yes",-BattLoan!F264,0)</f>
        <v>0</v>
      </c>
      <c r="BM236" s="10">
        <f>IF(AND('Batt IN'!$D$44="YES",$C236&lt;='Batt IN'!$E$44*12),0,-'Batt IN'!$E$28*'Batt IN'!$E$42/12)</f>
        <v>-83.333333333333329</v>
      </c>
      <c r="BN236" s="10">
        <f>IF(AND('Batt IN'!$D$46="YES",$C236&lt;='Batt IN'!$E$46*12),0,-'Batt IN'!$E$28*'Batt IN'!$E$45/12)</f>
        <v>-166.66666666666666</v>
      </c>
      <c r="BO236" s="2">
        <f>IF(AND('Batt IN'!$D$41="YES",BattCalcs!C236=ROUNDUP('Batt IN'!$H$41*12,)),-'Batt IN'!$E$41*'Batt IN'!$E$28,0)</f>
        <v>0</v>
      </c>
      <c r="BP236" s="2">
        <f>IF(AND('Batt IN'!$D$53="Yes",$AL$1&gt;=1),0,IF($C236='Batt IN'!$H$54*12,-'Batt IN'!$F$54,0))</f>
        <v>0</v>
      </c>
      <c r="BQ236" s="2">
        <f>IF(AND('Batt IN'!$D$53="Yes",$AL$1&gt;=2),0,IF($C236='Batt IN'!$H$55*12,-'Batt IN'!$F$55,0))</f>
        <v>0</v>
      </c>
      <c r="BR236" s="2">
        <f>IF(AND('Batt IN'!$D$53="Yes",$AL$1&gt;=3),0,IF($C236='Batt IN'!$H$56*12,-'Batt IN'!$F$56,0))</f>
        <v>0</v>
      </c>
      <c r="BS236" s="2">
        <f>IF(AND('Batt IN'!$D$53="Yes",$AL$1&gt;=4),0,IF($C236='Batt IN'!$H$57*12,-'Batt IN'!$F$57,0))</f>
        <v>0</v>
      </c>
      <c r="BT236" s="2">
        <f>IF(AND('Batt IN'!$D$53="Yes",$AL$1&gt;=5),0,IF($C236='Batt IN'!$H$58*12,-'Batt IN'!$F$58,0))</f>
        <v>0</v>
      </c>
      <c r="BU236" s="2">
        <f>-AH236*PVCalcs!F236</f>
        <v>-380.26098829165892</v>
      </c>
      <c r="BV236" s="2">
        <f>-'Batt IN'!$E$47</f>
        <v>-150</v>
      </c>
      <c r="BW236" s="2">
        <f>-'Batt IN'!$E$49</f>
        <v>-2250</v>
      </c>
      <c r="BX236" s="2">
        <f>IF('Batt IN'!$H$50="No",-(BC236*'Batt IN'!$E$50),-(BC236+BE236)*'Batt IN'!$E$50)</f>
        <v>0</v>
      </c>
      <c r="BY236" s="2">
        <f>IF(C236='Batt IN'!$H$43*12,-'Batt IN'!$E$43,0)</f>
        <v>0</v>
      </c>
      <c r="BZ236" s="38"/>
      <c r="CA236" s="10">
        <f t="shared" si="51"/>
        <v>13422.323408333334</v>
      </c>
      <c r="CB236" s="2">
        <f t="shared" si="55"/>
        <v>-3030.260988291659</v>
      </c>
      <c r="CC236" s="45">
        <f t="shared" si="56"/>
        <v>10392.062420041675</v>
      </c>
      <c r="CD236" s="43"/>
      <c r="CE236" s="2">
        <f t="shared" si="52"/>
        <v>0</v>
      </c>
      <c r="CF236" s="2">
        <f t="shared" si="57"/>
        <v>-3030.260988291659</v>
      </c>
      <c r="CG236" s="2"/>
      <c r="CH236" s="2">
        <f t="shared" si="58"/>
        <v>-3030.260988291659</v>
      </c>
      <c r="CI236" s="45">
        <f>-CH236*'Batt IN'!$E$7</f>
        <v>636.35480754124842</v>
      </c>
      <c r="CJ236" s="48"/>
      <c r="CK236" s="45">
        <f>IF('Batt IN'!$F$4="PV Only",0,IF(C236&gt;'Batt IN'!$H$43*12,0,CC236+CI236))</f>
        <v>0</v>
      </c>
      <c r="CM236" s="10">
        <f t="shared" si="59"/>
        <v>0</v>
      </c>
      <c r="CN236" s="2">
        <f>CK236/(1+('Batt IN'!$G$8))^(C236)</f>
        <v>0</v>
      </c>
      <c r="CO236" s="2">
        <f>IF(C236&lt;='Batt IN'!$O$30*12,CN236+CO235,NA())</f>
        <v>0</v>
      </c>
      <c r="CQ236" s="2">
        <f>CK236/((1+('Batt IN'!$E$8/12))^BattCalcs!C236)</f>
        <v>0</v>
      </c>
      <c r="CS236" s="10">
        <f t="shared" si="60"/>
        <v>-3030.260988291659</v>
      </c>
      <c r="CT236" s="10">
        <f t="shared" si="61"/>
        <v>0</v>
      </c>
      <c r="CU236" s="10">
        <f t="shared" si="62"/>
        <v>-3030.260988291659</v>
      </c>
      <c r="CV236" s="10">
        <f t="shared" si="63"/>
        <v>-3030.260988291659</v>
      </c>
      <c r="CW236" s="2">
        <f t="shared" si="64"/>
        <v>0</v>
      </c>
      <c r="CX236" s="2">
        <f>-(SUM(CV236:CW236)*'PV IN'!$E$8)</f>
        <v>636.35480754124842</v>
      </c>
      <c r="CY236" s="2">
        <f t="shared" si="65"/>
        <v>-2393.9061807504104</v>
      </c>
      <c r="CZ236" s="2">
        <f>IF(C236&lt;='Batt IN'!$H$43*12,CY236/(1+('PV IN'!$G$9))^(C236),0)</f>
        <v>-932.0674550661796</v>
      </c>
      <c r="DA236" s="33">
        <f>IF(C236&lt;='Batt IN'!$H$43*12,AE236,0)</f>
        <v>30366.783333333333</v>
      </c>
    </row>
    <row r="237" spans="1:105" x14ac:dyDescent="0.25">
      <c r="A237">
        <f>IF(C237&lt;='Batt IN'!$H$43*12,C237,"")</f>
        <v>233</v>
      </c>
      <c r="C237">
        <v>233</v>
      </c>
      <c r="D237" s="21">
        <v>730</v>
      </c>
      <c r="E237" s="1">
        <f>1-'Batt IN'!$E$31</f>
        <v>2.0000000000000018E-2</v>
      </c>
      <c r="F237" s="12">
        <f>('Batt IN'!$E$33*365)/8760</f>
        <v>0</v>
      </c>
      <c r="G237" s="22">
        <f>'Batt IN'!$E$32/8760</f>
        <v>5.7077625570776253E-3</v>
      </c>
      <c r="H237" s="22">
        <f>'Batt IN'!$E$13/8760</f>
        <v>5.5936073059360729E-3</v>
      </c>
      <c r="I237" s="23">
        <f>IF(C237&lt;='Batt IN'!$G$14*12,'Batt IN'!$E$15/8760*'Batt IN'!$G$15,0)</f>
        <v>0</v>
      </c>
      <c r="J237" s="12">
        <f>Z237/'Batt IN'!$E$27/730</f>
        <v>2.4999999999999996E-3</v>
      </c>
      <c r="K237" s="23">
        <f>AA237/'Batt IN'!$E$27/730</f>
        <v>1.6027397260273972E-3</v>
      </c>
      <c r="L237" s="23">
        <f>AB237/'Batt IN'!$E$27/730</f>
        <v>2.0547945205479451E-4</v>
      </c>
      <c r="M237" s="23">
        <f>AC237/'Batt IN'!$E$27/730</f>
        <v>4.7945205479452057E-3</v>
      </c>
      <c r="N237" s="23">
        <f>AD237/'Batt IN'!$E$27/730</f>
        <v>3.4246575342465752E-3</v>
      </c>
      <c r="O237" s="12">
        <f t="shared" si="53"/>
        <v>4.3828767123287697E-2</v>
      </c>
      <c r="P237" s="21">
        <f t="shared" si="54"/>
        <v>698.005</v>
      </c>
      <c r="Q237" s="2">
        <f>IF('Batt IN'!$E$27*'Batt IN'!$E$24&lt;='Batt IN'!$E$28,(('Batt IN'!$E$23*'Batt IN'!$E$27*'Batt IN'!$E$24)/1000)*P237,(('Batt IN'!$E$23*'Batt IN'!$E$28*'Batt IN'!$E$24)/1000)*P237)</f>
        <v>11168.08</v>
      </c>
      <c r="R237" s="2"/>
      <c r="S237" s="77">
        <f>IF(C237&lt;='Batt IN'!$G$14*12,'Batt IN'!$E$15/12,0)</f>
        <v>0</v>
      </c>
      <c r="T237" s="77"/>
      <c r="U237" s="80">
        <f>'Batt IN'!$E$28*('Batt IN'!$G$24/24)*730*(1-O237)</f>
        <v>81433.916666666657</v>
      </c>
      <c r="V237" s="78">
        <f>U237*'Batt IN'!$F$30</f>
        <v>16286.783333333333</v>
      </c>
      <c r="W237" s="78">
        <f>'Batt IN'!$E$28*'Batt IN'!$G$32*('Batt IN'!$E$32/12)*(1+'Batt IN'!$F$30)</f>
        <v>1750.0000000000002</v>
      </c>
      <c r="X237" s="78">
        <f>'Batt IN'!$E$28*'Batt IN'!$G$13*('Batt IN'!$E$13/12)*(1+'Batt IN'!$F$30)</f>
        <v>3184.9999999999995</v>
      </c>
      <c r="Y237" s="33">
        <f>S237*'Batt IN'!$G$15*'Batt IN'!$E$28*(1+'Batt IN'!$F$30)</f>
        <v>0</v>
      </c>
      <c r="Z237" s="33">
        <f>'Batt IN'!$G$16*365/12*(1+'Batt IN'!$F$30)</f>
        <v>1824.9999999999998</v>
      </c>
      <c r="AA237" s="33">
        <f>'Batt IN'!$G$17*'Batt IN'!$E$18*'Batt IN'!$G$18/12*(1+'Batt IN'!$F$30)</f>
        <v>1170</v>
      </c>
      <c r="AB237" s="33">
        <f>'Batt IN'!$G$19*'Batt IN'!$E$20*'Batt IN'!$G$20/12*(1+'Batt IN'!$F$30)</f>
        <v>150</v>
      </c>
      <c r="AC237" s="33">
        <f>'Batt IN'!$G$21*(1+'Batt IN'!$F$30)/12</f>
        <v>3500</v>
      </c>
      <c r="AD237" s="33">
        <f>'Batt IN'!$G$22*(1+'Batt IN'!$F$30)/12</f>
        <v>2500</v>
      </c>
      <c r="AE237" s="33">
        <f t="shared" si="66"/>
        <v>30366.783333333333</v>
      </c>
      <c r="AF237" s="33">
        <f>IF('PV IN'!$F$4="Battery Only",0,AE237*'Batt IN'!$E$29)</f>
        <v>25811.765833333331</v>
      </c>
      <c r="AG237" s="33">
        <f>PVCalcs!L237</f>
        <v>25811.765833333331</v>
      </c>
      <c r="AH237" s="33">
        <f t="shared" si="67"/>
        <v>4555.0175000000017</v>
      </c>
      <c r="AI237" s="33"/>
      <c r="AJ237" s="2">
        <f>IF(AND('Batt IN'!$D$53="Yes",$AL$1&gt;=1),IF($C237='Batt IN'!$H$54*12,-'Batt IN'!$F$54,0),0)</f>
        <v>0</v>
      </c>
      <c r="AK237" s="2">
        <f>IF(AND('Batt IN'!$D$53="Yes",$AL$1&gt;=2),IF($C237='Batt IN'!$H$55*12,-'Batt IN'!$F$55,0),0)</f>
        <v>0</v>
      </c>
      <c r="AL237" s="2">
        <f>IF(AND('Batt IN'!$D$53="Yes",$AL$1&gt;=3),IF($C237='Batt IN'!$H$56*12,-'Batt IN'!$F$56,0),0)</f>
        <v>0</v>
      </c>
      <c r="AM237" s="2">
        <f>IF(AND('Batt IN'!$D$53="Yes",$AL$1&gt;=4),IF($C237='Batt IN'!$H$57*12,-'Batt IN'!$F$57,0),0)</f>
        <v>0</v>
      </c>
      <c r="AN237" s="2">
        <f>IF(AND('Batt IN'!$D$53="Yes",$AL$1&gt;=5),IF($C237='Batt IN'!$H$58*12,-'Batt IN'!$F$58,0),0)</f>
        <v>0</v>
      </c>
      <c r="AO237" s="10">
        <f>IF(AND('Batt IN'!$D$44="YES",$C237&lt;='Batt IN'!$E$44*12),-'Batt IN'!$E$28*'Batt IN'!$E$42/12,0)</f>
        <v>0</v>
      </c>
      <c r="AP237" s="10">
        <f>IF(AND('Batt IN'!$D$46="YES",$C237&lt;='Batt IN'!$E$46*12),-'Batt IN'!$E$28*'Batt IN'!$E$45/12,0)</f>
        <v>0</v>
      </c>
      <c r="AR237" s="10">
        <f>BattLoan!M264</f>
        <v>0</v>
      </c>
      <c r="AS237" s="10">
        <f>'Batt IN'!$G$16*365/12*'Batt IN'!$E$16</f>
        <v>76.041666666666671</v>
      </c>
      <c r="AT237" s="10">
        <f>IF(AND('Batt IN'!$E$18&gt;0,'Batt IN'!$G$18&gt;0),'Batt IN'!$E$17*'Batt IN'!$G$17,0)</f>
        <v>119.44619999999999</v>
      </c>
      <c r="AU237" s="10">
        <f>IF(AND('Batt IN'!$E$20&gt;0,'Batt IN'!$G$20&gt;0),'Batt IN'!$E$19*'Batt IN'!$G$19,0)</f>
        <v>231</v>
      </c>
      <c r="AV237" s="10"/>
      <c r="AW237" s="10"/>
      <c r="AX237" s="10">
        <f>IF('Batt IN'!$E$11="Non-Taxable",Q237,0)</f>
        <v>11168.08</v>
      </c>
      <c r="AY237" s="10">
        <f>IF('Batt IN'!$E$11="Non-Taxable",'Batt IN'!$E$28/1000*'Batt IN'!$G$13*('Batt IN'!$E$13/12)*'Batt IN'!$E$12,0)</f>
        <v>244.42220833333334</v>
      </c>
      <c r="AZ237" s="10">
        <f>IF('Batt IN'!$E$11="Non-Taxable",$S237*'Batt IN'!$G$15*'Batt IN'!$E$28*'Batt IN'!$E$14/1000,0)</f>
        <v>0</v>
      </c>
      <c r="BA237" s="10">
        <f>IF('Batt IN'!$E$11="Non-Taxable",'Batt IN'!$E$21*'Batt IN'!$G$21/12,0)</f>
        <v>437.5</v>
      </c>
      <c r="BB237" s="10">
        <f>IF('Batt IN'!$E$11="Non-Taxable",'Batt IN'!$E$22*'Batt IN'!$G$22/12,0)</f>
        <v>1145.8333333333335</v>
      </c>
      <c r="BC237" s="10">
        <f>IF('Batt IN'!$E$11="Taxable",Q237,0)</f>
        <v>0</v>
      </c>
      <c r="BD237" s="10">
        <f>IF('Batt IN'!$E$11="Taxable",'Batt IN'!$E$28/1000*'Batt IN'!$G$13*('Batt IN'!$E$13/12)*'Batt IN'!$E$12,0)</f>
        <v>0</v>
      </c>
      <c r="BE237" s="10">
        <f>IF('Batt IN'!$E$11="Taxable",$S237*'Batt IN'!$G$15*'Batt IN'!$E$28*'Batt IN'!$E$14/1000,0)</f>
        <v>0</v>
      </c>
      <c r="BF237" s="10">
        <f>IF('Batt IN'!$E$11="Taxable",'Batt IN'!$E$21*'Batt IN'!$G$21/12,0)</f>
        <v>0</v>
      </c>
      <c r="BG237" s="10">
        <f>IF('Batt IN'!$E$11="Taxable",'Batt IN'!$E$22*'Batt IN'!$G$22/12,0)</f>
        <v>0</v>
      </c>
      <c r="BK237" s="10">
        <f>IF('Batt IN'!$N$18="Yes",-BattLoan!H265,-BattLoan!L265)</f>
        <v>0</v>
      </c>
      <c r="BL237" s="10">
        <f>IF('Batt IN'!$N$18="Yes",-BattLoan!F265,0)</f>
        <v>0</v>
      </c>
      <c r="BM237" s="10">
        <f>IF(AND('Batt IN'!$D$44="YES",$C237&lt;='Batt IN'!$E$44*12),0,-'Batt IN'!$E$28*'Batt IN'!$E$42/12)</f>
        <v>-83.333333333333329</v>
      </c>
      <c r="BN237" s="10">
        <f>IF(AND('Batt IN'!$D$46="YES",$C237&lt;='Batt IN'!$E$46*12),0,-'Batt IN'!$E$28*'Batt IN'!$E$45/12)</f>
        <v>-166.66666666666666</v>
      </c>
      <c r="BO237" s="2">
        <f>IF(AND('Batt IN'!$D$41="YES",BattCalcs!C237=ROUNDUP('Batt IN'!$H$41*12,)),-'Batt IN'!$E$41*'Batt IN'!$E$28,0)</f>
        <v>0</v>
      </c>
      <c r="BP237" s="2">
        <f>IF(AND('Batt IN'!$D$53="Yes",$AL$1&gt;=1),0,IF($C237='Batt IN'!$H$54*12,-'Batt IN'!$F$54,0))</f>
        <v>0</v>
      </c>
      <c r="BQ237" s="2">
        <f>IF(AND('Batt IN'!$D$53="Yes",$AL$1&gt;=2),0,IF($C237='Batt IN'!$H$55*12,-'Batt IN'!$F$55,0))</f>
        <v>0</v>
      </c>
      <c r="BR237" s="2">
        <f>IF(AND('Batt IN'!$D$53="Yes",$AL$1&gt;=3),0,IF($C237='Batt IN'!$H$56*12,-'Batt IN'!$F$56,0))</f>
        <v>0</v>
      </c>
      <c r="BS237" s="2">
        <f>IF(AND('Batt IN'!$D$53="Yes",$AL$1&gt;=4),0,IF($C237='Batt IN'!$H$57*12,-'Batt IN'!$F$57,0))</f>
        <v>0</v>
      </c>
      <c r="BT237" s="2">
        <f>IF(AND('Batt IN'!$D$53="Yes",$AL$1&gt;=5),0,IF($C237='Batt IN'!$H$58*12,-'Batt IN'!$F$58,0))</f>
        <v>0</v>
      </c>
      <c r="BU237" s="2">
        <f>-AH237*PVCalcs!F237</f>
        <v>-380.26098829165892</v>
      </c>
      <c r="BV237" s="2">
        <f>-'Batt IN'!$E$47</f>
        <v>-150</v>
      </c>
      <c r="BW237" s="2">
        <f>-'Batt IN'!$E$49</f>
        <v>-2250</v>
      </c>
      <c r="BX237" s="2">
        <f>IF('Batt IN'!$H$50="No",-(BC237*'Batt IN'!$E$50),-(BC237+BE237)*'Batt IN'!$E$50)</f>
        <v>0</v>
      </c>
      <c r="BY237" s="2">
        <f>IF(C237='Batt IN'!$H$43*12,-'Batt IN'!$E$43,0)</f>
        <v>0</v>
      </c>
      <c r="BZ237" s="38"/>
      <c r="CA237" s="10">
        <f t="shared" si="51"/>
        <v>13422.323408333334</v>
      </c>
      <c r="CB237" s="2">
        <f t="shared" si="55"/>
        <v>-3030.260988291659</v>
      </c>
      <c r="CC237" s="45">
        <f t="shared" si="56"/>
        <v>10392.062420041675</v>
      </c>
      <c r="CD237" s="43"/>
      <c r="CE237" s="2">
        <f t="shared" si="52"/>
        <v>0</v>
      </c>
      <c r="CF237" s="2">
        <f t="shared" si="57"/>
        <v>-3030.260988291659</v>
      </c>
      <c r="CG237" s="2"/>
      <c r="CH237" s="2">
        <f t="shared" si="58"/>
        <v>-3030.260988291659</v>
      </c>
      <c r="CI237" s="45">
        <f>-CH237*'Batt IN'!$E$7</f>
        <v>636.35480754124842</v>
      </c>
      <c r="CJ237" s="48"/>
      <c r="CK237" s="45">
        <f>IF('Batt IN'!$F$4="PV Only",0,IF(C237&gt;'Batt IN'!$H$43*12,0,CC237+CI237))</f>
        <v>0</v>
      </c>
      <c r="CM237" s="10">
        <f t="shared" si="59"/>
        <v>0</v>
      </c>
      <c r="CN237" s="2">
        <f>CK237/(1+('Batt IN'!$G$8))^(C237)</f>
        <v>0</v>
      </c>
      <c r="CO237" s="2">
        <f>IF(C237&lt;='Batt IN'!$O$30*12,CN237+CO236,NA())</f>
        <v>0</v>
      </c>
      <c r="CQ237" s="2">
        <f>CK237/((1+('Batt IN'!$E$8/12))^BattCalcs!C237)</f>
        <v>0</v>
      </c>
      <c r="CS237" s="10">
        <f t="shared" si="60"/>
        <v>-3030.260988291659</v>
      </c>
      <c r="CT237" s="10">
        <f t="shared" si="61"/>
        <v>0</v>
      </c>
      <c r="CU237" s="10">
        <f t="shared" si="62"/>
        <v>-3030.260988291659</v>
      </c>
      <c r="CV237" s="10">
        <f t="shared" si="63"/>
        <v>-3030.260988291659</v>
      </c>
      <c r="CW237" s="2">
        <f t="shared" si="64"/>
        <v>0</v>
      </c>
      <c r="CX237" s="2">
        <f>-(SUM(CV237:CW237)*'PV IN'!$E$8)</f>
        <v>636.35480754124842</v>
      </c>
      <c r="CY237" s="2">
        <f t="shared" si="65"/>
        <v>-2393.9061807504104</v>
      </c>
      <c r="CZ237" s="2">
        <f>IF(C237&lt;='Batt IN'!$H$43*12,CY237/(1+('PV IN'!$G$9))^(C237),0)</f>
        <v>-928.2855050121932</v>
      </c>
      <c r="DA237" s="33">
        <f>IF(C237&lt;='Batt IN'!$H$43*12,AE237,0)</f>
        <v>30366.783333333333</v>
      </c>
    </row>
    <row r="238" spans="1:105" x14ac:dyDescent="0.25">
      <c r="A238">
        <f>IF(C238&lt;='Batt IN'!$H$43*12,C238,"")</f>
        <v>234</v>
      </c>
      <c r="C238">
        <v>234</v>
      </c>
      <c r="D238" s="21">
        <v>730</v>
      </c>
      <c r="E238" s="1">
        <f>1-'Batt IN'!$E$31</f>
        <v>2.0000000000000018E-2</v>
      </c>
      <c r="F238" s="12">
        <f>('Batt IN'!$E$33*365)/8760</f>
        <v>0</v>
      </c>
      <c r="G238" s="22">
        <f>'Batt IN'!$E$32/8760</f>
        <v>5.7077625570776253E-3</v>
      </c>
      <c r="H238" s="22">
        <f>'Batt IN'!$E$13/8760</f>
        <v>5.5936073059360729E-3</v>
      </c>
      <c r="I238" s="23">
        <f>IF(C238&lt;='Batt IN'!$G$14*12,'Batt IN'!$E$15/8760*'Batt IN'!$G$15,0)</f>
        <v>0</v>
      </c>
      <c r="J238" s="12">
        <f>Z238/'Batt IN'!$E$27/730</f>
        <v>2.4999999999999996E-3</v>
      </c>
      <c r="K238" s="23">
        <f>AA238/'Batt IN'!$E$27/730</f>
        <v>1.6027397260273972E-3</v>
      </c>
      <c r="L238" s="23">
        <f>AB238/'Batt IN'!$E$27/730</f>
        <v>2.0547945205479451E-4</v>
      </c>
      <c r="M238" s="23">
        <f>AC238/'Batt IN'!$E$27/730</f>
        <v>4.7945205479452057E-3</v>
      </c>
      <c r="N238" s="23">
        <f>AD238/'Batt IN'!$E$27/730</f>
        <v>3.4246575342465752E-3</v>
      </c>
      <c r="O238" s="12">
        <f t="shared" si="53"/>
        <v>4.3828767123287697E-2</v>
      </c>
      <c r="P238" s="21">
        <f t="shared" si="54"/>
        <v>698.005</v>
      </c>
      <c r="Q238" s="2">
        <f>IF('Batt IN'!$E$27*'Batt IN'!$E$24&lt;='Batt IN'!$E$28,(('Batt IN'!$E$23*'Batt IN'!$E$27*'Batt IN'!$E$24)/1000)*P238,(('Batt IN'!$E$23*'Batt IN'!$E$28*'Batt IN'!$E$24)/1000)*P238)</f>
        <v>11168.08</v>
      </c>
      <c r="R238" s="2"/>
      <c r="S238" s="77">
        <f>IF(C238&lt;='Batt IN'!$G$14*12,'Batt IN'!$E$15/12,0)</f>
        <v>0</v>
      </c>
      <c r="T238" s="77"/>
      <c r="U238" s="80">
        <f>'Batt IN'!$E$28*('Batt IN'!$G$24/24)*730*(1-O238)</f>
        <v>81433.916666666657</v>
      </c>
      <c r="V238" s="78">
        <f>U238*'Batt IN'!$F$30</f>
        <v>16286.783333333333</v>
      </c>
      <c r="W238" s="78">
        <f>'Batt IN'!$E$28*'Batt IN'!$G$32*('Batt IN'!$E$32/12)*(1+'Batt IN'!$F$30)</f>
        <v>1750.0000000000002</v>
      </c>
      <c r="X238" s="78">
        <f>'Batt IN'!$E$28*'Batt IN'!$G$13*('Batt IN'!$E$13/12)*(1+'Batt IN'!$F$30)</f>
        <v>3184.9999999999995</v>
      </c>
      <c r="Y238" s="33">
        <f>S238*'Batt IN'!$G$15*'Batt IN'!$E$28*(1+'Batt IN'!$F$30)</f>
        <v>0</v>
      </c>
      <c r="Z238" s="33">
        <f>'Batt IN'!$G$16*365/12*(1+'Batt IN'!$F$30)</f>
        <v>1824.9999999999998</v>
      </c>
      <c r="AA238" s="33">
        <f>'Batt IN'!$G$17*'Batt IN'!$E$18*'Batt IN'!$G$18/12*(1+'Batt IN'!$F$30)</f>
        <v>1170</v>
      </c>
      <c r="AB238" s="33">
        <f>'Batt IN'!$G$19*'Batt IN'!$E$20*'Batt IN'!$G$20/12*(1+'Batt IN'!$F$30)</f>
        <v>150</v>
      </c>
      <c r="AC238" s="33">
        <f>'Batt IN'!$G$21*(1+'Batt IN'!$F$30)/12</f>
        <v>3500</v>
      </c>
      <c r="AD238" s="33">
        <f>'Batt IN'!$G$22*(1+'Batt IN'!$F$30)/12</f>
        <v>2500</v>
      </c>
      <c r="AE238" s="33">
        <f t="shared" si="66"/>
        <v>30366.783333333333</v>
      </c>
      <c r="AF238" s="33">
        <f>IF('PV IN'!$F$4="Battery Only",0,AE238*'Batt IN'!$E$29)</f>
        <v>25811.765833333331</v>
      </c>
      <c r="AG238" s="33">
        <f>PVCalcs!L238</f>
        <v>25811.765833333331</v>
      </c>
      <c r="AH238" s="33">
        <f t="shared" si="67"/>
        <v>4555.0175000000017</v>
      </c>
      <c r="AI238" s="33"/>
      <c r="AJ238" s="2">
        <f>IF(AND('Batt IN'!$D$53="Yes",$AL$1&gt;=1),IF($C238='Batt IN'!$H$54*12,-'Batt IN'!$F$54,0),0)</f>
        <v>0</v>
      </c>
      <c r="AK238" s="2">
        <f>IF(AND('Batt IN'!$D$53="Yes",$AL$1&gt;=2),IF($C238='Batt IN'!$H$55*12,-'Batt IN'!$F$55,0),0)</f>
        <v>0</v>
      </c>
      <c r="AL238" s="2">
        <f>IF(AND('Batt IN'!$D$53="Yes",$AL$1&gt;=3),IF($C238='Batt IN'!$H$56*12,-'Batt IN'!$F$56,0),0)</f>
        <v>0</v>
      </c>
      <c r="AM238" s="2">
        <f>IF(AND('Batt IN'!$D$53="Yes",$AL$1&gt;=4),IF($C238='Batt IN'!$H$57*12,-'Batt IN'!$F$57,0),0)</f>
        <v>0</v>
      </c>
      <c r="AN238" s="2">
        <f>IF(AND('Batt IN'!$D$53="Yes",$AL$1&gt;=5),IF($C238='Batt IN'!$H$58*12,-'Batt IN'!$F$58,0),0)</f>
        <v>0</v>
      </c>
      <c r="AO238" s="10">
        <f>IF(AND('Batt IN'!$D$44="YES",$C238&lt;='Batt IN'!$E$44*12),-'Batt IN'!$E$28*'Batt IN'!$E$42/12,0)</f>
        <v>0</v>
      </c>
      <c r="AP238" s="10">
        <f>IF(AND('Batt IN'!$D$46="YES",$C238&lt;='Batt IN'!$E$46*12),-'Batt IN'!$E$28*'Batt IN'!$E$45/12,0)</f>
        <v>0</v>
      </c>
      <c r="AR238" s="10">
        <f>BattLoan!M265</f>
        <v>0</v>
      </c>
      <c r="AS238" s="10">
        <f>'Batt IN'!$G$16*365/12*'Batt IN'!$E$16</f>
        <v>76.041666666666671</v>
      </c>
      <c r="AT238" s="10">
        <f>IF(AND('Batt IN'!$E$18&gt;0,'Batt IN'!$G$18&gt;0),'Batt IN'!$E$17*'Batt IN'!$G$17,0)</f>
        <v>119.44619999999999</v>
      </c>
      <c r="AU238" s="10">
        <f>IF(AND('Batt IN'!$E$20&gt;0,'Batt IN'!$G$20&gt;0),'Batt IN'!$E$19*'Batt IN'!$G$19,0)</f>
        <v>231</v>
      </c>
      <c r="AV238" s="10"/>
      <c r="AW238" s="10"/>
      <c r="AX238" s="10">
        <f>IF('Batt IN'!$E$11="Non-Taxable",Q238,0)</f>
        <v>11168.08</v>
      </c>
      <c r="AY238" s="10">
        <f>IF('Batt IN'!$E$11="Non-Taxable",'Batt IN'!$E$28/1000*'Batt IN'!$G$13*('Batt IN'!$E$13/12)*'Batt IN'!$E$12,0)</f>
        <v>244.42220833333334</v>
      </c>
      <c r="AZ238" s="10">
        <f>IF('Batt IN'!$E$11="Non-Taxable",$S238*'Batt IN'!$G$15*'Batt IN'!$E$28*'Batt IN'!$E$14/1000,0)</f>
        <v>0</v>
      </c>
      <c r="BA238" s="10">
        <f>IF('Batt IN'!$E$11="Non-Taxable",'Batt IN'!$E$21*'Batt IN'!$G$21/12,0)</f>
        <v>437.5</v>
      </c>
      <c r="BB238" s="10">
        <f>IF('Batt IN'!$E$11="Non-Taxable",'Batt IN'!$E$22*'Batt IN'!$G$22/12,0)</f>
        <v>1145.8333333333335</v>
      </c>
      <c r="BC238" s="10">
        <f>IF('Batt IN'!$E$11="Taxable",Q238,0)</f>
        <v>0</v>
      </c>
      <c r="BD238" s="10">
        <f>IF('Batt IN'!$E$11="Taxable",'Batt IN'!$E$28/1000*'Batt IN'!$G$13*('Batt IN'!$E$13/12)*'Batt IN'!$E$12,0)</f>
        <v>0</v>
      </c>
      <c r="BE238" s="10">
        <f>IF('Batt IN'!$E$11="Taxable",$S238*'Batt IN'!$G$15*'Batt IN'!$E$28*'Batt IN'!$E$14/1000,0)</f>
        <v>0</v>
      </c>
      <c r="BF238" s="10">
        <f>IF('Batt IN'!$E$11="Taxable",'Batt IN'!$E$21*'Batt IN'!$G$21/12,0)</f>
        <v>0</v>
      </c>
      <c r="BG238" s="10">
        <f>IF('Batt IN'!$E$11="Taxable",'Batt IN'!$E$22*'Batt IN'!$G$22/12,0)</f>
        <v>0</v>
      </c>
      <c r="BK238" s="10">
        <f>IF('Batt IN'!$N$18="Yes",-BattLoan!H266,-BattLoan!L266)</f>
        <v>0</v>
      </c>
      <c r="BL238" s="10">
        <f>IF('Batt IN'!$N$18="Yes",-BattLoan!F266,0)</f>
        <v>0</v>
      </c>
      <c r="BM238" s="10">
        <f>IF(AND('Batt IN'!$D$44="YES",$C238&lt;='Batt IN'!$E$44*12),0,-'Batt IN'!$E$28*'Batt IN'!$E$42/12)</f>
        <v>-83.333333333333329</v>
      </c>
      <c r="BN238" s="10">
        <f>IF(AND('Batt IN'!$D$46="YES",$C238&lt;='Batt IN'!$E$46*12),0,-'Batt IN'!$E$28*'Batt IN'!$E$45/12)</f>
        <v>-166.66666666666666</v>
      </c>
      <c r="BO238" s="2">
        <f>IF(AND('Batt IN'!$D$41="YES",BattCalcs!C238=ROUNDUP('Batt IN'!$H$41*12,)),-'Batt IN'!$E$41*'Batt IN'!$E$28,0)</f>
        <v>0</v>
      </c>
      <c r="BP238" s="2">
        <f>IF(AND('Batt IN'!$D$53="Yes",$AL$1&gt;=1),0,IF($C238='Batt IN'!$H$54*12,-'Batt IN'!$F$54,0))</f>
        <v>0</v>
      </c>
      <c r="BQ238" s="2">
        <f>IF(AND('Batt IN'!$D$53="Yes",$AL$1&gt;=2),0,IF($C238='Batt IN'!$H$55*12,-'Batt IN'!$F$55,0))</f>
        <v>0</v>
      </c>
      <c r="BR238" s="2">
        <f>IF(AND('Batt IN'!$D$53="Yes",$AL$1&gt;=3),0,IF($C238='Batt IN'!$H$56*12,-'Batt IN'!$F$56,0))</f>
        <v>0</v>
      </c>
      <c r="BS238" s="2">
        <f>IF(AND('Batt IN'!$D$53="Yes",$AL$1&gt;=4),0,IF($C238='Batt IN'!$H$57*12,-'Batt IN'!$F$57,0))</f>
        <v>0</v>
      </c>
      <c r="BT238" s="2">
        <f>IF(AND('Batt IN'!$D$53="Yes",$AL$1&gt;=5),0,IF($C238='Batt IN'!$H$58*12,-'Batt IN'!$F$58,0))</f>
        <v>0</v>
      </c>
      <c r="BU238" s="2">
        <f>-AH238*PVCalcs!F238</f>
        <v>-380.26098829165892</v>
      </c>
      <c r="BV238" s="2">
        <f>-'Batt IN'!$E$47</f>
        <v>-150</v>
      </c>
      <c r="BW238" s="2">
        <f>-'Batt IN'!$E$49</f>
        <v>-2250</v>
      </c>
      <c r="BX238" s="2">
        <f>IF('Batt IN'!$H$50="No",-(BC238*'Batt IN'!$E$50),-(BC238+BE238)*'Batt IN'!$E$50)</f>
        <v>0</v>
      </c>
      <c r="BY238" s="2">
        <f>IF(C238='Batt IN'!$H$43*12,-'Batt IN'!$E$43,0)</f>
        <v>0</v>
      </c>
      <c r="BZ238" s="38"/>
      <c r="CA238" s="10">
        <f t="shared" si="51"/>
        <v>13422.323408333334</v>
      </c>
      <c r="CB238" s="2">
        <f t="shared" si="55"/>
        <v>-3030.260988291659</v>
      </c>
      <c r="CC238" s="45">
        <f t="shared" si="56"/>
        <v>10392.062420041675</v>
      </c>
      <c r="CD238" s="43"/>
      <c r="CE238" s="2">
        <f t="shared" si="52"/>
        <v>0</v>
      </c>
      <c r="CF238" s="2">
        <f t="shared" si="57"/>
        <v>-3030.260988291659</v>
      </c>
      <c r="CG238" s="2"/>
      <c r="CH238" s="2">
        <f t="shared" si="58"/>
        <v>-3030.260988291659</v>
      </c>
      <c r="CI238" s="45">
        <f>-CH238*'Batt IN'!$E$7</f>
        <v>636.35480754124842</v>
      </c>
      <c r="CJ238" s="48"/>
      <c r="CK238" s="45">
        <f>IF('Batt IN'!$F$4="PV Only",0,IF(C238&gt;'Batt IN'!$H$43*12,0,CC238+CI238))</f>
        <v>0</v>
      </c>
      <c r="CM238" s="10">
        <f t="shared" si="59"/>
        <v>0</v>
      </c>
      <c r="CN238" s="2">
        <f>CK238/(1+('Batt IN'!$G$8))^(C238)</f>
        <v>0</v>
      </c>
      <c r="CO238" s="2">
        <f>IF(C238&lt;='Batt IN'!$O$30*12,CN238+CO237,NA())</f>
        <v>0</v>
      </c>
      <c r="CQ238" s="2">
        <f>CK238/((1+('Batt IN'!$E$8/12))^BattCalcs!C238)</f>
        <v>0</v>
      </c>
      <c r="CS238" s="10">
        <f t="shared" si="60"/>
        <v>-3030.260988291659</v>
      </c>
      <c r="CT238" s="10">
        <f t="shared" si="61"/>
        <v>0</v>
      </c>
      <c r="CU238" s="10">
        <f t="shared" si="62"/>
        <v>-3030.260988291659</v>
      </c>
      <c r="CV238" s="10">
        <f t="shared" si="63"/>
        <v>-3030.260988291659</v>
      </c>
      <c r="CW238" s="2">
        <f t="shared" si="64"/>
        <v>0</v>
      </c>
      <c r="CX238" s="2">
        <f>-(SUM(CV238:CW238)*'PV IN'!$E$8)</f>
        <v>636.35480754124842</v>
      </c>
      <c r="CY238" s="2">
        <f t="shared" si="65"/>
        <v>-2393.9061807504104</v>
      </c>
      <c r="CZ238" s="2">
        <f>IF(C238&lt;='Batt IN'!$H$43*12,CY238/(1+('PV IN'!$G$9))^(C238),0)</f>
        <v>-924.51890057094465</v>
      </c>
      <c r="DA238" s="33">
        <f>IF(C238&lt;='Batt IN'!$H$43*12,AE238,0)</f>
        <v>30366.783333333333</v>
      </c>
    </row>
    <row r="239" spans="1:105" x14ac:dyDescent="0.25">
      <c r="A239">
        <f>IF(C239&lt;='Batt IN'!$H$43*12,C239,"")</f>
        <v>235</v>
      </c>
      <c r="C239">
        <v>235</v>
      </c>
      <c r="D239" s="21">
        <v>730</v>
      </c>
      <c r="E239" s="1">
        <f>1-'Batt IN'!$E$31</f>
        <v>2.0000000000000018E-2</v>
      </c>
      <c r="F239" s="12">
        <f>('Batt IN'!$E$33*365)/8760</f>
        <v>0</v>
      </c>
      <c r="G239" s="22">
        <f>'Batt IN'!$E$32/8760</f>
        <v>5.7077625570776253E-3</v>
      </c>
      <c r="H239" s="22">
        <f>'Batt IN'!$E$13/8760</f>
        <v>5.5936073059360729E-3</v>
      </c>
      <c r="I239" s="23">
        <f>IF(C239&lt;='Batt IN'!$G$14*12,'Batt IN'!$E$15/8760*'Batt IN'!$G$15,0)</f>
        <v>0</v>
      </c>
      <c r="J239" s="12">
        <f>Z239/'Batt IN'!$E$27/730</f>
        <v>2.4999999999999996E-3</v>
      </c>
      <c r="K239" s="23">
        <f>AA239/'Batt IN'!$E$27/730</f>
        <v>1.6027397260273972E-3</v>
      </c>
      <c r="L239" s="23">
        <f>AB239/'Batt IN'!$E$27/730</f>
        <v>2.0547945205479451E-4</v>
      </c>
      <c r="M239" s="23">
        <f>AC239/'Batt IN'!$E$27/730</f>
        <v>4.7945205479452057E-3</v>
      </c>
      <c r="N239" s="23">
        <f>AD239/'Batt IN'!$E$27/730</f>
        <v>3.4246575342465752E-3</v>
      </c>
      <c r="O239" s="12">
        <f t="shared" si="53"/>
        <v>4.3828767123287697E-2</v>
      </c>
      <c r="P239" s="21">
        <f t="shared" si="54"/>
        <v>698.005</v>
      </c>
      <c r="Q239" s="2">
        <f>IF('Batt IN'!$E$27*'Batt IN'!$E$24&lt;='Batt IN'!$E$28,(('Batt IN'!$E$23*'Batt IN'!$E$27*'Batt IN'!$E$24)/1000)*P239,(('Batt IN'!$E$23*'Batt IN'!$E$28*'Batt IN'!$E$24)/1000)*P239)</f>
        <v>11168.08</v>
      </c>
      <c r="R239" s="2"/>
      <c r="S239" s="77">
        <f>IF(C239&lt;='Batt IN'!$G$14*12,'Batt IN'!$E$15/12,0)</f>
        <v>0</v>
      </c>
      <c r="T239" s="77"/>
      <c r="U239" s="80">
        <f>'Batt IN'!$E$28*('Batt IN'!$G$24/24)*730*(1-O239)</f>
        <v>81433.916666666657</v>
      </c>
      <c r="V239" s="78">
        <f>U239*'Batt IN'!$F$30</f>
        <v>16286.783333333333</v>
      </c>
      <c r="W239" s="78">
        <f>'Batt IN'!$E$28*'Batt IN'!$G$32*('Batt IN'!$E$32/12)*(1+'Batt IN'!$F$30)</f>
        <v>1750.0000000000002</v>
      </c>
      <c r="X239" s="78">
        <f>'Batt IN'!$E$28*'Batt IN'!$G$13*('Batt IN'!$E$13/12)*(1+'Batt IN'!$F$30)</f>
        <v>3184.9999999999995</v>
      </c>
      <c r="Y239" s="33">
        <f>S239*'Batt IN'!$G$15*'Batt IN'!$E$28*(1+'Batt IN'!$F$30)</f>
        <v>0</v>
      </c>
      <c r="Z239" s="33">
        <f>'Batt IN'!$G$16*365/12*(1+'Batt IN'!$F$30)</f>
        <v>1824.9999999999998</v>
      </c>
      <c r="AA239" s="33">
        <f>'Batt IN'!$G$17*'Batt IN'!$E$18*'Batt IN'!$G$18/12*(1+'Batt IN'!$F$30)</f>
        <v>1170</v>
      </c>
      <c r="AB239" s="33">
        <f>'Batt IN'!$G$19*'Batt IN'!$E$20*'Batt IN'!$G$20/12*(1+'Batt IN'!$F$30)</f>
        <v>150</v>
      </c>
      <c r="AC239" s="33">
        <f>'Batt IN'!$G$21*(1+'Batt IN'!$F$30)/12</f>
        <v>3500</v>
      </c>
      <c r="AD239" s="33">
        <f>'Batt IN'!$G$22*(1+'Batt IN'!$F$30)/12</f>
        <v>2500</v>
      </c>
      <c r="AE239" s="33">
        <f t="shared" si="66"/>
        <v>30366.783333333333</v>
      </c>
      <c r="AF239" s="33">
        <f>IF('PV IN'!$F$4="Battery Only",0,AE239*'Batt IN'!$E$29)</f>
        <v>25811.765833333331</v>
      </c>
      <c r="AG239" s="33">
        <f>PVCalcs!L239</f>
        <v>25811.765833333331</v>
      </c>
      <c r="AH239" s="33">
        <f t="shared" si="67"/>
        <v>4555.0175000000017</v>
      </c>
      <c r="AI239" s="33"/>
      <c r="AJ239" s="2">
        <f>IF(AND('Batt IN'!$D$53="Yes",$AL$1&gt;=1),IF($C239='Batt IN'!$H$54*12,-'Batt IN'!$F$54,0),0)</f>
        <v>0</v>
      </c>
      <c r="AK239" s="2">
        <f>IF(AND('Batt IN'!$D$53="Yes",$AL$1&gt;=2),IF($C239='Batt IN'!$H$55*12,-'Batt IN'!$F$55,0),0)</f>
        <v>0</v>
      </c>
      <c r="AL239" s="2">
        <f>IF(AND('Batt IN'!$D$53="Yes",$AL$1&gt;=3),IF($C239='Batt IN'!$H$56*12,-'Batt IN'!$F$56,0),0)</f>
        <v>0</v>
      </c>
      <c r="AM239" s="2">
        <f>IF(AND('Batt IN'!$D$53="Yes",$AL$1&gt;=4),IF($C239='Batt IN'!$H$57*12,-'Batt IN'!$F$57,0),0)</f>
        <v>0</v>
      </c>
      <c r="AN239" s="2">
        <f>IF(AND('Batt IN'!$D$53="Yes",$AL$1&gt;=5),IF($C239='Batt IN'!$H$58*12,-'Batt IN'!$F$58,0),0)</f>
        <v>0</v>
      </c>
      <c r="AO239" s="10">
        <f>IF(AND('Batt IN'!$D$44="YES",$C239&lt;='Batt IN'!$E$44*12),-'Batt IN'!$E$28*'Batt IN'!$E$42/12,0)</f>
        <v>0</v>
      </c>
      <c r="AP239" s="10">
        <f>IF(AND('Batt IN'!$D$46="YES",$C239&lt;='Batt IN'!$E$46*12),-'Batt IN'!$E$28*'Batt IN'!$E$45/12,0)</f>
        <v>0</v>
      </c>
      <c r="AR239" s="10">
        <f>BattLoan!M266</f>
        <v>0</v>
      </c>
      <c r="AS239" s="10">
        <f>'Batt IN'!$G$16*365/12*'Batt IN'!$E$16</f>
        <v>76.041666666666671</v>
      </c>
      <c r="AT239" s="10">
        <f>IF(AND('Batt IN'!$E$18&gt;0,'Batt IN'!$G$18&gt;0),'Batt IN'!$E$17*'Batt IN'!$G$17,0)</f>
        <v>119.44619999999999</v>
      </c>
      <c r="AU239" s="10">
        <f>IF(AND('Batt IN'!$E$20&gt;0,'Batt IN'!$G$20&gt;0),'Batt IN'!$E$19*'Batt IN'!$G$19,0)</f>
        <v>231</v>
      </c>
      <c r="AV239" s="10"/>
      <c r="AW239" s="10"/>
      <c r="AX239" s="10">
        <f>IF('Batt IN'!$E$11="Non-Taxable",Q239,0)</f>
        <v>11168.08</v>
      </c>
      <c r="AY239" s="10">
        <f>IF('Batt IN'!$E$11="Non-Taxable",'Batt IN'!$E$28/1000*'Batt IN'!$G$13*('Batt IN'!$E$13/12)*'Batt IN'!$E$12,0)</f>
        <v>244.42220833333334</v>
      </c>
      <c r="AZ239" s="10">
        <f>IF('Batt IN'!$E$11="Non-Taxable",$S239*'Batt IN'!$G$15*'Batt IN'!$E$28*'Batt IN'!$E$14/1000,0)</f>
        <v>0</v>
      </c>
      <c r="BA239" s="10">
        <f>IF('Batt IN'!$E$11="Non-Taxable",'Batt IN'!$E$21*'Batt IN'!$G$21/12,0)</f>
        <v>437.5</v>
      </c>
      <c r="BB239" s="10">
        <f>IF('Batt IN'!$E$11="Non-Taxable",'Batt IN'!$E$22*'Batt IN'!$G$22/12,0)</f>
        <v>1145.8333333333335</v>
      </c>
      <c r="BC239" s="10">
        <f>IF('Batt IN'!$E$11="Taxable",Q239,0)</f>
        <v>0</v>
      </c>
      <c r="BD239" s="10">
        <f>IF('Batt IN'!$E$11="Taxable",'Batt IN'!$E$28/1000*'Batt IN'!$G$13*('Batt IN'!$E$13/12)*'Batt IN'!$E$12,0)</f>
        <v>0</v>
      </c>
      <c r="BE239" s="10">
        <f>IF('Batt IN'!$E$11="Taxable",$S239*'Batt IN'!$G$15*'Batt IN'!$E$28*'Batt IN'!$E$14/1000,0)</f>
        <v>0</v>
      </c>
      <c r="BF239" s="10">
        <f>IF('Batt IN'!$E$11="Taxable",'Batt IN'!$E$21*'Batt IN'!$G$21/12,0)</f>
        <v>0</v>
      </c>
      <c r="BG239" s="10">
        <f>IF('Batt IN'!$E$11="Taxable",'Batt IN'!$E$22*'Batt IN'!$G$22/12,0)</f>
        <v>0</v>
      </c>
      <c r="BK239" s="10">
        <f>IF('Batt IN'!$N$18="Yes",-BattLoan!H267,-BattLoan!L267)</f>
        <v>0</v>
      </c>
      <c r="BL239" s="10">
        <f>IF('Batt IN'!$N$18="Yes",-BattLoan!F267,0)</f>
        <v>0</v>
      </c>
      <c r="BM239" s="10">
        <f>IF(AND('Batt IN'!$D$44="YES",$C239&lt;='Batt IN'!$E$44*12),0,-'Batt IN'!$E$28*'Batt IN'!$E$42/12)</f>
        <v>-83.333333333333329</v>
      </c>
      <c r="BN239" s="10">
        <f>IF(AND('Batt IN'!$D$46="YES",$C239&lt;='Batt IN'!$E$46*12),0,-'Batt IN'!$E$28*'Batt IN'!$E$45/12)</f>
        <v>-166.66666666666666</v>
      </c>
      <c r="BO239" s="2">
        <f>IF(AND('Batt IN'!$D$41="YES",BattCalcs!C239=ROUNDUP('Batt IN'!$H$41*12,)),-'Batt IN'!$E$41*'Batt IN'!$E$28,0)</f>
        <v>0</v>
      </c>
      <c r="BP239" s="2">
        <f>IF(AND('Batt IN'!$D$53="Yes",$AL$1&gt;=1),0,IF($C239='Batt IN'!$H$54*12,-'Batt IN'!$F$54,0))</f>
        <v>0</v>
      </c>
      <c r="BQ239" s="2">
        <f>IF(AND('Batt IN'!$D$53="Yes",$AL$1&gt;=2),0,IF($C239='Batt IN'!$H$55*12,-'Batt IN'!$F$55,0))</f>
        <v>0</v>
      </c>
      <c r="BR239" s="2">
        <f>IF(AND('Batt IN'!$D$53="Yes",$AL$1&gt;=3),0,IF($C239='Batt IN'!$H$56*12,-'Batt IN'!$F$56,0))</f>
        <v>0</v>
      </c>
      <c r="BS239" s="2">
        <f>IF(AND('Batt IN'!$D$53="Yes",$AL$1&gt;=4),0,IF($C239='Batt IN'!$H$57*12,-'Batt IN'!$F$57,0))</f>
        <v>0</v>
      </c>
      <c r="BT239" s="2">
        <f>IF(AND('Batt IN'!$D$53="Yes",$AL$1&gt;=5),0,IF($C239='Batt IN'!$H$58*12,-'Batt IN'!$F$58,0))</f>
        <v>0</v>
      </c>
      <c r="BU239" s="2">
        <f>-AH239*PVCalcs!F239</f>
        <v>-380.26098829165892</v>
      </c>
      <c r="BV239" s="2">
        <f>-'Batt IN'!$E$47</f>
        <v>-150</v>
      </c>
      <c r="BW239" s="2">
        <f>-'Batt IN'!$E$49</f>
        <v>-2250</v>
      </c>
      <c r="BX239" s="2">
        <f>IF('Batt IN'!$H$50="No",-(BC239*'Batt IN'!$E$50),-(BC239+BE239)*'Batt IN'!$E$50)</f>
        <v>0</v>
      </c>
      <c r="BY239" s="2">
        <f>IF(C239='Batt IN'!$H$43*12,-'Batt IN'!$E$43,0)</f>
        <v>0</v>
      </c>
      <c r="BZ239" s="38"/>
      <c r="CA239" s="10">
        <f t="shared" si="51"/>
        <v>13422.323408333334</v>
      </c>
      <c r="CB239" s="2">
        <f t="shared" si="55"/>
        <v>-3030.260988291659</v>
      </c>
      <c r="CC239" s="45">
        <f t="shared" si="56"/>
        <v>10392.062420041675</v>
      </c>
      <c r="CD239" s="43"/>
      <c r="CE239" s="2">
        <f t="shared" si="52"/>
        <v>0</v>
      </c>
      <c r="CF239" s="2">
        <f t="shared" si="57"/>
        <v>-3030.260988291659</v>
      </c>
      <c r="CG239" s="2"/>
      <c r="CH239" s="2">
        <f t="shared" si="58"/>
        <v>-3030.260988291659</v>
      </c>
      <c r="CI239" s="45">
        <f>-CH239*'Batt IN'!$E$7</f>
        <v>636.35480754124842</v>
      </c>
      <c r="CJ239" s="48"/>
      <c r="CK239" s="45">
        <f>IF('Batt IN'!$F$4="PV Only",0,IF(C239&gt;'Batt IN'!$H$43*12,0,CC239+CI239))</f>
        <v>0</v>
      </c>
      <c r="CM239" s="10">
        <f t="shared" si="59"/>
        <v>0</v>
      </c>
      <c r="CN239" s="2">
        <f>CK239/(1+('Batt IN'!$G$8))^(C239)</f>
        <v>0</v>
      </c>
      <c r="CO239" s="2">
        <f>IF(C239&lt;='Batt IN'!$O$30*12,CN239+CO238,NA())</f>
        <v>0</v>
      </c>
      <c r="CQ239" s="2">
        <f>CK239/((1+('Batt IN'!$E$8/12))^BattCalcs!C239)</f>
        <v>0</v>
      </c>
      <c r="CS239" s="10">
        <f t="shared" si="60"/>
        <v>-3030.260988291659</v>
      </c>
      <c r="CT239" s="10">
        <f t="shared" si="61"/>
        <v>0</v>
      </c>
      <c r="CU239" s="10">
        <f t="shared" si="62"/>
        <v>-3030.260988291659</v>
      </c>
      <c r="CV239" s="10">
        <f t="shared" si="63"/>
        <v>-3030.260988291659</v>
      </c>
      <c r="CW239" s="2">
        <f t="shared" si="64"/>
        <v>0</v>
      </c>
      <c r="CX239" s="2">
        <f>-(SUM(CV239:CW239)*'PV IN'!$E$8)</f>
        <v>636.35480754124842</v>
      </c>
      <c r="CY239" s="2">
        <f t="shared" si="65"/>
        <v>-2393.9061807504104</v>
      </c>
      <c r="CZ239" s="2">
        <f>IF(C239&lt;='Batt IN'!$H$43*12,CY239/(1+('PV IN'!$G$9))^(C239),0)</f>
        <v>-920.76757947618842</v>
      </c>
      <c r="DA239" s="33">
        <f>IF(C239&lt;='Batt IN'!$H$43*12,AE239,0)</f>
        <v>30366.783333333333</v>
      </c>
    </row>
    <row r="240" spans="1:105" x14ac:dyDescent="0.25">
      <c r="A240">
        <f>IF(C240&lt;='Batt IN'!$H$43*12,C240,"")</f>
        <v>236</v>
      </c>
      <c r="C240">
        <v>236</v>
      </c>
      <c r="D240" s="21">
        <v>730</v>
      </c>
      <c r="E240" s="1">
        <f>1-'Batt IN'!$E$31</f>
        <v>2.0000000000000018E-2</v>
      </c>
      <c r="F240" s="12">
        <f>('Batt IN'!$E$33*365)/8760</f>
        <v>0</v>
      </c>
      <c r="G240" s="22">
        <f>'Batt IN'!$E$32/8760</f>
        <v>5.7077625570776253E-3</v>
      </c>
      <c r="H240" s="22">
        <f>'Batt IN'!$E$13/8760</f>
        <v>5.5936073059360729E-3</v>
      </c>
      <c r="I240" s="23">
        <f>IF(C240&lt;='Batt IN'!$G$14*12,'Batt IN'!$E$15/8760*'Batt IN'!$G$15,0)</f>
        <v>0</v>
      </c>
      <c r="J240" s="12">
        <f>Z240/'Batt IN'!$E$27/730</f>
        <v>2.4999999999999996E-3</v>
      </c>
      <c r="K240" s="23">
        <f>AA240/'Batt IN'!$E$27/730</f>
        <v>1.6027397260273972E-3</v>
      </c>
      <c r="L240" s="23">
        <f>AB240/'Batt IN'!$E$27/730</f>
        <v>2.0547945205479451E-4</v>
      </c>
      <c r="M240" s="23">
        <f>AC240/'Batt IN'!$E$27/730</f>
        <v>4.7945205479452057E-3</v>
      </c>
      <c r="N240" s="23">
        <f>AD240/'Batt IN'!$E$27/730</f>
        <v>3.4246575342465752E-3</v>
      </c>
      <c r="O240" s="12">
        <f t="shared" si="53"/>
        <v>4.3828767123287697E-2</v>
      </c>
      <c r="P240" s="21">
        <f t="shared" si="54"/>
        <v>698.005</v>
      </c>
      <c r="Q240" s="2">
        <f>IF('Batt IN'!$E$27*'Batt IN'!$E$24&lt;='Batt IN'!$E$28,(('Batt IN'!$E$23*'Batt IN'!$E$27*'Batt IN'!$E$24)/1000)*P240,(('Batt IN'!$E$23*'Batt IN'!$E$28*'Batt IN'!$E$24)/1000)*P240)</f>
        <v>11168.08</v>
      </c>
      <c r="R240" s="2"/>
      <c r="S240" s="77">
        <f>IF(C240&lt;='Batt IN'!$G$14*12,'Batt IN'!$E$15/12,0)</f>
        <v>0</v>
      </c>
      <c r="T240" s="77"/>
      <c r="U240" s="80">
        <f>'Batt IN'!$E$28*('Batt IN'!$G$24/24)*730*(1-O240)</f>
        <v>81433.916666666657</v>
      </c>
      <c r="V240" s="78">
        <f>U240*'Batt IN'!$F$30</f>
        <v>16286.783333333333</v>
      </c>
      <c r="W240" s="78">
        <f>'Batt IN'!$E$28*'Batt IN'!$G$32*('Batt IN'!$E$32/12)*(1+'Batt IN'!$F$30)</f>
        <v>1750.0000000000002</v>
      </c>
      <c r="X240" s="78">
        <f>'Batt IN'!$E$28*'Batt IN'!$G$13*('Batt IN'!$E$13/12)*(1+'Batt IN'!$F$30)</f>
        <v>3184.9999999999995</v>
      </c>
      <c r="Y240" s="33">
        <f>S240*'Batt IN'!$G$15*'Batt IN'!$E$28*(1+'Batt IN'!$F$30)</f>
        <v>0</v>
      </c>
      <c r="Z240" s="33">
        <f>'Batt IN'!$G$16*365/12*(1+'Batt IN'!$F$30)</f>
        <v>1824.9999999999998</v>
      </c>
      <c r="AA240" s="33">
        <f>'Batt IN'!$G$17*'Batt IN'!$E$18*'Batt IN'!$G$18/12*(1+'Batt IN'!$F$30)</f>
        <v>1170</v>
      </c>
      <c r="AB240" s="33">
        <f>'Batt IN'!$G$19*'Batt IN'!$E$20*'Batt IN'!$G$20/12*(1+'Batt IN'!$F$30)</f>
        <v>150</v>
      </c>
      <c r="AC240" s="33">
        <f>'Batt IN'!$G$21*(1+'Batt IN'!$F$30)/12</f>
        <v>3500</v>
      </c>
      <c r="AD240" s="33">
        <f>'Batt IN'!$G$22*(1+'Batt IN'!$F$30)/12</f>
        <v>2500</v>
      </c>
      <c r="AE240" s="33">
        <f t="shared" si="66"/>
        <v>30366.783333333333</v>
      </c>
      <c r="AF240" s="33">
        <f>IF('PV IN'!$F$4="Battery Only",0,AE240*'Batt IN'!$E$29)</f>
        <v>25811.765833333331</v>
      </c>
      <c r="AG240" s="33">
        <f>PVCalcs!L240</f>
        <v>25811.765833333331</v>
      </c>
      <c r="AH240" s="33">
        <f t="shared" si="67"/>
        <v>4555.0175000000017</v>
      </c>
      <c r="AI240" s="33"/>
      <c r="AJ240" s="2">
        <f>IF(AND('Batt IN'!$D$53="Yes",$AL$1&gt;=1),IF($C240='Batt IN'!$H$54*12,-'Batt IN'!$F$54,0),0)</f>
        <v>0</v>
      </c>
      <c r="AK240" s="2">
        <f>IF(AND('Batt IN'!$D$53="Yes",$AL$1&gt;=2),IF($C240='Batt IN'!$H$55*12,-'Batt IN'!$F$55,0),0)</f>
        <v>0</v>
      </c>
      <c r="AL240" s="2">
        <f>IF(AND('Batt IN'!$D$53="Yes",$AL$1&gt;=3),IF($C240='Batt IN'!$H$56*12,-'Batt IN'!$F$56,0),0)</f>
        <v>0</v>
      </c>
      <c r="AM240" s="2">
        <f>IF(AND('Batt IN'!$D$53="Yes",$AL$1&gt;=4),IF($C240='Batt IN'!$H$57*12,-'Batt IN'!$F$57,0),0)</f>
        <v>0</v>
      </c>
      <c r="AN240" s="2">
        <f>IF(AND('Batt IN'!$D$53="Yes",$AL$1&gt;=5),IF($C240='Batt IN'!$H$58*12,-'Batt IN'!$F$58,0),0)</f>
        <v>0</v>
      </c>
      <c r="AO240" s="10">
        <f>IF(AND('Batt IN'!$D$44="YES",$C240&lt;='Batt IN'!$E$44*12),-'Batt IN'!$E$28*'Batt IN'!$E$42/12,0)</f>
        <v>0</v>
      </c>
      <c r="AP240" s="10">
        <f>IF(AND('Batt IN'!$D$46="YES",$C240&lt;='Batt IN'!$E$46*12),-'Batt IN'!$E$28*'Batt IN'!$E$45/12,0)</f>
        <v>0</v>
      </c>
      <c r="AR240" s="10">
        <f>BattLoan!M267</f>
        <v>0</v>
      </c>
      <c r="AS240" s="10">
        <f>'Batt IN'!$G$16*365/12*'Batt IN'!$E$16</f>
        <v>76.041666666666671</v>
      </c>
      <c r="AT240" s="10">
        <f>IF(AND('Batt IN'!$E$18&gt;0,'Batt IN'!$G$18&gt;0),'Batt IN'!$E$17*'Batt IN'!$G$17,0)</f>
        <v>119.44619999999999</v>
      </c>
      <c r="AU240" s="10">
        <f>IF(AND('Batt IN'!$E$20&gt;0,'Batt IN'!$G$20&gt;0),'Batt IN'!$E$19*'Batt IN'!$G$19,0)</f>
        <v>231</v>
      </c>
      <c r="AV240" s="10"/>
      <c r="AW240" s="10"/>
      <c r="AX240" s="10">
        <f>IF('Batt IN'!$E$11="Non-Taxable",Q240,0)</f>
        <v>11168.08</v>
      </c>
      <c r="AY240" s="10">
        <f>IF('Batt IN'!$E$11="Non-Taxable",'Batt IN'!$E$28/1000*'Batt IN'!$G$13*('Batt IN'!$E$13/12)*'Batt IN'!$E$12,0)</f>
        <v>244.42220833333334</v>
      </c>
      <c r="AZ240" s="10">
        <f>IF('Batt IN'!$E$11="Non-Taxable",$S240*'Batt IN'!$G$15*'Batt IN'!$E$28*'Batt IN'!$E$14/1000,0)</f>
        <v>0</v>
      </c>
      <c r="BA240" s="10">
        <f>IF('Batt IN'!$E$11="Non-Taxable",'Batt IN'!$E$21*'Batt IN'!$G$21/12,0)</f>
        <v>437.5</v>
      </c>
      <c r="BB240" s="10">
        <f>IF('Batt IN'!$E$11="Non-Taxable",'Batt IN'!$E$22*'Batt IN'!$G$22/12,0)</f>
        <v>1145.8333333333335</v>
      </c>
      <c r="BC240" s="10">
        <f>IF('Batt IN'!$E$11="Taxable",Q240,0)</f>
        <v>0</v>
      </c>
      <c r="BD240" s="10">
        <f>IF('Batt IN'!$E$11="Taxable",'Batt IN'!$E$28/1000*'Batt IN'!$G$13*('Batt IN'!$E$13/12)*'Batt IN'!$E$12,0)</f>
        <v>0</v>
      </c>
      <c r="BE240" s="10">
        <f>IF('Batt IN'!$E$11="Taxable",$S240*'Batt IN'!$G$15*'Batt IN'!$E$28*'Batt IN'!$E$14/1000,0)</f>
        <v>0</v>
      </c>
      <c r="BF240" s="10">
        <f>IF('Batt IN'!$E$11="Taxable",'Batt IN'!$E$21*'Batt IN'!$G$21/12,0)</f>
        <v>0</v>
      </c>
      <c r="BG240" s="10">
        <f>IF('Batt IN'!$E$11="Taxable",'Batt IN'!$E$22*'Batt IN'!$G$22/12,0)</f>
        <v>0</v>
      </c>
      <c r="BK240" s="10">
        <f>IF('Batt IN'!$N$18="Yes",-BattLoan!H268,-BattLoan!L268)</f>
        <v>0</v>
      </c>
      <c r="BL240" s="10">
        <f>IF('Batt IN'!$N$18="Yes",-BattLoan!F268,0)</f>
        <v>0</v>
      </c>
      <c r="BM240" s="10">
        <f>IF(AND('Batt IN'!$D$44="YES",$C240&lt;='Batt IN'!$E$44*12),0,-'Batt IN'!$E$28*'Batt IN'!$E$42/12)</f>
        <v>-83.333333333333329</v>
      </c>
      <c r="BN240" s="10">
        <f>IF(AND('Batt IN'!$D$46="YES",$C240&lt;='Batt IN'!$E$46*12),0,-'Batt IN'!$E$28*'Batt IN'!$E$45/12)</f>
        <v>-166.66666666666666</v>
      </c>
      <c r="BO240" s="2">
        <f>IF(AND('Batt IN'!$D$41="YES",BattCalcs!C240=ROUNDUP('Batt IN'!$H$41*12,)),-'Batt IN'!$E$41*'Batt IN'!$E$28,0)</f>
        <v>0</v>
      </c>
      <c r="BP240" s="2">
        <f>IF(AND('Batt IN'!$D$53="Yes",$AL$1&gt;=1),0,IF($C240='Batt IN'!$H$54*12,-'Batt IN'!$F$54,0))</f>
        <v>0</v>
      </c>
      <c r="BQ240" s="2">
        <f>IF(AND('Batt IN'!$D$53="Yes",$AL$1&gt;=2),0,IF($C240='Batt IN'!$H$55*12,-'Batt IN'!$F$55,0))</f>
        <v>0</v>
      </c>
      <c r="BR240" s="2">
        <f>IF(AND('Batt IN'!$D$53="Yes",$AL$1&gt;=3),0,IF($C240='Batt IN'!$H$56*12,-'Batt IN'!$F$56,0))</f>
        <v>0</v>
      </c>
      <c r="BS240" s="2">
        <f>IF(AND('Batt IN'!$D$53="Yes",$AL$1&gt;=4),0,IF($C240='Batt IN'!$H$57*12,-'Batt IN'!$F$57,0))</f>
        <v>0</v>
      </c>
      <c r="BT240" s="2">
        <f>IF(AND('Batt IN'!$D$53="Yes",$AL$1&gt;=5),0,IF($C240='Batt IN'!$H$58*12,-'Batt IN'!$F$58,0))</f>
        <v>0</v>
      </c>
      <c r="BU240" s="2">
        <f>-AH240*PVCalcs!F240</f>
        <v>-380.26098829165892</v>
      </c>
      <c r="BV240" s="2">
        <f>-'Batt IN'!$E$47</f>
        <v>-150</v>
      </c>
      <c r="BW240" s="2">
        <f>-'Batt IN'!$E$49</f>
        <v>-2250</v>
      </c>
      <c r="BX240" s="2">
        <f>IF('Batt IN'!$H$50="No",-(BC240*'Batt IN'!$E$50),-(BC240+BE240)*'Batt IN'!$E$50)</f>
        <v>0</v>
      </c>
      <c r="BY240" s="2">
        <f>IF(C240='Batt IN'!$H$43*12,-'Batt IN'!$E$43,0)</f>
        <v>0</v>
      </c>
      <c r="BZ240" s="38"/>
      <c r="CA240" s="10">
        <f t="shared" si="51"/>
        <v>13422.323408333334</v>
      </c>
      <c r="CB240" s="2">
        <f t="shared" si="55"/>
        <v>-3030.260988291659</v>
      </c>
      <c r="CC240" s="45">
        <f t="shared" si="56"/>
        <v>10392.062420041675</v>
      </c>
      <c r="CD240" s="43"/>
      <c r="CE240" s="2">
        <f t="shared" si="52"/>
        <v>0</v>
      </c>
      <c r="CF240" s="2">
        <f t="shared" si="57"/>
        <v>-3030.260988291659</v>
      </c>
      <c r="CG240" s="2"/>
      <c r="CH240" s="2">
        <f t="shared" si="58"/>
        <v>-3030.260988291659</v>
      </c>
      <c r="CI240" s="45">
        <f>-CH240*'Batt IN'!$E$7</f>
        <v>636.35480754124842</v>
      </c>
      <c r="CJ240" s="48"/>
      <c r="CK240" s="45">
        <f>IF('Batt IN'!$F$4="PV Only",0,IF(C240&gt;'Batt IN'!$H$43*12,0,CC240+CI240))</f>
        <v>0</v>
      </c>
      <c r="CM240" s="10">
        <f t="shared" si="59"/>
        <v>0</v>
      </c>
      <c r="CN240" s="2">
        <f>CK240/(1+('Batt IN'!$G$8))^(C240)</f>
        <v>0</v>
      </c>
      <c r="CO240" s="2">
        <f>IF(C240&lt;='Batt IN'!$O$30*12,CN240+CO239,NA())</f>
        <v>0</v>
      </c>
      <c r="CQ240" s="2">
        <f>CK240/((1+('Batt IN'!$E$8/12))^BattCalcs!C240)</f>
        <v>0</v>
      </c>
      <c r="CS240" s="10">
        <f t="shared" si="60"/>
        <v>-3030.260988291659</v>
      </c>
      <c r="CT240" s="10">
        <f t="shared" si="61"/>
        <v>0</v>
      </c>
      <c r="CU240" s="10">
        <f t="shared" si="62"/>
        <v>-3030.260988291659</v>
      </c>
      <c r="CV240" s="10">
        <f t="shared" si="63"/>
        <v>-3030.260988291659</v>
      </c>
      <c r="CW240" s="2">
        <f t="shared" si="64"/>
        <v>0</v>
      </c>
      <c r="CX240" s="2">
        <f>-(SUM(CV240:CW240)*'PV IN'!$E$8)</f>
        <v>636.35480754124842</v>
      </c>
      <c r="CY240" s="2">
        <f t="shared" si="65"/>
        <v>-2393.9061807504104</v>
      </c>
      <c r="CZ240" s="2">
        <f>IF(C240&lt;='Batt IN'!$H$43*12,CY240/(1+('PV IN'!$G$9))^(C240),0)</f>
        <v>-917.03147971433009</v>
      </c>
      <c r="DA240" s="33">
        <f>IF(C240&lt;='Batt IN'!$H$43*12,AE240,0)</f>
        <v>30366.783333333333</v>
      </c>
    </row>
    <row r="241" spans="1:105" x14ac:dyDescent="0.25">
      <c r="A241">
        <f>IF(C241&lt;='Batt IN'!$H$43*12,C241,"")</f>
        <v>237</v>
      </c>
      <c r="C241">
        <v>237</v>
      </c>
      <c r="D241" s="21">
        <v>730</v>
      </c>
      <c r="E241" s="1">
        <f>1-'Batt IN'!$E$31</f>
        <v>2.0000000000000018E-2</v>
      </c>
      <c r="F241" s="12">
        <f>('Batt IN'!$E$33*365)/8760</f>
        <v>0</v>
      </c>
      <c r="G241" s="22">
        <f>'Batt IN'!$E$32/8760</f>
        <v>5.7077625570776253E-3</v>
      </c>
      <c r="H241" s="22">
        <f>'Batt IN'!$E$13/8760</f>
        <v>5.5936073059360729E-3</v>
      </c>
      <c r="I241" s="23">
        <f>IF(C241&lt;='Batt IN'!$G$14*12,'Batt IN'!$E$15/8760*'Batt IN'!$G$15,0)</f>
        <v>0</v>
      </c>
      <c r="J241" s="12">
        <f>Z241/'Batt IN'!$E$27/730</f>
        <v>2.4999999999999996E-3</v>
      </c>
      <c r="K241" s="23">
        <f>AA241/'Batt IN'!$E$27/730</f>
        <v>1.6027397260273972E-3</v>
      </c>
      <c r="L241" s="23">
        <f>AB241/'Batt IN'!$E$27/730</f>
        <v>2.0547945205479451E-4</v>
      </c>
      <c r="M241" s="23">
        <f>AC241/'Batt IN'!$E$27/730</f>
        <v>4.7945205479452057E-3</v>
      </c>
      <c r="N241" s="23">
        <f>AD241/'Batt IN'!$E$27/730</f>
        <v>3.4246575342465752E-3</v>
      </c>
      <c r="O241" s="12">
        <f t="shared" si="53"/>
        <v>4.3828767123287697E-2</v>
      </c>
      <c r="P241" s="21">
        <f t="shared" si="54"/>
        <v>698.005</v>
      </c>
      <c r="Q241" s="2">
        <f>IF('Batt IN'!$E$27*'Batt IN'!$E$24&lt;='Batt IN'!$E$28,(('Batt IN'!$E$23*'Batt IN'!$E$27*'Batt IN'!$E$24)/1000)*P241,(('Batt IN'!$E$23*'Batt IN'!$E$28*'Batt IN'!$E$24)/1000)*P241)</f>
        <v>11168.08</v>
      </c>
      <c r="R241" s="2"/>
      <c r="S241" s="77">
        <f>IF(C241&lt;='Batt IN'!$G$14*12,'Batt IN'!$E$15/12,0)</f>
        <v>0</v>
      </c>
      <c r="T241" s="77"/>
      <c r="U241" s="80">
        <f>'Batt IN'!$E$28*('Batt IN'!$G$24/24)*730*(1-O241)</f>
        <v>81433.916666666657</v>
      </c>
      <c r="V241" s="78">
        <f>U241*'Batt IN'!$F$30</f>
        <v>16286.783333333333</v>
      </c>
      <c r="W241" s="78">
        <f>'Batt IN'!$E$28*'Batt IN'!$G$32*('Batt IN'!$E$32/12)*(1+'Batt IN'!$F$30)</f>
        <v>1750.0000000000002</v>
      </c>
      <c r="X241" s="78">
        <f>'Batt IN'!$E$28*'Batt IN'!$G$13*('Batt IN'!$E$13/12)*(1+'Batt IN'!$F$30)</f>
        <v>3184.9999999999995</v>
      </c>
      <c r="Y241" s="33">
        <f>S241*'Batt IN'!$G$15*'Batt IN'!$E$28*(1+'Batt IN'!$F$30)</f>
        <v>0</v>
      </c>
      <c r="Z241" s="33">
        <f>'Batt IN'!$G$16*365/12*(1+'Batt IN'!$F$30)</f>
        <v>1824.9999999999998</v>
      </c>
      <c r="AA241" s="33">
        <f>'Batt IN'!$G$17*'Batt IN'!$E$18*'Batt IN'!$G$18/12*(1+'Batt IN'!$F$30)</f>
        <v>1170</v>
      </c>
      <c r="AB241" s="33">
        <f>'Batt IN'!$G$19*'Batt IN'!$E$20*'Batt IN'!$G$20/12*(1+'Batt IN'!$F$30)</f>
        <v>150</v>
      </c>
      <c r="AC241" s="33">
        <f>'Batt IN'!$G$21*(1+'Batt IN'!$F$30)/12</f>
        <v>3500</v>
      </c>
      <c r="AD241" s="33">
        <f>'Batt IN'!$G$22*(1+'Batt IN'!$F$30)/12</f>
        <v>2500</v>
      </c>
      <c r="AE241" s="33">
        <f t="shared" si="66"/>
        <v>30366.783333333333</v>
      </c>
      <c r="AF241" s="33">
        <f>IF('PV IN'!$F$4="Battery Only",0,AE241*'Batt IN'!$E$29)</f>
        <v>25811.765833333331</v>
      </c>
      <c r="AG241" s="33">
        <f>PVCalcs!L241</f>
        <v>25811.765833333331</v>
      </c>
      <c r="AH241" s="33">
        <f t="shared" si="67"/>
        <v>4555.0175000000017</v>
      </c>
      <c r="AI241" s="33"/>
      <c r="AJ241" s="2">
        <f>IF(AND('Batt IN'!$D$53="Yes",$AL$1&gt;=1),IF($C241='Batt IN'!$H$54*12,-'Batt IN'!$F$54,0),0)</f>
        <v>0</v>
      </c>
      <c r="AK241" s="2">
        <f>IF(AND('Batt IN'!$D$53="Yes",$AL$1&gt;=2),IF($C241='Batt IN'!$H$55*12,-'Batt IN'!$F$55,0),0)</f>
        <v>0</v>
      </c>
      <c r="AL241" s="2">
        <f>IF(AND('Batt IN'!$D$53="Yes",$AL$1&gt;=3),IF($C241='Batt IN'!$H$56*12,-'Batt IN'!$F$56,0),0)</f>
        <v>0</v>
      </c>
      <c r="AM241" s="2">
        <f>IF(AND('Batt IN'!$D$53="Yes",$AL$1&gt;=4),IF($C241='Batt IN'!$H$57*12,-'Batt IN'!$F$57,0),0)</f>
        <v>0</v>
      </c>
      <c r="AN241" s="2">
        <f>IF(AND('Batt IN'!$D$53="Yes",$AL$1&gt;=5),IF($C241='Batt IN'!$H$58*12,-'Batt IN'!$F$58,0),0)</f>
        <v>0</v>
      </c>
      <c r="AO241" s="10">
        <f>IF(AND('Batt IN'!$D$44="YES",$C241&lt;='Batt IN'!$E$44*12),-'Batt IN'!$E$28*'Batt IN'!$E$42/12,0)</f>
        <v>0</v>
      </c>
      <c r="AP241" s="10">
        <f>IF(AND('Batt IN'!$D$46="YES",$C241&lt;='Batt IN'!$E$46*12),-'Batt IN'!$E$28*'Batt IN'!$E$45/12,0)</f>
        <v>0</v>
      </c>
      <c r="AR241" s="10">
        <f>BattLoan!M268</f>
        <v>0</v>
      </c>
      <c r="AS241" s="10">
        <f>'Batt IN'!$G$16*365/12*'Batt IN'!$E$16</f>
        <v>76.041666666666671</v>
      </c>
      <c r="AT241" s="10">
        <f>IF(AND('Batt IN'!$E$18&gt;0,'Batt IN'!$G$18&gt;0),'Batt IN'!$E$17*'Batt IN'!$G$17,0)</f>
        <v>119.44619999999999</v>
      </c>
      <c r="AU241" s="10">
        <f>IF(AND('Batt IN'!$E$20&gt;0,'Batt IN'!$G$20&gt;0),'Batt IN'!$E$19*'Batt IN'!$G$19,0)</f>
        <v>231</v>
      </c>
      <c r="AV241" s="10"/>
      <c r="AW241" s="10"/>
      <c r="AX241" s="10">
        <f>IF('Batt IN'!$E$11="Non-Taxable",Q241,0)</f>
        <v>11168.08</v>
      </c>
      <c r="AY241" s="10">
        <f>IF('Batt IN'!$E$11="Non-Taxable",'Batt IN'!$E$28/1000*'Batt IN'!$G$13*('Batt IN'!$E$13/12)*'Batt IN'!$E$12,0)</f>
        <v>244.42220833333334</v>
      </c>
      <c r="AZ241" s="10">
        <f>IF('Batt IN'!$E$11="Non-Taxable",$S241*'Batt IN'!$G$15*'Batt IN'!$E$28*'Batt IN'!$E$14/1000,0)</f>
        <v>0</v>
      </c>
      <c r="BA241" s="10">
        <f>IF('Batt IN'!$E$11="Non-Taxable",'Batt IN'!$E$21*'Batt IN'!$G$21/12,0)</f>
        <v>437.5</v>
      </c>
      <c r="BB241" s="10">
        <f>IF('Batt IN'!$E$11="Non-Taxable",'Batt IN'!$E$22*'Batt IN'!$G$22/12,0)</f>
        <v>1145.8333333333335</v>
      </c>
      <c r="BC241" s="10">
        <f>IF('Batt IN'!$E$11="Taxable",Q241,0)</f>
        <v>0</v>
      </c>
      <c r="BD241" s="10">
        <f>IF('Batt IN'!$E$11="Taxable",'Batt IN'!$E$28/1000*'Batt IN'!$G$13*('Batt IN'!$E$13/12)*'Batt IN'!$E$12,0)</f>
        <v>0</v>
      </c>
      <c r="BE241" s="10">
        <f>IF('Batt IN'!$E$11="Taxable",$S241*'Batt IN'!$G$15*'Batt IN'!$E$28*'Batt IN'!$E$14/1000,0)</f>
        <v>0</v>
      </c>
      <c r="BF241" s="10">
        <f>IF('Batt IN'!$E$11="Taxable",'Batt IN'!$E$21*'Batt IN'!$G$21/12,0)</f>
        <v>0</v>
      </c>
      <c r="BG241" s="10">
        <f>IF('Batt IN'!$E$11="Taxable",'Batt IN'!$E$22*'Batt IN'!$G$22/12,0)</f>
        <v>0</v>
      </c>
      <c r="BK241" s="10">
        <f>IF('Batt IN'!$N$18="Yes",-BattLoan!H269,-BattLoan!L269)</f>
        <v>0</v>
      </c>
      <c r="BL241" s="10">
        <f>IF('Batt IN'!$N$18="Yes",-BattLoan!F269,0)</f>
        <v>0</v>
      </c>
      <c r="BM241" s="10">
        <f>IF(AND('Batt IN'!$D$44="YES",$C241&lt;='Batt IN'!$E$44*12),0,-'Batt IN'!$E$28*'Batt IN'!$E$42/12)</f>
        <v>-83.333333333333329</v>
      </c>
      <c r="BN241" s="10">
        <f>IF(AND('Batt IN'!$D$46="YES",$C241&lt;='Batt IN'!$E$46*12),0,-'Batt IN'!$E$28*'Batt IN'!$E$45/12)</f>
        <v>-166.66666666666666</v>
      </c>
      <c r="BO241" s="2">
        <f>IF(AND('Batt IN'!$D$41="YES",BattCalcs!C241=ROUNDUP('Batt IN'!$H$41*12,)),-'Batt IN'!$E$41*'Batt IN'!$E$28,0)</f>
        <v>0</v>
      </c>
      <c r="BP241" s="2">
        <f>IF(AND('Batt IN'!$D$53="Yes",$AL$1&gt;=1),0,IF($C241='Batt IN'!$H$54*12,-'Batt IN'!$F$54,0))</f>
        <v>0</v>
      </c>
      <c r="BQ241" s="2">
        <f>IF(AND('Batt IN'!$D$53="Yes",$AL$1&gt;=2),0,IF($C241='Batt IN'!$H$55*12,-'Batt IN'!$F$55,0))</f>
        <v>0</v>
      </c>
      <c r="BR241" s="2">
        <f>IF(AND('Batt IN'!$D$53="Yes",$AL$1&gt;=3),0,IF($C241='Batt IN'!$H$56*12,-'Batt IN'!$F$56,0))</f>
        <v>0</v>
      </c>
      <c r="BS241" s="2">
        <f>IF(AND('Batt IN'!$D$53="Yes",$AL$1&gt;=4),0,IF($C241='Batt IN'!$H$57*12,-'Batt IN'!$F$57,0))</f>
        <v>0</v>
      </c>
      <c r="BT241" s="2">
        <f>IF(AND('Batt IN'!$D$53="Yes",$AL$1&gt;=5),0,IF($C241='Batt IN'!$H$58*12,-'Batt IN'!$F$58,0))</f>
        <v>0</v>
      </c>
      <c r="BU241" s="2">
        <f>-AH241*PVCalcs!F241</f>
        <v>-380.26098829165892</v>
      </c>
      <c r="BV241" s="2">
        <f>-'Batt IN'!$E$47</f>
        <v>-150</v>
      </c>
      <c r="BW241" s="2">
        <f>-'Batt IN'!$E$49</f>
        <v>-2250</v>
      </c>
      <c r="BX241" s="2">
        <f>IF('Batt IN'!$H$50="No",-(BC241*'Batt IN'!$E$50),-(BC241+BE241)*'Batt IN'!$E$50)</f>
        <v>0</v>
      </c>
      <c r="BY241" s="2">
        <f>IF(C241='Batt IN'!$H$43*12,-'Batt IN'!$E$43,0)</f>
        <v>0</v>
      </c>
      <c r="BZ241" s="38"/>
      <c r="CA241" s="10">
        <f t="shared" si="51"/>
        <v>13422.323408333334</v>
      </c>
      <c r="CB241" s="2">
        <f t="shared" si="55"/>
        <v>-3030.260988291659</v>
      </c>
      <c r="CC241" s="45">
        <f t="shared" si="56"/>
        <v>10392.062420041675</v>
      </c>
      <c r="CD241" s="43"/>
      <c r="CE241" s="2">
        <f t="shared" si="52"/>
        <v>0</v>
      </c>
      <c r="CF241" s="2">
        <f t="shared" si="57"/>
        <v>-3030.260988291659</v>
      </c>
      <c r="CG241" s="2"/>
      <c r="CH241" s="2">
        <f t="shared" si="58"/>
        <v>-3030.260988291659</v>
      </c>
      <c r="CI241" s="45">
        <f>-CH241*'Batt IN'!$E$7</f>
        <v>636.35480754124842</v>
      </c>
      <c r="CJ241" s="48"/>
      <c r="CK241" s="45">
        <f>IF('Batt IN'!$F$4="PV Only",0,IF(C241&gt;'Batt IN'!$H$43*12,0,CC241+CI241))</f>
        <v>0</v>
      </c>
      <c r="CM241" s="10">
        <f t="shared" si="59"/>
        <v>0</v>
      </c>
      <c r="CN241" s="2">
        <f>CK241/(1+('Batt IN'!$G$8))^(C241)</f>
        <v>0</v>
      </c>
      <c r="CO241" s="2">
        <f>IF(C241&lt;='Batt IN'!$O$30*12,CN241+CO240,NA())</f>
        <v>0</v>
      </c>
      <c r="CQ241" s="2">
        <f>CK241/((1+('Batt IN'!$E$8/12))^BattCalcs!C241)</f>
        <v>0</v>
      </c>
      <c r="CS241" s="10">
        <f t="shared" si="60"/>
        <v>-3030.260988291659</v>
      </c>
      <c r="CT241" s="10">
        <f t="shared" si="61"/>
        <v>0</v>
      </c>
      <c r="CU241" s="10">
        <f t="shared" si="62"/>
        <v>-3030.260988291659</v>
      </c>
      <c r="CV241" s="10">
        <f t="shared" si="63"/>
        <v>-3030.260988291659</v>
      </c>
      <c r="CW241" s="2">
        <f t="shared" si="64"/>
        <v>0</v>
      </c>
      <c r="CX241" s="2">
        <f>-(SUM(CV241:CW241)*'PV IN'!$E$8)</f>
        <v>636.35480754124842</v>
      </c>
      <c r="CY241" s="2">
        <f t="shared" si="65"/>
        <v>-2393.9061807504104</v>
      </c>
      <c r="CZ241" s="2">
        <f>IF(C241&lt;='Batt IN'!$H$43*12,CY241/(1+('PV IN'!$G$9))^(C241),0)</f>
        <v>-913.31053952340096</v>
      </c>
      <c r="DA241" s="33">
        <f>IF(C241&lt;='Batt IN'!$H$43*12,AE241,0)</f>
        <v>30366.783333333333</v>
      </c>
    </row>
    <row r="242" spans="1:105" x14ac:dyDescent="0.25">
      <c r="A242">
        <f>IF(C242&lt;='Batt IN'!$H$43*12,C242,"")</f>
        <v>238</v>
      </c>
      <c r="C242">
        <v>238</v>
      </c>
      <c r="D242" s="21">
        <v>730</v>
      </c>
      <c r="E242" s="1">
        <f>1-'Batt IN'!$E$31</f>
        <v>2.0000000000000018E-2</v>
      </c>
      <c r="F242" s="12">
        <f>('Batt IN'!$E$33*365)/8760</f>
        <v>0</v>
      </c>
      <c r="G242" s="22">
        <f>'Batt IN'!$E$32/8760</f>
        <v>5.7077625570776253E-3</v>
      </c>
      <c r="H242" s="22">
        <f>'Batt IN'!$E$13/8760</f>
        <v>5.5936073059360729E-3</v>
      </c>
      <c r="I242" s="23">
        <f>IF(C242&lt;='Batt IN'!$G$14*12,'Batt IN'!$E$15/8760*'Batt IN'!$G$15,0)</f>
        <v>0</v>
      </c>
      <c r="J242" s="12">
        <f>Z242/'Batt IN'!$E$27/730</f>
        <v>2.4999999999999996E-3</v>
      </c>
      <c r="K242" s="23">
        <f>AA242/'Batt IN'!$E$27/730</f>
        <v>1.6027397260273972E-3</v>
      </c>
      <c r="L242" s="23">
        <f>AB242/'Batt IN'!$E$27/730</f>
        <v>2.0547945205479451E-4</v>
      </c>
      <c r="M242" s="23">
        <f>AC242/'Batt IN'!$E$27/730</f>
        <v>4.7945205479452057E-3</v>
      </c>
      <c r="N242" s="23">
        <f>AD242/'Batt IN'!$E$27/730</f>
        <v>3.4246575342465752E-3</v>
      </c>
      <c r="O242" s="12">
        <f t="shared" si="53"/>
        <v>4.3828767123287697E-2</v>
      </c>
      <c r="P242" s="21">
        <f t="shared" si="54"/>
        <v>698.005</v>
      </c>
      <c r="Q242" s="2">
        <f>IF('Batt IN'!$E$27*'Batt IN'!$E$24&lt;='Batt IN'!$E$28,(('Batt IN'!$E$23*'Batt IN'!$E$27*'Batt IN'!$E$24)/1000)*P242,(('Batt IN'!$E$23*'Batt IN'!$E$28*'Batt IN'!$E$24)/1000)*P242)</f>
        <v>11168.08</v>
      </c>
      <c r="R242" s="2"/>
      <c r="S242" s="77">
        <f>IF(C242&lt;='Batt IN'!$G$14*12,'Batt IN'!$E$15/12,0)</f>
        <v>0</v>
      </c>
      <c r="T242" s="77"/>
      <c r="U242" s="80">
        <f>'Batt IN'!$E$28*('Batt IN'!$G$24/24)*730*(1-O242)</f>
        <v>81433.916666666657</v>
      </c>
      <c r="V242" s="78">
        <f>U242*'Batt IN'!$F$30</f>
        <v>16286.783333333333</v>
      </c>
      <c r="W242" s="78">
        <f>'Batt IN'!$E$28*'Batt IN'!$G$32*('Batt IN'!$E$32/12)*(1+'Batt IN'!$F$30)</f>
        <v>1750.0000000000002</v>
      </c>
      <c r="X242" s="78">
        <f>'Batt IN'!$E$28*'Batt IN'!$G$13*('Batt IN'!$E$13/12)*(1+'Batt IN'!$F$30)</f>
        <v>3184.9999999999995</v>
      </c>
      <c r="Y242" s="33">
        <f>S242*'Batt IN'!$G$15*'Batt IN'!$E$28*(1+'Batt IN'!$F$30)</f>
        <v>0</v>
      </c>
      <c r="Z242" s="33">
        <f>'Batt IN'!$G$16*365/12*(1+'Batt IN'!$F$30)</f>
        <v>1824.9999999999998</v>
      </c>
      <c r="AA242" s="33">
        <f>'Batt IN'!$G$17*'Batt IN'!$E$18*'Batt IN'!$G$18/12*(1+'Batt IN'!$F$30)</f>
        <v>1170</v>
      </c>
      <c r="AB242" s="33">
        <f>'Batt IN'!$G$19*'Batt IN'!$E$20*'Batt IN'!$G$20/12*(1+'Batt IN'!$F$30)</f>
        <v>150</v>
      </c>
      <c r="AC242" s="33">
        <f>'Batt IN'!$G$21*(1+'Batt IN'!$F$30)/12</f>
        <v>3500</v>
      </c>
      <c r="AD242" s="33">
        <f>'Batt IN'!$G$22*(1+'Batt IN'!$F$30)/12</f>
        <v>2500</v>
      </c>
      <c r="AE242" s="33">
        <f t="shared" si="66"/>
        <v>30366.783333333333</v>
      </c>
      <c r="AF242" s="33">
        <f>IF('PV IN'!$F$4="Battery Only",0,AE242*'Batt IN'!$E$29)</f>
        <v>25811.765833333331</v>
      </c>
      <c r="AG242" s="33">
        <f>PVCalcs!L242</f>
        <v>25811.765833333331</v>
      </c>
      <c r="AH242" s="33">
        <f t="shared" si="67"/>
        <v>4555.0175000000017</v>
      </c>
      <c r="AI242" s="33"/>
      <c r="AJ242" s="2">
        <f>IF(AND('Batt IN'!$D$53="Yes",$AL$1&gt;=1),IF($C242='Batt IN'!$H$54*12,-'Batt IN'!$F$54,0),0)</f>
        <v>0</v>
      </c>
      <c r="AK242" s="2">
        <f>IF(AND('Batt IN'!$D$53="Yes",$AL$1&gt;=2),IF($C242='Batt IN'!$H$55*12,-'Batt IN'!$F$55,0),0)</f>
        <v>0</v>
      </c>
      <c r="AL242" s="2">
        <f>IF(AND('Batt IN'!$D$53="Yes",$AL$1&gt;=3),IF($C242='Batt IN'!$H$56*12,-'Batt IN'!$F$56,0),0)</f>
        <v>0</v>
      </c>
      <c r="AM242" s="2">
        <f>IF(AND('Batt IN'!$D$53="Yes",$AL$1&gt;=4),IF($C242='Batt IN'!$H$57*12,-'Batt IN'!$F$57,0),0)</f>
        <v>0</v>
      </c>
      <c r="AN242" s="2">
        <f>IF(AND('Batt IN'!$D$53="Yes",$AL$1&gt;=5),IF($C242='Batt IN'!$H$58*12,-'Batt IN'!$F$58,0),0)</f>
        <v>0</v>
      </c>
      <c r="AO242" s="10">
        <f>IF(AND('Batt IN'!$D$44="YES",$C242&lt;='Batt IN'!$E$44*12),-'Batt IN'!$E$28*'Batt IN'!$E$42/12,0)</f>
        <v>0</v>
      </c>
      <c r="AP242" s="10">
        <f>IF(AND('Batt IN'!$D$46="YES",$C242&lt;='Batt IN'!$E$46*12),-'Batt IN'!$E$28*'Batt IN'!$E$45/12,0)</f>
        <v>0</v>
      </c>
      <c r="AR242" s="10">
        <f>BattLoan!M269</f>
        <v>0</v>
      </c>
      <c r="AS242" s="10">
        <f>'Batt IN'!$G$16*365/12*'Batt IN'!$E$16</f>
        <v>76.041666666666671</v>
      </c>
      <c r="AT242" s="10">
        <f>IF(AND('Batt IN'!$E$18&gt;0,'Batt IN'!$G$18&gt;0),'Batt IN'!$E$17*'Batt IN'!$G$17,0)</f>
        <v>119.44619999999999</v>
      </c>
      <c r="AU242" s="10">
        <f>IF(AND('Batt IN'!$E$20&gt;0,'Batt IN'!$G$20&gt;0),'Batt IN'!$E$19*'Batt IN'!$G$19,0)</f>
        <v>231</v>
      </c>
      <c r="AV242" s="10"/>
      <c r="AW242" s="10"/>
      <c r="AX242" s="10">
        <f>IF('Batt IN'!$E$11="Non-Taxable",Q242,0)</f>
        <v>11168.08</v>
      </c>
      <c r="AY242" s="10">
        <f>IF('Batt IN'!$E$11="Non-Taxable",'Batt IN'!$E$28/1000*'Batt IN'!$G$13*('Batt IN'!$E$13/12)*'Batt IN'!$E$12,0)</f>
        <v>244.42220833333334</v>
      </c>
      <c r="AZ242" s="10">
        <f>IF('Batt IN'!$E$11="Non-Taxable",$S242*'Batt IN'!$G$15*'Batt IN'!$E$28*'Batt IN'!$E$14/1000,0)</f>
        <v>0</v>
      </c>
      <c r="BA242" s="10">
        <f>IF('Batt IN'!$E$11="Non-Taxable",'Batt IN'!$E$21*'Batt IN'!$G$21/12,0)</f>
        <v>437.5</v>
      </c>
      <c r="BB242" s="10">
        <f>IF('Batt IN'!$E$11="Non-Taxable",'Batt IN'!$E$22*'Batt IN'!$G$22/12,0)</f>
        <v>1145.8333333333335</v>
      </c>
      <c r="BC242" s="10">
        <f>IF('Batt IN'!$E$11="Taxable",Q242,0)</f>
        <v>0</v>
      </c>
      <c r="BD242" s="10">
        <f>IF('Batt IN'!$E$11="Taxable",'Batt IN'!$E$28/1000*'Batt IN'!$G$13*('Batt IN'!$E$13/12)*'Batt IN'!$E$12,0)</f>
        <v>0</v>
      </c>
      <c r="BE242" s="10">
        <f>IF('Batt IN'!$E$11="Taxable",$S242*'Batt IN'!$G$15*'Batt IN'!$E$28*'Batt IN'!$E$14/1000,0)</f>
        <v>0</v>
      </c>
      <c r="BF242" s="10">
        <f>IF('Batt IN'!$E$11="Taxable",'Batt IN'!$E$21*'Batt IN'!$G$21/12,0)</f>
        <v>0</v>
      </c>
      <c r="BG242" s="10">
        <f>IF('Batt IN'!$E$11="Taxable",'Batt IN'!$E$22*'Batt IN'!$G$22/12,0)</f>
        <v>0</v>
      </c>
      <c r="BK242" s="10">
        <f>IF('Batt IN'!$N$18="Yes",-BattLoan!H270,-BattLoan!L270)</f>
        <v>0</v>
      </c>
      <c r="BL242" s="10">
        <f>IF('Batt IN'!$N$18="Yes",-BattLoan!F270,0)</f>
        <v>0</v>
      </c>
      <c r="BM242" s="10">
        <f>IF(AND('Batt IN'!$D$44="YES",$C242&lt;='Batt IN'!$E$44*12),0,-'Batt IN'!$E$28*'Batt IN'!$E$42/12)</f>
        <v>-83.333333333333329</v>
      </c>
      <c r="BN242" s="10">
        <f>IF(AND('Batt IN'!$D$46="YES",$C242&lt;='Batt IN'!$E$46*12),0,-'Batt IN'!$E$28*'Batt IN'!$E$45/12)</f>
        <v>-166.66666666666666</v>
      </c>
      <c r="BO242" s="2">
        <f>IF(AND('Batt IN'!$D$41="YES",BattCalcs!C242=ROUNDUP('Batt IN'!$H$41*12,)),-'Batt IN'!$E$41*'Batt IN'!$E$28,0)</f>
        <v>0</v>
      </c>
      <c r="BP242" s="2">
        <f>IF(AND('Batt IN'!$D$53="Yes",$AL$1&gt;=1),0,IF($C242='Batt IN'!$H$54*12,-'Batt IN'!$F$54,0))</f>
        <v>0</v>
      </c>
      <c r="BQ242" s="2">
        <f>IF(AND('Batt IN'!$D$53="Yes",$AL$1&gt;=2),0,IF($C242='Batt IN'!$H$55*12,-'Batt IN'!$F$55,0))</f>
        <v>0</v>
      </c>
      <c r="BR242" s="2">
        <f>IF(AND('Batt IN'!$D$53="Yes",$AL$1&gt;=3),0,IF($C242='Batt IN'!$H$56*12,-'Batt IN'!$F$56,0))</f>
        <v>0</v>
      </c>
      <c r="BS242" s="2">
        <f>IF(AND('Batt IN'!$D$53="Yes",$AL$1&gt;=4),0,IF($C242='Batt IN'!$H$57*12,-'Batt IN'!$F$57,0))</f>
        <v>0</v>
      </c>
      <c r="BT242" s="2">
        <f>IF(AND('Batt IN'!$D$53="Yes",$AL$1&gt;=5),0,IF($C242='Batt IN'!$H$58*12,-'Batt IN'!$F$58,0))</f>
        <v>0</v>
      </c>
      <c r="BU242" s="2">
        <f>-AH242*PVCalcs!F242</f>
        <v>-380.26098829165892</v>
      </c>
      <c r="BV242" s="2">
        <f>-'Batt IN'!$E$47</f>
        <v>-150</v>
      </c>
      <c r="BW242" s="2">
        <f>-'Batt IN'!$E$49</f>
        <v>-2250</v>
      </c>
      <c r="BX242" s="2">
        <f>IF('Batt IN'!$H$50="No",-(BC242*'Batt IN'!$E$50),-(BC242+BE242)*'Batt IN'!$E$50)</f>
        <v>0</v>
      </c>
      <c r="BY242" s="2">
        <f>IF(C242='Batt IN'!$H$43*12,-'Batt IN'!$E$43,0)</f>
        <v>0</v>
      </c>
      <c r="BZ242" s="38"/>
      <c r="CA242" s="10">
        <f t="shared" si="51"/>
        <v>13422.323408333334</v>
      </c>
      <c r="CB242" s="2">
        <f t="shared" si="55"/>
        <v>-3030.260988291659</v>
      </c>
      <c r="CC242" s="45">
        <f t="shared" si="56"/>
        <v>10392.062420041675</v>
      </c>
      <c r="CD242" s="43"/>
      <c r="CE242" s="2">
        <f t="shared" si="52"/>
        <v>0</v>
      </c>
      <c r="CF242" s="2">
        <f t="shared" si="57"/>
        <v>-3030.260988291659</v>
      </c>
      <c r="CG242" s="2"/>
      <c r="CH242" s="2">
        <f t="shared" si="58"/>
        <v>-3030.260988291659</v>
      </c>
      <c r="CI242" s="45">
        <f>-CH242*'Batt IN'!$E$7</f>
        <v>636.35480754124842</v>
      </c>
      <c r="CJ242" s="48"/>
      <c r="CK242" s="45">
        <f>IF('Batt IN'!$F$4="PV Only",0,IF(C242&gt;'Batt IN'!$H$43*12,0,CC242+CI242))</f>
        <v>0</v>
      </c>
      <c r="CM242" s="10">
        <f t="shared" si="59"/>
        <v>0</v>
      </c>
      <c r="CN242" s="2">
        <f>CK242/(1+('Batt IN'!$G$8))^(C242)</f>
        <v>0</v>
      </c>
      <c r="CO242" s="2">
        <f>IF(C242&lt;='Batt IN'!$O$30*12,CN242+CO241,NA())</f>
        <v>0</v>
      </c>
      <c r="CQ242" s="2">
        <f>CK242/((1+('Batt IN'!$E$8/12))^BattCalcs!C242)</f>
        <v>0</v>
      </c>
      <c r="CS242" s="10">
        <f t="shared" si="60"/>
        <v>-3030.260988291659</v>
      </c>
      <c r="CT242" s="10">
        <f t="shared" si="61"/>
        <v>0</v>
      </c>
      <c r="CU242" s="10">
        <f t="shared" si="62"/>
        <v>-3030.260988291659</v>
      </c>
      <c r="CV242" s="10">
        <f t="shared" si="63"/>
        <v>-3030.260988291659</v>
      </c>
      <c r="CW242" s="2">
        <f t="shared" si="64"/>
        <v>0</v>
      </c>
      <c r="CX242" s="2">
        <f>-(SUM(CV242:CW242)*'PV IN'!$E$8)</f>
        <v>636.35480754124842</v>
      </c>
      <c r="CY242" s="2">
        <f t="shared" si="65"/>
        <v>-2393.9061807504104</v>
      </c>
      <c r="CZ242" s="2">
        <f>IF(C242&lt;='Batt IN'!$H$43*12,CY242/(1+('PV IN'!$G$9))^(C242),0)</f>
        <v>-909.60469739203779</v>
      </c>
      <c r="DA242" s="33">
        <f>IF(C242&lt;='Batt IN'!$H$43*12,AE242,0)</f>
        <v>30366.783333333333</v>
      </c>
    </row>
    <row r="243" spans="1:105" x14ac:dyDescent="0.25">
      <c r="A243">
        <f>IF(C243&lt;='Batt IN'!$H$43*12,C243,"")</f>
        <v>239</v>
      </c>
      <c r="C243">
        <v>239</v>
      </c>
      <c r="D243" s="21">
        <v>730</v>
      </c>
      <c r="E243" s="1">
        <f>1-'Batt IN'!$E$31</f>
        <v>2.0000000000000018E-2</v>
      </c>
      <c r="F243" s="12">
        <f>('Batt IN'!$E$33*365)/8760</f>
        <v>0</v>
      </c>
      <c r="G243" s="22">
        <f>'Batt IN'!$E$32/8760</f>
        <v>5.7077625570776253E-3</v>
      </c>
      <c r="H243" s="22">
        <f>'Batt IN'!$E$13/8760</f>
        <v>5.5936073059360729E-3</v>
      </c>
      <c r="I243" s="23">
        <f>IF(C243&lt;='Batt IN'!$G$14*12,'Batt IN'!$E$15/8760*'Batt IN'!$G$15,0)</f>
        <v>0</v>
      </c>
      <c r="J243" s="12">
        <f>Z243/'Batt IN'!$E$27/730</f>
        <v>2.4999999999999996E-3</v>
      </c>
      <c r="K243" s="23">
        <f>AA243/'Batt IN'!$E$27/730</f>
        <v>1.6027397260273972E-3</v>
      </c>
      <c r="L243" s="23">
        <f>AB243/'Batt IN'!$E$27/730</f>
        <v>2.0547945205479451E-4</v>
      </c>
      <c r="M243" s="23">
        <f>AC243/'Batt IN'!$E$27/730</f>
        <v>4.7945205479452057E-3</v>
      </c>
      <c r="N243" s="23">
        <f>AD243/'Batt IN'!$E$27/730</f>
        <v>3.4246575342465752E-3</v>
      </c>
      <c r="O243" s="12">
        <f t="shared" si="53"/>
        <v>4.3828767123287697E-2</v>
      </c>
      <c r="P243" s="21">
        <f t="shared" si="54"/>
        <v>698.005</v>
      </c>
      <c r="Q243" s="2">
        <f>IF('Batt IN'!$E$27*'Batt IN'!$E$24&lt;='Batt IN'!$E$28,(('Batt IN'!$E$23*'Batt IN'!$E$27*'Batt IN'!$E$24)/1000)*P243,(('Batt IN'!$E$23*'Batt IN'!$E$28*'Batt IN'!$E$24)/1000)*P243)</f>
        <v>11168.08</v>
      </c>
      <c r="R243" s="2"/>
      <c r="S243" s="77">
        <f>IF(C243&lt;='Batt IN'!$G$14*12,'Batt IN'!$E$15/12,0)</f>
        <v>0</v>
      </c>
      <c r="T243" s="77"/>
      <c r="U243" s="80">
        <f>'Batt IN'!$E$28*('Batt IN'!$G$24/24)*730*(1-O243)</f>
        <v>81433.916666666657</v>
      </c>
      <c r="V243" s="78">
        <f>U243*'Batt IN'!$F$30</f>
        <v>16286.783333333333</v>
      </c>
      <c r="W243" s="78">
        <f>'Batt IN'!$E$28*'Batt IN'!$G$32*('Batt IN'!$E$32/12)*(1+'Batt IN'!$F$30)</f>
        <v>1750.0000000000002</v>
      </c>
      <c r="X243" s="78">
        <f>'Batt IN'!$E$28*'Batt IN'!$G$13*('Batt IN'!$E$13/12)*(1+'Batt IN'!$F$30)</f>
        <v>3184.9999999999995</v>
      </c>
      <c r="Y243" s="33">
        <f>S243*'Batt IN'!$G$15*'Batt IN'!$E$28*(1+'Batt IN'!$F$30)</f>
        <v>0</v>
      </c>
      <c r="Z243" s="33">
        <f>'Batt IN'!$G$16*365/12*(1+'Batt IN'!$F$30)</f>
        <v>1824.9999999999998</v>
      </c>
      <c r="AA243" s="33">
        <f>'Batt IN'!$G$17*'Batt IN'!$E$18*'Batt IN'!$G$18/12*(1+'Batt IN'!$F$30)</f>
        <v>1170</v>
      </c>
      <c r="AB243" s="33">
        <f>'Batt IN'!$G$19*'Batt IN'!$E$20*'Batt IN'!$G$20/12*(1+'Batt IN'!$F$30)</f>
        <v>150</v>
      </c>
      <c r="AC243" s="33">
        <f>'Batt IN'!$G$21*(1+'Batt IN'!$F$30)/12</f>
        <v>3500</v>
      </c>
      <c r="AD243" s="33">
        <f>'Batt IN'!$G$22*(1+'Batt IN'!$F$30)/12</f>
        <v>2500</v>
      </c>
      <c r="AE243" s="33">
        <f t="shared" si="66"/>
        <v>30366.783333333333</v>
      </c>
      <c r="AF243" s="33">
        <f>IF('PV IN'!$F$4="Battery Only",0,AE243*'Batt IN'!$E$29)</f>
        <v>25811.765833333331</v>
      </c>
      <c r="AG243" s="33">
        <f>PVCalcs!L243</f>
        <v>25811.765833333331</v>
      </c>
      <c r="AH243" s="33">
        <f t="shared" si="67"/>
        <v>4555.0175000000017</v>
      </c>
      <c r="AI243" s="33"/>
      <c r="AJ243" s="2">
        <f>IF(AND('Batt IN'!$D$53="Yes",$AL$1&gt;=1),IF($C243='Batt IN'!$H$54*12,-'Batt IN'!$F$54,0),0)</f>
        <v>0</v>
      </c>
      <c r="AK243" s="2">
        <f>IF(AND('Batt IN'!$D$53="Yes",$AL$1&gt;=2),IF($C243='Batt IN'!$H$55*12,-'Batt IN'!$F$55,0),0)</f>
        <v>0</v>
      </c>
      <c r="AL243" s="2">
        <f>IF(AND('Batt IN'!$D$53="Yes",$AL$1&gt;=3),IF($C243='Batt IN'!$H$56*12,-'Batt IN'!$F$56,0),0)</f>
        <v>0</v>
      </c>
      <c r="AM243" s="2">
        <f>IF(AND('Batt IN'!$D$53="Yes",$AL$1&gt;=4),IF($C243='Batt IN'!$H$57*12,-'Batt IN'!$F$57,0),0)</f>
        <v>0</v>
      </c>
      <c r="AN243" s="2">
        <f>IF(AND('Batt IN'!$D$53="Yes",$AL$1&gt;=5),IF($C243='Batt IN'!$H$58*12,-'Batt IN'!$F$58,0),0)</f>
        <v>0</v>
      </c>
      <c r="AO243" s="10">
        <f>IF(AND('Batt IN'!$D$44="YES",$C243&lt;='Batt IN'!$E$44*12),-'Batt IN'!$E$28*'Batt IN'!$E$42/12,0)</f>
        <v>0</v>
      </c>
      <c r="AP243" s="10">
        <f>IF(AND('Batt IN'!$D$46="YES",$C243&lt;='Batt IN'!$E$46*12),-'Batt IN'!$E$28*'Batt IN'!$E$45/12,0)</f>
        <v>0</v>
      </c>
      <c r="AR243" s="10">
        <f>BattLoan!M270</f>
        <v>0</v>
      </c>
      <c r="AS243" s="10">
        <f>'Batt IN'!$G$16*365/12*'Batt IN'!$E$16</f>
        <v>76.041666666666671</v>
      </c>
      <c r="AT243" s="10">
        <f>IF(AND('Batt IN'!$E$18&gt;0,'Batt IN'!$G$18&gt;0),'Batt IN'!$E$17*'Batt IN'!$G$17,0)</f>
        <v>119.44619999999999</v>
      </c>
      <c r="AU243" s="10">
        <f>IF(AND('Batt IN'!$E$20&gt;0,'Batt IN'!$G$20&gt;0),'Batt IN'!$E$19*'Batt IN'!$G$19,0)</f>
        <v>231</v>
      </c>
      <c r="AV243" s="10"/>
      <c r="AW243" s="10"/>
      <c r="AX243" s="10">
        <f>IF('Batt IN'!$E$11="Non-Taxable",Q243,0)</f>
        <v>11168.08</v>
      </c>
      <c r="AY243" s="10">
        <f>IF('Batt IN'!$E$11="Non-Taxable",'Batt IN'!$E$28/1000*'Batt IN'!$G$13*('Batt IN'!$E$13/12)*'Batt IN'!$E$12,0)</f>
        <v>244.42220833333334</v>
      </c>
      <c r="AZ243" s="10">
        <f>IF('Batt IN'!$E$11="Non-Taxable",$S243*'Batt IN'!$G$15*'Batt IN'!$E$28*'Batt IN'!$E$14/1000,0)</f>
        <v>0</v>
      </c>
      <c r="BA243" s="10">
        <f>IF('Batt IN'!$E$11="Non-Taxable",'Batt IN'!$E$21*'Batt IN'!$G$21/12,0)</f>
        <v>437.5</v>
      </c>
      <c r="BB243" s="10">
        <f>IF('Batt IN'!$E$11="Non-Taxable",'Batt IN'!$E$22*'Batt IN'!$G$22/12,0)</f>
        <v>1145.8333333333335</v>
      </c>
      <c r="BC243" s="10">
        <f>IF('Batt IN'!$E$11="Taxable",Q243,0)</f>
        <v>0</v>
      </c>
      <c r="BD243" s="10">
        <f>IF('Batt IN'!$E$11="Taxable",'Batt IN'!$E$28/1000*'Batt IN'!$G$13*('Batt IN'!$E$13/12)*'Batt IN'!$E$12,0)</f>
        <v>0</v>
      </c>
      <c r="BE243" s="10">
        <f>IF('Batt IN'!$E$11="Taxable",$S243*'Batt IN'!$G$15*'Batt IN'!$E$28*'Batt IN'!$E$14/1000,0)</f>
        <v>0</v>
      </c>
      <c r="BF243" s="10">
        <f>IF('Batt IN'!$E$11="Taxable",'Batt IN'!$E$21*'Batt IN'!$G$21/12,0)</f>
        <v>0</v>
      </c>
      <c r="BG243" s="10">
        <f>IF('Batt IN'!$E$11="Taxable",'Batt IN'!$E$22*'Batt IN'!$G$22/12,0)</f>
        <v>0</v>
      </c>
      <c r="BK243" s="10">
        <f>IF('Batt IN'!$N$18="Yes",-BattLoan!H271,-BattLoan!L271)</f>
        <v>0</v>
      </c>
      <c r="BL243" s="10">
        <f>IF('Batt IN'!$N$18="Yes",-BattLoan!F271,0)</f>
        <v>0</v>
      </c>
      <c r="BM243" s="10">
        <f>IF(AND('Batt IN'!$D$44="YES",$C243&lt;='Batt IN'!$E$44*12),0,-'Batt IN'!$E$28*'Batt IN'!$E$42/12)</f>
        <v>-83.333333333333329</v>
      </c>
      <c r="BN243" s="10">
        <f>IF(AND('Batt IN'!$D$46="YES",$C243&lt;='Batt IN'!$E$46*12),0,-'Batt IN'!$E$28*'Batt IN'!$E$45/12)</f>
        <v>-166.66666666666666</v>
      </c>
      <c r="BO243" s="2">
        <f>IF(AND('Batt IN'!$D$41="YES",BattCalcs!C243=ROUNDUP('Batt IN'!$H$41*12,)),-'Batt IN'!$E$41*'Batt IN'!$E$28,0)</f>
        <v>0</v>
      </c>
      <c r="BP243" s="2">
        <f>IF(AND('Batt IN'!$D$53="Yes",$AL$1&gt;=1),0,IF($C243='Batt IN'!$H$54*12,-'Batt IN'!$F$54,0))</f>
        <v>0</v>
      </c>
      <c r="BQ243" s="2">
        <f>IF(AND('Batt IN'!$D$53="Yes",$AL$1&gt;=2),0,IF($C243='Batt IN'!$H$55*12,-'Batt IN'!$F$55,0))</f>
        <v>0</v>
      </c>
      <c r="BR243" s="2">
        <f>IF(AND('Batt IN'!$D$53="Yes",$AL$1&gt;=3),0,IF($C243='Batt IN'!$H$56*12,-'Batt IN'!$F$56,0))</f>
        <v>0</v>
      </c>
      <c r="BS243" s="2">
        <f>IF(AND('Batt IN'!$D$53="Yes",$AL$1&gt;=4),0,IF($C243='Batt IN'!$H$57*12,-'Batt IN'!$F$57,0))</f>
        <v>0</v>
      </c>
      <c r="BT243" s="2">
        <f>IF(AND('Batt IN'!$D$53="Yes",$AL$1&gt;=5),0,IF($C243='Batt IN'!$H$58*12,-'Batt IN'!$F$58,0))</f>
        <v>0</v>
      </c>
      <c r="BU243" s="2">
        <f>-AH243*PVCalcs!F243</f>
        <v>-380.26098829165892</v>
      </c>
      <c r="BV243" s="2">
        <f>-'Batt IN'!$E$47</f>
        <v>-150</v>
      </c>
      <c r="BW243" s="2">
        <f>-'Batt IN'!$E$49</f>
        <v>-2250</v>
      </c>
      <c r="BX243" s="2">
        <f>IF('Batt IN'!$H$50="No",-(BC243*'Batt IN'!$E$50),-(BC243+BE243)*'Batt IN'!$E$50)</f>
        <v>0</v>
      </c>
      <c r="BY243" s="2">
        <f>IF(C243='Batt IN'!$H$43*12,-'Batt IN'!$E$43,0)</f>
        <v>0</v>
      </c>
      <c r="BZ243" s="38"/>
      <c r="CA243" s="10">
        <f t="shared" si="51"/>
        <v>13422.323408333334</v>
      </c>
      <c r="CB243" s="2">
        <f t="shared" si="55"/>
        <v>-3030.260988291659</v>
      </c>
      <c r="CC243" s="45">
        <f t="shared" si="56"/>
        <v>10392.062420041675</v>
      </c>
      <c r="CD243" s="43"/>
      <c r="CE243" s="2">
        <f t="shared" si="52"/>
        <v>0</v>
      </c>
      <c r="CF243" s="2">
        <f t="shared" si="57"/>
        <v>-3030.260988291659</v>
      </c>
      <c r="CG243" s="2"/>
      <c r="CH243" s="2">
        <f t="shared" si="58"/>
        <v>-3030.260988291659</v>
      </c>
      <c r="CI243" s="45">
        <f>-CH243*'Batt IN'!$E$7</f>
        <v>636.35480754124842</v>
      </c>
      <c r="CJ243" s="48"/>
      <c r="CK243" s="45">
        <f>IF('Batt IN'!$F$4="PV Only",0,IF(C243&gt;'Batt IN'!$H$43*12,0,CC243+CI243))</f>
        <v>0</v>
      </c>
      <c r="CM243" s="10">
        <f t="shared" si="59"/>
        <v>0</v>
      </c>
      <c r="CN243" s="2">
        <f>CK243/(1+('Batt IN'!$G$8))^(C243)</f>
        <v>0</v>
      </c>
      <c r="CO243" s="2">
        <f>IF(C243&lt;='Batt IN'!$O$30*12,CN243+CO242,NA())</f>
        <v>0</v>
      </c>
      <c r="CQ243" s="2">
        <f>CK243/((1+('Batt IN'!$E$8/12))^BattCalcs!C243)</f>
        <v>0</v>
      </c>
      <c r="CS243" s="10">
        <f t="shared" si="60"/>
        <v>-3030.260988291659</v>
      </c>
      <c r="CT243" s="10">
        <f t="shared" si="61"/>
        <v>0</v>
      </c>
      <c r="CU243" s="10">
        <f t="shared" si="62"/>
        <v>-3030.260988291659</v>
      </c>
      <c r="CV243" s="10">
        <f t="shared" si="63"/>
        <v>-3030.260988291659</v>
      </c>
      <c r="CW243" s="2">
        <f t="shared" si="64"/>
        <v>0</v>
      </c>
      <c r="CX243" s="2">
        <f>-(SUM(CV243:CW243)*'PV IN'!$E$8)</f>
        <v>636.35480754124842</v>
      </c>
      <c r="CY243" s="2">
        <f t="shared" si="65"/>
        <v>-2393.9061807504104</v>
      </c>
      <c r="CZ243" s="2">
        <f>IF(C243&lt;='Batt IN'!$H$43*12,CY243/(1+('PV IN'!$G$9))^(C243),0)</f>
        <v>-905.91389205846497</v>
      </c>
      <c r="DA243" s="33">
        <f>IF(C243&lt;='Batt IN'!$H$43*12,AE243,0)</f>
        <v>30366.783333333333</v>
      </c>
    </row>
    <row r="244" spans="1:105" x14ac:dyDescent="0.25">
      <c r="A244">
        <f>IF(C244&lt;='Batt IN'!$H$43*12,C244,"")</f>
        <v>240</v>
      </c>
      <c r="B244">
        <v>20</v>
      </c>
      <c r="C244">
        <v>240</v>
      </c>
      <c r="D244" s="21">
        <v>730</v>
      </c>
      <c r="E244" s="1">
        <f>1-'Batt IN'!$E$31</f>
        <v>2.0000000000000018E-2</v>
      </c>
      <c r="F244" s="12">
        <f>('Batt IN'!$E$33*365)/8760</f>
        <v>0</v>
      </c>
      <c r="G244" s="22">
        <f>'Batt IN'!$E$32/8760</f>
        <v>5.7077625570776253E-3</v>
      </c>
      <c r="H244" s="22">
        <f>'Batt IN'!$E$13/8760</f>
        <v>5.5936073059360729E-3</v>
      </c>
      <c r="I244" s="23">
        <f>IF(C244&lt;='Batt IN'!$G$14*12,'Batt IN'!$E$15/8760*'Batt IN'!$G$15,0)</f>
        <v>0</v>
      </c>
      <c r="J244" s="12">
        <f>Z244/'Batt IN'!$E$27/730</f>
        <v>2.4999999999999996E-3</v>
      </c>
      <c r="K244" s="23">
        <f>AA244/'Batt IN'!$E$27/730</f>
        <v>1.6027397260273972E-3</v>
      </c>
      <c r="L244" s="23">
        <f>AB244/'Batt IN'!$E$27/730</f>
        <v>2.0547945205479451E-4</v>
      </c>
      <c r="M244" s="23">
        <f>AC244/'Batt IN'!$E$27/730</f>
        <v>4.7945205479452057E-3</v>
      </c>
      <c r="N244" s="23">
        <f>AD244/'Batt IN'!$E$27/730</f>
        <v>3.4246575342465752E-3</v>
      </c>
      <c r="O244" s="12">
        <f t="shared" si="53"/>
        <v>4.3828767123287697E-2</v>
      </c>
      <c r="P244" s="21">
        <f t="shared" si="54"/>
        <v>698.005</v>
      </c>
      <c r="Q244" s="2">
        <f>IF('Batt IN'!$E$27*'Batt IN'!$E$24&lt;='Batt IN'!$E$28,(('Batt IN'!$E$23*'Batt IN'!$E$27*'Batt IN'!$E$24)/1000)*P244,(('Batt IN'!$E$23*'Batt IN'!$E$28*'Batt IN'!$E$24)/1000)*P244)</f>
        <v>11168.08</v>
      </c>
      <c r="R244" s="2"/>
      <c r="S244" s="77">
        <f>IF(C244&lt;='Batt IN'!$G$14*12,'Batt IN'!$E$15/12,0)</f>
        <v>0</v>
      </c>
      <c r="T244" s="77"/>
      <c r="U244" s="80">
        <f>'Batt IN'!$E$28*('Batt IN'!$G$24/24)*730*(1-O244)</f>
        <v>81433.916666666657</v>
      </c>
      <c r="V244" s="78">
        <f>U244*'Batt IN'!$F$30</f>
        <v>16286.783333333333</v>
      </c>
      <c r="W244" s="78">
        <f>'Batt IN'!$E$28*'Batt IN'!$G$32*('Batt IN'!$E$32/12)*(1+'Batt IN'!$F$30)</f>
        <v>1750.0000000000002</v>
      </c>
      <c r="X244" s="78">
        <f>'Batt IN'!$E$28*'Batt IN'!$G$13*('Batt IN'!$E$13/12)*(1+'Batt IN'!$F$30)</f>
        <v>3184.9999999999995</v>
      </c>
      <c r="Y244" s="33">
        <f>S244*'Batt IN'!$G$15*'Batt IN'!$E$28*(1+'Batt IN'!$F$30)</f>
        <v>0</v>
      </c>
      <c r="Z244" s="33">
        <f>'Batt IN'!$G$16*365/12*(1+'Batt IN'!$F$30)</f>
        <v>1824.9999999999998</v>
      </c>
      <c r="AA244" s="33">
        <f>'Batt IN'!$G$17*'Batt IN'!$E$18*'Batt IN'!$G$18/12*(1+'Batt IN'!$F$30)</f>
        <v>1170</v>
      </c>
      <c r="AB244" s="33">
        <f>'Batt IN'!$G$19*'Batt IN'!$E$20*'Batt IN'!$G$20/12*(1+'Batt IN'!$F$30)</f>
        <v>150</v>
      </c>
      <c r="AC244" s="33">
        <f>'Batt IN'!$G$21*(1+'Batt IN'!$F$30)/12</f>
        <v>3500</v>
      </c>
      <c r="AD244" s="33">
        <f>'Batt IN'!$G$22*(1+'Batt IN'!$F$30)/12</f>
        <v>2500</v>
      </c>
      <c r="AE244" s="33">
        <f t="shared" si="66"/>
        <v>30366.783333333333</v>
      </c>
      <c r="AF244" s="33">
        <f>IF('PV IN'!$F$4="Battery Only",0,AE244*'Batt IN'!$E$29)</f>
        <v>25811.765833333331</v>
      </c>
      <c r="AG244" s="33">
        <f>PVCalcs!L244</f>
        <v>25811.765833333331</v>
      </c>
      <c r="AH244" s="33">
        <f t="shared" si="67"/>
        <v>4555.0175000000017</v>
      </c>
      <c r="AI244" s="33"/>
      <c r="AJ244" s="2">
        <f>IF(AND('Batt IN'!$D$53="Yes",$AL$1&gt;=1),IF($C244='Batt IN'!$H$54*12,-'Batt IN'!$F$54,0),0)</f>
        <v>0</v>
      </c>
      <c r="AK244" s="2">
        <f>IF(AND('Batt IN'!$D$53="Yes",$AL$1&gt;=2),IF($C244='Batt IN'!$H$55*12,-'Batt IN'!$F$55,0),0)</f>
        <v>0</v>
      </c>
      <c r="AL244" s="2">
        <f>IF(AND('Batt IN'!$D$53="Yes",$AL$1&gt;=3),IF($C244='Batt IN'!$H$56*12,-'Batt IN'!$F$56,0),0)</f>
        <v>0</v>
      </c>
      <c r="AM244" s="2">
        <f>IF(AND('Batt IN'!$D$53="Yes",$AL$1&gt;=4),IF($C244='Batt IN'!$H$57*12,-'Batt IN'!$F$57,0),0)</f>
        <v>0</v>
      </c>
      <c r="AN244" s="2">
        <f>IF(AND('Batt IN'!$D$53="Yes",$AL$1&gt;=5),IF($C244='Batt IN'!$H$58*12,-'Batt IN'!$F$58,0),0)</f>
        <v>0</v>
      </c>
      <c r="AO244" s="10">
        <f>IF(AND('Batt IN'!$D$44="YES",$C244&lt;='Batt IN'!$E$44*12),-'Batt IN'!$E$28*'Batt IN'!$E$42/12,0)</f>
        <v>0</v>
      </c>
      <c r="AP244" s="10">
        <f>IF(AND('Batt IN'!$D$46="YES",$C244&lt;='Batt IN'!$E$46*12),-'Batt IN'!$E$28*'Batt IN'!$E$45/12,0)</f>
        <v>0</v>
      </c>
      <c r="AR244" s="10">
        <f>BattLoan!M271</f>
        <v>0</v>
      </c>
      <c r="AS244" s="10">
        <f>'Batt IN'!$G$16*365/12*'Batt IN'!$E$16</f>
        <v>76.041666666666671</v>
      </c>
      <c r="AT244" s="10">
        <f>IF(AND('Batt IN'!$E$18&gt;0,'Batt IN'!$G$18&gt;0),'Batt IN'!$E$17*'Batt IN'!$G$17,0)</f>
        <v>119.44619999999999</v>
      </c>
      <c r="AU244" s="10">
        <f>IF(AND('Batt IN'!$E$20&gt;0,'Batt IN'!$G$20&gt;0),'Batt IN'!$E$19*'Batt IN'!$G$19,0)</f>
        <v>231</v>
      </c>
      <c r="AV244" s="10"/>
      <c r="AW244" s="10"/>
      <c r="AX244" s="10">
        <f>IF('Batt IN'!$E$11="Non-Taxable",Q244,0)</f>
        <v>11168.08</v>
      </c>
      <c r="AY244" s="10">
        <f>IF('Batt IN'!$E$11="Non-Taxable",'Batt IN'!$E$28/1000*'Batt IN'!$G$13*('Batt IN'!$E$13/12)*'Batt IN'!$E$12,0)</f>
        <v>244.42220833333334</v>
      </c>
      <c r="AZ244" s="10">
        <f>IF('Batt IN'!$E$11="Non-Taxable",$S244*'Batt IN'!$G$15*'Batt IN'!$E$28*'Batt IN'!$E$14/1000,0)</f>
        <v>0</v>
      </c>
      <c r="BA244" s="10">
        <f>IF('Batt IN'!$E$11="Non-Taxable",'Batt IN'!$E$21*'Batt IN'!$G$21/12,0)</f>
        <v>437.5</v>
      </c>
      <c r="BB244" s="10">
        <f>IF('Batt IN'!$E$11="Non-Taxable",'Batt IN'!$E$22*'Batt IN'!$G$22/12,0)</f>
        <v>1145.8333333333335</v>
      </c>
      <c r="BC244" s="10">
        <f>IF('Batt IN'!$E$11="Taxable",Q244,0)</f>
        <v>0</v>
      </c>
      <c r="BD244" s="10">
        <f>IF('Batt IN'!$E$11="Taxable",'Batt IN'!$E$28/1000*'Batt IN'!$G$13*('Batt IN'!$E$13/12)*'Batt IN'!$E$12,0)</f>
        <v>0</v>
      </c>
      <c r="BE244" s="10">
        <f>IF('Batt IN'!$E$11="Taxable",$S244*'Batt IN'!$G$15*'Batt IN'!$E$28*'Batt IN'!$E$14/1000,0)</f>
        <v>0</v>
      </c>
      <c r="BF244" s="10">
        <f>IF('Batt IN'!$E$11="Taxable",'Batt IN'!$E$21*'Batt IN'!$G$21/12,0)</f>
        <v>0</v>
      </c>
      <c r="BG244" s="10">
        <f>IF('Batt IN'!$E$11="Taxable",'Batt IN'!$E$22*'Batt IN'!$G$22/12,0)</f>
        <v>0</v>
      </c>
      <c r="BK244" s="10">
        <f>IF('Batt IN'!$N$18="Yes",-BattLoan!H272,-BattLoan!L272)</f>
        <v>0</v>
      </c>
      <c r="BL244" s="10">
        <f>IF('Batt IN'!$N$18="Yes",-BattLoan!F272,0)</f>
        <v>0</v>
      </c>
      <c r="BM244" s="10">
        <f>IF(AND('Batt IN'!$D$44="YES",$C244&lt;='Batt IN'!$E$44*12),0,-'Batt IN'!$E$28*'Batt IN'!$E$42/12)</f>
        <v>-83.333333333333329</v>
      </c>
      <c r="BN244" s="10">
        <f>IF(AND('Batt IN'!$D$46="YES",$C244&lt;='Batt IN'!$E$46*12),0,-'Batt IN'!$E$28*'Batt IN'!$E$45/12)</f>
        <v>-166.66666666666666</v>
      </c>
      <c r="BO244" s="2">
        <f>IF(AND('Batt IN'!$D$41="YES",BattCalcs!C244=ROUNDUP('Batt IN'!$H$41*12,)),-'Batt IN'!$E$41*'Batt IN'!$E$28,0)</f>
        <v>0</v>
      </c>
      <c r="BP244" s="2">
        <f>IF(AND('Batt IN'!$D$53="Yes",$AL$1&gt;=1),0,IF($C244='Batt IN'!$H$54*12,-'Batt IN'!$F$54,0))</f>
        <v>0</v>
      </c>
      <c r="BQ244" s="2">
        <f>IF(AND('Batt IN'!$D$53="Yes",$AL$1&gt;=2),0,IF($C244='Batt IN'!$H$55*12,-'Batt IN'!$F$55,0))</f>
        <v>0</v>
      </c>
      <c r="BR244" s="2">
        <f>IF(AND('Batt IN'!$D$53="Yes",$AL$1&gt;=3),0,IF($C244='Batt IN'!$H$56*12,-'Batt IN'!$F$56,0))</f>
        <v>0</v>
      </c>
      <c r="BS244" s="2">
        <f>IF(AND('Batt IN'!$D$53="Yes",$AL$1&gt;=4),0,IF($C244='Batt IN'!$H$57*12,-'Batt IN'!$F$57,0))</f>
        <v>-30000</v>
      </c>
      <c r="BT244" s="2">
        <f>IF(AND('Batt IN'!$D$53="Yes",$AL$1&gt;=5),0,IF($C244='Batt IN'!$H$58*12,-'Batt IN'!$F$58,0))</f>
        <v>0</v>
      </c>
      <c r="BU244" s="2">
        <f>-AH244*PVCalcs!F244</f>
        <v>-380.26098829165892</v>
      </c>
      <c r="BV244" s="2">
        <f>-'Batt IN'!$E$47</f>
        <v>-150</v>
      </c>
      <c r="BW244" s="2">
        <f>-'Batt IN'!$E$49</f>
        <v>-2250</v>
      </c>
      <c r="BX244" s="2">
        <f>IF('Batt IN'!$H$50="No",-(BC244*'Batt IN'!$E$50),-(BC244+BE244)*'Batt IN'!$E$50)</f>
        <v>0</v>
      </c>
      <c r="BY244" s="2">
        <f>IF(C244='Batt IN'!$H$43*12,-'Batt IN'!$E$43,0)</f>
        <v>0</v>
      </c>
      <c r="BZ244" s="38"/>
      <c r="CA244" s="10">
        <f t="shared" si="51"/>
        <v>13422.323408333334</v>
      </c>
      <c r="CB244" s="2">
        <f t="shared" si="55"/>
        <v>-33030.260988291659</v>
      </c>
      <c r="CC244" s="45">
        <f t="shared" si="56"/>
        <v>-19607.937579958325</v>
      </c>
      <c r="CD244" s="43"/>
      <c r="CE244" s="2">
        <f t="shared" si="52"/>
        <v>0</v>
      </c>
      <c r="CF244" s="2">
        <f t="shared" si="57"/>
        <v>-33030.260988291659</v>
      </c>
      <c r="CG244" s="2"/>
      <c r="CH244" s="2">
        <f t="shared" si="58"/>
        <v>-33030.260988291659</v>
      </c>
      <c r="CI244" s="45">
        <f>-CH244*'Batt IN'!$E$7</f>
        <v>6936.3548075412482</v>
      </c>
      <c r="CJ244" s="48"/>
      <c r="CK244" s="45">
        <f>IF('Batt IN'!$F$4="PV Only",0,IF(C244&gt;'Batt IN'!$H$43*12,0,CC244+CI244))</f>
        <v>0</v>
      </c>
      <c r="CM244" s="10">
        <f t="shared" si="59"/>
        <v>0</v>
      </c>
      <c r="CN244" s="2">
        <f>CK244/(1+('Batt IN'!$G$8))^(C244)</f>
        <v>0</v>
      </c>
      <c r="CO244" s="2">
        <f>IF(C244&lt;='Batt IN'!$O$30*12,CN244+CO243,NA())</f>
        <v>0</v>
      </c>
      <c r="CQ244" s="2">
        <f>CK244/((1+('Batt IN'!$E$8/12))^BattCalcs!C244)</f>
        <v>0</v>
      </c>
      <c r="CS244" s="10">
        <f t="shared" si="60"/>
        <v>-33030.260988291659</v>
      </c>
      <c r="CT244" s="10">
        <f t="shared" si="61"/>
        <v>0</v>
      </c>
      <c r="CU244" s="10">
        <f t="shared" si="62"/>
        <v>-33030.260988291659</v>
      </c>
      <c r="CV244" s="10">
        <f t="shared" si="63"/>
        <v>-33030.260988291659</v>
      </c>
      <c r="CW244" s="2">
        <f t="shared" si="64"/>
        <v>0</v>
      </c>
      <c r="CX244" s="2">
        <f>-(SUM(CV244:CW244)*'PV IN'!$E$8)</f>
        <v>6936.3548075412482</v>
      </c>
      <c r="CY244" s="2">
        <f t="shared" si="65"/>
        <v>-26093.906180750411</v>
      </c>
      <c r="CZ244" s="2">
        <f>IF(C244&lt;='Batt IN'!$H$43*12,CY244/(1+('PV IN'!$G$9))^(C244),0)</f>
        <v>-9834.5188065993989</v>
      </c>
      <c r="DA244" s="33">
        <f>IF(C244&lt;='Batt IN'!$H$43*12,AE244,0)</f>
        <v>30366.783333333333</v>
      </c>
    </row>
    <row r="245" spans="1:105" x14ac:dyDescent="0.25">
      <c r="A245">
        <f>IF(C245&lt;='Batt IN'!$H$43*12,C245,"")</f>
        <v>241</v>
      </c>
      <c r="C245">
        <v>241</v>
      </c>
      <c r="D245" s="21">
        <v>730</v>
      </c>
      <c r="E245" s="1">
        <f>1-'Batt IN'!$E$31</f>
        <v>2.0000000000000018E-2</v>
      </c>
      <c r="F245" s="12">
        <f>('Batt IN'!$E$33*365)/8760</f>
        <v>0</v>
      </c>
      <c r="G245" s="22">
        <f>'Batt IN'!$E$32/8760</f>
        <v>5.7077625570776253E-3</v>
      </c>
      <c r="H245" s="22">
        <f>'Batt IN'!$E$13/8760</f>
        <v>5.5936073059360729E-3</v>
      </c>
      <c r="I245" s="23">
        <f>IF(C245&lt;='Batt IN'!$G$14*12,'Batt IN'!$E$15/8760*'Batt IN'!$G$15,0)</f>
        <v>0</v>
      </c>
      <c r="J245" s="12">
        <f>Z245/'Batt IN'!$E$27/730</f>
        <v>2.4999999999999996E-3</v>
      </c>
      <c r="K245" s="23">
        <f>AA245/'Batt IN'!$E$27/730</f>
        <v>1.6027397260273972E-3</v>
      </c>
      <c r="L245" s="23">
        <f>AB245/'Batt IN'!$E$27/730</f>
        <v>2.0547945205479451E-4</v>
      </c>
      <c r="M245" s="23">
        <f>AC245/'Batt IN'!$E$27/730</f>
        <v>4.7945205479452057E-3</v>
      </c>
      <c r="N245" s="23">
        <f>AD245/'Batt IN'!$E$27/730</f>
        <v>3.4246575342465752E-3</v>
      </c>
      <c r="O245" s="12">
        <f t="shared" si="53"/>
        <v>4.3828767123287697E-2</v>
      </c>
      <c r="P245" s="21">
        <f t="shared" si="54"/>
        <v>698.005</v>
      </c>
      <c r="Q245" s="2">
        <f>IF('Batt IN'!$E$27*'Batt IN'!$E$24&lt;='Batt IN'!$E$28,(('Batt IN'!$E$23*'Batt IN'!$E$27*'Batt IN'!$E$24)/1000)*P245,(('Batt IN'!$E$23*'Batt IN'!$E$28*'Batt IN'!$E$24)/1000)*P245)</f>
        <v>11168.08</v>
      </c>
      <c r="R245" s="2"/>
      <c r="S245" s="77">
        <f>IF(C245&lt;='Batt IN'!$G$14*12,'Batt IN'!$E$15/12,0)</f>
        <v>0</v>
      </c>
      <c r="T245" s="77"/>
      <c r="U245" s="80">
        <f>'Batt IN'!$E$28*('Batt IN'!$G$24/24)*730*(1-O245)</f>
        <v>81433.916666666657</v>
      </c>
      <c r="V245" s="78">
        <f>U245*'Batt IN'!$F$30</f>
        <v>16286.783333333333</v>
      </c>
      <c r="W245" s="78">
        <f>'Batt IN'!$E$28*'Batt IN'!$G$32*('Batt IN'!$E$32/12)*(1+'Batt IN'!$F$30)</f>
        <v>1750.0000000000002</v>
      </c>
      <c r="X245" s="78">
        <f>'Batt IN'!$E$28*'Batt IN'!$G$13*('Batt IN'!$E$13/12)*(1+'Batt IN'!$F$30)</f>
        <v>3184.9999999999995</v>
      </c>
      <c r="Y245" s="33">
        <f>S245*'Batt IN'!$G$15*'Batt IN'!$E$28*(1+'Batt IN'!$F$30)</f>
        <v>0</v>
      </c>
      <c r="Z245" s="33">
        <f>'Batt IN'!$G$16*365/12*(1+'Batt IN'!$F$30)</f>
        <v>1824.9999999999998</v>
      </c>
      <c r="AA245" s="33">
        <f>'Batt IN'!$G$17*'Batt IN'!$E$18*'Batt IN'!$G$18/12*(1+'Batt IN'!$F$30)</f>
        <v>1170</v>
      </c>
      <c r="AB245" s="33">
        <f>'Batt IN'!$G$19*'Batt IN'!$E$20*'Batt IN'!$G$20/12*(1+'Batt IN'!$F$30)</f>
        <v>150</v>
      </c>
      <c r="AC245" s="33">
        <f>'Batt IN'!$G$21*(1+'Batt IN'!$F$30)/12</f>
        <v>3500</v>
      </c>
      <c r="AD245" s="33">
        <f>'Batt IN'!$G$22*(1+'Batt IN'!$F$30)/12</f>
        <v>2500</v>
      </c>
      <c r="AE245" s="33">
        <f t="shared" si="66"/>
        <v>30366.783333333333</v>
      </c>
      <c r="AF245" s="33">
        <f>IF('PV IN'!$F$4="Battery Only",0,AE245*'Batt IN'!$E$29)</f>
        <v>25811.765833333331</v>
      </c>
      <c r="AG245" s="33">
        <f>PVCalcs!L245</f>
        <v>25811.765833333331</v>
      </c>
      <c r="AH245" s="33">
        <f t="shared" si="67"/>
        <v>4555.0175000000017</v>
      </c>
      <c r="AI245" s="33"/>
      <c r="AJ245" s="2">
        <f>IF(AND('Batt IN'!$D$53="Yes",$AL$1&gt;=1),IF($C245='Batt IN'!$H$54*12,-'Batt IN'!$F$54,0),0)</f>
        <v>0</v>
      </c>
      <c r="AK245" s="2">
        <f>IF(AND('Batt IN'!$D$53="Yes",$AL$1&gt;=2),IF($C245='Batt IN'!$H$55*12,-'Batt IN'!$F$55,0),0)</f>
        <v>0</v>
      </c>
      <c r="AL245" s="2">
        <f>IF(AND('Batt IN'!$D$53="Yes",$AL$1&gt;=3),IF($C245='Batt IN'!$H$56*12,-'Batt IN'!$F$56,0),0)</f>
        <v>0</v>
      </c>
      <c r="AM245" s="2">
        <f>IF(AND('Batt IN'!$D$53="Yes",$AL$1&gt;=4),IF($C245='Batt IN'!$H$57*12,-'Batt IN'!$F$57,0),0)</f>
        <v>0</v>
      </c>
      <c r="AN245" s="2">
        <f>IF(AND('Batt IN'!$D$53="Yes",$AL$1&gt;=5),IF($C245='Batt IN'!$H$58*12,-'Batt IN'!$F$58,0),0)</f>
        <v>0</v>
      </c>
      <c r="AO245" s="10">
        <f>IF(AND('Batt IN'!$D$44="YES",$C245&lt;='Batt IN'!$E$44*12),-'Batt IN'!$E$28*'Batt IN'!$E$42/12,0)</f>
        <v>0</v>
      </c>
      <c r="AP245" s="10">
        <f>IF(AND('Batt IN'!$D$46="YES",$C245&lt;='Batt IN'!$E$46*12),-'Batt IN'!$E$28*'Batt IN'!$E$45/12,0)</f>
        <v>0</v>
      </c>
      <c r="AR245" s="10">
        <f>BattLoan!M272</f>
        <v>0</v>
      </c>
      <c r="AS245" s="10">
        <f>'Batt IN'!$G$16*365/12*'Batt IN'!$E$16</f>
        <v>76.041666666666671</v>
      </c>
      <c r="AT245" s="10">
        <f>IF(AND('Batt IN'!$E$18&gt;0,'Batt IN'!$G$18&gt;0),'Batt IN'!$E$17*'Batt IN'!$G$17,0)</f>
        <v>119.44619999999999</v>
      </c>
      <c r="AU245" s="10">
        <f>IF(AND('Batt IN'!$E$20&gt;0,'Batt IN'!$G$20&gt;0),'Batt IN'!$E$19*'Batt IN'!$G$19,0)</f>
        <v>231</v>
      </c>
      <c r="AV245" s="10"/>
      <c r="AW245" s="10"/>
      <c r="AX245" s="10">
        <f>IF('Batt IN'!$E$11="Non-Taxable",Q245,0)</f>
        <v>11168.08</v>
      </c>
      <c r="AY245" s="10">
        <f>IF('Batt IN'!$E$11="Non-Taxable",'Batt IN'!$E$28/1000*'Batt IN'!$G$13*('Batt IN'!$E$13/12)*'Batt IN'!$E$12,0)</f>
        <v>244.42220833333334</v>
      </c>
      <c r="AZ245" s="10">
        <f>IF('Batt IN'!$E$11="Non-Taxable",$S245*'Batt IN'!$G$15*'Batt IN'!$E$28*'Batt IN'!$E$14/1000,0)</f>
        <v>0</v>
      </c>
      <c r="BA245" s="10">
        <f>IF('Batt IN'!$E$11="Non-Taxable",'Batt IN'!$E$21*'Batt IN'!$G$21/12,0)</f>
        <v>437.5</v>
      </c>
      <c r="BB245" s="10">
        <f>IF('Batt IN'!$E$11="Non-Taxable",'Batt IN'!$E$22*'Batt IN'!$G$22/12,0)</f>
        <v>1145.8333333333335</v>
      </c>
      <c r="BC245" s="10">
        <f>IF('Batt IN'!$E$11="Taxable",Q245,0)</f>
        <v>0</v>
      </c>
      <c r="BD245" s="10">
        <f>IF('Batt IN'!$E$11="Taxable",'Batt IN'!$E$28/1000*'Batt IN'!$G$13*('Batt IN'!$E$13/12)*'Batt IN'!$E$12,0)</f>
        <v>0</v>
      </c>
      <c r="BE245" s="10">
        <f>IF('Batt IN'!$E$11="Taxable",$S245*'Batt IN'!$G$15*'Batt IN'!$E$28*'Batt IN'!$E$14/1000,0)</f>
        <v>0</v>
      </c>
      <c r="BF245" s="10">
        <f>IF('Batt IN'!$E$11="Taxable",'Batt IN'!$E$21*'Batt IN'!$G$21/12,0)</f>
        <v>0</v>
      </c>
      <c r="BG245" s="10">
        <f>IF('Batt IN'!$E$11="Taxable",'Batt IN'!$E$22*'Batt IN'!$G$22/12,0)</f>
        <v>0</v>
      </c>
      <c r="BK245" s="10">
        <f>IF('Batt IN'!$N$18="Yes",-BattLoan!H273,-BattLoan!L273)</f>
        <v>0</v>
      </c>
      <c r="BL245" s="10">
        <f>IF('Batt IN'!$N$18="Yes",-BattLoan!F273,0)</f>
        <v>0</v>
      </c>
      <c r="BM245" s="10">
        <f>IF(AND('Batt IN'!$D$44="YES",$C245&lt;='Batt IN'!$E$44*12),0,-'Batt IN'!$E$28*'Batt IN'!$E$42/12)</f>
        <v>-83.333333333333329</v>
      </c>
      <c r="BN245" s="10">
        <f>IF(AND('Batt IN'!$D$46="YES",$C245&lt;='Batt IN'!$E$46*12),0,-'Batt IN'!$E$28*'Batt IN'!$E$45/12)</f>
        <v>-166.66666666666666</v>
      </c>
      <c r="BO245" s="2">
        <f>IF(AND('Batt IN'!$D$41="YES",BattCalcs!C245=ROUNDUP('Batt IN'!$H$41*12,)),-'Batt IN'!$E$41*'Batt IN'!$E$28,0)</f>
        <v>0</v>
      </c>
      <c r="BP245" s="2">
        <f>IF(AND('Batt IN'!$D$53="Yes",$AL$1&gt;=1),0,IF($C245='Batt IN'!$H$54*12,-'Batt IN'!$F$54,0))</f>
        <v>0</v>
      </c>
      <c r="BQ245" s="2">
        <f>IF(AND('Batt IN'!$D$53="Yes",$AL$1&gt;=2),0,IF($C245='Batt IN'!$H$55*12,-'Batt IN'!$F$55,0))</f>
        <v>0</v>
      </c>
      <c r="BR245" s="2">
        <f>IF(AND('Batt IN'!$D$53="Yes",$AL$1&gt;=3),0,IF($C245='Batt IN'!$H$56*12,-'Batt IN'!$F$56,0))</f>
        <v>0</v>
      </c>
      <c r="BS245" s="2">
        <f>IF(AND('Batt IN'!$D$53="Yes",$AL$1&gt;=4),0,IF($C245='Batt IN'!$H$57*12,-'Batt IN'!$F$57,0))</f>
        <v>0</v>
      </c>
      <c r="BT245" s="2">
        <f>IF(AND('Batt IN'!$D$53="Yes",$AL$1&gt;=5),0,IF($C245='Batt IN'!$H$58*12,-'Batt IN'!$F$58,0))</f>
        <v>0</v>
      </c>
      <c r="BU245" s="2">
        <f>-AH245*PVCalcs!F245</f>
        <v>-379.78065558809794</v>
      </c>
      <c r="BV245" s="2">
        <f>-'Batt IN'!$E$47</f>
        <v>-150</v>
      </c>
      <c r="BW245" s="2">
        <f>-'Batt IN'!$E$49</f>
        <v>-2250</v>
      </c>
      <c r="BX245" s="2">
        <f>IF('Batt IN'!$H$50="No",-(BC245*'Batt IN'!$E$50),-(BC245+BE245)*'Batt IN'!$E$50)</f>
        <v>0</v>
      </c>
      <c r="BY245" s="2">
        <f>IF(C245='Batt IN'!$H$43*12,-'Batt IN'!$E$43,0)</f>
        <v>0</v>
      </c>
      <c r="BZ245" s="38"/>
      <c r="CA245" s="10">
        <f t="shared" si="51"/>
        <v>13422.323408333334</v>
      </c>
      <c r="CB245" s="2">
        <f t="shared" si="55"/>
        <v>-3029.7806555880979</v>
      </c>
      <c r="CC245" s="45">
        <f t="shared" si="56"/>
        <v>10392.542752745236</v>
      </c>
      <c r="CD245" s="43"/>
      <c r="CE245" s="2">
        <f t="shared" si="52"/>
        <v>0</v>
      </c>
      <c r="CF245" s="2">
        <f t="shared" si="57"/>
        <v>-3029.7806555880979</v>
      </c>
      <c r="CG245" s="2"/>
      <c r="CH245" s="2">
        <f t="shared" si="58"/>
        <v>-3029.7806555880979</v>
      </c>
      <c r="CI245" s="45">
        <f>-CH245*'Batt IN'!$E$7</f>
        <v>636.25393767350056</v>
      </c>
      <c r="CJ245" s="48"/>
      <c r="CK245" s="45">
        <f>IF('Batt IN'!$F$4="PV Only",0,IF(C245&gt;'Batt IN'!$H$43*12,0,CC245+CI245))</f>
        <v>0</v>
      </c>
      <c r="CM245" s="10">
        <f t="shared" si="59"/>
        <v>0</v>
      </c>
      <c r="CN245" s="2">
        <f>CK245/(1+('Batt IN'!$G$8))^(C245)</f>
        <v>0</v>
      </c>
      <c r="CO245" s="2" t="e">
        <f>IF(C245&lt;='Batt IN'!$O$30*12,CN245+CO244,NA())</f>
        <v>#N/A</v>
      </c>
      <c r="CQ245" s="2">
        <f>CK245/((1+('Batt IN'!$E$8/12))^BattCalcs!C245)</f>
        <v>0</v>
      </c>
      <c r="CS245" s="10">
        <f t="shared" si="60"/>
        <v>-3029.7806555880979</v>
      </c>
      <c r="CT245" s="10">
        <f t="shared" si="61"/>
        <v>0</v>
      </c>
      <c r="CU245" s="10">
        <f t="shared" si="62"/>
        <v>-3029.7806555880979</v>
      </c>
      <c r="CV245" s="10">
        <f t="shared" si="63"/>
        <v>-3029.7806555880979</v>
      </c>
      <c r="CW245" s="2">
        <f t="shared" si="64"/>
        <v>0</v>
      </c>
      <c r="CX245" s="2">
        <f>-(SUM(CV245:CW245)*'PV IN'!$E$8)</f>
        <v>636.25393767350056</v>
      </c>
      <c r="CY245" s="2">
        <f t="shared" si="65"/>
        <v>-2393.5267179145976</v>
      </c>
      <c r="CZ245" s="2">
        <f>IF(C245&lt;='Batt IN'!$H$43*12,CY245/(1+('PV IN'!$G$9))^(C245),0)</f>
        <v>-898.43471272634952</v>
      </c>
      <c r="DA245" s="33">
        <f>IF(C245&lt;='Batt IN'!$H$43*12,AE245,0)</f>
        <v>30366.783333333333</v>
      </c>
    </row>
    <row r="246" spans="1:105" x14ac:dyDescent="0.25">
      <c r="A246">
        <f>IF(C246&lt;='Batt IN'!$H$43*12,C246,"")</f>
        <v>242</v>
      </c>
      <c r="C246">
        <v>242</v>
      </c>
      <c r="D246" s="21">
        <v>730</v>
      </c>
      <c r="E246" s="1">
        <f>1-'Batt IN'!$E$31</f>
        <v>2.0000000000000018E-2</v>
      </c>
      <c r="F246" s="12">
        <f>('Batt IN'!$E$33*365)/8760</f>
        <v>0</v>
      </c>
      <c r="G246" s="22">
        <f>'Batt IN'!$E$32/8760</f>
        <v>5.7077625570776253E-3</v>
      </c>
      <c r="H246" s="22">
        <f>'Batt IN'!$E$13/8760</f>
        <v>5.5936073059360729E-3</v>
      </c>
      <c r="I246" s="23">
        <f>IF(C246&lt;='Batt IN'!$G$14*12,'Batt IN'!$E$15/8760*'Batt IN'!$G$15,0)</f>
        <v>0</v>
      </c>
      <c r="J246" s="12">
        <f>Z246/'Batt IN'!$E$27/730</f>
        <v>2.4999999999999996E-3</v>
      </c>
      <c r="K246" s="23">
        <f>AA246/'Batt IN'!$E$27/730</f>
        <v>1.6027397260273972E-3</v>
      </c>
      <c r="L246" s="23">
        <f>AB246/'Batt IN'!$E$27/730</f>
        <v>2.0547945205479451E-4</v>
      </c>
      <c r="M246" s="23">
        <f>AC246/'Batt IN'!$E$27/730</f>
        <v>4.7945205479452057E-3</v>
      </c>
      <c r="N246" s="23">
        <f>AD246/'Batt IN'!$E$27/730</f>
        <v>3.4246575342465752E-3</v>
      </c>
      <c r="O246" s="12">
        <f t="shared" si="53"/>
        <v>4.3828767123287697E-2</v>
      </c>
      <c r="P246" s="21">
        <f t="shared" si="54"/>
        <v>698.005</v>
      </c>
      <c r="Q246" s="2">
        <f>IF('Batt IN'!$E$27*'Batt IN'!$E$24&lt;='Batt IN'!$E$28,(('Batt IN'!$E$23*'Batt IN'!$E$27*'Batt IN'!$E$24)/1000)*P246,(('Batt IN'!$E$23*'Batt IN'!$E$28*'Batt IN'!$E$24)/1000)*P246)</f>
        <v>11168.08</v>
      </c>
      <c r="R246" s="2"/>
      <c r="S246" s="77">
        <f>IF(C246&lt;='Batt IN'!$G$14*12,'Batt IN'!$E$15/12,0)</f>
        <v>0</v>
      </c>
      <c r="T246" s="77"/>
      <c r="U246" s="80">
        <f>'Batt IN'!$E$28*('Batt IN'!$G$24/24)*730*(1-O246)</f>
        <v>81433.916666666657</v>
      </c>
      <c r="V246" s="78">
        <f>U246*'Batt IN'!$F$30</f>
        <v>16286.783333333333</v>
      </c>
      <c r="W246" s="78">
        <f>'Batt IN'!$E$28*'Batt IN'!$G$32*('Batt IN'!$E$32/12)*(1+'Batt IN'!$F$30)</f>
        <v>1750.0000000000002</v>
      </c>
      <c r="X246" s="78">
        <f>'Batt IN'!$E$28*'Batt IN'!$G$13*('Batt IN'!$E$13/12)*(1+'Batt IN'!$F$30)</f>
        <v>3184.9999999999995</v>
      </c>
      <c r="Y246" s="33">
        <f>S246*'Batt IN'!$G$15*'Batt IN'!$E$28*(1+'Batt IN'!$F$30)</f>
        <v>0</v>
      </c>
      <c r="Z246" s="33">
        <f>'Batt IN'!$G$16*365/12*(1+'Batt IN'!$F$30)</f>
        <v>1824.9999999999998</v>
      </c>
      <c r="AA246" s="33">
        <f>'Batt IN'!$G$17*'Batt IN'!$E$18*'Batt IN'!$G$18/12*(1+'Batt IN'!$F$30)</f>
        <v>1170</v>
      </c>
      <c r="AB246" s="33">
        <f>'Batt IN'!$G$19*'Batt IN'!$E$20*'Batt IN'!$G$20/12*(1+'Batt IN'!$F$30)</f>
        <v>150</v>
      </c>
      <c r="AC246" s="33">
        <f>'Batt IN'!$G$21*(1+'Batt IN'!$F$30)/12</f>
        <v>3500</v>
      </c>
      <c r="AD246" s="33">
        <f>'Batt IN'!$G$22*(1+'Batt IN'!$F$30)/12</f>
        <v>2500</v>
      </c>
      <c r="AE246" s="33">
        <f t="shared" si="66"/>
        <v>30366.783333333333</v>
      </c>
      <c r="AF246" s="33">
        <f>IF('PV IN'!$F$4="Battery Only",0,AE246*'Batt IN'!$E$29)</f>
        <v>25811.765833333331</v>
      </c>
      <c r="AG246" s="33">
        <f>PVCalcs!L246</f>
        <v>25811.765833333331</v>
      </c>
      <c r="AH246" s="33">
        <f t="shared" si="67"/>
        <v>4555.0175000000017</v>
      </c>
      <c r="AI246" s="33"/>
      <c r="AJ246" s="2">
        <f>IF(AND('Batt IN'!$D$53="Yes",$AL$1&gt;=1),IF($C246='Batt IN'!$H$54*12,-'Batt IN'!$F$54,0),0)</f>
        <v>0</v>
      </c>
      <c r="AK246" s="2">
        <f>IF(AND('Batt IN'!$D$53="Yes",$AL$1&gt;=2),IF($C246='Batt IN'!$H$55*12,-'Batt IN'!$F$55,0),0)</f>
        <v>0</v>
      </c>
      <c r="AL246" s="2">
        <f>IF(AND('Batt IN'!$D$53="Yes",$AL$1&gt;=3),IF($C246='Batt IN'!$H$56*12,-'Batt IN'!$F$56,0),0)</f>
        <v>0</v>
      </c>
      <c r="AM246" s="2">
        <f>IF(AND('Batt IN'!$D$53="Yes",$AL$1&gt;=4),IF($C246='Batt IN'!$H$57*12,-'Batt IN'!$F$57,0),0)</f>
        <v>0</v>
      </c>
      <c r="AN246" s="2">
        <f>IF(AND('Batt IN'!$D$53="Yes",$AL$1&gt;=5),IF($C246='Batt IN'!$H$58*12,-'Batt IN'!$F$58,0),0)</f>
        <v>0</v>
      </c>
      <c r="AO246" s="10">
        <f>IF(AND('Batt IN'!$D$44="YES",$C246&lt;='Batt IN'!$E$44*12),-'Batt IN'!$E$28*'Batt IN'!$E$42/12,0)</f>
        <v>0</v>
      </c>
      <c r="AP246" s="10">
        <f>IF(AND('Batt IN'!$D$46="YES",$C246&lt;='Batt IN'!$E$46*12),-'Batt IN'!$E$28*'Batt IN'!$E$45/12,0)</f>
        <v>0</v>
      </c>
      <c r="AR246" s="10">
        <f>BattLoan!M273</f>
        <v>0</v>
      </c>
      <c r="AS246" s="10">
        <f>'Batt IN'!$G$16*365/12*'Batt IN'!$E$16</f>
        <v>76.041666666666671</v>
      </c>
      <c r="AT246" s="10">
        <f>IF(AND('Batt IN'!$E$18&gt;0,'Batt IN'!$G$18&gt;0),'Batt IN'!$E$17*'Batt IN'!$G$17,0)</f>
        <v>119.44619999999999</v>
      </c>
      <c r="AU246" s="10">
        <f>IF(AND('Batt IN'!$E$20&gt;0,'Batt IN'!$G$20&gt;0),'Batt IN'!$E$19*'Batt IN'!$G$19,0)</f>
        <v>231</v>
      </c>
      <c r="AV246" s="10"/>
      <c r="AW246" s="10"/>
      <c r="AX246" s="10">
        <f>IF('Batt IN'!$E$11="Non-Taxable",Q246,0)</f>
        <v>11168.08</v>
      </c>
      <c r="AY246" s="10">
        <f>IF('Batt IN'!$E$11="Non-Taxable",'Batt IN'!$E$28/1000*'Batt IN'!$G$13*('Batt IN'!$E$13/12)*'Batt IN'!$E$12,0)</f>
        <v>244.42220833333334</v>
      </c>
      <c r="AZ246" s="10">
        <f>IF('Batt IN'!$E$11="Non-Taxable",$S246*'Batt IN'!$G$15*'Batt IN'!$E$28*'Batt IN'!$E$14/1000,0)</f>
        <v>0</v>
      </c>
      <c r="BA246" s="10">
        <f>IF('Batt IN'!$E$11="Non-Taxable",'Batt IN'!$E$21*'Batt IN'!$G$21/12,0)</f>
        <v>437.5</v>
      </c>
      <c r="BB246" s="10">
        <f>IF('Batt IN'!$E$11="Non-Taxable",'Batt IN'!$E$22*'Batt IN'!$G$22/12,0)</f>
        <v>1145.8333333333335</v>
      </c>
      <c r="BC246" s="10">
        <f>IF('Batt IN'!$E$11="Taxable",Q246,0)</f>
        <v>0</v>
      </c>
      <c r="BD246" s="10">
        <f>IF('Batt IN'!$E$11="Taxable",'Batt IN'!$E$28/1000*'Batt IN'!$G$13*('Batt IN'!$E$13/12)*'Batt IN'!$E$12,0)</f>
        <v>0</v>
      </c>
      <c r="BE246" s="10">
        <f>IF('Batt IN'!$E$11="Taxable",$S246*'Batt IN'!$G$15*'Batt IN'!$E$28*'Batt IN'!$E$14/1000,0)</f>
        <v>0</v>
      </c>
      <c r="BF246" s="10">
        <f>IF('Batt IN'!$E$11="Taxable",'Batt IN'!$E$21*'Batt IN'!$G$21/12,0)</f>
        <v>0</v>
      </c>
      <c r="BG246" s="10">
        <f>IF('Batt IN'!$E$11="Taxable",'Batt IN'!$E$22*'Batt IN'!$G$22/12,0)</f>
        <v>0</v>
      </c>
      <c r="BK246" s="10">
        <f>IF('Batt IN'!$N$18="Yes",-BattLoan!H274,-BattLoan!L274)</f>
        <v>0</v>
      </c>
      <c r="BL246" s="10">
        <f>IF('Batt IN'!$N$18="Yes",-BattLoan!F274,0)</f>
        <v>0</v>
      </c>
      <c r="BM246" s="10">
        <f>IF(AND('Batt IN'!$D$44="YES",$C246&lt;='Batt IN'!$E$44*12),0,-'Batt IN'!$E$28*'Batt IN'!$E$42/12)</f>
        <v>-83.333333333333329</v>
      </c>
      <c r="BN246" s="10">
        <f>IF(AND('Batt IN'!$D$46="YES",$C246&lt;='Batt IN'!$E$46*12),0,-'Batt IN'!$E$28*'Batt IN'!$E$45/12)</f>
        <v>-166.66666666666666</v>
      </c>
      <c r="BO246" s="2">
        <f>IF(AND('Batt IN'!$D$41="YES",BattCalcs!C246=ROUNDUP('Batt IN'!$H$41*12,)),-'Batt IN'!$E$41*'Batt IN'!$E$28,0)</f>
        <v>0</v>
      </c>
      <c r="BP246" s="2">
        <f>IF(AND('Batt IN'!$D$53="Yes",$AL$1&gt;=1),0,IF($C246='Batt IN'!$H$54*12,-'Batt IN'!$F$54,0))</f>
        <v>0</v>
      </c>
      <c r="BQ246" s="2">
        <f>IF(AND('Batt IN'!$D$53="Yes",$AL$1&gt;=2),0,IF($C246='Batt IN'!$H$55*12,-'Batt IN'!$F$55,0))</f>
        <v>0</v>
      </c>
      <c r="BR246" s="2">
        <f>IF(AND('Batt IN'!$D$53="Yes",$AL$1&gt;=3),0,IF($C246='Batt IN'!$H$56*12,-'Batt IN'!$F$56,0))</f>
        <v>0</v>
      </c>
      <c r="BS246" s="2">
        <f>IF(AND('Batt IN'!$D$53="Yes",$AL$1&gt;=4),0,IF($C246='Batt IN'!$H$57*12,-'Batt IN'!$F$57,0))</f>
        <v>0</v>
      </c>
      <c r="BT246" s="2">
        <f>IF(AND('Batt IN'!$D$53="Yes",$AL$1&gt;=5),0,IF($C246='Batt IN'!$H$58*12,-'Batt IN'!$F$58,0))</f>
        <v>0</v>
      </c>
      <c r="BU246" s="2">
        <f>-AH246*PVCalcs!F246</f>
        <v>-379.78065558809794</v>
      </c>
      <c r="BV246" s="2">
        <f>-'Batt IN'!$E$47</f>
        <v>-150</v>
      </c>
      <c r="BW246" s="2">
        <f>-'Batt IN'!$E$49</f>
        <v>-2250</v>
      </c>
      <c r="BX246" s="2">
        <f>IF('Batt IN'!$H$50="No",-(BC246*'Batt IN'!$E$50),-(BC246+BE246)*'Batt IN'!$E$50)</f>
        <v>0</v>
      </c>
      <c r="BY246" s="2">
        <f>IF(C246='Batt IN'!$H$43*12,-'Batt IN'!$E$43,0)</f>
        <v>0</v>
      </c>
      <c r="BZ246" s="38"/>
      <c r="CA246" s="10">
        <f t="shared" si="51"/>
        <v>13422.323408333334</v>
      </c>
      <c r="CB246" s="2">
        <f t="shared" si="55"/>
        <v>-3029.7806555880979</v>
      </c>
      <c r="CC246" s="45">
        <f t="shared" si="56"/>
        <v>10392.542752745236</v>
      </c>
      <c r="CD246" s="43"/>
      <c r="CE246" s="2">
        <f t="shared" si="52"/>
        <v>0</v>
      </c>
      <c r="CF246" s="2">
        <f t="shared" si="57"/>
        <v>-3029.7806555880979</v>
      </c>
      <c r="CG246" s="2"/>
      <c r="CH246" s="2">
        <f t="shared" si="58"/>
        <v>-3029.7806555880979</v>
      </c>
      <c r="CI246" s="45">
        <f>-CH246*'Batt IN'!$E$7</f>
        <v>636.25393767350056</v>
      </c>
      <c r="CJ246" s="48"/>
      <c r="CK246" s="45">
        <f>IF('Batt IN'!$F$4="PV Only",0,IF(C246&gt;'Batt IN'!$H$43*12,0,CC246+CI246))</f>
        <v>0</v>
      </c>
      <c r="CM246" s="10">
        <f t="shared" si="59"/>
        <v>0</v>
      </c>
      <c r="CN246" s="2">
        <f>CK246/(1+('Batt IN'!$G$8))^(C246)</f>
        <v>0</v>
      </c>
      <c r="CO246" s="2" t="e">
        <f>IF(C246&lt;='Batt IN'!$O$30*12,CN246+CO245,NA())</f>
        <v>#N/A</v>
      </c>
      <c r="CQ246" s="2">
        <f>CK246/((1+('Batt IN'!$E$8/12))^BattCalcs!C246)</f>
        <v>0</v>
      </c>
      <c r="CS246" s="10">
        <f t="shared" si="60"/>
        <v>-3029.7806555880979</v>
      </c>
      <c r="CT246" s="10">
        <f t="shared" si="61"/>
        <v>0</v>
      </c>
      <c r="CU246" s="10">
        <f t="shared" si="62"/>
        <v>-3029.7806555880979</v>
      </c>
      <c r="CV246" s="10">
        <f t="shared" si="63"/>
        <v>-3029.7806555880979</v>
      </c>
      <c r="CW246" s="2">
        <f t="shared" si="64"/>
        <v>0</v>
      </c>
      <c r="CX246" s="2">
        <f>-(SUM(CV246:CW246)*'PV IN'!$E$8)</f>
        <v>636.25393767350056</v>
      </c>
      <c r="CY246" s="2">
        <f t="shared" si="65"/>
        <v>-2393.5267179145976</v>
      </c>
      <c r="CZ246" s="2">
        <f>IF(C246&lt;='Batt IN'!$H$43*12,CY246/(1+('PV IN'!$G$9))^(C246),0)</f>
        <v>-894.78923064044477</v>
      </c>
      <c r="DA246" s="33">
        <f>IF(C246&lt;='Batt IN'!$H$43*12,AE246,0)</f>
        <v>30366.783333333333</v>
      </c>
    </row>
    <row r="247" spans="1:105" x14ac:dyDescent="0.25">
      <c r="A247">
        <f>IF(C247&lt;='Batt IN'!$H$43*12,C247,"")</f>
        <v>243</v>
      </c>
      <c r="C247">
        <v>243</v>
      </c>
      <c r="D247" s="21">
        <v>730</v>
      </c>
      <c r="E247" s="1">
        <f>1-'Batt IN'!$E$31</f>
        <v>2.0000000000000018E-2</v>
      </c>
      <c r="F247" s="12">
        <f>('Batt IN'!$E$33*365)/8760</f>
        <v>0</v>
      </c>
      <c r="G247" s="22">
        <f>'Batt IN'!$E$32/8760</f>
        <v>5.7077625570776253E-3</v>
      </c>
      <c r="H247" s="22">
        <f>'Batt IN'!$E$13/8760</f>
        <v>5.5936073059360729E-3</v>
      </c>
      <c r="I247" s="23">
        <f>IF(C247&lt;='Batt IN'!$G$14*12,'Batt IN'!$E$15/8760*'Batt IN'!$G$15,0)</f>
        <v>0</v>
      </c>
      <c r="J247" s="12">
        <f>Z247/'Batt IN'!$E$27/730</f>
        <v>2.4999999999999996E-3</v>
      </c>
      <c r="K247" s="23">
        <f>AA247/'Batt IN'!$E$27/730</f>
        <v>1.6027397260273972E-3</v>
      </c>
      <c r="L247" s="23">
        <f>AB247/'Batt IN'!$E$27/730</f>
        <v>2.0547945205479451E-4</v>
      </c>
      <c r="M247" s="23">
        <f>AC247/'Batt IN'!$E$27/730</f>
        <v>4.7945205479452057E-3</v>
      </c>
      <c r="N247" s="23">
        <f>AD247/'Batt IN'!$E$27/730</f>
        <v>3.4246575342465752E-3</v>
      </c>
      <c r="O247" s="12">
        <f t="shared" si="53"/>
        <v>4.3828767123287697E-2</v>
      </c>
      <c r="P247" s="21">
        <f t="shared" si="54"/>
        <v>698.005</v>
      </c>
      <c r="Q247" s="2">
        <f>IF('Batt IN'!$E$27*'Batt IN'!$E$24&lt;='Batt IN'!$E$28,(('Batt IN'!$E$23*'Batt IN'!$E$27*'Batt IN'!$E$24)/1000)*P247,(('Batt IN'!$E$23*'Batt IN'!$E$28*'Batt IN'!$E$24)/1000)*P247)</f>
        <v>11168.08</v>
      </c>
      <c r="R247" s="2"/>
      <c r="S247" s="77">
        <f>IF(C247&lt;='Batt IN'!$G$14*12,'Batt IN'!$E$15/12,0)</f>
        <v>0</v>
      </c>
      <c r="T247" s="77"/>
      <c r="U247" s="80">
        <f>'Batt IN'!$E$28*('Batt IN'!$G$24/24)*730*(1-O247)</f>
        <v>81433.916666666657</v>
      </c>
      <c r="V247" s="78">
        <f>U247*'Batt IN'!$F$30</f>
        <v>16286.783333333333</v>
      </c>
      <c r="W247" s="78">
        <f>'Batt IN'!$E$28*'Batt IN'!$G$32*('Batt IN'!$E$32/12)*(1+'Batt IN'!$F$30)</f>
        <v>1750.0000000000002</v>
      </c>
      <c r="X247" s="78">
        <f>'Batt IN'!$E$28*'Batt IN'!$G$13*('Batt IN'!$E$13/12)*(1+'Batt IN'!$F$30)</f>
        <v>3184.9999999999995</v>
      </c>
      <c r="Y247" s="33">
        <f>S247*'Batt IN'!$G$15*'Batt IN'!$E$28*(1+'Batt IN'!$F$30)</f>
        <v>0</v>
      </c>
      <c r="Z247" s="33">
        <f>'Batt IN'!$G$16*365/12*(1+'Batt IN'!$F$30)</f>
        <v>1824.9999999999998</v>
      </c>
      <c r="AA247" s="33">
        <f>'Batt IN'!$G$17*'Batt IN'!$E$18*'Batt IN'!$G$18/12*(1+'Batt IN'!$F$30)</f>
        <v>1170</v>
      </c>
      <c r="AB247" s="33">
        <f>'Batt IN'!$G$19*'Batt IN'!$E$20*'Batt IN'!$G$20/12*(1+'Batt IN'!$F$30)</f>
        <v>150</v>
      </c>
      <c r="AC247" s="33">
        <f>'Batt IN'!$G$21*(1+'Batt IN'!$F$30)/12</f>
        <v>3500</v>
      </c>
      <c r="AD247" s="33">
        <f>'Batt IN'!$G$22*(1+'Batt IN'!$F$30)/12</f>
        <v>2500</v>
      </c>
      <c r="AE247" s="33">
        <f t="shared" si="66"/>
        <v>30366.783333333333</v>
      </c>
      <c r="AF247" s="33">
        <f>IF('PV IN'!$F$4="Battery Only",0,AE247*'Batt IN'!$E$29)</f>
        <v>25811.765833333331</v>
      </c>
      <c r="AG247" s="33">
        <f>PVCalcs!L247</f>
        <v>25811.765833333331</v>
      </c>
      <c r="AH247" s="33">
        <f t="shared" si="67"/>
        <v>4555.0175000000017</v>
      </c>
      <c r="AI247" s="33"/>
      <c r="AJ247" s="2">
        <f>IF(AND('Batt IN'!$D$53="Yes",$AL$1&gt;=1),IF($C247='Batt IN'!$H$54*12,-'Batt IN'!$F$54,0),0)</f>
        <v>0</v>
      </c>
      <c r="AK247" s="2">
        <f>IF(AND('Batt IN'!$D$53="Yes",$AL$1&gt;=2),IF($C247='Batt IN'!$H$55*12,-'Batt IN'!$F$55,0),0)</f>
        <v>0</v>
      </c>
      <c r="AL247" s="2">
        <f>IF(AND('Batt IN'!$D$53="Yes",$AL$1&gt;=3),IF($C247='Batt IN'!$H$56*12,-'Batt IN'!$F$56,0),0)</f>
        <v>0</v>
      </c>
      <c r="AM247" s="2">
        <f>IF(AND('Batt IN'!$D$53="Yes",$AL$1&gt;=4),IF($C247='Batt IN'!$H$57*12,-'Batt IN'!$F$57,0),0)</f>
        <v>0</v>
      </c>
      <c r="AN247" s="2">
        <f>IF(AND('Batt IN'!$D$53="Yes",$AL$1&gt;=5),IF($C247='Batt IN'!$H$58*12,-'Batt IN'!$F$58,0),0)</f>
        <v>0</v>
      </c>
      <c r="AO247" s="10">
        <f>IF(AND('Batt IN'!$D$44="YES",$C247&lt;='Batt IN'!$E$44*12),-'Batt IN'!$E$28*'Batt IN'!$E$42/12,0)</f>
        <v>0</v>
      </c>
      <c r="AP247" s="10">
        <f>IF(AND('Batt IN'!$D$46="YES",$C247&lt;='Batt IN'!$E$46*12),-'Batt IN'!$E$28*'Batt IN'!$E$45/12,0)</f>
        <v>0</v>
      </c>
      <c r="AR247" s="10">
        <f>BattLoan!M274</f>
        <v>0</v>
      </c>
      <c r="AS247" s="10">
        <f>'Batt IN'!$G$16*365/12*'Batt IN'!$E$16</f>
        <v>76.041666666666671</v>
      </c>
      <c r="AT247" s="10">
        <f>IF(AND('Batt IN'!$E$18&gt;0,'Batt IN'!$G$18&gt;0),'Batt IN'!$E$17*'Batt IN'!$G$17,0)</f>
        <v>119.44619999999999</v>
      </c>
      <c r="AU247" s="10">
        <f>IF(AND('Batt IN'!$E$20&gt;0,'Batt IN'!$G$20&gt;0),'Batt IN'!$E$19*'Batt IN'!$G$19,0)</f>
        <v>231</v>
      </c>
      <c r="AV247" s="10"/>
      <c r="AW247" s="10"/>
      <c r="AX247" s="10">
        <f>IF('Batt IN'!$E$11="Non-Taxable",Q247,0)</f>
        <v>11168.08</v>
      </c>
      <c r="AY247" s="10">
        <f>IF('Batt IN'!$E$11="Non-Taxable",'Batt IN'!$E$28/1000*'Batt IN'!$G$13*('Batt IN'!$E$13/12)*'Batt IN'!$E$12,0)</f>
        <v>244.42220833333334</v>
      </c>
      <c r="AZ247" s="10">
        <f>IF('Batt IN'!$E$11="Non-Taxable",$S247*'Batt IN'!$G$15*'Batt IN'!$E$28*'Batt IN'!$E$14/1000,0)</f>
        <v>0</v>
      </c>
      <c r="BA247" s="10">
        <f>IF('Batt IN'!$E$11="Non-Taxable",'Batt IN'!$E$21*'Batt IN'!$G$21/12,0)</f>
        <v>437.5</v>
      </c>
      <c r="BB247" s="10">
        <f>IF('Batt IN'!$E$11="Non-Taxable",'Batt IN'!$E$22*'Batt IN'!$G$22/12,0)</f>
        <v>1145.8333333333335</v>
      </c>
      <c r="BC247" s="10">
        <f>IF('Batt IN'!$E$11="Taxable",Q247,0)</f>
        <v>0</v>
      </c>
      <c r="BD247" s="10">
        <f>IF('Batt IN'!$E$11="Taxable",'Batt IN'!$E$28/1000*'Batt IN'!$G$13*('Batt IN'!$E$13/12)*'Batt IN'!$E$12,0)</f>
        <v>0</v>
      </c>
      <c r="BE247" s="10">
        <f>IF('Batt IN'!$E$11="Taxable",$S247*'Batt IN'!$G$15*'Batt IN'!$E$28*'Batt IN'!$E$14/1000,0)</f>
        <v>0</v>
      </c>
      <c r="BF247" s="10">
        <f>IF('Batt IN'!$E$11="Taxable",'Batt IN'!$E$21*'Batt IN'!$G$21/12,0)</f>
        <v>0</v>
      </c>
      <c r="BG247" s="10">
        <f>IF('Batt IN'!$E$11="Taxable",'Batt IN'!$E$22*'Batt IN'!$G$22/12,0)</f>
        <v>0</v>
      </c>
      <c r="BK247" s="10">
        <f>IF('Batt IN'!$N$18="Yes",-BattLoan!H275,-BattLoan!L275)</f>
        <v>0</v>
      </c>
      <c r="BL247" s="10">
        <f>IF('Batt IN'!$N$18="Yes",-BattLoan!F275,0)</f>
        <v>0</v>
      </c>
      <c r="BM247" s="10">
        <f>IF(AND('Batt IN'!$D$44="YES",$C247&lt;='Batt IN'!$E$44*12),0,-'Batt IN'!$E$28*'Batt IN'!$E$42/12)</f>
        <v>-83.333333333333329</v>
      </c>
      <c r="BN247" s="10">
        <f>IF(AND('Batt IN'!$D$46="YES",$C247&lt;='Batt IN'!$E$46*12),0,-'Batt IN'!$E$28*'Batt IN'!$E$45/12)</f>
        <v>-166.66666666666666</v>
      </c>
      <c r="BO247" s="2">
        <f>IF(AND('Batt IN'!$D$41="YES",BattCalcs!C247=ROUNDUP('Batt IN'!$H$41*12,)),-'Batt IN'!$E$41*'Batt IN'!$E$28,0)</f>
        <v>0</v>
      </c>
      <c r="BP247" s="2">
        <f>IF(AND('Batt IN'!$D$53="Yes",$AL$1&gt;=1),0,IF($C247='Batt IN'!$H$54*12,-'Batt IN'!$F$54,0))</f>
        <v>0</v>
      </c>
      <c r="BQ247" s="2">
        <f>IF(AND('Batt IN'!$D$53="Yes",$AL$1&gt;=2),0,IF($C247='Batt IN'!$H$55*12,-'Batt IN'!$F$55,0))</f>
        <v>0</v>
      </c>
      <c r="BR247" s="2">
        <f>IF(AND('Batt IN'!$D$53="Yes",$AL$1&gt;=3),0,IF($C247='Batt IN'!$H$56*12,-'Batt IN'!$F$56,0))</f>
        <v>0</v>
      </c>
      <c r="BS247" s="2">
        <f>IF(AND('Batt IN'!$D$53="Yes",$AL$1&gt;=4),0,IF($C247='Batt IN'!$H$57*12,-'Batt IN'!$F$57,0))</f>
        <v>0</v>
      </c>
      <c r="BT247" s="2">
        <f>IF(AND('Batt IN'!$D$53="Yes",$AL$1&gt;=5),0,IF($C247='Batt IN'!$H$58*12,-'Batt IN'!$F$58,0))</f>
        <v>0</v>
      </c>
      <c r="BU247" s="2">
        <f>-AH247*PVCalcs!F247</f>
        <v>-379.78065558809794</v>
      </c>
      <c r="BV247" s="2">
        <f>-'Batt IN'!$E$47</f>
        <v>-150</v>
      </c>
      <c r="BW247" s="2">
        <f>-'Batt IN'!$E$49</f>
        <v>-2250</v>
      </c>
      <c r="BX247" s="2">
        <f>IF('Batt IN'!$H$50="No",-(BC247*'Batt IN'!$E$50),-(BC247+BE247)*'Batt IN'!$E$50)</f>
        <v>0</v>
      </c>
      <c r="BY247" s="2">
        <f>IF(C247='Batt IN'!$H$43*12,-'Batt IN'!$E$43,0)</f>
        <v>0</v>
      </c>
      <c r="BZ247" s="38"/>
      <c r="CA247" s="10">
        <f t="shared" si="51"/>
        <v>13422.323408333334</v>
      </c>
      <c r="CB247" s="2">
        <f t="shared" si="55"/>
        <v>-3029.7806555880979</v>
      </c>
      <c r="CC247" s="45">
        <f t="shared" si="56"/>
        <v>10392.542752745236</v>
      </c>
      <c r="CD247" s="43"/>
      <c r="CE247" s="2">
        <f t="shared" si="52"/>
        <v>0</v>
      </c>
      <c r="CF247" s="2">
        <f t="shared" si="57"/>
        <v>-3029.7806555880979</v>
      </c>
      <c r="CG247" s="2"/>
      <c r="CH247" s="2">
        <f t="shared" si="58"/>
        <v>-3029.7806555880979</v>
      </c>
      <c r="CI247" s="45">
        <f>-CH247*'Batt IN'!$E$7</f>
        <v>636.25393767350056</v>
      </c>
      <c r="CJ247" s="48"/>
      <c r="CK247" s="45">
        <f>IF('Batt IN'!$F$4="PV Only",0,IF(C247&gt;'Batt IN'!$H$43*12,0,CC247+CI247))</f>
        <v>0</v>
      </c>
      <c r="CM247" s="10">
        <f t="shared" si="59"/>
        <v>0</v>
      </c>
      <c r="CN247" s="2">
        <f>CK247/(1+('Batt IN'!$G$8))^(C247)</f>
        <v>0</v>
      </c>
      <c r="CO247" s="2" t="e">
        <f>IF(C247&lt;='Batt IN'!$O$30*12,CN247+CO246,NA())</f>
        <v>#N/A</v>
      </c>
      <c r="CQ247" s="2">
        <f>CK247/((1+('Batt IN'!$E$8/12))^BattCalcs!C247)</f>
        <v>0</v>
      </c>
      <c r="CS247" s="10">
        <f t="shared" si="60"/>
        <v>-3029.7806555880979</v>
      </c>
      <c r="CT247" s="10">
        <f t="shared" si="61"/>
        <v>0</v>
      </c>
      <c r="CU247" s="10">
        <f t="shared" si="62"/>
        <v>-3029.7806555880979</v>
      </c>
      <c r="CV247" s="10">
        <f t="shared" si="63"/>
        <v>-3029.7806555880979</v>
      </c>
      <c r="CW247" s="2">
        <f t="shared" si="64"/>
        <v>0</v>
      </c>
      <c r="CX247" s="2">
        <f>-(SUM(CV247:CW247)*'PV IN'!$E$8)</f>
        <v>636.25393767350056</v>
      </c>
      <c r="CY247" s="2">
        <f t="shared" si="65"/>
        <v>-2393.5267179145976</v>
      </c>
      <c r="CZ247" s="2">
        <f>IF(C247&lt;='Batt IN'!$H$43*12,CY247/(1+('PV IN'!$G$9))^(C247),0)</f>
        <v>-891.15854043585375</v>
      </c>
      <c r="DA247" s="33">
        <f>IF(C247&lt;='Batt IN'!$H$43*12,AE247,0)</f>
        <v>30366.783333333333</v>
      </c>
    </row>
    <row r="248" spans="1:105" x14ac:dyDescent="0.25">
      <c r="A248">
        <f>IF(C248&lt;='Batt IN'!$H$43*12,C248,"")</f>
        <v>244</v>
      </c>
      <c r="C248">
        <v>244</v>
      </c>
      <c r="D248" s="21">
        <v>730</v>
      </c>
      <c r="E248" s="1">
        <f>1-'Batt IN'!$E$31</f>
        <v>2.0000000000000018E-2</v>
      </c>
      <c r="F248" s="12">
        <f>('Batt IN'!$E$33*365)/8760</f>
        <v>0</v>
      </c>
      <c r="G248" s="22">
        <f>'Batt IN'!$E$32/8760</f>
        <v>5.7077625570776253E-3</v>
      </c>
      <c r="H248" s="22">
        <f>'Batt IN'!$E$13/8760</f>
        <v>5.5936073059360729E-3</v>
      </c>
      <c r="I248" s="23">
        <f>IF(C248&lt;='Batt IN'!$G$14*12,'Batt IN'!$E$15/8760*'Batt IN'!$G$15,0)</f>
        <v>0</v>
      </c>
      <c r="J248" s="12">
        <f>Z248/'Batt IN'!$E$27/730</f>
        <v>2.4999999999999996E-3</v>
      </c>
      <c r="K248" s="23">
        <f>AA248/'Batt IN'!$E$27/730</f>
        <v>1.6027397260273972E-3</v>
      </c>
      <c r="L248" s="23">
        <f>AB248/'Batt IN'!$E$27/730</f>
        <v>2.0547945205479451E-4</v>
      </c>
      <c r="M248" s="23">
        <f>AC248/'Batt IN'!$E$27/730</f>
        <v>4.7945205479452057E-3</v>
      </c>
      <c r="N248" s="23">
        <f>AD248/'Batt IN'!$E$27/730</f>
        <v>3.4246575342465752E-3</v>
      </c>
      <c r="O248" s="12">
        <f t="shared" si="53"/>
        <v>4.3828767123287697E-2</v>
      </c>
      <c r="P248" s="21">
        <f t="shared" si="54"/>
        <v>698.005</v>
      </c>
      <c r="Q248" s="2">
        <f>IF('Batt IN'!$E$27*'Batt IN'!$E$24&lt;='Batt IN'!$E$28,(('Batt IN'!$E$23*'Batt IN'!$E$27*'Batt IN'!$E$24)/1000)*P248,(('Batt IN'!$E$23*'Batt IN'!$E$28*'Batt IN'!$E$24)/1000)*P248)</f>
        <v>11168.08</v>
      </c>
      <c r="R248" s="2"/>
      <c r="S248" s="77">
        <f>IF(C248&lt;='Batt IN'!$G$14*12,'Batt IN'!$E$15/12,0)</f>
        <v>0</v>
      </c>
      <c r="T248" s="77"/>
      <c r="U248" s="80">
        <f>'Batt IN'!$E$28*('Batt IN'!$G$24/24)*730*(1-O248)</f>
        <v>81433.916666666657</v>
      </c>
      <c r="V248" s="78">
        <f>U248*'Batt IN'!$F$30</f>
        <v>16286.783333333333</v>
      </c>
      <c r="W248" s="78">
        <f>'Batt IN'!$E$28*'Batt IN'!$G$32*('Batt IN'!$E$32/12)*(1+'Batt IN'!$F$30)</f>
        <v>1750.0000000000002</v>
      </c>
      <c r="X248" s="78">
        <f>'Batt IN'!$E$28*'Batt IN'!$G$13*('Batt IN'!$E$13/12)*(1+'Batt IN'!$F$30)</f>
        <v>3184.9999999999995</v>
      </c>
      <c r="Y248" s="33">
        <f>S248*'Batt IN'!$G$15*'Batt IN'!$E$28*(1+'Batt IN'!$F$30)</f>
        <v>0</v>
      </c>
      <c r="Z248" s="33">
        <f>'Batt IN'!$G$16*365/12*(1+'Batt IN'!$F$30)</f>
        <v>1824.9999999999998</v>
      </c>
      <c r="AA248" s="33">
        <f>'Batt IN'!$G$17*'Batt IN'!$E$18*'Batt IN'!$G$18/12*(1+'Batt IN'!$F$30)</f>
        <v>1170</v>
      </c>
      <c r="AB248" s="33">
        <f>'Batt IN'!$G$19*'Batt IN'!$E$20*'Batt IN'!$G$20/12*(1+'Batt IN'!$F$30)</f>
        <v>150</v>
      </c>
      <c r="AC248" s="33">
        <f>'Batt IN'!$G$21*(1+'Batt IN'!$F$30)/12</f>
        <v>3500</v>
      </c>
      <c r="AD248" s="33">
        <f>'Batt IN'!$G$22*(1+'Batt IN'!$F$30)/12</f>
        <v>2500</v>
      </c>
      <c r="AE248" s="33">
        <f t="shared" si="66"/>
        <v>30366.783333333333</v>
      </c>
      <c r="AF248" s="33">
        <f>IF('PV IN'!$F$4="Battery Only",0,AE248*'Batt IN'!$E$29)</f>
        <v>25811.765833333331</v>
      </c>
      <c r="AG248" s="33">
        <f>PVCalcs!L248</f>
        <v>25811.765833333331</v>
      </c>
      <c r="AH248" s="33">
        <f t="shared" si="67"/>
        <v>4555.0175000000017</v>
      </c>
      <c r="AI248" s="33"/>
      <c r="AJ248" s="2">
        <f>IF(AND('Batt IN'!$D$53="Yes",$AL$1&gt;=1),IF($C248='Batt IN'!$H$54*12,-'Batt IN'!$F$54,0),0)</f>
        <v>0</v>
      </c>
      <c r="AK248" s="2">
        <f>IF(AND('Batt IN'!$D$53="Yes",$AL$1&gt;=2),IF($C248='Batt IN'!$H$55*12,-'Batt IN'!$F$55,0),0)</f>
        <v>0</v>
      </c>
      <c r="AL248" s="2">
        <f>IF(AND('Batt IN'!$D$53="Yes",$AL$1&gt;=3),IF($C248='Batt IN'!$H$56*12,-'Batt IN'!$F$56,0),0)</f>
        <v>0</v>
      </c>
      <c r="AM248" s="2">
        <f>IF(AND('Batt IN'!$D$53="Yes",$AL$1&gt;=4),IF($C248='Batt IN'!$H$57*12,-'Batt IN'!$F$57,0),0)</f>
        <v>0</v>
      </c>
      <c r="AN248" s="2">
        <f>IF(AND('Batt IN'!$D$53="Yes",$AL$1&gt;=5),IF($C248='Batt IN'!$H$58*12,-'Batt IN'!$F$58,0),0)</f>
        <v>0</v>
      </c>
      <c r="AO248" s="10">
        <f>IF(AND('Batt IN'!$D$44="YES",$C248&lt;='Batt IN'!$E$44*12),-'Batt IN'!$E$28*'Batt IN'!$E$42/12,0)</f>
        <v>0</v>
      </c>
      <c r="AP248" s="10">
        <f>IF(AND('Batt IN'!$D$46="YES",$C248&lt;='Batt IN'!$E$46*12),-'Batt IN'!$E$28*'Batt IN'!$E$45/12,0)</f>
        <v>0</v>
      </c>
      <c r="AR248" s="10">
        <f>BattLoan!M275</f>
        <v>0</v>
      </c>
      <c r="AS248" s="10">
        <f>'Batt IN'!$G$16*365/12*'Batt IN'!$E$16</f>
        <v>76.041666666666671</v>
      </c>
      <c r="AT248" s="10">
        <f>IF(AND('Batt IN'!$E$18&gt;0,'Batt IN'!$G$18&gt;0),'Batt IN'!$E$17*'Batt IN'!$G$17,0)</f>
        <v>119.44619999999999</v>
      </c>
      <c r="AU248" s="10">
        <f>IF(AND('Batt IN'!$E$20&gt;0,'Batt IN'!$G$20&gt;0),'Batt IN'!$E$19*'Batt IN'!$G$19,0)</f>
        <v>231</v>
      </c>
      <c r="AV248" s="10"/>
      <c r="AW248" s="10"/>
      <c r="AX248" s="10">
        <f>IF('Batt IN'!$E$11="Non-Taxable",Q248,0)</f>
        <v>11168.08</v>
      </c>
      <c r="AY248" s="10">
        <f>IF('Batt IN'!$E$11="Non-Taxable",'Batt IN'!$E$28/1000*'Batt IN'!$G$13*('Batt IN'!$E$13/12)*'Batt IN'!$E$12,0)</f>
        <v>244.42220833333334</v>
      </c>
      <c r="AZ248" s="10">
        <f>IF('Batt IN'!$E$11="Non-Taxable",$S248*'Batt IN'!$G$15*'Batt IN'!$E$28*'Batt IN'!$E$14/1000,0)</f>
        <v>0</v>
      </c>
      <c r="BA248" s="10">
        <f>IF('Batt IN'!$E$11="Non-Taxable",'Batt IN'!$E$21*'Batt IN'!$G$21/12,0)</f>
        <v>437.5</v>
      </c>
      <c r="BB248" s="10">
        <f>IF('Batt IN'!$E$11="Non-Taxable",'Batt IN'!$E$22*'Batt IN'!$G$22/12,0)</f>
        <v>1145.8333333333335</v>
      </c>
      <c r="BC248" s="10">
        <f>IF('Batt IN'!$E$11="Taxable",Q248,0)</f>
        <v>0</v>
      </c>
      <c r="BD248" s="10">
        <f>IF('Batt IN'!$E$11="Taxable",'Batt IN'!$E$28/1000*'Batt IN'!$G$13*('Batt IN'!$E$13/12)*'Batt IN'!$E$12,0)</f>
        <v>0</v>
      </c>
      <c r="BE248" s="10">
        <f>IF('Batt IN'!$E$11="Taxable",$S248*'Batt IN'!$G$15*'Batt IN'!$E$28*'Batt IN'!$E$14/1000,0)</f>
        <v>0</v>
      </c>
      <c r="BF248" s="10">
        <f>IF('Batt IN'!$E$11="Taxable",'Batt IN'!$E$21*'Batt IN'!$G$21/12,0)</f>
        <v>0</v>
      </c>
      <c r="BG248" s="10">
        <f>IF('Batt IN'!$E$11="Taxable",'Batt IN'!$E$22*'Batt IN'!$G$22/12,0)</f>
        <v>0</v>
      </c>
      <c r="BK248" s="10">
        <f>IF('Batt IN'!$N$18="Yes",-BattLoan!H276,-BattLoan!L276)</f>
        <v>0</v>
      </c>
      <c r="BL248" s="10">
        <f>IF('Batt IN'!$N$18="Yes",-BattLoan!F276,0)</f>
        <v>0</v>
      </c>
      <c r="BM248" s="10">
        <f>IF(AND('Batt IN'!$D$44="YES",$C248&lt;='Batt IN'!$E$44*12),0,-'Batt IN'!$E$28*'Batt IN'!$E$42/12)</f>
        <v>-83.333333333333329</v>
      </c>
      <c r="BN248" s="10">
        <f>IF(AND('Batt IN'!$D$46="YES",$C248&lt;='Batt IN'!$E$46*12),0,-'Batt IN'!$E$28*'Batt IN'!$E$45/12)</f>
        <v>-166.66666666666666</v>
      </c>
      <c r="BO248" s="2">
        <f>IF(AND('Batt IN'!$D$41="YES",BattCalcs!C248=ROUNDUP('Batt IN'!$H$41*12,)),-'Batt IN'!$E$41*'Batt IN'!$E$28,0)</f>
        <v>0</v>
      </c>
      <c r="BP248" s="2">
        <f>IF(AND('Batt IN'!$D$53="Yes",$AL$1&gt;=1),0,IF($C248='Batt IN'!$H$54*12,-'Batt IN'!$F$54,0))</f>
        <v>0</v>
      </c>
      <c r="BQ248" s="2">
        <f>IF(AND('Batt IN'!$D$53="Yes",$AL$1&gt;=2),0,IF($C248='Batt IN'!$H$55*12,-'Batt IN'!$F$55,0))</f>
        <v>0</v>
      </c>
      <c r="BR248" s="2">
        <f>IF(AND('Batt IN'!$D$53="Yes",$AL$1&gt;=3),0,IF($C248='Batt IN'!$H$56*12,-'Batt IN'!$F$56,0))</f>
        <v>0</v>
      </c>
      <c r="BS248" s="2">
        <f>IF(AND('Batt IN'!$D$53="Yes",$AL$1&gt;=4),0,IF($C248='Batt IN'!$H$57*12,-'Batt IN'!$F$57,0))</f>
        <v>0</v>
      </c>
      <c r="BT248" s="2">
        <f>IF(AND('Batt IN'!$D$53="Yes",$AL$1&gt;=5),0,IF($C248='Batt IN'!$H$58*12,-'Batt IN'!$F$58,0))</f>
        <v>0</v>
      </c>
      <c r="BU248" s="2">
        <f>-AH248*PVCalcs!F248</f>
        <v>-379.78065558809794</v>
      </c>
      <c r="BV248" s="2">
        <f>-'Batt IN'!$E$47</f>
        <v>-150</v>
      </c>
      <c r="BW248" s="2">
        <f>-'Batt IN'!$E$49</f>
        <v>-2250</v>
      </c>
      <c r="BX248" s="2">
        <f>IF('Batt IN'!$H$50="No",-(BC248*'Batt IN'!$E$50),-(BC248+BE248)*'Batt IN'!$E$50)</f>
        <v>0</v>
      </c>
      <c r="BY248" s="2">
        <f>IF(C248='Batt IN'!$H$43*12,-'Batt IN'!$E$43,0)</f>
        <v>0</v>
      </c>
      <c r="BZ248" s="38"/>
      <c r="CA248" s="10">
        <f t="shared" si="51"/>
        <v>13422.323408333334</v>
      </c>
      <c r="CB248" s="2">
        <f t="shared" si="55"/>
        <v>-3029.7806555880979</v>
      </c>
      <c r="CC248" s="45">
        <f t="shared" si="56"/>
        <v>10392.542752745236</v>
      </c>
      <c r="CD248" s="43"/>
      <c r="CE248" s="2">
        <f t="shared" si="52"/>
        <v>0</v>
      </c>
      <c r="CF248" s="2">
        <f t="shared" si="57"/>
        <v>-3029.7806555880979</v>
      </c>
      <c r="CG248" s="2"/>
      <c r="CH248" s="2">
        <f t="shared" si="58"/>
        <v>-3029.7806555880979</v>
      </c>
      <c r="CI248" s="45">
        <f>-CH248*'Batt IN'!$E$7</f>
        <v>636.25393767350056</v>
      </c>
      <c r="CJ248" s="48"/>
      <c r="CK248" s="45">
        <f>IF('Batt IN'!$F$4="PV Only",0,IF(C248&gt;'Batt IN'!$H$43*12,0,CC248+CI248))</f>
        <v>0</v>
      </c>
      <c r="CM248" s="10">
        <f t="shared" si="59"/>
        <v>0</v>
      </c>
      <c r="CN248" s="2">
        <f>CK248/(1+('Batt IN'!$G$8))^(C248)</f>
        <v>0</v>
      </c>
      <c r="CO248" s="2" t="e">
        <f>IF(C248&lt;='Batt IN'!$O$30*12,CN248+CO247,NA())</f>
        <v>#N/A</v>
      </c>
      <c r="CQ248" s="2">
        <f>CK248/((1+('Batt IN'!$E$8/12))^BattCalcs!C248)</f>
        <v>0</v>
      </c>
      <c r="CS248" s="10">
        <f t="shared" si="60"/>
        <v>-3029.7806555880979</v>
      </c>
      <c r="CT248" s="10">
        <f t="shared" si="61"/>
        <v>0</v>
      </c>
      <c r="CU248" s="10">
        <f t="shared" si="62"/>
        <v>-3029.7806555880979</v>
      </c>
      <c r="CV248" s="10">
        <f t="shared" si="63"/>
        <v>-3029.7806555880979</v>
      </c>
      <c r="CW248" s="2">
        <f t="shared" si="64"/>
        <v>0</v>
      </c>
      <c r="CX248" s="2">
        <f>-(SUM(CV248:CW248)*'PV IN'!$E$8)</f>
        <v>636.25393767350056</v>
      </c>
      <c r="CY248" s="2">
        <f t="shared" si="65"/>
        <v>-2393.5267179145976</v>
      </c>
      <c r="CZ248" s="2">
        <f>IF(C248&lt;='Batt IN'!$H$43*12,CY248/(1+('PV IN'!$G$9))^(C248),0)</f>
        <v>-887.5425820931473</v>
      </c>
      <c r="DA248" s="33">
        <f>IF(C248&lt;='Batt IN'!$H$43*12,AE248,0)</f>
        <v>30366.783333333333</v>
      </c>
    </row>
    <row r="249" spans="1:105" x14ac:dyDescent="0.25">
      <c r="A249">
        <f>IF(C249&lt;='Batt IN'!$H$43*12,C249,"")</f>
        <v>245</v>
      </c>
      <c r="C249">
        <v>245</v>
      </c>
      <c r="D249" s="21">
        <v>730</v>
      </c>
      <c r="E249" s="1">
        <f>1-'Batt IN'!$E$31</f>
        <v>2.0000000000000018E-2</v>
      </c>
      <c r="F249" s="12">
        <f>('Batt IN'!$E$33*365)/8760</f>
        <v>0</v>
      </c>
      <c r="G249" s="22">
        <f>'Batt IN'!$E$32/8760</f>
        <v>5.7077625570776253E-3</v>
      </c>
      <c r="H249" s="22">
        <f>'Batt IN'!$E$13/8760</f>
        <v>5.5936073059360729E-3</v>
      </c>
      <c r="I249" s="23">
        <f>IF(C249&lt;='Batt IN'!$G$14*12,'Batt IN'!$E$15/8760*'Batt IN'!$G$15,0)</f>
        <v>0</v>
      </c>
      <c r="J249" s="12">
        <f>Z249/'Batt IN'!$E$27/730</f>
        <v>2.4999999999999996E-3</v>
      </c>
      <c r="K249" s="23">
        <f>AA249/'Batt IN'!$E$27/730</f>
        <v>1.6027397260273972E-3</v>
      </c>
      <c r="L249" s="23">
        <f>AB249/'Batt IN'!$E$27/730</f>
        <v>2.0547945205479451E-4</v>
      </c>
      <c r="M249" s="23">
        <f>AC249/'Batt IN'!$E$27/730</f>
        <v>4.7945205479452057E-3</v>
      </c>
      <c r="N249" s="23">
        <f>AD249/'Batt IN'!$E$27/730</f>
        <v>3.4246575342465752E-3</v>
      </c>
      <c r="O249" s="12">
        <f t="shared" si="53"/>
        <v>4.3828767123287697E-2</v>
      </c>
      <c r="P249" s="21">
        <f t="shared" si="54"/>
        <v>698.005</v>
      </c>
      <c r="Q249" s="2">
        <f>IF('Batt IN'!$E$27*'Batt IN'!$E$24&lt;='Batt IN'!$E$28,(('Batt IN'!$E$23*'Batt IN'!$E$27*'Batt IN'!$E$24)/1000)*P249,(('Batt IN'!$E$23*'Batt IN'!$E$28*'Batt IN'!$E$24)/1000)*P249)</f>
        <v>11168.08</v>
      </c>
      <c r="R249" s="2"/>
      <c r="S249" s="77">
        <f>IF(C249&lt;='Batt IN'!$G$14*12,'Batt IN'!$E$15/12,0)</f>
        <v>0</v>
      </c>
      <c r="T249" s="77"/>
      <c r="U249" s="80">
        <f>'Batt IN'!$E$28*('Batt IN'!$G$24/24)*730*(1-O249)</f>
        <v>81433.916666666657</v>
      </c>
      <c r="V249" s="78">
        <f>U249*'Batt IN'!$F$30</f>
        <v>16286.783333333333</v>
      </c>
      <c r="W249" s="78">
        <f>'Batt IN'!$E$28*'Batt IN'!$G$32*('Batt IN'!$E$32/12)*(1+'Batt IN'!$F$30)</f>
        <v>1750.0000000000002</v>
      </c>
      <c r="X249" s="78">
        <f>'Batt IN'!$E$28*'Batt IN'!$G$13*('Batt IN'!$E$13/12)*(1+'Batt IN'!$F$30)</f>
        <v>3184.9999999999995</v>
      </c>
      <c r="Y249" s="33">
        <f>S249*'Batt IN'!$G$15*'Batt IN'!$E$28*(1+'Batt IN'!$F$30)</f>
        <v>0</v>
      </c>
      <c r="Z249" s="33">
        <f>'Batt IN'!$G$16*365/12*(1+'Batt IN'!$F$30)</f>
        <v>1824.9999999999998</v>
      </c>
      <c r="AA249" s="33">
        <f>'Batt IN'!$G$17*'Batt IN'!$E$18*'Batt IN'!$G$18/12*(1+'Batt IN'!$F$30)</f>
        <v>1170</v>
      </c>
      <c r="AB249" s="33">
        <f>'Batt IN'!$G$19*'Batt IN'!$E$20*'Batt IN'!$G$20/12*(1+'Batt IN'!$F$30)</f>
        <v>150</v>
      </c>
      <c r="AC249" s="33">
        <f>'Batt IN'!$G$21*(1+'Batt IN'!$F$30)/12</f>
        <v>3500</v>
      </c>
      <c r="AD249" s="33">
        <f>'Batt IN'!$G$22*(1+'Batt IN'!$F$30)/12</f>
        <v>2500</v>
      </c>
      <c r="AE249" s="33">
        <f t="shared" si="66"/>
        <v>30366.783333333333</v>
      </c>
      <c r="AF249" s="33">
        <f>IF('PV IN'!$F$4="Battery Only",0,AE249*'Batt IN'!$E$29)</f>
        <v>25811.765833333331</v>
      </c>
      <c r="AG249" s="33">
        <f>PVCalcs!L249</f>
        <v>25811.765833333331</v>
      </c>
      <c r="AH249" s="33">
        <f t="shared" si="67"/>
        <v>4555.0175000000017</v>
      </c>
      <c r="AI249" s="33"/>
      <c r="AJ249" s="2">
        <f>IF(AND('Batt IN'!$D$53="Yes",$AL$1&gt;=1),IF($C249='Batt IN'!$H$54*12,-'Batt IN'!$F$54,0),0)</f>
        <v>0</v>
      </c>
      <c r="AK249" s="2">
        <f>IF(AND('Batt IN'!$D$53="Yes",$AL$1&gt;=2),IF($C249='Batt IN'!$H$55*12,-'Batt IN'!$F$55,0),0)</f>
        <v>0</v>
      </c>
      <c r="AL249" s="2">
        <f>IF(AND('Batt IN'!$D$53="Yes",$AL$1&gt;=3),IF($C249='Batt IN'!$H$56*12,-'Batt IN'!$F$56,0),0)</f>
        <v>0</v>
      </c>
      <c r="AM249" s="2">
        <f>IF(AND('Batt IN'!$D$53="Yes",$AL$1&gt;=4),IF($C249='Batt IN'!$H$57*12,-'Batt IN'!$F$57,0),0)</f>
        <v>0</v>
      </c>
      <c r="AN249" s="2">
        <f>IF(AND('Batt IN'!$D$53="Yes",$AL$1&gt;=5),IF($C249='Batt IN'!$H$58*12,-'Batt IN'!$F$58,0),0)</f>
        <v>0</v>
      </c>
      <c r="AO249" s="10">
        <f>IF(AND('Batt IN'!$D$44="YES",$C249&lt;='Batt IN'!$E$44*12),-'Batt IN'!$E$28*'Batt IN'!$E$42/12,0)</f>
        <v>0</v>
      </c>
      <c r="AP249" s="10">
        <f>IF(AND('Batt IN'!$D$46="YES",$C249&lt;='Batt IN'!$E$46*12),-'Batt IN'!$E$28*'Batt IN'!$E$45/12,0)</f>
        <v>0</v>
      </c>
      <c r="AR249" s="10">
        <f>BattLoan!M276</f>
        <v>0</v>
      </c>
      <c r="AS249" s="10">
        <f>'Batt IN'!$G$16*365/12*'Batt IN'!$E$16</f>
        <v>76.041666666666671</v>
      </c>
      <c r="AT249" s="10">
        <f>IF(AND('Batt IN'!$E$18&gt;0,'Batt IN'!$G$18&gt;0),'Batt IN'!$E$17*'Batt IN'!$G$17,0)</f>
        <v>119.44619999999999</v>
      </c>
      <c r="AU249" s="10">
        <f>IF(AND('Batt IN'!$E$20&gt;0,'Batt IN'!$G$20&gt;0),'Batt IN'!$E$19*'Batt IN'!$G$19,0)</f>
        <v>231</v>
      </c>
      <c r="AV249" s="10"/>
      <c r="AW249" s="10"/>
      <c r="AX249" s="10">
        <f>IF('Batt IN'!$E$11="Non-Taxable",Q249,0)</f>
        <v>11168.08</v>
      </c>
      <c r="AY249" s="10">
        <f>IF('Batt IN'!$E$11="Non-Taxable",'Batt IN'!$E$28/1000*'Batt IN'!$G$13*('Batt IN'!$E$13/12)*'Batt IN'!$E$12,0)</f>
        <v>244.42220833333334</v>
      </c>
      <c r="AZ249" s="10">
        <f>IF('Batt IN'!$E$11="Non-Taxable",$S249*'Batt IN'!$G$15*'Batt IN'!$E$28*'Batt IN'!$E$14/1000,0)</f>
        <v>0</v>
      </c>
      <c r="BA249" s="10">
        <f>IF('Batt IN'!$E$11="Non-Taxable",'Batt IN'!$E$21*'Batt IN'!$G$21/12,0)</f>
        <v>437.5</v>
      </c>
      <c r="BB249" s="10">
        <f>IF('Batt IN'!$E$11="Non-Taxable",'Batt IN'!$E$22*'Batt IN'!$G$22/12,0)</f>
        <v>1145.8333333333335</v>
      </c>
      <c r="BC249" s="10">
        <f>IF('Batt IN'!$E$11="Taxable",Q249,0)</f>
        <v>0</v>
      </c>
      <c r="BD249" s="10">
        <f>IF('Batt IN'!$E$11="Taxable",'Batt IN'!$E$28/1000*'Batt IN'!$G$13*('Batt IN'!$E$13/12)*'Batt IN'!$E$12,0)</f>
        <v>0</v>
      </c>
      <c r="BE249" s="10">
        <f>IF('Batt IN'!$E$11="Taxable",$S249*'Batt IN'!$G$15*'Batt IN'!$E$28*'Batt IN'!$E$14/1000,0)</f>
        <v>0</v>
      </c>
      <c r="BF249" s="10">
        <f>IF('Batt IN'!$E$11="Taxable",'Batt IN'!$E$21*'Batt IN'!$G$21/12,0)</f>
        <v>0</v>
      </c>
      <c r="BG249" s="10">
        <f>IF('Batt IN'!$E$11="Taxable",'Batt IN'!$E$22*'Batt IN'!$G$22/12,0)</f>
        <v>0</v>
      </c>
      <c r="BK249" s="10">
        <f>IF('Batt IN'!$N$18="Yes",-BattLoan!H277,-BattLoan!L277)</f>
        <v>0</v>
      </c>
      <c r="BL249" s="10">
        <f>IF('Batt IN'!$N$18="Yes",-BattLoan!F277,0)</f>
        <v>0</v>
      </c>
      <c r="BM249" s="10">
        <f>IF(AND('Batt IN'!$D$44="YES",$C249&lt;='Batt IN'!$E$44*12),0,-'Batt IN'!$E$28*'Batt IN'!$E$42/12)</f>
        <v>-83.333333333333329</v>
      </c>
      <c r="BN249" s="10">
        <f>IF(AND('Batt IN'!$D$46="YES",$C249&lt;='Batt IN'!$E$46*12),0,-'Batt IN'!$E$28*'Batt IN'!$E$45/12)</f>
        <v>-166.66666666666666</v>
      </c>
      <c r="BO249" s="2">
        <f>IF(AND('Batt IN'!$D$41="YES",BattCalcs!C249=ROUNDUP('Batt IN'!$H$41*12,)),-'Batt IN'!$E$41*'Batt IN'!$E$28,0)</f>
        <v>0</v>
      </c>
      <c r="BP249" s="2">
        <f>IF(AND('Batt IN'!$D$53="Yes",$AL$1&gt;=1),0,IF($C249='Batt IN'!$H$54*12,-'Batt IN'!$F$54,0))</f>
        <v>0</v>
      </c>
      <c r="BQ249" s="2">
        <f>IF(AND('Batt IN'!$D$53="Yes",$AL$1&gt;=2),0,IF($C249='Batt IN'!$H$55*12,-'Batt IN'!$F$55,0))</f>
        <v>0</v>
      </c>
      <c r="BR249" s="2">
        <f>IF(AND('Batt IN'!$D$53="Yes",$AL$1&gt;=3),0,IF($C249='Batt IN'!$H$56*12,-'Batt IN'!$F$56,0))</f>
        <v>0</v>
      </c>
      <c r="BS249" s="2">
        <f>IF(AND('Batt IN'!$D$53="Yes",$AL$1&gt;=4),0,IF($C249='Batt IN'!$H$57*12,-'Batt IN'!$F$57,0))</f>
        <v>0</v>
      </c>
      <c r="BT249" s="2">
        <f>IF(AND('Batt IN'!$D$53="Yes",$AL$1&gt;=5),0,IF($C249='Batt IN'!$H$58*12,-'Batt IN'!$F$58,0))</f>
        <v>0</v>
      </c>
      <c r="BU249" s="2">
        <f>-AH249*PVCalcs!F249</f>
        <v>-379.78065558809794</v>
      </c>
      <c r="BV249" s="2">
        <f>-'Batt IN'!$E$47</f>
        <v>-150</v>
      </c>
      <c r="BW249" s="2">
        <f>-'Batt IN'!$E$49</f>
        <v>-2250</v>
      </c>
      <c r="BX249" s="2">
        <f>IF('Batt IN'!$H$50="No",-(BC249*'Batt IN'!$E$50),-(BC249+BE249)*'Batt IN'!$E$50)</f>
        <v>0</v>
      </c>
      <c r="BY249" s="2">
        <f>IF(C249='Batt IN'!$H$43*12,-'Batt IN'!$E$43,0)</f>
        <v>0</v>
      </c>
      <c r="BZ249" s="38"/>
      <c r="CA249" s="10">
        <f t="shared" si="51"/>
        <v>13422.323408333334</v>
      </c>
      <c r="CB249" s="2">
        <f t="shared" si="55"/>
        <v>-3029.7806555880979</v>
      </c>
      <c r="CC249" s="45">
        <f t="shared" si="56"/>
        <v>10392.542752745236</v>
      </c>
      <c r="CD249" s="43"/>
      <c r="CE249" s="2">
        <f t="shared" si="52"/>
        <v>0</v>
      </c>
      <c r="CF249" s="2">
        <f t="shared" si="57"/>
        <v>-3029.7806555880979</v>
      </c>
      <c r="CG249" s="2"/>
      <c r="CH249" s="2">
        <f t="shared" si="58"/>
        <v>-3029.7806555880979</v>
      </c>
      <c r="CI249" s="45">
        <f>-CH249*'Batt IN'!$E$7</f>
        <v>636.25393767350056</v>
      </c>
      <c r="CJ249" s="48"/>
      <c r="CK249" s="45">
        <f>IF('Batt IN'!$F$4="PV Only",0,IF(C249&gt;'Batt IN'!$H$43*12,0,CC249+CI249))</f>
        <v>0</v>
      </c>
      <c r="CM249" s="10">
        <f t="shared" si="59"/>
        <v>0</v>
      </c>
      <c r="CN249" s="2">
        <f>CK249/(1+('Batt IN'!$G$8))^(C249)</f>
        <v>0</v>
      </c>
      <c r="CO249" s="2" t="e">
        <f>IF(C249&lt;='Batt IN'!$O$30*12,CN249+CO248,NA())</f>
        <v>#N/A</v>
      </c>
      <c r="CQ249" s="2">
        <f>CK249/((1+('Batt IN'!$E$8/12))^BattCalcs!C249)</f>
        <v>0</v>
      </c>
      <c r="CS249" s="10">
        <f t="shared" si="60"/>
        <v>-3029.7806555880979</v>
      </c>
      <c r="CT249" s="10">
        <f t="shared" si="61"/>
        <v>0</v>
      </c>
      <c r="CU249" s="10">
        <f t="shared" si="62"/>
        <v>-3029.7806555880979</v>
      </c>
      <c r="CV249" s="10">
        <f t="shared" si="63"/>
        <v>-3029.7806555880979</v>
      </c>
      <c r="CW249" s="2">
        <f t="shared" si="64"/>
        <v>0</v>
      </c>
      <c r="CX249" s="2">
        <f>-(SUM(CV249:CW249)*'PV IN'!$E$8)</f>
        <v>636.25393767350056</v>
      </c>
      <c r="CY249" s="2">
        <f t="shared" si="65"/>
        <v>-2393.5267179145976</v>
      </c>
      <c r="CZ249" s="2">
        <f>IF(C249&lt;='Batt IN'!$H$43*12,CY249/(1+('PV IN'!$G$9))^(C249),0)</f>
        <v>-883.94129583643121</v>
      </c>
      <c r="DA249" s="33">
        <f>IF(C249&lt;='Batt IN'!$H$43*12,AE249,0)</f>
        <v>30366.783333333333</v>
      </c>
    </row>
    <row r="250" spans="1:105" x14ac:dyDescent="0.25">
      <c r="A250">
        <f>IF(C250&lt;='Batt IN'!$H$43*12,C250,"")</f>
        <v>246</v>
      </c>
      <c r="C250">
        <v>246</v>
      </c>
      <c r="D250" s="21">
        <v>730</v>
      </c>
      <c r="E250" s="1">
        <f>1-'Batt IN'!$E$31</f>
        <v>2.0000000000000018E-2</v>
      </c>
      <c r="F250" s="12">
        <f>('Batt IN'!$E$33*365)/8760</f>
        <v>0</v>
      </c>
      <c r="G250" s="22">
        <f>'Batt IN'!$E$32/8760</f>
        <v>5.7077625570776253E-3</v>
      </c>
      <c r="H250" s="22">
        <f>'Batt IN'!$E$13/8760</f>
        <v>5.5936073059360729E-3</v>
      </c>
      <c r="I250" s="23">
        <f>IF(C250&lt;='Batt IN'!$G$14*12,'Batt IN'!$E$15/8760*'Batt IN'!$G$15,0)</f>
        <v>0</v>
      </c>
      <c r="J250" s="12">
        <f>Z250/'Batt IN'!$E$27/730</f>
        <v>2.4999999999999996E-3</v>
      </c>
      <c r="K250" s="23">
        <f>AA250/'Batt IN'!$E$27/730</f>
        <v>1.6027397260273972E-3</v>
      </c>
      <c r="L250" s="23">
        <f>AB250/'Batt IN'!$E$27/730</f>
        <v>2.0547945205479451E-4</v>
      </c>
      <c r="M250" s="23">
        <f>AC250/'Batt IN'!$E$27/730</f>
        <v>4.7945205479452057E-3</v>
      </c>
      <c r="N250" s="23">
        <f>AD250/'Batt IN'!$E$27/730</f>
        <v>3.4246575342465752E-3</v>
      </c>
      <c r="O250" s="12">
        <f t="shared" si="53"/>
        <v>4.3828767123287697E-2</v>
      </c>
      <c r="P250" s="21">
        <f t="shared" si="54"/>
        <v>698.005</v>
      </c>
      <c r="Q250" s="2">
        <f>IF('Batt IN'!$E$27*'Batt IN'!$E$24&lt;='Batt IN'!$E$28,(('Batt IN'!$E$23*'Batt IN'!$E$27*'Batt IN'!$E$24)/1000)*P250,(('Batt IN'!$E$23*'Batt IN'!$E$28*'Batt IN'!$E$24)/1000)*P250)</f>
        <v>11168.08</v>
      </c>
      <c r="R250" s="2"/>
      <c r="S250" s="77">
        <f>IF(C250&lt;='Batt IN'!$G$14*12,'Batt IN'!$E$15/12,0)</f>
        <v>0</v>
      </c>
      <c r="T250" s="77"/>
      <c r="U250" s="80">
        <f>'Batt IN'!$E$28*('Batt IN'!$G$24/24)*730*(1-O250)</f>
        <v>81433.916666666657</v>
      </c>
      <c r="V250" s="78">
        <f>U250*'Batt IN'!$F$30</f>
        <v>16286.783333333333</v>
      </c>
      <c r="W250" s="78">
        <f>'Batt IN'!$E$28*'Batt IN'!$G$32*('Batt IN'!$E$32/12)*(1+'Batt IN'!$F$30)</f>
        <v>1750.0000000000002</v>
      </c>
      <c r="X250" s="78">
        <f>'Batt IN'!$E$28*'Batt IN'!$G$13*('Batt IN'!$E$13/12)*(1+'Batt IN'!$F$30)</f>
        <v>3184.9999999999995</v>
      </c>
      <c r="Y250" s="33">
        <f>S250*'Batt IN'!$G$15*'Batt IN'!$E$28*(1+'Batt IN'!$F$30)</f>
        <v>0</v>
      </c>
      <c r="Z250" s="33">
        <f>'Batt IN'!$G$16*365/12*(1+'Batt IN'!$F$30)</f>
        <v>1824.9999999999998</v>
      </c>
      <c r="AA250" s="33">
        <f>'Batt IN'!$G$17*'Batt IN'!$E$18*'Batt IN'!$G$18/12*(1+'Batt IN'!$F$30)</f>
        <v>1170</v>
      </c>
      <c r="AB250" s="33">
        <f>'Batt IN'!$G$19*'Batt IN'!$E$20*'Batt IN'!$G$20/12*(1+'Batt IN'!$F$30)</f>
        <v>150</v>
      </c>
      <c r="AC250" s="33">
        <f>'Batt IN'!$G$21*(1+'Batt IN'!$F$30)/12</f>
        <v>3500</v>
      </c>
      <c r="AD250" s="33">
        <f>'Batt IN'!$G$22*(1+'Batt IN'!$F$30)/12</f>
        <v>2500</v>
      </c>
      <c r="AE250" s="33">
        <f t="shared" si="66"/>
        <v>30366.783333333333</v>
      </c>
      <c r="AF250" s="33">
        <f>IF('PV IN'!$F$4="Battery Only",0,AE250*'Batt IN'!$E$29)</f>
        <v>25811.765833333331</v>
      </c>
      <c r="AG250" s="33">
        <f>PVCalcs!L250</f>
        <v>25811.765833333331</v>
      </c>
      <c r="AH250" s="33">
        <f t="shared" si="67"/>
        <v>4555.0175000000017</v>
      </c>
      <c r="AI250" s="33"/>
      <c r="AJ250" s="2">
        <f>IF(AND('Batt IN'!$D$53="Yes",$AL$1&gt;=1),IF($C250='Batt IN'!$H$54*12,-'Batt IN'!$F$54,0),0)</f>
        <v>0</v>
      </c>
      <c r="AK250" s="2">
        <f>IF(AND('Batt IN'!$D$53="Yes",$AL$1&gt;=2),IF($C250='Batt IN'!$H$55*12,-'Batt IN'!$F$55,0),0)</f>
        <v>0</v>
      </c>
      <c r="AL250" s="2">
        <f>IF(AND('Batt IN'!$D$53="Yes",$AL$1&gt;=3),IF($C250='Batt IN'!$H$56*12,-'Batt IN'!$F$56,0),0)</f>
        <v>0</v>
      </c>
      <c r="AM250" s="2">
        <f>IF(AND('Batt IN'!$D$53="Yes",$AL$1&gt;=4),IF($C250='Batt IN'!$H$57*12,-'Batt IN'!$F$57,0),0)</f>
        <v>0</v>
      </c>
      <c r="AN250" s="2">
        <f>IF(AND('Batt IN'!$D$53="Yes",$AL$1&gt;=5),IF($C250='Batt IN'!$H$58*12,-'Batt IN'!$F$58,0),0)</f>
        <v>0</v>
      </c>
      <c r="AO250" s="10">
        <f>IF(AND('Batt IN'!$D$44="YES",$C250&lt;='Batt IN'!$E$44*12),-'Batt IN'!$E$28*'Batt IN'!$E$42/12,0)</f>
        <v>0</v>
      </c>
      <c r="AP250" s="10">
        <f>IF(AND('Batt IN'!$D$46="YES",$C250&lt;='Batt IN'!$E$46*12),-'Batt IN'!$E$28*'Batt IN'!$E$45/12,0)</f>
        <v>0</v>
      </c>
      <c r="AR250" s="10">
        <f>BattLoan!M277</f>
        <v>0</v>
      </c>
      <c r="AS250" s="10">
        <f>'Batt IN'!$G$16*365/12*'Batt IN'!$E$16</f>
        <v>76.041666666666671</v>
      </c>
      <c r="AT250" s="10">
        <f>IF(AND('Batt IN'!$E$18&gt;0,'Batt IN'!$G$18&gt;0),'Batt IN'!$E$17*'Batt IN'!$G$17,0)</f>
        <v>119.44619999999999</v>
      </c>
      <c r="AU250" s="10">
        <f>IF(AND('Batt IN'!$E$20&gt;0,'Batt IN'!$G$20&gt;0),'Batt IN'!$E$19*'Batt IN'!$G$19,0)</f>
        <v>231</v>
      </c>
      <c r="AV250" s="10"/>
      <c r="AW250" s="10"/>
      <c r="AX250" s="10">
        <f>IF('Batt IN'!$E$11="Non-Taxable",Q250,0)</f>
        <v>11168.08</v>
      </c>
      <c r="AY250" s="10">
        <f>IF('Batt IN'!$E$11="Non-Taxable",'Batt IN'!$E$28/1000*'Batt IN'!$G$13*('Batt IN'!$E$13/12)*'Batt IN'!$E$12,0)</f>
        <v>244.42220833333334</v>
      </c>
      <c r="AZ250" s="10">
        <f>IF('Batt IN'!$E$11="Non-Taxable",$S250*'Batt IN'!$G$15*'Batt IN'!$E$28*'Batt IN'!$E$14/1000,0)</f>
        <v>0</v>
      </c>
      <c r="BA250" s="10">
        <f>IF('Batt IN'!$E$11="Non-Taxable",'Batt IN'!$E$21*'Batt IN'!$G$21/12,0)</f>
        <v>437.5</v>
      </c>
      <c r="BB250" s="10">
        <f>IF('Batt IN'!$E$11="Non-Taxable",'Batt IN'!$E$22*'Batt IN'!$G$22/12,0)</f>
        <v>1145.8333333333335</v>
      </c>
      <c r="BC250" s="10">
        <f>IF('Batt IN'!$E$11="Taxable",Q250,0)</f>
        <v>0</v>
      </c>
      <c r="BD250" s="10">
        <f>IF('Batt IN'!$E$11="Taxable",'Batt IN'!$E$28/1000*'Batt IN'!$G$13*('Batt IN'!$E$13/12)*'Batt IN'!$E$12,0)</f>
        <v>0</v>
      </c>
      <c r="BE250" s="10">
        <f>IF('Batt IN'!$E$11="Taxable",$S250*'Batt IN'!$G$15*'Batt IN'!$E$28*'Batt IN'!$E$14/1000,0)</f>
        <v>0</v>
      </c>
      <c r="BF250" s="10">
        <f>IF('Batt IN'!$E$11="Taxable",'Batt IN'!$E$21*'Batt IN'!$G$21/12,0)</f>
        <v>0</v>
      </c>
      <c r="BG250" s="10">
        <f>IF('Batt IN'!$E$11="Taxable",'Batt IN'!$E$22*'Batt IN'!$G$22/12,0)</f>
        <v>0</v>
      </c>
      <c r="BK250" s="10">
        <f>IF('Batt IN'!$N$18="Yes",-BattLoan!H278,-BattLoan!L278)</f>
        <v>0</v>
      </c>
      <c r="BL250" s="10">
        <f>IF('Batt IN'!$N$18="Yes",-BattLoan!F278,0)</f>
        <v>0</v>
      </c>
      <c r="BM250" s="10">
        <f>IF(AND('Batt IN'!$D$44="YES",$C250&lt;='Batt IN'!$E$44*12),0,-'Batt IN'!$E$28*'Batt IN'!$E$42/12)</f>
        <v>-83.333333333333329</v>
      </c>
      <c r="BN250" s="10">
        <f>IF(AND('Batt IN'!$D$46="YES",$C250&lt;='Batt IN'!$E$46*12),0,-'Batt IN'!$E$28*'Batt IN'!$E$45/12)</f>
        <v>-166.66666666666666</v>
      </c>
      <c r="BO250" s="2">
        <f>IF(AND('Batt IN'!$D$41="YES",BattCalcs!C250=ROUNDUP('Batt IN'!$H$41*12,)),-'Batt IN'!$E$41*'Batt IN'!$E$28,0)</f>
        <v>0</v>
      </c>
      <c r="BP250" s="2">
        <f>IF(AND('Batt IN'!$D$53="Yes",$AL$1&gt;=1),0,IF($C250='Batt IN'!$H$54*12,-'Batt IN'!$F$54,0))</f>
        <v>0</v>
      </c>
      <c r="BQ250" s="2">
        <f>IF(AND('Batt IN'!$D$53="Yes",$AL$1&gt;=2),0,IF($C250='Batt IN'!$H$55*12,-'Batt IN'!$F$55,0))</f>
        <v>0</v>
      </c>
      <c r="BR250" s="2">
        <f>IF(AND('Batt IN'!$D$53="Yes",$AL$1&gt;=3),0,IF($C250='Batt IN'!$H$56*12,-'Batt IN'!$F$56,0))</f>
        <v>0</v>
      </c>
      <c r="BS250" s="2">
        <f>IF(AND('Batt IN'!$D$53="Yes",$AL$1&gt;=4),0,IF($C250='Batt IN'!$H$57*12,-'Batt IN'!$F$57,0))</f>
        <v>0</v>
      </c>
      <c r="BT250" s="2">
        <f>IF(AND('Batt IN'!$D$53="Yes",$AL$1&gt;=5),0,IF($C250='Batt IN'!$H$58*12,-'Batt IN'!$F$58,0))</f>
        <v>0</v>
      </c>
      <c r="BU250" s="2">
        <f>-AH250*PVCalcs!F250</f>
        <v>-379.78065558809794</v>
      </c>
      <c r="BV250" s="2">
        <f>-'Batt IN'!$E$47</f>
        <v>-150</v>
      </c>
      <c r="BW250" s="2">
        <f>-'Batt IN'!$E$49</f>
        <v>-2250</v>
      </c>
      <c r="BX250" s="2">
        <f>IF('Batt IN'!$H$50="No",-(BC250*'Batt IN'!$E$50),-(BC250+BE250)*'Batt IN'!$E$50)</f>
        <v>0</v>
      </c>
      <c r="BY250" s="2">
        <f>IF(C250='Batt IN'!$H$43*12,-'Batt IN'!$E$43,0)</f>
        <v>0</v>
      </c>
      <c r="BZ250" s="38"/>
      <c r="CA250" s="10">
        <f t="shared" si="51"/>
        <v>13422.323408333334</v>
      </c>
      <c r="CB250" s="2">
        <f t="shared" si="55"/>
        <v>-3029.7806555880979</v>
      </c>
      <c r="CC250" s="45">
        <f t="shared" si="56"/>
        <v>10392.542752745236</v>
      </c>
      <c r="CD250" s="43"/>
      <c r="CE250" s="2">
        <f t="shared" si="52"/>
        <v>0</v>
      </c>
      <c r="CF250" s="2">
        <f t="shared" si="57"/>
        <v>-3029.7806555880979</v>
      </c>
      <c r="CG250" s="2"/>
      <c r="CH250" s="2">
        <f t="shared" si="58"/>
        <v>-3029.7806555880979</v>
      </c>
      <c r="CI250" s="45">
        <f>-CH250*'Batt IN'!$E$7</f>
        <v>636.25393767350056</v>
      </c>
      <c r="CJ250" s="48"/>
      <c r="CK250" s="45">
        <f>IF('Batt IN'!$F$4="PV Only",0,IF(C250&gt;'Batt IN'!$H$43*12,0,CC250+CI250))</f>
        <v>0</v>
      </c>
      <c r="CM250" s="10">
        <f t="shared" si="59"/>
        <v>0</v>
      </c>
      <c r="CN250" s="2">
        <f>CK250/(1+('Batt IN'!$G$8))^(C250)</f>
        <v>0</v>
      </c>
      <c r="CO250" s="2" t="e">
        <f>IF(C250&lt;='Batt IN'!$O$30*12,CN250+CO249,NA())</f>
        <v>#N/A</v>
      </c>
      <c r="CQ250" s="2">
        <f>CK250/((1+('Batt IN'!$E$8/12))^BattCalcs!C250)</f>
        <v>0</v>
      </c>
      <c r="CS250" s="10">
        <f t="shared" si="60"/>
        <v>-3029.7806555880979</v>
      </c>
      <c r="CT250" s="10">
        <f t="shared" si="61"/>
        <v>0</v>
      </c>
      <c r="CU250" s="10">
        <f t="shared" si="62"/>
        <v>-3029.7806555880979</v>
      </c>
      <c r="CV250" s="10">
        <f t="shared" si="63"/>
        <v>-3029.7806555880979</v>
      </c>
      <c r="CW250" s="2">
        <f t="shared" si="64"/>
        <v>0</v>
      </c>
      <c r="CX250" s="2">
        <f>-(SUM(CV250:CW250)*'PV IN'!$E$8)</f>
        <v>636.25393767350056</v>
      </c>
      <c r="CY250" s="2">
        <f t="shared" si="65"/>
        <v>-2393.5267179145976</v>
      </c>
      <c r="CZ250" s="2">
        <f>IF(C250&lt;='Batt IN'!$H$43*12,CY250/(1+('PV IN'!$G$9))^(C250),0)</f>
        <v>-880.35462213235689</v>
      </c>
      <c r="DA250" s="33">
        <f>IF(C250&lt;='Batt IN'!$H$43*12,AE250,0)</f>
        <v>30366.783333333333</v>
      </c>
    </row>
    <row r="251" spans="1:105" x14ac:dyDescent="0.25">
      <c r="A251">
        <f>IF(C251&lt;='Batt IN'!$H$43*12,C251,"")</f>
        <v>247</v>
      </c>
      <c r="C251">
        <v>247</v>
      </c>
      <c r="D251" s="21">
        <v>730</v>
      </c>
      <c r="E251" s="1">
        <f>1-'Batt IN'!$E$31</f>
        <v>2.0000000000000018E-2</v>
      </c>
      <c r="F251" s="12">
        <f>('Batt IN'!$E$33*365)/8760</f>
        <v>0</v>
      </c>
      <c r="G251" s="22">
        <f>'Batt IN'!$E$32/8760</f>
        <v>5.7077625570776253E-3</v>
      </c>
      <c r="H251" s="22">
        <f>'Batt IN'!$E$13/8760</f>
        <v>5.5936073059360729E-3</v>
      </c>
      <c r="I251" s="23">
        <f>IF(C251&lt;='Batt IN'!$G$14*12,'Batt IN'!$E$15/8760*'Batt IN'!$G$15,0)</f>
        <v>0</v>
      </c>
      <c r="J251" s="12">
        <f>Z251/'Batt IN'!$E$27/730</f>
        <v>2.4999999999999996E-3</v>
      </c>
      <c r="K251" s="23">
        <f>AA251/'Batt IN'!$E$27/730</f>
        <v>1.6027397260273972E-3</v>
      </c>
      <c r="L251" s="23">
        <f>AB251/'Batt IN'!$E$27/730</f>
        <v>2.0547945205479451E-4</v>
      </c>
      <c r="M251" s="23">
        <f>AC251/'Batt IN'!$E$27/730</f>
        <v>4.7945205479452057E-3</v>
      </c>
      <c r="N251" s="23">
        <f>AD251/'Batt IN'!$E$27/730</f>
        <v>3.4246575342465752E-3</v>
      </c>
      <c r="O251" s="12">
        <f t="shared" si="53"/>
        <v>4.3828767123287697E-2</v>
      </c>
      <c r="P251" s="21">
        <f t="shared" si="54"/>
        <v>698.005</v>
      </c>
      <c r="Q251" s="2">
        <f>IF('Batt IN'!$E$27*'Batt IN'!$E$24&lt;='Batt IN'!$E$28,(('Batt IN'!$E$23*'Batt IN'!$E$27*'Batt IN'!$E$24)/1000)*P251,(('Batt IN'!$E$23*'Batt IN'!$E$28*'Batt IN'!$E$24)/1000)*P251)</f>
        <v>11168.08</v>
      </c>
      <c r="R251" s="2"/>
      <c r="S251" s="77">
        <f>IF(C251&lt;='Batt IN'!$G$14*12,'Batt IN'!$E$15/12,0)</f>
        <v>0</v>
      </c>
      <c r="T251" s="77"/>
      <c r="U251" s="80">
        <f>'Batt IN'!$E$28*('Batt IN'!$G$24/24)*730*(1-O251)</f>
        <v>81433.916666666657</v>
      </c>
      <c r="V251" s="78">
        <f>U251*'Batt IN'!$F$30</f>
        <v>16286.783333333333</v>
      </c>
      <c r="W251" s="78">
        <f>'Batt IN'!$E$28*'Batt IN'!$G$32*('Batt IN'!$E$32/12)*(1+'Batt IN'!$F$30)</f>
        <v>1750.0000000000002</v>
      </c>
      <c r="X251" s="78">
        <f>'Batt IN'!$E$28*'Batt IN'!$G$13*('Batt IN'!$E$13/12)*(1+'Batt IN'!$F$30)</f>
        <v>3184.9999999999995</v>
      </c>
      <c r="Y251" s="33">
        <f>S251*'Batt IN'!$G$15*'Batt IN'!$E$28*(1+'Batt IN'!$F$30)</f>
        <v>0</v>
      </c>
      <c r="Z251" s="33">
        <f>'Batt IN'!$G$16*365/12*(1+'Batt IN'!$F$30)</f>
        <v>1824.9999999999998</v>
      </c>
      <c r="AA251" s="33">
        <f>'Batt IN'!$G$17*'Batt IN'!$E$18*'Batt IN'!$G$18/12*(1+'Batt IN'!$F$30)</f>
        <v>1170</v>
      </c>
      <c r="AB251" s="33">
        <f>'Batt IN'!$G$19*'Batt IN'!$E$20*'Batt IN'!$G$20/12*(1+'Batt IN'!$F$30)</f>
        <v>150</v>
      </c>
      <c r="AC251" s="33">
        <f>'Batt IN'!$G$21*(1+'Batt IN'!$F$30)/12</f>
        <v>3500</v>
      </c>
      <c r="AD251" s="33">
        <f>'Batt IN'!$G$22*(1+'Batt IN'!$F$30)/12</f>
        <v>2500</v>
      </c>
      <c r="AE251" s="33">
        <f t="shared" si="66"/>
        <v>30366.783333333333</v>
      </c>
      <c r="AF251" s="33">
        <f>IF('PV IN'!$F$4="Battery Only",0,AE251*'Batt IN'!$E$29)</f>
        <v>25811.765833333331</v>
      </c>
      <c r="AG251" s="33">
        <f>PVCalcs!L251</f>
        <v>25811.765833333331</v>
      </c>
      <c r="AH251" s="33">
        <f t="shared" si="67"/>
        <v>4555.0175000000017</v>
      </c>
      <c r="AI251" s="33"/>
      <c r="AJ251" s="2">
        <f>IF(AND('Batt IN'!$D$53="Yes",$AL$1&gt;=1),IF($C251='Batt IN'!$H$54*12,-'Batt IN'!$F$54,0),0)</f>
        <v>0</v>
      </c>
      <c r="AK251" s="2">
        <f>IF(AND('Batt IN'!$D$53="Yes",$AL$1&gt;=2),IF($C251='Batt IN'!$H$55*12,-'Batt IN'!$F$55,0),0)</f>
        <v>0</v>
      </c>
      <c r="AL251" s="2">
        <f>IF(AND('Batt IN'!$D$53="Yes",$AL$1&gt;=3),IF($C251='Batt IN'!$H$56*12,-'Batt IN'!$F$56,0),0)</f>
        <v>0</v>
      </c>
      <c r="AM251" s="2">
        <f>IF(AND('Batt IN'!$D$53="Yes",$AL$1&gt;=4),IF($C251='Batt IN'!$H$57*12,-'Batt IN'!$F$57,0),0)</f>
        <v>0</v>
      </c>
      <c r="AN251" s="2">
        <f>IF(AND('Batt IN'!$D$53="Yes",$AL$1&gt;=5),IF($C251='Batt IN'!$H$58*12,-'Batt IN'!$F$58,0),0)</f>
        <v>0</v>
      </c>
      <c r="AO251" s="10">
        <f>IF(AND('Batt IN'!$D$44="YES",$C251&lt;='Batt IN'!$E$44*12),-'Batt IN'!$E$28*'Batt IN'!$E$42/12,0)</f>
        <v>0</v>
      </c>
      <c r="AP251" s="10">
        <f>IF(AND('Batt IN'!$D$46="YES",$C251&lt;='Batt IN'!$E$46*12),-'Batt IN'!$E$28*'Batt IN'!$E$45/12,0)</f>
        <v>0</v>
      </c>
      <c r="AR251" s="10">
        <f>BattLoan!M278</f>
        <v>0</v>
      </c>
      <c r="AS251" s="10">
        <f>'Batt IN'!$G$16*365/12*'Batt IN'!$E$16</f>
        <v>76.041666666666671</v>
      </c>
      <c r="AT251" s="10">
        <f>IF(AND('Batt IN'!$E$18&gt;0,'Batt IN'!$G$18&gt;0),'Batt IN'!$E$17*'Batt IN'!$G$17,0)</f>
        <v>119.44619999999999</v>
      </c>
      <c r="AU251" s="10">
        <f>IF(AND('Batt IN'!$E$20&gt;0,'Batt IN'!$G$20&gt;0),'Batt IN'!$E$19*'Batt IN'!$G$19,0)</f>
        <v>231</v>
      </c>
      <c r="AV251" s="10"/>
      <c r="AW251" s="10"/>
      <c r="AX251" s="10">
        <f>IF('Batt IN'!$E$11="Non-Taxable",Q251,0)</f>
        <v>11168.08</v>
      </c>
      <c r="AY251" s="10">
        <f>IF('Batt IN'!$E$11="Non-Taxable",'Batt IN'!$E$28/1000*'Batt IN'!$G$13*('Batt IN'!$E$13/12)*'Batt IN'!$E$12,0)</f>
        <v>244.42220833333334</v>
      </c>
      <c r="AZ251" s="10">
        <f>IF('Batt IN'!$E$11="Non-Taxable",$S251*'Batt IN'!$G$15*'Batt IN'!$E$28*'Batt IN'!$E$14/1000,0)</f>
        <v>0</v>
      </c>
      <c r="BA251" s="10">
        <f>IF('Batt IN'!$E$11="Non-Taxable",'Batt IN'!$E$21*'Batt IN'!$G$21/12,0)</f>
        <v>437.5</v>
      </c>
      <c r="BB251" s="10">
        <f>IF('Batt IN'!$E$11="Non-Taxable",'Batt IN'!$E$22*'Batt IN'!$G$22/12,0)</f>
        <v>1145.8333333333335</v>
      </c>
      <c r="BC251" s="10">
        <f>IF('Batt IN'!$E$11="Taxable",Q251,0)</f>
        <v>0</v>
      </c>
      <c r="BD251" s="10">
        <f>IF('Batt IN'!$E$11="Taxable",'Batt IN'!$E$28/1000*'Batt IN'!$G$13*('Batt IN'!$E$13/12)*'Batt IN'!$E$12,0)</f>
        <v>0</v>
      </c>
      <c r="BE251" s="10">
        <f>IF('Batt IN'!$E$11="Taxable",$S251*'Batt IN'!$G$15*'Batt IN'!$E$28*'Batt IN'!$E$14/1000,0)</f>
        <v>0</v>
      </c>
      <c r="BF251" s="10">
        <f>IF('Batt IN'!$E$11="Taxable",'Batt IN'!$E$21*'Batt IN'!$G$21/12,0)</f>
        <v>0</v>
      </c>
      <c r="BG251" s="10">
        <f>IF('Batt IN'!$E$11="Taxable",'Batt IN'!$E$22*'Batt IN'!$G$22/12,0)</f>
        <v>0</v>
      </c>
      <c r="BK251" s="10">
        <f>IF('Batt IN'!$N$18="Yes",-BattLoan!H279,-BattLoan!L279)</f>
        <v>0</v>
      </c>
      <c r="BL251" s="10">
        <f>IF('Batt IN'!$N$18="Yes",-BattLoan!F279,0)</f>
        <v>0</v>
      </c>
      <c r="BM251" s="10">
        <f>IF(AND('Batt IN'!$D$44="YES",$C251&lt;='Batt IN'!$E$44*12),0,-'Batt IN'!$E$28*'Batt IN'!$E$42/12)</f>
        <v>-83.333333333333329</v>
      </c>
      <c r="BN251" s="10">
        <f>IF(AND('Batt IN'!$D$46="YES",$C251&lt;='Batt IN'!$E$46*12),0,-'Batt IN'!$E$28*'Batt IN'!$E$45/12)</f>
        <v>-166.66666666666666</v>
      </c>
      <c r="BO251" s="2">
        <f>IF(AND('Batt IN'!$D$41="YES",BattCalcs!C251=ROUNDUP('Batt IN'!$H$41*12,)),-'Batt IN'!$E$41*'Batt IN'!$E$28,0)</f>
        <v>0</v>
      </c>
      <c r="BP251" s="2">
        <f>IF(AND('Batt IN'!$D$53="Yes",$AL$1&gt;=1),0,IF($C251='Batt IN'!$H$54*12,-'Batt IN'!$F$54,0))</f>
        <v>0</v>
      </c>
      <c r="BQ251" s="2">
        <f>IF(AND('Batt IN'!$D$53="Yes",$AL$1&gt;=2),0,IF($C251='Batt IN'!$H$55*12,-'Batt IN'!$F$55,0))</f>
        <v>0</v>
      </c>
      <c r="BR251" s="2">
        <f>IF(AND('Batt IN'!$D$53="Yes",$AL$1&gt;=3),0,IF($C251='Batt IN'!$H$56*12,-'Batt IN'!$F$56,0))</f>
        <v>0</v>
      </c>
      <c r="BS251" s="2">
        <f>IF(AND('Batt IN'!$D$53="Yes",$AL$1&gt;=4),0,IF($C251='Batt IN'!$H$57*12,-'Batt IN'!$F$57,0))</f>
        <v>0</v>
      </c>
      <c r="BT251" s="2">
        <f>IF(AND('Batt IN'!$D$53="Yes",$AL$1&gt;=5),0,IF($C251='Batt IN'!$H$58*12,-'Batt IN'!$F$58,0))</f>
        <v>0</v>
      </c>
      <c r="BU251" s="2">
        <f>-AH251*PVCalcs!F251</f>
        <v>-379.78065558809794</v>
      </c>
      <c r="BV251" s="2">
        <f>-'Batt IN'!$E$47</f>
        <v>-150</v>
      </c>
      <c r="BW251" s="2">
        <f>-'Batt IN'!$E$49</f>
        <v>-2250</v>
      </c>
      <c r="BX251" s="2">
        <f>IF('Batt IN'!$H$50="No",-(BC251*'Batt IN'!$E$50),-(BC251+BE251)*'Batt IN'!$E$50)</f>
        <v>0</v>
      </c>
      <c r="BY251" s="2">
        <f>IF(C251='Batt IN'!$H$43*12,-'Batt IN'!$E$43,0)</f>
        <v>0</v>
      </c>
      <c r="BZ251" s="38"/>
      <c r="CA251" s="10">
        <f t="shared" si="51"/>
        <v>13422.323408333334</v>
      </c>
      <c r="CB251" s="2">
        <f t="shared" si="55"/>
        <v>-3029.7806555880979</v>
      </c>
      <c r="CC251" s="45">
        <f t="shared" si="56"/>
        <v>10392.542752745236</v>
      </c>
      <c r="CD251" s="43"/>
      <c r="CE251" s="2">
        <f t="shared" si="52"/>
        <v>0</v>
      </c>
      <c r="CF251" s="2">
        <f t="shared" si="57"/>
        <v>-3029.7806555880979</v>
      </c>
      <c r="CG251" s="2"/>
      <c r="CH251" s="2">
        <f t="shared" si="58"/>
        <v>-3029.7806555880979</v>
      </c>
      <c r="CI251" s="45">
        <f>-CH251*'Batt IN'!$E$7</f>
        <v>636.25393767350056</v>
      </c>
      <c r="CJ251" s="48"/>
      <c r="CK251" s="45">
        <f>IF('Batt IN'!$F$4="PV Only",0,IF(C251&gt;'Batt IN'!$H$43*12,0,CC251+CI251))</f>
        <v>0</v>
      </c>
      <c r="CM251" s="10">
        <f t="shared" si="59"/>
        <v>0</v>
      </c>
      <c r="CN251" s="2">
        <f>CK251/(1+('Batt IN'!$G$8))^(C251)</f>
        <v>0</v>
      </c>
      <c r="CO251" s="2" t="e">
        <f>IF(C251&lt;='Batt IN'!$O$30*12,CN251+CO250,NA())</f>
        <v>#N/A</v>
      </c>
      <c r="CQ251" s="2">
        <f>CK251/((1+('Batt IN'!$E$8/12))^BattCalcs!C251)</f>
        <v>0</v>
      </c>
      <c r="CS251" s="10">
        <f t="shared" si="60"/>
        <v>-3029.7806555880979</v>
      </c>
      <c r="CT251" s="10">
        <f t="shared" si="61"/>
        <v>0</v>
      </c>
      <c r="CU251" s="10">
        <f t="shared" si="62"/>
        <v>-3029.7806555880979</v>
      </c>
      <c r="CV251" s="10">
        <f t="shared" si="63"/>
        <v>-3029.7806555880979</v>
      </c>
      <c r="CW251" s="2">
        <f t="shared" si="64"/>
        <v>0</v>
      </c>
      <c r="CX251" s="2">
        <f>-(SUM(CV251:CW251)*'PV IN'!$E$8)</f>
        <v>636.25393767350056</v>
      </c>
      <c r="CY251" s="2">
        <f t="shared" si="65"/>
        <v>-2393.5267179145976</v>
      </c>
      <c r="CZ251" s="2">
        <f>IF(C251&lt;='Batt IN'!$H$43*12,CY251/(1+('PV IN'!$G$9))^(C251),0)</f>
        <v>-876.7825016891386</v>
      </c>
      <c r="DA251" s="33">
        <f>IF(C251&lt;='Batt IN'!$H$43*12,AE251,0)</f>
        <v>30366.783333333333</v>
      </c>
    </row>
    <row r="252" spans="1:105" x14ac:dyDescent="0.25">
      <c r="A252">
        <f>IF(C252&lt;='Batt IN'!$H$43*12,C252,"")</f>
        <v>248</v>
      </c>
      <c r="C252">
        <v>248</v>
      </c>
      <c r="D252" s="21">
        <v>730</v>
      </c>
      <c r="E252" s="1">
        <f>1-'Batt IN'!$E$31</f>
        <v>2.0000000000000018E-2</v>
      </c>
      <c r="F252" s="12">
        <f>('Batt IN'!$E$33*365)/8760</f>
        <v>0</v>
      </c>
      <c r="G252" s="22">
        <f>'Batt IN'!$E$32/8760</f>
        <v>5.7077625570776253E-3</v>
      </c>
      <c r="H252" s="22">
        <f>'Batt IN'!$E$13/8760</f>
        <v>5.5936073059360729E-3</v>
      </c>
      <c r="I252" s="23">
        <f>IF(C252&lt;='Batt IN'!$G$14*12,'Batt IN'!$E$15/8760*'Batt IN'!$G$15,0)</f>
        <v>0</v>
      </c>
      <c r="J252" s="12">
        <f>Z252/'Batt IN'!$E$27/730</f>
        <v>2.4999999999999996E-3</v>
      </c>
      <c r="K252" s="23">
        <f>AA252/'Batt IN'!$E$27/730</f>
        <v>1.6027397260273972E-3</v>
      </c>
      <c r="L252" s="23">
        <f>AB252/'Batt IN'!$E$27/730</f>
        <v>2.0547945205479451E-4</v>
      </c>
      <c r="M252" s="23">
        <f>AC252/'Batt IN'!$E$27/730</f>
        <v>4.7945205479452057E-3</v>
      </c>
      <c r="N252" s="23">
        <f>AD252/'Batt IN'!$E$27/730</f>
        <v>3.4246575342465752E-3</v>
      </c>
      <c r="O252" s="12">
        <f t="shared" si="53"/>
        <v>4.3828767123287697E-2</v>
      </c>
      <c r="P252" s="21">
        <f t="shared" si="54"/>
        <v>698.005</v>
      </c>
      <c r="Q252" s="2">
        <f>IF('Batt IN'!$E$27*'Batt IN'!$E$24&lt;='Batt IN'!$E$28,(('Batt IN'!$E$23*'Batt IN'!$E$27*'Batt IN'!$E$24)/1000)*P252,(('Batt IN'!$E$23*'Batt IN'!$E$28*'Batt IN'!$E$24)/1000)*P252)</f>
        <v>11168.08</v>
      </c>
      <c r="R252" s="2"/>
      <c r="S252" s="77">
        <f>IF(C252&lt;='Batt IN'!$G$14*12,'Batt IN'!$E$15/12,0)</f>
        <v>0</v>
      </c>
      <c r="T252" s="77"/>
      <c r="U252" s="80">
        <f>'Batt IN'!$E$28*('Batt IN'!$G$24/24)*730*(1-O252)</f>
        <v>81433.916666666657</v>
      </c>
      <c r="V252" s="78">
        <f>U252*'Batt IN'!$F$30</f>
        <v>16286.783333333333</v>
      </c>
      <c r="W252" s="78">
        <f>'Batt IN'!$E$28*'Batt IN'!$G$32*('Batt IN'!$E$32/12)*(1+'Batt IN'!$F$30)</f>
        <v>1750.0000000000002</v>
      </c>
      <c r="X252" s="78">
        <f>'Batt IN'!$E$28*'Batt IN'!$G$13*('Batt IN'!$E$13/12)*(1+'Batt IN'!$F$30)</f>
        <v>3184.9999999999995</v>
      </c>
      <c r="Y252" s="33">
        <f>S252*'Batt IN'!$G$15*'Batt IN'!$E$28*(1+'Batt IN'!$F$30)</f>
        <v>0</v>
      </c>
      <c r="Z252" s="33">
        <f>'Batt IN'!$G$16*365/12*(1+'Batt IN'!$F$30)</f>
        <v>1824.9999999999998</v>
      </c>
      <c r="AA252" s="33">
        <f>'Batt IN'!$G$17*'Batt IN'!$E$18*'Batt IN'!$G$18/12*(1+'Batt IN'!$F$30)</f>
        <v>1170</v>
      </c>
      <c r="AB252" s="33">
        <f>'Batt IN'!$G$19*'Batt IN'!$E$20*'Batt IN'!$G$20/12*(1+'Batt IN'!$F$30)</f>
        <v>150</v>
      </c>
      <c r="AC252" s="33">
        <f>'Batt IN'!$G$21*(1+'Batt IN'!$F$30)/12</f>
        <v>3500</v>
      </c>
      <c r="AD252" s="33">
        <f>'Batt IN'!$G$22*(1+'Batt IN'!$F$30)/12</f>
        <v>2500</v>
      </c>
      <c r="AE252" s="33">
        <f t="shared" si="66"/>
        <v>30366.783333333333</v>
      </c>
      <c r="AF252" s="33">
        <f>IF('PV IN'!$F$4="Battery Only",0,AE252*'Batt IN'!$E$29)</f>
        <v>25811.765833333331</v>
      </c>
      <c r="AG252" s="33">
        <f>PVCalcs!L252</f>
        <v>25811.765833333331</v>
      </c>
      <c r="AH252" s="33">
        <f t="shared" si="67"/>
        <v>4555.0175000000017</v>
      </c>
      <c r="AI252" s="33"/>
      <c r="AJ252" s="2">
        <f>IF(AND('Batt IN'!$D$53="Yes",$AL$1&gt;=1),IF($C252='Batt IN'!$H$54*12,-'Batt IN'!$F$54,0),0)</f>
        <v>0</v>
      </c>
      <c r="AK252" s="2">
        <f>IF(AND('Batt IN'!$D$53="Yes",$AL$1&gt;=2),IF($C252='Batt IN'!$H$55*12,-'Batt IN'!$F$55,0),0)</f>
        <v>0</v>
      </c>
      <c r="AL252" s="2">
        <f>IF(AND('Batt IN'!$D$53="Yes",$AL$1&gt;=3),IF($C252='Batt IN'!$H$56*12,-'Batt IN'!$F$56,0),0)</f>
        <v>0</v>
      </c>
      <c r="AM252" s="2">
        <f>IF(AND('Batt IN'!$D$53="Yes",$AL$1&gt;=4),IF($C252='Batt IN'!$H$57*12,-'Batt IN'!$F$57,0),0)</f>
        <v>0</v>
      </c>
      <c r="AN252" s="2">
        <f>IF(AND('Batt IN'!$D$53="Yes",$AL$1&gt;=5),IF($C252='Batt IN'!$H$58*12,-'Batt IN'!$F$58,0),0)</f>
        <v>0</v>
      </c>
      <c r="AO252" s="10">
        <f>IF(AND('Batt IN'!$D$44="YES",$C252&lt;='Batt IN'!$E$44*12),-'Batt IN'!$E$28*'Batt IN'!$E$42/12,0)</f>
        <v>0</v>
      </c>
      <c r="AP252" s="10">
        <f>IF(AND('Batt IN'!$D$46="YES",$C252&lt;='Batt IN'!$E$46*12),-'Batt IN'!$E$28*'Batt IN'!$E$45/12,0)</f>
        <v>0</v>
      </c>
      <c r="AR252" s="10">
        <f>BattLoan!M279</f>
        <v>0</v>
      </c>
      <c r="AS252" s="10">
        <f>'Batt IN'!$G$16*365/12*'Batt IN'!$E$16</f>
        <v>76.041666666666671</v>
      </c>
      <c r="AT252" s="10">
        <f>IF(AND('Batt IN'!$E$18&gt;0,'Batt IN'!$G$18&gt;0),'Batt IN'!$E$17*'Batt IN'!$G$17,0)</f>
        <v>119.44619999999999</v>
      </c>
      <c r="AU252" s="10">
        <f>IF(AND('Batt IN'!$E$20&gt;0,'Batt IN'!$G$20&gt;0),'Batt IN'!$E$19*'Batt IN'!$G$19,0)</f>
        <v>231</v>
      </c>
      <c r="AV252" s="10"/>
      <c r="AW252" s="10"/>
      <c r="AX252" s="10">
        <f>IF('Batt IN'!$E$11="Non-Taxable",Q252,0)</f>
        <v>11168.08</v>
      </c>
      <c r="AY252" s="10">
        <f>IF('Batt IN'!$E$11="Non-Taxable",'Batt IN'!$E$28/1000*'Batt IN'!$G$13*('Batt IN'!$E$13/12)*'Batt IN'!$E$12,0)</f>
        <v>244.42220833333334</v>
      </c>
      <c r="AZ252" s="10">
        <f>IF('Batt IN'!$E$11="Non-Taxable",$S252*'Batt IN'!$G$15*'Batt IN'!$E$28*'Batt IN'!$E$14/1000,0)</f>
        <v>0</v>
      </c>
      <c r="BA252" s="10">
        <f>IF('Batt IN'!$E$11="Non-Taxable",'Batt IN'!$E$21*'Batt IN'!$G$21/12,0)</f>
        <v>437.5</v>
      </c>
      <c r="BB252" s="10">
        <f>IF('Batt IN'!$E$11="Non-Taxable",'Batt IN'!$E$22*'Batt IN'!$G$22/12,0)</f>
        <v>1145.8333333333335</v>
      </c>
      <c r="BC252" s="10">
        <f>IF('Batt IN'!$E$11="Taxable",Q252,0)</f>
        <v>0</v>
      </c>
      <c r="BD252" s="10">
        <f>IF('Batt IN'!$E$11="Taxable",'Batt IN'!$E$28/1000*'Batt IN'!$G$13*('Batt IN'!$E$13/12)*'Batt IN'!$E$12,0)</f>
        <v>0</v>
      </c>
      <c r="BE252" s="10">
        <f>IF('Batt IN'!$E$11="Taxable",$S252*'Batt IN'!$G$15*'Batt IN'!$E$28*'Batt IN'!$E$14/1000,0)</f>
        <v>0</v>
      </c>
      <c r="BF252" s="10">
        <f>IF('Batt IN'!$E$11="Taxable",'Batt IN'!$E$21*'Batt IN'!$G$21/12,0)</f>
        <v>0</v>
      </c>
      <c r="BG252" s="10">
        <f>IF('Batt IN'!$E$11="Taxable",'Batt IN'!$E$22*'Batt IN'!$G$22/12,0)</f>
        <v>0</v>
      </c>
      <c r="BK252" s="10">
        <f>IF('Batt IN'!$N$18="Yes",-BattLoan!H280,-BattLoan!L280)</f>
        <v>0</v>
      </c>
      <c r="BL252" s="10">
        <f>IF('Batt IN'!$N$18="Yes",-BattLoan!F280,0)</f>
        <v>0</v>
      </c>
      <c r="BM252" s="10">
        <f>IF(AND('Batt IN'!$D$44="YES",$C252&lt;='Batt IN'!$E$44*12),0,-'Batt IN'!$E$28*'Batt IN'!$E$42/12)</f>
        <v>-83.333333333333329</v>
      </c>
      <c r="BN252" s="10">
        <f>IF(AND('Batt IN'!$D$46="YES",$C252&lt;='Batt IN'!$E$46*12),0,-'Batt IN'!$E$28*'Batt IN'!$E$45/12)</f>
        <v>-166.66666666666666</v>
      </c>
      <c r="BO252" s="2">
        <f>IF(AND('Batt IN'!$D$41="YES",BattCalcs!C252=ROUNDUP('Batt IN'!$H$41*12,)),-'Batt IN'!$E$41*'Batt IN'!$E$28,0)</f>
        <v>0</v>
      </c>
      <c r="BP252" s="2">
        <f>IF(AND('Batt IN'!$D$53="Yes",$AL$1&gt;=1),0,IF($C252='Batt IN'!$H$54*12,-'Batt IN'!$F$54,0))</f>
        <v>0</v>
      </c>
      <c r="BQ252" s="2">
        <f>IF(AND('Batt IN'!$D$53="Yes",$AL$1&gt;=2),0,IF($C252='Batt IN'!$H$55*12,-'Batt IN'!$F$55,0))</f>
        <v>0</v>
      </c>
      <c r="BR252" s="2">
        <f>IF(AND('Batt IN'!$D$53="Yes",$AL$1&gt;=3),0,IF($C252='Batt IN'!$H$56*12,-'Batt IN'!$F$56,0))</f>
        <v>0</v>
      </c>
      <c r="BS252" s="2">
        <f>IF(AND('Batt IN'!$D$53="Yes",$AL$1&gt;=4),0,IF($C252='Batt IN'!$H$57*12,-'Batt IN'!$F$57,0))</f>
        <v>0</v>
      </c>
      <c r="BT252" s="2">
        <f>IF(AND('Batt IN'!$D$53="Yes",$AL$1&gt;=5),0,IF($C252='Batt IN'!$H$58*12,-'Batt IN'!$F$58,0))</f>
        <v>0</v>
      </c>
      <c r="BU252" s="2">
        <f>-AH252*PVCalcs!F252</f>
        <v>-379.78065558809794</v>
      </c>
      <c r="BV252" s="2">
        <f>-'Batt IN'!$E$47</f>
        <v>-150</v>
      </c>
      <c r="BW252" s="2">
        <f>-'Batt IN'!$E$49</f>
        <v>-2250</v>
      </c>
      <c r="BX252" s="2">
        <f>IF('Batt IN'!$H$50="No",-(BC252*'Batt IN'!$E$50),-(BC252+BE252)*'Batt IN'!$E$50)</f>
        <v>0</v>
      </c>
      <c r="BY252" s="2">
        <f>IF(C252='Batt IN'!$H$43*12,-'Batt IN'!$E$43,0)</f>
        <v>0</v>
      </c>
      <c r="BZ252" s="38"/>
      <c r="CA252" s="10">
        <f t="shared" si="51"/>
        <v>13422.323408333334</v>
      </c>
      <c r="CB252" s="2">
        <f t="shared" si="55"/>
        <v>-3029.7806555880979</v>
      </c>
      <c r="CC252" s="45">
        <f t="shared" si="56"/>
        <v>10392.542752745236</v>
      </c>
      <c r="CD252" s="43"/>
      <c r="CE252" s="2">
        <f t="shared" si="52"/>
        <v>0</v>
      </c>
      <c r="CF252" s="2">
        <f t="shared" si="57"/>
        <v>-3029.7806555880979</v>
      </c>
      <c r="CG252" s="2"/>
      <c r="CH252" s="2">
        <f t="shared" si="58"/>
        <v>-3029.7806555880979</v>
      </c>
      <c r="CI252" s="45">
        <f>-CH252*'Batt IN'!$E$7</f>
        <v>636.25393767350056</v>
      </c>
      <c r="CJ252" s="48"/>
      <c r="CK252" s="45">
        <f>IF('Batt IN'!$F$4="PV Only",0,IF(C252&gt;'Batt IN'!$H$43*12,0,CC252+CI252))</f>
        <v>0</v>
      </c>
      <c r="CM252" s="10">
        <f t="shared" si="59"/>
        <v>0</v>
      </c>
      <c r="CN252" s="2">
        <f>CK252/(1+('Batt IN'!$G$8))^(C252)</f>
        <v>0</v>
      </c>
      <c r="CO252" s="2" t="e">
        <f>IF(C252&lt;='Batt IN'!$O$30*12,CN252+CO251,NA())</f>
        <v>#N/A</v>
      </c>
      <c r="CQ252" s="2">
        <f>CK252/((1+('Batt IN'!$E$8/12))^BattCalcs!C252)</f>
        <v>0</v>
      </c>
      <c r="CS252" s="10">
        <f t="shared" si="60"/>
        <v>-3029.7806555880979</v>
      </c>
      <c r="CT252" s="10">
        <f t="shared" si="61"/>
        <v>0</v>
      </c>
      <c r="CU252" s="10">
        <f t="shared" si="62"/>
        <v>-3029.7806555880979</v>
      </c>
      <c r="CV252" s="10">
        <f t="shared" si="63"/>
        <v>-3029.7806555880979</v>
      </c>
      <c r="CW252" s="2">
        <f t="shared" si="64"/>
        <v>0</v>
      </c>
      <c r="CX252" s="2">
        <f>-(SUM(CV252:CW252)*'PV IN'!$E$8)</f>
        <v>636.25393767350056</v>
      </c>
      <c r="CY252" s="2">
        <f t="shared" si="65"/>
        <v>-2393.5267179145976</v>
      </c>
      <c r="CZ252" s="2">
        <f>IF(C252&lt;='Batt IN'!$H$43*12,CY252/(1+('PV IN'!$G$9))^(C252),0)</f>
        <v>-873.22487545557135</v>
      </c>
      <c r="DA252" s="33">
        <f>IF(C252&lt;='Batt IN'!$H$43*12,AE252,0)</f>
        <v>30366.783333333333</v>
      </c>
    </row>
    <row r="253" spans="1:105" x14ac:dyDescent="0.25">
      <c r="A253">
        <f>IF(C253&lt;='Batt IN'!$H$43*12,C253,"")</f>
        <v>249</v>
      </c>
      <c r="C253">
        <v>249</v>
      </c>
      <c r="D253" s="21">
        <v>730</v>
      </c>
      <c r="E253" s="1">
        <f>1-'Batt IN'!$E$31</f>
        <v>2.0000000000000018E-2</v>
      </c>
      <c r="F253" s="12">
        <f>('Batt IN'!$E$33*365)/8760</f>
        <v>0</v>
      </c>
      <c r="G253" s="22">
        <f>'Batt IN'!$E$32/8760</f>
        <v>5.7077625570776253E-3</v>
      </c>
      <c r="H253" s="22">
        <f>'Batt IN'!$E$13/8760</f>
        <v>5.5936073059360729E-3</v>
      </c>
      <c r="I253" s="23">
        <f>IF(C253&lt;='Batt IN'!$G$14*12,'Batt IN'!$E$15/8760*'Batt IN'!$G$15,0)</f>
        <v>0</v>
      </c>
      <c r="J253" s="12">
        <f>Z253/'Batt IN'!$E$27/730</f>
        <v>2.4999999999999996E-3</v>
      </c>
      <c r="K253" s="23">
        <f>AA253/'Batt IN'!$E$27/730</f>
        <v>1.6027397260273972E-3</v>
      </c>
      <c r="L253" s="23">
        <f>AB253/'Batt IN'!$E$27/730</f>
        <v>2.0547945205479451E-4</v>
      </c>
      <c r="M253" s="23">
        <f>AC253/'Batt IN'!$E$27/730</f>
        <v>4.7945205479452057E-3</v>
      </c>
      <c r="N253" s="23">
        <f>AD253/'Batt IN'!$E$27/730</f>
        <v>3.4246575342465752E-3</v>
      </c>
      <c r="O253" s="12">
        <f t="shared" si="53"/>
        <v>4.3828767123287697E-2</v>
      </c>
      <c r="P253" s="21">
        <f t="shared" si="54"/>
        <v>698.005</v>
      </c>
      <c r="Q253" s="2">
        <f>IF('Batt IN'!$E$27*'Batt IN'!$E$24&lt;='Batt IN'!$E$28,(('Batt IN'!$E$23*'Batt IN'!$E$27*'Batt IN'!$E$24)/1000)*P253,(('Batt IN'!$E$23*'Batt IN'!$E$28*'Batt IN'!$E$24)/1000)*P253)</f>
        <v>11168.08</v>
      </c>
      <c r="R253" s="2"/>
      <c r="S253" s="77">
        <f>IF(C253&lt;='Batt IN'!$G$14*12,'Batt IN'!$E$15/12,0)</f>
        <v>0</v>
      </c>
      <c r="T253" s="77"/>
      <c r="U253" s="80">
        <f>'Batt IN'!$E$28*('Batt IN'!$G$24/24)*730*(1-O253)</f>
        <v>81433.916666666657</v>
      </c>
      <c r="V253" s="78">
        <f>U253*'Batt IN'!$F$30</f>
        <v>16286.783333333333</v>
      </c>
      <c r="W253" s="78">
        <f>'Batt IN'!$E$28*'Batt IN'!$G$32*('Batt IN'!$E$32/12)*(1+'Batt IN'!$F$30)</f>
        <v>1750.0000000000002</v>
      </c>
      <c r="X253" s="78">
        <f>'Batt IN'!$E$28*'Batt IN'!$G$13*('Batt IN'!$E$13/12)*(1+'Batt IN'!$F$30)</f>
        <v>3184.9999999999995</v>
      </c>
      <c r="Y253" s="33">
        <f>S253*'Batt IN'!$G$15*'Batt IN'!$E$28*(1+'Batt IN'!$F$30)</f>
        <v>0</v>
      </c>
      <c r="Z253" s="33">
        <f>'Batt IN'!$G$16*365/12*(1+'Batt IN'!$F$30)</f>
        <v>1824.9999999999998</v>
      </c>
      <c r="AA253" s="33">
        <f>'Batt IN'!$G$17*'Batt IN'!$E$18*'Batt IN'!$G$18/12*(1+'Batt IN'!$F$30)</f>
        <v>1170</v>
      </c>
      <c r="AB253" s="33">
        <f>'Batt IN'!$G$19*'Batt IN'!$E$20*'Batt IN'!$G$20/12*(1+'Batt IN'!$F$30)</f>
        <v>150</v>
      </c>
      <c r="AC253" s="33">
        <f>'Batt IN'!$G$21*(1+'Batt IN'!$F$30)/12</f>
        <v>3500</v>
      </c>
      <c r="AD253" s="33">
        <f>'Batt IN'!$G$22*(1+'Batt IN'!$F$30)/12</f>
        <v>2500</v>
      </c>
      <c r="AE253" s="33">
        <f t="shared" si="66"/>
        <v>30366.783333333333</v>
      </c>
      <c r="AF253" s="33">
        <f>IF('PV IN'!$F$4="Battery Only",0,AE253*'Batt IN'!$E$29)</f>
        <v>25811.765833333331</v>
      </c>
      <c r="AG253" s="33">
        <f>PVCalcs!L253</f>
        <v>25811.765833333331</v>
      </c>
      <c r="AH253" s="33">
        <f t="shared" si="67"/>
        <v>4555.0175000000017</v>
      </c>
      <c r="AI253" s="33"/>
      <c r="AJ253" s="2">
        <f>IF(AND('Batt IN'!$D$53="Yes",$AL$1&gt;=1),IF($C253='Batt IN'!$H$54*12,-'Batt IN'!$F$54,0),0)</f>
        <v>0</v>
      </c>
      <c r="AK253" s="2">
        <f>IF(AND('Batt IN'!$D$53="Yes",$AL$1&gt;=2),IF($C253='Batt IN'!$H$55*12,-'Batt IN'!$F$55,0),0)</f>
        <v>0</v>
      </c>
      <c r="AL253" s="2">
        <f>IF(AND('Batt IN'!$D$53="Yes",$AL$1&gt;=3),IF($C253='Batt IN'!$H$56*12,-'Batt IN'!$F$56,0),0)</f>
        <v>0</v>
      </c>
      <c r="AM253" s="2">
        <f>IF(AND('Batt IN'!$D$53="Yes",$AL$1&gt;=4),IF($C253='Batt IN'!$H$57*12,-'Batt IN'!$F$57,0),0)</f>
        <v>0</v>
      </c>
      <c r="AN253" s="2">
        <f>IF(AND('Batt IN'!$D$53="Yes",$AL$1&gt;=5),IF($C253='Batt IN'!$H$58*12,-'Batt IN'!$F$58,0),0)</f>
        <v>0</v>
      </c>
      <c r="AO253" s="10">
        <f>IF(AND('Batt IN'!$D$44="YES",$C253&lt;='Batt IN'!$E$44*12),-'Batt IN'!$E$28*'Batt IN'!$E$42/12,0)</f>
        <v>0</v>
      </c>
      <c r="AP253" s="10">
        <f>IF(AND('Batt IN'!$D$46="YES",$C253&lt;='Batt IN'!$E$46*12),-'Batt IN'!$E$28*'Batt IN'!$E$45/12,0)</f>
        <v>0</v>
      </c>
      <c r="AR253" s="10">
        <f>BattLoan!M280</f>
        <v>0</v>
      </c>
      <c r="AS253" s="10">
        <f>'Batt IN'!$G$16*365/12*'Batt IN'!$E$16</f>
        <v>76.041666666666671</v>
      </c>
      <c r="AT253" s="10">
        <f>IF(AND('Batt IN'!$E$18&gt;0,'Batt IN'!$G$18&gt;0),'Batt IN'!$E$17*'Batt IN'!$G$17,0)</f>
        <v>119.44619999999999</v>
      </c>
      <c r="AU253" s="10">
        <f>IF(AND('Batt IN'!$E$20&gt;0,'Batt IN'!$G$20&gt;0),'Batt IN'!$E$19*'Batt IN'!$G$19,0)</f>
        <v>231</v>
      </c>
      <c r="AV253" s="10"/>
      <c r="AW253" s="10"/>
      <c r="AX253" s="10">
        <f>IF('Batt IN'!$E$11="Non-Taxable",Q253,0)</f>
        <v>11168.08</v>
      </c>
      <c r="AY253" s="10">
        <f>IF('Batt IN'!$E$11="Non-Taxable",'Batt IN'!$E$28/1000*'Batt IN'!$G$13*('Batt IN'!$E$13/12)*'Batt IN'!$E$12,0)</f>
        <v>244.42220833333334</v>
      </c>
      <c r="AZ253" s="10">
        <f>IF('Batt IN'!$E$11="Non-Taxable",$S253*'Batt IN'!$G$15*'Batt IN'!$E$28*'Batt IN'!$E$14/1000,0)</f>
        <v>0</v>
      </c>
      <c r="BA253" s="10">
        <f>IF('Batt IN'!$E$11="Non-Taxable",'Batt IN'!$E$21*'Batt IN'!$G$21/12,0)</f>
        <v>437.5</v>
      </c>
      <c r="BB253" s="10">
        <f>IF('Batt IN'!$E$11="Non-Taxable",'Batt IN'!$E$22*'Batt IN'!$G$22/12,0)</f>
        <v>1145.8333333333335</v>
      </c>
      <c r="BC253" s="10">
        <f>IF('Batt IN'!$E$11="Taxable",Q253,0)</f>
        <v>0</v>
      </c>
      <c r="BD253" s="10">
        <f>IF('Batt IN'!$E$11="Taxable",'Batt IN'!$E$28/1000*'Batt IN'!$G$13*('Batt IN'!$E$13/12)*'Batt IN'!$E$12,0)</f>
        <v>0</v>
      </c>
      <c r="BE253" s="10">
        <f>IF('Batt IN'!$E$11="Taxable",$S253*'Batt IN'!$G$15*'Batt IN'!$E$28*'Batt IN'!$E$14/1000,0)</f>
        <v>0</v>
      </c>
      <c r="BF253" s="10">
        <f>IF('Batt IN'!$E$11="Taxable",'Batt IN'!$E$21*'Batt IN'!$G$21/12,0)</f>
        <v>0</v>
      </c>
      <c r="BG253" s="10">
        <f>IF('Batt IN'!$E$11="Taxable",'Batt IN'!$E$22*'Batt IN'!$G$22/12,0)</f>
        <v>0</v>
      </c>
      <c r="BK253" s="10">
        <f>IF('Batt IN'!$N$18="Yes",-BattLoan!H281,-BattLoan!L281)</f>
        <v>0</v>
      </c>
      <c r="BL253" s="10">
        <f>IF('Batt IN'!$N$18="Yes",-BattLoan!F281,0)</f>
        <v>0</v>
      </c>
      <c r="BM253" s="10">
        <f>IF(AND('Batt IN'!$D$44="YES",$C253&lt;='Batt IN'!$E$44*12),0,-'Batt IN'!$E$28*'Batt IN'!$E$42/12)</f>
        <v>-83.333333333333329</v>
      </c>
      <c r="BN253" s="10">
        <f>IF(AND('Batt IN'!$D$46="YES",$C253&lt;='Batt IN'!$E$46*12),0,-'Batt IN'!$E$28*'Batt IN'!$E$45/12)</f>
        <v>-166.66666666666666</v>
      </c>
      <c r="BO253" s="2">
        <f>IF(AND('Batt IN'!$D$41="YES",BattCalcs!C253=ROUNDUP('Batt IN'!$H$41*12,)),-'Batt IN'!$E$41*'Batt IN'!$E$28,0)</f>
        <v>0</v>
      </c>
      <c r="BP253" s="2">
        <f>IF(AND('Batt IN'!$D$53="Yes",$AL$1&gt;=1),0,IF($C253='Batt IN'!$H$54*12,-'Batt IN'!$F$54,0))</f>
        <v>0</v>
      </c>
      <c r="BQ253" s="2">
        <f>IF(AND('Batt IN'!$D$53="Yes",$AL$1&gt;=2),0,IF($C253='Batt IN'!$H$55*12,-'Batt IN'!$F$55,0))</f>
        <v>0</v>
      </c>
      <c r="BR253" s="2">
        <f>IF(AND('Batt IN'!$D$53="Yes",$AL$1&gt;=3),0,IF($C253='Batt IN'!$H$56*12,-'Batt IN'!$F$56,0))</f>
        <v>0</v>
      </c>
      <c r="BS253" s="2">
        <f>IF(AND('Batt IN'!$D$53="Yes",$AL$1&gt;=4),0,IF($C253='Batt IN'!$H$57*12,-'Batt IN'!$F$57,0))</f>
        <v>0</v>
      </c>
      <c r="BT253" s="2">
        <f>IF(AND('Batt IN'!$D$53="Yes",$AL$1&gt;=5),0,IF($C253='Batt IN'!$H$58*12,-'Batt IN'!$F$58,0))</f>
        <v>0</v>
      </c>
      <c r="BU253" s="2">
        <f>-AH253*PVCalcs!F253</f>
        <v>-379.78065558809794</v>
      </c>
      <c r="BV253" s="2">
        <f>-'Batt IN'!$E$47</f>
        <v>-150</v>
      </c>
      <c r="BW253" s="2">
        <f>-'Batt IN'!$E$49</f>
        <v>-2250</v>
      </c>
      <c r="BX253" s="2">
        <f>IF('Batt IN'!$H$50="No",-(BC253*'Batt IN'!$E$50),-(BC253+BE253)*'Batt IN'!$E$50)</f>
        <v>0</v>
      </c>
      <c r="BY253" s="2">
        <f>IF(C253='Batt IN'!$H$43*12,-'Batt IN'!$E$43,0)</f>
        <v>0</v>
      </c>
      <c r="BZ253" s="38"/>
      <c r="CA253" s="10">
        <f t="shared" si="51"/>
        <v>13422.323408333334</v>
      </c>
      <c r="CB253" s="2">
        <f t="shared" si="55"/>
        <v>-3029.7806555880979</v>
      </c>
      <c r="CC253" s="45">
        <f t="shared" si="56"/>
        <v>10392.542752745236</v>
      </c>
      <c r="CD253" s="43"/>
      <c r="CE253" s="2">
        <f t="shared" si="52"/>
        <v>0</v>
      </c>
      <c r="CF253" s="2">
        <f t="shared" si="57"/>
        <v>-3029.7806555880979</v>
      </c>
      <c r="CG253" s="2"/>
      <c r="CH253" s="2">
        <f t="shared" si="58"/>
        <v>-3029.7806555880979</v>
      </c>
      <c r="CI253" s="45">
        <f>-CH253*'Batt IN'!$E$7</f>
        <v>636.25393767350056</v>
      </c>
      <c r="CJ253" s="48"/>
      <c r="CK253" s="45">
        <f>IF('Batt IN'!$F$4="PV Only",0,IF(C253&gt;'Batt IN'!$H$43*12,0,CC253+CI253))</f>
        <v>0</v>
      </c>
      <c r="CM253" s="10">
        <f t="shared" si="59"/>
        <v>0</v>
      </c>
      <c r="CN253" s="2">
        <f>CK253/(1+('Batt IN'!$G$8))^(C253)</f>
        <v>0</v>
      </c>
      <c r="CO253" s="2" t="e">
        <f>IF(C253&lt;='Batt IN'!$O$30*12,CN253+CO252,NA())</f>
        <v>#N/A</v>
      </c>
      <c r="CQ253" s="2">
        <f>CK253/((1+('Batt IN'!$E$8/12))^BattCalcs!C253)</f>
        <v>0</v>
      </c>
      <c r="CS253" s="10">
        <f t="shared" si="60"/>
        <v>-3029.7806555880979</v>
      </c>
      <c r="CT253" s="10">
        <f t="shared" si="61"/>
        <v>0</v>
      </c>
      <c r="CU253" s="10">
        <f t="shared" si="62"/>
        <v>-3029.7806555880979</v>
      </c>
      <c r="CV253" s="10">
        <f t="shared" si="63"/>
        <v>-3029.7806555880979</v>
      </c>
      <c r="CW253" s="2">
        <f t="shared" si="64"/>
        <v>0</v>
      </c>
      <c r="CX253" s="2">
        <f>-(SUM(CV253:CW253)*'PV IN'!$E$8)</f>
        <v>636.25393767350056</v>
      </c>
      <c r="CY253" s="2">
        <f t="shared" si="65"/>
        <v>-2393.5267179145976</v>
      </c>
      <c r="CZ253" s="2">
        <f>IF(C253&lt;='Batt IN'!$H$43*12,CY253/(1+('PV IN'!$G$9))^(C253),0)</f>
        <v>-869.68168462005747</v>
      </c>
      <c r="DA253" s="33">
        <f>IF(C253&lt;='Batt IN'!$H$43*12,AE253,0)</f>
        <v>30366.783333333333</v>
      </c>
    </row>
    <row r="254" spans="1:105" x14ac:dyDescent="0.25">
      <c r="A254">
        <f>IF(C254&lt;='Batt IN'!$H$43*12,C254,"")</f>
        <v>250</v>
      </c>
      <c r="C254">
        <v>250</v>
      </c>
      <c r="D254" s="21">
        <v>730</v>
      </c>
      <c r="E254" s="1">
        <f>1-'Batt IN'!$E$31</f>
        <v>2.0000000000000018E-2</v>
      </c>
      <c r="F254" s="12">
        <f>('Batt IN'!$E$33*365)/8760</f>
        <v>0</v>
      </c>
      <c r="G254" s="22">
        <f>'Batt IN'!$E$32/8760</f>
        <v>5.7077625570776253E-3</v>
      </c>
      <c r="H254" s="22">
        <f>'Batt IN'!$E$13/8760</f>
        <v>5.5936073059360729E-3</v>
      </c>
      <c r="I254" s="23">
        <f>IF(C254&lt;='Batt IN'!$G$14*12,'Batt IN'!$E$15/8760*'Batt IN'!$G$15,0)</f>
        <v>0</v>
      </c>
      <c r="J254" s="12">
        <f>Z254/'Batt IN'!$E$27/730</f>
        <v>2.4999999999999996E-3</v>
      </c>
      <c r="K254" s="23">
        <f>AA254/'Batt IN'!$E$27/730</f>
        <v>1.6027397260273972E-3</v>
      </c>
      <c r="L254" s="23">
        <f>AB254/'Batt IN'!$E$27/730</f>
        <v>2.0547945205479451E-4</v>
      </c>
      <c r="M254" s="23">
        <f>AC254/'Batt IN'!$E$27/730</f>
        <v>4.7945205479452057E-3</v>
      </c>
      <c r="N254" s="23">
        <f>AD254/'Batt IN'!$E$27/730</f>
        <v>3.4246575342465752E-3</v>
      </c>
      <c r="O254" s="12">
        <f t="shared" si="53"/>
        <v>4.3828767123287697E-2</v>
      </c>
      <c r="P254" s="21">
        <f t="shared" si="54"/>
        <v>698.005</v>
      </c>
      <c r="Q254" s="2">
        <f>IF('Batt IN'!$E$27*'Batt IN'!$E$24&lt;='Batt IN'!$E$28,(('Batt IN'!$E$23*'Batt IN'!$E$27*'Batt IN'!$E$24)/1000)*P254,(('Batt IN'!$E$23*'Batt IN'!$E$28*'Batt IN'!$E$24)/1000)*P254)</f>
        <v>11168.08</v>
      </c>
      <c r="R254" s="2"/>
      <c r="S254" s="77">
        <f>IF(C254&lt;='Batt IN'!$G$14*12,'Batt IN'!$E$15/12,0)</f>
        <v>0</v>
      </c>
      <c r="T254" s="77"/>
      <c r="U254" s="80">
        <f>'Batt IN'!$E$28*('Batt IN'!$G$24/24)*730*(1-O254)</f>
        <v>81433.916666666657</v>
      </c>
      <c r="V254" s="78">
        <f>U254*'Batt IN'!$F$30</f>
        <v>16286.783333333333</v>
      </c>
      <c r="W254" s="78">
        <f>'Batt IN'!$E$28*'Batt IN'!$G$32*('Batt IN'!$E$32/12)*(1+'Batt IN'!$F$30)</f>
        <v>1750.0000000000002</v>
      </c>
      <c r="X254" s="78">
        <f>'Batt IN'!$E$28*'Batt IN'!$G$13*('Batt IN'!$E$13/12)*(1+'Batt IN'!$F$30)</f>
        <v>3184.9999999999995</v>
      </c>
      <c r="Y254" s="33">
        <f>S254*'Batt IN'!$G$15*'Batt IN'!$E$28*(1+'Batt IN'!$F$30)</f>
        <v>0</v>
      </c>
      <c r="Z254" s="33">
        <f>'Batt IN'!$G$16*365/12*(1+'Batt IN'!$F$30)</f>
        <v>1824.9999999999998</v>
      </c>
      <c r="AA254" s="33">
        <f>'Batt IN'!$G$17*'Batt IN'!$E$18*'Batt IN'!$G$18/12*(1+'Batt IN'!$F$30)</f>
        <v>1170</v>
      </c>
      <c r="AB254" s="33">
        <f>'Batt IN'!$G$19*'Batt IN'!$E$20*'Batt IN'!$G$20/12*(1+'Batt IN'!$F$30)</f>
        <v>150</v>
      </c>
      <c r="AC254" s="33">
        <f>'Batt IN'!$G$21*(1+'Batt IN'!$F$30)/12</f>
        <v>3500</v>
      </c>
      <c r="AD254" s="33">
        <f>'Batt IN'!$G$22*(1+'Batt IN'!$F$30)/12</f>
        <v>2500</v>
      </c>
      <c r="AE254" s="33">
        <f t="shared" si="66"/>
        <v>30366.783333333333</v>
      </c>
      <c r="AF254" s="33">
        <f>IF('PV IN'!$F$4="Battery Only",0,AE254*'Batt IN'!$E$29)</f>
        <v>25811.765833333331</v>
      </c>
      <c r="AG254" s="33">
        <f>PVCalcs!L254</f>
        <v>25811.765833333331</v>
      </c>
      <c r="AH254" s="33">
        <f t="shared" si="67"/>
        <v>4555.0175000000017</v>
      </c>
      <c r="AI254" s="33"/>
      <c r="AJ254" s="2">
        <f>IF(AND('Batt IN'!$D$53="Yes",$AL$1&gt;=1),IF($C254='Batt IN'!$H$54*12,-'Batt IN'!$F$54,0),0)</f>
        <v>0</v>
      </c>
      <c r="AK254" s="2">
        <f>IF(AND('Batt IN'!$D$53="Yes",$AL$1&gt;=2),IF($C254='Batt IN'!$H$55*12,-'Batt IN'!$F$55,0),0)</f>
        <v>0</v>
      </c>
      <c r="AL254" s="2">
        <f>IF(AND('Batt IN'!$D$53="Yes",$AL$1&gt;=3),IF($C254='Batt IN'!$H$56*12,-'Batt IN'!$F$56,0),0)</f>
        <v>0</v>
      </c>
      <c r="AM254" s="2">
        <f>IF(AND('Batt IN'!$D$53="Yes",$AL$1&gt;=4),IF($C254='Batt IN'!$H$57*12,-'Batt IN'!$F$57,0),0)</f>
        <v>0</v>
      </c>
      <c r="AN254" s="2">
        <f>IF(AND('Batt IN'!$D$53="Yes",$AL$1&gt;=5),IF($C254='Batt IN'!$H$58*12,-'Batt IN'!$F$58,0),0)</f>
        <v>0</v>
      </c>
      <c r="AO254" s="10">
        <f>IF(AND('Batt IN'!$D$44="YES",$C254&lt;='Batt IN'!$E$44*12),-'Batt IN'!$E$28*'Batt IN'!$E$42/12,0)</f>
        <v>0</v>
      </c>
      <c r="AP254" s="10">
        <f>IF(AND('Batt IN'!$D$46="YES",$C254&lt;='Batt IN'!$E$46*12),-'Batt IN'!$E$28*'Batt IN'!$E$45/12,0)</f>
        <v>0</v>
      </c>
      <c r="AR254" s="10">
        <f>BattLoan!M281</f>
        <v>0</v>
      </c>
      <c r="AS254" s="10">
        <f>'Batt IN'!$G$16*365/12*'Batt IN'!$E$16</f>
        <v>76.041666666666671</v>
      </c>
      <c r="AT254" s="10">
        <f>IF(AND('Batt IN'!$E$18&gt;0,'Batt IN'!$G$18&gt;0),'Batt IN'!$E$17*'Batt IN'!$G$17,0)</f>
        <v>119.44619999999999</v>
      </c>
      <c r="AU254" s="10">
        <f>IF(AND('Batt IN'!$E$20&gt;0,'Batt IN'!$G$20&gt;0),'Batt IN'!$E$19*'Batt IN'!$G$19,0)</f>
        <v>231</v>
      </c>
      <c r="AV254" s="10"/>
      <c r="AW254" s="10"/>
      <c r="AX254" s="10">
        <f>IF('Batt IN'!$E$11="Non-Taxable",Q254,0)</f>
        <v>11168.08</v>
      </c>
      <c r="AY254" s="10">
        <f>IF('Batt IN'!$E$11="Non-Taxable",'Batt IN'!$E$28/1000*'Batt IN'!$G$13*('Batt IN'!$E$13/12)*'Batt IN'!$E$12,0)</f>
        <v>244.42220833333334</v>
      </c>
      <c r="AZ254" s="10">
        <f>IF('Batt IN'!$E$11="Non-Taxable",$S254*'Batt IN'!$G$15*'Batt IN'!$E$28*'Batt IN'!$E$14/1000,0)</f>
        <v>0</v>
      </c>
      <c r="BA254" s="10">
        <f>IF('Batt IN'!$E$11="Non-Taxable",'Batt IN'!$E$21*'Batt IN'!$G$21/12,0)</f>
        <v>437.5</v>
      </c>
      <c r="BB254" s="10">
        <f>IF('Batt IN'!$E$11="Non-Taxable",'Batt IN'!$E$22*'Batt IN'!$G$22/12,0)</f>
        <v>1145.8333333333335</v>
      </c>
      <c r="BC254" s="10">
        <f>IF('Batt IN'!$E$11="Taxable",Q254,0)</f>
        <v>0</v>
      </c>
      <c r="BD254" s="10">
        <f>IF('Batt IN'!$E$11="Taxable",'Batt IN'!$E$28/1000*'Batt IN'!$G$13*('Batt IN'!$E$13/12)*'Batt IN'!$E$12,0)</f>
        <v>0</v>
      </c>
      <c r="BE254" s="10">
        <f>IF('Batt IN'!$E$11="Taxable",$S254*'Batt IN'!$G$15*'Batt IN'!$E$28*'Batt IN'!$E$14/1000,0)</f>
        <v>0</v>
      </c>
      <c r="BF254" s="10">
        <f>IF('Batt IN'!$E$11="Taxable",'Batt IN'!$E$21*'Batt IN'!$G$21/12,0)</f>
        <v>0</v>
      </c>
      <c r="BG254" s="10">
        <f>IF('Batt IN'!$E$11="Taxable",'Batt IN'!$E$22*'Batt IN'!$G$22/12,0)</f>
        <v>0</v>
      </c>
      <c r="BK254" s="10">
        <f>IF('Batt IN'!$N$18="Yes",-BattLoan!H282,-BattLoan!L282)</f>
        <v>0</v>
      </c>
      <c r="BL254" s="10">
        <f>IF('Batt IN'!$N$18="Yes",-BattLoan!F282,0)</f>
        <v>0</v>
      </c>
      <c r="BM254" s="10">
        <f>IF(AND('Batt IN'!$D$44="YES",$C254&lt;='Batt IN'!$E$44*12),0,-'Batt IN'!$E$28*'Batt IN'!$E$42/12)</f>
        <v>-83.333333333333329</v>
      </c>
      <c r="BN254" s="10">
        <f>IF(AND('Batt IN'!$D$46="YES",$C254&lt;='Batt IN'!$E$46*12),0,-'Batt IN'!$E$28*'Batt IN'!$E$45/12)</f>
        <v>-166.66666666666666</v>
      </c>
      <c r="BO254" s="2">
        <f>IF(AND('Batt IN'!$D$41="YES",BattCalcs!C254=ROUNDUP('Batt IN'!$H$41*12,)),-'Batt IN'!$E$41*'Batt IN'!$E$28,0)</f>
        <v>0</v>
      </c>
      <c r="BP254" s="2">
        <f>IF(AND('Batt IN'!$D$53="Yes",$AL$1&gt;=1),0,IF($C254='Batt IN'!$H$54*12,-'Batt IN'!$F$54,0))</f>
        <v>0</v>
      </c>
      <c r="BQ254" s="2">
        <f>IF(AND('Batt IN'!$D$53="Yes",$AL$1&gt;=2),0,IF($C254='Batt IN'!$H$55*12,-'Batt IN'!$F$55,0))</f>
        <v>0</v>
      </c>
      <c r="BR254" s="2">
        <f>IF(AND('Batt IN'!$D$53="Yes",$AL$1&gt;=3),0,IF($C254='Batt IN'!$H$56*12,-'Batt IN'!$F$56,0))</f>
        <v>0</v>
      </c>
      <c r="BS254" s="2">
        <f>IF(AND('Batt IN'!$D$53="Yes",$AL$1&gt;=4),0,IF($C254='Batt IN'!$H$57*12,-'Batt IN'!$F$57,0))</f>
        <v>0</v>
      </c>
      <c r="BT254" s="2">
        <f>IF(AND('Batt IN'!$D$53="Yes",$AL$1&gt;=5),0,IF($C254='Batt IN'!$H$58*12,-'Batt IN'!$F$58,0))</f>
        <v>0</v>
      </c>
      <c r="BU254" s="2">
        <f>-AH254*PVCalcs!F254</f>
        <v>-379.78065558809794</v>
      </c>
      <c r="BV254" s="2">
        <f>-'Batt IN'!$E$47</f>
        <v>-150</v>
      </c>
      <c r="BW254" s="2">
        <f>-'Batt IN'!$E$49</f>
        <v>-2250</v>
      </c>
      <c r="BX254" s="2">
        <f>IF('Batt IN'!$H$50="No",-(BC254*'Batt IN'!$E$50),-(BC254+BE254)*'Batt IN'!$E$50)</f>
        <v>0</v>
      </c>
      <c r="BY254" s="2">
        <f>IF(C254='Batt IN'!$H$43*12,-'Batt IN'!$E$43,0)</f>
        <v>0</v>
      </c>
      <c r="BZ254" s="38"/>
      <c r="CA254" s="10">
        <f t="shared" si="51"/>
        <v>13422.323408333334</v>
      </c>
      <c r="CB254" s="2">
        <f t="shared" si="55"/>
        <v>-3029.7806555880979</v>
      </c>
      <c r="CC254" s="45">
        <f t="shared" si="56"/>
        <v>10392.542752745236</v>
      </c>
      <c r="CD254" s="43"/>
      <c r="CE254" s="2">
        <f t="shared" si="52"/>
        <v>0</v>
      </c>
      <c r="CF254" s="2">
        <f t="shared" si="57"/>
        <v>-3029.7806555880979</v>
      </c>
      <c r="CG254" s="2"/>
      <c r="CH254" s="2">
        <f t="shared" si="58"/>
        <v>-3029.7806555880979</v>
      </c>
      <c r="CI254" s="45">
        <f>-CH254*'Batt IN'!$E$7</f>
        <v>636.25393767350056</v>
      </c>
      <c r="CJ254" s="48"/>
      <c r="CK254" s="45">
        <f>IF('Batt IN'!$F$4="PV Only",0,IF(C254&gt;'Batt IN'!$H$43*12,0,CC254+CI254))</f>
        <v>0</v>
      </c>
      <c r="CM254" s="10">
        <f t="shared" si="59"/>
        <v>0</v>
      </c>
      <c r="CN254" s="2">
        <f>CK254/(1+('Batt IN'!$G$8))^(C254)</f>
        <v>0</v>
      </c>
      <c r="CO254" s="2" t="e">
        <f>IF(C254&lt;='Batt IN'!$O$30*12,CN254+CO253,NA())</f>
        <v>#N/A</v>
      </c>
      <c r="CQ254" s="2">
        <f>CK254/((1+('Batt IN'!$E$8/12))^BattCalcs!C254)</f>
        <v>0</v>
      </c>
      <c r="CS254" s="10">
        <f t="shared" si="60"/>
        <v>-3029.7806555880979</v>
      </c>
      <c r="CT254" s="10">
        <f t="shared" si="61"/>
        <v>0</v>
      </c>
      <c r="CU254" s="10">
        <f t="shared" si="62"/>
        <v>-3029.7806555880979</v>
      </c>
      <c r="CV254" s="10">
        <f t="shared" si="63"/>
        <v>-3029.7806555880979</v>
      </c>
      <c r="CW254" s="2">
        <f t="shared" si="64"/>
        <v>0</v>
      </c>
      <c r="CX254" s="2">
        <f>-(SUM(CV254:CW254)*'PV IN'!$E$8)</f>
        <v>636.25393767350056</v>
      </c>
      <c r="CY254" s="2">
        <f t="shared" si="65"/>
        <v>-2393.5267179145976</v>
      </c>
      <c r="CZ254" s="2">
        <f>IF(C254&lt;='Batt IN'!$H$43*12,CY254/(1+('PV IN'!$G$9))^(C254),0)</f>
        <v>-866.15287060963158</v>
      </c>
      <c r="DA254" s="33">
        <f>IF(C254&lt;='Batt IN'!$H$43*12,AE254,0)</f>
        <v>30366.783333333333</v>
      </c>
    </row>
    <row r="255" spans="1:105" x14ac:dyDescent="0.25">
      <c r="A255">
        <f>IF(C255&lt;='Batt IN'!$H$43*12,C255,"")</f>
        <v>251</v>
      </c>
      <c r="C255">
        <v>251</v>
      </c>
      <c r="D255" s="21">
        <v>730</v>
      </c>
      <c r="E255" s="1">
        <f>1-'Batt IN'!$E$31</f>
        <v>2.0000000000000018E-2</v>
      </c>
      <c r="F255" s="12">
        <f>('Batt IN'!$E$33*365)/8760</f>
        <v>0</v>
      </c>
      <c r="G255" s="22">
        <f>'Batt IN'!$E$32/8760</f>
        <v>5.7077625570776253E-3</v>
      </c>
      <c r="H255" s="22">
        <f>'Batt IN'!$E$13/8760</f>
        <v>5.5936073059360729E-3</v>
      </c>
      <c r="I255" s="23">
        <f>IF(C255&lt;='Batt IN'!$G$14*12,'Batt IN'!$E$15/8760*'Batt IN'!$G$15,0)</f>
        <v>0</v>
      </c>
      <c r="J255" s="12">
        <f>Z255/'Batt IN'!$E$27/730</f>
        <v>2.4999999999999996E-3</v>
      </c>
      <c r="K255" s="23">
        <f>AA255/'Batt IN'!$E$27/730</f>
        <v>1.6027397260273972E-3</v>
      </c>
      <c r="L255" s="23">
        <f>AB255/'Batt IN'!$E$27/730</f>
        <v>2.0547945205479451E-4</v>
      </c>
      <c r="M255" s="23">
        <f>AC255/'Batt IN'!$E$27/730</f>
        <v>4.7945205479452057E-3</v>
      </c>
      <c r="N255" s="23">
        <f>AD255/'Batt IN'!$E$27/730</f>
        <v>3.4246575342465752E-3</v>
      </c>
      <c r="O255" s="12">
        <f t="shared" si="53"/>
        <v>4.3828767123287697E-2</v>
      </c>
      <c r="P255" s="21">
        <f t="shared" si="54"/>
        <v>698.005</v>
      </c>
      <c r="Q255" s="2">
        <f>IF('Batt IN'!$E$27*'Batt IN'!$E$24&lt;='Batt IN'!$E$28,(('Batt IN'!$E$23*'Batt IN'!$E$27*'Batt IN'!$E$24)/1000)*P255,(('Batt IN'!$E$23*'Batt IN'!$E$28*'Batt IN'!$E$24)/1000)*P255)</f>
        <v>11168.08</v>
      </c>
      <c r="R255" s="2"/>
      <c r="S255" s="77">
        <f>IF(C255&lt;='Batt IN'!$G$14*12,'Batt IN'!$E$15/12,0)</f>
        <v>0</v>
      </c>
      <c r="T255" s="77"/>
      <c r="U255" s="80">
        <f>'Batt IN'!$E$28*('Batt IN'!$G$24/24)*730*(1-O255)</f>
        <v>81433.916666666657</v>
      </c>
      <c r="V255" s="78">
        <f>U255*'Batt IN'!$F$30</f>
        <v>16286.783333333333</v>
      </c>
      <c r="W255" s="78">
        <f>'Batt IN'!$E$28*'Batt IN'!$G$32*('Batt IN'!$E$32/12)*(1+'Batt IN'!$F$30)</f>
        <v>1750.0000000000002</v>
      </c>
      <c r="X255" s="78">
        <f>'Batt IN'!$E$28*'Batt IN'!$G$13*('Batt IN'!$E$13/12)*(1+'Batt IN'!$F$30)</f>
        <v>3184.9999999999995</v>
      </c>
      <c r="Y255" s="33">
        <f>S255*'Batt IN'!$G$15*'Batt IN'!$E$28*(1+'Batt IN'!$F$30)</f>
        <v>0</v>
      </c>
      <c r="Z255" s="33">
        <f>'Batt IN'!$G$16*365/12*(1+'Batt IN'!$F$30)</f>
        <v>1824.9999999999998</v>
      </c>
      <c r="AA255" s="33">
        <f>'Batt IN'!$G$17*'Batt IN'!$E$18*'Batt IN'!$G$18/12*(1+'Batt IN'!$F$30)</f>
        <v>1170</v>
      </c>
      <c r="AB255" s="33">
        <f>'Batt IN'!$G$19*'Batt IN'!$E$20*'Batt IN'!$G$20/12*(1+'Batt IN'!$F$30)</f>
        <v>150</v>
      </c>
      <c r="AC255" s="33">
        <f>'Batt IN'!$G$21*(1+'Batt IN'!$F$30)/12</f>
        <v>3500</v>
      </c>
      <c r="AD255" s="33">
        <f>'Batt IN'!$G$22*(1+'Batt IN'!$F$30)/12</f>
        <v>2500</v>
      </c>
      <c r="AE255" s="33">
        <f t="shared" si="66"/>
        <v>30366.783333333333</v>
      </c>
      <c r="AF255" s="33">
        <f>IF('PV IN'!$F$4="Battery Only",0,AE255*'Batt IN'!$E$29)</f>
        <v>25811.765833333331</v>
      </c>
      <c r="AG255" s="33">
        <f>PVCalcs!L255</f>
        <v>25811.765833333331</v>
      </c>
      <c r="AH255" s="33">
        <f t="shared" si="67"/>
        <v>4555.0175000000017</v>
      </c>
      <c r="AI255" s="33"/>
      <c r="AJ255" s="2">
        <f>IF(AND('Batt IN'!$D$53="Yes",$AL$1&gt;=1),IF($C255='Batt IN'!$H$54*12,-'Batt IN'!$F$54,0),0)</f>
        <v>0</v>
      </c>
      <c r="AK255" s="2">
        <f>IF(AND('Batt IN'!$D$53="Yes",$AL$1&gt;=2),IF($C255='Batt IN'!$H$55*12,-'Batt IN'!$F$55,0),0)</f>
        <v>0</v>
      </c>
      <c r="AL255" s="2">
        <f>IF(AND('Batt IN'!$D$53="Yes",$AL$1&gt;=3),IF($C255='Batt IN'!$H$56*12,-'Batt IN'!$F$56,0),0)</f>
        <v>0</v>
      </c>
      <c r="AM255" s="2">
        <f>IF(AND('Batt IN'!$D$53="Yes",$AL$1&gt;=4),IF($C255='Batt IN'!$H$57*12,-'Batt IN'!$F$57,0),0)</f>
        <v>0</v>
      </c>
      <c r="AN255" s="2">
        <f>IF(AND('Batt IN'!$D$53="Yes",$AL$1&gt;=5),IF($C255='Batt IN'!$H$58*12,-'Batt IN'!$F$58,0),0)</f>
        <v>0</v>
      </c>
      <c r="AO255" s="10">
        <f>IF(AND('Batt IN'!$D$44="YES",$C255&lt;='Batt IN'!$E$44*12),-'Batt IN'!$E$28*'Batt IN'!$E$42/12,0)</f>
        <v>0</v>
      </c>
      <c r="AP255" s="10">
        <f>IF(AND('Batt IN'!$D$46="YES",$C255&lt;='Batt IN'!$E$46*12),-'Batt IN'!$E$28*'Batt IN'!$E$45/12,0)</f>
        <v>0</v>
      </c>
      <c r="AR255" s="10">
        <f>BattLoan!M282</f>
        <v>0</v>
      </c>
      <c r="AS255" s="10">
        <f>'Batt IN'!$G$16*365/12*'Batt IN'!$E$16</f>
        <v>76.041666666666671</v>
      </c>
      <c r="AT255" s="10">
        <f>IF(AND('Batt IN'!$E$18&gt;0,'Batt IN'!$G$18&gt;0),'Batt IN'!$E$17*'Batt IN'!$G$17,0)</f>
        <v>119.44619999999999</v>
      </c>
      <c r="AU255" s="10">
        <f>IF(AND('Batt IN'!$E$20&gt;0,'Batt IN'!$G$20&gt;0),'Batt IN'!$E$19*'Batt IN'!$G$19,0)</f>
        <v>231</v>
      </c>
      <c r="AV255" s="10"/>
      <c r="AW255" s="10"/>
      <c r="AX255" s="10">
        <f>IF('Batt IN'!$E$11="Non-Taxable",Q255,0)</f>
        <v>11168.08</v>
      </c>
      <c r="AY255" s="10">
        <f>IF('Batt IN'!$E$11="Non-Taxable",'Batt IN'!$E$28/1000*'Batt IN'!$G$13*('Batt IN'!$E$13/12)*'Batt IN'!$E$12,0)</f>
        <v>244.42220833333334</v>
      </c>
      <c r="AZ255" s="10">
        <f>IF('Batt IN'!$E$11="Non-Taxable",$S255*'Batt IN'!$G$15*'Batt IN'!$E$28*'Batt IN'!$E$14/1000,0)</f>
        <v>0</v>
      </c>
      <c r="BA255" s="10">
        <f>IF('Batt IN'!$E$11="Non-Taxable",'Batt IN'!$E$21*'Batt IN'!$G$21/12,0)</f>
        <v>437.5</v>
      </c>
      <c r="BB255" s="10">
        <f>IF('Batt IN'!$E$11="Non-Taxable",'Batt IN'!$E$22*'Batt IN'!$G$22/12,0)</f>
        <v>1145.8333333333335</v>
      </c>
      <c r="BC255" s="10">
        <f>IF('Batt IN'!$E$11="Taxable",Q255,0)</f>
        <v>0</v>
      </c>
      <c r="BD255" s="10">
        <f>IF('Batt IN'!$E$11="Taxable",'Batt IN'!$E$28/1000*'Batt IN'!$G$13*('Batt IN'!$E$13/12)*'Batt IN'!$E$12,0)</f>
        <v>0</v>
      </c>
      <c r="BE255" s="10">
        <f>IF('Batt IN'!$E$11="Taxable",$S255*'Batt IN'!$G$15*'Batt IN'!$E$28*'Batt IN'!$E$14/1000,0)</f>
        <v>0</v>
      </c>
      <c r="BF255" s="10">
        <f>IF('Batt IN'!$E$11="Taxable",'Batt IN'!$E$21*'Batt IN'!$G$21/12,0)</f>
        <v>0</v>
      </c>
      <c r="BG255" s="10">
        <f>IF('Batt IN'!$E$11="Taxable",'Batt IN'!$E$22*'Batt IN'!$G$22/12,0)</f>
        <v>0</v>
      </c>
      <c r="BK255" s="10">
        <f>IF('Batt IN'!$N$18="Yes",-BattLoan!H283,-BattLoan!L283)</f>
        <v>0</v>
      </c>
      <c r="BL255" s="10">
        <f>IF('Batt IN'!$N$18="Yes",-BattLoan!F283,0)</f>
        <v>0</v>
      </c>
      <c r="BM255" s="10">
        <f>IF(AND('Batt IN'!$D$44="YES",$C255&lt;='Batt IN'!$E$44*12),0,-'Batt IN'!$E$28*'Batt IN'!$E$42/12)</f>
        <v>-83.333333333333329</v>
      </c>
      <c r="BN255" s="10">
        <f>IF(AND('Batt IN'!$D$46="YES",$C255&lt;='Batt IN'!$E$46*12),0,-'Batt IN'!$E$28*'Batt IN'!$E$45/12)</f>
        <v>-166.66666666666666</v>
      </c>
      <c r="BO255" s="2">
        <f>IF(AND('Batt IN'!$D$41="YES",BattCalcs!C255=ROUNDUP('Batt IN'!$H$41*12,)),-'Batt IN'!$E$41*'Batt IN'!$E$28,0)</f>
        <v>0</v>
      </c>
      <c r="BP255" s="2">
        <f>IF(AND('Batt IN'!$D$53="Yes",$AL$1&gt;=1),0,IF($C255='Batt IN'!$H$54*12,-'Batt IN'!$F$54,0))</f>
        <v>0</v>
      </c>
      <c r="BQ255" s="2">
        <f>IF(AND('Batt IN'!$D$53="Yes",$AL$1&gt;=2),0,IF($C255='Batt IN'!$H$55*12,-'Batt IN'!$F$55,0))</f>
        <v>0</v>
      </c>
      <c r="BR255" s="2">
        <f>IF(AND('Batt IN'!$D$53="Yes",$AL$1&gt;=3),0,IF($C255='Batt IN'!$H$56*12,-'Batt IN'!$F$56,0))</f>
        <v>0</v>
      </c>
      <c r="BS255" s="2">
        <f>IF(AND('Batt IN'!$D$53="Yes",$AL$1&gt;=4),0,IF($C255='Batt IN'!$H$57*12,-'Batt IN'!$F$57,0))</f>
        <v>0</v>
      </c>
      <c r="BT255" s="2">
        <f>IF(AND('Batt IN'!$D$53="Yes",$AL$1&gt;=5),0,IF($C255='Batt IN'!$H$58*12,-'Batt IN'!$F$58,0))</f>
        <v>0</v>
      </c>
      <c r="BU255" s="2">
        <f>-AH255*PVCalcs!F255</f>
        <v>-379.78065558809794</v>
      </c>
      <c r="BV255" s="2">
        <f>-'Batt IN'!$E$47</f>
        <v>-150</v>
      </c>
      <c r="BW255" s="2">
        <f>-'Batt IN'!$E$49</f>
        <v>-2250</v>
      </c>
      <c r="BX255" s="2">
        <f>IF('Batt IN'!$H$50="No",-(BC255*'Batt IN'!$E$50),-(BC255+BE255)*'Batt IN'!$E$50)</f>
        <v>0</v>
      </c>
      <c r="BY255" s="2">
        <f>IF(C255='Batt IN'!$H$43*12,-'Batt IN'!$E$43,0)</f>
        <v>0</v>
      </c>
      <c r="BZ255" s="38"/>
      <c r="CA255" s="10">
        <f t="shared" si="51"/>
        <v>13422.323408333334</v>
      </c>
      <c r="CB255" s="2">
        <f t="shared" si="55"/>
        <v>-3029.7806555880979</v>
      </c>
      <c r="CC255" s="45">
        <f t="shared" si="56"/>
        <v>10392.542752745236</v>
      </c>
      <c r="CD255" s="43"/>
      <c r="CE255" s="2">
        <f t="shared" si="52"/>
        <v>0</v>
      </c>
      <c r="CF255" s="2">
        <f t="shared" si="57"/>
        <v>-3029.7806555880979</v>
      </c>
      <c r="CG255" s="2"/>
      <c r="CH255" s="2">
        <f t="shared" si="58"/>
        <v>-3029.7806555880979</v>
      </c>
      <c r="CI255" s="45">
        <f>-CH255*'Batt IN'!$E$7</f>
        <v>636.25393767350056</v>
      </c>
      <c r="CJ255" s="48"/>
      <c r="CK255" s="45">
        <f>IF('Batt IN'!$F$4="PV Only",0,IF(C255&gt;'Batt IN'!$H$43*12,0,CC255+CI255))</f>
        <v>0</v>
      </c>
      <c r="CM255" s="10">
        <f t="shared" si="59"/>
        <v>0</v>
      </c>
      <c r="CN255" s="2">
        <f>CK255/(1+('Batt IN'!$G$8))^(C255)</f>
        <v>0</v>
      </c>
      <c r="CO255" s="2" t="e">
        <f>IF(C255&lt;='Batt IN'!$O$30*12,CN255+CO254,NA())</f>
        <v>#N/A</v>
      </c>
      <c r="CQ255" s="2">
        <f>CK255/((1+('Batt IN'!$E$8/12))^BattCalcs!C255)</f>
        <v>0</v>
      </c>
      <c r="CS255" s="10">
        <f t="shared" si="60"/>
        <v>-3029.7806555880979</v>
      </c>
      <c r="CT255" s="10">
        <f t="shared" si="61"/>
        <v>0</v>
      </c>
      <c r="CU255" s="10">
        <f t="shared" si="62"/>
        <v>-3029.7806555880979</v>
      </c>
      <c r="CV255" s="10">
        <f t="shared" si="63"/>
        <v>-3029.7806555880979</v>
      </c>
      <c r="CW255" s="2">
        <f t="shared" si="64"/>
        <v>0</v>
      </c>
      <c r="CX255" s="2">
        <f>-(SUM(CV255:CW255)*'PV IN'!$E$8)</f>
        <v>636.25393767350056</v>
      </c>
      <c r="CY255" s="2">
        <f t="shared" si="65"/>
        <v>-2393.5267179145976</v>
      </c>
      <c r="CZ255" s="2">
        <f>IF(C255&lt;='Batt IN'!$H$43*12,CY255/(1+('PV IN'!$G$9))^(C255),0)</f>
        <v>-862.6383750889936</v>
      </c>
      <c r="DA255" s="33">
        <f>IF(C255&lt;='Batt IN'!$H$43*12,AE255,0)</f>
        <v>30366.783333333333</v>
      </c>
    </row>
    <row r="256" spans="1:105" x14ac:dyDescent="0.25">
      <c r="A256">
        <f>IF(C256&lt;='Batt IN'!$H$43*12,C256,"")</f>
        <v>252</v>
      </c>
      <c r="B256">
        <v>21</v>
      </c>
      <c r="C256">
        <v>252</v>
      </c>
      <c r="D256" s="21">
        <v>730</v>
      </c>
      <c r="E256" s="1">
        <f>1-'Batt IN'!$E$31</f>
        <v>2.0000000000000018E-2</v>
      </c>
      <c r="F256" s="12">
        <f>('Batt IN'!$E$33*365)/8760</f>
        <v>0</v>
      </c>
      <c r="G256" s="22">
        <f>'Batt IN'!$E$32/8760</f>
        <v>5.7077625570776253E-3</v>
      </c>
      <c r="H256" s="22">
        <f>'Batt IN'!$E$13/8760</f>
        <v>5.5936073059360729E-3</v>
      </c>
      <c r="I256" s="23">
        <f>IF(C256&lt;='Batt IN'!$G$14*12,'Batt IN'!$E$15/8760*'Batt IN'!$G$15,0)</f>
        <v>0</v>
      </c>
      <c r="J256" s="12">
        <f>Z256/'Batt IN'!$E$27/730</f>
        <v>2.4999999999999996E-3</v>
      </c>
      <c r="K256" s="23">
        <f>AA256/'Batt IN'!$E$27/730</f>
        <v>1.6027397260273972E-3</v>
      </c>
      <c r="L256" s="23">
        <f>AB256/'Batt IN'!$E$27/730</f>
        <v>2.0547945205479451E-4</v>
      </c>
      <c r="M256" s="23">
        <f>AC256/'Batt IN'!$E$27/730</f>
        <v>4.7945205479452057E-3</v>
      </c>
      <c r="N256" s="23">
        <f>AD256/'Batt IN'!$E$27/730</f>
        <v>3.4246575342465752E-3</v>
      </c>
      <c r="O256" s="12">
        <f t="shared" si="53"/>
        <v>4.3828767123287697E-2</v>
      </c>
      <c r="P256" s="21">
        <f t="shared" si="54"/>
        <v>698.005</v>
      </c>
      <c r="Q256" s="2">
        <f>IF('Batt IN'!$E$27*'Batt IN'!$E$24&lt;='Batt IN'!$E$28,(('Batt IN'!$E$23*'Batt IN'!$E$27*'Batt IN'!$E$24)/1000)*P256,(('Batt IN'!$E$23*'Batt IN'!$E$28*'Batt IN'!$E$24)/1000)*P256)</f>
        <v>11168.08</v>
      </c>
      <c r="R256" s="2"/>
      <c r="S256" s="77">
        <f>IF(C256&lt;='Batt IN'!$G$14*12,'Batt IN'!$E$15/12,0)</f>
        <v>0</v>
      </c>
      <c r="T256" s="77"/>
      <c r="U256" s="80">
        <f>'Batt IN'!$E$28*('Batt IN'!$G$24/24)*730*(1-O256)</f>
        <v>81433.916666666657</v>
      </c>
      <c r="V256" s="78">
        <f>U256*'Batt IN'!$F$30</f>
        <v>16286.783333333333</v>
      </c>
      <c r="W256" s="78">
        <f>'Batt IN'!$E$28*'Batt IN'!$G$32*('Batt IN'!$E$32/12)*(1+'Batt IN'!$F$30)</f>
        <v>1750.0000000000002</v>
      </c>
      <c r="X256" s="78">
        <f>'Batt IN'!$E$28*'Batt IN'!$G$13*('Batt IN'!$E$13/12)*(1+'Batt IN'!$F$30)</f>
        <v>3184.9999999999995</v>
      </c>
      <c r="Y256" s="33">
        <f>S256*'Batt IN'!$G$15*'Batt IN'!$E$28*(1+'Batt IN'!$F$30)</f>
        <v>0</v>
      </c>
      <c r="Z256" s="33">
        <f>'Batt IN'!$G$16*365/12*(1+'Batt IN'!$F$30)</f>
        <v>1824.9999999999998</v>
      </c>
      <c r="AA256" s="33">
        <f>'Batt IN'!$G$17*'Batt IN'!$E$18*'Batt IN'!$G$18/12*(1+'Batt IN'!$F$30)</f>
        <v>1170</v>
      </c>
      <c r="AB256" s="33">
        <f>'Batt IN'!$G$19*'Batt IN'!$E$20*'Batt IN'!$G$20/12*(1+'Batt IN'!$F$30)</f>
        <v>150</v>
      </c>
      <c r="AC256" s="33">
        <f>'Batt IN'!$G$21*(1+'Batt IN'!$F$30)/12</f>
        <v>3500</v>
      </c>
      <c r="AD256" s="33">
        <f>'Batt IN'!$G$22*(1+'Batt IN'!$F$30)/12</f>
        <v>2500</v>
      </c>
      <c r="AE256" s="33">
        <f t="shared" si="66"/>
        <v>30366.783333333333</v>
      </c>
      <c r="AF256" s="33">
        <f>IF('PV IN'!$F$4="Battery Only",0,AE256*'Batt IN'!$E$29)</f>
        <v>25811.765833333331</v>
      </c>
      <c r="AG256" s="33">
        <f>PVCalcs!L256</f>
        <v>25811.765833333331</v>
      </c>
      <c r="AH256" s="33">
        <f t="shared" si="67"/>
        <v>4555.0175000000017</v>
      </c>
      <c r="AI256" s="33"/>
      <c r="AJ256" s="2">
        <f>IF(AND('Batt IN'!$D$53="Yes",$AL$1&gt;=1),IF($C256='Batt IN'!$H$54*12,-'Batt IN'!$F$54,0),0)</f>
        <v>0</v>
      </c>
      <c r="AK256" s="2">
        <f>IF(AND('Batt IN'!$D$53="Yes",$AL$1&gt;=2),IF($C256='Batt IN'!$H$55*12,-'Batt IN'!$F$55,0),0)</f>
        <v>0</v>
      </c>
      <c r="AL256" s="2">
        <f>IF(AND('Batt IN'!$D$53="Yes",$AL$1&gt;=3),IF($C256='Batt IN'!$H$56*12,-'Batt IN'!$F$56,0),0)</f>
        <v>0</v>
      </c>
      <c r="AM256" s="2">
        <f>IF(AND('Batt IN'!$D$53="Yes",$AL$1&gt;=4),IF($C256='Batt IN'!$H$57*12,-'Batt IN'!$F$57,0),0)</f>
        <v>0</v>
      </c>
      <c r="AN256" s="2">
        <f>IF(AND('Batt IN'!$D$53="Yes",$AL$1&gt;=5),IF($C256='Batt IN'!$H$58*12,-'Batt IN'!$F$58,0),0)</f>
        <v>0</v>
      </c>
      <c r="AO256" s="10">
        <f>IF(AND('Batt IN'!$D$44="YES",$C256&lt;='Batt IN'!$E$44*12),-'Batt IN'!$E$28*'Batt IN'!$E$42/12,0)</f>
        <v>0</v>
      </c>
      <c r="AP256" s="10">
        <f>IF(AND('Batt IN'!$D$46="YES",$C256&lt;='Batt IN'!$E$46*12),-'Batt IN'!$E$28*'Batt IN'!$E$45/12,0)</f>
        <v>0</v>
      </c>
      <c r="AR256" s="10">
        <f>BattLoan!M283</f>
        <v>0</v>
      </c>
      <c r="AS256" s="10">
        <f>'Batt IN'!$G$16*365/12*'Batt IN'!$E$16</f>
        <v>76.041666666666671</v>
      </c>
      <c r="AT256" s="10">
        <f>IF(AND('Batt IN'!$E$18&gt;0,'Batt IN'!$G$18&gt;0),'Batt IN'!$E$17*'Batt IN'!$G$17,0)</f>
        <v>119.44619999999999</v>
      </c>
      <c r="AU256" s="10">
        <f>IF(AND('Batt IN'!$E$20&gt;0,'Batt IN'!$G$20&gt;0),'Batt IN'!$E$19*'Batt IN'!$G$19,0)</f>
        <v>231</v>
      </c>
      <c r="AV256" s="10"/>
      <c r="AW256" s="10"/>
      <c r="AX256" s="10">
        <f>IF('Batt IN'!$E$11="Non-Taxable",Q256,0)</f>
        <v>11168.08</v>
      </c>
      <c r="AY256" s="10">
        <f>IF('Batt IN'!$E$11="Non-Taxable",'Batt IN'!$E$28/1000*'Batt IN'!$G$13*('Batt IN'!$E$13/12)*'Batt IN'!$E$12,0)</f>
        <v>244.42220833333334</v>
      </c>
      <c r="AZ256" s="10">
        <f>IF('Batt IN'!$E$11="Non-Taxable",$S256*'Batt IN'!$G$15*'Batt IN'!$E$28*'Batt IN'!$E$14/1000,0)</f>
        <v>0</v>
      </c>
      <c r="BA256" s="10">
        <f>IF('Batt IN'!$E$11="Non-Taxable",'Batt IN'!$E$21*'Batt IN'!$G$21/12,0)</f>
        <v>437.5</v>
      </c>
      <c r="BB256" s="10">
        <f>IF('Batt IN'!$E$11="Non-Taxable",'Batt IN'!$E$22*'Batt IN'!$G$22/12,0)</f>
        <v>1145.8333333333335</v>
      </c>
      <c r="BC256" s="10">
        <f>IF('Batt IN'!$E$11="Taxable",Q256,0)</f>
        <v>0</v>
      </c>
      <c r="BD256" s="10">
        <f>IF('Batt IN'!$E$11="Taxable",'Batt IN'!$E$28/1000*'Batt IN'!$G$13*('Batt IN'!$E$13/12)*'Batt IN'!$E$12,0)</f>
        <v>0</v>
      </c>
      <c r="BE256" s="10">
        <f>IF('Batt IN'!$E$11="Taxable",$S256*'Batt IN'!$G$15*'Batt IN'!$E$28*'Batt IN'!$E$14/1000,0)</f>
        <v>0</v>
      </c>
      <c r="BF256" s="10">
        <f>IF('Batt IN'!$E$11="Taxable",'Batt IN'!$E$21*'Batt IN'!$G$21/12,0)</f>
        <v>0</v>
      </c>
      <c r="BG256" s="10">
        <f>IF('Batt IN'!$E$11="Taxable",'Batt IN'!$E$22*'Batt IN'!$G$22/12,0)</f>
        <v>0</v>
      </c>
      <c r="BK256" s="10">
        <f>IF('Batt IN'!$N$18="Yes",-BattLoan!H284,-BattLoan!L284)</f>
        <v>0</v>
      </c>
      <c r="BL256" s="10">
        <f>IF('Batt IN'!$N$18="Yes",-BattLoan!F284,0)</f>
        <v>0</v>
      </c>
      <c r="BM256" s="10">
        <f>IF(AND('Batt IN'!$D$44="YES",$C256&lt;='Batt IN'!$E$44*12),0,-'Batt IN'!$E$28*'Batt IN'!$E$42/12)</f>
        <v>-83.333333333333329</v>
      </c>
      <c r="BN256" s="10">
        <f>IF(AND('Batt IN'!$D$46="YES",$C256&lt;='Batt IN'!$E$46*12),0,-'Batt IN'!$E$28*'Batt IN'!$E$45/12)</f>
        <v>-166.66666666666666</v>
      </c>
      <c r="BO256" s="2">
        <f>IF(AND('Batt IN'!$D$41="YES",BattCalcs!C256=ROUNDUP('Batt IN'!$H$41*12,)),-'Batt IN'!$E$41*'Batt IN'!$E$28,0)</f>
        <v>0</v>
      </c>
      <c r="BP256" s="2">
        <f>IF(AND('Batt IN'!$D$53="Yes",$AL$1&gt;=1),0,IF($C256='Batt IN'!$H$54*12,-'Batt IN'!$F$54,0))</f>
        <v>0</v>
      </c>
      <c r="BQ256" s="2">
        <f>IF(AND('Batt IN'!$D$53="Yes",$AL$1&gt;=2),0,IF($C256='Batt IN'!$H$55*12,-'Batt IN'!$F$55,0))</f>
        <v>0</v>
      </c>
      <c r="BR256" s="2">
        <f>IF(AND('Batt IN'!$D$53="Yes",$AL$1&gt;=3),0,IF($C256='Batt IN'!$H$56*12,-'Batt IN'!$F$56,0))</f>
        <v>0</v>
      </c>
      <c r="BS256" s="2">
        <f>IF(AND('Batt IN'!$D$53="Yes",$AL$1&gt;=4),0,IF($C256='Batt IN'!$H$57*12,-'Batt IN'!$F$57,0))</f>
        <v>0</v>
      </c>
      <c r="BT256" s="2">
        <f>IF(AND('Batt IN'!$D$53="Yes",$AL$1&gt;=5),0,IF($C256='Batt IN'!$H$58*12,-'Batt IN'!$F$58,0))</f>
        <v>0</v>
      </c>
      <c r="BU256" s="2">
        <f>-AH256*PVCalcs!F256</f>
        <v>-379.78065558809794</v>
      </c>
      <c r="BV256" s="2">
        <f>-'Batt IN'!$E$47</f>
        <v>-150</v>
      </c>
      <c r="BW256" s="2">
        <f>-'Batt IN'!$E$49</f>
        <v>-2250</v>
      </c>
      <c r="BX256" s="2">
        <f>IF('Batt IN'!$H$50="No",-(BC256*'Batt IN'!$E$50),-(BC256+BE256)*'Batt IN'!$E$50)</f>
        <v>0</v>
      </c>
      <c r="BY256" s="2">
        <f>IF(C256='Batt IN'!$H$43*12,-'Batt IN'!$E$43,0)</f>
        <v>0</v>
      </c>
      <c r="BZ256" s="38"/>
      <c r="CA256" s="10">
        <f t="shared" si="51"/>
        <v>13422.323408333334</v>
      </c>
      <c r="CB256" s="2">
        <f t="shared" si="55"/>
        <v>-3029.7806555880979</v>
      </c>
      <c r="CC256" s="45">
        <f t="shared" si="56"/>
        <v>10392.542752745236</v>
      </c>
      <c r="CD256" s="43"/>
      <c r="CE256" s="2">
        <f t="shared" si="52"/>
        <v>0</v>
      </c>
      <c r="CF256" s="2">
        <f t="shared" si="57"/>
        <v>-3029.7806555880979</v>
      </c>
      <c r="CG256" s="2"/>
      <c r="CH256" s="2">
        <f t="shared" si="58"/>
        <v>-3029.7806555880979</v>
      </c>
      <c r="CI256" s="45">
        <f>-CH256*'Batt IN'!$E$7</f>
        <v>636.25393767350056</v>
      </c>
      <c r="CJ256" s="48"/>
      <c r="CK256" s="45">
        <f>IF('Batt IN'!$F$4="PV Only",0,IF(C256&gt;'Batt IN'!$H$43*12,0,CC256+CI256))</f>
        <v>0</v>
      </c>
      <c r="CM256" s="10">
        <f t="shared" si="59"/>
        <v>0</v>
      </c>
      <c r="CN256" s="2">
        <f>CK256/(1+('Batt IN'!$G$8))^(C256)</f>
        <v>0</v>
      </c>
      <c r="CO256" s="2" t="e">
        <f>IF(C256&lt;='Batt IN'!$O$30*12,CN256+CO255,NA())</f>
        <v>#N/A</v>
      </c>
      <c r="CQ256" s="2">
        <f>CK256/((1+('Batt IN'!$E$8/12))^BattCalcs!C256)</f>
        <v>0</v>
      </c>
      <c r="CS256" s="10">
        <f t="shared" si="60"/>
        <v>-3029.7806555880979</v>
      </c>
      <c r="CT256" s="10">
        <f t="shared" si="61"/>
        <v>0</v>
      </c>
      <c r="CU256" s="10">
        <f t="shared" si="62"/>
        <v>-3029.7806555880979</v>
      </c>
      <c r="CV256" s="10">
        <f t="shared" si="63"/>
        <v>-3029.7806555880979</v>
      </c>
      <c r="CW256" s="2">
        <f t="shared" si="64"/>
        <v>0</v>
      </c>
      <c r="CX256" s="2">
        <f>-(SUM(CV256:CW256)*'PV IN'!$E$8)</f>
        <v>636.25393767350056</v>
      </c>
      <c r="CY256" s="2">
        <f t="shared" si="65"/>
        <v>-2393.5267179145976</v>
      </c>
      <c r="CZ256" s="2">
        <f>IF(C256&lt;='Batt IN'!$H$43*12,CY256/(1+('PV IN'!$G$9))^(C256),0)</f>
        <v>-859.13813995954501</v>
      </c>
      <c r="DA256" s="33">
        <f>IF(C256&lt;='Batt IN'!$H$43*12,AE256,0)</f>
        <v>30366.783333333333</v>
      </c>
    </row>
    <row r="257" spans="1:105" x14ac:dyDescent="0.25">
      <c r="A257">
        <f>IF(C257&lt;='Batt IN'!$H$43*12,C257,"")</f>
        <v>253</v>
      </c>
      <c r="C257">
        <v>253</v>
      </c>
      <c r="D257" s="21">
        <v>730</v>
      </c>
      <c r="E257" s="1">
        <f>1-'Batt IN'!$E$31</f>
        <v>2.0000000000000018E-2</v>
      </c>
      <c r="F257" s="12">
        <f>('Batt IN'!$E$33*365)/8760</f>
        <v>0</v>
      </c>
      <c r="G257" s="22">
        <f>'Batt IN'!$E$32/8760</f>
        <v>5.7077625570776253E-3</v>
      </c>
      <c r="H257" s="22">
        <f>'Batt IN'!$E$13/8760</f>
        <v>5.5936073059360729E-3</v>
      </c>
      <c r="I257" s="23">
        <f>IF(C257&lt;='Batt IN'!$G$14*12,'Batt IN'!$E$15/8760*'Batt IN'!$G$15,0)</f>
        <v>0</v>
      </c>
      <c r="J257" s="12">
        <f>Z257/'Batt IN'!$E$27/730</f>
        <v>2.4999999999999996E-3</v>
      </c>
      <c r="K257" s="23">
        <f>AA257/'Batt IN'!$E$27/730</f>
        <v>1.6027397260273972E-3</v>
      </c>
      <c r="L257" s="23">
        <f>AB257/'Batt IN'!$E$27/730</f>
        <v>2.0547945205479451E-4</v>
      </c>
      <c r="M257" s="23">
        <f>AC257/'Batt IN'!$E$27/730</f>
        <v>4.7945205479452057E-3</v>
      </c>
      <c r="N257" s="23">
        <f>AD257/'Batt IN'!$E$27/730</f>
        <v>3.4246575342465752E-3</v>
      </c>
      <c r="O257" s="12">
        <f t="shared" si="53"/>
        <v>4.3828767123287697E-2</v>
      </c>
      <c r="P257" s="21">
        <f t="shared" si="54"/>
        <v>698.005</v>
      </c>
      <c r="Q257" s="2">
        <f>IF('Batt IN'!$E$27*'Batt IN'!$E$24&lt;='Batt IN'!$E$28,(('Batt IN'!$E$23*'Batt IN'!$E$27*'Batt IN'!$E$24)/1000)*P257,(('Batt IN'!$E$23*'Batt IN'!$E$28*'Batt IN'!$E$24)/1000)*P257)</f>
        <v>11168.08</v>
      </c>
      <c r="R257" s="2"/>
      <c r="S257" s="77">
        <f>IF(C257&lt;='Batt IN'!$G$14*12,'Batt IN'!$E$15/12,0)</f>
        <v>0</v>
      </c>
      <c r="T257" s="77"/>
      <c r="U257" s="80">
        <f>'Batt IN'!$E$28*('Batt IN'!$G$24/24)*730*(1-O257)</f>
        <v>81433.916666666657</v>
      </c>
      <c r="V257" s="78">
        <f>U257*'Batt IN'!$F$30</f>
        <v>16286.783333333333</v>
      </c>
      <c r="W257" s="78">
        <f>'Batt IN'!$E$28*'Batt IN'!$G$32*('Batt IN'!$E$32/12)*(1+'Batt IN'!$F$30)</f>
        <v>1750.0000000000002</v>
      </c>
      <c r="X257" s="78">
        <f>'Batt IN'!$E$28*'Batt IN'!$G$13*('Batt IN'!$E$13/12)*(1+'Batt IN'!$F$30)</f>
        <v>3184.9999999999995</v>
      </c>
      <c r="Y257" s="33">
        <f>S257*'Batt IN'!$G$15*'Batt IN'!$E$28*(1+'Batt IN'!$F$30)</f>
        <v>0</v>
      </c>
      <c r="Z257" s="33">
        <f>'Batt IN'!$G$16*365/12*(1+'Batt IN'!$F$30)</f>
        <v>1824.9999999999998</v>
      </c>
      <c r="AA257" s="33">
        <f>'Batt IN'!$G$17*'Batt IN'!$E$18*'Batt IN'!$G$18/12*(1+'Batt IN'!$F$30)</f>
        <v>1170</v>
      </c>
      <c r="AB257" s="33">
        <f>'Batt IN'!$G$19*'Batt IN'!$E$20*'Batt IN'!$G$20/12*(1+'Batt IN'!$F$30)</f>
        <v>150</v>
      </c>
      <c r="AC257" s="33">
        <f>'Batt IN'!$G$21*(1+'Batt IN'!$F$30)/12</f>
        <v>3500</v>
      </c>
      <c r="AD257" s="33">
        <f>'Batt IN'!$G$22*(1+'Batt IN'!$F$30)/12</f>
        <v>2500</v>
      </c>
      <c r="AE257" s="33">
        <f t="shared" si="66"/>
        <v>30366.783333333333</v>
      </c>
      <c r="AF257" s="33">
        <f>IF('PV IN'!$F$4="Battery Only",0,AE257*'Batt IN'!$E$29)</f>
        <v>25811.765833333331</v>
      </c>
      <c r="AG257" s="33">
        <f>PVCalcs!L257</f>
        <v>25811.765833333331</v>
      </c>
      <c r="AH257" s="33">
        <f t="shared" si="67"/>
        <v>4555.0175000000017</v>
      </c>
      <c r="AI257" s="33"/>
      <c r="AJ257" s="2">
        <f>IF(AND('Batt IN'!$D$53="Yes",$AL$1&gt;=1),IF($C257='Batt IN'!$H$54*12,-'Batt IN'!$F$54,0),0)</f>
        <v>0</v>
      </c>
      <c r="AK257" s="2">
        <f>IF(AND('Batt IN'!$D$53="Yes",$AL$1&gt;=2),IF($C257='Batt IN'!$H$55*12,-'Batt IN'!$F$55,0),0)</f>
        <v>0</v>
      </c>
      <c r="AL257" s="2">
        <f>IF(AND('Batt IN'!$D$53="Yes",$AL$1&gt;=3),IF($C257='Batt IN'!$H$56*12,-'Batt IN'!$F$56,0),0)</f>
        <v>0</v>
      </c>
      <c r="AM257" s="2">
        <f>IF(AND('Batt IN'!$D$53="Yes",$AL$1&gt;=4),IF($C257='Batt IN'!$H$57*12,-'Batt IN'!$F$57,0),0)</f>
        <v>0</v>
      </c>
      <c r="AN257" s="2">
        <f>IF(AND('Batt IN'!$D$53="Yes",$AL$1&gt;=5),IF($C257='Batt IN'!$H$58*12,-'Batt IN'!$F$58,0),0)</f>
        <v>0</v>
      </c>
      <c r="AO257" s="10">
        <f>IF(AND('Batt IN'!$D$44="YES",$C257&lt;='Batt IN'!$E$44*12),-'Batt IN'!$E$28*'Batt IN'!$E$42/12,0)</f>
        <v>0</v>
      </c>
      <c r="AP257" s="10">
        <f>IF(AND('Batt IN'!$D$46="YES",$C257&lt;='Batt IN'!$E$46*12),-'Batt IN'!$E$28*'Batt IN'!$E$45/12,0)</f>
        <v>0</v>
      </c>
      <c r="AR257" s="10">
        <f>BattLoan!M284</f>
        <v>0</v>
      </c>
      <c r="AS257" s="10">
        <f>'Batt IN'!$G$16*365/12*'Batt IN'!$E$16</f>
        <v>76.041666666666671</v>
      </c>
      <c r="AT257" s="10">
        <f>IF(AND('Batt IN'!$E$18&gt;0,'Batt IN'!$G$18&gt;0),'Batt IN'!$E$17*'Batt IN'!$G$17,0)</f>
        <v>119.44619999999999</v>
      </c>
      <c r="AU257" s="10">
        <f>IF(AND('Batt IN'!$E$20&gt;0,'Batt IN'!$G$20&gt;0),'Batt IN'!$E$19*'Batt IN'!$G$19,0)</f>
        <v>231</v>
      </c>
      <c r="AV257" s="10"/>
      <c r="AW257" s="10"/>
      <c r="AX257" s="10">
        <f>IF('Batt IN'!$E$11="Non-Taxable",Q257,0)</f>
        <v>11168.08</v>
      </c>
      <c r="AY257" s="10">
        <f>IF('Batt IN'!$E$11="Non-Taxable",'Batt IN'!$E$28/1000*'Batt IN'!$G$13*('Batt IN'!$E$13/12)*'Batt IN'!$E$12,0)</f>
        <v>244.42220833333334</v>
      </c>
      <c r="AZ257" s="10">
        <f>IF('Batt IN'!$E$11="Non-Taxable",$S257*'Batt IN'!$G$15*'Batt IN'!$E$28*'Batt IN'!$E$14/1000,0)</f>
        <v>0</v>
      </c>
      <c r="BA257" s="10">
        <f>IF('Batt IN'!$E$11="Non-Taxable",'Batt IN'!$E$21*'Batt IN'!$G$21/12,0)</f>
        <v>437.5</v>
      </c>
      <c r="BB257" s="10">
        <f>IF('Batt IN'!$E$11="Non-Taxable",'Batt IN'!$E$22*'Batt IN'!$G$22/12,0)</f>
        <v>1145.8333333333335</v>
      </c>
      <c r="BC257" s="10">
        <f>IF('Batt IN'!$E$11="Taxable",Q257,0)</f>
        <v>0</v>
      </c>
      <c r="BD257" s="10">
        <f>IF('Batt IN'!$E$11="Taxable",'Batt IN'!$E$28/1000*'Batt IN'!$G$13*('Batt IN'!$E$13/12)*'Batt IN'!$E$12,0)</f>
        <v>0</v>
      </c>
      <c r="BE257" s="10">
        <f>IF('Batt IN'!$E$11="Taxable",$S257*'Batt IN'!$G$15*'Batt IN'!$E$28*'Batt IN'!$E$14/1000,0)</f>
        <v>0</v>
      </c>
      <c r="BF257" s="10">
        <f>IF('Batt IN'!$E$11="Taxable",'Batt IN'!$E$21*'Batt IN'!$G$21/12,0)</f>
        <v>0</v>
      </c>
      <c r="BG257" s="10">
        <f>IF('Batt IN'!$E$11="Taxable",'Batt IN'!$E$22*'Batt IN'!$G$22/12,0)</f>
        <v>0</v>
      </c>
      <c r="BK257" s="10">
        <f>IF('Batt IN'!$N$18="Yes",-BattLoan!H285,-BattLoan!L285)</f>
        <v>0</v>
      </c>
      <c r="BL257" s="10">
        <f>IF('Batt IN'!$N$18="Yes",-BattLoan!F285,0)</f>
        <v>0</v>
      </c>
      <c r="BM257" s="10">
        <f>IF(AND('Batt IN'!$D$44="YES",$C257&lt;='Batt IN'!$E$44*12),0,-'Batt IN'!$E$28*'Batt IN'!$E$42/12)</f>
        <v>-83.333333333333329</v>
      </c>
      <c r="BN257" s="10">
        <f>IF(AND('Batt IN'!$D$46="YES",$C257&lt;='Batt IN'!$E$46*12),0,-'Batt IN'!$E$28*'Batt IN'!$E$45/12)</f>
        <v>-166.66666666666666</v>
      </c>
      <c r="BO257" s="2">
        <f>IF(AND('Batt IN'!$D$41="YES",BattCalcs!C257=ROUNDUP('Batt IN'!$H$41*12,)),-'Batt IN'!$E$41*'Batt IN'!$E$28,0)</f>
        <v>0</v>
      </c>
      <c r="BP257" s="2">
        <f>IF(AND('Batt IN'!$D$53="Yes",$AL$1&gt;=1),0,IF($C257='Batt IN'!$H$54*12,-'Batt IN'!$F$54,0))</f>
        <v>0</v>
      </c>
      <c r="BQ257" s="2">
        <f>IF(AND('Batt IN'!$D$53="Yes",$AL$1&gt;=2),0,IF($C257='Batt IN'!$H$55*12,-'Batt IN'!$F$55,0))</f>
        <v>0</v>
      </c>
      <c r="BR257" s="2">
        <f>IF(AND('Batt IN'!$D$53="Yes",$AL$1&gt;=3),0,IF($C257='Batt IN'!$H$56*12,-'Batt IN'!$F$56,0))</f>
        <v>0</v>
      </c>
      <c r="BS257" s="2">
        <f>IF(AND('Batt IN'!$D$53="Yes",$AL$1&gt;=4),0,IF($C257='Batt IN'!$H$57*12,-'Batt IN'!$F$57,0))</f>
        <v>0</v>
      </c>
      <c r="BT257" s="2">
        <f>IF(AND('Batt IN'!$D$53="Yes",$AL$1&gt;=5),0,IF($C257='Batt IN'!$H$58*12,-'Batt IN'!$F$58,0))</f>
        <v>0</v>
      </c>
      <c r="BU257" s="2">
        <f>-AH257*PVCalcs!F257</f>
        <v>-379.36705395720924</v>
      </c>
      <c r="BV257" s="2">
        <f>-'Batt IN'!$E$47</f>
        <v>-150</v>
      </c>
      <c r="BW257" s="2">
        <f>-'Batt IN'!$E$49</f>
        <v>-2250</v>
      </c>
      <c r="BX257" s="2">
        <f>IF('Batt IN'!$H$50="No",-(BC257*'Batt IN'!$E$50),-(BC257+BE257)*'Batt IN'!$E$50)</f>
        <v>0</v>
      </c>
      <c r="BY257" s="2">
        <f>IF(C257='Batt IN'!$H$43*12,-'Batt IN'!$E$43,0)</f>
        <v>0</v>
      </c>
      <c r="BZ257" s="38"/>
      <c r="CA257" s="10">
        <f t="shared" si="51"/>
        <v>13422.323408333334</v>
      </c>
      <c r="CB257" s="2">
        <f t="shared" si="55"/>
        <v>-3029.3670539572095</v>
      </c>
      <c r="CC257" s="45">
        <f t="shared" si="56"/>
        <v>10392.956354376125</v>
      </c>
      <c r="CD257" s="43"/>
      <c r="CE257" s="2">
        <f t="shared" si="52"/>
        <v>0</v>
      </c>
      <c r="CF257" s="2">
        <f t="shared" si="57"/>
        <v>-3029.3670539572095</v>
      </c>
      <c r="CG257" s="2"/>
      <c r="CH257" s="2">
        <f t="shared" si="58"/>
        <v>-3029.3670539572095</v>
      </c>
      <c r="CI257" s="45">
        <f>-CH257*'Batt IN'!$E$7</f>
        <v>636.16708133101395</v>
      </c>
      <c r="CJ257" s="48"/>
      <c r="CK257" s="45">
        <f>IF('Batt IN'!$F$4="PV Only",0,IF(C257&gt;'Batt IN'!$H$43*12,0,CC257+CI257))</f>
        <v>0</v>
      </c>
      <c r="CM257" s="10">
        <f t="shared" si="59"/>
        <v>0</v>
      </c>
      <c r="CN257" s="2">
        <f>CK257/(1+('Batt IN'!$G$8))^(C257)</f>
        <v>0</v>
      </c>
      <c r="CO257" s="2" t="e">
        <f>IF(C257&lt;='Batt IN'!$O$30*12,CN257+CO256,NA())</f>
        <v>#N/A</v>
      </c>
      <c r="CQ257" s="2">
        <f>CK257/((1+('Batt IN'!$E$8/12))^BattCalcs!C257)</f>
        <v>0</v>
      </c>
      <c r="CS257" s="10">
        <f t="shared" si="60"/>
        <v>-3029.3670539572095</v>
      </c>
      <c r="CT257" s="10">
        <f t="shared" si="61"/>
        <v>0</v>
      </c>
      <c r="CU257" s="10">
        <f t="shared" si="62"/>
        <v>-3029.3670539572095</v>
      </c>
      <c r="CV257" s="10">
        <f t="shared" si="63"/>
        <v>-3029.3670539572095</v>
      </c>
      <c r="CW257" s="2">
        <f t="shared" si="64"/>
        <v>0</v>
      </c>
      <c r="CX257" s="2">
        <f>-(SUM(CV257:CW257)*'PV IN'!$E$8)</f>
        <v>636.16708133101395</v>
      </c>
      <c r="CY257" s="2">
        <f t="shared" si="65"/>
        <v>-2393.1999726261956</v>
      </c>
      <c r="CZ257" s="2">
        <f>IF(C257&lt;='Batt IN'!$H$43*12,CY257/(1+('PV IN'!$G$9))^(C257),0)</f>
        <v>-855.53530051750147</v>
      </c>
      <c r="DA257" s="33">
        <f>IF(C257&lt;='Batt IN'!$H$43*12,AE257,0)</f>
        <v>30366.783333333333</v>
      </c>
    </row>
    <row r="258" spans="1:105" x14ac:dyDescent="0.25">
      <c r="A258">
        <f>IF(C258&lt;='Batt IN'!$H$43*12,C258,"")</f>
        <v>254</v>
      </c>
      <c r="C258">
        <v>254</v>
      </c>
      <c r="D258" s="21">
        <v>730</v>
      </c>
      <c r="E258" s="1">
        <f>1-'Batt IN'!$E$31</f>
        <v>2.0000000000000018E-2</v>
      </c>
      <c r="F258" s="12">
        <f>('Batt IN'!$E$33*365)/8760</f>
        <v>0</v>
      </c>
      <c r="G258" s="22">
        <f>'Batt IN'!$E$32/8760</f>
        <v>5.7077625570776253E-3</v>
      </c>
      <c r="H258" s="22">
        <f>'Batt IN'!$E$13/8760</f>
        <v>5.5936073059360729E-3</v>
      </c>
      <c r="I258" s="23">
        <f>IF(C258&lt;='Batt IN'!$G$14*12,'Batt IN'!$E$15/8760*'Batt IN'!$G$15,0)</f>
        <v>0</v>
      </c>
      <c r="J258" s="12">
        <f>Z258/'Batt IN'!$E$27/730</f>
        <v>2.4999999999999996E-3</v>
      </c>
      <c r="K258" s="23">
        <f>AA258/'Batt IN'!$E$27/730</f>
        <v>1.6027397260273972E-3</v>
      </c>
      <c r="L258" s="23">
        <f>AB258/'Batt IN'!$E$27/730</f>
        <v>2.0547945205479451E-4</v>
      </c>
      <c r="M258" s="23">
        <f>AC258/'Batt IN'!$E$27/730</f>
        <v>4.7945205479452057E-3</v>
      </c>
      <c r="N258" s="23">
        <f>AD258/'Batt IN'!$E$27/730</f>
        <v>3.4246575342465752E-3</v>
      </c>
      <c r="O258" s="12">
        <f t="shared" si="53"/>
        <v>4.3828767123287697E-2</v>
      </c>
      <c r="P258" s="21">
        <f t="shared" si="54"/>
        <v>698.005</v>
      </c>
      <c r="Q258" s="2">
        <f>IF('Batt IN'!$E$27*'Batt IN'!$E$24&lt;='Batt IN'!$E$28,(('Batt IN'!$E$23*'Batt IN'!$E$27*'Batt IN'!$E$24)/1000)*P258,(('Batt IN'!$E$23*'Batt IN'!$E$28*'Batt IN'!$E$24)/1000)*P258)</f>
        <v>11168.08</v>
      </c>
      <c r="R258" s="2"/>
      <c r="S258" s="77">
        <f>IF(C258&lt;='Batt IN'!$G$14*12,'Batt IN'!$E$15/12,0)</f>
        <v>0</v>
      </c>
      <c r="T258" s="77"/>
      <c r="U258" s="80">
        <f>'Batt IN'!$E$28*('Batt IN'!$G$24/24)*730*(1-O258)</f>
        <v>81433.916666666657</v>
      </c>
      <c r="V258" s="78">
        <f>U258*'Batt IN'!$F$30</f>
        <v>16286.783333333333</v>
      </c>
      <c r="W258" s="78">
        <f>'Batt IN'!$E$28*'Batt IN'!$G$32*('Batt IN'!$E$32/12)*(1+'Batt IN'!$F$30)</f>
        <v>1750.0000000000002</v>
      </c>
      <c r="X258" s="78">
        <f>'Batt IN'!$E$28*'Batt IN'!$G$13*('Batt IN'!$E$13/12)*(1+'Batt IN'!$F$30)</f>
        <v>3184.9999999999995</v>
      </c>
      <c r="Y258" s="33">
        <f>S258*'Batt IN'!$G$15*'Batt IN'!$E$28*(1+'Batt IN'!$F$30)</f>
        <v>0</v>
      </c>
      <c r="Z258" s="33">
        <f>'Batt IN'!$G$16*365/12*(1+'Batt IN'!$F$30)</f>
        <v>1824.9999999999998</v>
      </c>
      <c r="AA258" s="33">
        <f>'Batt IN'!$G$17*'Batt IN'!$E$18*'Batt IN'!$G$18/12*(1+'Batt IN'!$F$30)</f>
        <v>1170</v>
      </c>
      <c r="AB258" s="33">
        <f>'Batt IN'!$G$19*'Batt IN'!$E$20*'Batt IN'!$G$20/12*(1+'Batt IN'!$F$30)</f>
        <v>150</v>
      </c>
      <c r="AC258" s="33">
        <f>'Batt IN'!$G$21*(1+'Batt IN'!$F$30)/12</f>
        <v>3500</v>
      </c>
      <c r="AD258" s="33">
        <f>'Batt IN'!$G$22*(1+'Batt IN'!$F$30)/12</f>
        <v>2500</v>
      </c>
      <c r="AE258" s="33">
        <f t="shared" si="66"/>
        <v>30366.783333333333</v>
      </c>
      <c r="AF258" s="33">
        <f>IF('PV IN'!$F$4="Battery Only",0,AE258*'Batt IN'!$E$29)</f>
        <v>25811.765833333331</v>
      </c>
      <c r="AG258" s="33">
        <f>PVCalcs!L258</f>
        <v>25811.765833333331</v>
      </c>
      <c r="AH258" s="33">
        <f t="shared" si="67"/>
        <v>4555.0175000000017</v>
      </c>
      <c r="AI258" s="33"/>
      <c r="AJ258" s="2">
        <f>IF(AND('Batt IN'!$D$53="Yes",$AL$1&gt;=1),IF($C258='Batt IN'!$H$54*12,-'Batt IN'!$F$54,0),0)</f>
        <v>0</v>
      </c>
      <c r="AK258" s="2">
        <f>IF(AND('Batt IN'!$D$53="Yes",$AL$1&gt;=2),IF($C258='Batt IN'!$H$55*12,-'Batt IN'!$F$55,0),0)</f>
        <v>0</v>
      </c>
      <c r="AL258" s="2">
        <f>IF(AND('Batt IN'!$D$53="Yes",$AL$1&gt;=3),IF($C258='Batt IN'!$H$56*12,-'Batt IN'!$F$56,0),0)</f>
        <v>0</v>
      </c>
      <c r="AM258" s="2">
        <f>IF(AND('Batt IN'!$D$53="Yes",$AL$1&gt;=4),IF($C258='Batt IN'!$H$57*12,-'Batt IN'!$F$57,0),0)</f>
        <v>0</v>
      </c>
      <c r="AN258" s="2">
        <f>IF(AND('Batt IN'!$D$53="Yes",$AL$1&gt;=5),IF($C258='Batt IN'!$H$58*12,-'Batt IN'!$F$58,0),0)</f>
        <v>0</v>
      </c>
      <c r="AO258" s="10">
        <f>IF(AND('Batt IN'!$D$44="YES",$C258&lt;='Batt IN'!$E$44*12),-'Batt IN'!$E$28*'Batt IN'!$E$42/12,0)</f>
        <v>0</v>
      </c>
      <c r="AP258" s="10">
        <f>IF(AND('Batt IN'!$D$46="YES",$C258&lt;='Batt IN'!$E$46*12),-'Batt IN'!$E$28*'Batt IN'!$E$45/12,0)</f>
        <v>0</v>
      </c>
      <c r="AR258" s="10">
        <f>BattLoan!M285</f>
        <v>0</v>
      </c>
      <c r="AS258" s="10">
        <f>'Batt IN'!$G$16*365/12*'Batt IN'!$E$16</f>
        <v>76.041666666666671</v>
      </c>
      <c r="AT258" s="10">
        <f>IF(AND('Batt IN'!$E$18&gt;0,'Batt IN'!$G$18&gt;0),'Batt IN'!$E$17*'Batt IN'!$G$17,0)</f>
        <v>119.44619999999999</v>
      </c>
      <c r="AU258" s="10">
        <f>IF(AND('Batt IN'!$E$20&gt;0,'Batt IN'!$G$20&gt;0),'Batt IN'!$E$19*'Batt IN'!$G$19,0)</f>
        <v>231</v>
      </c>
      <c r="AV258" s="10"/>
      <c r="AW258" s="10"/>
      <c r="AX258" s="10">
        <f>IF('Batt IN'!$E$11="Non-Taxable",Q258,0)</f>
        <v>11168.08</v>
      </c>
      <c r="AY258" s="10">
        <f>IF('Batt IN'!$E$11="Non-Taxable",'Batt IN'!$E$28/1000*'Batt IN'!$G$13*('Batt IN'!$E$13/12)*'Batt IN'!$E$12,0)</f>
        <v>244.42220833333334</v>
      </c>
      <c r="AZ258" s="10">
        <f>IF('Batt IN'!$E$11="Non-Taxable",$S258*'Batt IN'!$G$15*'Batt IN'!$E$28*'Batt IN'!$E$14/1000,0)</f>
        <v>0</v>
      </c>
      <c r="BA258" s="10">
        <f>IF('Batt IN'!$E$11="Non-Taxable",'Batt IN'!$E$21*'Batt IN'!$G$21/12,0)</f>
        <v>437.5</v>
      </c>
      <c r="BB258" s="10">
        <f>IF('Batt IN'!$E$11="Non-Taxable",'Batt IN'!$E$22*'Batt IN'!$G$22/12,0)</f>
        <v>1145.8333333333335</v>
      </c>
      <c r="BC258" s="10">
        <f>IF('Batt IN'!$E$11="Taxable",Q258,0)</f>
        <v>0</v>
      </c>
      <c r="BD258" s="10">
        <f>IF('Batt IN'!$E$11="Taxable",'Batt IN'!$E$28/1000*'Batt IN'!$G$13*('Batt IN'!$E$13/12)*'Batt IN'!$E$12,0)</f>
        <v>0</v>
      </c>
      <c r="BE258" s="10">
        <f>IF('Batt IN'!$E$11="Taxable",$S258*'Batt IN'!$G$15*'Batt IN'!$E$28*'Batt IN'!$E$14/1000,0)</f>
        <v>0</v>
      </c>
      <c r="BF258" s="10">
        <f>IF('Batt IN'!$E$11="Taxable",'Batt IN'!$E$21*'Batt IN'!$G$21/12,0)</f>
        <v>0</v>
      </c>
      <c r="BG258" s="10">
        <f>IF('Batt IN'!$E$11="Taxable",'Batt IN'!$E$22*'Batt IN'!$G$22/12,0)</f>
        <v>0</v>
      </c>
      <c r="BK258" s="10">
        <f>IF('Batt IN'!$N$18="Yes",-BattLoan!H286,-BattLoan!L286)</f>
        <v>0</v>
      </c>
      <c r="BL258" s="10">
        <f>IF('Batt IN'!$N$18="Yes",-BattLoan!F286,0)</f>
        <v>0</v>
      </c>
      <c r="BM258" s="10">
        <f>IF(AND('Batt IN'!$D$44="YES",$C258&lt;='Batt IN'!$E$44*12),0,-'Batt IN'!$E$28*'Batt IN'!$E$42/12)</f>
        <v>-83.333333333333329</v>
      </c>
      <c r="BN258" s="10">
        <f>IF(AND('Batt IN'!$D$46="YES",$C258&lt;='Batt IN'!$E$46*12),0,-'Batt IN'!$E$28*'Batt IN'!$E$45/12)</f>
        <v>-166.66666666666666</v>
      </c>
      <c r="BO258" s="2">
        <f>IF(AND('Batt IN'!$D$41="YES",BattCalcs!C258=ROUNDUP('Batt IN'!$H$41*12,)),-'Batt IN'!$E$41*'Batt IN'!$E$28,0)</f>
        <v>0</v>
      </c>
      <c r="BP258" s="2">
        <f>IF(AND('Batt IN'!$D$53="Yes",$AL$1&gt;=1),0,IF($C258='Batt IN'!$H$54*12,-'Batt IN'!$F$54,0))</f>
        <v>0</v>
      </c>
      <c r="BQ258" s="2">
        <f>IF(AND('Batt IN'!$D$53="Yes",$AL$1&gt;=2),0,IF($C258='Batt IN'!$H$55*12,-'Batt IN'!$F$55,0))</f>
        <v>0</v>
      </c>
      <c r="BR258" s="2">
        <f>IF(AND('Batt IN'!$D$53="Yes",$AL$1&gt;=3),0,IF($C258='Batt IN'!$H$56*12,-'Batt IN'!$F$56,0))</f>
        <v>0</v>
      </c>
      <c r="BS258" s="2">
        <f>IF(AND('Batt IN'!$D$53="Yes",$AL$1&gt;=4),0,IF($C258='Batt IN'!$H$57*12,-'Batt IN'!$F$57,0))</f>
        <v>0</v>
      </c>
      <c r="BT258" s="2">
        <f>IF(AND('Batt IN'!$D$53="Yes",$AL$1&gt;=5),0,IF($C258='Batt IN'!$H$58*12,-'Batt IN'!$F$58,0))</f>
        <v>0</v>
      </c>
      <c r="BU258" s="2">
        <f>-AH258*PVCalcs!F258</f>
        <v>-379.36705395720924</v>
      </c>
      <c r="BV258" s="2">
        <f>-'Batt IN'!$E$47</f>
        <v>-150</v>
      </c>
      <c r="BW258" s="2">
        <f>-'Batt IN'!$E$49</f>
        <v>-2250</v>
      </c>
      <c r="BX258" s="2">
        <f>IF('Batt IN'!$H$50="No",-(BC258*'Batt IN'!$E$50),-(BC258+BE258)*'Batt IN'!$E$50)</f>
        <v>0</v>
      </c>
      <c r="BY258" s="2">
        <f>IF(C258='Batt IN'!$H$43*12,-'Batt IN'!$E$43,0)</f>
        <v>0</v>
      </c>
      <c r="BZ258" s="38"/>
      <c r="CA258" s="10">
        <f t="shared" si="51"/>
        <v>13422.323408333334</v>
      </c>
      <c r="CB258" s="2">
        <f t="shared" si="55"/>
        <v>-3029.3670539572095</v>
      </c>
      <c r="CC258" s="45">
        <f t="shared" si="56"/>
        <v>10392.956354376125</v>
      </c>
      <c r="CD258" s="43"/>
      <c r="CE258" s="2">
        <f t="shared" si="52"/>
        <v>0</v>
      </c>
      <c r="CF258" s="2">
        <f t="shared" si="57"/>
        <v>-3029.3670539572095</v>
      </c>
      <c r="CG258" s="2"/>
      <c r="CH258" s="2">
        <f t="shared" si="58"/>
        <v>-3029.3670539572095</v>
      </c>
      <c r="CI258" s="45">
        <f>-CH258*'Batt IN'!$E$7</f>
        <v>636.16708133101395</v>
      </c>
      <c r="CJ258" s="48"/>
      <c r="CK258" s="45">
        <f>IF('Batt IN'!$F$4="PV Only",0,IF(C258&gt;'Batt IN'!$H$43*12,0,CC258+CI258))</f>
        <v>0</v>
      </c>
      <c r="CM258" s="10">
        <f t="shared" si="59"/>
        <v>0</v>
      </c>
      <c r="CN258" s="2">
        <f>CK258/(1+('Batt IN'!$G$8))^(C258)</f>
        <v>0</v>
      </c>
      <c r="CO258" s="2" t="e">
        <f>IF(C258&lt;='Batt IN'!$O$30*12,CN258+CO257,NA())</f>
        <v>#N/A</v>
      </c>
      <c r="CQ258" s="2">
        <f>CK258/((1+('Batt IN'!$E$8/12))^BattCalcs!C258)</f>
        <v>0</v>
      </c>
      <c r="CS258" s="10">
        <f t="shared" si="60"/>
        <v>-3029.3670539572095</v>
      </c>
      <c r="CT258" s="10">
        <f t="shared" si="61"/>
        <v>0</v>
      </c>
      <c r="CU258" s="10">
        <f t="shared" si="62"/>
        <v>-3029.3670539572095</v>
      </c>
      <c r="CV258" s="10">
        <f t="shared" si="63"/>
        <v>-3029.3670539572095</v>
      </c>
      <c r="CW258" s="2">
        <f t="shared" si="64"/>
        <v>0</v>
      </c>
      <c r="CX258" s="2">
        <f>-(SUM(CV258:CW258)*'PV IN'!$E$8)</f>
        <v>636.16708133101395</v>
      </c>
      <c r="CY258" s="2">
        <f t="shared" si="65"/>
        <v>-2393.1999726261956</v>
      </c>
      <c r="CZ258" s="2">
        <f>IF(C258&lt;='Batt IN'!$H$43*12,CY258/(1+('PV IN'!$G$9))^(C258),0)</f>
        <v>-852.06388677121902</v>
      </c>
      <c r="DA258" s="33">
        <f>IF(C258&lt;='Batt IN'!$H$43*12,AE258,0)</f>
        <v>30366.783333333333</v>
      </c>
    </row>
    <row r="259" spans="1:105" x14ac:dyDescent="0.25">
      <c r="A259">
        <f>IF(C259&lt;='Batt IN'!$H$43*12,C259,"")</f>
        <v>255</v>
      </c>
      <c r="C259">
        <v>255</v>
      </c>
      <c r="D259" s="21">
        <v>730</v>
      </c>
      <c r="E259" s="1">
        <f>1-'Batt IN'!$E$31</f>
        <v>2.0000000000000018E-2</v>
      </c>
      <c r="F259" s="12">
        <f>('Batt IN'!$E$33*365)/8760</f>
        <v>0</v>
      </c>
      <c r="G259" s="22">
        <f>'Batt IN'!$E$32/8760</f>
        <v>5.7077625570776253E-3</v>
      </c>
      <c r="H259" s="22">
        <f>'Batt IN'!$E$13/8760</f>
        <v>5.5936073059360729E-3</v>
      </c>
      <c r="I259" s="23">
        <f>IF(C259&lt;='Batt IN'!$G$14*12,'Batt IN'!$E$15/8760*'Batt IN'!$G$15,0)</f>
        <v>0</v>
      </c>
      <c r="J259" s="12">
        <f>Z259/'Batt IN'!$E$27/730</f>
        <v>2.4999999999999996E-3</v>
      </c>
      <c r="K259" s="23">
        <f>AA259/'Batt IN'!$E$27/730</f>
        <v>1.6027397260273972E-3</v>
      </c>
      <c r="L259" s="23">
        <f>AB259/'Batt IN'!$E$27/730</f>
        <v>2.0547945205479451E-4</v>
      </c>
      <c r="M259" s="23">
        <f>AC259/'Batt IN'!$E$27/730</f>
        <v>4.7945205479452057E-3</v>
      </c>
      <c r="N259" s="23">
        <f>AD259/'Batt IN'!$E$27/730</f>
        <v>3.4246575342465752E-3</v>
      </c>
      <c r="O259" s="12">
        <f t="shared" si="53"/>
        <v>4.3828767123287697E-2</v>
      </c>
      <c r="P259" s="21">
        <f t="shared" si="54"/>
        <v>698.005</v>
      </c>
      <c r="Q259" s="2">
        <f>IF('Batt IN'!$E$27*'Batt IN'!$E$24&lt;='Batt IN'!$E$28,(('Batt IN'!$E$23*'Batt IN'!$E$27*'Batt IN'!$E$24)/1000)*P259,(('Batt IN'!$E$23*'Batt IN'!$E$28*'Batt IN'!$E$24)/1000)*P259)</f>
        <v>11168.08</v>
      </c>
      <c r="R259" s="2"/>
      <c r="S259" s="77">
        <f>IF(C259&lt;='Batt IN'!$G$14*12,'Batt IN'!$E$15/12,0)</f>
        <v>0</v>
      </c>
      <c r="T259" s="77"/>
      <c r="U259" s="80">
        <f>'Batt IN'!$E$28*('Batt IN'!$G$24/24)*730*(1-O259)</f>
        <v>81433.916666666657</v>
      </c>
      <c r="V259" s="78">
        <f>U259*'Batt IN'!$F$30</f>
        <v>16286.783333333333</v>
      </c>
      <c r="W259" s="78">
        <f>'Batt IN'!$E$28*'Batt IN'!$G$32*('Batt IN'!$E$32/12)*(1+'Batt IN'!$F$30)</f>
        <v>1750.0000000000002</v>
      </c>
      <c r="X259" s="78">
        <f>'Batt IN'!$E$28*'Batt IN'!$G$13*('Batt IN'!$E$13/12)*(1+'Batt IN'!$F$30)</f>
        <v>3184.9999999999995</v>
      </c>
      <c r="Y259" s="33">
        <f>S259*'Batt IN'!$G$15*'Batt IN'!$E$28*(1+'Batt IN'!$F$30)</f>
        <v>0</v>
      </c>
      <c r="Z259" s="33">
        <f>'Batt IN'!$G$16*365/12*(1+'Batt IN'!$F$30)</f>
        <v>1824.9999999999998</v>
      </c>
      <c r="AA259" s="33">
        <f>'Batt IN'!$G$17*'Batt IN'!$E$18*'Batt IN'!$G$18/12*(1+'Batt IN'!$F$30)</f>
        <v>1170</v>
      </c>
      <c r="AB259" s="33">
        <f>'Batt IN'!$G$19*'Batt IN'!$E$20*'Batt IN'!$G$20/12*(1+'Batt IN'!$F$30)</f>
        <v>150</v>
      </c>
      <c r="AC259" s="33">
        <f>'Batt IN'!$G$21*(1+'Batt IN'!$F$30)/12</f>
        <v>3500</v>
      </c>
      <c r="AD259" s="33">
        <f>'Batt IN'!$G$22*(1+'Batt IN'!$F$30)/12</f>
        <v>2500</v>
      </c>
      <c r="AE259" s="33">
        <f t="shared" si="66"/>
        <v>30366.783333333333</v>
      </c>
      <c r="AF259" s="33">
        <f>IF('PV IN'!$F$4="Battery Only",0,AE259*'Batt IN'!$E$29)</f>
        <v>25811.765833333331</v>
      </c>
      <c r="AG259" s="33">
        <f>PVCalcs!L259</f>
        <v>25811.765833333331</v>
      </c>
      <c r="AH259" s="33">
        <f t="shared" si="67"/>
        <v>4555.0175000000017</v>
      </c>
      <c r="AI259" s="33"/>
      <c r="AJ259" s="2">
        <f>IF(AND('Batt IN'!$D$53="Yes",$AL$1&gt;=1),IF($C259='Batt IN'!$H$54*12,-'Batt IN'!$F$54,0),0)</f>
        <v>0</v>
      </c>
      <c r="AK259" s="2">
        <f>IF(AND('Batt IN'!$D$53="Yes",$AL$1&gt;=2),IF($C259='Batt IN'!$H$55*12,-'Batt IN'!$F$55,0),0)</f>
        <v>0</v>
      </c>
      <c r="AL259" s="2">
        <f>IF(AND('Batt IN'!$D$53="Yes",$AL$1&gt;=3),IF($C259='Batt IN'!$H$56*12,-'Batt IN'!$F$56,0),0)</f>
        <v>0</v>
      </c>
      <c r="AM259" s="2">
        <f>IF(AND('Batt IN'!$D$53="Yes",$AL$1&gt;=4),IF($C259='Batt IN'!$H$57*12,-'Batt IN'!$F$57,0),0)</f>
        <v>0</v>
      </c>
      <c r="AN259" s="2">
        <f>IF(AND('Batt IN'!$D$53="Yes",$AL$1&gt;=5),IF($C259='Batt IN'!$H$58*12,-'Batt IN'!$F$58,0),0)</f>
        <v>0</v>
      </c>
      <c r="AO259" s="10">
        <f>IF(AND('Batt IN'!$D$44="YES",$C259&lt;='Batt IN'!$E$44*12),-'Batt IN'!$E$28*'Batt IN'!$E$42/12,0)</f>
        <v>0</v>
      </c>
      <c r="AP259" s="10">
        <f>IF(AND('Batt IN'!$D$46="YES",$C259&lt;='Batt IN'!$E$46*12),-'Batt IN'!$E$28*'Batt IN'!$E$45/12,0)</f>
        <v>0</v>
      </c>
      <c r="AR259" s="10">
        <f>BattLoan!M286</f>
        <v>0</v>
      </c>
      <c r="AS259" s="10">
        <f>'Batt IN'!$G$16*365/12*'Batt IN'!$E$16</f>
        <v>76.041666666666671</v>
      </c>
      <c r="AT259" s="10">
        <f>IF(AND('Batt IN'!$E$18&gt;0,'Batt IN'!$G$18&gt;0),'Batt IN'!$E$17*'Batt IN'!$G$17,0)</f>
        <v>119.44619999999999</v>
      </c>
      <c r="AU259" s="10">
        <f>IF(AND('Batt IN'!$E$20&gt;0,'Batt IN'!$G$20&gt;0),'Batt IN'!$E$19*'Batt IN'!$G$19,0)</f>
        <v>231</v>
      </c>
      <c r="AV259" s="10"/>
      <c r="AW259" s="10"/>
      <c r="AX259" s="10">
        <f>IF('Batt IN'!$E$11="Non-Taxable",Q259,0)</f>
        <v>11168.08</v>
      </c>
      <c r="AY259" s="10">
        <f>IF('Batt IN'!$E$11="Non-Taxable",'Batt IN'!$E$28/1000*'Batt IN'!$G$13*('Batt IN'!$E$13/12)*'Batt IN'!$E$12,0)</f>
        <v>244.42220833333334</v>
      </c>
      <c r="AZ259" s="10">
        <f>IF('Batt IN'!$E$11="Non-Taxable",$S259*'Batt IN'!$G$15*'Batt IN'!$E$28*'Batt IN'!$E$14/1000,0)</f>
        <v>0</v>
      </c>
      <c r="BA259" s="10">
        <f>IF('Batt IN'!$E$11="Non-Taxable",'Batt IN'!$E$21*'Batt IN'!$G$21/12,0)</f>
        <v>437.5</v>
      </c>
      <c r="BB259" s="10">
        <f>IF('Batt IN'!$E$11="Non-Taxable",'Batt IN'!$E$22*'Batt IN'!$G$22/12,0)</f>
        <v>1145.8333333333335</v>
      </c>
      <c r="BC259" s="10">
        <f>IF('Batt IN'!$E$11="Taxable",Q259,0)</f>
        <v>0</v>
      </c>
      <c r="BD259" s="10">
        <f>IF('Batt IN'!$E$11="Taxable",'Batt IN'!$E$28/1000*'Batt IN'!$G$13*('Batt IN'!$E$13/12)*'Batt IN'!$E$12,0)</f>
        <v>0</v>
      </c>
      <c r="BE259" s="10">
        <f>IF('Batt IN'!$E$11="Taxable",$S259*'Batt IN'!$G$15*'Batt IN'!$E$28*'Batt IN'!$E$14/1000,0)</f>
        <v>0</v>
      </c>
      <c r="BF259" s="10">
        <f>IF('Batt IN'!$E$11="Taxable",'Batt IN'!$E$21*'Batt IN'!$G$21/12,0)</f>
        <v>0</v>
      </c>
      <c r="BG259" s="10">
        <f>IF('Batt IN'!$E$11="Taxable",'Batt IN'!$E$22*'Batt IN'!$G$22/12,0)</f>
        <v>0</v>
      </c>
      <c r="BK259" s="10">
        <f>IF('Batt IN'!$N$18="Yes",-BattLoan!H287,-BattLoan!L287)</f>
        <v>0</v>
      </c>
      <c r="BL259" s="10">
        <f>IF('Batt IN'!$N$18="Yes",-BattLoan!F287,0)</f>
        <v>0</v>
      </c>
      <c r="BM259" s="10">
        <f>IF(AND('Batt IN'!$D$44="YES",$C259&lt;='Batt IN'!$E$44*12),0,-'Batt IN'!$E$28*'Batt IN'!$E$42/12)</f>
        <v>-83.333333333333329</v>
      </c>
      <c r="BN259" s="10">
        <f>IF(AND('Batt IN'!$D$46="YES",$C259&lt;='Batt IN'!$E$46*12),0,-'Batt IN'!$E$28*'Batt IN'!$E$45/12)</f>
        <v>-166.66666666666666</v>
      </c>
      <c r="BO259" s="2">
        <f>IF(AND('Batt IN'!$D$41="YES",BattCalcs!C259=ROUNDUP('Batt IN'!$H$41*12,)),-'Batt IN'!$E$41*'Batt IN'!$E$28,0)</f>
        <v>0</v>
      </c>
      <c r="BP259" s="2">
        <f>IF(AND('Batt IN'!$D$53="Yes",$AL$1&gt;=1),0,IF($C259='Batt IN'!$H$54*12,-'Batt IN'!$F$54,0))</f>
        <v>0</v>
      </c>
      <c r="BQ259" s="2">
        <f>IF(AND('Batt IN'!$D$53="Yes",$AL$1&gt;=2),0,IF($C259='Batt IN'!$H$55*12,-'Batt IN'!$F$55,0))</f>
        <v>0</v>
      </c>
      <c r="BR259" s="2">
        <f>IF(AND('Batt IN'!$D$53="Yes",$AL$1&gt;=3),0,IF($C259='Batt IN'!$H$56*12,-'Batt IN'!$F$56,0))</f>
        <v>0</v>
      </c>
      <c r="BS259" s="2">
        <f>IF(AND('Batt IN'!$D$53="Yes",$AL$1&gt;=4),0,IF($C259='Batt IN'!$H$57*12,-'Batt IN'!$F$57,0))</f>
        <v>0</v>
      </c>
      <c r="BT259" s="2">
        <f>IF(AND('Batt IN'!$D$53="Yes",$AL$1&gt;=5),0,IF($C259='Batt IN'!$H$58*12,-'Batt IN'!$F$58,0))</f>
        <v>0</v>
      </c>
      <c r="BU259" s="2">
        <f>-AH259*PVCalcs!F259</f>
        <v>-379.36705395720924</v>
      </c>
      <c r="BV259" s="2">
        <f>-'Batt IN'!$E$47</f>
        <v>-150</v>
      </c>
      <c r="BW259" s="2">
        <f>-'Batt IN'!$E$49</f>
        <v>-2250</v>
      </c>
      <c r="BX259" s="2">
        <f>IF('Batt IN'!$H$50="No",-(BC259*'Batt IN'!$E$50),-(BC259+BE259)*'Batt IN'!$E$50)</f>
        <v>0</v>
      </c>
      <c r="BY259" s="2">
        <f>IF(C259='Batt IN'!$H$43*12,-'Batt IN'!$E$43,0)</f>
        <v>0</v>
      </c>
      <c r="BZ259" s="38"/>
      <c r="CA259" s="10">
        <f t="shared" si="51"/>
        <v>13422.323408333334</v>
      </c>
      <c r="CB259" s="2">
        <f t="shared" si="55"/>
        <v>-3029.3670539572095</v>
      </c>
      <c r="CC259" s="45">
        <f t="shared" si="56"/>
        <v>10392.956354376125</v>
      </c>
      <c r="CD259" s="43"/>
      <c r="CE259" s="2">
        <f t="shared" si="52"/>
        <v>0</v>
      </c>
      <c r="CF259" s="2">
        <f t="shared" si="57"/>
        <v>-3029.3670539572095</v>
      </c>
      <c r="CG259" s="2"/>
      <c r="CH259" s="2">
        <f t="shared" si="58"/>
        <v>-3029.3670539572095</v>
      </c>
      <c r="CI259" s="45">
        <f>-CH259*'Batt IN'!$E$7</f>
        <v>636.16708133101395</v>
      </c>
      <c r="CJ259" s="48"/>
      <c r="CK259" s="45">
        <f>IF('Batt IN'!$F$4="PV Only",0,IF(C259&gt;'Batt IN'!$H$43*12,0,CC259+CI259))</f>
        <v>0</v>
      </c>
      <c r="CM259" s="10">
        <f t="shared" si="59"/>
        <v>0</v>
      </c>
      <c r="CN259" s="2">
        <f>CK259/(1+('Batt IN'!$G$8))^(C259)</f>
        <v>0</v>
      </c>
      <c r="CO259" s="2" t="e">
        <f>IF(C259&lt;='Batt IN'!$O$30*12,CN259+CO258,NA())</f>
        <v>#N/A</v>
      </c>
      <c r="CQ259" s="2">
        <f>CK259/((1+('Batt IN'!$E$8/12))^BattCalcs!C259)</f>
        <v>0</v>
      </c>
      <c r="CS259" s="10">
        <f t="shared" si="60"/>
        <v>-3029.3670539572095</v>
      </c>
      <c r="CT259" s="10">
        <f t="shared" si="61"/>
        <v>0</v>
      </c>
      <c r="CU259" s="10">
        <f t="shared" si="62"/>
        <v>-3029.3670539572095</v>
      </c>
      <c r="CV259" s="10">
        <f t="shared" si="63"/>
        <v>-3029.3670539572095</v>
      </c>
      <c r="CW259" s="2">
        <f t="shared" si="64"/>
        <v>0</v>
      </c>
      <c r="CX259" s="2">
        <f>-(SUM(CV259:CW259)*'PV IN'!$E$8)</f>
        <v>636.16708133101395</v>
      </c>
      <c r="CY259" s="2">
        <f t="shared" si="65"/>
        <v>-2393.1999726261956</v>
      </c>
      <c r="CZ259" s="2">
        <f>IF(C259&lt;='Batt IN'!$H$43*12,CY259/(1+('PV IN'!$G$9))^(C259),0)</f>
        <v>-848.60655860783493</v>
      </c>
      <c r="DA259" s="33">
        <f>IF(C259&lt;='Batt IN'!$H$43*12,AE259,0)</f>
        <v>30366.783333333333</v>
      </c>
    </row>
    <row r="260" spans="1:105" x14ac:dyDescent="0.25">
      <c r="A260">
        <f>IF(C260&lt;='Batt IN'!$H$43*12,C260,"")</f>
        <v>256</v>
      </c>
      <c r="C260">
        <v>256</v>
      </c>
      <c r="D260" s="21">
        <v>730</v>
      </c>
      <c r="E260" s="1">
        <f>1-'Batt IN'!$E$31</f>
        <v>2.0000000000000018E-2</v>
      </c>
      <c r="F260" s="12">
        <f>('Batt IN'!$E$33*365)/8760</f>
        <v>0</v>
      </c>
      <c r="G260" s="22">
        <f>'Batt IN'!$E$32/8760</f>
        <v>5.7077625570776253E-3</v>
      </c>
      <c r="H260" s="22">
        <f>'Batt IN'!$E$13/8760</f>
        <v>5.5936073059360729E-3</v>
      </c>
      <c r="I260" s="23">
        <f>IF(C260&lt;='Batt IN'!$G$14*12,'Batt IN'!$E$15/8760*'Batt IN'!$G$15,0)</f>
        <v>0</v>
      </c>
      <c r="J260" s="12">
        <f>Z260/'Batt IN'!$E$27/730</f>
        <v>2.4999999999999996E-3</v>
      </c>
      <c r="K260" s="23">
        <f>AA260/'Batt IN'!$E$27/730</f>
        <v>1.6027397260273972E-3</v>
      </c>
      <c r="L260" s="23">
        <f>AB260/'Batt IN'!$E$27/730</f>
        <v>2.0547945205479451E-4</v>
      </c>
      <c r="M260" s="23">
        <f>AC260/'Batt IN'!$E$27/730</f>
        <v>4.7945205479452057E-3</v>
      </c>
      <c r="N260" s="23">
        <f>AD260/'Batt IN'!$E$27/730</f>
        <v>3.4246575342465752E-3</v>
      </c>
      <c r="O260" s="12">
        <f t="shared" si="53"/>
        <v>4.3828767123287697E-2</v>
      </c>
      <c r="P260" s="21">
        <f t="shared" si="54"/>
        <v>698.005</v>
      </c>
      <c r="Q260" s="2">
        <f>IF('Batt IN'!$E$27*'Batt IN'!$E$24&lt;='Batt IN'!$E$28,(('Batt IN'!$E$23*'Batt IN'!$E$27*'Batt IN'!$E$24)/1000)*P260,(('Batt IN'!$E$23*'Batt IN'!$E$28*'Batt IN'!$E$24)/1000)*P260)</f>
        <v>11168.08</v>
      </c>
      <c r="R260" s="2"/>
      <c r="S260" s="77">
        <f>IF(C260&lt;='Batt IN'!$G$14*12,'Batt IN'!$E$15/12,0)</f>
        <v>0</v>
      </c>
      <c r="T260" s="77"/>
      <c r="U260" s="80">
        <f>'Batt IN'!$E$28*('Batt IN'!$G$24/24)*730*(1-O260)</f>
        <v>81433.916666666657</v>
      </c>
      <c r="V260" s="78">
        <f>U260*'Batt IN'!$F$30</f>
        <v>16286.783333333333</v>
      </c>
      <c r="W260" s="78">
        <f>'Batt IN'!$E$28*'Batt IN'!$G$32*('Batt IN'!$E$32/12)*(1+'Batt IN'!$F$30)</f>
        <v>1750.0000000000002</v>
      </c>
      <c r="X260" s="78">
        <f>'Batt IN'!$E$28*'Batt IN'!$G$13*('Batt IN'!$E$13/12)*(1+'Batt IN'!$F$30)</f>
        <v>3184.9999999999995</v>
      </c>
      <c r="Y260" s="33">
        <f>S260*'Batt IN'!$G$15*'Batt IN'!$E$28*(1+'Batt IN'!$F$30)</f>
        <v>0</v>
      </c>
      <c r="Z260" s="33">
        <f>'Batt IN'!$G$16*365/12*(1+'Batt IN'!$F$30)</f>
        <v>1824.9999999999998</v>
      </c>
      <c r="AA260" s="33">
        <f>'Batt IN'!$G$17*'Batt IN'!$E$18*'Batt IN'!$G$18/12*(1+'Batt IN'!$F$30)</f>
        <v>1170</v>
      </c>
      <c r="AB260" s="33">
        <f>'Batt IN'!$G$19*'Batt IN'!$E$20*'Batt IN'!$G$20/12*(1+'Batt IN'!$F$30)</f>
        <v>150</v>
      </c>
      <c r="AC260" s="33">
        <f>'Batt IN'!$G$21*(1+'Batt IN'!$F$30)/12</f>
        <v>3500</v>
      </c>
      <c r="AD260" s="33">
        <f>'Batt IN'!$G$22*(1+'Batt IN'!$F$30)/12</f>
        <v>2500</v>
      </c>
      <c r="AE260" s="33">
        <f t="shared" si="66"/>
        <v>30366.783333333333</v>
      </c>
      <c r="AF260" s="33">
        <f>IF('PV IN'!$F$4="Battery Only",0,AE260*'Batt IN'!$E$29)</f>
        <v>25811.765833333331</v>
      </c>
      <c r="AG260" s="33">
        <f>PVCalcs!L260</f>
        <v>25811.765833333331</v>
      </c>
      <c r="AH260" s="33">
        <f t="shared" si="67"/>
        <v>4555.0175000000017</v>
      </c>
      <c r="AI260" s="33"/>
      <c r="AJ260" s="2">
        <f>IF(AND('Batt IN'!$D$53="Yes",$AL$1&gt;=1),IF($C260='Batt IN'!$H$54*12,-'Batt IN'!$F$54,0),0)</f>
        <v>0</v>
      </c>
      <c r="AK260" s="2">
        <f>IF(AND('Batt IN'!$D$53="Yes",$AL$1&gt;=2),IF($C260='Batt IN'!$H$55*12,-'Batt IN'!$F$55,0),0)</f>
        <v>0</v>
      </c>
      <c r="AL260" s="2">
        <f>IF(AND('Batt IN'!$D$53="Yes",$AL$1&gt;=3),IF($C260='Batt IN'!$H$56*12,-'Batt IN'!$F$56,0),0)</f>
        <v>0</v>
      </c>
      <c r="AM260" s="2">
        <f>IF(AND('Batt IN'!$D$53="Yes",$AL$1&gt;=4),IF($C260='Batt IN'!$H$57*12,-'Batt IN'!$F$57,0),0)</f>
        <v>0</v>
      </c>
      <c r="AN260" s="2">
        <f>IF(AND('Batt IN'!$D$53="Yes",$AL$1&gt;=5),IF($C260='Batt IN'!$H$58*12,-'Batt IN'!$F$58,0),0)</f>
        <v>0</v>
      </c>
      <c r="AO260" s="10">
        <f>IF(AND('Batt IN'!$D$44="YES",$C260&lt;='Batt IN'!$E$44*12),-'Batt IN'!$E$28*'Batt IN'!$E$42/12,0)</f>
        <v>0</v>
      </c>
      <c r="AP260" s="10">
        <f>IF(AND('Batt IN'!$D$46="YES",$C260&lt;='Batt IN'!$E$46*12),-'Batt IN'!$E$28*'Batt IN'!$E$45/12,0)</f>
        <v>0</v>
      </c>
      <c r="AR260" s="10">
        <f>BattLoan!M287</f>
        <v>0</v>
      </c>
      <c r="AS260" s="10">
        <f>'Batt IN'!$G$16*365/12*'Batt IN'!$E$16</f>
        <v>76.041666666666671</v>
      </c>
      <c r="AT260" s="10">
        <f>IF(AND('Batt IN'!$E$18&gt;0,'Batt IN'!$G$18&gt;0),'Batt IN'!$E$17*'Batt IN'!$G$17,0)</f>
        <v>119.44619999999999</v>
      </c>
      <c r="AU260" s="10">
        <f>IF(AND('Batt IN'!$E$20&gt;0,'Batt IN'!$G$20&gt;0),'Batt IN'!$E$19*'Batt IN'!$G$19,0)</f>
        <v>231</v>
      </c>
      <c r="AV260" s="10"/>
      <c r="AW260" s="10"/>
      <c r="AX260" s="10">
        <f>IF('Batt IN'!$E$11="Non-Taxable",Q260,0)</f>
        <v>11168.08</v>
      </c>
      <c r="AY260" s="10">
        <f>IF('Batt IN'!$E$11="Non-Taxable",'Batt IN'!$E$28/1000*'Batt IN'!$G$13*('Batt IN'!$E$13/12)*'Batt IN'!$E$12,0)</f>
        <v>244.42220833333334</v>
      </c>
      <c r="AZ260" s="10">
        <f>IF('Batt IN'!$E$11="Non-Taxable",$S260*'Batt IN'!$G$15*'Batt IN'!$E$28*'Batt IN'!$E$14/1000,0)</f>
        <v>0</v>
      </c>
      <c r="BA260" s="10">
        <f>IF('Batt IN'!$E$11="Non-Taxable",'Batt IN'!$E$21*'Batt IN'!$G$21/12,0)</f>
        <v>437.5</v>
      </c>
      <c r="BB260" s="10">
        <f>IF('Batt IN'!$E$11="Non-Taxable",'Batt IN'!$E$22*'Batt IN'!$G$22/12,0)</f>
        <v>1145.8333333333335</v>
      </c>
      <c r="BC260" s="10">
        <f>IF('Batt IN'!$E$11="Taxable",Q260,0)</f>
        <v>0</v>
      </c>
      <c r="BD260" s="10">
        <f>IF('Batt IN'!$E$11="Taxable",'Batt IN'!$E$28/1000*'Batt IN'!$G$13*('Batt IN'!$E$13/12)*'Batt IN'!$E$12,0)</f>
        <v>0</v>
      </c>
      <c r="BE260" s="10">
        <f>IF('Batt IN'!$E$11="Taxable",$S260*'Batt IN'!$G$15*'Batt IN'!$E$28*'Batt IN'!$E$14/1000,0)</f>
        <v>0</v>
      </c>
      <c r="BF260" s="10">
        <f>IF('Batt IN'!$E$11="Taxable",'Batt IN'!$E$21*'Batt IN'!$G$21/12,0)</f>
        <v>0</v>
      </c>
      <c r="BG260" s="10">
        <f>IF('Batt IN'!$E$11="Taxable",'Batt IN'!$E$22*'Batt IN'!$G$22/12,0)</f>
        <v>0</v>
      </c>
      <c r="BK260" s="10">
        <f>IF('Batt IN'!$N$18="Yes",-BattLoan!H288,-BattLoan!L288)</f>
        <v>0</v>
      </c>
      <c r="BL260" s="10">
        <f>IF('Batt IN'!$N$18="Yes",-BattLoan!F288,0)</f>
        <v>0</v>
      </c>
      <c r="BM260" s="10">
        <f>IF(AND('Batt IN'!$D$44="YES",$C260&lt;='Batt IN'!$E$44*12),0,-'Batt IN'!$E$28*'Batt IN'!$E$42/12)</f>
        <v>-83.333333333333329</v>
      </c>
      <c r="BN260" s="10">
        <f>IF(AND('Batt IN'!$D$46="YES",$C260&lt;='Batt IN'!$E$46*12),0,-'Batt IN'!$E$28*'Batt IN'!$E$45/12)</f>
        <v>-166.66666666666666</v>
      </c>
      <c r="BO260" s="2">
        <f>IF(AND('Batt IN'!$D$41="YES",BattCalcs!C260=ROUNDUP('Batt IN'!$H$41*12,)),-'Batt IN'!$E$41*'Batt IN'!$E$28,0)</f>
        <v>0</v>
      </c>
      <c r="BP260" s="2">
        <f>IF(AND('Batt IN'!$D$53="Yes",$AL$1&gt;=1),0,IF($C260='Batt IN'!$H$54*12,-'Batt IN'!$F$54,0))</f>
        <v>0</v>
      </c>
      <c r="BQ260" s="2">
        <f>IF(AND('Batt IN'!$D$53="Yes",$AL$1&gt;=2),0,IF($C260='Batt IN'!$H$55*12,-'Batt IN'!$F$55,0))</f>
        <v>0</v>
      </c>
      <c r="BR260" s="2">
        <f>IF(AND('Batt IN'!$D$53="Yes",$AL$1&gt;=3),0,IF($C260='Batt IN'!$H$56*12,-'Batt IN'!$F$56,0))</f>
        <v>0</v>
      </c>
      <c r="BS260" s="2">
        <f>IF(AND('Batt IN'!$D$53="Yes",$AL$1&gt;=4),0,IF($C260='Batt IN'!$H$57*12,-'Batt IN'!$F$57,0))</f>
        <v>0</v>
      </c>
      <c r="BT260" s="2">
        <f>IF(AND('Batt IN'!$D$53="Yes",$AL$1&gt;=5),0,IF($C260='Batt IN'!$H$58*12,-'Batt IN'!$F$58,0))</f>
        <v>0</v>
      </c>
      <c r="BU260" s="2">
        <f>-AH260*PVCalcs!F260</f>
        <v>-379.36705395720924</v>
      </c>
      <c r="BV260" s="2">
        <f>-'Batt IN'!$E$47</f>
        <v>-150</v>
      </c>
      <c r="BW260" s="2">
        <f>-'Batt IN'!$E$49</f>
        <v>-2250</v>
      </c>
      <c r="BX260" s="2">
        <f>IF('Batt IN'!$H$50="No",-(BC260*'Batt IN'!$E$50),-(BC260+BE260)*'Batt IN'!$E$50)</f>
        <v>0</v>
      </c>
      <c r="BY260" s="2">
        <f>IF(C260='Batt IN'!$H$43*12,-'Batt IN'!$E$43,0)</f>
        <v>0</v>
      </c>
      <c r="BZ260" s="38"/>
      <c r="CA260" s="10">
        <f t="shared" ref="CA260:CA304" si="68">SUM(AR260:BH260)</f>
        <v>13422.323408333334</v>
      </c>
      <c r="CB260" s="2">
        <f t="shared" si="55"/>
        <v>-3029.3670539572095</v>
      </c>
      <c r="CC260" s="45">
        <f t="shared" si="56"/>
        <v>10392.956354376125</v>
      </c>
      <c r="CD260" s="43"/>
      <c r="CE260" s="2">
        <f t="shared" ref="CE260:CE304" si="69">SUM(BC260:BH260)</f>
        <v>0</v>
      </c>
      <c r="CF260" s="2">
        <f t="shared" si="57"/>
        <v>-3029.3670539572095</v>
      </c>
      <c r="CG260" s="2"/>
      <c r="CH260" s="2">
        <f t="shared" si="58"/>
        <v>-3029.3670539572095</v>
      </c>
      <c r="CI260" s="45">
        <f>-CH260*'Batt IN'!$E$7</f>
        <v>636.16708133101395</v>
      </c>
      <c r="CJ260" s="48"/>
      <c r="CK260" s="45">
        <f>IF('Batt IN'!$F$4="PV Only",0,IF(C260&gt;'Batt IN'!$H$43*12,0,CC260+CI260))</f>
        <v>0</v>
      </c>
      <c r="CM260" s="10">
        <f t="shared" si="59"/>
        <v>0</v>
      </c>
      <c r="CN260" s="2">
        <f>CK260/(1+('Batt IN'!$G$8))^(C260)</f>
        <v>0</v>
      </c>
      <c r="CO260" s="2" t="e">
        <f>IF(C260&lt;='Batt IN'!$O$30*12,CN260+CO259,NA())</f>
        <v>#N/A</v>
      </c>
      <c r="CQ260" s="2">
        <f>CK260/((1+('Batt IN'!$E$8/12))^BattCalcs!C260)</f>
        <v>0</v>
      </c>
      <c r="CS260" s="10">
        <f t="shared" si="60"/>
        <v>-3029.3670539572095</v>
      </c>
      <c r="CT260" s="10">
        <f t="shared" si="61"/>
        <v>0</v>
      </c>
      <c r="CU260" s="10">
        <f t="shared" si="62"/>
        <v>-3029.3670539572095</v>
      </c>
      <c r="CV260" s="10">
        <f t="shared" si="63"/>
        <v>-3029.3670539572095</v>
      </c>
      <c r="CW260" s="2">
        <f t="shared" si="64"/>
        <v>0</v>
      </c>
      <c r="CX260" s="2">
        <f>-(SUM(CV260:CW260)*'PV IN'!$E$8)</f>
        <v>636.16708133101395</v>
      </c>
      <c r="CY260" s="2">
        <f t="shared" si="65"/>
        <v>-2393.1999726261956</v>
      </c>
      <c r="CZ260" s="2">
        <f>IF(C260&lt;='Batt IN'!$H$43*12,CY260/(1+('PV IN'!$G$9))^(C260),0)</f>
        <v>-845.16325887379128</v>
      </c>
      <c r="DA260" s="33">
        <f>IF(C260&lt;='Batt IN'!$H$43*12,AE260,0)</f>
        <v>30366.783333333333</v>
      </c>
    </row>
    <row r="261" spans="1:105" x14ac:dyDescent="0.25">
      <c r="A261">
        <f>IF(C261&lt;='Batt IN'!$H$43*12,C261,"")</f>
        <v>257</v>
      </c>
      <c r="C261">
        <v>257</v>
      </c>
      <c r="D261" s="21">
        <v>730</v>
      </c>
      <c r="E261" s="1">
        <f>1-'Batt IN'!$E$31</f>
        <v>2.0000000000000018E-2</v>
      </c>
      <c r="F261" s="12">
        <f>('Batt IN'!$E$33*365)/8760</f>
        <v>0</v>
      </c>
      <c r="G261" s="22">
        <f>'Batt IN'!$E$32/8760</f>
        <v>5.7077625570776253E-3</v>
      </c>
      <c r="H261" s="22">
        <f>'Batt IN'!$E$13/8760</f>
        <v>5.5936073059360729E-3</v>
      </c>
      <c r="I261" s="23">
        <f>IF(C261&lt;='Batt IN'!$G$14*12,'Batt IN'!$E$15/8760*'Batt IN'!$G$15,0)</f>
        <v>0</v>
      </c>
      <c r="J261" s="12">
        <f>Z261/'Batt IN'!$E$27/730</f>
        <v>2.4999999999999996E-3</v>
      </c>
      <c r="K261" s="23">
        <f>AA261/'Batt IN'!$E$27/730</f>
        <v>1.6027397260273972E-3</v>
      </c>
      <c r="L261" s="23">
        <f>AB261/'Batt IN'!$E$27/730</f>
        <v>2.0547945205479451E-4</v>
      </c>
      <c r="M261" s="23">
        <f>AC261/'Batt IN'!$E$27/730</f>
        <v>4.7945205479452057E-3</v>
      </c>
      <c r="N261" s="23">
        <f>AD261/'Batt IN'!$E$27/730</f>
        <v>3.4246575342465752E-3</v>
      </c>
      <c r="O261" s="12">
        <f t="shared" ref="O261:O304" si="70">SUM(E261:N261)</f>
        <v>4.3828767123287697E-2</v>
      </c>
      <c r="P261" s="21">
        <f t="shared" ref="P261:P304" si="71">D261*(1-O261)</f>
        <v>698.005</v>
      </c>
      <c r="Q261" s="2">
        <f>IF('Batt IN'!$E$27*'Batt IN'!$E$24&lt;='Batt IN'!$E$28,(('Batt IN'!$E$23*'Batt IN'!$E$27*'Batt IN'!$E$24)/1000)*P261,(('Batt IN'!$E$23*'Batt IN'!$E$28*'Batt IN'!$E$24)/1000)*P261)</f>
        <v>11168.08</v>
      </c>
      <c r="R261" s="2"/>
      <c r="S261" s="77">
        <f>IF(C261&lt;='Batt IN'!$G$14*12,'Batt IN'!$E$15/12,0)</f>
        <v>0</v>
      </c>
      <c r="T261" s="77"/>
      <c r="U261" s="80">
        <f>'Batt IN'!$E$28*('Batt IN'!$G$24/24)*730*(1-O261)</f>
        <v>81433.916666666657</v>
      </c>
      <c r="V261" s="78">
        <f>U261*'Batt IN'!$F$30</f>
        <v>16286.783333333333</v>
      </c>
      <c r="W261" s="78">
        <f>'Batt IN'!$E$28*'Batt IN'!$G$32*('Batt IN'!$E$32/12)*(1+'Batt IN'!$F$30)</f>
        <v>1750.0000000000002</v>
      </c>
      <c r="X261" s="78">
        <f>'Batt IN'!$E$28*'Batt IN'!$G$13*('Batt IN'!$E$13/12)*(1+'Batt IN'!$F$30)</f>
        <v>3184.9999999999995</v>
      </c>
      <c r="Y261" s="33">
        <f>S261*'Batt IN'!$G$15*'Batt IN'!$E$28*(1+'Batt IN'!$F$30)</f>
        <v>0</v>
      </c>
      <c r="Z261" s="33">
        <f>'Batt IN'!$G$16*365/12*(1+'Batt IN'!$F$30)</f>
        <v>1824.9999999999998</v>
      </c>
      <c r="AA261" s="33">
        <f>'Batt IN'!$G$17*'Batt IN'!$E$18*'Batt IN'!$G$18/12*(1+'Batt IN'!$F$30)</f>
        <v>1170</v>
      </c>
      <c r="AB261" s="33">
        <f>'Batt IN'!$G$19*'Batt IN'!$E$20*'Batt IN'!$G$20/12*(1+'Batt IN'!$F$30)</f>
        <v>150</v>
      </c>
      <c r="AC261" s="33">
        <f>'Batt IN'!$G$21*(1+'Batt IN'!$F$30)/12</f>
        <v>3500</v>
      </c>
      <c r="AD261" s="33">
        <f>'Batt IN'!$G$22*(1+'Batt IN'!$F$30)/12</f>
        <v>2500</v>
      </c>
      <c r="AE261" s="33">
        <f t="shared" si="66"/>
        <v>30366.783333333333</v>
      </c>
      <c r="AF261" s="33">
        <f>IF('PV IN'!$F$4="Battery Only",0,AE261*'Batt IN'!$E$29)</f>
        <v>25811.765833333331</v>
      </c>
      <c r="AG261" s="33">
        <f>PVCalcs!L261</f>
        <v>25811.765833333331</v>
      </c>
      <c r="AH261" s="33">
        <f t="shared" si="67"/>
        <v>4555.0175000000017</v>
      </c>
      <c r="AI261" s="33"/>
      <c r="AJ261" s="2">
        <f>IF(AND('Batt IN'!$D$53="Yes",$AL$1&gt;=1),IF($C261='Batt IN'!$H$54*12,-'Batt IN'!$F$54,0),0)</f>
        <v>0</v>
      </c>
      <c r="AK261" s="2">
        <f>IF(AND('Batt IN'!$D$53="Yes",$AL$1&gt;=2),IF($C261='Batt IN'!$H$55*12,-'Batt IN'!$F$55,0),0)</f>
        <v>0</v>
      </c>
      <c r="AL261" s="2">
        <f>IF(AND('Batt IN'!$D$53="Yes",$AL$1&gt;=3),IF($C261='Batt IN'!$H$56*12,-'Batt IN'!$F$56,0),0)</f>
        <v>0</v>
      </c>
      <c r="AM261" s="2">
        <f>IF(AND('Batt IN'!$D$53="Yes",$AL$1&gt;=4),IF($C261='Batt IN'!$H$57*12,-'Batt IN'!$F$57,0),0)</f>
        <v>0</v>
      </c>
      <c r="AN261" s="2">
        <f>IF(AND('Batt IN'!$D$53="Yes",$AL$1&gt;=5),IF($C261='Batt IN'!$H$58*12,-'Batt IN'!$F$58,0),0)</f>
        <v>0</v>
      </c>
      <c r="AO261" s="10">
        <f>IF(AND('Batt IN'!$D$44="YES",$C261&lt;='Batt IN'!$E$44*12),-'Batt IN'!$E$28*'Batt IN'!$E$42/12,0)</f>
        <v>0</v>
      </c>
      <c r="AP261" s="10">
        <f>IF(AND('Batt IN'!$D$46="YES",$C261&lt;='Batt IN'!$E$46*12),-'Batt IN'!$E$28*'Batt IN'!$E$45/12,0)</f>
        <v>0</v>
      </c>
      <c r="AR261" s="10">
        <f>BattLoan!M288</f>
        <v>0</v>
      </c>
      <c r="AS261" s="10">
        <f>'Batt IN'!$G$16*365/12*'Batt IN'!$E$16</f>
        <v>76.041666666666671</v>
      </c>
      <c r="AT261" s="10">
        <f>IF(AND('Batt IN'!$E$18&gt;0,'Batt IN'!$G$18&gt;0),'Batt IN'!$E$17*'Batt IN'!$G$17,0)</f>
        <v>119.44619999999999</v>
      </c>
      <c r="AU261" s="10">
        <f>IF(AND('Batt IN'!$E$20&gt;0,'Batt IN'!$G$20&gt;0),'Batt IN'!$E$19*'Batt IN'!$G$19,0)</f>
        <v>231</v>
      </c>
      <c r="AV261" s="10"/>
      <c r="AW261" s="10"/>
      <c r="AX261" s="10">
        <f>IF('Batt IN'!$E$11="Non-Taxable",Q261,0)</f>
        <v>11168.08</v>
      </c>
      <c r="AY261" s="10">
        <f>IF('Batt IN'!$E$11="Non-Taxable",'Batt IN'!$E$28/1000*'Batt IN'!$G$13*('Batt IN'!$E$13/12)*'Batt IN'!$E$12,0)</f>
        <v>244.42220833333334</v>
      </c>
      <c r="AZ261" s="10">
        <f>IF('Batt IN'!$E$11="Non-Taxable",$S261*'Batt IN'!$G$15*'Batt IN'!$E$28*'Batt IN'!$E$14/1000,0)</f>
        <v>0</v>
      </c>
      <c r="BA261" s="10">
        <f>IF('Batt IN'!$E$11="Non-Taxable",'Batt IN'!$E$21*'Batt IN'!$G$21/12,0)</f>
        <v>437.5</v>
      </c>
      <c r="BB261" s="10">
        <f>IF('Batt IN'!$E$11="Non-Taxable",'Batt IN'!$E$22*'Batt IN'!$G$22/12,0)</f>
        <v>1145.8333333333335</v>
      </c>
      <c r="BC261" s="10">
        <f>IF('Batt IN'!$E$11="Taxable",Q261,0)</f>
        <v>0</v>
      </c>
      <c r="BD261" s="10">
        <f>IF('Batt IN'!$E$11="Taxable",'Batt IN'!$E$28/1000*'Batt IN'!$G$13*('Batt IN'!$E$13/12)*'Batt IN'!$E$12,0)</f>
        <v>0</v>
      </c>
      <c r="BE261" s="10">
        <f>IF('Batt IN'!$E$11="Taxable",$S261*'Batt IN'!$G$15*'Batt IN'!$E$28*'Batt IN'!$E$14/1000,0)</f>
        <v>0</v>
      </c>
      <c r="BF261" s="10">
        <f>IF('Batt IN'!$E$11="Taxable",'Batt IN'!$E$21*'Batt IN'!$G$21/12,0)</f>
        <v>0</v>
      </c>
      <c r="BG261" s="10">
        <f>IF('Batt IN'!$E$11="Taxable",'Batt IN'!$E$22*'Batt IN'!$G$22/12,0)</f>
        <v>0</v>
      </c>
      <c r="BK261" s="10">
        <f>IF('Batt IN'!$N$18="Yes",-BattLoan!H289,-BattLoan!L289)</f>
        <v>0</v>
      </c>
      <c r="BL261" s="10">
        <f>IF('Batt IN'!$N$18="Yes",-BattLoan!F289,0)</f>
        <v>0</v>
      </c>
      <c r="BM261" s="10">
        <f>IF(AND('Batt IN'!$D$44="YES",$C261&lt;='Batt IN'!$E$44*12),0,-'Batt IN'!$E$28*'Batt IN'!$E$42/12)</f>
        <v>-83.333333333333329</v>
      </c>
      <c r="BN261" s="10">
        <f>IF(AND('Batt IN'!$D$46="YES",$C261&lt;='Batt IN'!$E$46*12),0,-'Batt IN'!$E$28*'Batt IN'!$E$45/12)</f>
        <v>-166.66666666666666</v>
      </c>
      <c r="BO261" s="2">
        <f>IF(AND('Batt IN'!$D$41="YES",BattCalcs!C261=ROUNDUP('Batt IN'!$H$41*12,)),-'Batt IN'!$E$41*'Batt IN'!$E$28,0)</f>
        <v>0</v>
      </c>
      <c r="BP261" s="2">
        <f>IF(AND('Batt IN'!$D$53="Yes",$AL$1&gt;=1),0,IF($C261='Batt IN'!$H$54*12,-'Batt IN'!$F$54,0))</f>
        <v>0</v>
      </c>
      <c r="BQ261" s="2">
        <f>IF(AND('Batt IN'!$D$53="Yes",$AL$1&gt;=2),0,IF($C261='Batt IN'!$H$55*12,-'Batt IN'!$F$55,0))</f>
        <v>0</v>
      </c>
      <c r="BR261" s="2">
        <f>IF(AND('Batt IN'!$D$53="Yes",$AL$1&gt;=3),0,IF($C261='Batt IN'!$H$56*12,-'Batt IN'!$F$56,0))</f>
        <v>0</v>
      </c>
      <c r="BS261" s="2">
        <f>IF(AND('Batt IN'!$D$53="Yes",$AL$1&gt;=4),0,IF($C261='Batt IN'!$H$57*12,-'Batt IN'!$F$57,0))</f>
        <v>0</v>
      </c>
      <c r="BT261" s="2">
        <f>IF(AND('Batt IN'!$D$53="Yes",$AL$1&gt;=5),0,IF($C261='Batt IN'!$H$58*12,-'Batt IN'!$F$58,0))</f>
        <v>0</v>
      </c>
      <c r="BU261" s="2">
        <f>-AH261*PVCalcs!F261</f>
        <v>-379.36705395720924</v>
      </c>
      <c r="BV261" s="2">
        <f>-'Batt IN'!$E$47</f>
        <v>-150</v>
      </c>
      <c r="BW261" s="2">
        <f>-'Batt IN'!$E$49</f>
        <v>-2250</v>
      </c>
      <c r="BX261" s="2">
        <f>IF('Batt IN'!$H$50="No",-(BC261*'Batt IN'!$E$50),-(BC261+BE261)*'Batt IN'!$E$50)</f>
        <v>0</v>
      </c>
      <c r="BY261" s="2">
        <f>IF(C261='Batt IN'!$H$43*12,-'Batt IN'!$E$43,0)</f>
        <v>0</v>
      </c>
      <c r="BZ261" s="38"/>
      <c r="CA261" s="10">
        <f t="shared" si="68"/>
        <v>13422.323408333334</v>
      </c>
      <c r="CB261" s="2">
        <f t="shared" ref="CB261:CB324" si="72">SUM(BJ261:BY261)</f>
        <v>-3029.3670539572095</v>
      </c>
      <c r="CC261" s="45">
        <f t="shared" ref="CC261:CC304" si="73">SUM(CA261:CB261)</f>
        <v>10392.956354376125</v>
      </c>
      <c r="CD261" s="43"/>
      <c r="CE261" s="2">
        <f t="shared" si="69"/>
        <v>0</v>
      </c>
      <c r="CF261" s="2">
        <f t="shared" ref="CF261:CF324" si="74">SUM(BL261:BY261)</f>
        <v>-3029.3670539572095</v>
      </c>
      <c r="CG261" s="2"/>
      <c r="CH261" s="2">
        <f t="shared" ref="CH261:CH304" si="75">SUM(CE261:CG261)</f>
        <v>-3029.3670539572095</v>
      </c>
      <c r="CI261" s="45">
        <f>-CH261*'Batt IN'!$E$7</f>
        <v>636.16708133101395</v>
      </c>
      <c r="CJ261" s="48"/>
      <c r="CK261" s="45">
        <f>IF('Batt IN'!$F$4="PV Only",0,IF(C261&gt;'Batt IN'!$H$43*12,0,CC261+CI261))</f>
        <v>0</v>
      </c>
      <c r="CM261" s="10">
        <f t="shared" ref="CM261:CM304" si="76">CM260+CK261</f>
        <v>0</v>
      </c>
      <c r="CN261" s="2">
        <f>CK261/(1+('Batt IN'!$G$8))^(C261)</f>
        <v>0</v>
      </c>
      <c r="CO261" s="2" t="e">
        <f>IF(C261&lt;='Batt IN'!$O$30*12,CN261+CO260,NA())</f>
        <v>#N/A</v>
      </c>
      <c r="CQ261" s="2">
        <f>CK261/((1+('Batt IN'!$E$8/12))^BattCalcs!C261)</f>
        <v>0</v>
      </c>
      <c r="CS261" s="10">
        <f t="shared" ref="CS261:CS324" si="77">CB261</f>
        <v>-3029.3670539572095</v>
      </c>
      <c r="CT261" s="10">
        <f t="shared" ref="CT261:CT324" si="78">AV261+BH261</f>
        <v>0</v>
      </c>
      <c r="CU261" s="10">
        <f t="shared" ref="CU261:CU324" si="79">CS261+CT261</f>
        <v>-3029.3670539572095</v>
      </c>
      <c r="CV261" s="10">
        <f t="shared" ref="CV261:CV324" si="80">SUM(BL261:BX261)</f>
        <v>-3029.3670539572095</v>
      </c>
      <c r="CW261" s="2">
        <f t="shared" ref="CW261:CW324" si="81">CG261</f>
        <v>0</v>
      </c>
      <c r="CX261" s="2">
        <f>-(SUM(CV261:CW261)*'PV IN'!$E$8)</f>
        <v>636.16708133101395</v>
      </c>
      <c r="CY261" s="2">
        <f t="shared" ref="CY261:CY324" si="82">CU261+CX261</f>
        <v>-2393.1999726261956</v>
      </c>
      <c r="CZ261" s="2">
        <f>IF(C261&lt;='Batt IN'!$H$43*12,CY261/(1+('PV IN'!$G$9))^(C261),0)</f>
        <v>-841.73393064743675</v>
      </c>
      <c r="DA261" s="33">
        <f>IF(C261&lt;='Batt IN'!$H$43*12,AE261,0)</f>
        <v>30366.783333333333</v>
      </c>
    </row>
    <row r="262" spans="1:105" x14ac:dyDescent="0.25">
      <c r="A262">
        <f>IF(C262&lt;='Batt IN'!$H$43*12,C262,"")</f>
        <v>258</v>
      </c>
      <c r="C262">
        <v>258</v>
      </c>
      <c r="D262" s="21">
        <v>730</v>
      </c>
      <c r="E262" s="1">
        <f>1-'Batt IN'!$E$31</f>
        <v>2.0000000000000018E-2</v>
      </c>
      <c r="F262" s="12">
        <f>('Batt IN'!$E$33*365)/8760</f>
        <v>0</v>
      </c>
      <c r="G262" s="22">
        <f>'Batt IN'!$E$32/8760</f>
        <v>5.7077625570776253E-3</v>
      </c>
      <c r="H262" s="22">
        <f>'Batt IN'!$E$13/8760</f>
        <v>5.5936073059360729E-3</v>
      </c>
      <c r="I262" s="23">
        <f>IF(C262&lt;='Batt IN'!$G$14*12,'Batt IN'!$E$15/8760*'Batt IN'!$G$15,0)</f>
        <v>0</v>
      </c>
      <c r="J262" s="12">
        <f>Z262/'Batt IN'!$E$27/730</f>
        <v>2.4999999999999996E-3</v>
      </c>
      <c r="K262" s="23">
        <f>AA262/'Batt IN'!$E$27/730</f>
        <v>1.6027397260273972E-3</v>
      </c>
      <c r="L262" s="23">
        <f>AB262/'Batt IN'!$E$27/730</f>
        <v>2.0547945205479451E-4</v>
      </c>
      <c r="M262" s="23">
        <f>AC262/'Batt IN'!$E$27/730</f>
        <v>4.7945205479452057E-3</v>
      </c>
      <c r="N262" s="23">
        <f>AD262/'Batt IN'!$E$27/730</f>
        <v>3.4246575342465752E-3</v>
      </c>
      <c r="O262" s="12">
        <f t="shared" si="70"/>
        <v>4.3828767123287697E-2</v>
      </c>
      <c r="P262" s="21">
        <f t="shared" si="71"/>
        <v>698.005</v>
      </c>
      <c r="Q262" s="2">
        <f>IF('Batt IN'!$E$27*'Batt IN'!$E$24&lt;='Batt IN'!$E$28,(('Batt IN'!$E$23*'Batt IN'!$E$27*'Batt IN'!$E$24)/1000)*P262,(('Batt IN'!$E$23*'Batt IN'!$E$28*'Batt IN'!$E$24)/1000)*P262)</f>
        <v>11168.08</v>
      </c>
      <c r="R262" s="2"/>
      <c r="S262" s="77">
        <f>IF(C262&lt;='Batt IN'!$G$14*12,'Batt IN'!$E$15/12,0)</f>
        <v>0</v>
      </c>
      <c r="T262" s="77"/>
      <c r="U262" s="80">
        <f>'Batt IN'!$E$28*('Batt IN'!$G$24/24)*730*(1-O262)</f>
        <v>81433.916666666657</v>
      </c>
      <c r="V262" s="78">
        <f>U262*'Batt IN'!$F$30</f>
        <v>16286.783333333333</v>
      </c>
      <c r="W262" s="78">
        <f>'Batt IN'!$E$28*'Batt IN'!$G$32*('Batt IN'!$E$32/12)*(1+'Batt IN'!$F$30)</f>
        <v>1750.0000000000002</v>
      </c>
      <c r="X262" s="78">
        <f>'Batt IN'!$E$28*'Batt IN'!$G$13*('Batt IN'!$E$13/12)*(1+'Batt IN'!$F$30)</f>
        <v>3184.9999999999995</v>
      </c>
      <c r="Y262" s="33">
        <f>S262*'Batt IN'!$G$15*'Batt IN'!$E$28*(1+'Batt IN'!$F$30)</f>
        <v>0</v>
      </c>
      <c r="Z262" s="33">
        <f>'Batt IN'!$G$16*365/12*(1+'Batt IN'!$F$30)</f>
        <v>1824.9999999999998</v>
      </c>
      <c r="AA262" s="33">
        <f>'Batt IN'!$G$17*'Batt IN'!$E$18*'Batt IN'!$G$18/12*(1+'Batt IN'!$F$30)</f>
        <v>1170</v>
      </c>
      <c r="AB262" s="33">
        <f>'Batt IN'!$G$19*'Batt IN'!$E$20*'Batt IN'!$G$20/12*(1+'Batt IN'!$F$30)</f>
        <v>150</v>
      </c>
      <c r="AC262" s="33">
        <f>'Batt IN'!$G$21*(1+'Batt IN'!$F$30)/12</f>
        <v>3500</v>
      </c>
      <c r="AD262" s="33">
        <f>'Batt IN'!$G$22*(1+'Batt IN'!$F$30)/12</f>
        <v>2500</v>
      </c>
      <c r="AE262" s="33">
        <f t="shared" ref="AE262:AE304" si="83">SUM(V262:AD262)</f>
        <v>30366.783333333333</v>
      </c>
      <c r="AF262" s="33">
        <f>IF('PV IN'!$F$4="Battery Only",0,AE262*'Batt IN'!$E$29)</f>
        <v>25811.765833333331</v>
      </c>
      <c r="AG262" s="33">
        <f>PVCalcs!L262</f>
        <v>25811.765833333331</v>
      </c>
      <c r="AH262" s="33">
        <f t="shared" ref="AH262:AH304" si="84">AE262-AG262</f>
        <v>4555.0175000000017</v>
      </c>
      <c r="AI262" s="33"/>
      <c r="AJ262" s="2">
        <f>IF(AND('Batt IN'!$D$53="Yes",$AL$1&gt;=1),IF($C262='Batt IN'!$H$54*12,-'Batt IN'!$F$54,0),0)</f>
        <v>0</v>
      </c>
      <c r="AK262" s="2">
        <f>IF(AND('Batt IN'!$D$53="Yes",$AL$1&gt;=2),IF($C262='Batt IN'!$H$55*12,-'Batt IN'!$F$55,0),0)</f>
        <v>0</v>
      </c>
      <c r="AL262" s="2">
        <f>IF(AND('Batt IN'!$D$53="Yes",$AL$1&gt;=3),IF($C262='Batt IN'!$H$56*12,-'Batt IN'!$F$56,0),0)</f>
        <v>0</v>
      </c>
      <c r="AM262" s="2">
        <f>IF(AND('Batt IN'!$D$53="Yes",$AL$1&gt;=4),IF($C262='Batt IN'!$H$57*12,-'Batt IN'!$F$57,0),0)</f>
        <v>0</v>
      </c>
      <c r="AN262" s="2">
        <f>IF(AND('Batt IN'!$D$53="Yes",$AL$1&gt;=5),IF($C262='Batt IN'!$H$58*12,-'Batt IN'!$F$58,0),0)</f>
        <v>0</v>
      </c>
      <c r="AO262" s="10">
        <f>IF(AND('Batt IN'!$D$44="YES",$C262&lt;='Batt IN'!$E$44*12),-'Batt IN'!$E$28*'Batt IN'!$E$42/12,0)</f>
        <v>0</v>
      </c>
      <c r="AP262" s="10">
        <f>IF(AND('Batt IN'!$D$46="YES",$C262&lt;='Batt IN'!$E$46*12),-'Batt IN'!$E$28*'Batt IN'!$E$45/12,0)</f>
        <v>0</v>
      </c>
      <c r="AR262" s="10">
        <f>BattLoan!M289</f>
        <v>0</v>
      </c>
      <c r="AS262" s="10">
        <f>'Batt IN'!$G$16*365/12*'Batt IN'!$E$16</f>
        <v>76.041666666666671</v>
      </c>
      <c r="AT262" s="10">
        <f>IF(AND('Batt IN'!$E$18&gt;0,'Batt IN'!$G$18&gt;0),'Batt IN'!$E$17*'Batt IN'!$G$17,0)</f>
        <v>119.44619999999999</v>
      </c>
      <c r="AU262" s="10">
        <f>IF(AND('Batt IN'!$E$20&gt;0,'Batt IN'!$G$20&gt;0),'Batt IN'!$E$19*'Batt IN'!$G$19,0)</f>
        <v>231</v>
      </c>
      <c r="AV262" s="10"/>
      <c r="AW262" s="10"/>
      <c r="AX262" s="10">
        <f>IF('Batt IN'!$E$11="Non-Taxable",Q262,0)</f>
        <v>11168.08</v>
      </c>
      <c r="AY262" s="10">
        <f>IF('Batt IN'!$E$11="Non-Taxable",'Batt IN'!$E$28/1000*'Batt IN'!$G$13*('Batt IN'!$E$13/12)*'Batt IN'!$E$12,0)</f>
        <v>244.42220833333334</v>
      </c>
      <c r="AZ262" s="10">
        <f>IF('Batt IN'!$E$11="Non-Taxable",$S262*'Batt IN'!$G$15*'Batt IN'!$E$28*'Batt IN'!$E$14/1000,0)</f>
        <v>0</v>
      </c>
      <c r="BA262" s="10">
        <f>IF('Batt IN'!$E$11="Non-Taxable",'Batt IN'!$E$21*'Batt IN'!$G$21/12,0)</f>
        <v>437.5</v>
      </c>
      <c r="BB262" s="10">
        <f>IF('Batt IN'!$E$11="Non-Taxable",'Batt IN'!$E$22*'Batt IN'!$G$22/12,0)</f>
        <v>1145.8333333333335</v>
      </c>
      <c r="BC262" s="10">
        <f>IF('Batt IN'!$E$11="Taxable",Q262,0)</f>
        <v>0</v>
      </c>
      <c r="BD262" s="10">
        <f>IF('Batt IN'!$E$11="Taxable",'Batt IN'!$E$28/1000*'Batt IN'!$G$13*('Batt IN'!$E$13/12)*'Batt IN'!$E$12,0)</f>
        <v>0</v>
      </c>
      <c r="BE262" s="10">
        <f>IF('Batt IN'!$E$11="Taxable",$S262*'Batt IN'!$G$15*'Batt IN'!$E$28*'Batt IN'!$E$14/1000,0)</f>
        <v>0</v>
      </c>
      <c r="BF262" s="10">
        <f>IF('Batt IN'!$E$11="Taxable",'Batt IN'!$E$21*'Batt IN'!$G$21/12,0)</f>
        <v>0</v>
      </c>
      <c r="BG262" s="10">
        <f>IF('Batt IN'!$E$11="Taxable",'Batt IN'!$E$22*'Batt IN'!$G$22/12,0)</f>
        <v>0</v>
      </c>
      <c r="BK262" s="10">
        <f>IF('Batt IN'!$N$18="Yes",-BattLoan!H290,-BattLoan!L290)</f>
        <v>0</v>
      </c>
      <c r="BL262" s="10">
        <f>IF('Batt IN'!$N$18="Yes",-BattLoan!F290,0)</f>
        <v>0</v>
      </c>
      <c r="BM262" s="10">
        <f>IF(AND('Batt IN'!$D$44="YES",$C262&lt;='Batt IN'!$E$44*12),0,-'Batt IN'!$E$28*'Batt IN'!$E$42/12)</f>
        <v>-83.333333333333329</v>
      </c>
      <c r="BN262" s="10">
        <f>IF(AND('Batt IN'!$D$46="YES",$C262&lt;='Batt IN'!$E$46*12),0,-'Batt IN'!$E$28*'Batt IN'!$E$45/12)</f>
        <v>-166.66666666666666</v>
      </c>
      <c r="BO262" s="2">
        <f>IF(AND('Batt IN'!$D$41="YES",BattCalcs!C262=ROUNDUP('Batt IN'!$H$41*12,)),-'Batt IN'!$E$41*'Batt IN'!$E$28,0)</f>
        <v>0</v>
      </c>
      <c r="BP262" s="2">
        <f>IF(AND('Batt IN'!$D$53="Yes",$AL$1&gt;=1),0,IF($C262='Batt IN'!$H$54*12,-'Batt IN'!$F$54,0))</f>
        <v>0</v>
      </c>
      <c r="BQ262" s="2">
        <f>IF(AND('Batt IN'!$D$53="Yes",$AL$1&gt;=2),0,IF($C262='Batt IN'!$H$55*12,-'Batt IN'!$F$55,0))</f>
        <v>0</v>
      </c>
      <c r="BR262" s="2">
        <f>IF(AND('Batt IN'!$D$53="Yes",$AL$1&gt;=3),0,IF($C262='Batt IN'!$H$56*12,-'Batt IN'!$F$56,0))</f>
        <v>0</v>
      </c>
      <c r="BS262" s="2">
        <f>IF(AND('Batt IN'!$D$53="Yes",$AL$1&gt;=4),0,IF($C262='Batt IN'!$H$57*12,-'Batt IN'!$F$57,0))</f>
        <v>0</v>
      </c>
      <c r="BT262" s="2">
        <f>IF(AND('Batt IN'!$D$53="Yes",$AL$1&gt;=5),0,IF($C262='Batt IN'!$H$58*12,-'Batt IN'!$F$58,0))</f>
        <v>0</v>
      </c>
      <c r="BU262" s="2">
        <f>-AH262*PVCalcs!F262</f>
        <v>-379.36705395720924</v>
      </c>
      <c r="BV262" s="2">
        <f>-'Batt IN'!$E$47</f>
        <v>-150</v>
      </c>
      <c r="BW262" s="2">
        <f>-'Batt IN'!$E$49</f>
        <v>-2250</v>
      </c>
      <c r="BX262" s="2">
        <f>IF('Batt IN'!$H$50="No",-(BC262*'Batt IN'!$E$50),-(BC262+BE262)*'Batt IN'!$E$50)</f>
        <v>0</v>
      </c>
      <c r="BY262" s="2">
        <f>IF(C262='Batt IN'!$H$43*12,-'Batt IN'!$E$43,0)</f>
        <v>0</v>
      </c>
      <c r="BZ262" s="38"/>
      <c r="CA262" s="10">
        <f t="shared" si="68"/>
        <v>13422.323408333334</v>
      </c>
      <c r="CB262" s="2">
        <f t="shared" si="72"/>
        <v>-3029.3670539572095</v>
      </c>
      <c r="CC262" s="45">
        <f t="shared" si="73"/>
        <v>10392.956354376125</v>
      </c>
      <c r="CD262" s="43"/>
      <c r="CE262" s="2">
        <f t="shared" si="69"/>
        <v>0</v>
      </c>
      <c r="CF262" s="2">
        <f t="shared" si="74"/>
        <v>-3029.3670539572095</v>
      </c>
      <c r="CG262" s="2"/>
      <c r="CH262" s="2">
        <f t="shared" si="75"/>
        <v>-3029.3670539572095</v>
      </c>
      <c r="CI262" s="45">
        <f>-CH262*'Batt IN'!$E$7</f>
        <v>636.16708133101395</v>
      </c>
      <c r="CJ262" s="48"/>
      <c r="CK262" s="45">
        <f>IF('Batt IN'!$F$4="PV Only",0,IF(C262&gt;'Batt IN'!$H$43*12,0,CC262+CI262))</f>
        <v>0</v>
      </c>
      <c r="CM262" s="10">
        <f t="shared" si="76"/>
        <v>0</v>
      </c>
      <c r="CN262" s="2">
        <f>CK262/(1+('Batt IN'!$G$8))^(C262)</f>
        <v>0</v>
      </c>
      <c r="CO262" s="2" t="e">
        <f>IF(C262&lt;='Batt IN'!$O$30*12,CN262+CO261,NA())</f>
        <v>#N/A</v>
      </c>
      <c r="CQ262" s="2">
        <f>CK262/((1+('Batt IN'!$E$8/12))^BattCalcs!C262)</f>
        <v>0</v>
      </c>
      <c r="CS262" s="10">
        <f t="shared" si="77"/>
        <v>-3029.3670539572095</v>
      </c>
      <c r="CT262" s="10">
        <f t="shared" si="78"/>
        <v>0</v>
      </c>
      <c r="CU262" s="10">
        <f t="shared" si="79"/>
        <v>-3029.3670539572095</v>
      </c>
      <c r="CV262" s="10">
        <f t="shared" si="80"/>
        <v>-3029.3670539572095</v>
      </c>
      <c r="CW262" s="2">
        <f t="shared" si="81"/>
        <v>0</v>
      </c>
      <c r="CX262" s="2">
        <f>-(SUM(CV262:CW262)*'PV IN'!$E$8)</f>
        <v>636.16708133101395</v>
      </c>
      <c r="CY262" s="2">
        <f t="shared" si="82"/>
        <v>-2393.1999726261956</v>
      </c>
      <c r="CZ262" s="2">
        <f>IF(C262&lt;='Batt IN'!$H$43*12,CY262/(1+('PV IN'!$G$9))^(C262),0)</f>
        <v>-838.31851723808427</v>
      </c>
      <c r="DA262" s="33">
        <f>IF(C262&lt;='Batt IN'!$H$43*12,AE262,0)</f>
        <v>30366.783333333333</v>
      </c>
    </row>
    <row r="263" spans="1:105" x14ac:dyDescent="0.25">
      <c r="A263">
        <f>IF(C263&lt;='Batt IN'!$H$43*12,C263,"")</f>
        <v>259</v>
      </c>
      <c r="C263">
        <v>259</v>
      </c>
      <c r="D263" s="21">
        <v>730</v>
      </c>
      <c r="E263" s="1">
        <f>1-'Batt IN'!$E$31</f>
        <v>2.0000000000000018E-2</v>
      </c>
      <c r="F263" s="12">
        <f>('Batt IN'!$E$33*365)/8760</f>
        <v>0</v>
      </c>
      <c r="G263" s="22">
        <f>'Batt IN'!$E$32/8760</f>
        <v>5.7077625570776253E-3</v>
      </c>
      <c r="H263" s="22">
        <f>'Batt IN'!$E$13/8760</f>
        <v>5.5936073059360729E-3</v>
      </c>
      <c r="I263" s="23">
        <f>IF(C263&lt;='Batt IN'!$G$14*12,'Batt IN'!$E$15/8760*'Batt IN'!$G$15,0)</f>
        <v>0</v>
      </c>
      <c r="J263" s="12">
        <f>Z263/'Batt IN'!$E$27/730</f>
        <v>2.4999999999999996E-3</v>
      </c>
      <c r="K263" s="23">
        <f>AA263/'Batt IN'!$E$27/730</f>
        <v>1.6027397260273972E-3</v>
      </c>
      <c r="L263" s="23">
        <f>AB263/'Batt IN'!$E$27/730</f>
        <v>2.0547945205479451E-4</v>
      </c>
      <c r="M263" s="23">
        <f>AC263/'Batt IN'!$E$27/730</f>
        <v>4.7945205479452057E-3</v>
      </c>
      <c r="N263" s="23">
        <f>AD263/'Batt IN'!$E$27/730</f>
        <v>3.4246575342465752E-3</v>
      </c>
      <c r="O263" s="12">
        <f t="shared" si="70"/>
        <v>4.3828767123287697E-2</v>
      </c>
      <c r="P263" s="21">
        <f t="shared" si="71"/>
        <v>698.005</v>
      </c>
      <c r="Q263" s="2">
        <f>IF('Batt IN'!$E$27*'Batt IN'!$E$24&lt;='Batt IN'!$E$28,(('Batt IN'!$E$23*'Batt IN'!$E$27*'Batt IN'!$E$24)/1000)*P263,(('Batt IN'!$E$23*'Batt IN'!$E$28*'Batt IN'!$E$24)/1000)*P263)</f>
        <v>11168.08</v>
      </c>
      <c r="R263" s="2"/>
      <c r="S263" s="77">
        <f>IF(C263&lt;='Batt IN'!$G$14*12,'Batt IN'!$E$15/12,0)</f>
        <v>0</v>
      </c>
      <c r="T263" s="77"/>
      <c r="U263" s="80">
        <f>'Batt IN'!$E$28*('Batt IN'!$G$24/24)*730*(1-O263)</f>
        <v>81433.916666666657</v>
      </c>
      <c r="V263" s="78">
        <f>U263*'Batt IN'!$F$30</f>
        <v>16286.783333333333</v>
      </c>
      <c r="W263" s="78">
        <f>'Batt IN'!$E$28*'Batt IN'!$G$32*('Batt IN'!$E$32/12)*(1+'Batt IN'!$F$30)</f>
        <v>1750.0000000000002</v>
      </c>
      <c r="X263" s="78">
        <f>'Batt IN'!$E$28*'Batt IN'!$G$13*('Batt IN'!$E$13/12)*(1+'Batt IN'!$F$30)</f>
        <v>3184.9999999999995</v>
      </c>
      <c r="Y263" s="33">
        <f>S263*'Batt IN'!$G$15*'Batt IN'!$E$28*(1+'Batt IN'!$F$30)</f>
        <v>0</v>
      </c>
      <c r="Z263" s="33">
        <f>'Batt IN'!$G$16*365/12*(1+'Batt IN'!$F$30)</f>
        <v>1824.9999999999998</v>
      </c>
      <c r="AA263" s="33">
        <f>'Batt IN'!$G$17*'Batt IN'!$E$18*'Batt IN'!$G$18/12*(1+'Batt IN'!$F$30)</f>
        <v>1170</v>
      </c>
      <c r="AB263" s="33">
        <f>'Batt IN'!$G$19*'Batt IN'!$E$20*'Batt IN'!$G$20/12*(1+'Batt IN'!$F$30)</f>
        <v>150</v>
      </c>
      <c r="AC263" s="33">
        <f>'Batt IN'!$G$21*(1+'Batt IN'!$F$30)/12</f>
        <v>3500</v>
      </c>
      <c r="AD263" s="33">
        <f>'Batt IN'!$G$22*(1+'Batt IN'!$F$30)/12</f>
        <v>2500</v>
      </c>
      <c r="AE263" s="33">
        <f t="shared" si="83"/>
        <v>30366.783333333333</v>
      </c>
      <c r="AF263" s="33">
        <f>IF('PV IN'!$F$4="Battery Only",0,AE263*'Batt IN'!$E$29)</f>
        <v>25811.765833333331</v>
      </c>
      <c r="AG263" s="33">
        <f>PVCalcs!L263</f>
        <v>25811.765833333331</v>
      </c>
      <c r="AH263" s="33">
        <f t="shared" si="84"/>
        <v>4555.0175000000017</v>
      </c>
      <c r="AI263" s="33"/>
      <c r="AJ263" s="2">
        <f>IF(AND('Batt IN'!$D$53="Yes",$AL$1&gt;=1),IF($C263='Batt IN'!$H$54*12,-'Batt IN'!$F$54,0),0)</f>
        <v>0</v>
      </c>
      <c r="AK263" s="2">
        <f>IF(AND('Batt IN'!$D$53="Yes",$AL$1&gt;=2),IF($C263='Batt IN'!$H$55*12,-'Batt IN'!$F$55,0),0)</f>
        <v>0</v>
      </c>
      <c r="AL263" s="2">
        <f>IF(AND('Batt IN'!$D$53="Yes",$AL$1&gt;=3),IF($C263='Batt IN'!$H$56*12,-'Batt IN'!$F$56,0),0)</f>
        <v>0</v>
      </c>
      <c r="AM263" s="2">
        <f>IF(AND('Batt IN'!$D$53="Yes",$AL$1&gt;=4),IF($C263='Batt IN'!$H$57*12,-'Batt IN'!$F$57,0),0)</f>
        <v>0</v>
      </c>
      <c r="AN263" s="2">
        <f>IF(AND('Batt IN'!$D$53="Yes",$AL$1&gt;=5),IF($C263='Batt IN'!$H$58*12,-'Batt IN'!$F$58,0),0)</f>
        <v>0</v>
      </c>
      <c r="AO263" s="10">
        <f>IF(AND('Batt IN'!$D$44="YES",$C263&lt;='Batt IN'!$E$44*12),-'Batt IN'!$E$28*'Batt IN'!$E$42/12,0)</f>
        <v>0</v>
      </c>
      <c r="AP263" s="10">
        <f>IF(AND('Batt IN'!$D$46="YES",$C263&lt;='Batt IN'!$E$46*12),-'Batt IN'!$E$28*'Batt IN'!$E$45/12,0)</f>
        <v>0</v>
      </c>
      <c r="AR263" s="10">
        <f>BattLoan!M290</f>
        <v>0</v>
      </c>
      <c r="AS263" s="10">
        <f>'Batt IN'!$G$16*365/12*'Batt IN'!$E$16</f>
        <v>76.041666666666671</v>
      </c>
      <c r="AT263" s="10">
        <f>IF(AND('Batt IN'!$E$18&gt;0,'Batt IN'!$G$18&gt;0),'Batt IN'!$E$17*'Batt IN'!$G$17,0)</f>
        <v>119.44619999999999</v>
      </c>
      <c r="AU263" s="10">
        <f>IF(AND('Batt IN'!$E$20&gt;0,'Batt IN'!$G$20&gt;0),'Batt IN'!$E$19*'Batt IN'!$G$19,0)</f>
        <v>231</v>
      </c>
      <c r="AV263" s="10"/>
      <c r="AW263" s="10"/>
      <c r="AX263" s="10">
        <f>IF('Batt IN'!$E$11="Non-Taxable",Q263,0)</f>
        <v>11168.08</v>
      </c>
      <c r="AY263" s="10">
        <f>IF('Batt IN'!$E$11="Non-Taxable",'Batt IN'!$E$28/1000*'Batt IN'!$G$13*('Batt IN'!$E$13/12)*'Batt IN'!$E$12,0)</f>
        <v>244.42220833333334</v>
      </c>
      <c r="AZ263" s="10">
        <f>IF('Batt IN'!$E$11="Non-Taxable",$S263*'Batt IN'!$G$15*'Batt IN'!$E$28*'Batt IN'!$E$14/1000,0)</f>
        <v>0</v>
      </c>
      <c r="BA263" s="10">
        <f>IF('Batt IN'!$E$11="Non-Taxable",'Batt IN'!$E$21*'Batt IN'!$G$21/12,0)</f>
        <v>437.5</v>
      </c>
      <c r="BB263" s="10">
        <f>IF('Batt IN'!$E$11="Non-Taxable",'Batt IN'!$E$22*'Batt IN'!$G$22/12,0)</f>
        <v>1145.8333333333335</v>
      </c>
      <c r="BC263" s="10">
        <f>IF('Batt IN'!$E$11="Taxable",Q263,0)</f>
        <v>0</v>
      </c>
      <c r="BD263" s="10">
        <f>IF('Batt IN'!$E$11="Taxable",'Batt IN'!$E$28/1000*'Batt IN'!$G$13*('Batt IN'!$E$13/12)*'Batt IN'!$E$12,0)</f>
        <v>0</v>
      </c>
      <c r="BE263" s="10">
        <f>IF('Batt IN'!$E$11="Taxable",$S263*'Batt IN'!$G$15*'Batt IN'!$E$28*'Batt IN'!$E$14/1000,0)</f>
        <v>0</v>
      </c>
      <c r="BF263" s="10">
        <f>IF('Batt IN'!$E$11="Taxable",'Batt IN'!$E$21*'Batt IN'!$G$21/12,0)</f>
        <v>0</v>
      </c>
      <c r="BG263" s="10">
        <f>IF('Batt IN'!$E$11="Taxable",'Batt IN'!$E$22*'Batt IN'!$G$22/12,0)</f>
        <v>0</v>
      </c>
      <c r="BK263" s="10">
        <f>IF('Batt IN'!$N$18="Yes",-BattLoan!H291,-BattLoan!L291)</f>
        <v>0</v>
      </c>
      <c r="BL263" s="10">
        <f>IF('Batt IN'!$N$18="Yes",-BattLoan!F291,0)</f>
        <v>0</v>
      </c>
      <c r="BM263" s="10">
        <f>IF(AND('Batt IN'!$D$44="YES",$C263&lt;='Batt IN'!$E$44*12),0,-'Batt IN'!$E$28*'Batt IN'!$E$42/12)</f>
        <v>-83.333333333333329</v>
      </c>
      <c r="BN263" s="10">
        <f>IF(AND('Batt IN'!$D$46="YES",$C263&lt;='Batt IN'!$E$46*12),0,-'Batt IN'!$E$28*'Batt IN'!$E$45/12)</f>
        <v>-166.66666666666666</v>
      </c>
      <c r="BO263" s="2">
        <f>IF(AND('Batt IN'!$D$41="YES",BattCalcs!C263=ROUNDUP('Batt IN'!$H$41*12,)),-'Batt IN'!$E$41*'Batt IN'!$E$28,0)</f>
        <v>0</v>
      </c>
      <c r="BP263" s="2">
        <f>IF(AND('Batt IN'!$D$53="Yes",$AL$1&gt;=1),0,IF($C263='Batt IN'!$H$54*12,-'Batt IN'!$F$54,0))</f>
        <v>0</v>
      </c>
      <c r="BQ263" s="2">
        <f>IF(AND('Batt IN'!$D$53="Yes",$AL$1&gt;=2),0,IF($C263='Batt IN'!$H$55*12,-'Batt IN'!$F$55,0))</f>
        <v>0</v>
      </c>
      <c r="BR263" s="2">
        <f>IF(AND('Batt IN'!$D$53="Yes",$AL$1&gt;=3),0,IF($C263='Batt IN'!$H$56*12,-'Batt IN'!$F$56,0))</f>
        <v>0</v>
      </c>
      <c r="BS263" s="2">
        <f>IF(AND('Batt IN'!$D$53="Yes",$AL$1&gt;=4),0,IF($C263='Batt IN'!$H$57*12,-'Batt IN'!$F$57,0))</f>
        <v>0</v>
      </c>
      <c r="BT263" s="2">
        <f>IF(AND('Batt IN'!$D$53="Yes",$AL$1&gt;=5),0,IF($C263='Batt IN'!$H$58*12,-'Batt IN'!$F$58,0))</f>
        <v>0</v>
      </c>
      <c r="BU263" s="2">
        <f>-AH263*PVCalcs!F263</f>
        <v>-379.36705395720924</v>
      </c>
      <c r="BV263" s="2">
        <f>-'Batt IN'!$E$47</f>
        <v>-150</v>
      </c>
      <c r="BW263" s="2">
        <f>-'Batt IN'!$E$49</f>
        <v>-2250</v>
      </c>
      <c r="BX263" s="2">
        <f>IF('Batt IN'!$H$50="No",-(BC263*'Batt IN'!$E$50),-(BC263+BE263)*'Batt IN'!$E$50)</f>
        <v>0</v>
      </c>
      <c r="BY263" s="2">
        <f>IF(C263='Batt IN'!$H$43*12,-'Batt IN'!$E$43,0)</f>
        <v>0</v>
      </c>
      <c r="BZ263" s="38"/>
      <c r="CA263" s="10">
        <f t="shared" si="68"/>
        <v>13422.323408333334</v>
      </c>
      <c r="CB263" s="2">
        <f t="shared" si="72"/>
        <v>-3029.3670539572095</v>
      </c>
      <c r="CC263" s="45">
        <f t="shared" si="73"/>
        <v>10392.956354376125</v>
      </c>
      <c r="CD263" s="43"/>
      <c r="CE263" s="2">
        <f t="shared" si="69"/>
        <v>0</v>
      </c>
      <c r="CF263" s="2">
        <f t="shared" si="74"/>
        <v>-3029.3670539572095</v>
      </c>
      <c r="CG263" s="2"/>
      <c r="CH263" s="2">
        <f t="shared" si="75"/>
        <v>-3029.3670539572095</v>
      </c>
      <c r="CI263" s="45">
        <f>-CH263*'Batt IN'!$E$7</f>
        <v>636.16708133101395</v>
      </c>
      <c r="CJ263" s="48"/>
      <c r="CK263" s="45">
        <f>IF('Batt IN'!$F$4="PV Only",0,IF(C263&gt;'Batt IN'!$H$43*12,0,CC263+CI263))</f>
        <v>0</v>
      </c>
      <c r="CM263" s="10">
        <f t="shared" si="76"/>
        <v>0</v>
      </c>
      <c r="CN263" s="2">
        <f>CK263/(1+('Batt IN'!$G$8))^(C263)</f>
        <v>0</v>
      </c>
      <c r="CO263" s="2" t="e">
        <f>IF(C263&lt;='Batt IN'!$O$30*12,CN263+CO262,NA())</f>
        <v>#N/A</v>
      </c>
      <c r="CQ263" s="2">
        <f>CK263/((1+('Batt IN'!$E$8/12))^BattCalcs!C263)</f>
        <v>0</v>
      </c>
      <c r="CS263" s="10">
        <f t="shared" si="77"/>
        <v>-3029.3670539572095</v>
      </c>
      <c r="CT263" s="10">
        <f t="shared" si="78"/>
        <v>0</v>
      </c>
      <c r="CU263" s="10">
        <f t="shared" si="79"/>
        <v>-3029.3670539572095</v>
      </c>
      <c r="CV263" s="10">
        <f t="shared" si="80"/>
        <v>-3029.3670539572095</v>
      </c>
      <c r="CW263" s="2">
        <f t="shared" si="81"/>
        <v>0</v>
      </c>
      <c r="CX263" s="2">
        <f>-(SUM(CV263:CW263)*'PV IN'!$E$8)</f>
        <v>636.16708133101395</v>
      </c>
      <c r="CY263" s="2">
        <f t="shared" si="82"/>
        <v>-2393.1999726261956</v>
      </c>
      <c r="CZ263" s="2">
        <f>IF(C263&lt;='Batt IN'!$H$43*12,CY263/(1+('PV IN'!$G$9))^(C263),0)</f>
        <v>-834.91696218507445</v>
      </c>
      <c r="DA263" s="33">
        <f>IF(C263&lt;='Batt IN'!$H$43*12,AE263,0)</f>
        <v>30366.783333333333</v>
      </c>
    </row>
    <row r="264" spans="1:105" x14ac:dyDescent="0.25">
      <c r="A264">
        <f>IF(C264&lt;='Batt IN'!$H$43*12,C264,"")</f>
        <v>260</v>
      </c>
      <c r="C264">
        <v>260</v>
      </c>
      <c r="D264" s="21">
        <v>730</v>
      </c>
      <c r="E264" s="1">
        <f>1-'Batt IN'!$E$31</f>
        <v>2.0000000000000018E-2</v>
      </c>
      <c r="F264" s="12">
        <f>('Batt IN'!$E$33*365)/8760</f>
        <v>0</v>
      </c>
      <c r="G264" s="22">
        <f>'Batt IN'!$E$32/8760</f>
        <v>5.7077625570776253E-3</v>
      </c>
      <c r="H264" s="22">
        <f>'Batt IN'!$E$13/8760</f>
        <v>5.5936073059360729E-3</v>
      </c>
      <c r="I264" s="23">
        <f>IF(C264&lt;='Batt IN'!$G$14*12,'Batt IN'!$E$15/8760*'Batt IN'!$G$15,0)</f>
        <v>0</v>
      </c>
      <c r="J264" s="12">
        <f>Z264/'Batt IN'!$E$27/730</f>
        <v>2.4999999999999996E-3</v>
      </c>
      <c r="K264" s="23">
        <f>AA264/'Batt IN'!$E$27/730</f>
        <v>1.6027397260273972E-3</v>
      </c>
      <c r="L264" s="23">
        <f>AB264/'Batt IN'!$E$27/730</f>
        <v>2.0547945205479451E-4</v>
      </c>
      <c r="M264" s="23">
        <f>AC264/'Batt IN'!$E$27/730</f>
        <v>4.7945205479452057E-3</v>
      </c>
      <c r="N264" s="23">
        <f>AD264/'Batt IN'!$E$27/730</f>
        <v>3.4246575342465752E-3</v>
      </c>
      <c r="O264" s="12">
        <f t="shared" si="70"/>
        <v>4.3828767123287697E-2</v>
      </c>
      <c r="P264" s="21">
        <f t="shared" si="71"/>
        <v>698.005</v>
      </c>
      <c r="Q264" s="2">
        <f>IF('Batt IN'!$E$27*'Batt IN'!$E$24&lt;='Batt IN'!$E$28,(('Batt IN'!$E$23*'Batt IN'!$E$27*'Batt IN'!$E$24)/1000)*P264,(('Batt IN'!$E$23*'Batt IN'!$E$28*'Batt IN'!$E$24)/1000)*P264)</f>
        <v>11168.08</v>
      </c>
      <c r="R264" s="2"/>
      <c r="S264" s="77">
        <f>IF(C264&lt;='Batt IN'!$G$14*12,'Batt IN'!$E$15/12,0)</f>
        <v>0</v>
      </c>
      <c r="T264" s="77"/>
      <c r="U264" s="80">
        <f>'Batt IN'!$E$28*('Batt IN'!$G$24/24)*730*(1-O264)</f>
        <v>81433.916666666657</v>
      </c>
      <c r="V264" s="78">
        <f>U264*'Batt IN'!$F$30</f>
        <v>16286.783333333333</v>
      </c>
      <c r="W264" s="78">
        <f>'Batt IN'!$E$28*'Batt IN'!$G$32*('Batt IN'!$E$32/12)*(1+'Batt IN'!$F$30)</f>
        <v>1750.0000000000002</v>
      </c>
      <c r="X264" s="78">
        <f>'Batt IN'!$E$28*'Batt IN'!$G$13*('Batt IN'!$E$13/12)*(1+'Batt IN'!$F$30)</f>
        <v>3184.9999999999995</v>
      </c>
      <c r="Y264" s="33">
        <f>S264*'Batt IN'!$G$15*'Batt IN'!$E$28*(1+'Batt IN'!$F$30)</f>
        <v>0</v>
      </c>
      <c r="Z264" s="33">
        <f>'Batt IN'!$G$16*365/12*(1+'Batt IN'!$F$30)</f>
        <v>1824.9999999999998</v>
      </c>
      <c r="AA264" s="33">
        <f>'Batt IN'!$G$17*'Batt IN'!$E$18*'Batt IN'!$G$18/12*(1+'Batt IN'!$F$30)</f>
        <v>1170</v>
      </c>
      <c r="AB264" s="33">
        <f>'Batt IN'!$G$19*'Batt IN'!$E$20*'Batt IN'!$G$20/12*(1+'Batt IN'!$F$30)</f>
        <v>150</v>
      </c>
      <c r="AC264" s="33">
        <f>'Batt IN'!$G$21*(1+'Batt IN'!$F$30)/12</f>
        <v>3500</v>
      </c>
      <c r="AD264" s="33">
        <f>'Batt IN'!$G$22*(1+'Batt IN'!$F$30)/12</f>
        <v>2500</v>
      </c>
      <c r="AE264" s="33">
        <f t="shared" si="83"/>
        <v>30366.783333333333</v>
      </c>
      <c r="AF264" s="33">
        <f>IF('PV IN'!$F$4="Battery Only",0,AE264*'Batt IN'!$E$29)</f>
        <v>25811.765833333331</v>
      </c>
      <c r="AG264" s="33">
        <f>PVCalcs!L264</f>
        <v>25811.765833333331</v>
      </c>
      <c r="AH264" s="33">
        <f t="shared" si="84"/>
        <v>4555.0175000000017</v>
      </c>
      <c r="AI264" s="33"/>
      <c r="AJ264" s="2">
        <f>IF(AND('Batt IN'!$D$53="Yes",$AL$1&gt;=1),IF($C264='Batt IN'!$H$54*12,-'Batt IN'!$F$54,0),0)</f>
        <v>0</v>
      </c>
      <c r="AK264" s="2">
        <f>IF(AND('Batt IN'!$D$53="Yes",$AL$1&gt;=2),IF($C264='Batt IN'!$H$55*12,-'Batt IN'!$F$55,0),0)</f>
        <v>0</v>
      </c>
      <c r="AL264" s="2">
        <f>IF(AND('Batt IN'!$D$53="Yes",$AL$1&gt;=3),IF($C264='Batt IN'!$H$56*12,-'Batt IN'!$F$56,0),0)</f>
        <v>0</v>
      </c>
      <c r="AM264" s="2">
        <f>IF(AND('Batt IN'!$D$53="Yes",$AL$1&gt;=4),IF($C264='Batt IN'!$H$57*12,-'Batt IN'!$F$57,0),0)</f>
        <v>0</v>
      </c>
      <c r="AN264" s="2">
        <f>IF(AND('Batt IN'!$D$53="Yes",$AL$1&gt;=5),IF($C264='Batt IN'!$H$58*12,-'Batt IN'!$F$58,0),0)</f>
        <v>0</v>
      </c>
      <c r="AO264" s="10">
        <f>IF(AND('Batt IN'!$D$44="YES",$C264&lt;='Batt IN'!$E$44*12),-'Batt IN'!$E$28*'Batt IN'!$E$42/12,0)</f>
        <v>0</v>
      </c>
      <c r="AP264" s="10">
        <f>IF(AND('Batt IN'!$D$46="YES",$C264&lt;='Batt IN'!$E$46*12),-'Batt IN'!$E$28*'Batt IN'!$E$45/12,0)</f>
        <v>0</v>
      </c>
      <c r="AR264" s="10">
        <f>BattLoan!M291</f>
        <v>0</v>
      </c>
      <c r="AS264" s="10">
        <f>'Batt IN'!$G$16*365/12*'Batt IN'!$E$16</f>
        <v>76.041666666666671</v>
      </c>
      <c r="AT264" s="10">
        <f>IF(AND('Batt IN'!$E$18&gt;0,'Batt IN'!$G$18&gt;0),'Batt IN'!$E$17*'Batt IN'!$G$17,0)</f>
        <v>119.44619999999999</v>
      </c>
      <c r="AU264" s="10">
        <f>IF(AND('Batt IN'!$E$20&gt;0,'Batt IN'!$G$20&gt;0),'Batt IN'!$E$19*'Batt IN'!$G$19,0)</f>
        <v>231</v>
      </c>
      <c r="AV264" s="10"/>
      <c r="AW264" s="10"/>
      <c r="AX264" s="10">
        <f>IF('Batt IN'!$E$11="Non-Taxable",Q264,0)</f>
        <v>11168.08</v>
      </c>
      <c r="AY264" s="10">
        <f>IF('Batt IN'!$E$11="Non-Taxable",'Batt IN'!$E$28/1000*'Batt IN'!$G$13*('Batt IN'!$E$13/12)*'Batt IN'!$E$12,0)</f>
        <v>244.42220833333334</v>
      </c>
      <c r="AZ264" s="10">
        <f>IF('Batt IN'!$E$11="Non-Taxable",$S264*'Batt IN'!$G$15*'Batt IN'!$E$28*'Batt IN'!$E$14/1000,0)</f>
        <v>0</v>
      </c>
      <c r="BA264" s="10">
        <f>IF('Batt IN'!$E$11="Non-Taxable",'Batt IN'!$E$21*'Batt IN'!$G$21/12,0)</f>
        <v>437.5</v>
      </c>
      <c r="BB264" s="10">
        <f>IF('Batt IN'!$E$11="Non-Taxable",'Batt IN'!$E$22*'Batt IN'!$G$22/12,0)</f>
        <v>1145.8333333333335</v>
      </c>
      <c r="BC264" s="10">
        <f>IF('Batt IN'!$E$11="Taxable",Q264,0)</f>
        <v>0</v>
      </c>
      <c r="BD264" s="10">
        <f>IF('Batt IN'!$E$11="Taxable",'Batt IN'!$E$28/1000*'Batt IN'!$G$13*('Batt IN'!$E$13/12)*'Batt IN'!$E$12,0)</f>
        <v>0</v>
      </c>
      <c r="BE264" s="10">
        <f>IF('Batt IN'!$E$11="Taxable",$S264*'Batt IN'!$G$15*'Batt IN'!$E$28*'Batt IN'!$E$14/1000,0)</f>
        <v>0</v>
      </c>
      <c r="BF264" s="10">
        <f>IF('Batt IN'!$E$11="Taxable",'Batt IN'!$E$21*'Batt IN'!$G$21/12,0)</f>
        <v>0</v>
      </c>
      <c r="BG264" s="10">
        <f>IF('Batt IN'!$E$11="Taxable",'Batt IN'!$E$22*'Batt IN'!$G$22/12,0)</f>
        <v>0</v>
      </c>
      <c r="BK264" s="10">
        <f>IF('Batt IN'!$N$18="Yes",-BattLoan!H292,-BattLoan!L292)</f>
        <v>0</v>
      </c>
      <c r="BL264" s="10">
        <f>IF('Batt IN'!$N$18="Yes",-BattLoan!F292,0)</f>
        <v>0</v>
      </c>
      <c r="BM264" s="10">
        <f>IF(AND('Batt IN'!$D$44="YES",$C264&lt;='Batt IN'!$E$44*12),0,-'Batt IN'!$E$28*'Batt IN'!$E$42/12)</f>
        <v>-83.333333333333329</v>
      </c>
      <c r="BN264" s="10">
        <f>IF(AND('Batt IN'!$D$46="YES",$C264&lt;='Batt IN'!$E$46*12),0,-'Batt IN'!$E$28*'Batt IN'!$E$45/12)</f>
        <v>-166.66666666666666</v>
      </c>
      <c r="BO264" s="2">
        <f>IF(AND('Batt IN'!$D$41="YES",BattCalcs!C264=ROUNDUP('Batt IN'!$H$41*12,)),-'Batt IN'!$E$41*'Batt IN'!$E$28,0)</f>
        <v>0</v>
      </c>
      <c r="BP264" s="2">
        <f>IF(AND('Batt IN'!$D$53="Yes",$AL$1&gt;=1),0,IF($C264='Batt IN'!$H$54*12,-'Batt IN'!$F$54,0))</f>
        <v>0</v>
      </c>
      <c r="BQ264" s="2">
        <f>IF(AND('Batt IN'!$D$53="Yes",$AL$1&gt;=2),0,IF($C264='Batt IN'!$H$55*12,-'Batt IN'!$F$55,0))</f>
        <v>0</v>
      </c>
      <c r="BR264" s="2">
        <f>IF(AND('Batt IN'!$D$53="Yes",$AL$1&gt;=3),0,IF($C264='Batt IN'!$H$56*12,-'Batt IN'!$F$56,0))</f>
        <v>0</v>
      </c>
      <c r="BS264" s="2">
        <f>IF(AND('Batt IN'!$D$53="Yes",$AL$1&gt;=4),0,IF($C264='Batt IN'!$H$57*12,-'Batt IN'!$F$57,0))</f>
        <v>0</v>
      </c>
      <c r="BT264" s="2">
        <f>IF(AND('Batt IN'!$D$53="Yes",$AL$1&gt;=5),0,IF($C264='Batt IN'!$H$58*12,-'Batt IN'!$F$58,0))</f>
        <v>0</v>
      </c>
      <c r="BU264" s="2">
        <f>-AH264*PVCalcs!F264</f>
        <v>-379.36705395720924</v>
      </c>
      <c r="BV264" s="2">
        <f>-'Batt IN'!$E$47</f>
        <v>-150</v>
      </c>
      <c r="BW264" s="2">
        <f>-'Batt IN'!$E$49</f>
        <v>-2250</v>
      </c>
      <c r="BX264" s="2">
        <f>IF('Batt IN'!$H$50="No",-(BC264*'Batt IN'!$E$50),-(BC264+BE264)*'Batt IN'!$E$50)</f>
        <v>0</v>
      </c>
      <c r="BY264" s="2">
        <f>IF(C264='Batt IN'!$H$43*12,-'Batt IN'!$E$43,0)</f>
        <v>0</v>
      </c>
      <c r="BZ264" s="38"/>
      <c r="CA264" s="10">
        <f t="shared" si="68"/>
        <v>13422.323408333334</v>
      </c>
      <c r="CB264" s="2">
        <f t="shared" si="72"/>
        <v>-3029.3670539572095</v>
      </c>
      <c r="CC264" s="45">
        <f t="shared" si="73"/>
        <v>10392.956354376125</v>
      </c>
      <c r="CD264" s="43"/>
      <c r="CE264" s="2">
        <f t="shared" si="69"/>
        <v>0</v>
      </c>
      <c r="CF264" s="2">
        <f t="shared" si="74"/>
        <v>-3029.3670539572095</v>
      </c>
      <c r="CG264" s="2"/>
      <c r="CH264" s="2">
        <f t="shared" si="75"/>
        <v>-3029.3670539572095</v>
      </c>
      <c r="CI264" s="45">
        <f>-CH264*'Batt IN'!$E$7</f>
        <v>636.16708133101395</v>
      </c>
      <c r="CJ264" s="48"/>
      <c r="CK264" s="45">
        <f>IF('Batt IN'!$F$4="PV Only",0,IF(C264&gt;'Batt IN'!$H$43*12,0,CC264+CI264))</f>
        <v>0</v>
      </c>
      <c r="CM264" s="10">
        <f t="shared" si="76"/>
        <v>0</v>
      </c>
      <c r="CN264" s="2">
        <f>CK264/(1+('Batt IN'!$G$8))^(C264)</f>
        <v>0</v>
      </c>
      <c r="CO264" s="2" t="e">
        <f>IF(C264&lt;='Batt IN'!$O$30*12,CN264+CO263,NA())</f>
        <v>#N/A</v>
      </c>
      <c r="CQ264" s="2">
        <f>CK264/((1+('Batt IN'!$E$8/12))^BattCalcs!C264)</f>
        <v>0</v>
      </c>
      <c r="CS264" s="10">
        <f t="shared" si="77"/>
        <v>-3029.3670539572095</v>
      </c>
      <c r="CT264" s="10">
        <f t="shared" si="78"/>
        <v>0</v>
      </c>
      <c r="CU264" s="10">
        <f t="shared" si="79"/>
        <v>-3029.3670539572095</v>
      </c>
      <c r="CV264" s="10">
        <f t="shared" si="80"/>
        <v>-3029.3670539572095</v>
      </c>
      <c r="CW264" s="2">
        <f t="shared" si="81"/>
        <v>0</v>
      </c>
      <c r="CX264" s="2">
        <f>-(SUM(CV264:CW264)*'PV IN'!$E$8)</f>
        <v>636.16708133101395</v>
      </c>
      <c r="CY264" s="2">
        <f t="shared" si="82"/>
        <v>-2393.1999726261956</v>
      </c>
      <c r="CZ264" s="2">
        <f>IF(C264&lt;='Batt IN'!$H$43*12,CY264/(1+('PV IN'!$G$9))^(C264),0)</f>
        <v>-831.52920925684293</v>
      </c>
      <c r="DA264" s="33">
        <f>IF(C264&lt;='Batt IN'!$H$43*12,AE264,0)</f>
        <v>30366.783333333333</v>
      </c>
    </row>
    <row r="265" spans="1:105" x14ac:dyDescent="0.25">
      <c r="A265">
        <f>IF(C265&lt;='Batt IN'!$H$43*12,C265,"")</f>
        <v>261</v>
      </c>
      <c r="C265">
        <v>261</v>
      </c>
      <c r="D265" s="21">
        <v>730</v>
      </c>
      <c r="E265" s="1">
        <f>1-'Batt IN'!$E$31</f>
        <v>2.0000000000000018E-2</v>
      </c>
      <c r="F265" s="12">
        <f>('Batt IN'!$E$33*365)/8760</f>
        <v>0</v>
      </c>
      <c r="G265" s="22">
        <f>'Batt IN'!$E$32/8760</f>
        <v>5.7077625570776253E-3</v>
      </c>
      <c r="H265" s="22">
        <f>'Batt IN'!$E$13/8760</f>
        <v>5.5936073059360729E-3</v>
      </c>
      <c r="I265" s="23">
        <f>IF(C265&lt;='Batt IN'!$G$14*12,'Batt IN'!$E$15/8760*'Batt IN'!$G$15,0)</f>
        <v>0</v>
      </c>
      <c r="J265" s="12">
        <f>Z265/'Batt IN'!$E$27/730</f>
        <v>2.4999999999999996E-3</v>
      </c>
      <c r="K265" s="23">
        <f>AA265/'Batt IN'!$E$27/730</f>
        <v>1.6027397260273972E-3</v>
      </c>
      <c r="L265" s="23">
        <f>AB265/'Batt IN'!$E$27/730</f>
        <v>2.0547945205479451E-4</v>
      </c>
      <c r="M265" s="23">
        <f>AC265/'Batt IN'!$E$27/730</f>
        <v>4.7945205479452057E-3</v>
      </c>
      <c r="N265" s="23">
        <f>AD265/'Batt IN'!$E$27/730</f>
        <v>3.4246575342465752E-3</v>
      </c>
      <c r="O265" s="12">
        <f t="shared" si="70"/>
        <v>4.3828767123287697E-2</v>
      </c>
      <c r="P265" s="21">
        <f t="shared" si="71"/>
        <v>698.005</v>
      </c>
      <c r="Q265" s="2">
        <f>IF('Batt IN'!$E$27*'Batt IN'!$E$24&lt;='Batt IN'!$E$28,(('Batt IN'!$E$23*'Batt IN'!$E$27*'Batt IN'!$E$24)/1000)*P265,(('Batt IN'!$E$23*'Batt IN'!$E$28*'Batt IN'!$E$24)/1000)*P265)</f>
        <v>11168.08</v>
      </c>
      <c r="R265" s="2"/>
      <c r="S265" s="77">
        <f>IF(C265&lt;='Batt IN'!$G$14*12,'Batt IN'!$E$15/12,0)</f>
        <v>0</v>
      </c>
      <c r="T265" s="77"/>
      <c r="U265" s="80">
        <f>'Batt IN'!$E$28*('Batt IN'!$G$24/24)*730*(1-O265)</f>
        <v>81433.916666666657</v>
      </c>
      <c r="V265" s="78">
        <f>U265*'Batt IN'!$F$30</f>
        <v>16286.783333333333</v>
      </c>
      <c r="W265" s="78">
        <f>'Batt IN'!$E$28*'Batt IN'!$G$32*('Batt IN'!$E$32/12)*(1+'Batt IN'!$F$30)</f>
        <v>1750.0000000000002</v>
      </c>
      <c r="X265" s="78">
        <f>'Batt IN'!$E$28*'Batt IN'!$G$13*('Batt IN'!$E$13/12)*(1+'Batt IN'!$F$30)</f>
        <v>3184.9999999999995</v>
      </c>
      <c r="Y265" s="33">
        <f>S265*'Batt IN'!$G$15*'Batt IN'!$E$28*(1+'Batt IN'!$F$30)</f>
        <v>0</v>
      </c>
      <c r="Z265" s="33">
        <f>'Batt IN'!$G$16*365/12*(1+'Batt IN'!$F$30)</f>
        <v>1824.9999999999998</v>
      </c>
      <c r="AA265" s="33">
        <f>'Batt IN'!$G$17*'Batt IN'!$E$18*'Batt IN'!$G$18/12*(1+'Batt IN'!$F$30)</f>
        <v>1170</v>
      </c>
      <c r="AB265" s="33">
        <f>'Batt IN'!$G$19*'Batt IN'!$E$20*'Batt IN'!$G$20/12*(1+'Batt IN'!$F$30)</f>
        <v>150</v>
      </c>
      <c r="AC265" s="33">
        <f>'Batt IN'!$G$21*(1+'Batt IN'!$F$30)/12</f>
        <v>3500</v>
      </c>
      <c r="AD265" s="33">
        <f>'Batt IN'!$G$22*(1+'Batt IN'!$F$30)/12</f>
        <v>2500</v>
      </c>
      <c r="AE265" s="33">
        <f t="shared" si="83"/>
        <v>30366.783333333333</v>
      </c>
      <c r="AF265" s="33">
        <f>IF('PV IN'!$F$4="Battery Only",0,AE265*'Batt IN'!$E$29)</f>
        <v>25811.765833333331</v>
      </c>
      <c r="AG265" s="33">
        <f>PVCalcs!L265</f>
        <v>25811.765833333331</v>
      </c>
      <c r="AH265" s="33">
        <f t="shared" si="84"/>
        <v>4555.0175000000017</v>
      </c>
      <c r="AI265" s="33"/>
      <c r="AJ265" s="2">
        <f>IF(AND('Batt IN'!$D$53="Yes",$AL$1&gt;=1),IF($C265='Batt IN'!$H$54*12,-'Batt IN'!$F$54,0),0)</f>
        <v>0</v>
      </c>
      <c r="AK265" s="2">
        <f>IF(AND('Batt IN'!$D$53="Yes",$AL$1&gt;=2),IF($C265='Batt IN'!$H$55*12,-'Batt IN'!$F$55,0),0)</f>
        <v>0</v>
      </c>
      <c r="AL265" s="2">
        <f>IF(AND('Batt IN'!$D$53="Yes",$AL$1&gt;=3),IF($C265='Batt IN'!$H$56*12,-'Batt IN'!$F$56,0),0)</f>
        <v>0</v>
      </c>
      <c r="AM265" s="2">
        <f>IF(AND('Batt IN'!$D$53="Yes",$AL$1&gt;=4),IF($C265='Batt IN'!$H$57*12,-'Batt IN'!$F$57,0),0)</f>
        <v>0</v>
      </c>
      <c r="AN265" s="2">
        <f>IF(AND('Batt IN'!$D$53="Yes",$AL$1&gt;=5),IF($C265='Batt IN'!$H$58*12,-'Batt IN'!$F$58,0),0)</f>
        <v>0</v>
      </c>
      <c r="AO265" s="10">
        <f>IF(AND('Batt IN'!$D$44="YES",$C265&lt;='Batt IN'!$E$44*12),-'Batt IN'!$E$28*'Batt IN'!$E$42/12,0)</f>
        <v>0</v>
      </c>
      <c r="AP265" s="10">
        <f>IF(AND('Batt IN'!$D$46="YES",$C265&lt;='Batt IN'!$E$46*12),-'Batt IN'!$E$28*'Batt IN'!$E$45/12,0)</f>
        <v>0</v>
      </c>
      <c r="AR265" s="10">
        <f>BattLoan!M292</f>
        <v>0</v>
      </c>
      <c r="AS265" s="10">
        <f>'Batt IN'!$G$16*365/12*'Batt IN'!$E$16</f>
        <v>76.041666666666671</v>
      </c>
      <c r="AT265" s="10">
        <f>IF(AND('Batt IN'!$E$18&gt;0,'Batt IN'!$G$18&gt;0),'Batt IN'!$E$17*'Batt IN'!$G$17,0)</f>
        <v>119.44619999999999</v>
      </c>
      <c r="AU265" s="10">
        <f>IF(AND('Batt IN'!$E$20&gt;0,'Batt IN'!$G$20&gt;0),'Batt IN'!$E$19*'Batt IN'!$G$19,0)</f>
        <v>231</v>
      </c>
      <c r="AV265" s="10"/>
      <c r="AW265" s="10"/>
      <c r="AX265" s="10">
        <f>IF('Batt IN'!$E$11="Non-Taxable",Q265,0)</f>
        <v>11168.08</v>
      </c>
      <c r="AY265" s="10">
        <f>IF('Batt IN'!$E$11="Non-Taxable",'Batt IN'!$E$28/1000*'Batt IN'!$G$13*('Batt IN'!$E$13/12)*'Batt IN'!$E$12,0)</f>
        <v>244.42220833333334</v>
      </c>
      <c r="AZ265" s="10">
        <f>IF('Batt IN'!$E$11="Non-Taxable",$S265*'Batt IN'!$G$15*'Batt IN'!$E$28*'Batt IN'!$E$14/1000,0)</f>
        <v>0</v>
      </c>
      <c r="BA265" s="10">
        <f>IF('Batt IN'!$E$11="Non-Taxable",'Batt IN'!$E$21*'Batt IN'!$G$21/12,0)</f>
        <v>437.5</v>
      </c>
      <c r="BB265" s="10">
        <f>IF('Batt IN'!$E$11="Non-Taxable",'Batt IN'!$E$22*'Batt IN'!$G$22/12,0)</f>
        <v>1145.8333333333335</v>
      </c>
      <c r="BC265" s="10">
        <f>IF('Batt IN'!$E$11="Taxable",Q265,0)</f>
        <v>0</v>
      </c>
      <c r="BD265" s="10">
        <f>IF('Batt IN'!$E$11="Taxable",'Batt IN'!$E$28/1000*'Batt IN'!$G$13*('Batt IN'!$E$13/12)*'Batt IN'!$E$12,0)</f>
        <v>0</v>
      </c>
      <c r="BE265" s="10">
        <f>IF('Batt IN'!$E$11="Taxable",$S265*'Batt IN'!$G$15*'Batt IN'!$E$28*'Batt IN'!$E$14/1000,0)</f>
        <v>0</v>
      </c>
      <c r="BF265" s="10">
        <f>IF('Batt IN'!$E$11="Taxable",'Batt IN'!$E$21*'Batt IN'!$G$21/12,0)</f>
        <v>0</v>
      </c>
      <c r="BG265" s="10">
        <f>IF('Batt IN'!$E$11="Taxable",'Batt IN'!$E$22*'Batt IN'!$G$22/12,0)</f>
        <v>0</v>
      </c>
      <c r="BK265" s="10">
        <f>IF('Batt IN'!$N$18="Yes",-BattLoan!H293,-BattLoan!L293)</f>
        <v>0</v>
      </c>
      <c r="BL265" s="10">
        <f>IF('Batt IN'!$N$18="Yes",-BattLoan!F293,0)</f>
        <v>0</v>
      </c>
      <c r="BM265" s="10">
        <f>IF(AND('Batt IN'!$D$44="YES",$C265&lt;='Batt IN'!$E$44*12),0,-'Batt IN'!$E$28*'Batt IN'!$E$42/12)</f>
        <v>-83.333333333333329</v>
      </c>
      <c r="BN265" s="10">
        <f>IF(AND('Batt IN'!$D$46="YES",$C265&lt;='Batt IN'!$E$46*12),0,-'Batt IN'!$E$28*'Batt IN'!$E$45/12)</f>
        <v>-166.66666666666666</v>
      </c>
      <c r="BO265" s="2">
        <f>IF(AND('Batt IN'!$D$41="YES",BattCalcs!C265=ROUNDUP('Batt IN'!$H$41*12,)),-'Batt IN'!$E$41*'Batt IN'!$E$28,0)</f>
        <v>0</v>
      </c>
      <c r="BP265" s="2">
        <f>IF(AND('Batt IN'!$D$53="Yes",$AL$1&gt;=1),0,IF($C265='Batt IN'!$H$54*12,-'Batt IN'!$F$54,0))</f>
        <v>0</v>
      </c>
      <c r="BQ265" s="2">
        <f>IF(AND('Batt IN'!$D$53="Yes",$AL$1&gt;=2),0,IF($C265='Batt IN'!$H$55*12,-'Batt IN'!$F$55,0))</f>
        <v>0</v>
      </c>
      <c r="BR265" s="2">
        <f>IF(AND('Batt IN'!$D$53="Yes",$AL$1&gt;=3),0,IF($C265='Batt IN'!$H$56*12,-'Batt IN'!$F$56,0))</f>
        <v>0</v>
      </c>
      <c r="BS265" s="2">
        <f>IF(AND('Batt IN'!$D$53="Yes",$AL$1&gt;=4),0,IF($C265='Batt IN'!$H$57*12,-'Batt IN'!$F$57,0))</f>
        <v>0</v>
      </c>
      <c r="BT265" s="2">
        <f>IF(AND('Batt IN'!$D$53="Yes",$AL$1&gt;=5),0,IF($C265='Batt IN'!$H$58*12,-'Batt IN'!$F$58,0))</f>
        <v>0</v>
      </c>
      <c r="BU265" s="2">
        <f>-AH265*PVCalcs!F265</f>
        <v>-379.36705395720924</v>
      </c>
      <c r="BV265" s="2">
        <f>-'Batt IN'!$E$47</f>
        <v>-150</v>
      </c>
      <c r="BW265" s="2">
        <f>-'Batt IN'!$E$49</f>
        <v>-2250</v>
      </c>
      <c r="BX265" s="2">
        <f>IF('Batt IN'!$H$50="No",-(BC265*'Batt IN'!$E$50),-(BC265+BE265)*'Batt IN'!$E$50)</f>
        <v>0</v>
      </c>
      <c r="BY265" s="2">
        <f>IF(C265='Batt IN'!$H$43*12,-'Batt IN'!$E$43,0)</f>
        <v>0</v>
      </c>
      <c r="BZ265" s="38"/>
      <c r="CA265" s="10">
        <f t="shared" si="68"/>
        <v>13422.323408333334</v>
      </c>
      <c r="CB265" s="2">
        <f t="shared" si="72"/>
        <v>-3029.3670539572095</v>
      </c>
      <c r="CC265" s="45">
        <f t="shared" si="73"/>
        <v>10392.956354376125</v>
      </c>
      <c r="CD265" s="43"/>
      <c r="CE265" s="2">
        <f t="shared" si="69"/>
        <v>0</v>
      </c>
      <c r="CF265" s="2">
        <f t="shared" si="74"/>
        <v>-3029.3670539572095</v>
      </c>
      <c r="CG265" s="2"/>
      <c r="CH265" s="2">
        <f t="shared" si="75"/>
        <v>-3029.3670539572095</v>
      </c>
      <c r="CI265" s="45">
        <f>-CH265*'Batt IN'!$E$7</f>
        <v>636.16708133101395</v>
      </c>
      <c r="CJ265" s="48"/>
      <c r="CK265" s="45">
        <f>IF('Batt IN'!$F$4="PV Only",0,IF(C265&gt;'Batt IN'!$H$43*12,0,CC265+CI265))</f>
        <v>0</v>
      </c>
      <c r="CM265" s="10">
        <f t="shared" si="76"/>
        <v>0</v>
      </c>
      <c r="CN265" s="2">
        <f>CK265/(1+('Batt IN'!$G$8))^(C265)</f>
        <v>0</v>
      </c>
      <c r="CO265" s="2" t="e">
        <f>IF(C265&lt;='Batt IN'!$O$30*12,CN265+CO264,NA())</f>
        <v>#N/A</v>
      </c>
      <c r="CQ265" s="2">
        <f>CK265/((1+('Batt IN'!$E$8/12))^BattCalcs!C265)</f>
        <v>0</v>
      </c>
      <c r="CS265" s="10">
        <f t="shared" si="77"/>
        <v>-3029.3670539572095</v>
      </c>
      <c r="CT265" s="10">
        <f t="shared" si="78"/>
        <v>0</v>
      </c>
      <c r="CU265" s="10">
        <f t="shared" si="79"/>
        <v>-3029.3670539572095</v>
      </c>
      <c r="CV265" s="10">
        <f t="shared" si="80"/>
        <v>-3029.3670539572095</v>
      </c>
      <c r="CW265" s="2">
        <f t="shared" si="81"/>
        <v>0</v>
      </c>
      <c r="CX265" s="2">
        <f>-(SUM(CV265:CW265)*'PV IN'!$E$8)</f>
        <v>636.16708133101395</v>
      </c>
      <c r="CY265" s="2">
        <f t="shared" si="82"/>
        <v>-2393.1999726261956</v>
      </c>
      <c r="CZ265" s="2">
        <f>IF(C265&lt;='Batt IN'!$H$43*12,CY265/(1+('PV IN'!$G$9))^(C265),0)</f>
        <v>-828.15520244998936</v>
      </c>
      <c r="DA265" s="33">
        <f>IF(C265&lt;='Batt IN'!$H$43*12,AE265,0)</f>
        <v>30366.783333333333</v>
      </c>
    </row>
    <row r="266" spans="1:105" x14ac:dyDescent="0.25">
      <c r="A266">
        <f>IF(C266&lt;='Batt IN'!$H$43*12,C266,"")</f>
        <v>262</v>
      </c>
      <c r="C266">
        <v>262</v>
      </c>
      <c r="D266" s="21">
        <v>730</v>
      </c>
      <c r="E266" s="1">
        <f>1-'Batt IN'!$E$31</f>
        <v>2.0000000000000018E-2</v>
      </c>
      <c r="F266" s="12">
        <f>('Batt IN'!$E$33*365)/8760</f>
        <v>0</v>
      </c>
      <c r="G266" s="22">
        <f>'Batt IN'!$E$32/8760</f>
        <v>5.7077625570776253E-3</v>
      </c>
      <c r="H266" s="22">
        <f>'Batt IN'!$E$13/8760</f>
        <v>5.5936073059360729E-3</v>
      </c>
      <c r="I266" s="23">
        <f>IF(C266&lt;='Batt IN'!$G$14*12,'Batt IN'!$E$15/8760*'Batt IN'!$G$15,0)</f>
        <v>0</v>
      </c>
      <c r="J266" s="12">
        <f>Z266/'Batt IN'!$E$27/730</f>
        <v>2.4999999999999996E-3</v>
      </c>
      <c r="K266" s="23">
        <f>AA266/'Batt IN'!$E$27/730</f>
        <v>1.6027397260273972E-3</v>
      </c>
      <c r="L266" s="23">
        <f>AB266/'Batt IN'!$E$27/730</f>
        <v>2.0547945205479451E-4</v>
      </c>
      <c r="M266" s="23">
        <f>AC266/'Batt IN'!$E$27/730</f>
        <v>4.7945205479452057E-3</v>
      </c>
      <c r="N266" s="23">
        <f>AD266/'Batt IN'!$E$27/730</f>
        <v>3.4246575342465752E-3</v>
      </c>
      <c r="O266" s="12">
        <f t="shared" si="70"/>
        <v>4.3828767123287697E-2</v>
      </c>
      <c r="P266" s="21">
        <f t="shared" si="71"/>
        <v>698.005</v>
      </c>
      <c r="Q266" s="2">
        <f>IF('Batt IN'!$E$27*'Batt IN'!$E$24&lt;='Batt IN'!$E$28,(('Batt IN'!$E$23*'Batt IN'!$E$27*'Batt IN'!$E$24)/1000)*P266,(('Batt IN'!$E$23*'Batt IN'!$E$28*'Batt IN'!$E$24)/1000)*P266)</f>
        <v>11168.08</v>
      </c>
      <c r="R266" s="2"/>
      <c r="S266" s="77">
        <f>IF(C266&lt;='Batt IN'!$G$14*12,'Batt IN'!$E$15/12,0)</f>
        <v>0</v>
      </c>
      <c r="T266" s="77"/>
      <c r="U266" s="80">
        <f>'Batt IN'!$E$28*('Batt IN'!$G$24/24)*730*(1-O266)</f>
        <v>81433.916666666657</v>
      </c>
      <c r="V266" s="78">
        <f>U266*'Batt IN'!$F$30</f>
        <v>16286.783333333333</v>
      </c>
      <c r="W266" s="78">
        <f>'Batt IN'!$E$28*'Batt IN'!$G$32*('Batt IN'!$E$32/12)*(1+'Batt IN'!$F$30)</f>
        <v>1750.0000000000002</v>
      </c>
      <c r="X266" s="78">
        <f>'Batt IN'!$E$28*'Batt IN'!$G$13*('Batt IN'!$E$13/12)*(1+'Batt IN'!$F$30)</f>
        <v>3184.9999999999995</v>
      </c>
      <c r="Y266" s="33">
        <f>S266*'Batt IN'!$G$15*'Batt IN'!$E$28*(1+'Batt IN'!$F$30)</f>
        <v>0</v>
      </c>
      <c r="Z266" s="33">
        <f>'Batt IN'!$G$16*365/12*(1+'Batt IN'!$F$30)</f>
        <v>1824.9999999999998</v>
      </c>
      <c r="AA266" s="33">
        <f>'Batt IN'!$G$17*'Batt IN'!$E$18*'Batt IN'!$G$18/12*(1+'Batt IN'!$F$30)</f>
        <v>1170</v>
      </c>
      <c r="AB266" s="33">
        <f>'Batt IN'!$G$19*'Batt IN'!$E$20*'Batt IN'!$G$20/12*(1+'Batt IN'!$F$30)</f>
        <v>150</v>
      </c>
      <c r="AC266" s="33">
        <f>'Batt IN'!$G$21*(1+'Batt IN'!$F$30)/12</f>
        <v>3500</v>
      </c>
      <c r="AD266" s="33">
        <f>'Batt IN'!$G$22*(1+'Batt IN'!$F$30)/12</f>
        <v>2500</v>
      </c>
      <c r="AE266" s="33">
        <f t="shared" si="83"/>
        <v>30366.783333333333</v>
      </c>
      <c r="AF266" s="33">
        <f>IF('PV IN'!$F$4="Battery Only",0,AE266*'Batt IN'!$E$29)</f>
        <v>25811.765833333331</v>
      </c>
      <c r="AG266" s="33">
        <f>PVCalcs!L266</f>
        <v>25811.765833333331</v>
      </c>
      <c r="AH266" s="33">
        <f t="shared" si="84"/>
        <v>4555.0175000000017</v>
      </c>
      <c r="AI266" s="33"/>
      <c r="AJ266" s="2">
        <f>IF(AND('Batt IN'!$D$53="Yes",$AL$1&gt;=1),IF($C266='Batt IN'!$H$54*12,-'Batt IN'!$F$54,0),0)</f>
        <v>0</v>
      </c>
      <c r="AK266" s="2">
        <f>IF(AND('Batt IN'!$D$53="Yes",$AL$1&gt;=2),IF($C266='Batt IN'!$H$55*12,-'Batt IN'!$F$55,0),0)</f>
        <v>0</v>
      </c>
      <c r="AL266" s="2">
        <f>IF(AND('Batt IN'!$D$53="Yes",$AL$1&gt;=3),IF($C266='Batt IN'!$H$56*12,-'Batt IN'!$F$56,0),0)</f>
        <v>0</v>
      </c>
      <c r="AM266" s="2">
        <f>IF(AND('Batt IN'!$D$53="Yes",$AL$1&gt;=4),IF($C266='Batt IN'!$H$57*12,-'Batt IN'!$F$57,0),0)</f>
        <v>0</v>
      </c>
      <c r="AN266" s="2">
        <f>IF(AND('Batt IN'!$D$53="Yes",$AL$1&gt;=5),IF($C266='Batt IN'!$H$58*12,-'Batt IN'!$F$58,0),0)</f>
        <v>0</v>
      </c>
      <c r="AO266" s="10">
        <f>IF(AND('Batt IN'!$D$44="YES",$C266&lt;='Batt IN'!$E$44*12),-'Batt IN'!$E$28*'Batt IN'!$E$42/12,0)</f>
        <v>0</v>
      </c>
      <c r="AP266" s="10">
        <f>IF(AND('Batt IN'!$D$46="YES",$C266&lt;='Batt IN'!$E$46*12),-'Batt IN'!$E$28*'Batt IN'!$E$45/12,0)</f>
        <v>0</v>
      </c>
      <c r="AR266" s="10">
        <f>BattLoan!M293</f>
        <v>0</v>
      </c>
      <c r="AS266" s="10">
        <f>'Batt IN'!$G$16*365/12*'Batt IN'!$E$16</f>
        <v>76.041666666666671</v>
      </c>
      <c r="AT266" s="10">
        <f>IF(AND('Batt IN'!$E$18&gt;0,'Batt IN'!$G$18&gt;0),'Batt IN'!$E$17*'Batt IN'!$G$17,0)</f>
        <v>119.44619999999999</v>
      </c>
      <c r="AU266" s="10">
        <f>IF(AND('Batt IN'!$E$20&gt;0,'Batt IN'!$G$20&gt;0),'Batt IN'!$E$19*'Batt IN'!$G$19,0)</f>
        <v>231</v>
      </c>
      <c r="AV266" s="10"/>
      <c r="AW266" s="10"/>
      <c r="AX266" s="10">
        <f>IF('Batt IN'!$E$11="Non-Taxable",Q266,0)</f>
        <v>11168.08</v>
      </c>
      <c r="AY266" s="10">
        <f>IF('Batt IN'!$E$11="Non-Taxable",'Batt IN'!$E$28/1000*'Batt IN'!$G$13*('Batt IN'!$E$13/12)*'Batt IN'!$E$12,0)</f>
        <v>244.42220833333334</v>
      </c>
      <c r="AZ266" s="10">
        <f>IF('Batt IN'!$E$11="Non-Taxable",$S266*'Batt IN'!$G$15*'Batt IN'!$E$28*'Batt IN'!$E$14/1000,0)</f>
        <v>0</v>
      </c>
      <c r="BA266" s="10">
        <f>IF('Batt IN'!$E$11="Non-Taxable",'Batt IN'!$E$21*'Batt IN'!$G$21/12,0)</f>
        <v>437.5</v>
      </c>
      <c r="BB266" s="10">
        <f>IF('Batt IN'!$E$11="Non-Taxable",'Batt IN'!$E$22*'Batt IN'!$G$22/12,0)</f>
        <v>1145.8333333333335</v>
      </c>
      <c r="BC266" s="10">
        <f>IF('Batt IN'!$E$11="Taxable",Q266,0)</f>
        <v>0</v>
      </c>
      <c r="BD266" s="10">
        <f>IF('Batt IN'!$E$11="Taxable",'Batt IN'!$E$28/1000*'Batt IN'!$G$13*('Batt IN'!$E$13/12)*'Batt IN'!$E$12,0)</f>
        <v>0</v>
      </c>
      <c r="BE266" s="10">
        <f>IF('Batt IN'!$E$11="Taxable",$S266*'Batt IN'!$G$15*'Batt IN'!$E$28*'Batt IN'!$E$14/1000,0)</f>
        <v>0</v>
      </c>
      <c r="BF266" s="10">
        <f>IF('Batt IN'!$E$11="Taxable",'Batt IN'!$E$21*'Batt IN'!$G$21/12,0)</f>
        <v>0</v>
      </c>
      <c r="BG266" s="10">
        <f>IF('Batt IN'!$E$11="Taxable",'Batt IN'!$E$22*'Batt IN'!$G$22/12,0)</f>
        <v>0</v>
      </c>
      <c r="BK266" s="10">
        <f>IF('Batt IN'!$N$18="Yes",-BattLoan!H294,-BattLoan!L294)</f>
        <v>0</v>
      </c>
      <c r="BL266" s="10">
        <f>IF('Batt IN'!$N$18="Yes",-BattLoan!F294,0)</f>
        <v>0</v>
      </c>
      <c r="BM266" s="10">
        <f>IF(AND('Batt IN'!$D$44="YES",$C266&lt;='Batt IN'!$E$44*12),0,-'Batt IN'!$E$28*'Batt IN'!$E$42/12)</f>
        <v>-83.333333333333329</v>
      </c>
      <c r="BN266" s="10">
        <f>IF(AND('Batt IN'!$D$46="YES",$C266&lt;='Batt IN'!$E$46*12),0,-'Batt IN'!$E$28*'Batt IN'!$E$45/12)</f>
        <v>-166.66666666666666</v>
      </c>
      <c r="BO266" s="2">
        <f>IF(AND('Batt IN'!$D$41="YES",BattCalcs!C266=ROUNDUP('Batt IN'!$H$41*12,)),-'Batt IN'!$E$41*'Batt IN'!$E$28,0)</f>
        <v>0</v>
      </c>
      <c r="BP266" s="2">
        <f>IF(AND('Batt IN'!$D$53="Yes",$AL$1&gt;=1),0,IF($C266='Batt IN'!$H$54*12,-'Batt IN'!$F$54,0))</f>
        <v>0</v>
      </c>
      <c r="BQ266" s="2">
        <f>IF(AND('Batt IN'!$D$53="Yes",$AL$1&gt;=2),0,IF($C266='Batt IN'!$H$55*12,-'Batt IN'!$F$55,0))</f>
        <v>0</v>
      </c>
      <c r="BR266" s="2">
        <f>IF(AND('Batt IN'!$D$53="Yes",$AL$1&gt;=3),0,IF($C266='Batt IN'!$H$56*12,-'Batt IN'!$F$56,0))</f>
        <v>0</v>
      </c>
      <c r="BS266" s="2">
        <f>IF(AND('Batt IN'!$D$53="Yes",$AL$1&gt;=4),0,IF($C266='Batt IN'!$H$57*12,-'Batt IN'!$F$57,0))</f>
        <v>0</v>
      </c>
      <c r="BT266" s="2">
        <f>IF(AND('Batt IN'!$D$53="Yes",$AL$1&gt;=5),0,IF($C266='Batt IN'!$H$58*12,-'Batt IN'!$F$58,0))</f>
        <v>0</v>
      </c>
      <c r="BU266" s="2">
        <f>-AH266*PVCalcs!F266</f>
        <v>-379.36705395720924</v>
      </c>
      <c r="BV266" s="2">
        <f>-'Batt IN'!$E$47</f>
        <v>-150</v>
      </c>
      <c r="BW266" s="2">
        <f>-'Batt IN'!$E$49</f>
        <v>-2250</v>
      </c>
      <c r="BX266" s="2">
        <f>IF('Batt IN'!$H$50="No",-(BC266*'Batt IN'!$E$50),-(BC266+BE266)*'Batt IN'!$E$50)</f>
        <v>0</v>
      </c>
      <c r="BY266" s="2">
        <f>IF(C266='Batt IN'!$H$43*12,-'Batt IN'!$E$43,0)</f>
        <v>0</v>
      </c>
      <c r="BZ266" s="38"/>
      <c r="CA266" s="10">
        <f t="shared" si="68"/>
        <v>13422.323408333334</v>
      </c>
      <c r="CB266" s="2">
        <f t="shared" si="72"/>
        <v>-3029.3670539572095</v>
      </c>
      <c r="CC266" s="45">
        <f t="shared" si="73"/>
        <v>10392.956354376125</v>
      </c>
      <c r="CD266" s="43"/>
      <c r="CE266" s="2">
        <f t="shared" si="69"/>
        <v>0</v>
      </c>
      <c r="CF266" s="2">
        <f t="shared" si="74"/>
        <v>-3029.3670539572095</v>
      </c>
      <c r="CG266" s="2"/>
      <c r="CH266" s="2">
        <f t="shared" si="75"/>
        <v>-3029.3670539572095</v>
      </c>
      <c r="CI266" s="45">
        <f>-CH266*'Batt IN'!$E$7</f>
        <v>636.16708133101395</v>
      </c>
      <c r="CJ266" s="48"/>
      <c r="CK266" s="45">
        <f>IF('Batt IN'!$F$4="PV Only",0,IF(C266&gt;'Batt IN'!$H$43*12,0,CC266+CI266))</f>
        <v>0</v>
      </c>
      <c r="CM266" s="10">
        <f t="shared" si="76"/>
        <v>0</v>
      </c>
      <c r="CN266" s="2">
        <f>CK266/(1+('Batt IN'!$G$8))^(C266)</f>
        <v>0</v>
      </c>
      <c r="CO266" s="2" t="e">
        <f>IF(C266&lt;='Batt IN'!$O$30*12,CN266+CO265,NA())</f>
        <v>#N/A</v>
      </c>
      <c r="CQ266" s="2">
        <f>CK266/((1+('Batt IN'!$E$8/12))^BattCalcs!C266)</f>
        <v>0</v>
      </c>
      <c r="CS266" s="10">
        <f t="shared" si="77"/>
        <v>-3029.3670539572095</v>
      </c>
      <c r="CT266" s="10">
        <f t="shared" si="78"/>
        <v>0</v>
      </c>
      <c r="CU266" s="10">
        <f t="shared" si="79"/>
        <v>-3029.3670539572095</v>
      </c>
      <c r="CV266" s="10">
        <f t="shared" si="80"/>
        <v>-3029.3670539572095</v>
      </c>
      <c r="CW266" s="2">
        <f t="shared" si="81"/>
        <v>0</v>
      </c>
      <c r="CX266" s="2">
        <f>-(SUM(CV266:CW266)*'PV IN'!$E$8)</f>
        <v>636.16708133101395</v>
      </c>
      <c r="CY266" s="2">
        <f t="shared" si="82"/>
        <v>-2393.1999726261956</v>
      </c>
      <c r="CZ266" s="2">
        <f>IF(C266&lt;='Batt IN'!$H$43*12,CY266/(1+('PV IN'!$G$9))^(C266),0)</f>
        <v>-824.79488598835258</v>
      </c>
      <c r="DA266" s="33">
        <f>IF(C266&lt;='Batt IN'!$H$43*12,AE266,0)</f>
        <v>30366.783333333333</v>
      </c>
    </row>
    <row r="267" spans="1:105" x14ac:dyDescent="0.25">
      <c r="A267">
        <f>IF(C267&lt;='Batt IN'!$H$43*12,C267,"")</f>
        <v>263</v>
      </c>
      <c r="C267">
        <v>263</v>
      </c>
      <c r="D267" s="21">
        <v>730</v>
      </c>
      <c r="E267" s="1">
        <f>1-'Batt IN'!$E$31</f>
        <v>2.0000000000000018E-2</v>
      </c>
      <c r="F267" s="12">
        <f>('Batt IN'!$E$33*365)/8760</f>
        <v>0</v>
      </c>
      <c r="G267" s="22">
        <f>'Batt IN'!$E$32/8760</f>
        <v>5.7077625570776253E-3</v>
      </c>
      <c r="H267" s="22">
        <f>'Batt IN'!$E$13/8760</f>
        <v>5.5936073059360729E-3</v>
      </c>
      <c r="I267" s="23">
        <f>IF(C267&lt;='Batt IN'!$G$14*12,'Batt IN'!$E$15/8760*'Batt IN'!$G$15,0)</f>
        <v>0</v>
      </c>
      <c r="J267" s="12">
        <f>Z267/'Batt IN'!$E$27/730</f>
        <v>2.4999999999999996E-3</v>
      </c>
      <c r="K267" s="23">
        <f>AA267/'Batt IN'!$E$27/730</f>
        <v>1.6027397260273972E-3</v>
      </c>
      <c r="L267" s="23">
        <f>AB267/'Batt IN'!$E$27/730</f>
        <v>2.0547945205479451E-4</v>
      </c>
      <c r="M267" s="23">
        <f>AC267/'Batt IN'!$E$27/730</f>
        <v>4.7945205479452057E-3</v>
      </c>
      <c r="N267" s="23">
        <f>AD267/'Batt IN'!$E$27/730</f>
        <v>3.4246575342465752E-3</v>
      </c>
      <c r="O267" s="12">
        <f t="shared" si="70"/>
        <v>4.3828767123287697E-2</v>
      </c>
      <c r="P267" s="21">
        <f t="shared" si="71"/>
        <v>698.005</v>
      </c>
      <c r="Q267" s="2">
        <f>IF('Batt IN'!$E$27*'Batt IN'!$E$24&lt;='Batt IN'!$E$28,(('Batt IN'!$E$23*'Batt IN'!$E$27*'Batt IN'!$E$24)/1000)*P267,(('Batt IN'!$E$23*'Batt IN'!$E$28*'Batt IN'!$E$24)/1000)*P267)</f>
        <v>11168.08</v>
      </c>
      <c r="R267" s="2"/>
      <c r="S267" s="77">
        <f>IF(C267&lt;='Batt IN'!$G$14*12,'Batt IN'!$E$15/12,0)</f>
        <v>0</v>
      </c>
      <c r="T267" s="77"/>
      <c r="U267" s="80">
        <f>'Batt IN'!$E$28*('Batt IN'!$G$24/24)*730*(1-O267)</f>
        <v>81433.916666666657</v>
      </c>
      <c r="V267" s="78">
        <f>U267*'Batt IN'!$F$30</f>
        <v>16286.783333333333</v>
      </c>
      <c r="W267" s="78">
        <f>'Batt IN'!$E$28*'Batt IN'!$G$32*('Batt IN'!$E$32/12)*(1+'Batt IN'!$F$30)</f>
        <v>1750.0000000000002</v>
      </c>
      <c r="X267" s="78">
        <f>'Batt IN'!$E$28*'Batt IN'!$G$13*('Batt IN'!$E$13/12)*(1+'Batt IN'!$F$30)</f>
        <v>3184.9999999999995</v>
      </c>
      <c r="Y267" s="33">
        <f>S267*'Batt IN'!$G$15*'Batt IN'!$E$28*(1+'Batt IN'!$F$30)</f>
        <v>0</v>
      </c>
      <c r="Z267" s="33">
        <f>'Batt IN'!$G$16*365/12*(1+'Batt IN'!$F$30)</f>
        <v>1824.9999999999998</v>
      </c>
      <c r="AA267" s="33">
        <f>'Batt IN'!$G$17*'Batt IN'!$E$18*'Batt IN'!$G$18/12*(1+'Batt IN'!$F$30)</f>
        <v>1170</v>
      </c>
      <c r="AB267" s="33">
        <f>'Batt IN'!$G$19*'Batt IN'!$E$20*'Batt IN'!$G$20/12*(1+'Batt IN'!$F$30)</f>
        <v>150</v>
      </c>
      <c r="AC267" s="33">
        <f>'Batt IN'!$G$21*(1+'Batt IN'!$F$30)/12</f>
        <v>3500</v>
      </c>
      <c r="AD267" s="33">
        <f>'Batt IN'!$G$22*(1+'Batt IN'!$F$30)/12</f>
        <v>2500</v>
      </c>
      <c r="AE267" s="33">
        <f t="shared" si="83"/>
        <v>30366.783333333333</v>
      </c>
      <c r="AF267" s="33">
        <f>IF('PV IN'!$F$4="Battery Only",0,AE267*'Batt IN'!$E$29)</f>
        <v>25811.765833333331</v>
      </c>
      <c r="AG267" s="33">
        <f>PVCalcs!L267</f>
        <v>25811.765833333331</v>
      </c>
      <c r="AH267" s="33">
        <f t="shared" si="84"/>
        <v>4555.0175000000017</v>
      </c>
      <c r="AI267" s="33"/>
      <c r="AJ267" s="2">
        <f>IF(AND('Batt IN'!$D$53="Yes",$AL$1&gt;=1),IF($C267='Batt IN'!$H$54*12,-'Batt IN'!$F$54,0),0)</f>
        <v>0</v>
      </c>
      <c r="AK267" s="2">
        <f>IF(AND('Batt IN'!$D$53="Yes",$AL$1&gt;=2),IF($C267='Batt IN'!$H$55*12,-'Batt IN'!$F$55,0),0)</f>
        <v>0</v>
      </c>
      <c r="AL267" s="2">
        <f>IF(AND('Batt IN'!$D$53="Yes",$AL$1&gt;=3),IF($C267='Batt IN'!$H$56*12,-'Batt IN'!$F$56,0),0)</f>
        <v>0</v>
      </c>
      <c r="AM267" s="2">
        <f>IF(AND('Batt IN'!$D$53="Yes",$AL$1&gt;=4),IF($C267='Batt IN'!$H$57*12,-'Batt IN'!$F$57,0),0)</f>
        <v>0</v>
      </c>
      <c r="AN267" s="2">
        <f>IF(AND('Batt IN'!$D$53="Yes",$AL$1&gt;=5),IF($C267='Batt IN'!$H$58*12,-'Batt IN'!$F$58,0),0)</f>
        <v>0</v>
      </c>
      <c r="AO267" s="10">
        <f>IF(AND('Batt IN'!$D$44="YES",$C267&lt;='Batt IN'!$E$44*12),-'Batt IN'!$E$28*'Batt IN'!$E$42/12,0)</f>
        <v>0</v>
      </c>
      <c r="AP267" s="10">
        <f>IF(AND('Batt IN'!$D$46="YES",$C267&lt;='Batt IN'!$E$46*12),-'Batt IN'!$E$28*'Batt IN'!$E$45/12,0)</f>
        <v>0</v>
      </c>
      <c r="AR267" s="10">
        <f>BattLoan!M294</f>
        <v>0</v>
      </c>
      <c r="AS267" s="10">
        <f>'Batt IN'!$G$16*365/12*'Batt IN'!$E$16</f>
        <v>76.041666666666671</v>
      </c>
      <c r="AT267" s="10">
        <f>IF(AND('Batt IN'!$E$18&gt;0,'Batt IN'!$G$18&gt;0),'Batt IN'!$E$17*'Batt IN'!$G$17,0)</f>
        <v>119.44619999999999</v>
      </c>
      <c r="AU267" s="10">
        <f>IF(AND('Batt IN'!$E$20&gt;0,'Batt IN'!$G$20&gt;0),'Batt IN'!$E$19*'Batt IN'!$G$19,0)</f>
        <v>231</v>
      </c>
      <c r="AV267" s="10"/>
      <c r="AW267" s="10"/>
      <c r="AX267" s="10">
        <f>IF('Batt IN'!$E$11="Non-Taxable",Q267,0)</f>
        <v>11168.08</v>
      </c>
      <c r="AY267" s="10">
        <f>IF('Batt IN'!$E$11="Non-Taxable",'Batt IN'!$E$28/1000*'Batt IN'!$G$13*('Batt IN'!$E$13/12)*'Batt IN'!$E$12,0)</f>
        <v>244.42220833333334</v>
      </c>
      <c r="AZ267" s="10">
        <f>IF('Batt IN'!$E$11="Non-Taxable",$S267*'Batt IN'!$G$15*'Batt IN'!$E$28*'Batt IN'!$E$14/1000,0)</f>
        <v>0</v>
      </c>
      <c r="BA267" s="10">
        <f>IF('Batt IN'!$E$11="Non-Taxable",'Batt IN'!$E$21*'Batt IN'!$G$21/12,0)</f>
        <v>437.5</v>
      </c>
      <c r="BB267" s="10">
        <f>IF('Batt IN'!$E$11="Non-Taxable",'Batt IN'!$E$22*'Batt IN'!$G$22/12,0)</f>
        <v>1145.8333333333335</v>
      </c>
      <c r="BC267" s="10">
        <f>IF('Batt IN'!$E$11="Taxable",Q267,0)</f>
        <v>0</v>
      </c>
      <c r="BD267" s="10">
        <f>IF('Batt IN'!$E$11="Taxable",'Batt IN'!$E$28/1000*'Batt IN'!$G$13*('Batt IN'!$E$13/12)*'Batt IN'!$E$12,0)</f>
        <v>0</v>
      </c>
      <c r="BE267" s="10">
        <f>IF('Batt IN'!$E$11="Taxable",$S267*'Batt IN'!$G$15*'Batt IN'!$E$28*'Batt IN'!$E$14/1000,0)</f>
        <v>0</v>
      </c>
      <c r="BF267" s="10">
        <f>IF('Batt IN'!$E$11="Taxable",'Batt IN'!$E$21*'Batt IN'!$G$21/12,0)</f>
        <v>0</v>
      </c>
      <c r="BG267" s="10">
        <f>IF('Batt IN'!$E$11="Taxable",'Batt IN'!$E$22*'Batt IN'!$G$22/12,0)</f>
        <v>0</v>
      </c>
      <c r="BK267" s="10">
        <f>IF('Batt IN'!$N$18="Yes",-BattLoan!H295,-BattLoan!L295)</f>
        <v>0</v>
      </c>
      <c r="BL267" s="10">
        <f>IF('Batt IN'!$N$18="Yes",-BattLoan!F295,0)</f>
        <v>0</v>
      </c>
      <c r="BM267" s="10">
        <f>IF(AND('Batt IN'!$D$44="YES",$C267&lt;='Batt IN'!$E$44*12),0,-'Batt IN'!$E$28*'Batt IN'!$E$42/12)</f>
        <v>-83.333333333333329</v>
      </c>
      <c r="BN267" s="10">
        <f>IF(AND('Batt IN'!$D$46="YES",$C267&lt;='Batt IN'!$E$46*12),0,-'Batt IN'!$E$28*'Batt IN'!$E$45/12)</f>
        <v>-166.66666666666666</v>
      </c>
      <c r="BO267" s="2">
        <f>IF(AND('Batt IN'!$D$41="YES",BattCalcs!C267=ROUNDUP('Batt IN'!$H$41*12,)),-'Batt IN'!$E$41*'Batt IN'!$E$28,0)</f>
        <v>0</v>
      </c>
      <c r="BP267" s="2">
        <f>IF(AND('Batt IN'!$D$53="Yes",$AL$1&gt;=1),0,IF($C267='Batt IN'!$H$54*12,-'Batt IN'!$F$54,0))</f>
        <v>0</v>
      </c>
      <c r="BQ267" s="2">
        <f>IF(AND('Batt IN'!$D$53="Yes",$AL$1&gt;=2),0,IF($C267='Batt IN'!$H$55*12,-'Batt IN'!$F$55,0))</f>
        <v>0</v>
      </c>
      <c r="BR267" s="2">
        <f>IF(AND('Batt IN'!$D$53="Yes",$AL$1&gt;=3),0,IF($C267='Batt IN'!$H$56*12,-'Batt IN'!$F$56,0))</f>
        <v>0</v>
      </c>
      <c r="BS267" s="2">
        <f>IF(AND('Batt IN'!$D$53="Yes",$AL$1&gt;=4),0,IF($C267='Batt IN'!$H$57*12,-'Batt IN'!$F$57,0))</f>
        <v>0</v>
      </c>
      <c r="BT267" s="2">
        <f>IF(AND('Batt IN'!$D$53="Yes",$AL$1&gt;=5),0,IF($C267='Batt IN'!$H$58*12,-'Batt IN'!$F$58,0))</f>
        <v>0</v>
      </c>
      <c r="BU267" s="2">
        <f>-AH267*PVCalcs!F267</f>
        <v>-379.36705395720924</v>
      </c>
      <c r="BV267" s="2">
        <f>-'Batt IN'!$E$47</f>
        <v>-150</v>
      </c>
      <c r="BW267" s="2">
        <f>-'Batt IN'!$E$49</f>
        <v>-2250</v>
      </c>
      <c r="BX267" s="2">
        <f>IF('Batt IN'!$H$50="No",-(BC267*'Batt IN'!$E$50),-(BC267+BE267)*'Batt IN'!$E$50)</f>
        <v>0</v>
      </c>
      <c r="BY267" s="2">
        <f>IF(C267='Batt IN'!$H$43*12,-'Batt IN'!$E$43,0)</f>
        <v>0</v>
      </c>
      <c r="BZ267" s="38"/>
      <c r="CA267" s="10">
        <f t="shared" si="68"/>
        <v>13422.323408333334</v>
      </c>
      <c r="CB267" s="2">
        <f t="shared" si="72"/>
        <v>-3029.3670539572095</v>
      </c>
      <c r="CC267" s="45">
        <f t="shared" si="73"/>
        <v>10392.956354376125</v>
      </c>
      <c r="CD267" s="43"/>
      <c r="CE267" s="2">
        <f t="shared" si="69"/>
        <v>0</v>
      </c>
      <c r="CF267" s="2">
        <f t="shared" si="74"/>
        <v>-3029.3670539572095</v>
      </c>
      <c r="CG267" s="2"/>
      <c r="CH267" s="2">
        <f t="shared" si="75"/>
        <v>-3029.3670539572095</v>
      </c>
      <c r="CI267" s="45">
        <f>-CH267*'Batt IN'!$E$7</f>
        <v>636.16708133101395</v>
      </c>
      <c r="CJ267" s="48"/>
      <c r="CK267" s="45">
        <f>IF('Batt IN'!$F$4="PV Only",0,IF(C267&gt;'Batt IN'!$H$43*12,0,CC267+CI267))</f>
        <v>0</v>
      </c>
      <c r="CM267" s="10">
        <f t="shared" si="76"/>
        <v>0</v>
      </c>
      <c r="CN267" s="2">
        <f>CK267/(1+('Batt IN'!$G$8))^(C267)</f>
        <v>0</v>
      </c>
      <c r="CO267" s="2" t="e">
        <f>IF(C267&lt;='Batt IN'!$O$30*12,CN267+CO266,NA())</f>
        <v>#N/A</v>
      </c>
      <c r="CQ267" s="2">
        <f>CK267/((1+('Batt IN'!$E$8/12))^BattCalcs!C267)</f>
        <v>0</v>
      </c>
      <c r="CS267" s="10">
        <f t="shared" si="77"/>
        <v>-3029.3670539572095</v>
      </c>
      <c r="CT267" s="10">
        <f t="shared" si="78"/>
        <v>0</v>
      </c>
      <c r="CU267" s="10">
        <f t="shared" si="79"/>
        <v>-3029.3670539572095</v>
      </c>
      <c r="CV267" s="10">
        <f t="shared" si="80"/>
        <v>-3029.3670539572095</v>
      </c>
      <c r="CW267" s="2">
        <f t="shared" si="81"/>
        <v>0</v>
      </c>
      <c r="CX267" s="2">
        <f>-(SUM(CV267:CW267)*'PV IN'!$E$8)</f>
        <v>636.16708133101395</v>
      </c>
      <c r="CY267" s="2">
        <f t="shared" si="82"/>
        <v>-2393.1999726261956</v>
      </c>
      <c r="CZ267" s="2">
        <f>IF(C267&lt;='Batt IN'!$H$43*12,CY267/(1+('PV IN'!$G$9))^(C267),0)</f>
        <v>-821.44820432208871</v>
      </c>
      <c r="DA267" s="33">
        <f>IF(C267&lt;='Batt IN'!$H$43*12,AE267,0)</f>
        <v>30366.783333333333</v>
      </c>
    </row>
    <row r="268" spans="1:105" x14ac:dyDescent="0.25">
      <c r="A268">
        <f>IF(C268&lt;='Batt IN'!$H$43*12,C268,"")</f>
        <v>264</v>
      </c>
      <c r="B268">
        <v>22</v>
      </c>
      <c r="C268">
        <v>264</v>
      </c>
      <c r="D268" s="21">
        <v>730</v>
      </c>
      <c r="E268" s="1">
        <f>1-'Batt IN'!$E$31</f>
        <v>2.0000000000000018E-2</v>
      </c>
      <c r="F268" s="12">
        <f>('Batt IN'!$E$33*365)/8760</f>
        <v>0</v>
      </c>
      <c r="G268" s="22">
        <f>'Batt IN'!$E$32/8760</f>
        <v>5.7077625570776253E-3</v>
      </c>
      <c r="H268" s="22">
        <f>'Batt IN'!$E$13/8760</f>
        <v>5.5936073059360729E-3</v>
      </c>
      <c r="I268" s="23">
        <f>IF(C268&lt;='Batt IN'!$G$14*12,'Batt IN'!$E$15/8760*'Batt IN'!$G$15,0)</f>
        <v>0</v>
      </c>
      <c r="J268" s="12">
        <f>Z268/'Batt IN'!$E$27/730</f>
        <v>2.4999999999999996E-3</v>
      </c>
      <c r="K268" s="23">
        <f>AA268/'Batt IN'!$E$27/730</f>
        <v>1.6027397260273972E-3</v>
      </c>
      <c r="L268" s="23">
        <f>AB268/'Batt IN'!$E$27/730</f>
        <v>2.0547945205479451E-4</v>
      </c>
      <c r="M268" s="23">
        <f>AC268/'Batt IN'!$E$27/730</f>
        <v>4.7945205479452057E-3</v>
      </c>
      <c r="N268" s="23">
        <f>AD268/'Batt IN'!$E$27/730</f>
        <v>3.4246575342465752E-3</v>
      </c>
      <c r="O268" s="12">
        <f t="shared" si="70"/>
        <v>4.3828767123287697E-2</v>
      </c>
      <c r="P268" s="21">
        <f t="shared" si="71"/>
        <v>698.005</v>
      </c>
      <c r="Q268" s="2">
        <f>IF('Batt IN'!$E$27*'Batt IN'!$E$24&lt;='Batt IN'!$E$28,(('Batt IN'!$E$23*'Batt IN'!$E$27*'Batt IN'!$E$24)/1000)*P268,(('Batt IN'!$E$23*'Batt IN'!$E$28*'Batt IN'!$E$24)/1000)*P268)</f>
        <v>11168.08</v>
      </c>
      <c r="R268" s="2"/>
      <c r="S268" s="77">
        <f>IF(C268&lt;='Batt IN'!$G$14*12,'Batt IN'!$E$15/12,0)</f>
        <v>0</v>
      </c>
      <c r="T268" s="77"/>
      <c r="U268" s="80">
        <f>'Batt IN'!$E$28*('Batt IN'!$G$24/24)*730*(1-O268)</f>
        <v>81433.916666666657</v>
      </c>
      <c r="V268" s="78">
        <f>U268*'Batt IN'!$F$30</f>
        <v>16286.783333333333</v>
      </c>
      <c r="W268" s="78">
        <f>'Batt IN'!$E$28*'Batt IN'!$G$32*('Batt IN'!$E$32/12)*(1+'Batt IN'!$F$30)</f>
        <v>1750.0000000000002</v>
      </c>
      <c r="X268" s="78">
        <f>'Batt IN'!$E$28*'Batt IN'!$G$13*('Batt IN'!$E$13/12)*(1+'Batt IN'!$F$30)</f>
        <v>3184.9999999999995</v>
      </c>
      <c r="Y268" s="33">
        <f>S268*'Batt IN'!$G$15*'Batt IN'!$E$28*(1+'Batt IN'!$F$30)</f>
        <v>0</v>
      </c>
      <c r="Z268" s="33">
        <f>'Batt IN'!$G$16*365/12*(1+'Batt IN'!$F$30)</f>
        <v>1824.9999999999998</v>
      </c>
      <c r="AA268" s="33">
        <f>'Batt IN'!$G$17*'Batt IN'!$E$18*'Batt IN'!$G$18/12*(1+'Batt IN'!$F$30)</f>
        <v>1170</v>
      </c>
      <c r="AB268" s="33">
        <f>'Batt IN'!$G$19*'Batt IN'!$E$20*'Batt IN'!$G$20/12*(1+'Batt IN'!$F$30)</f>
        <v>150</v>
      </c>
      <c r="AC268" s="33">
        <f>'Batt IN'!$G$21*(1+'Batt IN'!$F$30)/12</f>
        <v>3500</v>
      </c>
      <c r="AD268" s="33">
        <f>'Batt IN'!$G$22*(1+'Batt IN'!$F$30)/12</f>
        <v>2500</v>
      </c>
      <c r="AE268" s="33">
        <f t="shared" si="83"/>
        <v>30366.783333333333</v>
      </c>
      <c r="AF268" s="33">
        <f>IF('PV IN'!$F$4="Battery Only",0,AE268*'Batt IN'!$E$29)</f>
        <v>25811.765833333331</v>
      </c>
      <c r="AG268" s="33">
        <f>PVCalcs!L268</f>
        <v>25811.765833333331</v>
      </c>
      <c r="AH268" s="33">
        <f t="shared" si="84"/>
        <v>4555.0175000000017</v>
      </c>
      <c r="AI268" s="33"/>
      <c r="AJ268" s="2">
        <f>IF(AND('Batt IN'!$D$53="Yes",$AL$1&gt;=1),IF($C268='Batt IN'!$H$54*12,-'Batt IN'!$F$54,0),0)</f>
        <v>0</v>
      </c>
      <c r="AK268" s="2">
        <f>IF(AND('Batt IN'!$D$53="Yes",$AL$1&gt;=2),IF($C268='Batt IN'!$H$55*12,-'Batt IN'!$F$55,0),0)</f>
        <v>0</v>
      </c>
      <c r="AL268" s="2">
        <f>IF(AND('Batt IN'!$D$53="Yes",$AL$1&gt;=3),IF($C268='Batt IN'!$H$56*12,-'Batt IN'!$F$56,0),0)</f>
        <v>0</v>
      </c>
      <c r="AM268" s="2">
        <f>IF(AND('Batt IN'!$D$53="Yes",$AL$1&gt;=4),IF($C268='Batt IN'!$H$57*12,-'Batt IN'!$F$57,0),0)</f>
        <v>0</v>
      </c>
      <c r="AN268" s="2">
        <f>IF(AND('Batt IN'!$D$53="Yes",$AL$1&gt;=5),IF($C268='Batt IN'!$H$58*12,-'Batt IN'!$F$58,0),0)</f>
        <v>0</v>
      </c>
      <c r="AO268" s="10">
        <f>IF(AND('Batt IN'!$D$44="YES",$C268&lt;='Batt IN'!$E$44*12),-'Batt IN'!$E$28*'Batt IN'!$E$42/12,0)</f>
        <v>0</v>
      </c>
      <c r="AP268" s="10">
        <f>IF(AND('Batt IN'!$D$46="YES",$C268&lt;='Batt IN'!$E$46*12),-'Batt IN'!$E$28*'Batt IN'!$E$45/12,0)</f>
        <v>0</v>
      </c>
      <c r="AR268" s="10">
        <f>BattLoan!M295</f>
        <v>0</v>
      </c>
      <c r="AS268" s="10">
        <f>'Batt IN'!$G$16*365/12*'Batt IN'!$E$16</f>
        <v>76.041666666666671</v>
      </c>
      <c r="AT268" s="10">
        <f>IF(AND('Batt IN'!$E$18&gt;0,'Batt IN'!$G$18&gt;0),'Batt IN'!$E$17*'Batt IN'!$G$17,0)</f>
        <v>119.44619999999999</v>
      </c>
      <c r="AU268" s="10">
        <f>IF(AND('Batt IN'!$E$20&gt;0,'Batt IN'!$G$20&gt;0),'Batt IN'!$E$19*'Batt IN'!$G$19,0)</f>
        <v>231</v>
      </c>
      <c r="AV268" s="10"/>
      <c r="AW268" s="10"/>
      <c r="AX268" s="10">
        <f>IF('Batt IN'!$E$11="Non-Taxable",Q268,0)</f>
        <v>11168.08</v>
      </c>
      <c r="AY268" s="10">
        <f>IF('Batt IN'!$E$11="Non-Taxable",'Batt IN'!$E$28/1000*'Batt IN'!$G$13*('Batt IN'!$E$13/12)*'Batt IN'!$E$12,0)</f>
        <v>244.42220833333334</v>
      </c>
      <c r="AZ268" s="10">
        <f>IF('Batt IN'!$E$11="Non-Taxable",$S268*'Batt IN'!$G$15*'Batt IN'!$E$28*'Batt IN'!$E$14/1000,0)</f>
        <v>0</v>
      </c>
      <c r="BA268" s="10">
        <f>IF('Batt IN'!$E$11="Non-Taxable",'Batt IN'!$E$21*'Batt IN'!$G$21/12,0)</f>
        <v>437.5</v>
      </c>
      <c r="BB268" s="10">
        <f>IF('Batt IN'!$E$11="Non-Taxable",'Batt IN'!$E$22*'Batt IN'!$G$22/12,0)</f>
        <v>1145.8333333333335</v>
      </c>
      <c r="BC268" s="10">
        <f>IF('Batt IN'!$E$11="Taxable",Q268,0)</f>
        <v>0</v>
      </c>
      <c r="BD268" s="10">
        <f>IF('Batt IN'!$E$11="Taxable",'Batt IN'!$E$28/1000*'Batt IN'!$G$13*('Batt IN'!$E$13/12)*'Batt IN'!$E$12,0)</f>
        <v>0</v>
      </c>
      <c r="BE268" s="10">
        <f>IF('Batt IN'!$E$11="Taxable",$S268*'Batt IN'!$G$15*'Batt IN'!$E$28*'Batt IN'!$E$14/1000,0)</f>
        <v>0</v>
      </c>
      <c r="BF268" s="10">
        <f>IF('Batt IN'!$E$11="Taxable",'Batt IN'!$E$21*'Batt IN'!$G$21/12,0)</f>
        <v>0</v>
      </c>
      <c r="BG268" s="10">
        <f>IF('Batt IN'!$E$11="Taxable",'Batt IN'!$E$22*'Batt IN'!$G$22/12,0)</f>
        <v>0</v>
      </c>
      <c r="BK268" s="10">
        <f>IF('Batt IN'!$N$18="Yes",-BattLoan!H296,-BattLoan!L296)</f>
        <v>0</v>
      </c>
      <c r="BL268" s="10">
        <f>IF('Batt IN'!$N$18="Yes",-BattLoan!F296,0)</f>
        <v>0</v>
      </c>
      <c r="BM268" s="10">
        <f>IF(AND('Batt IN'!$D$44="YES",$C268&lt;='Batt IN'!$E$44*12),0,-'Batt IN'!$E$28*'Batt IN'!$E$42/12)</f>
        <v>-83.333333333333329</v>
      </c>
      <c r="BN268" s="10">
        <f>IF(AND('Batt IN'!$D$46="YES",$C268&lt;='Batt IN'!$E$46*12),0,-'Batt IN'!$E$28*'Batt IN'!$E$45/12)</f>
        <v>-166.66666666666666</v>
      </c>
      <c r="BO268" s="2">
        <f>IF(AND('Batt IN'!$D$41="YES",BattCalcs!C268=ROUNDUP('Batt IN'!$H$41*12,)),-'Batt IN'!$E$41*'Batt IN'!$E$28,0)</f>
        <v>0</v>
      </c>
      <c r="BP268" s="2">
        <f>IF(AND('Batt IN'!$D$53="Yes",$AL$1&gt;=1),0,IF($C268='Batt IN'!$H$54*12,-'Batt IN'!$F$54,0))</f>
        <v>0</v>
      </c>
      <c r="BQ268" s="2">
        <f>IF(AND('Batt IN'!$D$53="Yes",$AL$1&gt;=2),0,IF($C268='Batt IN'!$H$55*12,-'Batt IN'!$F$55,0))</f>
        <v>0</v>
      </c>
      <c r="BR268" s="2">
        <f>IF(AND('Batt IN'!$D$53="Yes",$AL$1&gt;=3),0,IF($C268='Batt IN'!$H$56*12,-'Batt IN'!$F$56,0))</f>
        <v>0</v>
      </c>
      <c r="BS268" s="2">
        <f>IF(AND('Batt IN'!$D$53="Yes",$AL$1&gt;=4),0,IF($C268='Batt IN'!$H$57*12,-'Batt IN'!$F$57,0))</f>
        <v>0</v>
      </c>
      <c r="BT268" s="2">
        <f>IF(AND('Batt IN'!$D$53="Yes",$AL$1&gt;=5),0,IF($C268='Batt IN'!$H$58*12,-'Batt IN'!$F$58,0))</f>
        <v>0</v>
      </c>
      <c r="BU268" s="2">
        <f>-AH268*PVCalcs!F268</f>
        <v>-379.36705395720924</v>
      </c>
      <c r="BV268" s="2">
        <f>-'Batt IN'!$E$47</f>
        <v>-150</v>
      </c>
      <c r="BW268" s="2">
        <f>-'Batt IN'!$E$49</f>
        <v>-2250</v>
      </c>
      <c r="BX268" s="2">
        <f>IF('Batt IN'!$H$50="No",-(BC268*'Batt IN'!$E$50),-(BC268+BE268)*'Batt IN'!$E$50)</f>
        <v>0</v>
      </c>
      <c r="BY268" s="2">
        <f>IF(C268='Batt IN'!$H$43*12,-'Batt IN'!$E$43,0)</f>
        <v>0</v>
      </c>
      <c r="BZ268" s="38"/>
      <c r="CA268" s="10">
        <f t="shared" si="68"/>
        <v>13422.323408333334</v>
      </c>
      <c r="CB268" s="2">
        <f t="shared" si="72"/>
        <v>-3029.3670539572095</v>
      </c>
      <c r="CC268" s="45">
        <f t="shared" si="73"/>
        <v>10392.956354376125</v>
      </c>
      <c r="CD268" s="43"/>
      <c r="CE268" s="2">
        <f t="shared" si="69"/>
        <v>0</v>
      </c>
      <c r="CF268" s="2">
        <f t="shared" si="74"/>
        <v>-3029.3670539572095</v>
      </c>
      <c r="CG268" s="2"/>
      <c r="CH268" s="2">
        <f t="shared" si="75"/>
        <v>-3029.3670539572095</v>
      </c>
      <c r="CI268" s="45">
        <f>-CH268*'Batt IN'!$E$7</f>
        <v>636.16708133101395</v>
      </c>
      <c r="CJ268" s="48"/>
      <c r="CK268" s="45">
        <f>IF('Batt IN'!$F$4="PV Only",0,IF(C268&gt;'Batt IN'!$H$43*12,0,CC268+CI268))</f>
        <v>0</v>
      </c>
      <c r="CM268" s="10">
        <f t="shared" si="76"/>
        <v>0</v>
      </c>
      <c r="CN268" s="2">
        <f>CK268/(1+('Batt IN'!$G$8))^(C268)</f>
        <v>0</v>
      </c>
      <c r="CO268" s="2" t="e">
        <f>IF(C268&lt;='Batt IN'!$O$30*12,CN268+CO267,NA())</f>
        <v>#N/A</v>
      </c>
      <c r="CQ268" s="2">
        <f>CK268/((1+('Batt IN'!$E$8/12))^BattCalcs!C268)</f>
        <v>0</v>
      </c>
      <c r="CS268" s="10">
        <f t="shared" si="77"/>
        <v>-3029.3670539572095</v>
      </c>
      <c r="CT268" s="10">
        <f t="shared" si="78"/>
        <v>0</v>
      </c>
      <c r="CU268" s="10">
        <f t="shared" si="79"/>
        <v>-3029.3670539572095</v>
      </c>
      <c r="CV268" s="10">
        <f t="shared" si="80"/>
        <v>-3029.3670539572095</v>
      </c>
      <c r="CW268" s="2">
        <f t="shared" si="81"/>
        <v>0</v>
      </c>
      <c r="CX268" s="2">
        <f>-(SUM(CV268:CW268)*'PV IN'!$E$8)</f>
        <v>636.16708133101395</v>
      </c>
      <c r="CY268" s="2">
        <f t="shared" si="82"/>
        <v>-2393.1999726261956</v>
      </c>
      <c r="CZ268" s="2">
        <f>IF(C268&lt;='Batt IN'!$H$43*12,CY268/(1+('PV IN'!$G$9))^(C268),0)</f>
        <v>-818.11510212675216</v>
      </c>
      <c r="DA268" s="33">
        <f>IF(C268&lt;='Batt IN'!$H$43*12,AE268,0)</f>
        <v>30366.783333333333</v>
      </c>
    </row>
    <row r="269" spans="1:105" x14ac:dyDescent="0.25">
      <c r="A269">
        <f>IF(C269&lt;='Batt IN'!$H$43*12,C269,"")</f>
        <v>265</v>
      </c>
      <c r="C269">
        <v>265</v>
      </c>
      <c r="D269" s="21">
        <v>730</v>
      </c>
      <c r="E269" s="1">
        <f>1-'Batt IN'!$E$31</f>
        <v>2.0000000000000018E-2</v>
      </c>
      <c r="F269" s="12">
        <f>('Batt IN'!$E$33*365)/8760</f>
        <v>0</v>
      </c>
      <c r="G269" s="22">
        <f>'Batt IN'!$E$32/8760</f>
        <v>5.7077625570776253E-3</v>
      </c>
      <c r="H269" s="22">
        <f>'Batt IN'!$E$13/8760</f>
        <v>5.5936073059360729E-3</v>
      </c>
      <c r="I269" s="23">
        <f>IF(C269&lt;='Batt IN'!$G$14*12,'Batt IN'!$E$15/8760*'Batt IN'!$G$15,0)</f>
        <v>0</v>
      </c>
      <c r="J269" s="12">
        <f>Z269/'Batt IN'!$E$27/730</f>
        <v>2.4999999999999996E-3</v>
      </c>
      <c r="K269" s="23">
        <f>AA269/'Batt IN'!$E$27/730</f>
        <v>1.6027397260273972E-3</v>
      </c>
      <c r="L269" s="23">
        <f>AB269/'Batt IN'!$E$27/730</f>
        <v>2.0547945205479451E-4</v>
      </c>
      <c r="M269" s="23">
        <f>AC269/'Batt IN'!$E$27/730</f>
        <v>4.7945205479452057E-3</v>
      </c>
      <c r="N269" s="23">
        <f>AD269/'Batt IN'!$E$27/730</f>
        <v>3.4246575342465752E-3</v>
      </c>
      <c r="O269" s="12">
        <f t="shared" si="70"/>
        <v>4.3828767123287697E-2</v>
      </c>
      <c r="P269" s="21">
        <f t="shared" si="71"/>
        <v>698.005</v>
      </c>
      <c r="Q269" s="2">
        <f>IF('Batt IN'!$E$27*'Batt IN'!$E$24&lt;='Batt IN'!$E$28,(('Batt IN'!$E$23*'Batt IN'!$E$27*'Batt IN'!$E$24)/1000)*P269,(('Batt IN'!$E$23*'Batt IN'!$E$28*'Batt IN'!$E$24)/1000)*P269)</f>
        <v>11168.08</v>
      </c>
      <c r="R269" s="2"/>
      <c r="S269" s="77">
        <f>IF(C269&lt;='Batt IN'!$G$14*12,'Batt IN'!$E$15/12,0)</f>
        <v>0</v>
      </c>
      <c r="T269" s="77"/>
      <c r="U269" s="80">
        <f>'Batt IN'!$E$28*('Batt IN'!$G$24/24)*730*(1-O269)</f>
        <v>81433.916666666657</v>
      </c>
      <c r="V269" s="78">
        <f>U269*'Batt IN'!$F$30</f>
        <v>16286.783333333333</v>
      </c>
      <c r="W269" s="78">
        <f>'Batt IN'!$E$28*'Batt IN'!$G$32*('Batt IN'!$E$32/12)*(1+'Batt IN'!$F$30)</f>
        <v>1750.0000000000002</v>
      </c>
      <c r="X269" s="78">
        <f>'Batt IN'!$E$28*'Batt IN'!$G$13*('Batt IN'!$E$13/12)*(1+'Batt IN'!$F$30)</f>
        <v>3184.9999999999995</v>
      </c>
      <c r="Y269" s="33">
        <f>S269*'Batt IN'!$G$15*'Batt IN'!$E$28*(1+'Batt IN'!$F$30)</f>
        <v>0</v>
      </c>
      <c r="Z269" s="33">
        <f>'Batt IN'!$G$16*365/12*(1+'Batt IN'!$F$30)</f>
        <v>1824.9999999999998</v>
      </c>
      <c r="AA269" s="33">
        <f>'Batt IN'!$G$17*'Batt IN'!$E$18*'Batt IN'!$G$18/12*(1+'Batt IN'!$F$30)</f>
        <v>1170</v>
      </c>
      <c r="AB269" s="33">
        <f>'Batt IN'!$G$19*'Batt IN'!$E$20*'Batt IN'!$G$20/12*(1+'Batt IN'!$F$30)</f>
        <v>150</v>
      </c>
      <c r="AC269" s="33">
        <f>'Batt IN'!$G$21*(1+'Batt IN'!$F$30)/12</f>
        <v>3500</v>
      </c>
      <c r="AD269" s="33">
        <f>'Batt IN'!$G$22*(1+'Batt IN'!$F$30)/12</f>
        <v>2500</v>
      </c>
      <c r="AE269" s="33">
        <f t="shared" si="83"/>
        <v>30366.783333333333</v>
      </c>
      <c r="AF269" s="33">
        <f>IF('PV IN'!$F$4="Battery Only",0,AE269*'Batt IN'!$E$29)</f>
        <v>25811.765833333331</v>
      </c>
      <c r="AG269" s="33">
        <f>PVCalcs!L269</f>
        <v>25811.765833333331</v>
      </c>
      <c r="AH269" s="33">
        <f t="shared" si="84"/>
        <v>4555.0175000000017</v>
      </c>
      <c r="AI269" s="33"/>
      <c r="AJ269" s="2">
        <f>IF(AND('Batt IN'!$D$53="Yes",$AL$1&gt;=1),IF($C269='Batt IN'!$H$54*12,-'Batt IN'!$F$54,0),0)</f>
        <v>0</v>
      </c>
      <c r="AK269" s="2">
        <f>IF(AND('Batt IN'!$D$53="Yes",$AL$1&gt;=2),IF($C269='Batt IN'!$H$55*12,-'Batt IN'!$F$55,0),0)</f>
        <v>0</v>
      </c>
      <c r="AL269" s="2">
        <f>IF(AND('Batt IN'!$D$53="Yes",$AL$1&gt;=3),IF($C269='Batt IN'!$H$56*12,-'Batt IN'!$F$56,0),0)</f>
        <v>0</v>
      </c>
      <c r="AM269" s="2">
        <f>IF(AND('Batt IN'!$D$53="Yes",$AL$1&gt;=4),IF($C269='Batt IN'!$H$57*12,-'Batt IN'!$F$57,0),0)</f>
        <v>0</v>
      </c>
      <c r="AN269" s="2">
        <f>IF(AND('Batt IN'!$D$53="Yes",$AL$1&gt;=5),IF($C269='Batt IN'!$H$58*12,-'Batt IN'!$F$58,0),0)</f>
        <v>0</v>
      </c>
      <c r="AO269" s="10">
        <f>IF(AND('Batt IN'!$D$44="YES",$C269&lt;='Batt IN'!$E$44*12),-'Batt IN'!$E$28*'Batt IN'!$E$42/12,0)</f>
        <v>0</v>
      </c>
      <c r="AP269" s="10">
        <f>IF(AND('Batt IN'!$D$46="YES",$C269&lt;='Batt IN'!$E$46*12),-'Batt IN'!$E$28*'Batt IN'!$E$45/12,0)</f>
        <v>0</v>
      </c>
      <c r="AR269" s="10">
        <f>BattLoan!M296</f>
        <v>0</v>
      </c>
      <c r="AS269" s="10">
        <f>'Batt IN'!$G$16*365/12*'Batt IN'!$E$16</f>
        <v>76.041666666666671</v>
      </c>
      <c r="AT269" s="10">
        <f>IF(AND('Batt IN'!$E$18&gt;0,'Batt IN'!$G$18&gt;0),'Batt IN'!$E$17*'Batt IN'!$G$17,0)</f>
        <v>119.44619999999999</v>
      </c>
      <c r="AU269" s="10">
        <f>IF(AND('Batt IN'!$E$20&gt;0,'Batt IN'!$G$20&gt;0),'Batt IN'!$E$19*'Batt IN'!$G$19,0)</f>
        <v>231</v>
      </c>
      <c r="AV269" s="10"/>
      <c r="AW269" s="10"/>
      <c r="AX269" s="10">
        <f>IF('Batt IN'!$E$11="Non-Taxable",Q269,0)</f>
        <v>11168.08</v>
      </c>
      <c r="AY269" s="10">
        <f>IF('Batt IN'!$E$11="Non-Taxable",'Batt IN'!$E$28/1000*'Batt IN'!$G$13*('Batt IN'!$E$13/12)*'Batt IN'!$E$12,0)</f>
        <v>244.42220833333334</v>
      </c>
      <c r="AZ269" s="10">
        <f>IF('Batt IN'!$E$11="Non-Taxable",$S269*'Batt IN'!$G$15*'Batt IN'!$E$28*'Batt IN'!$E$14/1000,0)</f>
        <v>0</v>
      </c>
      <c r="BA269" s="10">
        <f>IF('Batt IN'!$E$11="Non-Taxable",'Batt IN'!$E$21*'Batt IN'!$G$21/12,0)</f>
        <v>437.5</v>
      </c>
      <c r="BB269" s="10">
        <f>IF('Batt IN'!$E$11="Non-Taxable",'Batt IN'!$E$22*'Batt IN'!$G$22/12,0)</f>
        <v>1145.8333333333335</v>
      </c>
      <c r="BC269" s="10">
        <f>IF('Batt IN'!$E$11="Taxable",Q269,0)</f>
        <v>0</v>
      </c>
      <c r="BD269" s="10">
        <f>IF('Batt IN'!$E$11="Taxable",'Batt IN'!$E$28/1000*'Batt IN'!$G$13*('Batt IN'!$E$13/12)*'Batt IN'!$E$12,0)</f>
        <v>0</v>
      </c>
      <c r="BE269" s="10">
        <f>IF('Batt IN'!$E$11="Taxable",$S269*'Batt IN'!$G$15*'Batt IN'!$E$28*'Batt IN'!$E$14/1000,0)</f>
        <v>0</v>
      </c>
      <c r="BF269" s="10">
        <f>IF('Batt IN'!$E$11="Taxable",'Batt IN'!$E$21*'Batt IN'!$G$21/12,0)</f>
        <v>0</v>
      </c>
      <c r="BG269" s="10">
        <f>IF('Batt IN'!$E$11="Taxable",'Batt IN'!$E$22*'Batt IN'!$G$22/12,0)</f>
        <v>0</v>
      </c>
      <c r="BK269" s="10">
        <f>IF('Batt IN'!$N$18="Yes",-BattLoan!H297,-BattLoan!L297)</f>
        <v>0</v>
      </c>
      <c r="BL269" s="10">
        <f>IF('Batt IN'!$N$18="Yes",-BattLoan!F297,0)</f>
        <v>0</v>
      </c>
      <c r="BM269" s="10">
        <f>IF(AND('Batt IN'!$D$44="YES",$C269&lt;='Batt IN'!$E$44*12),0,-'Batt IN'!$E$28*'Batt IN'!$E$42/12)</f>
        <v>-83.333333333333329</v>
      </c>
      <c r="BN269" s="10">
        <f>IF(AND('Batt IN'!$D$46="YES",$C269&lt;='Batt IN'!$E$46*12),0,-'Batt IN'!$E$28*'Batt IN'!$E$45/12)</f>
        <v>-166.66666666666666</v>
      </c>
      <c r="BO269" s="2">
        <f>IF(AND('Batt IN'!$D$41="YES",BattCalcs!C269=ROUNDUP('Batt IN'!$H$41*12,)),-'Batt IN'!$E$41*'Batt IN'!$E$28,0)</f>
        <v>0</v>
      </c>
      <c r="BP269" s="2">
        <f>IF(AND('Batt IN'!$D$53="Yes",$AL$1&gt;=1),0,IF($C269='Batt IN'!$H$54*12,-'Batt IN'!$F$54,0))</f>
        <v>0</v>
      </c>
      <c r="BQ269" s="2">
        <f>IF(AND('Batt IN'!$D$53="Yes",$AL$1&gt;=2),0,IF($C269='Batt IN'!$H$55*12,-'Batt IN'!$F$55,0))</f>
        <v>0</v>
      </c>
      <c r="BR269" s="2">
        <f>IF(AND('Batt IN'!$D$53="Yes",$AL$1&gt;=3),0,IF($C269='Batt IN'!$H$56*12,-'Batt IN'!$F$56,0))</f>
        <v>0</v>
      </c>
      <c r="BS269" s="2">
        <f>IF(AND('Batt IN'!$D$53="Yes",$AL$1&gt;=4),0,IF($C269='Batt IN'!$H$57*12,-'Batt IN'!$F$57,0))</f>
        <v>0</v>
      </c>
      <c r="BT269" s="2">
        <f>IF(AND('Batt IN'!$D$53="Yes",$AL$1&gt;=5),0,IF($C269='Batt IN'!$H$58*12,-'Batt IN'!$F$58,0))</f>
        <v>0</v>
      </c>
      <c r="BU269" s="2">
        <f>-AH269*PVCalcs!F269</f>
        <v>-378.83856747753731</v>
      </c>
      <c r="BV269" s="2">
        <f>-'Batt IN'!$E$47</f>
        <v>-150</v>
      </c>
      <c r="BW269" s="2">
        <f>-'Batt IN'!$E$49</f>
        <v>-2250</v>
      </c>
      <c r="BX269" s="2">
        <f>IF('Batt IN'!$H$50="No",-(BC269*'Batt IN'!$E$50),-(BC269+BE269)*'Batt IN'!$E$50)</f>
        <v>0</v>
      </c>
      <c r="BY269" s="2">
        <f>IF(C269='Batt IN'!$H$43*12,-'Batt IN'!$E$43,0)</f>
        <v>0</v>
      </c>
      <c r="BZ269" s="38"/>
      <c r="CA269" s="10">
        <f t="shared" si="68"/>
        <v>13422.323408333334</v>
      </c>
      <c r="CB269" s="2">
        <f t="shared" si="72"/>
        <v>-3028.8385674775373</v>
      </c>
      <c r="CC269" s="45">
        <f t="shared" si="73"/>
        <v>10393.484840855795</v>
      </c>
      <c r="CD269" s="43"/>
      <c r="CE269" s="2">
        <f t="shared" si="69"/>
        <v>0</v>
      </c>
      <c r="CF269" s="2">
        <f t="shared" si="74"/>
        <v>-3028.8385674775373</v>
      </c>
      <c r="CG269" s="2"/>
      <c r="CH269" s="2">
        <f t="shared" si="75"/>
        <v>-3028.8385674775373</v>
      </c>
      <c r="CI269" s="45">
        <f>-CH269*'Batt IN'!$E$7</f>
        <v>636.05609917028278</v>
      </c>
      <c r="CJ269" s="48"/>
      <c r="CK269" s="45">
        <f>IF('Batt IN'!$F$4="PV Only",0,IF(C269&gt;'Batt IN'!$H$43*12,0,CC269+CI269))</f>
        <v>0</v>
      </c>
      <c r="CM269" s="10">
        <f t="shared" si="76"/>
        <v>0</v>
      </c>
      <c r="CN269" s="2">
        <f>CK269/(1+('Batt IN'!$G$8))^(C269)</f>
        <v>0</v>
      </c>
      <c r="CO269" s="2" t="e">
        <f>IF(C269&lt;='Batt IN'!$O$30*12,CN269+CO268,NA())</f>
        <v>#N/A</v>
      </c>
      <c r="CQ269" s="2">
        <f>CK269/((1+('Batt IN'!$E$8/12))^BattCalcs!C269)</f>
        <v>0</v>
      </c>
      <c r="CS269" s="10">
        <f t="shared" si="77"/>
        <v>-3028.8385674775373</v>
      </c>
      <c r="CT269" s="10">
        <f t="shared" si="78"/>
        <v>0</v>
      </c>
      <c r="CU269" s="10">
        <f t="shared" si="79"/>
        <v>-3028.8385674775373</v>
      </c>
      <c r="CV269" s="10">
        <f t="shared" si="80"/>
        <v>-3028.8385674775373</v>
      </c>
      <c r="CW269" s="2">
        <f t="shared" si="81"/>
        <v>0</v>
      </c>
      <c r="CX269" s="2">
        <f>-(SUM(CV269:CW269)*'PV IN'!$E$8)</f>
        <v>636.05609917028278</v>
      </c>
      <c r="CY269" s="2">
        <f t="shared" si="82"/>
        <v>-2392.7824683072545</v>
      </c>
      <c r="CZ269" s="2">
        <f>IF(C269&lt;='Batt IN'!$H$43*12,CY269/(1+('PV IN'!$G$9))^(C269),0)</f>
        <v>-814.65337961980538</v>
      </c>
      <c r="DA269" s="33">
        <f>IF(C269&lt;='Batt IN'!$H$43*12,AE269,0)</f>
        <v>30366.783333333333</v>
      </c>
    </row>
    <row r="270" spans="1:105" x14ac:dyDescent="0.25">
      <c r="A270">
        <f>IF(C270&lt;='Batt IN'!$H$43*12,C270,"")</f>
        <v>266</v>
      </c>
      <c r="C270">
        <v>266</v>
      </c>
      <c r="D270" s="21">
        <v>730</v>
      </c>
      <c r="E270" s="1">
        <f>1-'Batt IN'!$E$31</f>
        <v>2.0000000000000018E-2</v>
      </c>
      <c r="F270" s="12">
        <f>('Batt IN'!$E$33*365)/8760</f>
        <v>0</v>
      </c>
      <c r="G270" s="22">
        <f>'Batt IN'!$E$32/8760</f>
        <v>5.7077625570776253E-3</v>
      </c>
      <c r="H270" s="22">
        <f>'Batt IN'!$E$13/8760</f>
        <v>5.5936073059360729E-3</v>
      </c>
      <c r="I270" s="23">
        <f>IF(C270&lt;='Batt IN'!$G$14*12,'Batt IN'!$E$15/8760*'Batt IN'!$G$15,0)</f>
        <v>0</v>
      </c>
      <c r="J270" s="12">
        <f>Z270/'Batt IN'!$E$27/730</f>
        <v>2.4999999999999996E-3</v>
      </c>
      <c r="K270" s="23">
        <f>AA270/'Batt IN'!$E$27/730</f>
        <v>1.6027397260273972E-3</v>
      </c>
      <c r="L270" s="23">
        <f>AB270/'Batt IN'!$E$27/730</f>
        <v>2.0547945205479451E-4</v>
      </c>
      <c r="M270" s="23">
        <f>AC270/'Batt IN'!$E$27/730</f>
        <v>4.7945205479452057E-3</v>
      </c>
      <c r="N270" s="23">
        <f>AD270/'Batt IN'!$E$27/730</f>
        <v>3.4246575342465752E-3</v>
      </c>
      <c r="O270" s="12">
        <f t="shared" si="70"/>
        <v>4.3828767123287697E-2</v>
      </c>
      <c r="P270" s="21">
        <f t="shared" si="71"/>
        <v>698.005</v>
      </c>
      <c r="Q270" s="2">
        <f>IF('Batt IN'!$E$27*'Batt IN'!$E$24&lt;='Batt IN'!$E$28,(('Batt IN'!$E$23*'Batt IN'!$E$27*'Batt IN'!$E$24)/1000)*P270,(('Batt IN'!$E$23*'Batt IN'!$E$28*'Batt IN'!$E$24)/1000)*P270)</f>
        <v>11168.08</v>
      </c>
      <c r="R270" s="2"/>
      <c r="S270" s="77">
        <f>IF(C270&lt;='Batt IN'!$G$14*12,'Batt IN'!$E$15/12,0)</f>
        <v>0</v>
      </c>
      <c r="T270" s="77"/>
      <c r="U270" s="80">
        <f>'Batt IN'!$E$28*('Batt IN'!$G$24/24)*730*(1-O270)</f>
        <v>81433.916666666657</v>
      </c>
      <c r="V270" s="78">
        <f>U270*'Batt IN'!$F$30</f>
        <v>16286.783333333333</v>
      </c>
      <c r="W270" s="78">
        <f>'Batt IN'!$E$28*'Batt IN'!$G$32*('Batt IN'!$E$32/12)*(1+'Batt IN'!$F$30)</f>
        <v>1750.0000000000002</v>
      </c>
      <c r="X270" s="78">
        <f>'Batt IN'!$E$28*'Batt IN'!$G$13*('Batt IN'!$E$13/12)*(1+'Batt IN'!$F$30)</f>
        <v>3184.9999999999995</v>
      </c>
      <c r="Y270" s="33">
        <f>S270*'Batt IN'!$G$15*'Batt IN'!$E$28*(1+'Batt IN'!$F$30)</f>
        <v>0</v>
      </c>
      <c r="Z270" s="33">
        <f>'Batt IN'!$G$16*365/12*(1+'Batt IN'!$F$30)</f>
        <v>1824.9999999999998</v>
      </c>
      <c r="AA270" s="33">
        <f>'Batt IN'!$G$17*'Batt IN'!$E$18*'Batt IN'!$G$18/12*(1+'Batt IN'!$F$30)</f>
        <v>1170</v>
      </c>
      <c r="AB270" s="33">
        <f>'Batt IN'!$G$19*'Batt IN'!$E$20*'Batt IN'!$G$20/12*(1+'Batt IN'!$F$30)</f>
        <v>150</v>
      </c>
      <c r="AC270" s="33">
        <f>'Batt IN'!$G$21*(1+'Batt IN'!$F$30)/12</f>
        <v>3500</v>
      </c>
      <c r="AD270" s="33">
        <f>'Batt IN'!$G$22*(1+'Batt IN'!$F$30)/12</f>
        <v>2500</v>
      </c>
      <c r="AE270" s="33">
        <f t="shared" si="83"/>
        <v>30366.783333333333</v>
      </c>
      <c r="AF270" s="33">
        <f>IF('PV IN'!$F$4="Battery Only",0,AE270*'Batt IN'!$E$29)</f>
        <v>25811.765833333331</v>
      </c>
      <c r="AG270" s="33">
        <f>PVCalcs!L270</f>
        <v>25811.765833333331</v>
      </c>
      <c r="AH270" s="33">
        <f t="shared" si="84"/>
        <v>4555.0175000000017</v>
      </c>
      <c r="AI270" s="33"/>
      <c r="AJ270" s="2">
        <f>IF(AND('Batt IN'!$D$53="Yes",$AL$1&gt;=1),IF($C270='Batt IN'!$H$54*12,-'Batt IN'!$F$54,0),0)</f>
        <v>0</v>
      </c>
      <c r="AK270" s="2">
        <f>IF(AND('Batt IN'!$D$53="Yes",$AL$1&gt;=2),IF($C270='Batt IN'!$H$55*12,-'Batt IN'!$F$55,0),0)</f>
        <v>0</v>
      </c>
      <c r="AL270" s="2">
        <f>IF(AND('Batt IN'!$D$53="Yes",$AL$1&gt;=3),IF($C270='Batt IN'!$H$56*12,-'Batt IN'!$F$56,0),0)</f>
        <v>0</v>
      </c>
      <c r="AM270" s="2">
        <f>IF(AND('Batt IN'!$D$53="Yes",$AL$1&gt;=4),IF($C270='Batt IN'!$H$57*12,-'Batt IN'!$F$57,0),0)</f>
        <v>0</v>
      </c>
      <c r="AN270" s="2">
        <f>IF(AND('Batt IN'!$D$53="Yes",$AL$1&gt;=5),IF($C270='Batt IN'!$H$58*12,-'Batt IN'!$F$58,0),0)</f>
        <v>0</v>
      </c>
      <c r="AO270" s="10">
        <f>IF(AND('Batt IN'!$D$44="YES",$C270&lt;='Batt IN'!$E$44*12),-'Batt IN'!$E$28*'Batt IN'!$E$42/12,0)</f>
        <v>0</v>
      </c>
      <c r="AP270" s="10">
        <f>IF(AND('Batt IN'!$D$46="YES",$C270&lt;='Batt IN'!$E$46*12),-'Batt IN'!$E$28*'Batt IN'!$E$45/12,0)</f>
        <v>0</v>
      </c>
      <c r="AR270" s="10">
        <f>BattLoan!M297</f>
        <v>0</v>
      </c>
      <c r="AS270" s="10">
        <f>'Batt IN'!$G$16*365/12*'Batt IN'!$E$16</f>
        <v>76.041666666666671</v>
      </c>
      <c r="AT270" s="10">
        <f>IF(AND('Batt IN'!$E$18&gt;0,'Batt IN'!$G$18&gt;0),'Batt IN'!$E$17*'Batt IN'!$G$17,0)</f>
        <v>119.44619999999999</v>
      </c>
      <c r="AU270" s="10">
        <f>IF(AND('Batt IN'!$E$20&gt;0,'Batt IN'!$G$20&gt;0),'Batt IN'!$E$19*'Batt IN'!$G$19,0)</f>
        <v>231</v>
      </c>
      <c r="AV270" s="10"/>
      <c r="AW270" s="10"/>
      <c r="AX270" s="10">
        <f>IF('Batt IN'!$E$11="Non-Taxable",Q270,0)</f>
        <v>11168.08</v>
      </c>
      <c r="AY270" s="10">
        <f>IF('Batt IN'!$E$11="Non-Taxable",'Batt IN'!$E$28/1000*'Batt IN'!$G$13*('Batt IN'!$E$13/12)*'Batt IN'!$E$12,0)</f>
        <v>244.42220833333334</v>
      </c>
      <c r="AZ270" s="10">
        <f>IF('Batt IN'!$E$11="Non-Taxable",$S270*'Batt IN'!$G$15*'Batt IN'!$E$28*'Batt IN'!$E$14/1000,0)</f>
        <v>0</v>
      </c>
      <c r="BA270" s="10">
        <f>IF('Batt IN'!$E$11="Non-Taxable",'Batt IN'!$E$21*'Batt IN'!$G$21/12,0)</f>
        <v>437.5</v>
      </c>
      <c r="BB270" s="10">
        <f>IF('Batt IN'!$E$11="Non-Taxable",'Batt IN'!$E$22*'Batt IN'!$G$22/12,0)</f>
        <v>1145.8333333333335</v>
      </c>
      <c r="BC270" s="10">
        <f>IF('Batt IN'!$E$11="Taxable",Q270,0)</f>
        <v>0</v>
      </c>
      <c r="BD270" s="10">
        <f>IF('Batt IN'!$E$11="Taxable",'Batt IN'!$E$28/1000*'Batt IN'!$G$13*('Batt IN'!$E$13/12)*'Batt IN'!$E$12,0)</f>
        <v>0</v>
      </c>
      <c r="BE270" s="10">
        <f>IF('Batt IN'!$E$11="Taxable",$S270*'Batt IN'!$G$15*'Batt IN'!$E$28*'Batt IN'!$E$14/1000,0)</f>
        <v>0</v>
      </c>
      <c r="BF270" s="10">
        <f>IF('Batt IN'!$E$11="Taxable",'Batt IN'!$E$21*'Batt IN'!$G$21/12,0)</f>
        <v>0</v>
      </c>
      <c r="BG270" s="10">
        <f>IF('Batt IN'!$E$11="Taxable",'Batt IN'!$E$22*'Batt IN'!$G$22/12,0)</f>
        <v>0</v>
      </c>
      <c r="BK270" s="10">
        <f>IF('Batt IN'!$N$18="Yes",-BattLoan!H298,-BattLoan!L298)</f>
        <v>0</v>
      </c>
      <c r="BL270" s="10">
        <f>IF('Batt IN'!$N$18="Yes",-BattLoan!F298,0)</f>
        <v>0</v>
      </c>
      <c r="BM270" s="10">
        <f>IF(AND('Batt IN'!$D$44="YES",$C270&lt;='Batt IN'!$E$44*12),0,-'Batt IN'!$E$28*'Batt IN'!$E$42/12)</f>
        <v>-83.333333333333329</v>
      </c>
      <c r="BN270" s="10">
        <f>IF(AND('Batt IN'!$D$46="YES",$C270&lt;='Batt IN'!$E$46*12),0,-'Batt IN'!$E$28*'Batt IN'!$E$45/12)</f>
        <v>-166.66666666666666</v>
      </c>
      <c r="BO270" s="2">
        <f>IF(AND('Batt IN'!$D$41="YES",BattCalcs!C270=ROUNDUP('Batt IN'!$H$41*12,)),-'Batt IN'!$E$41*'Batt IN'!$E$28,0)</f>
        <v>0</v>
      </c>
      <c r="BP270" s="2">
        <f>IF(AND('Batt IN'!$D$53="Yes",$AL$1&gt;=1),0,IF($C270='Batt IN'!$H$54*12,-'Batt IN'!$F$54,0))</f>
        <v>0</v>
      </c>
      <c r="BQ270" s="2">
        <f>IF(AND('Batt IN'!$D$53="Yes",$AL$1&gt;=2),0,IF($C270='Batt IN'!$H$55*12,-'Batt IN'!$F$55,0))</f>
        <v>0</v>
      </c>
      <c r="BR270" s="2">
        <f>IF(AND('Batt IN'!$D$53="Yes",$AL$1&gt;=3),0,IF($C270='Batt IN'!$H$56*12,-'Batt IN'!$F$56,0))</f>
        <v>0</v>
      </c>
      <c r="BS270" s="2">
        <f>IF(AND('Batt IN'!$D$53="Yes",$AL$1&gt;=4),0,IF($C270='Batt IN'!$H$57*12,-'Batt IN'!$F$57,0))</f>
        <v>0</v>
      </c>
      <c r="BT270" s="2">
        <f>IF(AND('Batt IN'!$D$53="Yes",$AL$1&gt;=5),0,IF($C270='Batt IN'!$H$58*12,-'Batt IN'!$F$58,0))</f>
        <v>0</v>
      </c>
      <c r="BU270" s="2">
        <f>-AH270*PVCalcs!F270</f>
        <v>-378.83856747753731</v>
      </c>
      <c r="BV270" s="2">
        <f>-'Batt IN'!$E$47</f>
        <v>-150</v>
      </c>
      <c r="BW270" s="2">
        <f>-'Batt IN'!$E$49</f>
        <v>-2250</v>
      </c>
      <c r="BX270" s="2">
        <f>IF('Batt IN'!$H$50="No",-(BC270*'Batt IN'!$E$50),-(BC270+BE270)*'Batt IN'!$E$50)</f>
        <v>0</v>
      </c>
      <c r="BY270" s="2">
        <f>IF(C270='Batt IN'!$H$43*12,-'Batt IN'!$E$43,0)</f>
        <v>0</v>
      </c>
      <c r="BZ270" s="38"/>
      <c r="CA270" s="10">
        <f t="shared" si="68"/>
        <v>13422.323408333334</v>
      </c>
      <c r="CB270" s="2">
        <f t="shared" si="72"/>
        <v>-3028.8385674775373</v>
      </c>
      <c r="CC270" s="45">
        <f t="shared" si="73"/>
        <v>10393.484840855795</v>
      </c>
      <c r="CD270" s="43"/>
      <c r="CE270" s="2">
        <f t="shared" si="69"/>
        <v>0</v>
      </c>
      <c r="CF270" s="2">
        <f t="shared" si="74"/>
        <v>-3028.8385674775373</v>
      </c>
      <c r="CG270" s="2"/>
      <c r="CH270" s="2">
        <f t="shared" si="75"/>
        <v>-3028.8385674775373</v>
      </c>
      <c r="CI270" s="45">
        <f>-CH270*'Batt IN'!$E$7</f>
        <v>636.05609917028278</v>
      </c>
      <c r="CJ270" s="48"/>
      <c r="CK270" s="45">
        <f>IF('Batt IN'!$F$4="PV Only",0,IF(C270&gt;'Batt IN'!$H$43*12,0,CC270+CI270))</f>
        <v>0</v>
      </c>
      <c r="CM270" s="10">
        <f t="shared" si="76"/>
        <v>0</v>
      </c>
      <c r="CN270" s="2">
        <f>CK270/(1+('Batt IN'!$G$8))^(C270)</f>
        <v>0</v>
      </c>
      <c r="CO270" s="2" t="e">
        <f>IF(C270&lt;='Batt IN'!$O$30*12,CN270+CO269,NA())</f>
        <v>#N/A</v>
      </c>
      <c r="CQ270" s="2">
        <f>CK270/((1+('Batt IN'!$E$8/12))^BattCalcs!C270)</f>
        <v>0</v>
      </c>
      <c r="CS270" s="10">
        <f t="shared" si="77"/>
        <v>-3028.8385674775373</v>
      </c>
      <c r="CT270" s="10">
        <f t="shared" si="78"/>
        <v>0</v>
      </c>
      <c r="CU270" s="10">
        <f t="shared" si="79"/>
        <v>-3028.8385674775373</v>
      </c>
      <c r="CV270" s="10">
        <f t="shared" si="80"/>
        <v>-3028.8385674775373</v>
      </c>
      <c r="CW270" s="2">
        <f t="shared" si="81"/>
        <v>0</v>
      </c>
      <c r="CX270" s="2">
        <f>-(SUM(CV270:CW270)*'PV IN'!$E$8)</f>
        <v>636.05609917028278</v>
      </c>
      <c r="CY270" s="2">
        <f t="shared" si="82"/>
        <v>-2392.7824683072545</v>
      </c>
      <c r="CZ270" s="2">
        <f>IF(C270&lt;='Batt IN'!$H$43*12,CY270/(1+('PV IN'!$G$9))^(C270),0)</f>
        <v>-811.34784805523157</v>
      </c>
      <c r="DA270" s="33">
        <f>IF(C270&lt;='Batt IN'!$H$43*12,AE270,0)</f>
        <v>30366.783333333333</v>
      </c>
    </row>
    <row r="271" spans="1:105" x14ac:dyDescent="0.25">
      <c r="A271">
        <f>IF(C271&lt;='Batt IN'!$H$43*12,C271,"")</f>
        <v>267</v>
      </c>
      <c r="C271">
        <v>267</v>
      </c>
      <c r="D271" s="21">
        <v>730</v>
      </c>
      <c r="E271" s="1">
        <f>1-'Batt IN'!$E$31</f>
        <v>2.0000000000000018E-2</v>
      </c>
      <c r="F271" s="12">
        <f>('Batt IN'!$E$33*365)/8760</f>
        <v>0</v>
      </c>
      <c r="G271" s="22">
        <f>'Batt IN'!$E$32/8760</f>
        <v>5.7077625570776253E-3</v>
      </c>
      <c r="H271" s="22">
        <f>'Batt IN'!$E$13/8760</f>
        <v>5.5936073059360729E-3</v>
      </c>
      <c r="I271" s="23">
        <f>IF(C271&lt;='Batt IN'!$G$14*12,'Batt IN'!$E$15/8760*'Batt IN'!$G$15,0)</f>
        <v>0</v>
      </c>
      <c r="J271" s="12">
        <f>Z271/'Batt IN'!$E$27/730</f>
        <v>2.4999999999999996E-3</v>
      </c>
      <c r="K271" s="23">
        <f>AA271/'Batt IN'!$E$27/730</f>
        <v>1.6027397260273972E-3</v>
      </c>
      <c r="L271" s="23">
        <f>AB271/'Batt IN'!$E$27/730</f>
        <v>2.0547945205479451E-4</v>
      </c>
      <c r="M271" s="23">
        <f>AC271/'Batt IN'!$E$27/730</f>
        <v>4.7945205479452057E-3</v>
      </c>
      <c r="N271" s="23">
        <f>AD271/'Batt IN'!$E$27/730</f>
        <v>3.4246575342465752E-3</v>
      </c>
      <c r="O271" s="12">
        <f t="shared" si="70"/>
        <v>4.3828767123287697E-2</v>
      </c>
      <c r="P271" s="21">
        <f t="shared" si="71"/>
        <v>698.005</v>
      </c>
      <c r="Q271" s="2">
        <f>IF('Batt IN'!$E$27*'Batt IN'!$E$24&lt;='Batt IN'!$E$28,(('Batt IN'!$E$23*'Batt IN'!$E$27*'Batt IN'!$E$24)/1000)*P271,(('Batt IN'!$E$23*'Batt IN'!$E$28*'Batt IN'!$E$24)/1000)*P271)</f>
        <v>11168.08</v>
      </c>
      <c r="R271" s="2"/>
      <c r="S271" s="77">
        <f>IF(C271&lt;='Batt IN'!$G$14*12,'Batt IN'!$E$15/12,0)</f>
        <v>0</v>
      </c>
      <c r="T271" s="77"/>
      <c r="U271" s="80">
        <f>'Batt IN'!$E$28*('Batt IN'!$G$24/24)*730*(1-O271)</f>
        <v>81433.916666666657</v>
      </c>
      <c r="V271" s="78">
        <f>U271*'Batt IN'!$F$30</f>
        <v>16286.783333333333</v>
      </c>
      <c r="W271" s="78">
        <f>'Batt IN'!$E$28*'Batt IN'!$G$32*('Batt IN'!$E$32/12)*(1+'Batt IN'!$F$30)</f>
        <v>1750.0000000000002</v>
      </c>
      <c r="X271" s="78">
        <f>'Batt IN'!$E$28*'Batt IN'!$G$13*('Batt IN'!$E$13/12)*(1+'Batt IN'!$F$30)</f>
        <v>3184.9999999999995</v>
      </c>
      <c r="Y271" s="33">
        <f>S271*'Batt IN'!$G$15*'Batt IN'!$E$28*(1+'Batt IN'!$F$30)</f>
        <v>0</v>
      </c>
      <c r="Z271" s="33">
        <f>'Batt IN'!$G$16*365/12*(1+'Batt IN'!$F$30)</f>
        <v>1824.9999999999998</v>
      </c>
      <c r="AA271" s="33">
        <f>'Batt IN'!$G$17*'Batt IN'!$E$18*'Batt IN'!$G$18/12*(1+'Batt IN'!$F$30)</f>
        <v>1170</v>
      </c>
      <c r="AB271" s="33">
        <f>'Batt IN'!$G$19*'Batt IN'!$E$20*'Batt IN'!$G$20/12*(1+'Batt IN'!$F$30)</f>
        <v>150</v>
      </c>
      <c r="AC271" s="33">
        <f>'Batt IN'!$G$21*(1+'Batt IN'!$F$30)/12</f>
        <v>3500</v>
      </c>
      <c r="AD271" s="33">
        <f>'Batt IN'!$G$22*(1+'Batt IN'!$F$30)/12</f>
        <v>2500</v>
      </c>
      <c r="AE271" s="33">
        <f t="shared" si="83"/>
        <v>30366.783333333333</v>
      </c>
      <c r="AF271" s="33">
        <f>IF('PV IN'!$F$4="Battery Only",0,AE271*'Batt IN'!$E$29)</f>
        <v>25811.765833333331</v>
      </c>
      <c r="AG271" s="33">
        <f>PVCalcs!L271</f>
        <v>25811.765833333331</v>
      </c>
      <c r="AH271" s="33">
        <f t="shared" si="84"/>
        <v>4555.0175000000017</v>
      </c>
      <c r="AI271" s="33"/>
      <c r="AJ271" s="2">
        <f>IF(AND('Batt IN'!$D$53="Yes",$AL$1&gt;=1),IF($C271='Batt IN'!$H$54*12,-'Batt IN'!$F$54,0),0)</f>
        <v>0</v>
      </c>
      <c r="AK271" s="2">
        <f>IF(AND('Batt IN'!$D$53="Yes",$AL$1&gt;=2),IF($C271='Batt IN'!$H$55*12,-'Batt IN'!$F$55,0),0)</f>
        <v>0</v>
      </c>
      <c r="AL271" s="2">
        <f>IF(AND('Batt IN'!$D$53="Yes",$AL$1&gt;=3),IF($C271='Batt IN'!$H$56*12,-'Batt IN'!$F$56,0),0)</f>
        <v>0</v>
      </c>
      <c r="AM271" s="2">
        <f>IF(AND('Batt IN'!$D$53="Yes",$AL$1&gt;=4),IF($C271='Batt IN'!$H$57*12,-'Batt IN'!$F$57,0),0)</f>
        <v>0</v>
      </c>
      <c r="AN271" s="2">
        <f>IF(AND('Batt IN'!$D$53="Yes",$AL$1&gt;=5),IF($C271='Batt IN'!$H$58*12,-'Batt IN'!$F$58,0),0)</f>
        <v>0</v>
      </c>
      <c r="AO271" s="10">
        <f>IF(AND('Batt IN'!$D$44="YES",$C271&lt;='Batt IN'!$E$44*12),-'Batt IN'!$E$28*'Batt IN'!$E$42/12,0)</f>
        <v>0</v>
      </c>
      <c r="AP271" s="10">
        <f>IF(AND('Batt IN'!$D$46="YES",$C271&lt;='Batt IN'!$E$46*12),-'Batt IN'!$E$28*'Batt IN'!$E$45/12,0)</f>
        <v>0</v>
      </c>
      <c r="AR271" s="10">
        <f>BattLoan!M298</f>
        <v>0</v>
      </c>
      <c r="AS271" s="10">
        <f>'Batt IN'!$G$16*365/12*'Batt IN'!$E$16</f>
        <v>76.041666666666671</v>
      </c>
      <c r="AT271" s="10">
        <f>IF(AND('Batt IN'!$E$18&gt;0,'Batt IN'!$G$18&gt;0),'Batt IN'!$E$17*'Batt IN'!$G$17,0)</f>
        <v>119.44619999999999</v>
      </c>
      <c r="AU271" s="10">
        <f>IF(AND('Batt IN'!$E$20&gt;0,'Batt IN'!$G$20&gt;0),'Batt IN'!$E$19*'Batt IN'!$G$19,0)</f>
        <v>231</v>
      </c>
      <c r="AV271" s="10"/>
      <c r="AW271" s="10"/>
      <c r="AX271" s="10">
        <f>IF('Batt IN'!$E$11="Non-Taxable",Q271,0)</f>
        <v>11168.08</v>
      </c>
      <c r="AY271" s="10">
        <f>IF('Batt IN'!$E$11="Non-Taxable",'Batt IN'!$E$28/1000*'Batt IN'!$G$13*('Batt IN'!$E$13/12)*'Batt IN'!$E$12,0)</f>
        <v>244.42220833333334</v>
      </c>
      <c r="AZ271" s="10">
        <f>IF('Batt IN'!$E$11="Non-Taxable",$S271*'Batt IN'!$G$15*'Batt IN'!$E$28*'Batt IN'!$E$14/1000,0)</f>
        <v>0</v>
      </c>
      <c r="BA271" s="10">
        <f>IF('Batt IN'!$E$11="Non-Taxable",'Batt IN'!$E$21*'Batt IN'!$G$21/12,0)</f>
        <v>437.5</v>
      </c>
      <c r="BB271" s="10">
        <f>IF('Batt IN'!$E$11="Non-Taxable",'Batt IN'!$E$22*'Batt IN'!$G$22/12,0)</f>
        <v>1145.8333333333335</v>
      </c>
      <c r="BC271" s="10">
        <f>IF('Batt IN'!$E$11="Taxable",Q271,0)</f>
        <v>0</v>
      </c>
      <c r="BD271" s="10">
        <f>IF('Batt IN'!$E$11="Taxable",'Batt IN'!$E$28/1000*'Batt IN'!$G$13*('Batt IN'!$E$13/12)*'Batt IN'!$E$12,0)</f>
        <v>0</v>
      </c>
      <c r="BE271" s="10">
        <f>IF('Batt IN'!$E$11="Taxable",$S271*'Batt IN'!$G$15*'Batt IN'!$E$28*'Batt IN'!$E$14/1000,0)</f>
        <v>0</v>
      </c>
      <c r="BF271" s="10">
        <f>IF('Batt IN'!$E$11="Taxable",'Batt IN'!$E$21*'Batt IN'!$G$21/12,0)</f>
        <v>0</v>
      </c>
      <c r="BG271" s="10">
        <f>IF('Batt IN'!$E$11="Taxable",'Batt IN'!$E$22*'Batt IN'!$G$22/12,0)</f>
        <v>0</v>
      </c>
      <c r="BK271" s="10">
        <f>IF('Batt IN'!$N$18="Yes",-BattLoan!H299,-BattLoan!L299)</f>
        <v>0</v>
      </c>
      <c r="BL271" s="10">
        <f>IF('Batt IN'!$N$18="Yes",-BattLoan!F299,0)</f>
        <v>0</v>
      </c>
      <c r="BM271" s="10">
        <f>IF(AND('Batt IN'!$D$44="YES",$C271&lt;='Batt IN'!$E$44*12),0,-'Batt IN'!$E$28*'Batt IN'!$E$42/12)</f>
        <v>-83.333333333333329</v>
      </c>
      <c r="BN271" s="10">
        <f>IF(AND('Batt IN'!$D$46="YES",$C271&lt;='Batt IN'!$E$46*12),0,-'Batt IN'!$E$28*'Batt IN'!$E$45/12)</f>
        <v>-166.66666666666666</v>
      </c>
      <c r="BO271" s="2">
        <f>IF(AND('Batt IN'!$D$41="YES",BattCalcs!C271=ROUNDUP('Batt IN'!$H$41*12,)),-'Batt IN'!$E$41*'Batt IN'!$E$28,0)</f>
        <v>0</v>
      </c>
      <c r="BP271" s="2">
        <f>IF(AND('Batt IN'!$D$53="Yes",$AL$1&gt;=1),0,IF($C271='Batt IN'!$H$54*12,-'Batt IN'!$F$54,0))</f>
        <v>0</v>
      </c>
      <c r="BQ271" s="2">
        <f>IF(AND('Batt IN'!$D$53="Yes",$AL$1&gt;=2),0,IF($C271='Batt IN'!$H$55*12,-'Batt IN'!$F$55,0))</f>
        <v>0</v>
      </c>
      <c r="BR271" s="2">
        <f>IF(AND('Batt IN'!$D$53="Yes",$AL$1&gt;=3),0,IF($C271='Batt IN'!$H$56*12,-'Batt IN'!$F$56,0))</f>
        <v>0</v>
      </c>
      <c r="BS271" s="2">
        <f>IF(AND('Batt IN'!$D$53="Yes",$AL$1&gt;=4),0,IF($C271='Batt IN'!$H$57*12,-'Batt IN'!$F$57,0))</f>
        <v>0</v>
      </c>
      <c r="BT271" s="2">
        <f>IF(AND('Batt IN'!$D$53="Yes",$AL$1&gt;=5),0,IF($C271='Batt IN'!$H$58*12,-'Batt IN'!$F$58,0))</f>
        <v>0</v>
      </c>
      <c r="BU271" s="2">
        <f>-AH271*PVCalcs!F271</f>
        <v>-378.83856747753731</v>
      </c>
      <c r="BV271" s="2">
        <f>-'Batt IN'!$E$47</f>
        <v>-150</v>
      </c>
      <c r="BW271" s="2">
        <f>-'Batt IN'!$E$49</f>
        <v>-2250</v>
      </c>
      <c r="BX271" s="2">
        <f>IF('Batt IN'!$H$50="No",-(BC271*'Batt IN'!$E$50),-(BC271+BE271)*'Batt IN'!$E$50)</f>
        <v>0</v>
      </c>
      <c r="BY271" s="2">
        <f>IF(C271='Batt IN'!$H$43*12,-'Batt IN'!$E$43,0)</f>
        <v>0</v>
      </c>
      <c r="BZ271" s="38"/>
      <c r="CA271" s="10">
        <f t="shared" si="68"/>
        <v>13422.323408333334</v>
      </c>
      <c r="CB271" s="2">
        <f t="shared" si="72"/>
        <v>-3028.8385674775373</v>
      </c>
      <c r="CC271" s="45">
        <f t="shared" si="73"/>
        <v>10393.484840855795</v>
      </c>
      <c r="CD271" s="43"/>
      <c r="CE271" s="2">
        <f t="shared" si="69"/>
        <v>0</v>
      </c>
      <c r="CF271" s="2">
        <f t="shared" si="74"/>
        <v>-3028.8385674775373</v>
      </c>
      <c r="CG271" s="2"/>
      <c r="CH271" s="2">
        <f t="shared" si="75"/>
        <v>-3028.8385674775373</v>
      </c>
      <c r="CI271" s="45">
        <f>-CH271*'Batt IN'!$E$7</f>
        <v>636.05609917028278</v>
      </c>
      <c r="CJ271" s="48"/>
      <c r="CK271" s="45">
        <f>IF('Batt IN'!$F$4="PV Only",0,IF(C271&gt;'Batt IN'!$H$43*12,0,CC271+CI271))</f>
        <v>0</v>
      </c>
      <c r="CM271" s="10">
        <f t="shared" si="76"/>
        <v>0</v>
      </c>
      <c r="CN271" s="2">
        <f>CK271/(1+('Batt IN'!$G$8))^(C271)</f>
        <v>0</v>
      </c>
      <c r="CO271" s="2" t="e">
        <f>IF(C271&lt;='Batt IN'!$O$30*12,CN271+CO270,NA())</f>
        <v>#N/A</v>
      </c>
      <c r="CQ271" s="2">
        <f>CK271/((1+('Batt IN'!$E$8/12))^BattCalcs!C271)</f>
        <v>0</v>
      </c>
      <c r="CS271" s="10">
        <f t="shared" si="77"/>
        <v>-3028.8385674775373</v>
      </c>
      <c r="CT271" s="10">
        <f t="shared" si="78"/>
        <v>0</v>
      </c>
      <c r="CU271" s="10">
        <f t="shared" si="79"/>
        <v>-3028.8385674775373</v>
      </c>
      <c r="CV271" s="10">
        <f t="shared" si="80"/>
        <v>-3028.8385674775373</v>
      </c>
      <c r="CW271" s="2">
        <f t="shared" si="81"/>
        <v>0</v>
      </c>
      <c r="CX271" s="2">
        <f>-(SUM(CV271:CW271)*'PV IN'!$E$8)</f>
        <v>636.05609917028278</v>
      </c>
      <c r="CY271" s="2">
        <f t="shared" si="82"/>
        <v>-2392.7824683072545</v>
      </c>
      <c r="CZ271" s="2">
        <f>IF(C271&lt;='Batt IN'!$H$43*12,CY271/(1+('PV IN'!$G$9))^(C271),0)</f>
        <v>-808.05572899123513</v>
      </c>
      <c r="DA271" s="33">
        <f>IF(C271&lt;='Batt IN'!$H$43*12,AE271,0)</f>
        <v>30366.783333333333</v>
      </c>
    </row>
    <row r="272" spans="1:105" x14ac:dyDescent="0.25">
      <c r="A272">
        <f>IF(C272&lt;='Batt IN'!$H$43*12,C272,"")</f>
        <v>268</v>
      </c>
      <c r="C272">
        <v>268</v>
      </c>
      <c r="D272" s="21">
        <v>730</v>
      </c>
      <c r="E272" s="1">
        <f>1-'Batt IN'!$E$31</f>
        <v>2.0000000000000018E-2</v>
      </c>
      <c r="F272" s="12">
        <f>('Batt IN'!$E$33*365)/8760</f>
        <v>0</v>
      </c>
      <c r="G272" s="22">
        <f>'Batt IN'!$E$32/8760</f>
        <v>5.7077625570776253E-3</v>
      </c>
      <c r="H272" s="22">
        <f>'Batt IN'!$E$13/8760</f>
        <v>5.5936073059360729E-3</v>
      </c>
      <c r="I272" s="23">
        <f>IF(C272&lt;='Batt IN'!$G$14*12,'Batt IN'!$E$15/8760*'Batt IN'!$G$15,0)</f>
        <v>0</v>
      </c>
      <c r="J272" s="12">
        <f>Z272/'Batt IN'!$E$27/730</f>
        <v>2.4999999999999996E-3</v>
      </c>
      <c r="K272" s="23">
        <f>AA272/'Batt IN'!$E$27/730</f>
        <v>1.6027397260273972E-3</v>
      </c>
      <c r="L272" s="23">
        <f>AB272/'Batt IN'!$E$27/730</f>
        <v>2.0547945205479451E-4</v>
      </c>
      <c r="M272" s="23">
        <f>AC272/'Batt IN'!$E$27/730</f>
        <v>4.7945205479452057E-3</v>
      </c>
      <c r="N272" s="23">
        <f>AD272/'Batt IN'!$E$27/730</f>
        <v>3.4246575342465752E-3</v>
      </c>
      <c r="O272" s="12">
        <f t="shared" si="70"/>
        <v>4.3828767123287697E-2</v>
      </c>
      <c r="P272" s="21">
        <f t="shared" si="71"/>
        <v>698.005</v>
      </c>
      <c r="Q272" s="2">
        <f>IF('Batt IN'!$E$27*'Batt IN'!$E$24&lt;='Batt IN'!$E$28,(('Batt IN'!$E$23*'Batt IN'!$E$27*'Batt IN'!$E$24)/1000)*P272,(('Batt IN'!$E$23*'Batt IN'!$E$28*'Batt IN'!$E$24)/1000)*P272)</f>
        <v>11168.08</v>
      </c>
      <c r="R272" s="2"/>
      <c r="S272" s="77">
        <f>IF(C272&lt;='Batt IN'!$G$14*12,'Batt IN'!$E$15/12,0)</f>
        <v>0</v>
      </c>
      <c r="T272" s="77"/>
      <c r="U272" s="80">
        <f>'Batt IN'!$E$28*('Batt IN'!$G$24/24)*730*(1-O272)</f>
        <v>81433.916666666657</v>
      </c>
      <c r="V272" s="78">
        <f>U272*'Batt IN'!$F$30</f>
        <v>16286.783333333333</v>
      </c>
      <c r="W272" s="78">
        <f>'Batt IN'!$E$28*'Batt IN'!$G$32*('Batt IN'!$E$32/12)*(1+'Batt IN'!$F$30)</f>
        <v>1750.0000000000002</v>
      </c>
      <c r="X272" s="78">
        <f>'Batt IN'!$E$28*'Batt IN'!$G$13*('Batt IN'!$E$13/12)*(1+'Batt IN'!$F$30)</f>
        <v>3184.9999999999995</v>
      </c>
      <c r="Y272" s="33">
        <f>S272*'Batt IN'!$G$15*'Batt IN'!$E$28*(1+'Batt IN'!$F$30)</f>
        <v>0</v>
      </c>
      <c r="Z272" s="33">
        <f>'Batt IN'!$G$16*365/12*(1+'Batt IN'!$F$30)</f>
        <v>1824.9999999999998</v>
      </c>
      <c r="AA272" s="33">
        <f>'Batt IN'!$G$17*'Batt IN'!$E$18*'Batt IN'!$G$18/12*(1+'Batt IN'!$F$30)</f>
        <v>1170</v>
      </c>
      <c r="AB272" s="33">
        <f>'Batt IN'!$G$19*'Batt IN'!$E$20*'Batt IN'!$G$20/12*(1+'Batt IN'!$F$30)</f>
        <v>150</v>
      </c>
      <c r="AC272" s="33">
        <f>'Batt IN'!$G$21*(1+'Batt IN'!$F$30)/12</f>
        <v>3500</v>
      </c>
      <c r="AD272" s="33">
        <f>'Batt IN'!$G$22*(1+'Batt IN'!$F$30)/12</f>
        <v>2500</v>
      </c>
      <c r="AE272" s="33">
        <f t="shared" si="83"/>
        <v>30366.783333333333</v>
      </c>
      <c r="AF272" s="33">
        <f>IF('PV IN'!$F$4="Battery Only",0,AE272*'Batt IN'!$E$29)</f>
        <v>25811.765833333331</v>
      </c>
      <c r="AG272" s="33">
        <f>PVCalcs!L272</f>
        <v>25811.765833333331</v>
      </c>
      <c r="AH272" s="33">
        <f t="shared" si="84"/>
        <v>4555.0175000000017</v>
      </c>
      <c r="AI272" s="33"/>
      <c r="AJ272" s="2">
        <f>IF(AND('Batt IN'!$D$53="Yes",$AL$1&gt;=1),IF($C272='Batt IN'!$H$54*12,-'Batt IN'!$F$54,0),0)</f>
        <v>0</v>
      </c>
      <c r="AK272" s="2">
        <f>IF(AND('Batt IN'!$D$53="Yes",$AL$1&gt;=2),IF($C272='Batt IN'!$H$55*12,-'Batt IN'!$F$55,0),0)</f>
        <v>0</v>
      </c>
      <c r="AL272" s="2">
        <f>IF(AND('Batt IN'!$D$53="Yes",$AL$1&gt;=3),IF($C272='Batt IN'!$H$56*12,-'Batt IN'!$F$56,0),0)</f>
        <v>0</v>
      </c>
      <c r="AM272" s="2">
        <f>IF(AND('Batt IN'!$D$53="Yes",$AL$1&gt;=4),IF($C272='Batt IN'!$H$57*12,-'Batt IN'!$F$57,0),0)</f>
        <v>0</v>
      </c>
      <c r="AN272" s="2">
        <f>IF(AND('Batt IN'!$D$53="Yes",$AL$1&gt;=5),IF($C272='Batt IN'!$H$58*12,-'Batt IN'!$F$58,0),0)</f>
        <v>0</v>
      </c>
      <c r="AO272" s="10">
        <f>IF(AND('Batt IN'!$D$44="YES",$C272&lt;='Batt IN'!$E$44*12),-'Batt IN'!$E$28*'Batt IN'!$E$42/12,0)</f>
        <v>0</v>
      </c>
      <c r="AP272" s="10">
        <f>IF(AND('Batt IN'!$D$46="YES",$C272&lt;='Batt IN'!$E$46*12),-'Batt IN'!$E$28*'Batt IN'!$E$45/12,0)</f>
        <v>0</v>
      </c>
      <c r="AR272" s="10">
        <f>BattLoan!M299</f>
        <v>0</v>
      </c>
      <c r="AS272" s="10">
        <f>'Batt IN'!$G$16*365/12*'Batt IN'!$E$16</f>
        <v>76.041666666666671</v>
      </c>
      <c r="AT272" s="10">
        <f>IF(AND('Batt IN'!$E$18&gt;0,'Batt IN'!$G$18&gt;0),'Batt IN'!$E$17*'Batt IN'!$G$17,0)</f>
        <v>119.44619999999999</v>
      </c>
      <c r="AU272" s="10">
        <f>IF(AND('Batt IN'!$E$20&gt;0,'Batt IN'!$G$20&gt;0),'Batt IN'!$E$19*'Batt IN'!$G$19,0)</f>
        <v>231</v>
      </c>
      <c r="AV272" s="10"/>
      <c r="AW272" s="10"/>
      <c r="AX272" s="10">
        <f>IF('Batt IN'!$E$11="Non-Taxable",Q272,0)</f>
        <v>11168.08</v>
      </c>
      <c r="AY272" s="10">
        <f>IF('Batt IN'!$E$11="Non-Taxable",'Batt IN'!$E$28/1000*'Batt IN'!$G$13*('Batt IN'!$E$13/12)*'Batt IN'!$E$12,0)</f>
        <v>244.42220833333334</v>
      </c>
      <c r="AZ272" s="10">
        <f>IF('Batt IN'!$E$11="Non-Taxable",$S272*'Batt IN'!$G$15*'Batt IN'!$E$28*'Batt IN'!$E$14/1000,0)</f>
        <v>0</v>
      </c>
      <c r="BA272" s="10">
        <f>IF('Batt IN'!$E$11="Non-Taxable",'Batt IN'!$E$21*'Batt IN'!$G$21/12,0)</f>
        <v>437.5</v>
      </c>
      <c r="BB272" s="10">
        <f>IF('Batt IN'!$E$11="Non-Taxable",'Batt IN'!$E$22*'Batt IN'!$G$22/12,0)</f>
        <v>1145.8333333333335</v>
      </c>
      <c r="BC272" s="10">
        <f>IF('Batt IN'!$E$11="Taxable",Q272,0)</f>
        <v>0</v>
      </c>
      <c r="BD272" s="10">
        <f>IF('Batt IN'!$E$11="Taxable",'Batt IN'!$E$28/1000*'Batt IN'!$G$13*('Batt IN'!$E$13/12)*'Batt IN'!$E$12,0)</f>
        <v>0</v>
      </c>
      <c r="BE272" s="10">
        <f>IF('Batt IN'!$E$11="Taxable",$S272*'Batt IN'!$G$15*'Batt IN'!$E$28*'Batt IN'!$E$14/1000,0)</f>
        <v>0</v>
      </c>
      <c r="BF272" s="10">
        <f>IF('Batt IN'!$E$11="Taxable",'Batt IN'!$E$21*'Batt IN'!$G$21/12,0)</f>
        <v>0</v>
      </c>
      <c r="BG272" s="10">
        <f>IF('Batt IN'!$E$11="Taxable",'Batt IN'!$E$22*'Batt IN'!$G$22/12,0)</f>
        <v>0</v>
      </c>
      <c r="BK272" s="10">
        <f>IF('Batt IN'!$N$18="Yes",-BattLoan!H300,-BattLoan!L300)</f>
        <v>0</v>
      </c>
      <c r="BL272" s="10">
        <f>IF('Batt IN'!$N$18="Yes",-BattLoan!F300,0)</f>
        <v>0</v>
      </c>
      <c r="BM272" s="10">
        <f>IF(AND('Batt IN'!$D$44="YES",$C272&lt;='Batt IN'!$E$44*12),0,-'Batt IN'!$E$28*'Batt IN'!$E$42/12)</f>
        <v>-83.333333333333329</v>
      </c>
      <c r="BN272" s="10">
        <f>IF(AND('Batt IN'!$D$46="YES",$C272&lt;='Batt IN'!$E$46*12),0,-'Batt IN'!$E$28*'Batt IN'!$E$45/12)</f>
        <v>-166.66666666666666</v>
      </c>
      <c r="BO272" s="2">
        <f>IF(AND('Batt IN'!$D$41="YES",BattCalcs!C272=ROUNDUP('Batt IN'!$H$41*12,)),-'Batt IN'!$E$41*'Batt IN'!$E$28,0)</f>
        <v>0</v>
      </c>
      <c r="BP272" s="2">
        <f>IF(AND('Batt IN'!$D$53="Yes",$AL$1&gt;=1),0,IF($C272='Batt IN'!$H$54*12,-'Batt IN'!$F$54,0))</f>
        <v>0</v>
      </c>
      <c r="BQ272" s="2">
        <f>IF(AND('Batt IN'!$D$53="Yes",$AL$1&gt;=2),0,IF($C272='Batt IN'!$H$55*12,-'Batt IN'!$F$55,0))</f>
        <v>0</v>
      </c>
      <c r="BR272" s="2">
        <f>IF(AND('Batt IN'!$D$53="Yes",$AL$1&gt;=3),0,IF($C272='Batt IN'!$H$56*12,-'Batt IN'!$F$56,0))</f>
        <v>0</v>
      </c>
      <c r="BS272" s="2">
        <f>IF(AND('Batt IN'!$D$53="Yes",$AL$1&gt;=4),0,IF($C272='Batt IN'!$H$57*12,-'Batt IN'!$F$57,0))</f>
        <v>0</v>
      </c>
      <c r="BT272" s="2">
        <f>IF(AND('Batt IN'!$D$53="Yes",$AL$1&gt;=5),0,IF($C272='Batt IN'!$H$58*12,-'Batt IN'!$F$58,0))</f>
        <v>0</v>
      </c>
      <c r="BU272" s="2">
        <f>-AH272*PVCalcs!F272</f>
        <v>-378.83856747753731</v>
      </c>
      <c r="BV272" s="2">
        <f>-'Batt IN'!$E$47</f>
        <v>-150</v>
      </c>
      <c r="BW272" s="2">
        <f>-'Batt IN'!$E$49</f>
        <v>-2250</v>
      </c>
      <c r="BX272" s="2">
        <f>IF('Batt IN'!$H$50="No",-(BC272*'Batt IN'!$E$50),-(BC272+BE272)*'Batt IN'!$E$50)</f>
        <v>0</v>
      </c>
      <c r="BY272" s="2">
        <f>IF(C272='Batt IN'!$H$43*12,-'Batt IN'!$E$43,0)</f>
        <v>0</v>
      </c>
      <c r="BZ272" s="38"/>
      <c r="CA272" s="10">
        <f t="shared" si="68"/>
        <v>13422.323408333334</v>
      </c>
      <c r="CB272" s="2">
        <f t="shared" si="72"/>
        <v>-3028.8385674775373</v>
      </c>
      <c r="CC272" s="45">
        <f t="shared" si="73"/>
        <v>10393.484840855795</v>
      </c>
      <c r="CD272" s="43"/>
      <c r="CE272" s="2">
        <f t="shared" si="69"/>
        <v>0</v>
      </c>
      <c r="CF272" s="2">
        <f t="shared" si="74"/>
        <v>-3028.8385674775373</v>
      </c>
      <c r="CG272" s="2"/>
      <c r="CH272" s="2">
        <f t="shared" si="75"/>
        <v>-3028.8385674775373</v>
      </c>
      <c r="CI272" s="45">
        <f>-CH272*'Batt IN'!$E$7</f>
        <v>636.05609917028278</v>
      </c>
      <c r="CJ272" s="48"/>
      <c r="CK272" s="45">
        <f>IF('Batt IN'!$F$4="PV Only",0,IF(C272&gt;'Batt IN'!$H$43*12,0,CC272+CI272))</f>
        <v>0</v>
      </c>
      <c r="CM272" s="10">
        <f t="shared" si="76"/>
        <v>0</v>
      </c>
      <c r="CN272" s="2">
        <f>CK272/(1+('Batt IN'!$G$8))^(C272)</f>
        <v>0</v>
      </c>
      <c r="CO272" s="2" t="e">
        <f>IF(C272&lt;='Batt IN'!$O$30*12,CN272+CO271,NA())</f>
        <v>#N/A</v>
      </c>
      <c r="CQ272" s="2">
        <f>CK272/((1+('Batt IN'!$E$8/12))^BattCalcs!C272)</f>
        <v>0</v>
      </c>
      <c r="CS272" s="10">
        <f t="shared" si="77"/>
        <v>-3028.8385674775373</v>
      </c>
      <c r="CT272" s="10">
        <f t="shared" si="78"/>
        <v>0</v>
      </c>
      <c r="CU272" s="10">
        <f t="shared" si="79"/>
        <v>-3028.8385674775373</v>
      </c>
      <c r="CV272" s="10">
        <f t="shared" si="80"/>
        <v>-3028.8385674775373</v>
      </c>
      <c r="CW272" s="2">
        <f t="shared" si="81"/>
        <v>0</v>
      </c>
      <c r="CX272" s="2">
        <f>-(SUM(CV272:CW272)*'PV IN'!$E$8)</f>
        <v>636.05609917028278</v>
      </c>
      <c r="CY272" s="2">
        <f t="shared" si="82"/>
        <v>-2392.7824683072545</v>
      </c>
      <c r="CZ272" s="2">
        <f>IF(C272&lt;='Batt IN'!$H$43*12,CY272/(1+('PV IN'!$G$9))^(C272),0)</f>
        <v>-804.77696800535205</v>
      </c>
      <c r="DA272" s="33">
        <f>IF(C272&lt;='Batt IN'!$H$43*12,AE272,0)</f>
        <v>30366.783333333333</v>
      </c>
    </row>
    <row r="273" spans="1:105" x14ac:dyDescent="0.25">
      <c r="A273">
        <f>IF(C273&lt;='Batt IN'!$H$43*12,C273,"")</f>
        <v>269</v>
      </c>
      <c r="C273">
        <v>269</v>
      </c>
      <c r="D273" s="21">
        <v>730</v>
      </c>
      <c r="E273" s="1">
        <f>1-'Batt IN'!$E$31</f>
        <v>2.0000000000000018E-2</v>
      </c>
      <c r="F273" s="12">
        <f>('Batt IN'!$E$33*365)/8760</f>
        <v>0</v>
      </c>
      <c r="G273" s="22">
        <f>'Batt IN'!$E$32/8760</f>
        <v>5.7077625570776253E-3</v>
      </c>
      <c r="H273" s="22">
        <f>'Batt IN'!$E$13/8760</f>
        <v>5.5936073059360729E-3</v>
      </c>
      <c r="I273" s="23">
        <f>IF(C273&lt;='Batt IN'!$G$14*12,'Batt IN'!$E$15/8760*'Batt IN'!$G$15,0)</f>
        <v>0</v>
      </c>
      <c r="J273" s="12">
        <f>Z273/'Batt IN'!$E$27/730</f>
        <v>2.4999999999999996E-3</v>
      </c>
      <c r="K273" s="23">
        <f>AA273/'Batt IN'!$E$27/730</f>
        <v>1.6027397260273972E-3</v>
      </c>
      <c r="L273" s="23">
        <f>AB273/'Batt IN'!$E$27/730</f>
        <v>2.0547945205479451E-4</v>
      </c>
      <c r="M273" s="23">
        <f>AC273/'Batt IN'!$E$27/730</f>
        <v>4.7945205479452057E-3</v>
      </c>
      <c r="N273" s="23">
        <f>AD273/'Batt IN'!$E$27/730</f>
        <v>3.4246575342465752E-3</v>
      </c>
      <c r="O273" s="12">
        <f t="shared" si="70"/>
        <v>4.3828767123287697E-2</v>
      </c>
      <c r="P273" s="21">
        <f t="shared" si="71"/>
        <v>698.005</v>
      </c>
      <c r="Q273" s="2">
        <f>IF('Batt IN'!$E$27*'Batt IN'!$E$24&lt;='Batt IN'!$E$28,(('Batt IN'!$E$23*'Batt IN'!$E$27*'Batt IN'!$E$24)/1000)*P273,(('Batt IN'!$E$23*'Batt IN'!$E$28*'Batt IN'!$E$24)/1000)*P273)</f>
        <v>11168.08</v>
      </c>
      <c r="R273" s="2"/>
      <c r="S273" s="77">
        <f>IF(C273&lt;='Batt IN'!$G$14*12,'Batt IN'!$E$15/12,0)</f>
        <v>0</v>
      </c>
      <c r="T273" s="77"/>
      <c r="U273" s="80">
        <f>'Batt IN'!$E$28*('Batt IN'!$G$24/24)*730*(1-O273)</f>
        <v>81433.916666666657</v>
      </c>
      <c r="V273" s="78">
        <f>U273*'Batt IN'!$F$30</f>
        <v>16286.783333333333</v>
      </c>
      <c r="W273" s="78">
        <f>'Batt IN'!$E$28*'Batt IN'!$G$32*('Batt IN'!$E$32/12)*(1+'Batt IN'!$F$30)</f>
        <v>1750.0000000000002</v>
      </c>
      <c r="X273" s="78">
        <f>'Batt IN'!$E$28*'Batt IN'!$G$13*('Batt IN'!$E$13/12)*(1+'Batt IN'!$F$30)</f>
        <v>3184.9999999999995</v>
      </c>
      <c r="Y273" s="33">
        <f>S273*'Batt IN'!$G$15*'Batt IN'!$E$28*(1+'Batt IN'!$F$30)</f>
        <v>0</v>
      </c>
      <c r="Z273" s="33">
        <f>'Batt IN'!$G$16*365/12*(1+'Batt IN'!$F$30)</f>
        <v>1824.9999999999998</v>
      </c>
      <c r="AA273" s="33">
        <f>'Batt IN'!$G$17*'Batt IN'!$E$18*'Batt IN'!$G$18/12*(1+'Batt IN'!$F$30)</f>
        <v>1170</v>
      </c>
      <c r="AB273" s="33">
        <f>'Batt IN'!$G$19*'Batt IN'!$E$20*'Batt IN'!$G$20/12*(1+'Batt IN'!$F$30)</f>
        <v>150</v>
      </c>
      <c r="AC273" s="33">
        <f>'Batt IN'!$G$21*(1+'Batt IN'!$F$30)/12</f>
        <v>3500</v>
      </c>
      <c r="AD273" s="33">
        <f>'Batt IN'!$G$22*(1+'Batt IN'!$F$30)/12</f>
        <v>2500</v>
      </c>
      <c r="AE273" s="33">
        <f t="shared" si="83"/>
        <v>30366.783333333333</v>
      </c>
      <c r="AF273" s="33">
        <f>IF('PV IN'!$F$4="Battery Only",0,AE273*'Batt IN'!$E$29)</f>
        <v>25811.765833333331</v>
      </c>
      <c r="AG273" s="33">
        <f>PVCalcs!L273</f>
        <v>25811.765833333331</v>
      </c>
      <c r="AH273" s="33">
        <f t="shared" si="84"/>
        <v>4555.0175000000017</v>
      </c>
      <c r="AI273" s="33"/>
      <c r="AJ273" s="2">
        <f>IF(AND('Batt IN'!$D$53="Yes",$AL$1&gt;=1),IF($C273='Batt IN'!$H$54*12,-'Batt IN'!$F$54,0),0)</f>
        <v>0</v>
      </c>
      <c r="AK273" s="2">
        <f>IF(AND('Batt IN'!$D$53="Yes",$AL$1&gt;=2),IF($C273='Batt IN'!$H$55*12,-'Batt IN'!$F$55,0),0)</f>
        <v>0</v>
      </c>
      <c r="AL273" s="2">
        <f>IF(AND('Batt IN'!$D$53="Yes",$AL$1&gt;=3),IF($C273='Batt IN'!$H$56*12,-'Batt IN'!$F$56,0),0)</f>
        <v>0</v>
      </c>
      <c r="AM273" s="2">
        <f>IF(AND('Batt IN'!$D$53="Yes",$AL$1&gt;=4),IF($C273='Batt IN'!$H$57*12,-'Batt IN'!$F$57,0),0)</f>
        <v>0</v>
      </c>
      <c r="AN273" s="2">
        <f>IF(AND('Batt IN'!$D$53="Yes",$AL$1&gt;=5),IF($C273='Batt IN'!$H$58*12,-'Batt IN'!$F$58,0),0)</f>
        <v>0</v>
      </c>
      <c r="AO273" s="10">
        <f>IF(AND('Batt IN'!$D$44="YES",$C273&lt;='Batt IN'!$E$44*12),-'Batt IN'!$E$28*'Batt IN'!$E$42/12,0)</f>
        <v>0</v>
      </c>
      <c r="AP273" s="10">
        <f>IF(AND('Batt IN'!$D$46="YES",$C273&lt;='Batt IN'!$E$46*12),-'Batt IN'!$E$28*'Batt IN'!$E$45/12,0)</f>
        <v>0</v>
      </c>
      <c r="AR273" s="10">
        <f>BattLoan!M300</f>
        <v>0</v>
      </c>
      <c r="AS273" s="10">
        <f>'Batt IN'!$G$16*365/12*'Batt IN'!$E$16</f>
        <v>76.041666666666671</v>
      </c>
      <c r="AT273" s="10">
        <f>IF(AND('Batt IN'!$E$18&gt;0,'Batt IN'!$G$18&gt;0),'Batt IN'!$E$17*'Batt IN'!$G$17,0)</f>
        <v>119.44619999999999</v>
      </c>
      <c r="AU273" s="10">
        <f>IF(AND('Batt IN'!$E$20&gt;0,'Batt IN'!$G$20&gt;0),'Batt IN'!$E$19*'Batt IN'!$G$19,0)</f>
        <v>231</v>
      </c>
      <c r="AV273" s="10"/>
      <c r="AW273" s="10"/>
      <c r="AX273" s="10">
        <f>IF('Batt IN'!$E$11="Non-Taxable",Q273,0)</f>
        <v>11168.08</v>
      </c>
      <c r="AY273" s="10">
        <f>IF('Batt IN'!$E$11="Non-Taxable",'Batt IN'!$E$28/1000*'Batt IN'!$G$13*('Batt IN'!$E$13/12)*'Batt IN'!$E$12,0)</f>
        <v>244.42220833333334</v>
      </c>
      <c r="AZ273" s="10">
        <f>IF('Batt IN'!$E$11="Non-Taxable",$S273*'Batt IN'!$G$15*'Batt IN'!$E$28*'Batt IN'!$E$14/1000,0)</f>
        <v>0</v>
      </c>
      <c r="BA273" s="10">
        <f>IF('Batt IN'!$E$11="Non-Taxable",'Batt IN'!$E$21*'Batt IN'!$G$21/12,0)</f>
        <v>437.5</v>
      </c>
      <c r="BB273" s="10">
        <f>IF('Batt IN'!$E$11="Non-Taxable",'Batt IN'!$E$22*'Batt IN'!$G$22/12,0)</f>
        <v>1145.8333333333335</v>
      </c>
      <c r="BC273" s="10">
        <f>IF('Batt IN'!$E$11="Taxable",Q273,0)</f>
        <v>0</v>
      </c>
      <c r="BD273" s="10">
        <f>IF('Batt IN'!$E$11="Taxable",'Batt IN'!$E$28/1000*'Batt IN'!$G$13*('Batt IN'!$E$13/12)*'Batt IN'!$E$12,0)</f>
        <v>0</v>
      </c>
      <c r="BE273" s="10">
        <f>IF('Batt IN'!$E$11="Taxable",$S273*'Batt IN'!$G$15*'Batt IN'!$E$28*'Batt IN'!$E$14/1000,0)</f>
        <v>0</v>
      </c>
      <c r="BF273" s="10">
        <f>IF('Batt IN'!$E$11="Taxable",'Batt IN'!$E$21*'Batt IN'!$G$21/12,0)</f>
        <v>0</v>
      </c>
      <c r="BG273" s="10">
        <f>IF('Batt IN'!$E$11="Taxable",'Batt IN'!$E$22*'Batt IN'!$G$22/12,0)</f>
        <v>0</v>
      </c>
      <c r="BK273" s="10">
        <f>IF('Batt IN'!$N$18="Yes",-BattLoan!H301,-BattLoan!L301)</f>
        <v>0</v>
      </c>
      <c r="BL273" s="10">
        <f>IF('Batt IN'!$N$18="Yes",-BattLoan!F301,0)</f>
        <v>0</v>
      </c>
      <c r="BM273" s="10">
        <f>IF(AND('Batt IN'!$D$44="YES",$C273&lt;='Batt IN'!$E$44*12),0,-'Batt IN'!$E$28*'Batt IN'!$E$42/12)</f>
        <v>-83.333333333333329</v>
      </c>
      <c r="BN273" s="10">
        <f>IF(AND('Batt IN'!$D$46="YES",$C273&lt;='Batt IN'!$E$46*12),0,-'Batt IN'!$E$28*'Batt IN'!$E$45/12)</f>
        <v>-166.66666666666666</v>
      </c>
      <c r="BO273" s="2">
        <f>IF(AND('Batt IN'!$D$41="YES",BattCalcs!C273=ROUNDUP('Batt IN'!$H$41*12,)),-'Batt IN'!$E$41*'Batt IN'!$E$28,0)</f>
        <v>0</v>
      </c>
      <c r="BP273" s="2">
        <f>IF(AND('Batt IN'!$D$53="Yes",$AL$1&gt;=1),0,IF($C273='Batt IN'!$H$54*12,-'Batt IN'!$F$54,0))</f>
        <v>0</v>
      </c>
      <c r="BQ273" s="2">
        <f>IF(AND('Batt IN'!$D$53="Yes",$AL$1&gt;=2),0,IF($C273='Batt IN'!$H$55*12,-'Batt IN'!$F$55,0))</f>
        <v>0</v>
      </c>
      <c r="BR273" s="2">
        <f>IF(AND('Batt IN'!$D$53="Yes",$AL$1&gt;=3),0,IF($C273='Batt IN'!$H$56*12,-'Batt IN'!$F$56,0))</f>
        <v>0</v>
      </c>
      <c r="BS273" s="2">
        <f>IF(AND('Batt IN'!$D$53="Yes",$AL$1&gt;=4),0,IF($C273='Batt IN'!$H$57*12,-'Batt IN'!$F$57,0))</f>
        <v>0</v>
      </c>
      <c r="BT273" s="2">
        <f>IF(AND('Batt IN'!$D$53="Yes",$AL$1&gt;=5),0,IF($C273='Batt IN'!$H$58*12,-'Batt IN'!$F$58,0))</f>
        <v>0</v>
      </c>
      <c r="BU273" s="2">
        <f>-AH273*PVCalcs!F273</f>
        <v>-378.83856747753731</v>
      </c>
      <c r="BV273" s="2">
        <f>-'Batt IN'!$E$47</f>
        <v>-150</v>
      </c>
      <c r="BW273" s="2">
        <f>-'Batt IN'!$E$49</f>
        <v>-2250</v>
      </c>
      <c r="BX273" s="2">
        <f>IF('Batt IN'!$H$50="No",-(BC273*'Batt IN'!$E$50),-(BC273+BE273)*'Batt IN'!$E$50)</f>
        <v>0</v>
      </c>
      <c r="BY273" s="2">
        <f>IF(C273='Batt IN'!$H$43*12,-'Batt IN'!$E$43,0)</f>
        <v>0</v>
      </c>
      <c r="BZ273" s="38"/>
      <c r="CA273" s="10">
        <f t="shared" si="68"/>
        <v>13422.323408333334</v>
      </c>
      <c r="CB273" s="2">
        <f t="shared" si="72"/>
        <v>-3028.8385674775373</v>
      </c>
      <c r="CC273" s="45">
        <f t="shared" si="73"/>
        <v>10393.484840855795</v>
      </c>
      <c r="CD273" s="43"/>
      <c r="CE273" s="2">
        <f t="shared" si="69"/>
        <v>0</v>
      </c>
      <c r="CF273" s="2">
        <f t="shared" si="74"/>
        <v>-3028.8385674775373</v>
      </c>
      <c r="CG273" s="2"/>
      <c r="CH273" s="2">
        <f t="shared" si="75"/>
        <v>-3028.8385674775373</v>
      </c>
      <c r="CI273" s="45">
        <f>-CH273*'Batt IN'!$E$7</f>
        <v>636.05609917028278</v>
      </c>
      <c r="CJ273" s="48"/>
      <c r="CK273" s="45">
        <f>IF('Batt IN'!$F$4="PV Only",0,IF(C273&gt;'Batt IN'!$H$43*12,0,CC273+CI273))</f>
        <v>0</v>
      </c>
      <c r="CM273" s="10">
        <f t="shared" si="76"/>
        <v>0</v>
      </c>
      <c r="CN273" s="2">
        <f>CK273/(1+('Batt IN'!$G$8))^(C273)</f>
        <v>0</v>
      </c>
      <c r="CO273" s="2" t="e">
        <f>IF(C273&lt;='Batt IN'!$O$30*12,CN273+CO272,NA())</f>
        <v>#N/A</v>
      </c>
      <c r="CQ273" s="2">
        <f>CK273/((1+('Batt IN'!$E$8/12))^BattCalcs!C273)</f>
        <v>0</v>
      </c>
      <c r="CS273" s="10">
        <f t="shared" si="77"/>
        <v>-3028.8385674775373</v>
      </c>
      <c r="CT273" s="10">
        <f t="shared" si="78"/>
        <v>0</v>
      </c>
      <c r="CU273" s="10">
        <f t="shared" si="79"/>
        <v>-3028.8385674775373</v>
      </c>
      <c r="CV273" s="10">
        <f t="shared" si="80"/>
        <v>-3028.8385674775373</v>
      </c>
      <c r="CW273" s="2">
        <f t="shared" si="81"/>
        <v>0</v>
      </c>
      <c r="CX273" s="2">
        <f>-(SUM(CV273:CW273)*'PV IN'!$E$8)</f>
        <v>636.05609917028278</v>
      </c>
      <c r="CY273" s="2">
        <f t="shared" si="82"/>
        <v>-2392.7824683072545</v>
      </c>
      <c r="CZ273" s="2">
        <f>IF(C273&lt;='Batt IN'!$H$43*12,CY273/(1+('PV IN'!$G$9))^(C273),0)</f>
        <v>-801.51151089594293</v>
      </c>
      <c r="DA273" s="33">
        <f>IF(C273&lt;='Batt IN'!$H$43*12,AE273,0)</f>
        <v>30366.783333333333</v>
      </c>
    </row>
    <row r="274" spans="1:105" x14ac:dyDescent="0.25">
      <c r="A274">
        <f>IF(C274&lt;='Batt IN'!$H$43*12,C274,"")</f>
        <v>270</v>
      </c>
      <c r="C274">
        <v>270</v>
      </c>
      <c r="D274" s="21">
        <v>730</v>
      </c>
      <c r="E274" s="1">
        <f>1-'Batt IN'!$E$31</f>
        <v>2.0000000000000018E-2</v>
      </c>
      <c r="F274" s="12">
        <f>('Batt IN'!$E$33*365)/8760</f>
        <v>0</v>
      </c>
      <c r="G274" s="22">
        <f>'Batt IN'!$E$32/8760</f>
        <v>5.7077625570776253E-3</v>
      </c>
      <c r="H274" s="22">
        <f>'Batt IN'!$E$13/8760</f>
        <v>5.5936073059360729E-3</v>
      </c>
      <c r="I274" s="23">
        <f>IF(C274&lt;='Batt IN'!$G$14*12,'Batt IN'!$E$15/8760*'Batt IN'!$G$15,0)</f>
        <v>0</v>
      </c>
      <c r="J274" s="12">
        <f>Z274/'Batt IN'!$E$27/730</f>
        <v>2.4999999999999996E-3</v>
      </c>
      <c r="K274" s="23">
        <f>AA274/'Batt IN'!$E$27/730</f>
        <v>1.6027397260273972E-3</v>
      </c>
      <c r="L274" s="23">
        <f>AB274/'Batt IN'!$E$27/730</f>
        <v>2.0547945205479451E-4</v>
      </c>
      <c r="M274" s="23">
        <f>AC274/'Batt IN'!$E$27/730</f>
        <v>4.7945205479452057E-3</v>
      </c>
      <c r="N274" s="23">
        <f>AD274/'Batt IN'!$E$27/730</f>
        <v>3.4246575342465752E-3</v>
      </c>
      <c r="O274" s="12">
        <f t="shared" si="70"/>
        <v>4.3828767123287697E-2</v>
      </c>
      <c r="P274" s="21">
        <f t="shared" si="71"/>
        <v>698.005</v>
      </c>
      <c r="Q274" s="2">
        <f>IF('Batt IN'!$E$27*'Batt IN'!$E$24&lt;='Batt IN'!$E$28,(('Batt IN'!$E$23*'Batt IN'!$E$27*'Batt IN'!$E$24)/1000)*P274,(('Batt IN'!$E$23*'Batt IN'!$E$28*'Batt IN'!$E$24)/1000)*P274)</f>
        <v>11168.08</v>
      </c>
      <c r="R274" s="2"/>
      <c r="S274" s="77">
        <f>IF(C274&lt;='Batt IN'!$G$14*12,'Batt IN'!$E$15/12,0)</f>
        <v>0</v>
      </c>
      <c r="T274" s="77"/>
      <c r="U274" s="80">
        <f>'Batt IN'!$E$28*('Batt IN'!$G$24/24)*730*(1-O274)</f>
        <v>81433.916666666657</v>
      </c>
      <c r="V274" s="78">
        <f>U274*'Batt IN'!$F$30</f>
        <v>16286.783333333333</v>
      </c>
      <c r="W274" s="78">
        <f>'Batt IN'!$E$28*'Batt IN'!$G$32*('Batt IN'!$E$32/12)*(1+'Batt IN'!$F$30)</f>
        <v>1750.0000000000002</v>
      </c>
      <c r="X274" s="78">
        <f>'Batt IN'!$E$28*'Batt IN'!$G$13*('Batt IN'!$E$13/12)*(1+'Batt IN'!$F$30)</f>
        <v>3184.9999999999995</v>
      </c>
      <c r="Y274" s="33">
        <f>S274*'Batt IN'!$G$15*'Batt IN'!$E$28*(1+'Batt IN'!$F$30)</f>
        <v>0</v>
      </c>
      <c r="Z274" s="33">
        <f>'Batt IN'!$G$16*365/12*(1+'Batt IN'!$F$30)</f>
        <v>1824.9999999999998</v>
      </c>
      <c r="AA274" s="33">
        <f>'Batt IN'!$G$17*'Batt IN'!$E$18*'Batt IN'!$G$18/12*(1+'Batt IN'!$F$30)</f>
        <v>1170</v>
      </c>
      <c r="AB274" s="33">
        <f>'Batt IN'!$G$19*'Batt IN'!$E$20*'Batt IN'!$G$20/12*(1+'Batt IN'!$F$30)</f>
        <v>150</v>
      </c>
      <c r="AC274" s="33">
        <f>'Batt IN'!$G$21*(1+'Batt IN'!$F$30)/12</f>
        <v>3500</v>
      </c>
      <c r="AD274" s="33">
        <f>'Batt IN'!$G$22*(1+'Batt IN'!$F$30)/12</f>
        <v>2500</v>
      </c>
      <c r="AE274" s="33">
        <f t="shared" si="83"/>
        <v>30366.783333333333</v>
      </c>
      <c r="AF274" s="33">
        <f>IF('PV IN'!$F$4="Battery Only",0,AE274*'Batt IN'!$E$29)</f>
        <v>25811.765833333331</v>
      </c>
      <c r="AG274" s="33">
        <f>PVCalcs!L274</f>
        <v>25811.765833333331</v>
      </c>
      <c r="AH274" s="33">
        <f t="shared" si="84"/>
        <v>4555.0175000000017</v>
      </c>
      <c r="AI274" s="33"/>
      <c r="AJ274" s="2">
        <f>IF(AND('Batt IN'!$D$53="Yes",$AL$1&gt;=1),IF($C274='Batt IN'!$H$54*12,-'Batt IN'!$F$54,0),0)</f>
        <v>0</v>
      </c>
      <c r="AK274" s="2">
        <f>IF(AND('Batt IN'!$D$53="Yes",$AL$1&gt;=2),IF($C274='Batt IN'!$H$55*12,-'Batt IN'!$F$55,0),0)</f>
        <v>0</v>
      </c>
      <c r="AL274" s="2">
        <f>IF(AND('Batt IN'!$D$53="Yes",$AL$1&gt;=3),IF($C274='Batt IN'!$H$56*12,-'Batt IN'!$F$56,0),0)</f>
        <v>0</v>
      </c>
      <c r="AM274" s="2">
        <f>IF(AND('Batt IN'!$D$53="Yes",$AL$1&gt;=4),IF($C274='Batt IN'!$H$57*12,-'Batt IN'!$F$57,0),0)</f>
        <v>0</v>
      </c>
      <c r="AN274" s="2">
        <f>IF(AND('Batt IN'!$D$53="Yes",$AL$1&gt;=5),IF($C274='Batt IN'!$H$58*12,-'Batt IN'!$F$58,0),0)</f>
        <v>0</v>
      </c>
      <c r="AO274" s="10">
        <f>IF(AND('Batt IN'!$D$44="YES",$C274&lt;='Batt IN'!$E$44*12),-'Batt IN'!$E$28*'Batt IN'!$E$42/12,0)</f>
        <v>0</v>
      </c>
      <c r="AP274" s="10">
        <f>IF(AND('Batt IN'!$D$46="YES",$C274&lt;='Batt IN'!$E$46*12),-'Batt IN'!$E$28*'Batt IN'!$E$45/12,0)</f>
        <v>0</v>
      </c>
      <c r="AR274" s="10">
        <f>BattLoan!M301</f>
        <v>0</v>
      </c>
      <c r="AS274" s="10">
        <f>'Batt IN'!$G$16*365/12*'Batt IN'!$E$16</f>
        <v>76.041666666666671</v>
      </c>
      <c r="AT274" s="10">
        <f>IF(AND('Batt IN'!$E$18&gt;0,'Batt IN'!$G$18&gt;0),'Batt IN'!$E$17*'Batt IN'!$G$17,0)</f>
        <v>119.44619999999999</v>
      </c>
      <c r="AU274" s="10">
        <f>IF(AND('Batt IN'!$E$20&gt;0,'Batt IN'!$G$20&gt;0),'Batt IN'!$E$19*'Batt IN'!$G$19,0)</f>
        <v>231</v>
      </c>
      <c r="AV274" s="10"/>
      <c r="AW274" s="10"/>
      <c r="AX274" s="10">
        <f>IF('Batt IN'!$E$11="Non-Taxable",Q274,0)</f>
        <v>11168.08</v>
      </c>
      <c r="AY274" s="10">
        <f>IF('Batt IN'!$E$11="Non-Taxable",'Batt IN'!$E$28/1000*'Batt IN'!$G$13*('Batt IN'!$E$13/12)*'Batt IN'!$E$12,0)</f>
        <v>244.42220833333334</v>
      </c>
      <c r="AZ274" s="10">
        <f>IF('Batt IN'!$E$11="Non-Taxable",$S274*'Batt IN'!$G$15*'Batt IN'!$E$28*'Batt IN'!$E$14/1000,0)</f>
        <v>0</v>
      </c>
      <c r="BA274" s="10">
        <f>IF('Batt IN'!$E$11="Non-Taxable",'Batt IN'!$E$21*'Batt IN'!$G$21/12,0)</f>
        <v>437.5</v>
      </c>
      <c r="BB274" s="10">
        <f>IF('Batt IN'!$E$11="Non-Taxable",'Batt IN'!$E$22*'Batt IN'!$G$22/12,0)</f>
        <v>1145.8333333333335</v>
      </c>
      <c r="BC274" s="10">
        <f>IF('Batt IN'!$E$11="Taxable",Q274,0)</f>
        <v>0</v>
      </c>
      <c r="BD274" s="10">
        <f>IF('Batt IN'!$E$11="Taxable",'Batt IN'!$E$28/1000*'Batt IN'!$G$13*('Batt IN'!$E$13/12)*'Batt IN'!$E$12,0)</f>
        <v>0</v>
      </c>
      <c r="BE274" s="10">
        <f>IF('Batt IN'!$E$11="Taxable",$S274*'Batt IN'!$G$15*'Batt IN'!$E$28*'Batt IN'!$E$14/1000,0)</f>
        <v>0</v>
      </c>
      <c r="BF274" s="10">
        <f>IF('Batt IN'!$E$11="Taxable",'Batt IN'!$E$21*'Batt IN'!$G$21/12,0)</f>
        <v>0</v>
      </c>
      <c r="BG274" s="10">
        <f>IF('Batt IN'!$E$11="Taxable",'Batt IN'!$E$22*'Batt IN'!$G$22/12,0)</f>
        <v>0</v>
      </c>
      <c r="BK274" s="10">
        <f>IF('Batt IN'!$N$18="Yes",-BattLoan!H302,-BattLoan!L302)</f>
        <v>0</v>
      </c>
      <c r="BL274" s="10">
        <f>IF('Batt IN'!$N$18="Yes",-BattLoan!F302,0)</f>
        <v>0</v>
      </c>
      <c r="BM274" s="10">
        <f>IF(AND('Batt IN'!$D$44="YES",$C274&lt;='Batt IN'!$E$44*12),0,-'Batt IN'!$E$28*'Batt IN'!$E$42/12)</f>
        <v>-83.333333333333329</v>
      </c>
      <c r="BN274" s="10">
        <f>IF(AND('Batt IN'!$D$46="YES",$C274&lt;='Batt IN'!$E$46*12),0,-'Batt IN'!$E$28*'Batt IN'!$E$45/12)</f>
        <v>-166.66666666666666</v>
      </c>
      <c r="BO274" s="2">
        <f>IF(AND('Batt IN'!$D$41="YES",BattCalcs!C274=ROUNDUP('Batt IN'!$H$41*12,)),-'Batt IN'!$E$41*'Batt IN'!$E$28,0)</f>
        <v>0</v>
      </c>
      <c r="BP274" s="2">
        <f>IF(AND('Batt IN'!$D$53="Yes",$AL$1&gt;=1),0,IF($C274='Batt IN'!$H$54*12,-'Batt IN'!$F$54,0))</f>
        <v>0</v>
      </c>
      <c r="BQ274" s="2">
        <f>IF(AND('Batt IN'!$D$53="Yes",$AL$1&gt;=2),0,IF($C274='Batt IN'!$H$55*12,-'Batt IN'!$F$55,0))</f>
        <v>0</v>
      </c>
      <c r="BR274" s="2">
        <f>IF(AND('Batt IN'!$D$53="Yes",$AL$1&gt;=3),0,IF($C274='Batt IN'!$H$56*12,-'Batt IN'!$F$56,0))</f>
        <v>0</v>
      </c>
      <c r="BS274" s="2">
        <f>IF(AND('Batt IN'!$D$53="Yes",$AL$1&gt;=4),0,IF($C274='Batt IN'!$H$57*12,-'Batt IN'!$F$57,0))</f>
        <v>0</v>
      </c>
      <c r="BT274" s="2">
        <f>IF(AND('Batt IN'!$D$53="Yes",$AL$1&gt;=5),0,IF($C274='Batt IN'!$H$58*12,-'Batt IN'!$F$58,0))</f>
        <v>0</v>
      </c>
      <c r="BU274" s="2">
        <f>-AH274*PVCalcs!F274</f>
        <v>-378.83856747753731</v>
      </c>
      <c r="BV274" s="2">
        <f>-'Batt IN'!$E$47</f>
        <v>-150</v>
      </c>
      <c r="BW274" s="2">
        <f>-'Batt IN'!$E$49</f>
        <v>-2250</v>
      </c>
      <c r="BX274" s="2">
        <f>IF('Batt IN'!$H$50="No",-(BC274*'Batt IN'!$E$50),-(BC274+BE274)*'Batt IN'!$E$50)</f>
        <v>0</v>
      </c>
      <c r="BY274" s="2">
        <f>IF(C274='Batt IN'!$H$43*12,-'Batt IN'!$E$43,0)</f>
        <v>0</v>
      </c>
      <c r="BZ274" s="38"/>
      <c r="CA274" s="10">
        <f t="shared" si="68"/>
        <v>13422.323408333334</v>
      </c>
      <c r="CB274" s="2">
        <f t="shared" si="72"/>
        <v>-3028.8385674775373</v>
      </c>
      <c r="CC274" s="45">
        <f t="shared" si="73"/>
        <v>10393.484840855795</v>
      </c>
      <c r="CD274" s="43"/>
      <c r="CE274" s="2">
        <f t="shared" si="69"/>
        <v>0</v>
      </c>
      <c r="CF274" s="2">
        <f t="shared" si="74"/>
        <v>-3028.8385674775373</v>
      </c>
      <c r="CG274" s="2"/>
      <c r="CH274" s="2">
        <f t="shared" si="75"/>
        <v>-3028.8385674775373</v>
      </c>
      <c r="CI274" s="45">
        <f>-CH274*'Batt IN'!$E$7</f>
        <v>636.05609917028278</v>
      </c>
      <c r="CJ274" s="48"/>
      <c r="CK274" s="45">
        <f>IF('Batt IN'!$F$4="PV Only",0,IF(C274&gt;'Batt IN'!$H$43*12,0,CC274+CI274))</f>
        <v>0</v>
      </c>
      <c r="CM274" s="10">
        <f t="shared" si="76"/>
        <v>0</v>
      </c>
      <c r="CN274" s="2">
        <f>CK274/(1+('Batt IN'!$G$8))^(C274)</f>
        <v>0</v>
      </c>
      <c r="CO274" s="2" t="e">
        <f>IF(C274&lt;='Batt IN'!$O$30*12,CN274+CO273,NA())</f>
        <v>#N/A</v>
      </c>
      <c r="CQ274" s="2">
        <f>CK274/((1+('Batt IN'!$E$8/12))^BattCalcs!C274)</f>
        <v>0</v>
      </c>
      <c r="CS274" s="10">
        <f t="shared" si="77"/>
        <v>-3028.8385674775373</v>
      </c>
      <c r="CT274" s="10">
        <f t="shared" si="78"/>
        <v>0</v>
      </c>
      <c r="CU274" s="10">
        <f t="shared" si="79"/>
        <v>-3028.8385674775373</v>
      </c>
      <c r="CV274" s="10">
        <f t="shared" si="80"/>
        <v>-3028.8385674775373</v>
      </c>
      <c r="CW274" s="2">
        <f t="shared" si="81"/>
        <v>0</v>
      </c>
      <c r="CX274" s="2">
        <f>-(SUM(CV274:CW274)*'PV IN'!$E$8)</f>
        <v>636.05609917028278</v>
      </c>
      <c r="CY274" s="2">
        <f t="shared" si="82"/>
        <v>-2392.7824683072545</v>
      </c>
      <c r="CZ274" s="2">
        <f>IF(C274&lt;='Batt IN'!$H$43*12,CY274/(1+('PV IN'!$G$9))^(C274),0)</f>
        <v>-798.25930368129639</v>
      </c>
      <c r="DA274" s="33">
        <f>IF(C274&lt;='Batt IN'!$H$43*12,AE274,0)</f>
        <v>30366.783333333333</v>
      </c>
    </row>
    <row r="275" spans="1:105" x14ac:dyDescent="0.25">
      <c r="A275">
        <f>IF(C275&lt;='Batt IN'!$H$43*12,C275,"")</f>
        <v>271</v>
      </c>
      <c r="C275">
        <v>271</v>
      </c>
      <c r="D275" s="21">
        <v>730</v>
      </c>
      <c r="E275" s="1">
        <f>1-'Batt IN'!$E$31</f>
        <v>2.0000000000000018E-2</v>
      </c>
      <c r="F275" s="12">
        <f>('Batt IN'!$E$33*365)/8760</f>
        <v>0</v>
      </c>
      <c r="G275" s="22">
        <f>'Batt IN'!$E$32/8760</f>
        <v>5.7077625570776253E-3</v>
      </c>
      <c r="H275" s="22">
        <f>'Batt IN'!$E$13/8760</f>
        <v>5.5936073059360729E-3</v>
      </c>
      <c r="I275" s="23">
        <f>IF(C275&lt;='Batt IN'!$G$14*12,'Batt IN'!$E$15/8760*'Batt IN'!$G$15,0)</f>
        <v>0</v>
      </c>
      <c r="J275" s="12">
        <f>Z275/'Batt IN'!$E$27/730</f>
        <v>2.4999999999999996E-3</v>
      </c>
      <c r="K275" s="23">
        <f>AA275/'Batt IN'!$E$27/730</f>
        <v>1.6027397260273972E-3</v>
      </c>
      <c r="L275" s="23">
        <f>AB275/'Batt IN'!$E$27/730</f>
        <v>2.0547945205479451E-4</v>
      </c>
      <c r="M275" s="23">
        <f>AC275/'Batt IN'!$E$27/730</f>
        <v>4.7945205479452057E-3</v>
      </c>
      <c r="N275" s="23">
        <f>AD275/'Batt IN'!$E$27/730</f>
        <v>3.4246575342465752E-3</v>
      </c>
      <c r="O275" s="12">
        <f t="shared" si="70"/>
        <v>4.3828767123287697E-2</v>
      </c>
      <c r="P275" s="21">
        <f t="shared" si="71"/>
        <v>698.005</v>
      </c>
      <c r="Q275" s="2">
        <f>IF('Batt IN'!$E$27*'Batt IN'!$E$24&lt;='Batt IN'!$E$28,(('Batt IN'!$E$23*'Batt IN'!$E$27*'Batt IN'!$E$24)/1000)*P275,(('Batt IN'!$E$23*'Batt IN'!$E$28*'Batt IN'!$E$24)/1000)*P275)</f>
        <v>11168.08</v>
      </c>
      <c r="R275" s="2"/>
      <c r="S275" s="77">
        <f>IF(C275&lt;='Batt IN'!$G$14*12,'Batt IN'!$E$15/12,0)</f>
        <v>0</v>
      </c>
      <c r="T275" s="77"/>
      <c r="U275" s="80">
        <f>'Batt IN'!$E$28*('Batt IN'!$G$24/24)*730*(1-O275)</f>
        <v>81433.916666666657</v>
      </c>
      <c r="V275" s="78">
        <f>U275*'Batt IN'!$F$30</f>
        <v>16286.783333333333</v>
      </c>
      <c r="W275" s="78">
        <f>'Batt IN'!$E$28*'Batt IN'!$G$32*('Batt IN'!$E$32/12)*(1+'Batt IN'!$F$30)</f>
        <v>1750.0000000000002</v>
      </c>
      <c r="X275" s="78">
        <f>'Batt IN'!$E$28*'Batt IN'!$G$13*('Batt IN'!$E$13/12)*(1+'Batt IN'!$F$30)</f>
        <v>3184.9999999999995</v>
      </c>
      <c r="Y275" s="33">
        <f>S275*'Batt IN'!$G$15*'Batt IN'!$E$28*(1+'Batt IN'!$F$30)</f>
        <v>0</v>
      </c>
      <c r="Z275" s="33">
        <f>'Batt IN'!$G$16*365/12*(1+'Batt IN'!$F$30)</f>
        <v>1824.9999999999998</v>
      </c>
      <c r="AA275" s="33">
        <f>'Batt IN'!$G$17*'Batt IN'!$E$18*'Batt IN'!$G$18/12*(1+'Batt IN'!$F$30)</f>
        <v>1170</v>
      </c>
      <c r="AB275" s="33">
        <f>'Batt IN'!$G$19*'Batt IN'!$E$20*'Batt IN'!$G$20/12*(1+'Batt IN'!$F$30)</f>
        <v>150</v>
      </c>
      <c r="AC275" s="33">
        <f>'Batt IN'!$G$21*(1+'Batt IN'!$F$30)/12</f>
        <v>3500</v>
      </c>
      <c r="AD275" s="33">
        <f>'Batt IN'!$G$22*(1+'Batt IN'!$F$30)/12</f>
        <v>2500</v>
      </c>
      <c r="AE275" s="33">
        <f t="shared" si="83"/>
        <v>30366.783333333333</v>
      </c>
      <c r="AF275" s="33">
        <f>IF('PV IN'!$F$4="Battery Only",0,AE275*'Batt IN'!$E$29)</f>
        <v>25811.765833333331</v>
      </c>
      <c r="AG275" s="33">
        <f>PVCalcs!L275</f>
        <v>25811.765833333331</v>
      </c>
      <c r="AH275" s="33">
        <f t="shared" si="84"/>
        <v>4555.0175000000017</v>
      </c>
      <c r="AI275" s="33"/>
      <c r="AJ275" s="2">
        <f>IF(AND('Batt IN'!$D$53="Yes",$AL$1&gt;=1),IF($C275='Batt IN'!$H$54*12,-'Batt IN'!$F$54,0),0)</f>
        <v>0</v>
      </c>
      <c r="AK275" s="2">
        <f>IF(AND('Batt IN'!$D$53="Yes",$AL$1&gt;=2),IF($C275='Batt IN'!$H$55*12,-'Batt IN'!$F$55,0),0)</f>
        <v>0</v>
      </c>
      <c r="AL275" s="2">
        <f>IF(AND('Batt IN'!$D$53="Yes",$AL$1&gt;=3),IF($C275='Batt IN'!$H$56*12,-'Batt IN'!$F$56,0),0)</f>
        <v>0</v>
      </c>
      <c r="AM275" s="2">
        <f>IF(AND('Batt IN'!$D$53="Yes",$AL$1&gt;=4),IF($C275='Batt IN'!$H$57*12,-'Batt IN'!$F$57,0),0)</f>
        <v>0</v>
      </c>
      <c r="AN275" s="2">
        <f>IF(AND('Batt IN'!$D$53="Yes",$AL$1&gt;=5),IF($C275='Batt IN'!$H$58*12,-'Batt IN'!$F$58,0),0)</f>
        <v>0</v>
      </c>
      <c r="AO275" s="10">
        <f>IF(AND('Batt IN'!$D$44="YES",$C275&lt;='Batt IN'!$E$44*12),-'Batt IN'!$E$28*'Batt IN'!$E$42/12,0)</f>
        <v>0</v>
      </c>
      <c r="AP275" s="10">
        <f>IF(AND('Batt IN'!$D$46="YES",$C275&lt;='Batt IN'!$E$46*12),-'Batt IN'!$E$28*'Batt IN'!$E$45/12,0)</f>
        <v>0</v>
      </c>
      <c r="AR275" s="10">
        <f>BattLoan!M302</f>
        <v>0</v>
      </c>
      <c r="AS275" s="10">
        <f>'Batt IN'!$G$16*365/12*'Batt IN'!$E$16</f>
        <v>76.041666666666671</v>
      </c>
      <c r="AT275" s="10">
        <f>IF(AND('Batt IN'!$E$18&gt;0,'Batt IN'!$G$18&gt;0),'Batt IN'!$E$17*'Batt IN'!$G$17,0)</f>
        <v>119.44619999999999</v>
      </c>
      <c r="AU275" s="10">
        <f>IF(AND('Batt IN'!$E$20&gt;0,'Batt IN'!$G$20&gt;0),'Batt IN'!$E$19*'Batt IN'!$G$19,0)</f>
        <v>231</v>
      </c>
      <c r="AV275" s="10"/>
      <c r="AW275" s="10"/>
      <c r="AX275" s="10">
        <f>IF('Batt IN'!$E$11="Non-Taxable",Q275,0)</f>
        <v>11168.08</v>
      </c>
      <c r="AY275" s="10">
        <f>IF('Batt IN'!$E$11="Non-Taxable",'Batt IN'!$E$28/1000*'Batt IN'!$G$13*('Batt IN'!$E$13/12)*'Batt IN'!$E$12,0)</f>
        <v>244.42220833333334</v>
      </c>
      <c r="AZ275" s="10">
        <f>IF('Batt IN'!$E$11="Non-Taxable",$S275*'Batt IN'!$G$15*'Batt IN'!$E$28*'Batt IN'!$E$14/1000,0)</f>
        <v>0</v>
      </c>
      <c r="BA275" s="10">
        <f>IF('Batt IN'!$E$11="Non-Taxable",'Batt IN'!$E$21*'Batt IN'!$G$21/12,0)</f>
        <v>437.5</v>
      </c>
      <c r="BB275" s="10">
        <f>IF('Batt IN'!$E$11="Non-Taxable",'Batt IN'!$E$22*'Batt IN'!$G$22/12,0)</f>
        <v>1145.8333333333335</v>
      </c>
      <c r="BC275" s="10">
        <f>IF('Batt IN'!$E$11="Taxable",Q275,0)</f>
        <v>0</v>
      </c>
      <c r="BD275" s="10">
        <f>IF('Batt IN'!$E$11="Taxable",'Batt IN'!$E$28/1000*'Batt IN'!$G$13*('Batt IN'!$E$13/12)*'Batt IN'!$E$12,0)</f>
        <v>0</v>
      </c>
      <c r="BE275" s="10">
        <f>IF('Batt IN'!$E$11="Taxable",$S275*'Batt IN'!$G$15*'Batt IN'!$E$28*'Batt IN'!$E$14/1000,0)</f>
        <v>0</v>
      </c>
      <c r="BF275" s="10">
        <f>IF('Batt IN'!$E$11="Taxable",'Batt IN'!$E$21*'Batt IN'!$G$21/12,0)</f>
        <v>0</v>
      </c>
      <c r="BG275" s="10">
        <f>IF('Batt IN'!$E$11="Taxable",'Batt IN'!$E$22*'Batt IN'!$G$22/12,0)</f>
        <v>0</v>
      </c>
      <c r="BK275" s="10">
        <f>IF('Batt IN'!$N$18="Yes",-BattLoan!H303,-BattLoan!L303)</f>
        <v>0</v>
      </c>
      <c r="BL275" s="10">
        <f>IF('Batt IN'!$N$18="Yes",-BattLoan!F303,0)</f>
        <v>0</v>
      </c>
      <c r="BM275" s="10">
        <f>IF(AND('Batt IN'!$D$44="YES",$C275&lt;='Batt IN'!$E$44*12),0,-'Batt IN'!$E$28*'Batt IN'!$E$42/12)</f>
        <v>-83.333333333333329</v>
      </c>
      <c r="BN275" s="10">
        <f>IF(AND('Batt IN'!$D$46="YES",$C275&lt;='Batt IN'!$E$46*12),0,-'Batt IN'!$E$28*'Batt IN'!$E$45/12)</f>
        <v>-166.66666666666666</v>
      </c>
      <c r="BO275" s="2">
        <f>IF(AND('Batt IN'!$D$41="YES",BattCalcs!C275=ROUNDUP('Batt IN'!$H$41*12,)),-'Batt IN'!$E$41*'Batt IN'!$E$28,0)</f>
        <v>0</v>
      </c>
      <c r="BP275" s="2">
        <f>IF(AND('Batt IN'!$D$53="Yes",$AL$1&gt;=1),0,IF($C275='Batt IN'!$H$54*12,-'Batt IN'!$F$54,0))</f>
        <v>0</v>
      </c>
      <c r="BQ275" s="2">
        <f>IF(AND('Batt IN'!$D$53="Yes",$AL$1&gt;=2),0,IF($C275='Batt IN'!$H$55*12,-'Batt IN'!$F$55,0))</f>
        <v>0</v>
      </c>
      <c r="BR275" s="2">
        <f>IF(AND('Batt IN'!$D$53="Yes",$AL$1&gt;=3),0,IF($C275='Batt IN'!$H$56*12,-'Batt IN'!$F$56,0))</f>
        <v>0</v>
      </c>
      <c r="BS275" s="2">
        <f>IF(AND('Batt IN'!$D$53="Yes",$AL$1&gt;=4),0,IF($C275='Batt IN'!$H$57*12,-'Batt IN'!$F$57,0))</f>
        <v>0</v>
      </c>
      <c r="BT275" s="2">
        <f>IF(AND('Batt IN'!$D$53="Yes",$AL$1&gt;=5),0,IF($C275='Batt IN'!$H$58*12,-'Batt IN'!$F$58,0))</f>
        <v>0</v>
      </c>
      <c r="BU275" s="2">
        <f>-AH275*PVCalcs!F275</f>
        <v>-378.83856747753731</v>
      </c>
      <c r="BV275" s="2">
        <f>-'Batt IN'!$E$47</f>
        <v>-150</v>
      </c>
      <c r="BW275" s="2">
        <f>-'Batt IN'!$E$49</f>
        <v>-2250</v>
      </c>
      <c r="BX275" s="2">
        <f>IF('Batt IN'!$H$50="No",-(BC275*'Batt IN'!$E$50),-(BC275+BE275)*'Batt IN'!$E$50)</f>
        <v>0</v>
      </c>
      <c r="BY275" s="2">
        <f>IF(C275='Batt IN'!$H$43*12,-'Batt IN'!$E$43,0)</f>
        <v>0</v>
      </c>
      <c r="BZ275" s="38"/>
      <c r="CA275" s="10">
        <f t="shared" si="68"/>
        <v>13422.323408333334</v>
      </c>
      <c r="CB275" s="2">
        <f t="shared" si="72"/>
        <v>-3028.8385674775373</v>
      </c>
      <c r="CC275" s="45">
        <f t="shared" si="73"/>
        <v>10393.484840855795</v>
      </c>
      <c r="CD275" s="43"/>
      <c r="CE275" s="2">
        <f t="shared" si="69"/>
        <v>0</v>
      </c>
      <c r="CF275" s="2">
        <f t="shared" si="74"/>
        <v>-3028.8385674775373</v>
      </c>
      <c r="CG275" s="2"/>
      <c r="CH275" s="2">
        <f t="shared" si="75"/>
        <v>-3028.8385674775373</v>
      </c>
      <c r="CI275" s="45">
        <f>-CH275*'Batt IN'!$E$7</f>
        <v>636.05609917028278</v>
      </c>
      <c r="CJ275" s="48"/>
      <c r="CK275" s="45">
        <f>IF('Batt IN'!$F$4="PV Only",0,IF(C275&gt;'Batt IN'!$H$43*12,0,CC275+CI275))</f>
        <v>0</v>
      </c>
      <c r="CM275" s="10">
        <f t="shared" si="76"/>
        <v>0</v>
      </c>
      <c r="CN275" s="2">
        <f>CK275/(1+('Batt IN'!$G$8))^(C275)</f>
        <v>0</v>
      </c>
      <c r="CO275" s="2" t="e">
        <f>IF(C275&lt;='Batt IN'!$O$30*12,CN275+CO274,NA())</f>
        <v>#N/A</v>
      </c>
      <c r="CQ275" s="2">
        <f>CK275/((1+('Batt IN'!$E$8/12))^BattCalcs!C275)</f>
        <v>0</v>
      </c>
      <c r="CS275" s="10">
        <f t="shared" si="77"/>
        <v>-3028.8385674775373</v>
      </c>
      <c r="CT275" s="10">
        <f t="shared" si="78"/>
        <v>0</v>
      </c>
      <c r="CU275" s="10">
        <f t="shared" si="79"/>
        <v>-3028.8385674775373</v>
      </c>
      <c r="CV275" s="10">
        <f t="shared" si="80"/>
        <v>-3028.8385674775373</v>
      </c>
      <c r="CW275" s="2">
        <f t="shared" si="81"/>
        <v>0</v>
      </c>
      <c r="CX275" s="2">
        <f>-(SUM(CV275:CW275)*'PV IN'!$E$8)</f>
        <v>636.05609917028278</v>
      </c>
      <c r="CY275" s="2">
        <f t="shared" si="82"/>
        <v>-2392.7824683072545</v>
      </c>
      <c r="CZ275" s="2">
        <f>IF(C275&lt;='Batt IN'!$H$43*12,CY275/(1+('PV IN'!$G$9))^(C275),0)</f>
        <v>-795.02029259873677</v>
      </c>
      <c r="DA275" s="33">
        <f>IF(C275&lt;='Batt IN'!$H$43*12,AE275,0)</f>
        <v>30366.783333333333</v>
      </c>
    </row>
    <row r="276" spans="1:105" x14ac:dyDescent="0.25">
      <c r="A276">
        <f>IF(C276&lt;='Batt IN'!$H$43*12,C276,"")</f>
        <v>272</v>
      </c>
      <c r="C276">
        <v>272</v>
      </c>
      <c r="D276" s="21">
        <v>730</v>
      </c>
      <c r="E276" s="1">
        <f>1-'Batt IN'!$E$31</f>
        <v>2.0000000000000018E-2</v>
      </c>
      <c r="F276" s="12">
        <f>('Batt IN'!$E$33*365)/8760</f>
        <v>0</v>
      </c>
      <c r="G276" s="22">
        <f>'Batt IN'!$E$32/8760</f>
        <v>5.7077625570776253E-3</v>
      </c>
      <c r="H276" s="22">
        <f>'Batt IN'!$E$13/8760</f>
        <v>5.5936073059360729E-3</v>
      </c>
      <c r="I276" s="23">
        <f>IF(C276&lt;='Batt IN'!$G$14*12,'Batt IN'!$E$15/8760*'Batt IN'!$G$15,0)</f>
        <v>0</v>
      </c>
      <c r="J276" s="12">
        <f>Z276/'Batt IN'!$E$27/730</f>
        <v>2.4999999999999996E-3</v>
      </c>
      <c r="K276" s="23">
        <f>AA276/'Batt IN'!$E$27/730</f>
        <v>1.6027397260273972E-3</v>
      </c>
      <c r="L276" s="23">
        <f>AB276/'Batt IN'!$E$27/730</f>
        <v>2.0547945205479451E-4</v>
      </c>
      <c r="M276" s="23">
        <f>AC276/'Batt IN'!$E$27/730</f>
        <v>4.7945205479452057E-3</v>
      </c>
      <c r="N276" s="23">
        <f>AD276/'Batt IN'!$E$27/730</f>
        <v>3.4246575342465752E-3</v>
      </c>
      <c r="O276" s="12">
        <f t="shared" si="70"/>
        <v>4.3828767123287697E-2</v>
      </c>
      <c r="P276" s="21">
        <f t="shared" si="71"/>
        <v>698.005</v>
      </c>
      <c r="Q276" s="2">
        <f>IF('Batt IN'!$E$27*'Batt IN'!$E$24&lt;='Batt IN'!$E$28,(('Batt IN'!$E$23*'Batt IN'!$E$27*'Batt IN'!$E$24)/1000)*P276,(('Batt IN'!$E$23*'Batt IN'!$E$28*'Batt IN'!$E$24)/1000)*P276)</f>
        <v>11168.08</v>
      </c>
      <c r="R276" s="2"/>
      <c r="S276" s="77">
        <f>IF(C276&lt;='Batt IN'!$G$14*12,'Batt IN'!$E$15/12,0)</f>
        <v>0</v>
      </c>
      <c r="T276" s="77"/>
      <c r="U276" s="80">
        <f>'Batt IN'!$E$28*('Batt IN'!$G$24/24)*730*(1-O276)</f>
        <v>81433.916666666657</v>
      </c>
      <c r="V276" s="78">
        <f>U276*'Batt IN'!$F$30</f>
        <v>16286.783333333333</v>
      </c>
      <c r="W276" s="78">
        <f>'Batt IN'!$E$28*'Batt IN'!$G$32*('Batt IN'!$E$32/12)*(1+'Batt IN'!$F$30)</f>
        <v>1750.0000000000002</v>
      </c>
      <c r="X276" s="78">
        <f>'Batt IN'!$E$28*'Batt IN'!$G$13*('Batt IN'!$E$13/12)*(1+'Batt IN'!$F$30)</f>
        <v>3184.9999999999995</v>
      </c>
      <c r="Y276" s="33">
        <f>S276*'Batt IN'!$G$15*'Batt IN'!$E$28*(1+'Batt IN'!$F$30)</f>
        <v>0</v>
      </c>
      <c r="Z276" s="33">
        <f>'Batt IN'!$G$16*365/12*(1+'Batt IN'!$F$30)</f>
        <v>1824.9999999999998</v>
      </c>
      <c r="AA276" s="33">
        <f>'Batt IN'!$G$17*'Batt IN'!$E$18*'Batt IN'!$G$18/12*(1+'Batt IN'!$F$30)</f>
        <v>1170</v>
      </c>
      <c r="AB276" s="33">
        <f>'Batt IN'!$G$19*'Batt IN'!$E$20*'Batt IN'!$G$20/12*(1+'Batt IN'!$F$30)</f>
        <v>150</v>
      </c>
      <c r="AC276" s="33">
        <f>'Batt IN'!$G$21*(1+'Batt IN'!$F$30)/12</f>
        <v>3500</v>
      </c>
      <c r="AD276" s="33">
        <f>'Batt IN'!$G$22*(1+'Batt IN'!$F$30)/12</f>
        <v>2500</v>
      </c>
      <c r="AE276" s="33">
        <f t="shared" si="83"/>
        <v>30366.783333333333</v>
      </c>
      <c r="AF276" s="33">
        <f>IF('PV IN'!$F$4="Battery Only",0,AE276*'Batt IN'!$E$29)</f>
        <v>25811.765833333331</v>
      </c>
      <c r="AG276" s="33">
        <f>PVCalcs!L276</f>
        <v>25811.765833333331</v>
      </c>
      <c r="AH276" s="33">
        <f t="shared" si="84"/>
        <v>4555.0175000000017</v>
      </c>
      <c r="AI276" s="33"/>
      <c r="AJ276" s="2">
        <f>IF(AND('Batt IN'!$D$53="Yes",$AL$1&gt;=1),IF($C276='Batt IN'!$H$54*12,-'Batt IN'!$F$54,0),0)</f>
        <v>0</v>
      </c>
      <c r="AK276" s="2">
        <f>IF(AND('Batt IN'!$D$53="Yes",$AL$1&gt;=2),IF($C276='Batt IN'!$H$55*12,-'Batt IN'!$F$55,0),0)</f>
        <v>0</v>
      </c>
      <c r="AL276" s="2">
        <f>IF(AND('Batt IN'!$D$53="Yes",$AL$1&gt;=3),IF($C276='Batt IN'!$H$56*12,-'Batt IN'!$F$56,0),0)</f>
        <v>0</v>
      </c>
      <c r="AM276" s="2">
        <f>IF(AND('Batt IN'!$D$53="Yes",$AL$1&gt;=4),IF($C276='Batt IN'!$H$57*12,-'Batt IN'!$F$57,0),0)</f>
        <v>0</v>
      </c>
      <c r="AN276" s="2">
        <f>IF(AND('Batt IN'!$D$53="Yes",$AL$1&gt;=5),IF($C276='Batt IN'!$H$58*12,-'Batt IN'!$F$58,0),0)</f>
        <v>0</v>
      </c>
      <c r="AO276" s="10">
        <f>IF(AND('Batt IN'!$D$44="YES",$C276&lt;='Batt IN'!$E$44*12),-'Batt IN'!$E$28*'Batt IN'!$E$42/12,0)</f>
        <v>0</v>
      </c>
      <c r="AP276" s="10">
        <f>IF(AND('Batt IN'!$D$46="YES",$C276&lt;='Batt IN'!$E$46*12),-'Batt IN'!$E$28*'Batt IN'!$E$45/12,0)</f>
        <v>0</v>
      </c>
      <c r="AR276" s="10">
        <f>BattLoan!M303</f>
        <v>0</v>
      </c>
      <c r="AS276" s="10">
        <f>'Batt IN'!$G$16*365/12*'Batt IN'!$E$16</f>
        <v>76.041666666666671</v>
      </c>
      <c r="AT276" s="10">
        <f>IF(AND('Batt IN'!$E$18&gt;0,'Batt IN'!$G$18&gt;0),'Batt IN'!$E$17*'Batt IN'!$G$17,0)</f>
        <v>119.44619999999999</v>
      </c>
      <c r="AU276" s="10">
        <f>IF(AND('Batt IN'!$E$20&gt;0,'Batt IN'!$G$20&gt;0),'Batt IN'!$E$19*'Batt IN'!$G$19,0)</f>
        <v>231</v>
      </c>
      <c r="AV276" s="10"/>
      <c r="AW276" s="10"/>
      <c r="AX276" s="10">
        <f>IF('Batt IN'!$E$11="Non-Taxable",Q276,0)</f>
        <v>11168.08</v>
      </c>
      <c r="AY276" s="10">
        <f>IF('Batt IN'!$E$11="Non-Taxable",'Batt IN'!$E$28/1000*'Batt IN'!$G$13*('Batt IN'!$E$13/12)*'Batt IN'!$E$12,0)</f>
        <v>244.42220833333334</v>
      </c>
      <c r="AZ276" s="10">
        <f>IF('Batt IN'!$E$11="Non-Taxable",$S276*'Batt IN'!$G$15*'Batt IN'!$E$28*'Batt IN'!$E$14/1000,0)</f>
        <v>0</v>
      </c>
      <c r="BA276" s="10">
        <f>IF('Batt IN'!$E$11="Non-Taxable",'Batt IN'!$E$21*'Batt IN'!$G$21/12,0)</f>
        <v>437.5</v>
      </c>
      <c r="BB276" s="10">
        <f>IF('Batt IN'!$E$11="Non-Taxable",'Batt IN'!$E$22*'Batt IN'!$G$22/12,0)</f>
        <v>1145.8333333333335</v>
      </c>
      <c r="BC276" s="10">
        <f>IF('Batt IN'!$E$11="Taxable",Q276,0)</f>
        <v>0</v>
      </c>
      <c r="BD276" s="10">
        <f>IF('Batt IN'!$E$11="Taxable",'Batt IN'!$E$28/1000*'Batt IN'!$G$13*('Batt IN'!$E$13/12)*'Batt IN'!$E$12,0)</f>
        <v>0</v>
      </c>
      <c r="BE276" s="10">
        <f>IF('Batt IN'!$E$11="Taxable",$S276*'Batt IN'!$G$15*'Batt IN'!$E$28*'Batt IN'!$E$14/1000,0)</f>
        <v>0</v>
      </c>
      <c r="BF276" s="10">
        <f>IF('Batt IN'!$E$11="Taxable",'Batt IN'!$E$21*'Batt IN'!$G$21/12,0)</f>
        <v>0</v>
      </c>
      <c r="BG276" s="10">
        <f>IF('Batt IN'!$E$11="Taxable",'Batt IN'!$E$22*'Batt IN'!$G$22/12,0)</f>
        <v>0</v>
      </c>
      <c r="BK276" s="10">
        <f>IF('Batt IN'!$N$18="Yes",-BattLoan!H304,-BattLoan!L304)</f>
        <v>0</v>
      </c>
      <c r="BL276" s="10">
        <f>IF('Batt IN'!$N$18="Yes",-BattLoan!F304,0)</f>
        <v>0</v>
      </c>
      <c r="BM276" s="10">
        <f>IF(AND('Batt IN'!$D$44="YES",$C276&lt;='Batt IN'!$E$44*12),0,-'Batt IN'!$E$28*'Batt IN'!$E$42/12)</f>
        <v>-83.333333333333329</v>
      </c>
      <c r="BN276" s="10">
        <f>IF(AND('Batt IN'!$D$46="YES",$C276&lt;='Batt IN'!$E$46*12),0,-'Batt IN'!$E$28*'Batt IN'!$E$45/12)</f>
        <v>-166.66666666666666</v>
      </c>
      <c r="BO276" s="2">
        <f>IF(AND('Batt IN'!$D$41="YES",BattCalcs!C276=ROUNDUP('Batt IN'!$H$41*12,)),-'Batt IN'!$E$41*'Batt IN'!$E$28,0)</f>
        <v>0</v>
      </c>
      <c r="BP276" s="2">
        <f>IF(AND('Batt IN'!$D$53="Yes",$AL$1&gt;=1),0,IF($C276='Batt IN'!$H$54*12,-'Batt IN'!$F$54,0))</f>
        <v>0</v>
      </c>
      <c r="BQ276" s="2">
        <f>IF(AND('Batt IN'!$D$53="Yes",$AL$1&gt;=2),0,IF($C276='Batt IN'!$H$55*12,-'Batt IN'!$F$55,0))</f>
        <v>0</v>
      </c>
      <c r="BR276" s="2">
        <f>IF(AND('Batt IN'!$D$53="Yes",$AL$1&gt;=3),0,IF($C276='Batt IN'!$H$56*12,-'Batt IN'!$F$56,0))</f>
        <v>0</v>
      </c>
      <c r="BS276" s="2">
        <f>IF(AND('Batt IN'!$D$53="Yes",$AL$1&gt;=4),0,IF($C276='Batt IN'!$H$57*12,-'Batt IN'!$F$57,0))</f>
        <v>0</v>
      </c>
      <c r="BT276" s="2">
        <f>IF(AND('Batt IN'!$D$53="Yes",$AL$1&gt;=5),0,IF($C276='Batt IN'!$H$58*12,-'Batt IN'!$F$58,0))</f>
        <v>0</v>
      </c>
      <c r="BU276" s="2">
        <f>-AH276*PVCalcs!F276</f>
        <v>-378.83856747753731</v>
      </c>
      <c r="BV276" s="2">
        <f>-'Batt IN'!$E$47</f>
        <v>-150</v>
      </c>
      <c r="BW276" s="2">
        <f>-'Batt IN'!$E$49</f>
        <v>-2250</v>
      </c>
      <c r="BX276" s="2">
        <f>IF('Batt IN'!$H$50="No",-(BC276*'Batt IN'!$E$50),-(BC276+BE276)*'Batt IN'!$E$50)</f>
        <v>0</v>
      </c>
      <c r="BY276" s="2">
        <f>IF(C276='Batt IN'!$H$43*12,-'Batt IN'!$E$43,0)</f>
        <v>0</v>
      </c>
      <c r="BZ276" s="38"/>
      <c r="CA276" s="10">
        <f t="shared" si="68"/>
        <v>13422.323408333334</v>
      </c>
      <c r="CB276" s="2">
        <f t="shared" si="72"/>
        <v>-3028.8385674775373</v>
      </c>
      <c r="CC276" s="45">
        <f t="shared" si="73"/>
        <v>10393.484840855795</v>
      </c>
      <c r="CD276" s="43"/>
      <c r="CE276" s="2">
        <f t="shared" si="69"/>
        <v>0</v>
      </c>
      <c r="CF276" s="2">
        <f t="shared" si="74"/>
        <v>-3028.8385674775373</v>
      </c>
      <c r="CG276" s="2"/>
      <c r="CH276" s="2">
        <f t="shared" si="75"/>
        <v>-3028.8385674775373</v>
      </c>
      <c r="CI276" s="45">
        <f>-CH276*'Batt IN'!$E$7</f>
        <v>636.05609917028278</v>
      </c>
      <c r="CJ276" s="48"/>
      <c r="CK276" s="45">
        <f>IF('Batt IN'!$F$4="PV Only",0,IF(C276&gt;'Batt IN'!$H$43*12,0,CC276+CI276))</f>
        <v>0</v>
      </c>
      <c r="CM276" s="10">
        <f t="shared" si="76"/>
        <v>0</v>
      </c>
      <c r="CN276" s="2">
        <f>CK276/(1+('Batt IN'!$G$8))^(C276)</f>
        <v>0</v>
      </c>
      <c r="CO276" s="2" t="e">
        <f>IF(C276&lt;='Batt IN'!$O$30*12,CN276+CO275,NA())</f>
        <v>#N/A</v>
      </c>
      <c r="CQ276" s="2">
        <f>CK276/((1+('Batt IN'!$E$8/12))^BattCalcs!C276)</f>
        <v>0</v>
      </c>
      <c r="CS276" s="10">
        <f t="shared" si="77"/>
        <v>-3028.8385674775373</v>
      </c>
      <c r="CT276" s="10">
        <f t="shared" si="78"/>
        <v>0</v>
      </c>
      <c r="CU276" s="10">
        <f t="shared" si="79"/>
        <v>-3028.8385674775373</v>
      </c>
      <c r="CV276" s="10">
        <f t="shared" si="80"/>
        <v>-3028.8385674775373</v>
      </c>
      <c r="CW276" s="2">
        <f t="shared" si="81"/>
        <v>0</v>
      </c>
      <c r="CX276" s="2">
        <f>-(SUM(CV276:CW276)*'PV IN'!$E$8)</f>
        <v>636.05609917028278</v>
      </c>
      <c r="CY276" s="2">
        <f t="shared" si="82"/>
        <v>-2392.7824683072545</v>
      </c>
      <c r="CZ276" s="2">
        <f>IF(C276&lt;='Batt IN'!$H$43*12,CY276/(1+('PV IN'!$G$9))^(C276),0)</f>
        <v>-791.79442410373542</v>
      </c>
      <c r="DA276" s="33">
        <f>IF(C276&lt;='Batt IN'!$H$43*12,AE276,0)</f>
        <v>30366.783333333333</v>
      </c>
    </row>
    <row r="277" spans="1:105" x14ac:dyDescent="0.25">
      <c r="A277">
        <f>IF(C277&lt;='Batt IN'!$H$43*12,C277,"")</f>
        <v>273</v>
      </c>
      <c r="C277">
        <v>273</v>
      </c>
      <c r="D277" s="21">
        <v>730</v>
      </c>
      <c r="E277" s="1">
        <f>1-'Batt IN'!$E$31</f>
        <v>2.0000000000000018E-2</v>
      </c>
      <c r="F277" s="12">
        <f>('Batt IN'!$E$33*365)/8760</f>
        <v>0</v>
      </c>
      <c r="G277" s="22">
        <f>'Batt IN'!$E$32/8760</f>
        <v>5.7077625570776253E-3</v>
      </c>
      <c r="H277" s="22">
        <f>'Batt IN'!$E$13/8760</f>
        <v>5.5936073059360729E-3</v>
      </c>
      <c r="I277" s="23">
        <f>IF(C277&lt;='Batt IN'!$G$14*12,'Batt IN'!$E$15/8760*'Batt IN'!$G$15,0)</f>
        <v>0</v>
      </c>
      <c r="J277" s="12">
        <f>Z277/'Batt IN'!$E$27/730</f>
        <v>2.4999999999999996E-3</v>
      </c>
      <c r="K277" s="23">
        <f>AA277/'Batt IN'!$E$27/730</f>
        <v>1.6027397260273972E-3</v>
      </c>
      <c r="L277" s="23">
        <f>AB277/'Batt IN'!$E$27/730</f>
        <v>2.0547945205479451E-4</v>
      </c>
      <c r="M277" s="23">
        <f>AC277/'Batt IN'!$E$27/730</f>
        <v>4.7945205479452057E-3</v>
      </c>
      <c r="N277" s="23">
        <f>AD277/'Batt IN'!$E$27/730</f>
        <v>3.4246575342465752E-3</v>
      </c>
      <c r="O277" s="12">
        <f t="shared" si="70"/>
        <v>4.3828767123287697E-2</v>
      </c>
      <c r="P277" s="21">
        <f t="shared" si="71"/>
        <v>698.005</v>
      </c>
      <c r="Q277" s="2">
        <f>IF('Batt IN'!$E$27*'Batt IN'!$E$24&lt;='Batt IN'!$E$28,(('Batt IN'!$E$23*'Batt IN'!$E$27*'Batt IN'!$E$24)/1000)*P277,(('Batt IN'!$E$23*'Batt IN'!$E$28*'Batt IN'!$E$24)/1000)*P277)</f>
        <v>11168.08</v>
      </c>
      <c r="R277" s="2"/>
      <c r="S277" s="77">
        <f>IF(C277&lt;='Batt IN'!$G$14*12,'Batt IN'!$E$15/12,0)</f>
        <v>0</v>
      </c>
      <c r="T277" s="77"/>
      <c r="U277" s="80">
        <f>'Batt IN'!$E$28*('Batt IN'!$G$24/24)*730*(1-O277)</f>
        <v>81433.916666666657</v>
      </c>
      <c r="V277" s="78">
        <f>U277*'Batt IN'!$F$30</f>
        <v>16286.783333333333</v>
      </c>
      <c r="W277" s="78">
        <f>'Batt IN'!$E$28*'Batt IN'!$G$32*('Batt IN'!$E$32/12)*(1+'Batt IN'!$F$30)</f>
        <v>1750.0000000000002</v>
      </c>
      <c r="X277" s="78">
        <f>'Batt IN'!$E$28*'Batt IN'!$G$13*('Batt IN'!$E$13/12)*(1+'Batt IN'!$F$30)</f>
        <v>3184.9999999999995</v>
      </c>
      <c r="Y277" s="33">
        <f>S277*'Batt IN'!$G$15*'Batt IN'!$E$28*(1+'Batt IN'!$F$30)</f>
        <v>0</v>
      </c>
      <c r="Z277" s="33">
        <f>'Batt IN'!$G$16*365/12*(1+'Batt IN'!$F$30)</f>
        <v>1824.9999999999998</v>
      </c>
      <c r="AA277" s="33">
        <f>'Batt IN'!$G$17*'Batt IN'!$E$18*'Batt IN'!$G$18/12*(1+'Batt IN'!$F$30)</f>
        <v>1170</v>
      </c>
      <c r="AB277" s="33">
        <f>'Batt IN'!$G$19*'Batt IN'!$E$20*'Batt IN'!$G$20/12*(1+'Batt IN'!$F$30)</f>
        <v>150</v>
      </c>
      <c r="AC277" s="33">
        <f>'Batt IN'!$G$21*(1+'Batt IN'!$F$30)/12</f>
        <v>3500</v>
      </c>
      <c r="AD277" s="33">
        <f>'Batt IN'!$G$22*(1+'Batt IN'!$F$30)/12</f>
        <v>2500</v>
      </c>
      <c r="AE277" s="33">
        <f t="shared" si="83"/>
        <v>30366.783333333333</v>
      </c>
      <c r="AF277" s="33">
        <f>IF('PV IN'!$F$4="Battery Only",0,AE277*'Batt IN'!$E$29)</f>
        <v>25811.765833333331</v>
      </c>
      <c r="AG277" s="33">
        <f>PVCalcs!L277</f>
        <v>25811.765833333331</v>
      </c>
      <c r="AH277" s="33">
        <f t="shared" si="84"/>
        <v>4555.0175000000017</v>
      </c>
      <c r="AI277" s="33"/>
      <c r="AJ277" s="2">
        <f>IF(AND('Batt IN'!$D$53="Yes",$AL$1&gt;=1),IF($C277='Batt IN'!$H$54*12,-'Batt IN'!$F$54,0),0)</f>
        <v>0</v>
      </c>
      <c r="AK277" s="2">
        <f>IF(AND('Batt IN'!$D$53="Yes",$AL$1&gt;=2),IF($C277='Batt IN'!$H$55*12,-'Batt IN'!$F$55,0),0)</f>
        <v>0</v>
      </c>
      <c r="AL277" s="2">
        <f>IF(AND('Batt IN'!$D$53="Yes",$AL$1&gt;=3),IF($C277='Batt IN'!$H$56*12,-'Batt IN'!$F$56,0),0)</f>
        <v>0</v>
      </c>
      <c r="AM277" s="2">
        <f>IF(AND('Batt IN'!$D$53="Yes",$AL$1&gt;=4),IF($C277='Batt IN'!$H$57*12,-'Batt IN'!$F$57,0),0)</f>
        <v>0</v>
      </c>
      <c r="AN277" s="2">
        <f>IF(AND('Batt IN'!$D$53="Yes",$AL$1&gt;=5),IF($C277='Batt IN'!$H$58*12,-'Batt IN'!$F$58,0),0)</f>
        <v>0</v>
      </c>
      <c r="AO277" s="10">
        <f>IF(AND('Batt IN'!$D$44="YES",$C277&lt;='Batt IN'!$E$44*12),-'Batt IN'!$E$28*'Batt IN'!$E$42/12,0)</f>
        <v>0</v>
      </c>
      <c r="AP277" s="10">
        <f>IF(AND('Batt IN'!$D$46="YES",$C277&lt;='Batt IN'!$E$46*12),-'Batt IN'!$E$28*'Batt IN'!$E$45/12,0)</f>
        <v>0</v>
      </c>
      <c r="AR277" s="10">
        <f>BattLoan!M304</f>
        <v>0</v>
      </c>
      <c r="AS277" s="10">
        <f>'Batt IN'!$G$16*365/12*'Batt IN'!$E$16</f>
        <v>76.041666666666671</v>
      </c>
      <c r="AT277" s="10">
        <f>IF(AND('Batt IN'!$E$18&gt;0,'Batt IN'!$G$18&gt;0),'Batt IN'!$E$17*'Batt IN'!$G$17,0)</f>
        <v>119.44619999999999</v>
      </c>
      <c r="AU277" s="10">
        <f>IF(AND('Batt IN'!$E$20&gt;0,'Batt IN'!$G$20&gt;0),'Batt IN'!$E$19*'Batt IN'!$G$19,0)</f>
        <v>231</v>
      </c>
      <c r="AV277" s="10"/>
      <c r="AW277" s="10"/>
      <c r="AX277" s="10">
        <f>IF('Batt IN'!$E$11="Non-Taxable",Q277,0)</f>
        <v>11168.08</v>
      </c>
      <c r="AY277" s="10">
        <f>IF('Batt IN'!$E$11="Non-Taxable",'Batt IN'!$E$28/1000*'Batt IN'!$G$13*('Batt IN'!$E$13/12)*'Batt IN'!$E$12,0)</f>
        <v>244.42220833333334</v>
      </c>
      <c r="AZ277" s="10">
        <f>IF('Batt IN'!$E$11="Non-Taxable",$S277*'Batt IN'!$G$15*'Batt IN'!$E$28*'Batt IN'!$E$14/1000,0)</f>
        <v>0</v>
      </c>
      <c r="BA277" s="10">
        <f>IF('Batt IN'!$E$11="Non-Taxable",'Batt IN'!$E$21*'Batt IN'!$G$21/12,0)</f>
        <v>437.5</v>
      </c>
      <c r="BB277" s="10">
        <f>IF('Batt IN'!$E$11="Non-Taxable",'Batt IN'!$E$22*'Batt IN'!$G$22/12,0)</f>
        <v>1145.8333333333335</v>
      </c>
      <c r="BC277" s="10">
        <f>IF('Batt IN'!$E$11="Taxable",Q277,0)</f>
        <v>0</v>
      </c>
      <c r="BD277" s="10">
        <f>IF('Batt IN'!$E$11="Taxable",'Batt IN'!$E$28/1000*'Batt IN'!$G$13*('Batt IN'!$E$13/12)*'Batt IN'!$E$12,0)</f>
        <v>0</v>
      </c>
      <c r="BE277" s="10">
        <f>IF('Batt IN'!$E$11="Taxable",$S277*'Batt IN'!$G$15*'Batt IN'!$E$28*'Batt IN'!$E$14/1000,0)</f>
        <v>0</v>
      </c>
      <c r="BF277" s="10">
        <f>IF('Batt IN'!$E$11="Taxable",'Batt IN'!$E$21*'Batt IN'!$G$21/12,0)</f>
        <v>0</v>
      </c>
      <c r="BG277" s="10">
        <f>IF('Batt IN'!$E$11="Taxable",'Batt IN'!$E$22*'Batt IN'!$G$22/12,0)</f>
        <v>0</v>
      </c>
      <c r="BK277" s="10">
        <f>IF('Batt IN'!$N$18="Yes",-BattLoan!H305,-BattLoan!L305)</f>
        <v>0</v>
      </c>
      <c r="BL277" s="10">
        <f>IF('Batt IN'!$N$18="Yes",-BattLoan!F305,0)</f>
        <v>0</v>
      </c>
      <c r="BM277" s="10">
        <f>IF(AND('Batt IN'!$D$44="YES",$C277&lt;='Batt IN'!$E$44*12),0,-'Batt IN'!$E$28*'Batt IN'!$E$42/12)</f>
        <v>-83.333333333333329</v>
      </c>
      <c r="BN277" s="10">
        <f>IF(AND('Batt IN'!$D$46="YES",$C277&lt;='Batt IN'!$E$46*12),0,-'Batt IN'!$E$28*'Batt IN'!$E$45/12)</f>
        <v>-166.66666666666666</v>
      </c>
      <c r="BO277" s="2">
        <f>IF(AND('Batt IN'!$D$41="YES",BattCalcs!C277=ROUNDUP('Batt IN'!$H$41*12,)),-'Batt IN'!$E$41*'Batt IN'!$E$28,0)</f>
        <v>0</v>
      </c>
      <c r="BP277" s="2">
        <f>IF(AND('Batt IN'!$D$53="Yes",$AL$1&gt;=1),0,IF($C277='Batt IN'!$H$54*12,-'Batt IN'!$F$54,0))</f>
        <v>0</v>
      </c>
      <c r="BQ277" s="2">
        <f>IF(AND('Batt IN'!$D$53="Yes",$AL$1&gt;=2),0,IF($C277='Batt IN'!$H$55*12,-'Batt IN'!$F$55,0))</f>
        <v>0</v>
      </c>
      <c r="BR277" s="2">
        <f>IF(AND('Batt IN'!$D$53="Yes",$AL$1&gt;=3),0,IF($C277='Batt IN'!$H$56*12,-'Batt IN'!$F$56,0))</f>
        <v>0</v>
      </c>
      <c r="BS277" s="2">
        <f>IF(AND('Batt IN'!$D$53="Yes",$AL$1&gt;=4),0,IF($C277='Batt IN'!$H$57*12,-'Batt IN'!$F$57,0))</f>
        <v>0</v>
      </c>
      <c r="BT277" s="2">
        <f>IF(AND('Batt IN'!$D$53="Yes",$AL$1&gt;=5),0,IF($C277='Batt IN'!$H$58*12,-'Batt IN'!$F$58,0))</f>
        <v>0</v>
      </c>
      <c r="BU277" s="2">
        <f>-AH277*PVCalcs!F277</f>
        <v>-378.83856747753731</v>
      </c>
      <c r="BV277" s="2">
        <f>-'Batt IN'!$E$47</f>
        <v>-150</v>
      </c>
      <c r="BW277" s="2">
        <f>-'Batt IN'!$E$49</f>
        <v>-2250</v>
      </c>
      <c r="BX277" s="2">
        <f>IF('Batt IN'!$H$50="No",-(BC277*'Batt IN'!$E$50),-(BC277+BE277)*'Batt IN'!$E$50)</f>
        <v>0</v>
      </c>
      <c r="BY277" s="2">
        <f>IF(C277='Batt IN'!$H$43*12,-'Batt IN'!$E$43,0)</f>
        <v>0</v>
      </c>
      <c r="BZ277" s="38"/>
      <c r="CA277" s="10">
        <f t="shared" si="68"/>
        <v>13422.323408333334</v>
      </c>
      <c r="CB277" s="2">
        <f t="shared" si="72"/>
        <v>-3028.8385674775373</v>
      </c>
      <c r="CC277" s="45">
        <f t="shared" si="73"/>
        <v>10393.484840855795</v>
      </c>
      <c r="CD277" s="43"/>
      <c r="CE277" s="2">
        <f t="shared" si="69"/>
        <v>0</v>
      </c>
      <c r="CF277" s="2">
        <f t="shared" si="74"/>
        <v>-3028.8385674775373</v>
      </c>
      <c r="CG277" s="2"/>
      <c r="CH277" s="2">
        <f t="shared" si="75"/>
        <v>-3028.8385674775373</v>
      </c>
      <c r="CI277" s="45">
        <f>-CH277*'Batt IN'!$E$7</f>
        <v>636.05609917028278</v>
      </c>
      <c r="CJ277" s="48"/>
      <c r="CK277" s="45">
        <f>IF('Batt IN'!$F$4="PV Only",0,IF(C277&gt;'Batt IN'!$H$43*12,0,CC277+CI277))</f>
        <v>0</v>
      </c>
      <c r="CM277" s="10">
        <f t="shared" si="76"/>
        <v>0</v>
      </c>
      <c r="CN277" s="2">
        <f>CK277/(1+('Batt IN'!$G$8))^(C277)</f>
        <v>0</v>
      </c>
      <c r="CO277" s="2" t="e">
        <f>IF(C277&lt;='Batt IN'!$O$30*12,CN277+CO276,NA())</f>
        <v>#N/A</v>
      </c>
      <c r="CQ277" s="2">
        <f>CK277/((1+('Batt IN'!$E$8/12))^BattCalcs!C277)</f>
        <v>0</v>
      </c>
      <c r="CS277" s="10">
        <f t="shared" si="77"/>
        <v>-3028.8385674775373</v>
      </c>
      <c r="CT277" s="10">
        <f t="shared" si="78"/>
        <v>0</v>
      </c>
      <c r="CU277" s="10">
        <f t="shared" si="79"/>
        <v>-3028.8385674775373</v>
      </c>
      <c r="CV277" s="10">
        <f t="shared" si="80"/>
        <v>-3028.8385674775373</v>
      </c>
      <c r="CW277" s="2">
        <f t="shared" si="81"/>
        <v>0</v>
      </c>
      <c r="CX277" s="2">
        <f>-(SUM(CV277:CW277)*'PV IN'!$E$8)</f>
        <v>636.05609917028278</v>
      </c>
      <c r="CY277" s="2">
        <f t="shared" si="82"/>
        <v>-2392.7824683072545</v>
      </c>
      <c r="CZ277" s="2">
        <f>IF(C277&lt;='Batt IN'!$H$43*12,CY277/(1+('PV IN'!$G$9))^(C277),0)</f>
        <v>-788.58164486902615</v>
      </c>
      <c r="DA277" s="33">
        <f>IF(C277&lt;='Batt IN'!$H$43*12,AE277,0)</f>
        <v>30366.783333333333</v>
      </c>
    </row>
    <row r="278" spans="1:105" x14ac:dyDescent="0.25">
      <c r="A278">
        <f>IF(C278&lt;='Batt IN'!$H$43*12,C278,"")</f>
        <v>274</v>
      </c>
      <c r="C278">
        <v>274</v>
      </c>
      <c r="D278" s="21">
        <v>730</v>
      </c>
      <c r="E278" s="1">
        <f>1-'Batt IN'!$E$31</f>
        <v>2.0000000000000018E-2</v>
      </c>
      <c r="F278" s="12">
        <f>('Batt IN'!$E$33*365)/8760</f>
        <v>0</v>
      </c>
      <c r="G278" s="22">
        <f>'Batt IN'!$E$32/8760</f>
        <v>5.7077625570776253E-3</v>
      </c>
      <c r="H278" s="22">
        <f>'Batt IN'!$E$13/8760</f>
        <v>5.5936073059360729E-3</v>
      </c>
      <c r="I278" s="23">
        <f>IF(C278&lt;='Batt IN'!$G$14*12,'Batt IN'!$E$15/8760*'Batt IN'!$G$15,0)</f>
        <v>0</v>
      </c>
      <c r="J278" s="12">
        <f>Z278/'Batt IN'!$E$27/730</f>
        <v>2.4999999999999996E-3</v>
      </c>
      <c r="K278" s="23">
        <f>AA278/'Batt IN'!$E$27/730</f>
        <v>1.6027397260273972E-3</v>
      </c>
      <c r="L278" s="23">
        <f>AB278/'Batt IN'!$E$27/730</f>
        <v>2.0547945205479451E-4</v>
      </c>
      <c r="M278" s="23">
        <f>AC278/'Batt IN'!$E$27/730</f>
        <v>4.7945205479452057E-3</v>
      </c>
      <c r="N278" s="23">
        <f>AD278/'Batt IN'!$E$27/730</f>
        <v>3.4246575342465752E-3</v>
      </c>
      <c r="O278" s="12">
        <f t="shared" si="70"/>
        <v>4.3828767123287697E-2</v>
      </c>
      <c r="P278" s="21">
        <f t="shared" si="71"/>
        <v>698.005</v>
      </c>
      <c r="Q278" s="2">
        <f>IF('Batt IN'!$E$27*'Batt IN'!$E$24&lt;='Batt IN'!$E$28,(('Batt IN'!$E$23*'Batt IN'!$E$27*'Batt IN'!$E$24)/1000)*P278,(('Batt IN'!$E$23*'Batt IN'!$E$28*'Batt IN'!$E$24)/1000)*P278)</f>
        <v>11168.08</v>
      </c>
      <c r="R278" s="2"/>
      <c r="S278" s="77">
        <f>IF(C278&lt;='Batt IN'!$G$14*12,'Batt IN'!$E$15/12,0)</f>
        <v>0</v>
      </c>
      <c r="T278" s="77"/>
      <c r="U278" s="80">
        <f>'Batt IN'!$E$28*('Batt IN'!$G$24/24)*730*(1-O278)</f>
        <v>81433.916666666657</v>
      </c>
      <c r="V278" s="78">
        <f>U278*'Batt IN'!$F$30</f>
        <v>16286.783333333333</v>
      </c>
      <c r="W278" s="78">
        <f>'Batt IN'!$E$28*'Batt IN'!$G$32*('Batt IN'!$E$32/12)*(1+'Batt IN'!$F$30)</f>
        <v>1750.0000000000002</v>
      </c>
      <c r="X278" s="78">
        <f>'Batt IN'!$E$28*'Batt IN'!$G$13*('Batt IN'!$E$13/12)*(1+'Batt IN'!$F$30)</f>
        <v>3184.9999999999995</v>
      </c>
      <c r="Y278" s="33">
        <f>S278*'Batt IN'!$G$15*'Batt IN'!$E$28*(1+'Batt IN'!$F$30)</f>
        <v>0</v>
      </c>
      <c r="Z278" s="33">
        <f>'Batt IN'!$G$16*365/12*(1+'Batt IN'!$F$30)</f>
        <v>1824.9999999999998</v>
      </c>
      <c r="AA278" s="33">
        <f>'Batt IN'!$G$17*'Batt IN'!$E$18*'Batt IN'!$G$18/12*(1+'Batt IN'!$F$30)</f>
        <v>1170</v>
      </c>
      <c r="AB278" s="33">
        <f>'Batt IN'!$G$19*'Batt IN'!$E$20*'Batt IN'!$G$20/12*(1+'Batt IN'!$F$30)</f>
        <v>150</v>
      </c>
      <c r="AC278" s="33">
        <f>'Batt IN'!$G$21*(1+'Batt IN'!$F$30)/12</f>
        <v>3500</v>
      </c>
      <c r="AD278" s="33">
        <f>'Batt IN'!$G$22*(1+'Batt IN'!$F$30)/12</f>
        <v>2500</v>
      </c>
      <c r="AE278" s="33">
        <f t="shared" si="83"/>
        <v>30366.783333333333</v>
      </c>
      <c r="AF278" s="33">
        <f>IF('PV IN'!$F$4="Battery Only",0,AE278*'Batt IN'!$E$29)</f>
        <v>25811.765833333331</v>
      </c>
      <c r="AG278" s="33">
        <f>PVCalcs!L278</f>
        <v>25811.765833333331</v>
      </c>
      <c r="AH278" s="33">
        <f t="shared" si="84"/>
        <v>4555.0175000000017</v>
      </c>
      <c r="AI278" s="33"/>
      <c r="AJ278" s="2">
        <f>IF(AND('Batt IN'!$D$53="Yes",$AL$1&gt;=1),IF($C278='Batt IN'!$H$54*12,-'Batt IN'!$F$54,0),0)</f>
        <v>0</v>
      </c>
      <c r="AK278" s="2">
        <f>IF(AND('Batt IN'!$D$53="Yes",$AL$1&gt;=2),IF($C278='Batt IN'!$H$55*12,-'Batt IN'!$F$55,0),0)</f>
        <v>0</v>
      </c>
      <c r="AL278" s="2">
        <f>IF(AND('Batt IN'!$D$53="Yes",$AL$1&gt;=3),IF($C278='Batt IN'!$H$56*12,-'Batt IN'!$F$56,0),0)</f>
        <v>0</v>
      </c>
      <c r="AM278" s="2">
        <f>IF(AND('Batt IN'!$D$53="Yes",$AL$1&gt;=4),IF($C278='Batt IN'!$H$57*12,-'Batt IN'!$F$57,0),0)</f>
        <v>0</v>
      </c>
      <c r="AN278" s="2">
        <f>IF(AND('Batt IN'!$D$53="Yes",$AL$1&gt;=5),IF($C278='Batt IN'!$H$58*12,-'Batt IN'!$F$58,0),0)</f>
        <v>0</v>
      </c>
      <c r="AO278" s="10">
        <f>IF(AND('Batt IN'!$D$44="YES",$C278&lt;='Batt IN'!$E$44*12),-'Batt IN'!$E$28*'Batt IN'!$E$42/12,0)</f>
        <v>0</v>
      </c>
      <c r="AP278" s="10">
        <f>IF(AND('Batt IN'!$D$46="YES",$C278&lt;='Batt IN'!$E$46*12),-'Batt IN'!$E$28*'Batt IN'!$E$45/12,0)</f>
        <v>0</v>
      </c>
      <c r="AR278" s="10">
        <f>BattLoan!M305</f>
        <v>0</v>
      </c>
      <c r="AS278" s="10">
        <f>'Batt IN'!$G$16*365/12*'Batt IN'!$E$16</f>
        <v>76.041666666666671</v>
      </c>
      <c r="AT278" s="10">
        <f>IF(AND('Batt IN'!$E$18&gt;0,'Batt IN'!$G$18&gt;0),'Batt IN'!$E$17*'Batt IN'!$G$17,0)</f>
        <v>119.44619999999999</v>
      </c>
      <c r="AU278" s="10">
        <f>IF(AND('Batt IN'!$E$20&gt;0,'Batt IN'!$G$20&gt;0),'Batt IN'!$E$19*'Batt IN'!$G$19,0)</f>
        <v>231</v>
      </c>
      <c r="AV278" s="10"/>
      <c r="AW278" s="10"/>
      <c r="AX278" s="10">
        <f>IF('Batt IN'!$E$11="Non-Taxable",Q278,0)</f>
        <v>11168.08</v>
      </c>
      <c r="AY278" s="10">
        <f>IF('Batt IN'!$E$11="Non-Taxable",'Batt IN'!$E$28/1000*'Batt IN'!$G$13*('Batt IN'!$E$13/12)*'Batt IN'!$E$12,0)</f>
        <v>244.42220833333334</v>
      </c>
      <c r="AZ278" s="10">
        <f>IF('Batt IN'!$E$11="Non-Taxable",$S278*'Batt IN'!$G$15*'Batt IN'!$E$28*'Batt IN'!$E$14/1000,0)</f>
        <v>0</v>
      </c>
      <c r="BA278" s="10">
        <f>IF('Batt IN'!$E$11="Non-Taxable",'Batt IN'!$E$21*'Batt IN'!$G$21/12,0)</f>
        <v>437.5</v>
      </c>
      <c r="BB278" s="10">
        <f>IF('Batt IN'!$E$11="Non-Taxable",'Batt IN'!$E$22*'Batt IN'!$G$22/12,0)</f>
        <v>1145.8333333333335</v>
      </c>
      <c r="BC278" s="10">
        <f>IF('Batt IN'!$E$11="Taxable",Q278,0)</f>
        <v>0</v>
      </c>
      <c r="BD278" s="10">
        <f>IF('Batt IN'!$E$11="Taxable",'Batt IN'!$E$28/1000*'Batt IN'!$G$13*('Batt IN'!$E$13/12)*'Batt IN'!$E$12,0)</f>
        <v>0</v>
      </c>
      <c r="BE278" s="10">
        <f>IF('Batt IN'!$E$11="Taxable",$S278*'Batt IN'!$G$15*'Batt IN'!$E$28*'Batt IN'!$E$14/1000,0)</f>
        <v>0</v>
      </c>
      <c r="BF278" s="10">
        <f>IF('Batt IN'!$E$11="Taxable",'Batt IN'!$E$21*'Batt IN'!$G$21/12,0)</f>
        <v>0</v>
      </c>
      <c r="BG278" s="10">
        <f>IF('Batt IN'!$E$11="Taxable",'Batt IN'!$E$22*'Batt IN'!$G$22/12,0)</f>
        <v>0</v>
      </c>
      <c r="BK278" s="10">
        <f>IF('Batt IN'!$N$18="Yes",-BattLoan!H306,-BattLoan!L306)</f>
        <v>0</v>
      </c>
      <c r="BL278" s="10">
        <f>IF('Batt IN'!$N$18="Yes",-BattLoan!F306,0)</f>
        <v>0</v>
      </c>
      <c r="BM278" s="10">
        <f>IF(AND('Batt IN'!$D$44="YES",$C278&lt;='Batt IN'!$E$44*12),0,-'Batt IN'!$E$28*'Batt IN'!$E$42/12)</f>
        <v>-83.333333333333329</v>
      </c>
      <c r="BN278" s="10">
        <f>IF(AND('Batt IN'!$D$46="YES",$C278&lt;='Batt IN'!$E$46*12),0,-'Batt IN'!$E$28*'Batt IN'!$E$45/12)</f>
        <v>-166.66666666666666</v>
      </c>
      <c r="BO278" s="2">
        <f>IF(AND('Batt IN'!$D$41="YES",BattCalcs!C278=ROUNDUP('Batt IN'!$H$41*12,)),-'Batt IN'!$E$41*'Batt IN'!$E$28,0)</f>
        <v>0</v>
      </c>
      <c r="BP278" s="2">
        <f>IF(AND('Batt IN'!$D$53="Yes",$AL$1&gt;=1),0,IF($C278='Batt IN'!$H$54*12,-'Batt IN'!$F$54,0))</f>
        <v>0</v>
      </c>
      <c r="BQ278" s="2">
        <f>IF(AND('Batt IN'!$D$53="Yes",$AL$1&gt;=2),0,IF($C278='Batt IN'!$H$55*12,-'Batt IN'!$F$55,0))</f>
        <v>0</v>
      </c>
      <c r="BR278" s="2">
        <f>IF(AND('Batt IN'!$D$53="Yes",$AL$1&gt;=3),0,IF($C278='Batt IN'!$H$56*12,-'Batt IN'!$F$56,0))</f>
        <v>0</v>
      </c>
      <c r="BS278" s="2">
        <f>IF(AND('Batt IN'!$D$53="Yes",$AL$1&gt;=4),0,IF($C278='Batt IN'!$H$57*12,-'Batt IN'!$F$57,0))</f>
        <v>0</v>
      </c>
      <c r="BT278" s="2">
        <f>IF(AND('Batt IN'!$D$53="Yes",$AL$1&gt;=5),0,IF($C278='Batt IN'!$H$58*12,-'Batt IN'!$F$58,0))</f>
        <v>0</v>
      </c>
      <c r="BU278" s="2">
        <f>-AH278*PVCalcs!F278</f>
        <v>-378.83856747753731</v>
      </c>
      <c r="BV278" s="2">
        <f>-'Batt IN'!$E$47</f>
        <v>-150</v>
      </c>
      <c r="BW278" s="2">
        <f>-'Batt IN'!$E$49</f>
        <v>-2250</v>
      </c>
      <c r="BX278" s="2">
        <f>IF('Batt IN'!$H$50="No",-(BC278*'Batt IN'!$E$50),-(BC278+BE278)*'Batt IN'!$E$50)</f>
        <v>0</v>
      </c>
      <c r="BY278" s="2">
        <f>IF(C278='Batt IN'!$H$43*12,-'Batt IN'!$E$43,0)</f>
        <v>0</v>
      </c>
      <c r="BZ278" s="38"/>
      <c r="CA278" s="10">
        <f t="shared" si="68"/>
        <v>13422.323408333334</v>
      </c>
      <c r="CB278" s="2">
        <f t="shared" si="72"/>
        <v>-3028.8385674775373</v>
      </c>
      <c r="CC278" s="45">
        <f t="shared" si="73"/>
        <v>10393.484840855795</v>
      </c>
      <c r="CD278" s="43"/>
      <c r="CE278" s="2">
        <f t="shared" si="69"/>
        <v>0</v>
      </c>
      <c r="CF278" s="2">
        <f t="shared" si="74"/>
        <v>-3028.8385674775373</v>
      </c>
      <c r="CG278" s="2"/>
      <c r="CH278" s="2">
        <f t="shared" si="75"/>
        <v>-3028.8385674775373</v>
      </c>
      <c r="CI278" s="45">
        <f>-CH278*'Batt IN'!$E$7</f>
        <v>636.05609917028278</v>
      </c>
      <c r="CJ278" s="48"/>
      <c r="CK278" s="45">
        <f>IF('Batt IN'!$F$4="PV Only",0,IF(C278&gt;'Batt IN'!$H$43*12,0,CC278+CI278))</f>
        <v>0</v>
      </c>
      <c r="CM278" s="10">
        <f t="shared" si="76"/>
        <v>0</v>
      </c>
      <c r="CN278" s="2">
        <f>CK278/(1+('Batt IN'!$G$8))^(C278)</f>
        <v>0</v>
      </c>
      <c r="CO278" s="2" t="e">
        <f>IF(C278&lt;='Batt IN'!$O$30*12,CN278+CO277,NA())</f>
        <v>#N/A</v>
      </c>
      <c r="CQ278" s="2">
        <f>CK278/((1+('Batt IN'!$E$8/12))^BattCalcs!C278)</f>
        <v>0</v>
      </c>
      <c r="CS278" s="10">
        <f t="shared" si="77"/>
        <v>-3028.8385674775373</v>
      </c>
      <c r="CT278" s="10">
        <f t="shared" si="78"/>
        <v>0</v>
      </c>
      <c r="CU278" s="10">
        <f t="shared" si="79"/>
        <v>-3028.8385674775373</v>
      </c>
      <c r="CV278" s="10">
        <f t="shared" si="80"/>
        <v>-3028.8385674775373</v>
      </c>
      <c r="CW278" s="2">
        <f t="shared" si="81"/>
        <v>0</v>
      </c>
      <c r="CX278" s="2">
        <f>-(SUM(CV278:CW278)*'PV IN'!$E$8)</f>
        <v>636.05609917028278</v>
      </c>
      <c r="CY278" s="2">
        <f t="shared" si="82"/>
        <v>-2392.7824683072545</v>
      </c>
      <c r="CZ278" s="2">
        <f>IF(C278&lt;='Batt IN'!$H$43*12,CY278/(1+('PV IN'!$G$9))^(C278),0)</f>
        <v>-785.3819017837219</v>
      </c>
      <c r="DA278" s="33">
        <f>IF(C278&lt;='Batt IN'!$H$43*12,AE278,0)</f>
        <v>30366.783333333333</v>
      </c>
    </row>
    <row r="279" spans="1:105" x14ac:dyDescent="0.25">
      <c r="A279">
        <f>IF(C279&lt;='Batt IN'!$H$43*12,C279,"")</f>
        <v>275</v>
      </c>
      <c r="C279">
        <v>275</v>
      </c>
      <c r="D279" s="21">
        <v>730</v>
      </c>
      <c r="E279" s="1">
        <f>1-'Batt IN'!$E$31</f>
        <v>2.0000000000000018E-2</v>
      </c>
      <c r="F279" s="12">
        <f>('Batt IN'!$E$33*365)/8760</f>
        <v>0</v>
      </c>
      <c r="G279" s="22">
        <f>'Batt IN'!$E$32/8760</f>
        <v>5.7077625570776253E-3</v>
      </c>
      <c r="H279" s="22">
        <f>'Batt IN'!$E$13/8760</f>
        <v>5.5936073059360729E-3</v>
      </c>
      <c r="I279" s="23">
        <f>IF(C279&lt;='Batt IN'!$G$14*12,'Batt IN'!$E$15/8760*'Batt IN'!$G$15,0)</f>
        <v>0</v>
      </c>
      <c r="J279" s="12">
        <f>Z279/'Batt IN'!$E$27/730</f>
        <v>2.4999999999999996E-3</v>
      </c>
      <c r="K279" s="23">
        <f>AA279/'Batt IN'!$E$27/730</f>
        <v>1.6027397260273972E-3</v>
      </c>
      <c r="L279" s="23">
        <f>AB279/'Batt IN'!$E$27/730</f>
        <v>2.0547945205479451E-4</v>
      </c>
      <c r="M279" s="23">
        <f>AC279/'Batt IN'!$E$27/730</f>
        <v>4.7945205479452057E-3</v>
      </c>
      <c r="N279" s="23">
        <f>AD279/'Batt IN'!$E$27/730</f>
        <v>3.4246575342465752E-3</v>
      </c>
      <c r="O279" s="12">
        <f t="shared" si="70"/>
        <v>4.3828767123287697E-2</v>
      </c>
      <c r="P279" s="21">
        <f t="shared" si="71"/>
        <v>698.005</v>
      </c>
      <c r="Q279" s="2">
        <f>IF('Batt IN'!$E$27*'Batt IN'!$E$24&lt;='Batt IN'!$E$28,(('Batt IN'!$E$23*'Batt IN'!$E$27*'Batt IN'!$E$24)/1000)*P279,(('Batt IN'!$E$23*'Batt IN'!$E$28*'Batt IN'!$E$24)/1000)*P279)</f>
        <v>11168.08</v>
      </c>
      <c r="R279" s="2"/>
      <c r="S279" s="77">
        <f>IF(C279&lt;='Batt IN'!$G$14*12,'Batt IN'!$E$15/12,0)</f>
        <v>0</v>
      </c>
      <c r="T279" s="77"/>
      <c r="U279" s="80">
        <f>'Batt IN'!$E$28*('Batt IN'!$G$24/24)*730*(1-O279)</f>
        <v>81433.916666666657</v>
      </c>
      <c r="V279" s="78">
        <f>U279*'Batt IN'!$F$30</f>
        <v>16286.783333333333</v>
      </c>
      <c r="W279" s="78">
        <f>'Batt IN'!$E$28*'Batt IN'!$G$32*('Batt IN'!$E$32/12)*(1+'Batt IN'!$F$30)</f>
        <v>1750.0000000000002</v>
      </c>
      <c r="X279" s="78">
        <f>'Batt IN'!$E$28*'Batt IN'!$G$13*('Batt IN'!$E$13/12)*(1+'Batt IN'!$F$30)</f>
        <v>3184.9999999999995</v>
      </c>
      <c r="Y279" s="33">
        <f>S279*'Batt IN'!$G$15*'Batt IN'!$E$28*(1+'Batt IN'!$F$30)</f>
        <v>0</v>
      </c>
      <c r="Z279" s="33">
        <f>'Batt IN'!$G$16*365/12*(1+'Batt IN'!$F$30)</f>
        <v>1824.9999999999998</v>
      </c>
      <c r="AA279" s="33">
        <f>'Batt IN'!$G$17*'Batt IN'!$E$18*'Batt IN'!$G$18/12*(1+'Batt IN'!$F$30)</f>
        <v>1170</v>
      </c>
      <c r="AB279" s="33">
        <f>'Batt IN'!$G$19*'Batt IN'!$E$20*'Batt IN'!$G$20/12*(1+'Batt IN'!$F$30)</f>
        <v>150</v>
      </c>
      <c r="AC279" s="33">
        <f>'Batt IN'!$G$21*(1+'Batt IN'!$F$30)/12</f>
        <v>3500</v>
      </c>
      <c r="AD279" s="33">
        <f>'Batt IN'!$G$22*(1+'Batt IN'!$F$30)/12</f>
        <v>2500</v>
      </c>
      <c r="AE279" s="33">
        <f t="shared" si="83"/>
        <v>30366.783333333333</v>
      </c>
      <c r="AF279" s="33">
        <f>IF('PV IN'!$F$4="Battery Only",0,AE279*'Batt IN'!$E$29)</f>
        <v>25811.765833333331</v>
      </c>
      <c r="AG279" s="33">
        <f>PVCalcs!L279</f>
        <v>25811.765833333331</v>
      </c>
      <c r="AH279" s="33">
        <f t="shared" si="84"/>
        <v>4555.0175000000017</v>
      </c>
      <c r="AI279" s="33"/>
      <c r="AJ279" s="2">
        <f>IF(AND('Batt IN'!$D$53="Yes",$AL$1&gt;=1),IF($C279='Batt IN'!$H$54*12,-'Batt IN'!$F$54,0),0)</f>
        <v>0</v>
      </c>
      <c r="AK279" s="2">
        <f>IF(AND('Batt IN'!$D$53="Yes",$AL$1&gt;=2),IF($C279='Batt IN'!$H$55*12,-'Batt IN'!$F$55,0),0)</f>
        <v>0</v>
      </c>
      <c r="AL279" s="2">
        <f>IF(AND('Batt IN'!$D$53="Yes",$AL$1&gt;=3),IF($C279='Batt IN'!$H$56*12,-'Batt IN'!$F$56,0),0)</f>
        <v>0</v>
      </c>
      <c r="AM279" s="2">
        <f>IF(AND('Batt IN'!$D$53="Yes",$AL$1&gt;=4),IF($C279='Batt IN'!$H$57*12,-'Batt IN'!$F$57,0),0)</f>
        <v>0</v>
      </c>
      <c r="AN279" s="2">
        <f>IF(AND('Batt IN'!$D$53="Yes",$AL$1&gt;=5),IF($C279='Batt IN'!$H$58*12,-'Batt IN'!$F$58,0),0)</f>
        <v>0</v>
      </c>
      <c r="AO279" s="10">
        <f>IF(AND('Batt IN'!$D$44="YES",$C279&lt;='Batt IN'!$E$44*12),-'Batt IN'!$E$28*'Batt IN'!$E$42/12,0)</f>
        <v>0</v>
      </c>
      <c r="AP279" s="10">
        <f>IF(AND('Batt IN'!$D$46="YES",$C279&lt;='Batt IN'!$E$46*12),-'Batt IN'!$E$28*'Batt IN'!$E$45/12,0)</f>
        <v>0</v>
      </c>
      <c r="AR279" s="10">
        <f>BattLoan!M306</f>
        <v>0</v>
      </c>
      <c r="AS279" s="10">
        <f>'Batt IN'!$G$16*365/12*'Batt IN'!$E$16</f>
        <v>76.041666666666671</v>
      </c>
      <c r="AT279" s="10">
        <f>IF(AND('Batt IN'!$E$18&gt;0,'Batt IN'!$G$18&gt;0),'Batt IN'!$E$17*'Batt IN'!$G$17,0)</f>
        <v>119.44619999999999</v>
      </c>
      <c r="AU279" s="10">
        <f>IF(AND('Batt IN'!$E$20&gt;0,'Batt IN'!$G$20&gt;0),'Batt IN'!$E$19*'Batt IN'!$G$19,0)</f>
        <v>231</v>
      </c>
      <c r="AV279" s="10"/>
      <c r="AW279" s="10"/>
      <c r="AX279" s="10">
        <f>IF('Batt IN'!$E$11="Non-Taxable",Q279,0)</f>
        <v>11168.08</v>
      </c>
      <c r="AY279" s="10">
        <f>IF('Batt IN'!$E$11="Non-Taxable",'Batt IN'!$E$28/1000*'Batt IN'!$G$13*('Batt IN'!$E$13/12)*'Batt IN'!$E$12,0)</f>
        <v>244.42220833333334</v>
      </c>
      <c r="AZ279" s="10">
        <f>IF('Batt IN'!$E$11="Non-Taxable",$S279*'Batt IN'!$G$15*'Batt IN'!$E$28*'Batt IN'!$E$14/1000,0)</f>
        <v>0</v>
      </c>
      <c r="BA279" s="10">
        <f>IF('Batt IN'!$E$11="Non-Taxable",'Batt IN'!$E$21*'Batt IN'!$G$21/12,0)</f>
        <v>437.5</v>
      </c>
      <c r="BB279" s="10">
        <f>IF('Batt IN'!$E$11="Non-Taxable",'Batt IN'!$E$22*'Batt IN'!$G$22/12,0)</f>
        <v>1145.8333333333335</v>
      </c>
      <c r="BC279" s="10">
        <f>IF('Batt IN'!$E$11="Taxable",Q279,0)</f>
        <v>0</v>
      </c>
      <c r="BD279" s="10">
        <f>IF('Batt IN'!$E$11="Taxable",'Batt IN'!$E$28/1000*'Batt IN'!$G$13*('Batt IN'!$E$13/12)*'Batt IN'!$E$12,0)</f>
        <v>0</v>
      </c>
      <c r="BE279" s="10">
        <f>IF('Batt IN'!$E$11="Taxable",$S279*'Batt IN'!$G$15*'Batt IN'!$E$28*'Batt IN'!$E$14/1000,0)</f>
        <v>0</v>
      </c>
      <c r="BF279" s="10">
        <f>IF('Batt IN'!$E$11="Taxable",'Batt IN'!$E$21*'Batt IN'!$G$21/12,0)</f>
        <v>0</v>
      </c>
      <c r="BG279" s="10">
        <f>IF('Batt IN'!$E$11="Taxable",'Batt IN'!$E$22*'Batt IN'!$G$22/12,0)</f>
        <v>0</v>
      </c>
      <c r="BK279" s="10">
        <f>IF('Batt IN'!$N$18="Yes",-BattLoan!H307,-BattLoan!L307)</f>
        <v>0</v>
      </c>
      <c r="BL279" s="10">
        <f>IF('Batt IN'!$N$18="Yes",-BattLoan!F307,0)</f>
        <v>0</v>
      </c>
      <c r="BM279" s="10">
        <f>IF(AND('Batt IN'!$D$44="YES",$C279&lt;='Batt IN'!$E$44*12),0,-'Batt IN'!$E$28*'Batt IN'!$E$42/12)</f>
        <v>-83.333333333333329</v>
      </c>
      <c r="BN279" s="10">
        <f>IF(AND('Batt IN'!$D$46="YES",$C279&lt;='Batt IN'!$E$46*12),0,-'Batt IN'!$E$28*'Batt IN'!$E$45/12)</f>
        <v>-166.66666666666666</v>
      </c>
      <c r="BO279" s="2">
        <f>IF(AND('Batt IN'!$D$41="YES",BattCalcs!C279=ROUNDUP('Batt IN'!$H$41*12,)),-'Batt IN'!$E$41*'Batt IN'!$E$28,0)</f>
        <v>0</v>
      </c>
      <c r="BP279" s="2">
        <f>IF(AND('Batt IN'!$D$53="Yes",$AL$1&gt;=1),0,IF($C279='Batt IN'!$H$54*12,-'Batt IN'!$F$54,0))</f>
        <v>0</v>
      </c>
      <c r="BQ279" s="2">
        <f>IF(AND('Batt IN'!$D$53="Yes",$AL$1&gt;=2),0,IF($C279='Batt IN'!$H$55*12,-'Batt IN'!$F$55,0))</f>
        <v>0</v>
      </c>
      <c r="BR279" s="2">
        <f>IF(AND('Batt IN'!$D$53="Yes",$AL$1&gt;=3),0,IF($C279='Batt IN'!$H$56*12,-'Batt IN'!$F$56,0))</f>
        <v>0</v>
      </c>
      <c r="BS279" s="2">
        <f>IF(AND('Batt IN'!$D$53="Yes",$AL$1&gt;=4),0,IF($C279='Batt IN'!$H$57*12,-'Batt IN'!$F$57,0))</f>
        <v>0</v>
      </c>
      <c r="BT279" s="2">
        <f>IF(AND('Batt IN'!$D$53="Yes",$AL$1&gt;=5),0,IF($C279='Batt IN'!$H$58*12,-'Batt IN'!$F$58,0))</f>
        <v>0</v>
      </c>
      <c r="BU279" s="2">
        <f>-AH279*PVCalcs!F279</f>
        <v>-378.83856747753731</v>
      </c>
      <c r="BV279" s="2">
        <f>-'Batt IN'!$E$47</f>
        <v>-150</v>
      </c>
      <c r="BW279" s="2">
        <f>-'Batt IN'!$E$49</f>
        <v>-2250</v>
      </c>
      <c r="BX279" s="2">
        <f>IF('Batt IN'!$H$50="No",-(BC279*'Batt IN'!$E$50),-(BC279+BE279)*'Batt IN'!$E$50)</f>
        <v>0</v>
      </c>
      <c r="BY279" s="2">
        <f>IF(C279='Batt IN'!$H$43*12,-'Batt IN'!$E$43,0)</f>
        <v>0</v>
      </c>
      <c r="BZ279" s="38"/>
      <c r="CA279" s="10">
        <f t="shared" si="68"/>
        <v>13422.323408333334</v>
      </c>
      <c r="CB279" s="2">
        <f t="shared" si="72"/>
        <v>-3028.8385674775373</v>
      </c>
      <c r="CC279" s="45">
        <f t="shared" si="73"/>
        <v>10393.484840855795</v>
      </c>
      <c r="CD279" s="43"/>
      <c r="CE279" s="2">
        <f t="shared" si="69"/>
        <v>0</v>
      </c>
      <c r="CF279" s="2">
        <f t="shared" si="74"/>
        <v>-3028.8385674775373</v>
      </c>
      <c r="CG279" s="2"/>
      <c r="CH279" s="2">
        <f t="shared" si="75"/>
        <v>-3028.8385674775373</v>
      </c>
      <c r="CI279" s="45">
        <f>-CH279*'Batt IN'!$E$7</f>
        <v>636.05609917028278</v>
      </c>
      <c r="CJ279" s="48"/>
      <c r="CK279" s="45">
        <f>IF('Batt IN'!$F$4="PV Only",0,IF(C279&gt;'Batt IN'!$H$43*12,0,CC279+CI279))</f>
        <v>0</v>
      </c>
      <c r="CM279" s="10">
        <f t="shared" si="76"/>
        <v>0</v>
      </c>
      <c r="CN279" s="2">
        <f>CK279/(1+('Batt IN'!$G$8))^(C279)</f>
        <v>0</v>
      </c>
      <c r="CO279" s="2" t="e">
        <f>IF(C279&lt;='Batt IN'!$O$30*12,CN279+CO278,NA())</f>
        <v>#N/A</v>
      </c>
      <c r="CQ279" s="2">
        <f>CK279/((1+('Batt IN'!$E$8/12))^BattCalcs!C279)</f>
        <v>0</v>
      </c>
      <c r="CS279" s="10">
        <f t="shared" si="77"/>
        <v>-3028.8385674775373</v>
      </c>
      <c r="CT279" s="10">
        <f t="shared" si="78"/>
        <v>0</v>
      </c>
      <c r="CU279" s="10">
        <f t="shared" si="79"/>
        <v>-3028.8385674775373</v>
      </c>
      <c r="CV279" s="10">
        <f t="shared" si="80"/>
        <v>-3028.8385674775373</v>
      </c>
      <c r="CW279" s="2">
        <f t="shared" si="81"/>
        <v>0</v>
      </c>
      <c r="CX279" s="2">
        <f>-(SUM(CV279:CW279)*'PV IN'!$E$8)</f>
        <v>636.05609917028278</v>
      </c>
      <c r="CY279" s="2">
        <f t="shared" si="82"/>
        <v>-2392.7824683072545</v>
      </c>
      <c r="CZ279" s="2">
        <f>IF(C279&lt;='Batt IN'!$H$43*12,CY279/(1+('PV IN'!$G$9))^(C279),0)</f>
        <v>-782.19514195243926</v>
      </c>
      <c r="DA279" s="33">
        <f>IF(C279&lt;='Batt IN'!$H$43*12,AE279,0)</f>
        <v>30366.783333333333</v>
      </c>
    </row>
    <row r="280" spans="1:105" x14ac:dyDescent="0.25">
      <c r="A280">
        <f>IF(C280&lt;='Batt IN'!$H$43*12,C280,"")</f>
        <v>276</v>
      </c>
      <c r="B280">
        <v>23</v>
      </c>
      <c r="C280">
        <v>276</v>
      </c>
      <c r="D280" s="21">
        <v>730</v>
      </c>
      <c r="E280" s="1">
        <f>1-'Batt IN'!$E$31</f>
        <v>2.0000000000000018E-2</v>
      </c>
      <c r="F280" s="12">
        <f>('Batt IN'!$E$33*365)/8760</f>
        <v>0</v>
      </c>
      <c r="G280" s="22">
        <f>'Batt IN'!$E$32/8760</f>
        <v>5.7077625570776253E-3</v>
      </c>
      <c r="H280" s="22">
        <f>'Batt IN'!$E$13/8760</f>
        <v>5.5936073059360729E-3</v>
      </c>
      <c r="I280" s="23">
        <f>IF(C280&lt;='Batt IN'!$G$14*12,'Batt IN'!$E$15/8760*'Batt IN'!$G$15,0)</f>
        <v>0</v>
      </c>
      <c r="J280" s="12">
        <f>Z280/'Batt IN'!$E$27/730</f>
        <v>2.4999999999999996E-3</v>
      </c>
      <c r="K280" s="23">
        <f>AA280/'Batt IN'!$E$27/730</f>
        <v>1.6027397260273972E-3</v>
      </c>
      <c r="L280" s="23">
        <f>AB280/'Batt IN'!$E$27/730</f>
        <v>2.0547945205479451E-4</v>
      </c>
      <c r="M280" s="23">
        <f>AC280/'Batt IN'!$E$27/730</f>
        <v>4.7945205479452057E-3</v>
      </c>
      <c r="N280" s="23">
        <f>AD280/'Batt IN'!$E$27/730</f>
        <v>3.4246575342465752E-3</v>
      </c>
      <c r="O280" s="12">
        <f t="shared" si="70"/>
        <v>4.3828767123287697E-2</v>
      </c>
      <c r="P280" s="21">
        <f t="shared" si="71"/>
        <v>698.005</v>
      </c>
      <c r="Q280" s="2">
        <f>IF('Batt IN'!$E$27*'Batt IN'!$E$24&lt;='Batt IN'!$E$28,(('Batt IN'!$E$23*'Batt IN'!$E$27*'Batt IN'!$E$24)/1000)*P280,(('Batt IN'!$E$23*'Batt IN'!$E$28*'Batt IN'!$E$24)/1000)*P280)</f>
        <v>11168.08</v>
      </c>
      <c r="R280" s="2"/>
      <c r="S280" s="77">
        <f>IF(C280&lt;='Batt IN'!$G$14*12,'Batt IN'!$E$15/12,0)</f>
        <v>0</v>
      </c>
      <c r="T280" s="77"/>
      <c r="U280" s="80">
        <f>'Batt IN'!$E$28*('Batt IN'!$G$24/24)*730*(1-O280)</f>
        <v>81433.916666666657</v>
      </c>
      <c r="V280" s="78">
        <f>U280*'Batt IN'!$F$30</f>
        <v>16286.783333333333</v>
      </c>
      <c r="W280" s="78">
        <f>'Batt IN'!$E$28*'Batt IN'!$G$32*('Batt IN'!$E$32/12)*(1+'Batt IN'!$F$30)</f>
        <v>1750.0000000000002</v>
      </c>
      <c r="X280" s="78">
        <f>'Batt IN'!$E$28*'Batt IN'!$G$13*('Batt IN'!$E$13/12)*(1+'Batt IN'!$F$30)</f>
        <v>3184.9999999999995</v>
      </c>
      <c r="Y280" s="33">
        <f>S280*'Batt IN'!$G$15*'Batt IN'!$E$28*(1+'Batt IN'!$F$30)</f>
        <v>0</v>
      </c>
      <c r="Z280" s="33">
        <f>'Batt IN'!$G$16*365/12*(1+'Batt IN'!$F$30)</f>
        <v>1824.9999999999998</v>
      </c>
      <c r="AA280" s="33">
        <f>'Batt IN'!$G$17*'Batt IN'!$E$18*'Batt IN'!$G$18/12*(1+'Batt IN'!$F$30)</f>
        <v>1170</v>
      </c>
      <c r="AB280" s="33">
        <f>'Batt IN'!$G$19*'Batt IN'!$E$20*'Batt IN'!$G$20/12*(1+'Batt IN'!$F$30)</f>
        <v>150</v>
      </c>
      <c r="AC280" s="33">
        <f>'Batt IN'!$G$21*(1+'Batt IN'!$F$30)/12</f>
        <v>3500</v>
      </c>
      <c r="AD280" s="33">
        <f>'Batt IN'!$G$22*(1+'Batt IN'!$F$30)/12</f>
        <v>2500</v>
      </c>
      <c r="AE280" s="33">
        <f t="shared" si="83"/>
        <v>30366.783333333333</v>
      </c>
      <c r="AF280" s="33">
        <f>IF('PV IN'!$F$4="Battery Only",0,AE280*'Batt IN'!$E$29)</f>
        <v>25811.765833333331</v>
      </c>
      <c r="AG280" s="33">
        <f>PVCalcs!L280</f>
        <v>25811.765833333331</v>
      </c>
      <c r="AH280" s="33">
        <f t="shared" si="84"/>
        <v>4555.0175000000017</v>
      </c>
      <c r="AI280" s="33"/>
      <c r="AJ280" s="2">
        <f>IF(AND('Batt IN'!$D$53="Yes",$AL$1&gt;=1),IF($C280='Batt IN'!$H$54*12,-'Batt IN'!$F$54,0),0)</f>
        <v>0</v>
      </c>
      <c r="AK280" s="2">
        <f>IF(AND('Batt IN'!$D$53="Yes",$AL$1&gt;=2),IF($C280='Batt IN'!$H$55*12,-'Batt IN'!$F$55,0),0)</f>
        <v>0</v>
      </c>
      <c r="AL280" s="2">
        <f>IF(AND('Batt IN'!$D$53="Yes",$AL$1&gt;=3),IF($C280='Batt IN'!$H$56*12,-'Batt IN'!$F$56,0),0)</f>
        <v>0</v>
      </c>
      <c r="AM280" s="2">
        <f>IF(AND('Batt IN'!$D$53="Yes",$AL$1&gt;=4),IF($C280='Batt IN'!$H$57*12,-'Batt IN'!$F$57,0),0)</f>
        <v>0</v>
      </c>
      <c r="AN280" s="2">
        <f>IF(AND('Batt IN'!$D$53="Yes",$AL$1&gt;=5),IF($C280='Batt IN'!$H$58*12,-'Batt IN'!$F$58,0),0)</f>
        <v>0</v>
      </c>
      <c r="AO280" s="10">
        <f>IF(AND('Batt IN'!$D$44="YES",$C280&lt;='Batt IN'!$E$44*12),-'Batt IN'!$E$28*'Batt IN'!$E$42/12,0)</f>
        <v>0</v>
      </c>
      <c r="AP280" s="10">
        <f>IF(AND('Batt IN'!$D$46="YES",$C280&lt;='Batt IN'!$E$46*12),-'Batt IN'!$E$28*'Batt IN'!$E$45/12,0)</f>
        <v>0</v>
      </c>
      <c r="AR280" s="10">
        <f>BattLoan!M307</f>
        <v>0</v>
      </c>
      <c r="AS280" s="10">
        <f>'Batt IN'!$G$16*365/12*'Batt IN'!$E$16</f>
        <v>76.041666666666671</v>
      </c>
      <c r="AT280" s="10">
        <f>IF(AND('Batt IN'!$E$18&gt;0,'Batt IN'!$G$18&gt;0),'Batt IN'!$E$17*'Batt IN'!$G$17,0)</f>
        <v>119.44619999999999</v>
      </c>
      <c r="AU280" s="10">
        <f>IF(AND('Batt IN'!$E$20&gt;0,'Batt IN'!$G$20&gt;0),'Batt IN'!$E$19*'Batt IN'!$G$19,0)</f>
        <v>231</v>
      </c>
      <c r="AV280" s="10"/>
      <c r="AW280" s="10"/>
      <c r="AX280" s="10">
        <f>IF('Batt IN'!$E$11="Non-Taxable",Q280,0)</f>
        <v>11168.08</v>
      </c>
      <c r="AY280" s="10">
        <f>IF('Batt IN'!$E$11="Non-Taxable",'Batt IN'!$E$28/1000*'Batt IN'!$G$13*('Batt IN'!$E$13/12)*'Batt IN'!$E$12,0)</f>
        <v>244.42220833333334</v>
      </c>
      <c r="AZ280" s="10">
        <f>IF('Batt IN'!$E$11="Non-Taxable",$S280*'Batt IN'!$G$15*'Batt IN'!$E$28*'Batt IN'!$E$14/1000,0)</f>
        <v>0</v>
      </c>
      <c r="BA280" s="10">
        <f>IF('Batt IN'!$E$11="Non-Taxable",'Batt IN'!$E$21*'Batt IN'!$G$21/12,0)</f>
        <v>437.5</v>
      </c>
      <c r="BB280" s="10">
        <f>IF('Batt IN'!$E$11="Non-Taxable",'Batt IN'!$E$22*'Batt IN'!$G$22/12,0)</f>
        <v>1145.8333333333335</v>
      </c>
      <c r="BC280" s="10">
        <f>IF('Batt IN'!$E$11="Taxable",Q280,0)</f>
        <v>0</v>
      </c>
      <c r="BD280" s="10">
        <f>IF('Batt IN'!$E$11="Taxable",'Batt IN'!$E$28/1000*'Batt IN'!$G$13*('Batt IN'!$E$13/12)*'Batt IN'!$E$12,0)</f>
        <v>0</v>
      </c>
      <c r="BE280" s="10">
        <f>IF('Batt IN'!$E$11="Taxable",$S280*'Batt IN'!$G$15*'Batt IN'!$E$28*'Batt IN'!$E$14/1000,0)</f>
        <v>0</v>
      </c>
      <c r="BF280" s="10">
        <f>IF('Batt IN'!$E$11="Taxable",'Batt IN'!$E$21*'Batt IN'!$G$21/12,0)</f>
        <v>0</v>
      </c>
      <c r="BG280" s="10">
        <f>IF('Batt IN'!$E$11="Taxable",'Batt IN'!$E$22*'Batt IN'!$G$22/12,0)</f>
        <v>0</v>
      </c>
      <c r="BK280" s="10">
        <f>IF('Batt IN'!$N$18="Yes",-BattLoan!H308,-BattLoan!L308)</f>
        <v>0</v>
      </c>
      <c r="BL280" s="10">
        <f>IF('Batt IN'!$N$18="Yes",-BattLoan!F308,0)</f>
        <v>0</v>
      </c>
      <c r="BM280" s="10">
        <f>IF(AND('Batt IN'!$D$44="YES",$C280&lt;='Batt IN'!$E$44*12),0,-'Batt IN'!$E$28*'Batt IN'!$E$42/12)</f>
        <v>-83.333333333333329</v>
      </c>
      <c r="BN280" s="10">
        <f>IF(AND('Batt IN'!$D$46="YES",$C280&lt;='Batt IN'!$E$46*12),0,-'Batt IN'!$E$28*'Batt IN'!$E$45/12)</f>
        <v>-166.66666666666666</v>
      </c>
      <c r="BO280" s="2">
        <f>IF(AND('Batt IN'!$D$41="YES",BattCalcs!C280=ROUNDUP('Batt IN'!$H$41*12,)),-'Batt IN'!$E$41*'Batt IN'!$E$28,0)</f>
        <v>0</v>
      </c>
      <c r="BP280" s="2">
        <f>IF(AND('Batt IN'!$D$53="Yes",$AL$1&gt;=1),0,IF($C280='Batt IN'!$H$54*12,-'Batt IN'!$F$54,0))</f>
        <v>0</v>
      </c>
      <c r="BQ280" s="2">
        <f>IF(AND('Batt IN'!$D$53="Yes",$AL$1&gt;=2),0,IF($C280='Batt IN'!$H$55*12,-'Batt IN'!$F$55,0))</f>
        <v>0</v>
      </c>
      <c r="BR280" s="2">
        <f>IF(AND('Batt IN'!$D$53="Yes",$AL$1&gt;=3),0,IF($C280='Batt IN'!$H$56*12,-'Batt IN'!$F$56,0))</f>
        <v>0</v>
      </c>
      <c r="BS280" s="2">
        <f>IF(AND('Batt IN'!$D$53="Yes",$AL$1&gt;=4),0,IF($C280='Batt IN'!$H$57*12,-'Batt IN'!$F$57,0))</f>
        <v>0</v>
      </c>
      <c r="BT280" s="2">
        <f>IF(AND('Batt IN'!$D$53="Yes",$AL$1&gt;=5),0,IF($C280='Batt IN'!$H$58*12,-'Batt IN'!$F$58,0))</f>
        <v>0</v>
      </c>
      <c r="BU280" s="2">
        <f>-AH280*PVCalcs!F280</f>
        <v>-378.83856747753731</v>
      </c>
      <c r="BV280" s="2">
        <f>-'Batt IN'!$E$47</f>
        <v>-150</v>
      </c>
      <c r="BW280" s="2">
        <f>-'Batt IN'!$E$49</f>
        <v>-2250</v>
      </c>
      <c r="BX280" s="2">
        <f>IF('Batt IN'!$H$50="No",-(BC280*'Batt IN'!$E$50),-(BC280+BE280)*'Batt IN'!$E$50)</f>
        <v>0</v>
      </c>
      <c r="BY280" s="2">
        <f>IF(C280='Batt IN'!$H$43*12,-'Batt IN'!$E$43,0)</f>
        <v>0</v>
      </c>
      <c r="BZ280" s="38"/>
      <c r="CA280" s="10">
        <f t="shared" si="68"/>
        <v>13422.323408333334</v>
      </c>
      <c r="CB280" s="2">
        <f t="shared" si="72"/>
        <v>-3028.8385674775373</v>
      </c>
      <c r="CC280" s="45">
        <f t="shared" si="73"/>
        <v>10393.484840855795</v>
      </c>
      <c r="CD280" s="43"/>
      <c r="CE280" s="2">
        <f t="shared" si="69"/>
        <v>0</v>
      </c>
      <c r="CF280" s="2">
        <f t="shared" si="74"/>
        <v>-3028.8385674775373</v>
      </c>
      <c r="CG280" s="2"/>
      <c r="CH280" s="2">
        <f t="shared" si="75"/>
        <v>-3028.8385674775373</v>
      </c>
      <c r="CI280" s="45">
        <f>-CH280*'Batt IN'!$E$7</f>
        <v>636.05609917028278</v>
      </c>
      <c r="CJ280" s="48"/>
      <c r="CK280" s="45">
        <f>IF('Batt IN'!$F$4="PV Only",0,IF(C280&gt;'Batt IN'!$H$43*12,0,CC280+CI280))</f>
        <v>0</v>
      </c>
      <c r="CM280" s="10">
        <f t="shared" si="76"/>
        <v>0</v>
      </c>
      <c r="CN280" s="2">
        <f>CK280/(1+('Batt IN'!$G$8))^(C280)</f>
        <v>0</v>
      </c>
      <c r="CO280" s="2" t="e">
        <f>IF(C280&lt;='Batt IN'!$O$30*12,CN280+CO279,NA())</f>
        <v>#N/A</v>
      </c>
      <c r="CQ280" s="2">
        <f>CK280/((1+('Batt IN'!$E$8/12))^BattCalcs!C280)</f>
        <v>0</v>
      </c>
      <c r="CS280" s="10">
        <f t="shared" si="77"/>
        <v>-3028.8385674775373</v>
      </c>
      <c r="CT280" s="10">
        <f t="shared" si="78"/>
        <v>0</v>
      </c>
      <c r="CU280" s="10">
        <f t="shared" si="79"/>
        <v>-3028.8385674775373</v>
      </c>
      <c r="CV280" s="10">
        <f t="shared" si="80"/>
        <v>-3028.8385674775373</v>
      </c>
      <c r="CW280" s="2">
        <f t="shared" si="81"/>
        <v>0</v>
      </c>
      <c r="CX280" s="2">
        <f>-(SUM(CV280:CW280)*'PV IN'!$E$8)</f>
        <v>636.05609917028278</v>
      </c>
      <c r="CY280" s="2">
        <f t="shared" si="82"/>
        <v>-2392.7824683072545</v>
      </c>
      <c r="CZ280" s="2">
        <f>IF(C280&lt;='Batt IN'!$H$43*12,CY280/(1+('PV IN'!$G$9))^(C280),0)</f>
        <v>-779.02131269442202</v>
      </c>
      <c r="DA280" s="33">
        <f>IF(C280&lt;='Batt IN'!$H$43*12,AE280,0)</f>
        <v>30366.783333333333</v>
      </c>
    </row>
    <row r="281" spans="1:105" x14ac:dyDescent="0.25">
      <c r="A281">
        <f>IF(C281&lt;='Batt IN'!$H$43*12,C281,"")</f>
        <v>277</v>
      </c>
      <c r="C281">
        <v>277</v>
      </c>
      <c r="D281" s="21">
        <v>730</v>
      </c>
      <c r="E281" s="1">
        <f>1-'Batt IN'!$E$31</f>
        <v>2.0000000000000018E-2</v>
      </c>
      <c r="F281" s="12">
        <f>('Batt IN'!$E$33*365)/8760</f>
        <v>0</v>
      </c>
      <c r="G281" s="22">
        <f>'Batt IN'!$E$32/8760</f>
        <v>5.7077625570776253E-3</v>
      </c>
      <c r="H281" s="22">
        <f>'Batt IN'!$E$13/8760</f>
        <v>5.5936073059360729E-3</v>
      </c>
      <c r="I281" s="23">
        <f>IF(C281&lt;='Batt IN'!$G$14*12,'Batt IN'!$E$15/8760*'Batt IN'!$G$15,0)</f>
        <v>0</v>
      </c>
      <c r="J281" s="12">
        <f>Z281/'Batt IN'!$E$27/730</f>
        <v>2.4999999999999996E-3</v>
      </c>
      <c r="K281" s="23">
        <f>AA281/'Batt IN'!$E$27/730</f>
        <v>1.6027397260273972E-3</v>
      </c>
      <c r="L281" s="23">
        <f>AB281/'Batt IN'!$E$27/730</f>
        <v>2.0547945205479451E-4</v>
      </c>
      <c r="M281" s="23">
        <f>AC281/'Batt IN'!$E$27/730</f>
        <v>4.7945205479452057E-3</v>
      </c>
      <c r="N281" s="23">
        <f>AD281/'Batt IN'!$E$27/730</f>
        <v>3.4246575342465752E-3</v>
      </c>
      <c r="O281" s="12">
        <f t="shared" si="70"/>
        <v>4.3828767123287697E-2</v>
      </c>
      <c r="P281" s="21">
        <f t="shared" si="71"/>
        <v>698.005</v>
      </c>
      <c r="Q281" s="2">
        <f>IF('Batt IN'!$E$27*'Batt IN'!$E$24&lt;='Batt IN'!$E$28,(('Batt IN'!$E$23*'Batt IN'!$E$27*'Batt IN'!$E$24)/1000)*P281,(('Batt IN'!$E$23*'Batt IN'!$E$28*'Batt IN'!$E$24)/1000)*P281)</f>
        <v>11168.08</v>
      </c>
      <c r="R281" s="2"/>
      <c r="S281" s="77">
        <f>IF(C281&lt;='Batt IN'!$G$14*12,'Batt IN'!$E$15/12,0)</f>
        <v>0</v>
      </c>
      <c r="T281" s="77"/>
      <c r="U281" s="80">
        <f>'Batt IN'!$E$28*('Batt IN'!$G$24/24)*730*(1-O281)</f>
        <v>81433.916666666657</v>
      </c>
      <c r="V281" s="78">
        <f>U281*'Batt IN'!$F$30</f>
        <v>16286.783333333333</v>
      </c>
      <c r="W281" s="78">
        <f>'Batt IN'!$E$28*'Batt IN'!$G$32*('Batt IN'!$E$32/12)*(1+'Batt IN'!$F$30)</f>
        <v>1750.0000000000002</v>
      </c>
      <c r="X281" s="78">
        <f>'Batt IN'!$E$28*'Batt IN'!$G$13*('Batt IN'!$E$13/12)*(1+'Batt IN'!$F$30)</f>
        <v>3184.9999999999995</v>
      </c>
      <c r="Y281" s="33">
        <f>S281*'Batt IN'!$G$15*'Batt IN'!$E$28*(1+'Batt IN'!$F$30)</f>
        <v>0</v>
      </c>
      <c r="Z281" s="33">
        <f>'Batt IN'!$G$16*365/12*(1+'Batt IN'!$F$30)</f>
        <v>1824.9999999999998</v>
      </c>
      <c r="AA281" s="33">
        <f>'Batt IN'!$G$17*'Batt IN'!$E$18*'Batt IN'!$G$18/12*(1+'Batt IN'!$F$30)</f>
        <v>1170</v>
      </c>
      <c r="AB281" s="33">
        <f>'Batt IN'!$G$19*'Batt IN'!$E$20*'Batt IN'!$G$20/12*(1+'Batt IN'!$F$30)</f>
        <v>150</v>
      </c>
      <c r="AC281" s="33">
        <f>'Batt IN'!$G$21*(1+'Batt IN'!$F$30)/12</f>
        <v>3500</v>
      </c>
      <c r="AD281" s="33">
        <f>'Batt IN'!$G$22*(1+'Batt IN'!$F$30)/12</f>
        <v>2500</v>
      </c>
      <c r="AE281" s="33">
        <f t="shared" si="83"/>
        <v>30366.783333333333</v>
      </c>
      <c r="AF281" s="33">
        <f>IF('PV IN'!$F$4="Battery Only",0,AE281*'Batt IN'!$E$29)</f>
        <v>25811.765833333331</v>
      </c>
      <c r="AG281" s="33">
        <f>PVCalcs!L281</f>
        <v>25811.765833333331</v>
      </c>
      <c r="AH281" s="33">
        <f t="shared" si="84"/>
        <v>4555.0175000000017</v>
      </c>
      <c r="AI281" s="33"/>
      <c r="AJ281" s="2">
        <f>IF(AND('Batt IN'!$D$53="Yes",$AL$1&gt;=1),IF($C281='Batt IN'!$H$54*12,-'Batt IN'!$F$54,0),0)</f>
        <v>0</v>
      </c>
      <c r="AK281" s="2">
        <f>IF(AND('Batt IN'!$D$53="Yes",$AL$1&gt;=2),IF($C281='Batt IN'!$H$55*12,-'Batt IN'!$F$55,0),0)</f>
        <v>0</v>
      </c>
      <c r="AL281" s="2">
        <f>IF(AND('Batt IN'!$D$53="Yes",$AL$1&gt;=3),IF($C281='Batt IN'!$H$56*12,-'Batt IN'!$F$56,0),0)</f>
        <v>0</v>
      </c>
      <c r="AM281" s="2">
        <f>IF(AND('Batt IN'!$D$53="Yes",$AL$1&gt;=4),IF($C281='Batt IN'!$H$57*12,-'Batt IN'!$F$57,0),0)</f>
        <v>0</v>
      </c>
      <c r="AN281" s="2">
        <f>IF(AND('Batt IN'!$D$53="Yes",$AL$1&gt;=5),IF($C281='Batt IN'!$H$58*12,-'Batt IN'!$F$58,0),0)</f>
        <v>0</v>
      </c>
      <c r="AO281" s="10">
        <f>IF(AND('Batt IN'!$D$44="YES",$C281&lt;='Batt IN'!$E$44*12),-'Batt IN'!$E$28*'Batt IN'!$E$42/12,0)</f>
        <v>0</v>
      </c>
      <c r="AP281" s="10">
        <f>IF(AND('Batt IN'!$D$46="YES",$C281&lt;='Batt IN'!$E$46*12),-'Batt IN'!$E$28*'Batt IN'!$E$45/12,0)</f>
        <v>0</v>
      </c>
      <c r="AR281" s="10">
        <f>BattLoan!M308</f>
        <v>0</v>
      </c>
      <c r="AS281" s="10">
        <f>'Batt IN'!$G$16*365/12*'Batt IN'!$E$16</f>
        <v>76.041666666666671</v>
      </c>
      <c r="AT281" s="10">
        <f>IF(AND('Batt IN'!$E$18&gt;0,'Batt IN'!$G$18&gt;0),'Batt IN'!$E$17*'Batt IN'!$G$17,0)</f>
        <v>119.44619999999999</v>
      </c>
      <c r="AU281" s="10">
        <f>IF(AND('Batt IN'!$E$20&gt;0,'Batt IN'!$G$20&gt;0),'Batt IN'!$E$19*'Batt IN'!$G$19,0)</f>
        <v>231</v>
      </c>
      <c r="AV281" s="10"/>
      <c r="AW281" s="10"/>
      <c r="AX281" s="10">
        <f>IF('Batt IN'!$E$11="Non-Taxable",Q281,0)</f>
        <v>11168.08</v>
      </c>
      <c r="AY281" s="10">
        <f>IF('Batt IN'!$E$11="Non-Taxable",'Batt IN'!$E$28/1000*'Batt IN'!$G$13*('Batt IN'!$E$13/12)*'Batt IN'!$E$12,0)</f>
        <v>244.42220833333334</v>
      </c>
      <c r="AZ281" s="10">
        <f>IF('Batt IN'!$E$11="Non-Taxable",$S281*'Batt IN'!$G$15*'Batt IN'!$E$28*'Batt IN'!$E$14/1000,0)</f>
        <v>0</v>
      </c>
      <c r="BA281" s="10">
        <f>IF('Batt IN'!$E$11="Non-Taxable",'Batt IN'!$E$21*'Batt IN'!$G$21/12,0)</f>
        <v>437.5</v>
      </c>
      <c r="BB281" s="10">
        <f>IF('Batt IN'!$E$11="Non-Taxable",'Batt IN'!$E$22*'Batt IN'!$G$22/12,0)</f>
        <v>1145.8333333333335</v>
      </c>
      <c r="BC281" s="10">
        <f>IF('Batt IN'!$E$11="Taxable",Q281,0)</f>
        <v>0</v>
      </c>
      <c r="BD281" s="10">
        <f>IF('Batt IN'!$E$11="Taxable",'Batt IN'!$E$28/1000*'Batt IN'!$G$13*('Batt IN'!$E$13/12)*'Batt IN'!$E$12,0)</f>
        <v>0</v>
      </c>
      <c r="BE281" s="10">
        <f>IF('Batt IN'!$E$11="Taxable",$S281*'Batt IN'!$G$15*'Batt IN'!$E$28*'Batt IN'!$E$14/1000,0)</f>
        <v>0</v>
      </c>
      <c r="BF281" s="10">
        <f>IF('Batt IN'!$E$11="Taxable",'Batt IN'!$E$21*'Batt IN'!$G$21/12,0)</f>
        <v>0</v>
      </c>
      <c r="BG281" s="10">
        <f>IF('Batt IN'!$E$11="Taxable",'Batt IN'!$E$22*'Batt IN'!$G$22/12,0)</f>
        <v>0</v>
      </c>
      <c r="BK281" s="10">
        <f>IF('Batt IN'!$N$18="Yes",-BattLoan!H309,-BattLoan!L309)</f>
        <v>0</v>
      </c>
      <c r="BL281" s="10">
        <f>IF('Batt IN'!$N$18="Yes",-BattLoan!F309,0)</f>
        <v>0</v>
      </c>
      <c r="BM281" s="10">
        <f>IF(AND('Batt IN'!$D$44="YES",$C281&lt;='Batt IN'!$E$44*12),0,-'Batt IN'!$E$28*'Batt IN'!$E$42/12)</f>
        <v>-83.333333333333329</v>
      </c>
      <c r="BN281" s="10">
        <f>IF(AND('Batt IN'!$D$46="YES",$C281&lt;='Batt IN'!$E$46*12),0,-'Batt IN'!$E$28*'Batt IN'!$E$45/12)</f>
        <v>-166.66666666666666</v>
      </c>
      <c r="BO281" s="2">
        <f>IF(AND('Batt IN'!$D$41="YES",BattCalcs!C281=ROUNDUP('Batt IN'!$H$41*12,)),-'Batt IN'!$E$41*'Batt IN'!$E$28,0)</f>
        <v>0</v>
      </c>
      <c r="BP281" s="2">
        <f>IF(AND('Batt IN'!$D$53="Yes",$AL$1&gt;=1),0,IF($C281='Batt IN'!$H$54*12,-'Batt IN'!$F$54,0))</f>
        <v>0</v>
      </c>
      <c r="BQ281" s="2">
        <f>IF(AND('Batt IN'!$D$53="Yes",$AL$1&gt;=2),0,IF($C281='Batt IN'!$H$55*12,-'Batt IN'!$F$55,0))</f>
        <v>0</v>
      </c>
      <c r="BR281" s="2">
        <f>IF(AND('Batt IN'!$D$53="Yes",$AL$1&gt;=3),0,IF($C281='Batt IN'!$H$56*12,-'Batt IN'!$F$56,0))</f>
        <v>0</v>
      </c>
      <c r="BS281" s="2">
        <f>IF(AND('Batt IN'!$D$53="Yes",$AL$1&gt;=4),0,IF($C281='Batt IN'!$H$57*12,-'Batt IN'!$F$57,0))</f>
        <v>0</v>
      </c>
      <c r="BT281" s="2">
        <f>IF(AND('Batt IN'!$D$53="Yes",$AL$1&gt;=5),0,IF($C281='Batt IN'!$H$58*12,-'Batt IN'!$F$58,0))</f>
        <v>0</v>
      </c>
      <c r="BU281" s="2">
        <f>-AH281*PVCalcs!F281</f>
        <v>-376.66912421056747</v>
      </c>
      <c r="BV281" s="2">
        <f>-'Batt IN'!$E$47</f>
        <v>-150</v>
      </c>
      <c r="BW281" s="2">
        <f>-'Batt IN'!$E$49</f>
        <v>-2250</v>
      </c>
      <c r="BX281" s="2">
        <f>IF('Batt IN'!$H$50="No",-(BC281*'Batt IN'!$E$50),-(BC281+BE281)*'Batt IN'!$E$50)</f>
        <v>0</v>
      </c>
      <c r="BY281" s="2">
        <f>IF(C281='Batt IN'!$H$43*12,-'Batt IN'!$E$43,0)</f>
        <v>0</v>
      </c>
      <c r="BZ281" s="38"/>
      <c r="CA281" s="10">
        <f t="shared" si="68"/>
        <v>13422.323408333334</v>
      </c>
      <c r="CB281" s="2">
        <f t="shared" si="72"/>
        <v>-3026.6691242105676</v>
      </c>
      <c r="CC281" s="45">
        <f t="shared" si="73"/>
        <v>10395.654284122766</v>
      </c>
      <c r="CD281" s="43"/>
      <c r="CE281" s="2">
        <f t="shared" si="69"/>
        <v>0</v>
      </c>
      <c r="CF281" s="2">
        <f t="shared" si="74"/>
        <v>-3026.6691242105676</v>
      </c>
      <c r="CG281" s="2"/>
      <c r="CH281" s="2">
        <f t="shared" si="75"/>
        <v>-3026.6691242105676</v>
      </c>
      <c r="CI281" s="45">
        <f>-CH281*'Batt IN'!$E$7</f>
        <v>635.60051608421918</v>
      </c>
      <c r="CJ281" s="48"/>
      <c r="CK281" s="45">
        <f>IF('Batt IN'!$F$4="PV Only",0,IF(C281&gt;'Batt IN'!$H$43*12,0,CC281+CI281))</f>
        <v>0</v>
      </c>
      <c r="CM281" s="10">
        <f t="shared" si="76"/>
        <v>0</v>
      </c>
      <c r="CN281" s="2">
        <f>CK281/(1+('Batt IN'!$G$8))^(C281)</f>
        <v>0</v>
      </c>
      <c r="CO281" s="2" t="e">
        <f>IF(C281&lt;='Batt IN'!$O$30*12,CN281+CO280,NA())</f>
        <v>#N/A</v>
      </c>
      <c r="CQ281" s="2">
        <f>CK281/((1+('Batt IN'!$E$8/12))^BattCalcs!C281)</f>
        <v>0</v>
      </c>
      <c r="CS281" s="10">
        <f t="shared" si="77"/>
        <v>-3026.6691242105676</v>
      </c>
      <c r="CT281" s="10">
        <f t="shared" si="78"/>
        <v>0</v>
      </c>
      <c r="CU281" s="10">
        <f t="shared" si="79"/>
        <v>-3026.6691242105676</v>
      </c>
      <c r="CV281" s="10">
        <f t="shared" si="80"/>
        <v>-3026.6691242105676</v>
      </c>
      <c r="CW281" s="2">
        <f t="shared" si="81"/>
        <v>0</v>
      </c>
      <c r="CX281" s="2">
        <f>-(SUM(CV281:CW281)*'PV IN'!$E$8)</f>
        <v>635.60051608421918</v>
      </c>
      <c r="CY281" s="2">
        <f t="shared" si="82"/>
        <v>-2391.0686081263484</v>
      </c>
      <c r="CZ281" s="2">
        <f>IF(C281&lt;='Batt IN'!$H$43*12,CY281/(1+('PV IN'!$G$9))^(C281),0)</f>
        <v>-775.30464191616772</v>
      </c>
      <c r="DA281" s="33">
        <f>IF(C281&lt;='Batt IN'!$H$43*12,AE281,0)</f>
        <v>30366.783333333333</v>
      </c>
    </row>
    <row r="282" spans="1:105" x14ac:dyDescent="0.25">
      <c r="A282">
        <f>IF(C282&lt;='Batt IN'!$H$43*12,C282,"")</f>
        <v>278</v>
      </c>
      <c r="C282">
        <v>278</v>
      </c>
      <c r="D282" s="21">
        <v>730</v>
      </c>
      <c r="E282" s="1">
        <f>1-'Batt IN'!$E$31</f>
        <v>2.0000000000000018E-2</v>
      </c>
      <c r="F282" s="12">
        <f>('Batt IN'!$E$33*365)/8760</f>
        <v>0</v>
      </c>
      <c r="G282" s="22">
        <f>'Batt IN'!$E$32/8760</f>
        <v>5.7077625570776253E-3</v>
      </c>
      <c r="H282" s="22">
        <f>'Batt IN'!$E$13/8760</f>
        <v>5.5936073059360729E-3</v>
      </c>
      <c r="I282" s="23">
        <f>IF(C282&lt;='Batt IN'!$G$14*12,'Batt IN'!$E$15/8760*'Batt IN'!$G$15,0)</f>
        <v>0</v>
      </c>
      <c r="J282" s="12">
        <f>Z282/'Batt IN'!$E$27/730</f>
        <v>2.4999999999999996E-3</v>
      </c>
      <c r="K282" s="23">
        <f>AA282/'Batt IN'!$E$27/730</f>
        <v>1.6027397260273972E-3</v>
      </c>
      <c r="L282" s="23">
        <f>AB282/'Batt IN'!$E$27/730</f>
        <v>2.0547945205479451E-4</v>
      </c>
      <c r="M282" s="23">
        <f>AC282/'Batt IN'!$E$27/730</f>
        <v>4.7945205479452057E-3</v>
      </c>
      <c r="N282" s="23">
        <f>AD282/'Batt IN'!$E$27/730</f>
        <v>3.4246575342465752E-3</v>
      </c>
      <c r="O282" s="12">
        <f t="shared" si="70"/>
        <v>4.3828767123287697E-2</v>
      </c>
      <c r="P282" s="21">
        <f t="shared" si="71"/>
        <v>698.005</v>
      </c>
      <c r="Q282" s="2">
        <f>IF('Batt IN'!$E$27*'Batt IN'!$E$24&lt;='Batt IN'!$E$28,(('Batt IN'!$E$23*'Batt IN'!$E$27*'Batt IN'!$E$24)/1000)*P282,(('Batt IN'!$E$23*'Batt IN'!$E$28*'Batt IN'!$E$24)/1000)*P282)</f>
        <v>11168.08</v>
      </c>
      <c r="R282" s="2"/>
      <c r="S282" s="77">
        <f>IF(C282&lt;='Batt IN'!$G$14*12,'Batt IN'!$E$15/12,0)</f>
        <v>0</v>
      </c>
      <c r="T282" s="77"/>
      <c r="U282" s="80">
        <f>'Batt IN'!$E$28*('Batt IN'!$G$24/24)*730*(1-O282)</f>
        <v>81433.916666666657</v>
      </c>
      <c r="V282" s="78">
        <f>U282*'Batt IN'!$F$30</f>
        <v>16286.783333333333</v>
      </c>
      <c r="W282" s="78">
        <f>'Batt IN'!$E$28*'Batt IN'!$G$32*('Batt IN'!$E$32/12)*(1+'Batt IN'!$F$30)</f>
        <v>1750.0000000000002</v>
      </c>
      <c r="X282" s="78">
        <f>'Batt IN'!$E$28*'Batt IN'!$G$13*('Batt IN'!$E$13/12)*(1+'Batt IN'!$F$30)</f>
        <v>3184.9999999999995</v>
      </c>
      <c r="Y282" s="33">
        <f>S282*'Batt IN'!$G$15*'Batt IN'!$E$28*(1+'Batt IN'!$F$30)</f>
        <v>0</v>
      </c>
      <c r="Z282" s="33">
        <f>'Batt IN'!$G$16*365/12*(1+'Batt IN'!$F$30)</f>
        <v>1824.9999999999998</v>
      </c>
      <c r="AA282" s="33">
        <f>'Batt IN'!$G$17*'Batt IN'!$E$18*'Batt IN'!$G$18/12*(1+'Batt IN'!$F$30)</f>
        <v>1170</v>
      </c>
      <c r="AB282" s="33">
        <f>'Batt IN'!$G$19*'Batt IN'!$E$20*'Batt IN'!$G$20/12*(1+'Batt IN'!$F$30)</f>
        <v>150</v>
      </c>
      <c r="AC282" s="33">
        <f>'Batt IN'!$G$21*(1+'Batt IN'!$F$30)/12</f>
        <v>3500</v>
      </c>
      <c r="AD282" s="33">
        <f>'Batt IN'!$G$22*(1+'Batt IN'!$F$30)/12</f>
        <v>2500</v>
      </c>
      <c r="AE282" s="33">
        <f t="shared" si="83"/>
        <v>30366.783333333333</v>
      </c>
      <c r="AF282" s="33">
        <f>IF('PV IN'!$F$4="Battery Only",0,AE282*'Batt IN'!$E$29)</f>
        <v>25811.765833333331</v>
      </c>
      <c r="AG282" s="33">
        <f>PVCalcs!L282</f>
        <v>25811.765833333331</v>
      </c>
      <c r="AH282" s="33">
        <f t="shared" si="84"/>
        <v>4555.0175000000017</v>
      </c>
      <c r="AI282" s="33"/>
      <c r="AJ282" s="2">
        <f>IF(AND('Batt IN'!$D$53="Yes",$AL$1&gt;=1),IF($C282='Batt IN'!$H$54*12,-'Batt IN'!$F$54,0),0)</f>
        <v>0</v>
      </c>
      <c r="AK282" s="2">
        <f>IF(AND('Batt IN'!$D$53="Yes",$AL$1&gt;=2),IF($C282='Batt IN'!$H$55*12,-'Batt IN'!$F$55,0),0)</f>
        <v>0</v>
      </c>
      <c r="AL282" s="2">
        <f>IF(AND('Batt IN'!$D$53="Yes",$AL$1&gt;=3),IF($C282='Batt IN'!$H$56*12,-'Batt IN'!$F$56,0),0)</f>
        <v>0</v>
      </c>
      <c r="AM282" s="2">
        <f>IF(AND('Batt IN'!$D$53="Yes",$AL$1&gt;=4),IF($C282='Batt IN'!$H$57*12,-'Batt IN'!$F$57,0),0)</f>
        <v>0</v>
      </c>
      <c r="AN282" s="2">
        <f>IF(AND('Batt IN'!$D$53="Yes",$AL$1&gt;=5),IF($C282='Batt IN'!$H$58*12,-'Batt IN'!$F$58,0),0)</f>
        <v>0</v>
      </c>
      <c r="AO282" s="10">
        <f>IF(AND('Batt IN'!$D$44="YES",$C282&lt;='Batt IN'!$E$44*12),-'Batt IN'!$E$28*'Batt IN'!$E$42/12,0)</f>
        <v>0</v>
      </c>
      <c r="AP282" s="10">
        <f>IF(AND('Batt IN'!$D$46="YES",$C282&lt;='Batt IN'!$E$46*12),-'Batt IN'!$E$28*'Batt IN'!$E$45/12,0)</f>
        <v>0</v>
      </c>
      <c r="AR282" s="10">
        <f>BattLoan!M309</f>
        <v>0</v>
      </c>
      <c r="AS282" s="10">
        <f>'Batt IN'!$G$16*365/12*'Batt IN'!$E$16</f>
        <v>76.041666666666671</v>
      </c>
      <c r="AT282" s="10">
        <f>IF(AND('Batt IN'!$E$18&gt;0,'Batt IN'!$G$18&gt;0),'Batt IN'!$E$17*'Batt IN'!$G$17,0)</f>
        <v>119.44619999999999</v>
      </c>
      <c r="AU282" s="10">
        <f>IF(AND('Batt IN'!$E$20&gt;0,'Batt IN'!$G$20&gt;0),'Batt IN'!$E$19*'Batt IN'!$G$19,0)</f>
        <v>231</v>
      </c>
      <c r="AV282" s="10"/>
      <c r="AW282" s="10"/>
      <c r="AX282" s="10">
        <f>IF('Batt IN'!$E$11="Non-Taxable",Q282,0)</f>
        <v>11168.08</v>
      </c>
      <c r="AY282" s="10">
        <f>IF('Batt IN'!$E$11="Non-Taxable",'Batt IN'!$E$28/1000*'Batt IN'!$G$13*('Batt IN'!$E$13/12)*'Batt IN'!$E$12,0)</f>
        <v>244.42220833333334</v>
      </c>
      <c r="AZ282" s="10">
        <f>IF('Batt IN'!$E$11="Non-Taxable",$S282*'Batt IN'!$G$15*'Batt IN'!$E$28*'Batt IN'!$E$14/1000,0)</f>
        <v>0</v>
      </c>
      <c r="BA282" s="10">
        <f>IF('Batt IN'!$E$11="Non-Taxable",'Batt IN'!$E$21*'Batt IN'!$G$21/12,0)</f>
        <v>437.5</v>
      </c>
      <c r="BB282" s="10">
        <f>IF('Batt IN'!$E$11="Non-Taxable",'Batt IN'!$E$22*'Batt IN'!$G$22/12,0)</f>
        <v>1145.8333333333335</v>
      </c>
      <c r="BC282" s="10">
        <f>IF('Batt IN'!$E$11="Taxable",Q282,0)</f>
        <v>0</v>
      </c>
      <c r="BD282" s="10">
        <f>IF('Batt IN'!$E$11="Taxable",'Batt IN'!$E$28/1000*'Batt IN'!$G$13*('Batt IN'!$E$13/12)*'Batt IN'!$E$12,0)</f>
        <v>0</v>
      </c>
      <c r="BE282" s="10">
        <f>IF('Batt IN'!$E$11="Taxable",$S282*'Batt IN'!$G$15*'Batt IN'!$E$28*'Batt IN'!$E$14/1000,0)</f>
        <v>0</v>
      </c>
      <c r="BF282" s="10">
        <f>IF('Batt IN'!$E$11="Taxable",'Batt IN'!$E$21*'Batt IN'!$G$21/12,0)</f>
        <v>0</v>
      </c>
      <c r="BG282" s="10">
        <f>IF('Batt IN'!$E$11="Taxable",'Batt IN'!$E$22*'Batt IN'!$G$22/12,0)</f>
        <v>0</v>
      </c>
      <c r="BK282" s="10">
        <f>IF('Batt IN'!$N$18="Yes",-BattLoan!H310,-BattLoan!L310)</f>
        <v>0</v>
      </c>
      <c r="BL282" s="10">
        <f>IF('Batt IN'!$N$18="Yes",-BattLoan!F310,0)</f>
        <v>0</v>
      </c>
      <c r="BM282" s="10">
        <f>IF(AND('Batt IN'!$D$44="YES",$C282&lt;='Batt IN'!$E$44*12),0,-'Batt IN'!$E$28*'Batt IN'!$E$42/12)</f>
        <v>-83.333333333333329</v>
      </c>
      <c r="BN282" s="10">
        <f>IF(AND('Batt IN'!$D$46="YES",$C282&lt;='Batt IN'!$E$46*12),0,-'Batt IN'!$E$28*'Batt IN'!$E$45/12)</f>
        <v>-166.66666666666666</v>
      </c>
      <c r="BO282" s="2">
        <f>IF(AND('Batt IN'!$D$41="YES",BattCalcs!C282=ROUNDUP('Batt IN'!$H$41*12,)),-'Batt IN'!$E$41*'Batt IN'!$E$28,0)</f>
        <v>0</v>
      </c>
      <c r="BP282" s="2">
        <f>IF(AND('Batt IN'!$D$53="Yes",$AL$1&gt;=1),0,IF($C282='Batt IN'!$H$54*12,-'Batt IN'!$F$54,0))</f>
        <v>0</v>
      </c>
      <c r="BQ282" s="2">
        <f>IF(AND('Batt IN'!$D$53="Yes",$AL$1&gt;=2),0,IF($C282='Batt IN'!$H$55*12,-'Batt IN'!$F$55,0))</f>
        <v>0</v>
      </c>
      <c r="BR282" s="2">
        <f>IF(AND('Batt IN'!$D$53="Yes",$AL$1&gt;=3),0,IF($C282='Batt IN'!$H$56*12,-'Batt IN'!$F$56,0))</f>
        <v>0</v>
      </c>
      <c r="BS282" s="2">
        <f>IF(AND('Batt IN'!$D$53="Yes",$AL$1&gt;=4),0,IF($C282='Batt IN'!$H$57*12,-'Batt IN'!$F$57,0))</f>
        <v>0</v>
      </c>
      <c r="BT282" s="2">
        <f>IF(AND('Batt IN'!$D$53="Yes",$AL$1&gt;=5),0,IF($C282='Batt IN'!$H$58*12,-'Batt IN'!$F$58,0))</f>
        <v>0</v>
      </c>
      <c r="BU282" s="2">
        <f>-AH282*PVCalcs!F282</f>
        <v>-376.66912421056747</v>
      </c>
      <c r="BV282" s="2">
        <f>-'Batt IN'!$E$47</f>
        <v>-150</v>
      </c>
      <c r="BW282" s="2">
        <f>-'Batt IN'!$E$49</f>
        <v>-2250</v>
      </c>
      <c r="BX282" s="2">
        <f>IF('Batt IN'!$H$50="No",-(BC282*'Batt IN'!$E$50),-(BC282+BE282)*'Batt IN'!$E$50)</f>
        <v>0</v>
      </c>
      <c r="BY282" s="2">
        <f>IF(C282='Batt IN'!$H$43*12,-'Batt IN'!$E$43,0)</f>
        <v>0</v>
      </c>
      <c r="BZ282" s="38"/>
      <c r="CA282" s="10">
        <f t="shared" si="68"/>
        <v>13422.323408333334</v>
      </c>
      <c r="CB282" s="2">
        <f t="shared" si="72"/>
        <v>-3026.6691242105676</v>
      </c>
      <c r="CC282" s="45">
        <f t="shared" si="73"/>
        <v>10395.654284122766</v>
      </c>
      <c r="CD282" s="43"/>
      <c r="CE282" s="2">
        <f t="shared" si="69"/>
        <v>0</v>
      </c>
      <c r="CF282" s="2">
        <f t="shared" si="74"/>
        <v>-3026.6691242105676</v>
      </c>
      <c r="CG282" s="2"/>
      <c r="CH282" s="2">
        <f t="shared" si="75"/>
        <v>-3026.6691242105676</v>
      </c>
      <c r="CI282" s="45">
        <f>-CH282*'Batt IN'!$E$7</f>
        <v>635.60051608421918</v>
      </c>
      <c r="CJ282" s="48"/>
      <c r="CK282" s="45">
        <f>IF('Batt IN'!$F$4="PV Only",0,IF(C282&gt;'Batt IN'!$H$43*12,0,CC282+CI282))</f>
        <v>0</v>
      </c>
      <c r="CM282" s="10">
        <f t="shared" si="76"/>
        <v>0</v>
      </c>
      <c r="CN282" s="2">
        <f>CK282/(1+('Batt IN'!$G$8))^(C282)</f>
        <v>0</v>
      </c>
      <c r="CO282" s="2" t="e">
        <f>IF(C282&lt;='Batt IN'!$O$30*12,CN282+CO281,NA())</f>
        <v>#N/A</v>
      </c>
      <c r="CQ282" s="2">
        <f>CK282/((1+('Batt IN'!$E$8/12))^BattCalcs!C282)</f>
        <v>0</v>
      </c>
      <c r="CS282" s="10">
        <f t="shared" si="77"/>
        <v>-3026.6691242105676</v>
      </c>
      <c r="CT282" s="10">
        <f t="shared" si="78"/>
        <v>0</v>
      </c>
      <c r="CU282" s="10">
        <f t="shared" si="79"/>
        <v>-3026.6691242105676</v>
      </c>
      <c r="CV282" s="10">
        <f t="shared" si="80"/>
        <v>-3026.6691242105676</v>
      </c>
      <c r="CW282" s="2">
        <f t="shared" si="81"/>
        <v>0</v>
      </c>
      <c r="CX282" s="2">
        <f>-(SUM(CV282:CW282)*'PV IN'!$E$8)</f>
        <v>635.60051608421918</v>
      </c>
      <c r="CY282" s="2">
        <f t="shared" si="82"/>
        <v>-2391.0686081263484</v>
      </c>
      <c r="CZ282" s="2">
        <f>IF(C282&lt;='Batt IN'!$H$43*12,CY282/(1+('PV IN'!$G$9))^(C282),0)</f>
        <v>-772.15877150044503</v>
      </c>
      <c r="DA282" s="33">
        <f>IF(C282&lt;='Batt IN'!$H$43*12,AE282,0)</f>
        <v>30366.783333333333</v>
      </c>
    </row>
    <row r="283" spans="1:105" x14ac:dyDescent="0.25">
      <c r="A283">
        <f>IF(C283&lt;='Batt IN'!$H$43*12,C283,"")</f>
        <v>279</v>
      </c>
      <c r="C283">
        <v>279</v>
      </c>
      <c r="D283" s="21">
        <v>730</v>
      </c>
      <c r="E283" s="1">
        <f>1-'Batt IN'!$E$31</f>
        <v>2.0000000000000018E-2</v>
      </c>
      <c r="F283" s="12">
        <f>('Batt IN'!$E$33*365)/8760</f>
        <v>0</v>
      </c>
      <c r="G283" s="22">
        <f>'Batt IN'!$E$32/8760</f>
        <v>5.7077625570776253E-3</v>
      </c>
      <c r="H283" s="22">
        <f>'Batt IN'!$E$13/8760</f>
        <v>5.5936073059360729E-3</v>
      </c>
      <c r="I283" s="23">
        <f>IF(C283&lt;='Batt IN'!$G$14*12,'Batt IN'!$E$15/8760*'Batt IN'!$G$15,0)</f>
        <v>0</v>
      </c>
      <c r="J283" s="12">
        <f>Z283/'Batt IN'!$E$27/730</f>
        <v>2.4999999999999996E-3</v>
      </c>
      <c r="K283" s="23">
        <f>AA283/'Batt IN'!$E$27/730</f>
        <v>1.6027397260273972E-3</v>
      </c>
      <c r="L283" s="23">
        <f>AB283/'Batt IN'!$E$27/730</f>
        <v>2.0547945205479451E-4</v>
      </c>
      <c r="M283" s="23">
        <f>AC283/'Batt IN'!$E$27/730</f>
        <v>4.7945205479452057E-3</v>
      </c>
      <c r="N283" s="23">
        <f>AD283/'Batt IN'!$E$27/730</f>
        <v>3.4246575342465752E-3</v>
      </c>
      <c r="O283" s="12">
        <f t="shared" si="70"/>
        <v>4.3828767123287697E-2</v>
      </c>
      <c r="P283" s="21">
        <f t="shared" si="71"/>
        <v>698.005</v>
      </c>
      <c r="Q283" s="2">
        <f>IF('Batt IN'!$E$27*'Batt IN'!$E$24&lt;='Batt IN'!$E$28,(('Batt IN'!$E$23*'Batt IN'!$E$27*'Batt IN'!$E$24)/1000)*P283,(('Batt IN'!$E$23*'Batt IN'!$E$28*'Batt IN'!$E$24)/1000)*P283)</f>
        <v>11168.08</v>
      </c>
      <c r="R283" s="2"/>
      <c r="S283" s="77">
        <f>IF(C283&lt;='Batt IN'!$G$14*12,'Batt IN'!$E$15/12,0)</f>
        <v>0</v>
      </c>
      <c r="T283" s="77"/>
      <c r="U283" s="80">
        <f>'Batt IN'!$E$28*('Batt IN'!$G$24/24)*730*(1-O283)</f>
        <v>81433.916666666657</v>
      </c>
      <c r="V283" s="78">
        <f>U283*'Batt IN'!$F$30</f>
        <v>16286.783333333333</v>
      </c>
      <c r="W283" s="78">
        <f>'Batt IN'!$E$28*'Batt IN'!$G$32*('Batt IN'!$E$32/12)*(1+'Batt IN'!$F$30)</f>
        <v>1750.0000000000002</v>
      </c>
      <c r="X283" s="78">
        <f>'Batt IN'!$E$28*'Batt IN'!$G$13*('Batt IN'!$E$13/12)*(1+'Batt IN'!$F$30)</f>
        <v>3184.9999999999995</v>
      </c>
      <c r="Y283" s="33">
        <f>S283*'Batt IN'!$G$15*'Batt IN'!$E$28*(1+'Batt IN'!$F$30)</f>
        <v>0</v>
      </c>
      <c r="Z283" s="33">
        <f>'Batt IN'!$G$16*365/12*(1+'Batt IN'!$F$30)</f>
        <v>1824.9999999999998</v>
      </c>
      <c r="AA283" s="33">
        <f>'Batt IN'!$G$17*'Batt IN'!$E$18*'Batt IN'!$G$18/12*(1+'Batt IN'!$F$30)</f>
        <v>1170</v>
      </c>
      <c r="AB283" s="33">
        <f>'Batt IN'!$G$19*'Batt IN'!$E$20*'Batt IN'!$G$20/12*(1+'Batt IN'!$F$30)</f>
        <v>150</v>
      </c>
      <c r="AC283" s="33">
        <f>'Batt IN'!$G$21*(1+'Batt IN'!$F$30)/12</f>
        <v>3500</v>
      </c>
      <c r="AD283" s="33">
        <f>'Batt IN'!$G$22*(1+'Batt IN'!$F$30)/12</f>
        <v>2500</v>
      </c>
      <c r="AE283" s="33">
        <f t="shared" si="83"/>
        <v>30366.783333333333</v>
      </c>
      <c r="AF283" s="33">
        <f>IF('PV IN'!$F$4="Battery Only",0,AE283*'Batt IN'!$E$29)</f>
        <v>25811.765833333331</v>
      </c>
      <c r="AG283" s="33">
        <f>PVCalcs!L283</f>
        <v>25811.765833333331</v>
      </c>
      <c r="AH283" s="33">
        <f t="shared" si="84"/>
        <v>4555.0175000000017</v>
      </c>
      <c r="AI283" s="33"/>
      <c r="AJ283" s="2">
        <f>IF(AND('Batt IN'!$D$53="Yes",$AL$1&gt;=1),IF($C283='Batt IN'!$H$54*12,-'Batt IN'!$F$54,0),0)</f>
        <v>0</v>
      </c>
      <c r="AK283" s="2">
        <f>IF(AND('Batt IN'!$D$53="Yes",$AL$1&gt;=2),IF($C283='Batt IN'!$H$55*12,-'Batt IN'!$F$55,0),0)</f>
        <v>0</v>
      </c>
      <c r="AL283" s="2">
        <f>IF(AND('Batt IN'!$D$53="Yes",$AL$1&gt;=3),IF($C283='Batt IN'!$H$56*12,-'Batt IN'!$F$56,0),0)</f>
        <v>0</v>
      </c>
      <c r="AM283" s="2">
        <f>IF(AND('Batt IN'!$D$53="Yes",$AL$1&gt;=4),IF($C283='Batt IN'!$H$57*12,-'Batt IN'!$F$57,0),0)</f>
        <v>0</v>
      </c>
      <c r="AN283" s="2">
        <f>IF(AND('Batt IN'!$D$53="Yes",$AL$1&gt;=5),IF($C283='Batt IN'!$H$58*12,-'Batt IN'!$F$58,0),0)</f>
        <v>0</v>
      </c>
      <c r="AO283" s="10">
        <f>IF(AND('Batt IN'!$D$44="YES",$C283&lt;='Batt IN'!$E$44*12),-'Batt IN'!$E$28*'Batt IN'!$E$42/12,0)</f>
        <v>0</v>
      </c>
      <c r="AP283" s="10">
        <f>IF(AND('Batt IN'!$D$46="YES",$C283&lt;='Batt IN'!$E$46*12),-'Batt IN'!$E$28*'Batt IN'!$E$45/12,0)</f>
        <v>0</v>
      </c>
      <c r="AR283" s="10">
        <f>BattLoan!M310</f>
        <v>0</v>
      </c>
      <c r="AS283" s="10">
        <f>'Batt IN'!$G$16*365/12*'Batt IN'!$E$16</f>
        <v>76.041666666666671</v>
      </c>
      <c r="AT283" s="10">
        <f>IF(AND('Batt IN'!$E$18&gt;0,'Batt IN'!$G$18&gt;0),'Batt IN'!$E$17*'Batt IN'!$G$17,0)</f>
        <v>119.44619999999999</v>
      </c>
      <c r="AU283" s="10">
        <f>IF(AND('Batt IN'!$E$20&gt;0,'Batt IN'!$G$20&gt;0),'Batt IN'!$E$19*'Batt IN'!$G$19,0)</f>
        <v>231</v>
      </c>
      <c r="AV283" s="10"/>
      <c r="AW283" s="10"/>
      <c r="AX283" s="10">
        <f>IF('Batt IN'!$E$11="Non-Taxable",Q283,0)</f>
        <v>11168.08</v>
      </c>
      <c r="AY283" s="10">
        <f>IF('Batt IN'!$E$11="Non-Taxable",'Batt IN'!$E$28/1000*'Batt IN'!$G$13*('Batt IN'!$E$13/12)*'Batt IN'!$E$12,0)</f>
        <v>244.42220833333334</v>
      </c>
      <c r="AZ283" s="10">
        <f>IF('Batt IN'!$E$11="Non-Taxable",$S283*'Batt IN'!$G$15*'Batt IN'!$E$28*'Batt IN'!$E$14/1000,0)</f>
        <v>0</v>
      </c>
      <c r="BA283" s="10">
        <f>IF('Batt IN'!$E$11="Non-Taxable",'Batt IN'!$E$21*'Batt IN'!$G$21/12,0)</f>
        <v>437.5</v>
      </c>
      <c r="BB283" s="10">
        <f>IF('Batt IN'!$E$11="Non-Taxable",'Batt IN'!$E$22*'Batt IN'!$G$22/12,0)</f>
        <v>1145.8333333333335</v>
      </c>
      <c r="BC283" s="10">
        <f>IF('Batt IN'!$E$11="Taxable",Q283,0)</f>
        <v>0</v>
      </c>
      <c r="BD283" s="10">
        <f>IF('Batt IN'!$E$11="Taxable",'Batt IN'!$E$28/1000*'Batt IN'!$G$13*('Batt IN'!$E$13/12)*'Batt IN'!$E$12,0)</f>
        <v>0</v>
      </c>
      <c r="BE283" s="10">
        <f>IF('Batt IN'!$E$11="Taxable",$S283*'Batt IN'!$G$15*'Batt IN'!$E$28*'Batt IN'!$E$14/1000,0)</f>
        <v>0</v>
      </c>
      <c r="BF283" s="10">
        <f>IF('Batt IN'!$E$11="Taxable",'Batt IN'!$E$21*'Batt IN'!$G$21/12,0)</f>
        <v>0</v>
      </c>
      <c r="BG283" s="10">
        <f>IF('Batt IN'!$E$11="Taxable",'Batt IN'!$E$22*'Batt IN'!$G$22/12,0)</f>
        <v>0</v>
      </c>
      <c r="BK283" s="10">
        <f>IF('Batt IN'!$N$18="Yes",-BattLoan!H311,-BattLoan!L311)</f>
        <v>0</v>
      </c>
      <c r="BL283" s="10">
        <f>IF('Batt IN'!$N$18="Yes",-BattLoan!F311,0)</f>
        <v>0</v>
      </c>
      <c r="BM283" s="10">
        <f>IF(AND('Batt IN'!$D$44="YES",$C283&lt;='Batt IN'!$E$44*12),0,-'Batt IN'!$E$28*'Batt IN'!$E$42/12)</f>
        <v>-83.333333333333329</v>
      </c>
      <c r="BN283" s="10">
        <f>IF(AND('Batt IN'!$D$46="YES",$C283&lt;='Batt IN'!$E$46*12),0,-'Batt IN'!$E$28*'Batt IN'!$E$45/12)</f>
        <v>-166.66666666666666</v>
      </c>
      <c r="BO283" s="2">
        <f>IF(AND('Batt IN'!$D$41="YES",BattCalcs!C283=ROUNDUP('Batt IN'!$H$41*12,)),-'Batt IN'!$E$41*'Batt IN'!$E$28,0)</f>
        <v>0</v>
      </c>
      <c r="BP283" s="2">
        <f>IF(AND('Batt IN'!$D$53="Yes",$AL$1&gt;=1),0,IF($C283='Batt IN'!$H$54*12,-'Batt IN'!$F$54,0))</f>
        <v>0</v>
      </c>
      <c r="BQ283" s="2">
        <f>IF(AND('Batt IN'!$D$53="Yes",$AL$1&gt;=2),0,IF($C283='Batt IN'!$H$55*12,-'Batt IN'!$F$55,0))</f>
        <v>0</v>
      </c>
      <c r="BR283" s="2">
        <f>IF(AND('Batt IN'!$D$53="Yes",$AL$1&gt;=3),0,IF($C283='Batt IN'!$H$56*12,-'Batt IN'!$F$56,0))</f>
        <v>0</v>
      </c>
      <c r="BS283" s="2">
        <f>IF(AND('Batt IN'!$D$53="Yes",$AL$1&gt;=4),0,IF($C283='Batt IN'!$H$57*12,-'Batt IN'!$F$57,0))</f>
        <v>0</v>
      </c>
      <c r="BT283" s="2">
        <f>IF(AND('Batt IN'!$D$53="Yes",$AL$1&gt;=5),0,IF($C283='Batt IN'!$H$58*12,-'Batt IN'!$F$58,0))</f>
        <v>0</v>
      </c>
      <c r="BU283" s="2">
        <f>-AH283*PVCalcs!F283</f>
        <v>-376.66912421056747</v>
      </c>
      <c r="BV283" s="2">
        <f>-'Batt IN'!$E$47</f>
        <v>-150</v>
      </c>
      <c r="BW283" s="2">
        <f>-'Batt IN'!$E$49</f>
        <v>-2250</v>
      </c>
      <c r="BX283" s="2">
        <f>IF('Batt IN'!$H$50="No",-(BC283*'Batt IN'!$E$50),-(BC283+BE283)*'Batt IN'!$E$50)</f>
        <v>0</v>
      </c>
      <c r="BY283" s="2">
        <f>IF(C283='Batt IN'!$H$43*12,-'Batt IN'!$E$43,0)</f>
        <v>0</v>
      </c>
      <c r="BZ283" s="38"/>
      <c r="CA283" s="10">
        <f t="shared" si="68"/>
        <v>13422.323408333334</v>
      </c>
      <c r="CB283" s="2">
        <f t="shared" si="72"/>
        <v>-3026.6691242105676</v>
      </c>
      <c r="CC283" s="45">
        <f t="shared" si="73"/>
        <v>10395.654284122766</v>
      </c>
      <c r="CD283" s="43"/>
      <c r="CE283" s="2">
        <f t="shared" si="69"/>
        <v>0</v>
      </c>
      <c r="CF283" s="2">
        <f t="shared" si="74"/>
        <v>-3026.6691242105676</v>
      </c>
      <c r="CG283" s="2"/>
      <c r="CH283" s="2">
        <f t="shared" si="75"/>
        <v>-3026.6691242105676</v>
      </c>
      <c r="CI283" s="45">
        <f>-CH283*'Batt IN'!$E$7</f>
        <v>635.60051608421918</v>
      </c>
      <c r="CJ283" s="48"/>
      <c r="CK283" s="45">
        <f>IF('Batt IN'!$F$4="PV Only",0,IF(C283&gt;'Batt IN'!$H$43*12,0,CC283+CI283))</f>
        <v>0</v>
      </c>
      <c r="CM283" s="10">
        <f t="shared" si="76"/>
        <v>0</v>
      </c>
      <c r="CN283" s="2">
        <f>CK283/(1+('Batt IN'!$G$8))^(C283)</f>
        <v>0</v>
      </c>
      <c r="CO283" s="2" t="e">
        <f>IF(C283&lt;='Batt IN'!$O$30*12,CN283+CO282,NA())</f>
        <v>#N/A</v>
      </c>
      <c r="CQ283" s="2">
        <f>CK283/((1+('Batt IN'!$E$8/12))^BattCalcs!C283)</f>
        <v>0</v>
      </c>
      <c r="CS283" s="10">
        <f t="shared" si="77"/>
        <v>-3026.6691242105676</v>
      </c>
      <c r="CT283" s="10">
        <f t="shared" si="78"/>
        <v>0</v>
      </c>
      <c r="CU283" s="10">
        <f t="shared" si="79"/>
        <v>-3026.6691242105676</v>
      </c>
      <c r="CV283" s="10">
        <f t="shared" si="80"/>
        <v>-3026.6691242105676</v>
      </c>
      <c r="CW283" s="2">
        <f t="shared" si="81"/>
        <v>0</v>
      </c>
      <c r="CX283" s="2">
        <f>-(SUM(CV283:CW283)*'PV IN'!$E$8)</f>
        <v>635.60051608421918</v>
      </c>
      <c r="CY283" s="2">
        <f t="shared" si="82"/>
        <v>-2391.0686081263484</v>
      </c>
      <c r="CZ283" s="2">
        <f>IF(C283&lt;='Batt IN'!$H$43*12,CY283/(1+('PV IN'!$G$9))^(C283),0)</f>
        <v>-769.02566574539571</v>
      </c>
      <c r="DA283" s="33">
        <f>IF(C283&lt;='Batt IN'!$H$43*12,AE283,0)</f>
        <v>30366.783333333333</v>
      </c>
    </row>
    <row r="284" spans="1:105" x14ac:dyDescent="0.25">
      <c r="A284">
        <f>IF(C284&lt;='Batt IN'!$H$43*12,C284,"")</f>
        <v>280</v>
      </c>
      <c r="C284">
        <v>280</v>
      </c>
      <c r="D284" s="21">
        <v>730</v>
      </c>
      <c r="E284" s="1">
        <f>1-'Batt IN'!$E$31</f>
        <v>2.0000000000000018E-2</v>
      </c>
      <c r="F284" s="12">
        <f>('Batt IN'!$E$33*365)/8760</f>
        <v>0</v>
      </c>
      <c r="G284" s="22">
        <f>'Batt IN'!$E$32/8760</f>
        <v>5.7077625570776253E-3</v>
      </c>
      <c r="H284" s="22">
        <f>'Batt IN'!$E$13/8760</f>
        <v>5.5936073059360729E-3</v>
      </c>
      <c r="I284" s="23">
        <f>IF(C284&lt;='Batt IN'!$G$14*12,'Batt IN'!$E$15/8760*'Batt IN'!$G$15,0)</f>
        <v>0</v>
      </c>
      <c r="J284" s="12">
        <f>Z284/'Batt IN'!$E$27/730</f>
        <v>2.4999999999999996E-3</v>
      </c>
      <c r="K284" s="23">
        <f>AA284/'Batt IN'!$E$27/730</f>
        <v>1.6027397260273972E-3</v>
      </c>
      <c r="L284" s="23">
        <f>AB284/'Batt IN'!$E$27/730</f>
        <v>2.0547945205479451E-4</v>
      </c>
      <c r="M284" s="23">
        <f>AC284/'Batt IN'!$E$27/730</f>
        <v>4.7945205479452057E-3</v>
      </c>
      <c r="N284" s="23">
        <f>AD284/'Batt IN'!$E$27/730</f>
        <v>3.4246575342465752E-3</v>
      </c>
      <c r="O284" s="12">
        <f t="shared" si="70"/>
        <v>4.3828767123287697E-2</v>
      </c>
      <c r="P284" s="21">
        <f t="shared" si="71"/>
        <v>698.005</v>
      </c>
      <c r="Q284" s="2">
        <f>IF('Batt IN'!$E$27*'Batt IN'!$E$24&lt;='Batt IN'!$E$28,(('Batt IN'!$E$23*'Batt IN'!$E$27*'Batt IN'!$E$24)/1000)*P284,(('Batt IN'!$E$23*'Batt IN'!$E$28*'Batt IN'!$E$24)/1000)*P284)</f>
        <v>11168.08</v>
      </c>
      <c r="R284" s="2"/>
      <c r="S284" s="77">
        <f>IF(C284&lt;='Batt IN'!$G$14*12,'Batt IN'!$E$15/12,0)</f>
        <v>0</v>
      </c>
      <c r="T284" s="77"/>
      <c r="U284" s="80">
        <f>'Batt IN'!$E$28*('Batt IN'!$G$24/24)*730*(1-O284)</f>
        <v>81433.916666666657</v>
      </c>
      <c r="V284" s="78">
        <f>U284*'Batt IN'!$F$30</f>
        <v>16286.783333333333</v>
      </c>
      <c r="W284" s="78">
        <f>'Batt IN'!$E$28*'Batt IN'!$G$32*('Batt IN'!$E$32/12)*(1+'Batt IN'!$F$30)</f>
        <v>1750.0000000000002</v>
      </c>
      <c r="X284" s="78">
        <f>'Batt IN'!$E$28*'Batt IN'!$G$13*('Batt IN'!$E$13/12)*(1+'Batt IN'!$F$30)</f>
        <v>3184.9999999999995</v>
      </c>
      <c r="Y284" s="33">
        <f>S284*'Batt IN'!$G$15*'Batt IN'!$E$28*(1+'Batt IN'!$F$30)</f>
        <v>0</v>
      </c>
      <c r="Z284" s="33">
        <f>'Batt IN'!$G$16*365/12*(1+'Batt IN'!$F$30)</f>
        <v>1824.9999999999998</v>
      </c>
      <c r="AA284" s="33">
        <f>'Batt IN'!$G$17*'Batt IN'!$E$18*'Batt IN'!$G$18/12*(1+'Batt IN'!$F$30)</f>
        <v>1170</v>
      </c>
      <c r="AB284" s="33">
        <f>'Batt IN'!$G$19*'Batt IN'!$E$20*'Batt IN'!$G$20/12*(1+'Batt IN'!$F$30)</f>
        <v>150</v>
      </c>
      <c r="AC284" s="33">
        <f>'Batt IN'!$G$21*(1+'Batt IN'!$F$30)/12</f>
        <v>3500</v>
      </c>
      <c r="AD284" s="33">
        <f>'Batt IN'!$G$22*(1+'Batt IN'!$F$30)/12</f>
        <v>2500</v>
      </c>
      <c r="AE284" s="33">
        <f t="shared" si="83"/>
        <v>30366.783333333333</v>
      </c>
      <c r="AF284" s="33">
        <f>IF('PV IN'!$F$4="Battery Only",0,AE284*'Batt IN'!$E$29)</f>
        <v>25811.765833333331</v>
      </c>
      <c r="AG284" s="33">
        <f>PVCalcs!L284</f>
        <v>25811.765833333331</v>
      </c>
      <c r="AH284" s="33">
        <f t="shared" si="84"/>
        <v>4555.0175000000017</v>
      </c>
      <c r="AI284" s="33"/>
      <c r="AJ284" s="2">
        <f>IF(AND('Batt IN'!$D$53="Yes",$AL$1&gt;=1),IF($C284='Batt IN'!$H$54*12,-'Batt IN'!$F$54,0),0)</f>
        <v>0</v>
      </c>
      <c r="AK284" s="2">
        <f>IF(AND('Batt IN'!$D$53="Yes",$AL$1&gt;=2),IF($C284='Batt IN'!$H$55*12,-'Batt IN'!$F$55,0),0)</f>
        <v>0</v>
      </c>
      <c r="AL284" s="2">
        <f>IF(AND('Batt IN'!$D$53="Yes",$AL$1&gt;=3),IF($C284='Batt IN'!$H$56*12,-'Batt IN'!$F$56,0),0)</f>
        <v>0</v>
      </c>
      <c r="AM284" s="2">
        <f>IF(AND('Batt IN'!$D$53="Yes",$AL$1&gt;=4),IF($C284='Batt IN'!$H$57*12,-'Batt IN'!$F$57,0),0)</f>
        <v>0</v>
      </c>
      <c r="AN284" s="2">
        <f>IF(AND('Batt IN'!$D$53="Yes",$AL$1&gt;=5),IF($C284='Batt IN'!$H$58*12,-'Batt IN'!$F$58,0),0)</f>
        <v>0</v>
      </c>
      <c r="AO284" s="10">
        <f>IF(AND('Batt IN'!$D$44="YES",$C284&lt;='Batt IN'!$E$44*12),-'Batt IN'!$E$28*'Batt IN'!$E$42/12,0)</f>
        <v>0</v>
      </c>
      <c r="AP284" s="10">
        <f>IF(AND('Batt IN'!$D$46="YES",$C284&lt;='Batt IN'!$E$46*12),-'Batt IN'!$E$28*'Batt IN'!$E$45/12,0)</f>
        <v>0</v>
      </c>
      <c r="AR284" s="10">
        <f>BattLoan!M311</f>
        <v>0</v>
      </c>
      <c r="AS284" s="10">
        <f>'Batt IN'!$G$16*365/12*'Batt IN'!$E$16</f>
        <v>76.041666666666671</v>
      </c>
      <c r="AT284" s="10">
        <f>IF(AND('Batt IN'!$E$18&gt;0,'Batt IN'!$G$18&gt;0),'Batt IN'!$E$17*'Batt IN'!$G$17,0)</f>
        <v>119.44619999999999</v>
      </c>
      <c r="AU284" s="10">
        <f>IF(AND('Batt IN'!$E$20&gt;0,'Batt IN'!$G$20&gt;0),'Batt IN'!$E$19*'Batt IN'!$G$19,0)</f>
        <v>231</v>
      </c>
      <c r="AV284" s="10"/>
      <c r="AW284" s="10"/>
      <c r="AX284" s="10">
        <f>IF('Batt IN'!$E$11="Non-Taxable",Q284,0)</f>
        <v>11168.08</v>
      </c>
      <c r="AY284" s="10">
        <f>IF('Batt IN'!$E$11="Non-Taxable",'Batt IN'!$E$28/1000*'Batt IN'!$G$13*('Batt IN'!$E$13/12)*'Batt IN'!$E$12,0)</f>
        <v>244.42220833333334</v>
      </c>
      <c r="AZ284" s="10">
        <f>IF('Batt IN'!$E$11="Non-Taxable",$S284*'Batt IN'!$G$15*'Batt IN'!$E$28*'Batt IN'!$E$14/1000,0)</f>
        <v>0</v>
      </c>
      <c r="BA284" s="10">
        <f>IF('Batt IN'!$E$11="Non-Taxable",'Batt IN'!$E$21*'Batt IN'!$G$21/12,0)</f>
        <v>437.5</v>
      </c>
      <c r="BB284" s="10">
        <f>IF('Batt IN'!$E$11="Non-Taxable",'Batt IN'!$E$22*'Batt IN'!$G$22/12,0)</f>
        <v>1145.8333333333335</v>
      </c>
      <c r="BC284" s="10">
        <f>IF('Batt IN'!$E$11="Taxable",Q284,0)</f>
        <v>0</v>
      </c>
      <c r="BD284" s="10">
        <f>IF('Batt IN'!$E$11="Taxable",'Batt IN'!$E$28/1000*'Batt IN'!$G$13*('Batt IN'!$E$13/12)*'Batt IN'!$E$12,0)</f>
        <v>0</v>
      </c>
      <c r="BE284" s="10">
        <f>IF('Batt IN'!$E$11="Taxable",$S284*'Batt IN'!$G$15*'Batt IN'!$E$28*'Batt IN'!$E$14/1000,0)</f>
        <v>0</v>
      </c>
      <c r="BF284" s="10">
        <f>IF('Batt IN'!$E$11="Taxable",'Batt IN'!$E$21*'Batt IN'!$G$21/12,0)</f>
        <v>0</v>
      </c>
      <c r="BG284" s="10">
        <f>IF('Batt IN'!$E$11="Taxable",'Batt IN'!$E$22*'Batt IN'!$G$22/12,0)</f>
        <v>0</v>
      </c>
      <c r="BK284" s="10">
        <f>IF('Batt IN'!$N$18="Yes",-BattLoan!H312,-BattLoan!L312)</f>
        <v>0</v>
      </c>
      <c r="BL284" s="10">
        <f>IF('Batt IN'!$N$18="Yes",-BattLoan!F312,0)</f>
        <v>0</v>
      </c>
      <c r="BM284" s="10">
        <f>IF(AND('Batt IN'!$D$44="YES",$C284&lt;='Batt IN'!$E$44*12),0,-'Batt IN'!$E$28*'Batt IN'!$E$42/12)</f>
        <v>-83.333333333333329</v>
      </c>
      <c r="BN284" s="10">
        <f>IF(AND('Batt IN'!$D$46="YES",$C284&lt;='Batt IN'!$E$46*12),0,-'Batt IN'!$E$28*'Batt IN'!$E$45/12)</f>
        <v>-166.66666666666666</v>
      </c>
      <c r="BO284" s="2">
        <f>IF(AND('Batt IN'!$D$41="YES",BattCalcs!C284=ROUNDUP('Batt IN'!$H$41*12,)),-'Batt IN'!$E$41*'Batt IN'!$E$28,0)</f>
        <v>0</v>
      </c>
      <c r="BP284" s="2">
        <f>IF(AND('Batt IN'!$D$53="Yes",$AL$1&gt;=1),0,IF($C284='Batt IN'!$H$54*12,-'Batt IN'!$F$54,0))</f>
        <v>0</v>
      </c>
      <c r="BQ284" s="2">
        <f>IF(AND('Batt IN'!$D$53="Yes",$AL$1&gt;=2),0,IF($C284='Batt IN'!$H$55*12,-'Batt IN'!$F$55,0))</f>
        <v>0</v>
      </c>
      <c r="BR284" s="2">
        <f>IF(AND('Batt IN'!$D$53="Yes",$AL$1&gt;=3),0,IF($C284='Batt IN'!$H$56*12,-'Batt IN'!$F$56,0))</f>
        <v>0</v>
      </c>
      <c r="BS284" s="2">
        <f>IF(AND('Batt IN'!$D$53="Yes",$AL$1&gt;=4),0,IF($C284='Batt IN'!$H$57*12,-'Batt IN'!$F$57,0))</f>
        <v>0</v>
      </c>
      <c r="BT284" s="2">
        <f>IF(AND('Batt IN'!$D$53="Yes",$AL$1&gt;=5),0,IF($C284='Batt IN'!$H$58*12,-'Batt IN'!$F$58,0))</f>
        <v>0</v>
      </c>
      <c r="BU284" s="2">
        <f>-AH284*PVCalcs!F284</f>
        <v>-376.66912421056747</v>
      </c>
      <c r="BV284" s="2">
        <f>-'Batt IN'!$E$47</f>
        <v>-150</v>
      </c>
      <c r="BW284" s="2">
        <f>-'Batt IN'!$E$49</f>
        <v>-2250</v>
      </c>
      <c r="BX284" s="2">
        <f>IF('Batt IN'!$H$50="No",-(BC284*'Batt IN'!$E$50),-(BC284+BE284)*'Batt IN'!$E$50)</f>
        <v>0</v>
      </c>
      <c r="BY284" s="2">
        <f>IF(C284='Batt IN'!$H$43*12,-'Batt IN'!$E$43,0)</f>
        <v>0</v>
      </c>
      <c r="BZ284" s="38"/>
      <c r="CA284" s="10">
        <f t="shared" si="68"/>
        <v>13422.323408333334</v>
      </c>
      <c r="CB284" s="2">
        <f t="shared" si="72"/>
        <v>-3026.6691242105676</v>
      </c>
      <c r="CC284" s="45">
        <f t="shared" si="73"/>
        <v>10395.654284122766</v>
      </c>
      <c r="CD284" s="43"/>
      <c r="CE284" s="2">
        <f t="shared" si="69"/>
        <v>0</v>
      </c>
      <c r="CF284" s="2">
        <f t="shared" si="74"/>
        <v>-3026.6691242105676</v>
      </c>
      <c r="CG284" s="2"/>
      <c r="CH284" s="2">
        <f t="shared" si="75"/>
        <v>-3026.6691242105676</v>
      </c>
      <c r="CI284" s="45">
        <f>-CH284*'Batt IN'!$E$7</f>
        <v>635.60051608421918</v>
      </c>
      <c r="CJ284" s="48"/>
      <c r="CK284" s="45">
        <f>IF('Batt IN'!$F$4="PV Only",0,IF(C284&gt;'Batt IN'!$H$43*12,0,CC284+CI284))</f>
        <v>0</v>
      </c>
      <c r="CM284" s="10">
        <f t="shared" si="76"/>
        <v>0</v>
      </c>
      <c r="CN284" s="2">
        <f>CK284/(1+('Batt IN'!$G$8))^(C284)</f>
        <v>0</v>
      </c>
      <c r="CO284" s="2" t="e">
        <f>IF(C284&lt;='Batt IN'!$O$30*12,CN284+CO283,NA())</f>
        <v>#N/A</v>
      </c>
      <c r="CQ284" s="2">
        <f>CK284/((1+('Batt IN'!$E$8/12))^BattCalcs!C284)</f>
        <v>0</v>
      </c>
      <c r="CS284" s="10">
        <f t="shared" si="77"/>
        <v>-3026.6691242105676</v>
      </c>
      <c r="CT284" s="10">
        <f t="shared" si="78"/>
        <v>0</v>
      </c>
      <c r="CU284" s="10">
        <f t="shared" si="79"/>
        <v>-3026.6691242105676</v>
      </c>
      <c r="CV284" s="10">
        <f t="shared" si="80"/>
        <v>-3026.6691242105676</v>
      </c>
      <c r="CW284" s="2">
        <f t="shared" si="81"/>
        <v>0</v>
      </c>
      <c r="CX284" s="2">
        <f>-(SUM(CV284:CW284)*'PV IN'!$E$8)</f>
        <v>635.60051608421918</v>
      </c>
      <c r="CY284" s="2">
        <f t="shared" si="82"/>
        <v>-2391.0686081263484</v>
      </c>
      <c r="CZ284" s="2">
        <f>IF(C284&lt;='Batt IN'!$H$43*12,CY284/(1+('PV IN'!$G$9))^(C284),0)</f>
        <v>-765.90527285722624</v>
      </c>
      <c r="DA284" s="33">
        <f>IF(C284&lt;='Batt IN'!$H$43*12,AE284,0)</f>
        <v>30366.783333333333</v>
      </c>
    </row>
    <row r="285" spans="1:105" x14ac:dyDescent="0.25">
      <c r="A285">
        <f>IF(C285&lt;='Batt IN'!$H$43*12,C285,"")</f>
        <v>281</v>
      </c>
      <c r="C285">
        <v>281</v>
      </c>
      <c r="D285" s="21">
        <v>730</v>
      </c>
      <c r="E285" s="1">
        <f>1-'Batt IN'!$E$31</f>
        <v>2.0000000000000018E-2</v>
      </c>
      <c r="F285" s="12">
        <f>('Batt IN'!$E$33*365)/8760</f>
        <v>0</v>
      </c>
      <c r="G285" s="22">
        <f>'Batt IN'!$E$32/8760</f>
        <v>5.7077625570776253E-3</v>
      </c>
      <c r="H285" s="22">
        <f>'Batt IN'!$E$13/8760</f>
        <v>5.5936073059360729E-3</v>
      </c>
      <c r="I285" s="23">
        <f>IF(C285&lt;='Batt IN'!$G$14*12,'Batt IN'!$E$15/8760*'Batt IN'!$G$15,0)</f>
        <v>0</v>
      </c>
      <c r="J285" s="12">
        <f>Z285/'Batt IN'!$E$27/730</f>
        <v>2.4999999999999996E-3</v>
      </c>
      <c r="K285" s="23">
        <f>AA285/'Batt IN'!$E$27/730</f>
        <v>1.6027397260273972E-3</v>
      </c>
      <c r="L285" s="23">
        <f>AB285/'Batt IN'!$E$27/730</f>
        <v>2.0547945205479451E-4</v>
      </c>
      <c r="M285" s="23">
        <f>AC285/'Batt IN'!$E$27/730</f>
        <v>4.7945205479452057E-3</v>
      </c>
      <c r="N285" s="23">
        <f>AD285/'Batt IN'!$E$27/730</f>
        <v>3.4246575342465752E-3</v>
      </c>
      <c r="O285" s="12">
        <f t="shared" si="70"/>
        <v>4.3828767123287697E-2</v>
      </c>
      <c r="P285" s="21">
        <f t="shared" si="71"/>
        <v>698.005</v>
      </c>
      <c r="Q285" s="2">
        <f>IF('Batt IN'!$E$27*'Batt IN'!$E$24&lt;='Batt IN'!$E$28,(('Batt IN'!$E$23*'Batt IN'!$E$27*'Batt IN'!$E$24)/1000)*P285,(('Batt IN'!$E$23*'Batt IN'!$E$28*'Batt IN'!$E$24)/1000)*P285)</f>
        <v>11168.08</v>
      </c>
      <c r="R285" s="2"/>
      <c r="S285" s="77">
        <f>IF(C285&lt;='Batt IN'!$G$14*12,'Batt IN'!$E$15/12,0)</f>
        <v>0</v>
      </c>
      <c r="T285" s="77"/>
      <c r="U285" s="80">
        <f>'Batt IN'!$E$28*('Batt IN'!$G$24/24)*730*(1-O285)</f>
        <v>81433.916666666657</v>
      </c>
      <c r="V285" s="78">
        <f>U285*'Batt IN'!$F$30</f>
        <v>16286.783333333333</v>
      </c>
      <c r="W285" s="78">
        <f>'Batt IN'!$E$28*'Batt IN'!$G$32*('Batt IN'!$E$32/12)*(1+'Batt IN'!$F$30)</f>
        <v>1750.0000000000002</v>
      </c>
      <c r="X285" s="78">
        <f>'Batt IN'!$E$28*'Batt IN'!$G$13*('Batt IN'!$E$13/12)*(1+'Batt IN'!$F$30)</f>
        <v>3184.9999999999995</v>
      </c>
      <c r="Y285" s="33">
        <f>S285*'Batt IN'!$G$15*'Batt IN'!$E$28*(1+'Batt IN'!$F$30)</f>
        <v>0</v>
      </c>
      <c r="Z285" s="33">
        <f>'Batt IN'!$G$16*365/12*(1+'Batt IN'!$F$30)</f>
        <v>1824.9999999999998</v>
      </c>
      <c r="AA285" s="33">
        <f>'Batt IN'!$G$17*'Batt IN'!$E$18*'Batt IN'!$G$18/12*(1+'Batt IN'!$F$30)</f>
        <v>1170</v>
      </c>
      <c r="AB285" s="33">
        <f>'Batt IN'!$G$19*'Batt IN'!$E$20*'Batt IN'!$G$20/12*(1+'Batt IN'!$F$30)</f>
        <v>150</v>
      </c>
      <c r="AC285" s="33">
        <f>'Batt IN'!$G$21*(1+'Batt IN'!$F$30)/12</f>
        <v>3500</v>
      </c>
      <c r="AD285" s="33">
        <f>'Batt IN'!$G$22*(1+'Batt IN'!$F$30)/12</f>
        <v>2500</v>
      </c>
      <c r="AE285" s="33">
        <f t="shared" si="83"/>
        <v>30366.783333333333</v>
      </c>
      <c r="AF285" s="33">
        <f>IF('PV IN'!$F$4="Battery Only",0,AE285*'Batt IN'!$E$29)</f>
        <v>25811.765833333331</v>
      </c>
      <c r="AG285" s="33">
        <f>PVCalcs!L285</f>
        <v>25811.765833333331</v>
      </c>
      <c r="AH285" s="33">
        <f t="shared" si="84"/>
        <v>4555.0175000000017</v>
      </c>
      <c r="AI285" s="33"/>
      <c r="AJ285" s="2">
        <f>IF(AND('Batt IN'!$D$53="Yes",$AL$1&gt;=1),IF($C285='Batt IN'!$H$54*12,-'Batt IN'!$F$54,0),0)</f>
        <v>0</v>
      </c>
      <c r="AK285" s="2">
        <f>IF(AND('Batt IN'!$D$53="Yes",$AL$1&gt;=2),IF($C285='Batt IN'!$H$55*12,-'Batt IN'!$F$55,0),0)</f>
        <v>0</v>
      </c>
      <c r="AL285" s="2">
        <f>IF(AND('Batt IN'!$D$53="Yes",$AL$1&gt;=3),IF($C285='Batt IN'!$H$56*12,-'Batt IN'!$F$56,0),0)</f>
        <v>0</v>
      </c>
      <c r="AM285" s="2">
        <f>IF(AND('Batt IN'!$D$53="Yes",$AL$1&gt;=4),IF($C285='Batt IN'!$H$57*12,-'Batt IN'!$F$57,0),0)</f>
        <v>0</v>
      </c>
      <c r="AN285" s="2">
        <f>IF(AND('Batt IN'!$D$53="Yes",$AL$1&gt;=5),IF($C285='Batt IN'!$H$58*12,-'Batt IN'!$F$58,0),0)</f>
        <v>0</v>
      </c>
      <c r="AO285" s="10">
        <f>IF(AND('Batt IN'!$D$44="YES",$C285&lt;='Batt IN'!$E$44*12),-'Batt IN'!$E$28*'Batt IN'!$E$42/12,0)</f>
        <v>0</v>
      </c>
      <c r="AP285" s="10">
        <f>IF(AND('Batt IN'!$D$46="YES",$C285&lt;='Batt IN'!$E$46*12),-'Batt IN'!$E$28*'Batt IN'!$E$45/12,0)</f>
        <v>0</v>
      </c>
      <c r="AR285" s="10">
        <f>BattLoan!M312</f>
        <v>0</v>
      </c>
      <c r="AS285" s="10">
        <f>'Batt IN'!$G$16*365/12*'Batt IN'!$E$16</f>
        <v>76.041666666666671</v>
      </c>
      <c r="AT285" s="10">
        <f>IF(AND('Batt IN'!$E$18&gt;0,'Batt IN'!$G$18&gt;0),'Batt IN'!$E$17*'Batt IN'!$G$17,0)</f>
        <v>119.44619999999999</v>
      </c>
      <c r="AU285" s="10">
        <f>IF(AND('Batt IN'!$E$20&gt;0,'Batt IN'!$G$20&gt;0),'Batt IN'!$E$19*'Batt IN'!$G$19,0)</f>
        <v>231</v>
      </c>
      <c r="AV285" s="10"/>
      <c r="AW285" s="10"/>
      <c r="AX285" s="10">
        <f>IF('Batt IN'!$E$11="Non-Taxable",Q285,0)</f>
        <v>11168.08</v>
      </c>
      <c r="AY285" s="10">
        <f>IF('Batt IN'!$E$11="Non-Taxable",'Batt IN'!$E$28/1000*'Batt IN'!$G$13*('Batt IN'!$E$13/12)*'Batt IN'!$E$12,0)</f>
        <v>244.42220833333334</v>
      </c>
      <c r="AZ285" s="10">
        <f>IF('Batt IN'!$E$11="Non-Taxable",$S285*'Batt IN'!$G$15*'Batt IN'!$E$28*'Batt IN'!$E$14/1000,0)</f>
        <v>0</v>
      </c>
      <c r="BA285" s="10">
        <f>IF('Batt IN'!$E$11="Non-Taxable",'Batt IN'!$E$21*'Batt IN'!$G$21/12,0)</f>
        <v>437.5</v>
      </c>
      <c r="BB285" s="10">
        <f>IF('Batt IN'!$E$11="Non-Taxable",'Batt IN'!$E$22*'Batt IN'!$G$22/12,0)</f>
        <v>1145.8333333333335</v>
      </c>
      <c r="BC285" s="10">
        <f>IF('Batt IN'!$E$11="Taxable",Q285,0)</f>
        <v>0</v>
      </c>
      <c r="BD285" s="10">
        <f>IF('Batt IN'!$E$11="Taxable",'Batt IN'!$E$28/1000*'Batt IN'!$G$13*('Batt IN'!$E$13/12)*'Batt IN'!$E$12,0)</f>
        <v>0</v>
      </c>
      <c r="BE285" s="10">
        <f>IF('Batt IN'!$E$11="Taxable",$S285*'Batt IN'!$G$15*'Batt IN'!$E$28*'Batt IN'!$E$14/1000,0)</f>
        <v>0</v>
      </c>
      <c r="BF285" s="10">
        <f>IF('Batt IN'!$E$11="Taxable",'Batt IN'!$E$21*'Batt IN'!$G$21/12,0)</f>
        <v>0</v>
      </c>
      <c r="BG285" s="10">
        <f>IF('Batt IN'!$E$11="Taxable",'Batt IN'!$E$22*'Batt IN'!$G$22/12,0)</f>
        <v>0</v>
      </c>
      <c r="BK285" s="10">
        <f>IF('Batt IN'!$N$18="Yes",-BattLoan!H313,-BattLoan!L313)</f>
        <v>0</v>
      </c>
      <c r="BL285" s="10">
        <f>IF('Batt IN'!$N$18="Yes",-BattLoan!F313,0)</f>
        <v>0</v>
      </c>
      <c r="BM285" s="10">
        <f>IF(AND('Batt IN'!$D$44="YES",$C285&lt;='Batt IN'!$E$44*12),0,-'Batt IN'!$E$28*'Batt IN'!$E$42/12)</f>
        <v>-83.333333333333329</v>
      </c>
      <c r="BN285" s="10">
        <f>IF(AND('Batt IN'!$D$46="YES",$C285&lt;='Batt IN'!$E$46*12),0,-'Batt IN'!$E$28*'Batt IN'!$E$45/12)</f>
        <v>-166.66666666666666</v>
      </c>
      <c r="BO285" s="2">
        <f>IF(AND('Batt IN'!$D$41="YES",BattCalcs!C285=ROUNDUP('Batt IN'!$H$41*12,)),-'Batt IN'!$E$41*'Batt IN'!$E$28,0)</f>
        <v>0</v>
      </c>
      <c r="BP285" s="2">
        <f>IF(AND('Batt IN'!$D$53="Yes",$AL$1&gt;=1),0,IF($C285='Batt IN'!$H$54*12,-'Batt IN'!$F$54,0))</f>
        <v>0</v>
      </c>
      <c r="BQ285" s="2">
        <f>IF(AND('Batt IN'!$D$53="Yes",$AL$1&gt;=2),0,IF($C285='Batt IN'!$H$55*12,-'Batt IN'!$F$55,0))</f>
        <v>0</v>
      </c>
      <c r="BR285" s="2">
        <f>IF(AND('Batt IN'!$D$53="Yes",$AL$1&gt;=3),0,IF($C285='Batt IN'!$H$56*12,-'Batt IN'!$F$56,0))</f>
        <v>0</v>
      </c>
      <c r="BS285" s="2">
        <f>IF(AND('Batt IN'!$D$53="Yes",$AL$1&gt;=4),0,IF($C285='Batt IN'!$H$57*12,-'Batt IN'!$F$57,0))</f>
        <v>0</v>
      </c>
      <c r="BT285" s="2">
        <f>IF(AND('Batt IN'!$D$53="Yes",$AL$1&gt;=5),0,IF($C285='Batt IN'!$H$58*12,-'Batt IN'!$F$58,0))</f>
        <v>0</v>
      </c>
      <c r="BU285" s="2">
        <f>-AH285*PVCalcs!F285</f>
        <v>-376.66912421056747</v>
      </c>
      <c r="BV285" s="2">
        <f>-'Batt IN'!$E$47</f>
        <v>-150</v>
      </c>
      <c r="BW285" s="2">
        <f>-'Batt IN'!$E$49</f>
        <v>-2250</v>
      </c>
      <c r="BX285" s="2">
        <f>IF('Batt IN'!$H$50="No",-(BC285*'Batt IN'!$E$50),-(BC285+BE285)*'Batt IN'!$E$50)</f>
        <v>0</v>
      </c>
      <c r="BY285" s="2">
        <f>IF(C285='Batt IN'!$H$43*12,-'Batt IN'!$E$43,0)</f>
        <v>0</v>
      </c>
      <c r="BZ285" s="38"/>
      <c r="CA285" s="10">
        <f t="shared" si="68"/>
        <v>13422.323408333334</v>
      </c>
      <c r="CB285" s="2">
        <f t="shared" si="72"/>
        <v>-3026.6691242105676</v>
      </c>
      <c r="CC285" s="45">
        <f t="shared" si="73"/>
        <v>10395.654284122766</v>
      </c>
      <c r="CD285" s="43"/>
      <c r="CE285" s="2">
        <f t="shared" si="69"/>
        <v>0</v>
      </c>
      <c r="CF285" s="2">
        <f t="shared" si="74"/>
        <v>-3026.6691242105676</v>
      </c>
      <c r="CG285" s="2"/>
      <c r="CH285" s="2">
        <f t="shared" si="75"/>
        <v>-3026.6691242105676</v>
      </c>
      <c r="CI285" s="45">
        <f>-CH285*'Batt IN'!$E$7</f>
        <v>635.60051608421918</v>
      </c>
      <c r="CJ285" s="48"/>
      <c r="CK285" s="45">
        <f>IF('Batt IN'!$F$4="PV Only",0,IF(C285&gt;'Batt IN'!$H$43*12,0,CC285+CI285))</f>
        <v>0</v>
      </c>
      <c r="CM285" s="10">
        <f t="shared" si="76"/>
        <v>0</v>
      </c>
      <c r="CN285" s="2">
        <f>CK285/(1+('Batt IN'!$G$8))^(C285)</f>
        <v>0</v>
      </c>
      <c r="CO285" s="2" t="e">
        <f>IF(C285&lt;='Batt IN'!$O$30*12,CN285+CO284,NA())</f>
        <v>#N/A</v>
      </c>
      <c r="CQ285" s="2">
        <f>CK285/((1+('Batt IN'!$E$8/12))^BattCalcs!C285)</f>
        <v>0</v>
      </c>
      <c r="CS285" s="10">
        <f t="shared" si="77"/>
        <v>-3026.6691242105676</v>
      </c>
      <c r="CT285" s="10">
        <f t="shared" si="78"/>
        <v>0</v>
      </c>
      <c r="CU285" s="10">
        <f t="shared" si="79"/>
        <v>-3026.6691242105676</v>
      </c>
      <c r="CV285" s="10">
        <f t="shared" si="80"/>
        <v>-3026.6691242105676</v>
      </c>
      <c r="CW285" s="2">
        <f t="shared" si="81"/>
        <v>0</v>
      </c>
      <c r="CX285" s="2">
        <f>-(SUM(CV285:CW285)*'PV IN'!$E$8)</f>
        <v>635.60051608421918</v>
      </c>
      <c r="CY285" s="2">
        <f t="shared" si="82"/>
        <v>-2391.0686081263484</v>
      </c>
      <c r="CZ285" s="2">
        <f>IF(C285&lt;='Batt IN'!$H$43*12,CY285/(1+('PV IN'!$G$9))^(C285),0)</f>
        <v>-762.7975412523017</v>
      </c>
      <c r="DA285" s="33">
        <f>IF(C285&lt;='Batt IN'!$H$43*12,AE285,0)</f>
        <v>30366.783333333333</v>
      </c>
    </row>
    <row r="286" spans="1:105" x14ac:dyDescent="0.25">
      <c r="A286">
        <f>IF(C286&lt;='Batt IN'!$H$43*12,C286,"")</f>
        <v>282</v>
      </c>
      <c r="C286">
        <v>282</v>
      </c>
      <c r="D286" s="21">
        <v>730</v>
      </c>
      <c r="E286" s="1">
        <f>1-'Batt IN'!$E$31</f>
        <v>2.0000000000000018E-2</v>
      </c>
      <c r="F286" s="12">
        <f>('Batt IN'!$E$33*365)/8760</f>
        <v>0</v>
      </c>
      <c r="G286" s="22">
        <f>'Batt IN'!$E$32/8760</f>
        <v>5.7077625570776253E-3</v>
      </c>
      <c r="H286" s="22">
        <f>'Batt IN'!$E$13/8760</f>
        <v>5.5936073059360729E-3</v>
      </c>
      <c r="I286" s="23">
        <f>IF(C286&lt;='Batt IN'!$G$14*12,'Batt IN'!$E$15/8760*'Batt IN'!$G$15,0)</f>
        <v>0</v>
      </c>
      <c r="J286" s="12">
        <f>Z286/'Batt IN'!$E$27/730</f>
        <v>2.4999999999999996E-3</v>
      </c>
      <c r="K286" s="23">
        <f>AA286/'Batt IN'!$E$27/730</f>
        <v>1.6027397260273972E-3</v>
      </c>
      <c r="L286" s="23">
        <f>AB286/'Batt IN'!$E$27/730</f>
        <v>2.0547945205479451E-4</v>
      </c>
      <c r="M286" s="23">
        <f>AC286/'Batt IN'!$E$27/730</f>
        <v>4.7945205479452057E-3</v>
      </c>
      <c r="N286" s="23">
        <f>AD286/'Batt IN'!$E$27/730</f>
        <v>3.4246575342465752E-3</v>
      </c>
      <c r="O286" s="12">
        <f t="shared" si="70"/>
        <v>4.3828767123287697E-2</v>
      </c>
      <c r="P286" s="21">
        <f t="shared" si="71"/>
        <v>698.005</v>
      </c>
      <c r="Q286" s="2">
        <f>IF('Batt IN'!$E$27*'Batt IN'!$E$24&lt;='Batt IN'!$E$28,(('Batt IN'!$E$23*'Batt IN'!$E$27*'Batt IN'!$E$24)/1000)*P286,(('Batt IN'!$E$23*'Batt IN'!$E$28*'Batt IN'!$E$24)/1000)*P286)</f>
        <v>11168.08</v>
      </c>
      <c r="R286" s="2"/>
      <c r="S286" s="77">
        <f>IF(C286&lt;='Batt IN'!$G$14*12,'Batt IN'!$E$15/12,0)</f>
        <v>0</v>
      </c>
      <c r="T286" s="77"/>
      <c r="U286" s="80">
        <f>'Batt IN'!$E$28*('Batt IN'!$G$24/24)*730*(1-O286)</f>
        <v>81433.916666666657</v>
      </c>
      <c r="V286" s="78">
        <f>U286*'Batt IN'!$F$30</f>
        <v>16286.783333333333</v>
      </c>
      <c r="W286" s="78">
        <f>'Batt IN'!$E$28*'Batt IN'!$G$32*('Batt IN'!$E$32/12)*(1+'Batt IN'!$F$30)</f>
        <v>1750.0000000000002</v>
      </c>
      <c r="X286" s="78">
        <f>'Batt IN'!$E$28*'Batt IN'!$G$13*('Batt IN'!$E$13/12)*(1+'Batt IN'!$F$30)</f>
        <v>3184.9999999999995</v>
      </c>
      <c r="Y286" s="33">
        <f>S286*'Batt IN'!$G$15*'Batt IN'!$E$28*(1+'Batt IN'!$F$30)</f>
        <v>0</v>
      </c>
      <c r="Z286" s="33">
        <f>'Batt IN'!$G$16*365/12*(1+'Batt IN'!$F$30)</f>
        <v>1824.9999999999998</v>
      </c>
      <c r="AA286" s="33">
        <f>'Batt IN'!$G$17*'Batt IN'!$E$18*'Batt IN'!$G$18/12*(1+'Batt IN'!$F$30)</f>
        <v>1170</v>
      </c>
      <c r="AB286" s="33">
        <f>'Batt IN'!$G$19*'Batt IN'!$E$20*'Batt IN'!$G$20/12*(1+'Batt IN'!$F$30)</f>
        <v>150</v>
      </c>
      <c r="AC286" s="33">
        <f>'Batt IN'!$G$21*(1+'Batt IN'!$F$30)/12</f>
        <v>3500</v>
      </c>
      <c r="AD286" s="33">
        <f>'Batt IN'!$G$22*(1+'Batt IN'!$F$30)/12</f>
        <v>2500</v>
      </c>
      <c r="AE286" s="33">
        <f t="shared" si="83"/>
        <v>30366.783333333333</v>
      </c>
      <c r="AF286" s="33">
        <f>IF('PV IN'!$F$4="Battery Only",0,AE286*'Batt IN'!$E$29)</f>
        <v>25811.765833333331</v>
      </c>
      <c r="AG286" s="33">
        <f>PVCalcs!L286</f>
        <v>25811.765833333331</v>
      </c>
      <c r="AH286" s="33">
        <f t="shared" si="84"/>
        <v>4555.0175000000017</v>
      </c>
      <c r="AI286" s="33"/>
      <c r="AJ286" s="2">
        <f>IF(AND('Batt IN'!$D$53="Yes",$AL$1&gt;=1),IF($C286='Batt IN'!$H$54*12,-'Batt IN'!$F$54,0),0)</f>
        <v>0</v>
      </c>
      <c r="AK286" s="2">
        <f>IF(AND('Batt IN'!$D$53="Yes",$AL$1&gt;=2),IF($C286='Batt IN'!$H$55*12,-'Batt IN'!$F$55,0),0)</f>
        <v>0</v>
      </c>
      <c r="AL286" s="2">
        <f>IF(AND('Batt IN'!$D$53="Yes",$AL$1&gt;=3),IF($C286='Batt IN'!$H$56*12,-'Batt IN'!$F$56,0),0)</f>
        <v>0</v>
      </c>
      <c r="AM286" s="2">
        <f>IF(AND('Batt IN'!$D$53="Yes",$AL$1&gt;=4),IF($C286='Batt IN'!$H$57*12,-'Batt IN'!$F$57,0),0)</f>
        <v>0</v>
      </c>
      <c r="AN286" s="2">
        <f>IF(AND('Batt IN'!$D$53="Yes",$AL$1&gt;=5),IF($C286='Batt IN'!$H$58*12,-'Batt IN'!$F$58,0),0)</f>
        <v>0</v>
      </c>
      <c r="AO286" s="10">
        <f>IF(AND('Batt IN'!$D$44="YES",$C286&lt;='Batt IN'!$E$44*12),-'Batt IN'!$E$28*'Batt IN'!$E$42/12,0)</f>
        <v>0</v>
      </c>
      <c r="AP286" s="10">
        <f>IF(AND('Batt IN'!$D$46="YES",$C286&lt;='Batt IN'!$E$46*12),-'Batt IN'!$E$28*'Batt IN'!$E$45/12,0)</f>
        <v>0</v>
      </c>
      <c r="AR286" s="10">
        <f>BattLoan!M313</f>
        <v>0</v>
      </c>
      <c r="AS286" s="10">
        <f>'Batt IN'!$G$16*365/12*'Batt IN'!$E$16</f>
        <v>76.041666666666671</v>
      </c>
      <c r="AT286" s="10">
        <f>IF(AND('Batt IN'!$E$18&gt;0,'Batt IN'!$G$18&gt;0),'Batt IN'!$E$17*'Batt IN'!$G$17,0)</f>
        <v>119.44619999999999</v>
      </c>
      <c r="AU286" s="10">
        <f>IF(AND('Batt IN'!$E$20&gt;0,'Batt IN'!$G$20&gt;0),'Batt IN'!$E$19*'Batt IN'!$G$19,0)</f>
        <v>231</v>
      </c>
      <c r="AV286" s="10"/>
      <c r="AW286" s="10"/>
      <c r="AX286" s="10">
        <f>IF('Batt IN'!$E$11="Non-Taxable",Q286,0)</f>
        <v>11168.08</v>
      </c>
      <c r="AY286" s="10">
        <f>IF('Batt IN'!$E$11="Non-Taxable",'Batt IN'!$E$28/1000*'Batt IN'!$G$13*('Batt IN'!$E$13/12)*'Batt IN'!$E$12,0)</f>
        <v>244.42220833333334</v>
      </c>
      <c r="AZ286" s="10">
        <f>IF('Batt IN'!$E$11="Non-Taxable",$S286*'Batt IN'!$G$15*'Batt IN'!$E$28*'Batt IN'!$E$14/1000,0)</f>
        <v>0</v>
      </c>
      <c r="BA286" s="10">
        <f>IF('Batt IN'!$E$11="Non-Taxable",'Batt IN'!$E$21*'Batt IN'!$G$21/12,0)</f>
        <v>437.5</v>
      </c>
      <c r="BB286" s="10">
        <f>IF('Batt IN'!$E$11="Non-Taxable",'Batt IN'!$E$22*'Batt IN'!$G$22/12,0)</f>
        <v>1145.8333333333335</v>
      </c>
      <c r="BC286" s="10">
        <f>IF('Batt IN'!$E$11="Taxable",Q286,0)</f>
        <v>0</v>
      </c>
      <c r="BD286" s="10">
        <f>IF('Batt IN'!$E$11="Taxable",'Batt IN'!$E$28/1000*'Batt IN'!$G$13*('Batt IN'!$E$13/12)*'Batt IN'!$E$12,0)</f>
        <v>0</v>
      </c>
      <c r="BE286" s="10">
        <f>IF('Batt IN'!$E$11="Taxable",$S286*'Batt IN'!$G$15*'Batt IN'!$E$28*'Batt IN'!$E$14/1000,0)</f>
        <v>0</v>
      </c>
      <c r="BF286" s="10">
        <f>IF('Batt IN'!$E$11="Taxable",'Batt IN'!$E$21*'Batt IN'!$G$21/12,0)</f>
        <v>0</v>
      </c>
      <c r="BG286" s="10">
        <f>IF('Batt IN'!$E$11="Taxable",'Batt IN'!$E$22*'Batt IN'!$G$22/12,0)</f>
        <v>0</v>
      </c>
      <c r="BK286" s="10">
        <f>IF('Batt IN'!$N$18="Yes",-BattLoan!H314,-BattLoan!L314)</f>
        <v>0</v>
      </c>
      <c r="BL286" s="10">
        <f>IF('Batt IN'!$N$18="Yes",-BattLoan!F314,0)</f>
        <v>0</v>
      </c>
      <c r="BM286" s="10">
        <f>IF(AND('Batt IN'!$D$44="YES",$C286&lt;='Batt IN'!$E$44*12),0,-'Batt IN'!$E$28*'Batt IN'!$E$42/12)</f>
        <v>-83.333333333333329</v>
      </c>
      <c r="BN286" s="10">
        <f>IF(AND('Batt IN'!$D$46="YES",$C286&lt;='Batt IN'!$E$46*12),0,-'Batt IN'!$E$28*'Batt IN'!$E$45/12)</f>
        <v>-166.66666666666666</v>
      </c>
      <c r="BO286" s="2">
        <f>IF(AND('Batt IN'!$D$41="YES",BattCalcs!C286=ROUNDUP('Batt IN'!$H$41*12,)),-'Batt IN'!$E$41*'Batt IN'!$E$28,0)</f>
        <v>0</v>
      </c>
      <c r="BP286" s="2">
        <f>IF(AND('Batt IN'!$D$53="Yes",$AL$1&gt;=1),0,IF($C286='Batt IN'!$H$54*12,-'Batt IN'!$F$54,0))</f>
        <v>0</v>
      </c>
      <c r="BQ286" s="2">
        <f>IF(AND('Batt IN'!$D$53="Yes",$AL$1&gt;=2),0,IF($C286='Batt IN'!$H$55*12,-'Batt IN'!$F$55,0))</f>
        <v>0</v>
      </c>
      <c r="BR286" s="2">
        <f>IF(AND('Batt IN'!$D$53="Yes",$AL$1&gt;=3),0,IF($C286='Batt IN'!$H$56*12,-'Batt IN'!$F$56,0))</f>
        <v>0</v>
      </c>
      <c r="BS286" s="2">
        <f>IF(AND('Batt IN'!$D$53="Yes",$AL$1&gt;=4),0,IF($C286='Batt IN'!$H$57*12,-'Batt IN'!$F$57,0))</f>
        <v>0</v>
      </c>
      <c r="BT286" s="2">
        <f>IF(AND('Batt IN'!$D$53="Yes",$AL$1&gt;=5),0,IF($C286='Batt IN'!$H$58*12,-'Batt IN'!$F$58,0))</f>
        <v>0</v>
      </c>
      <c r="BU286" s="2">
        <f>-AH286*PVCalcs!F286</f>
        <v>-376.66912421056747</v>
      </c>
      <c r="BV286" s="2">
        <f>-'Batt IN'!$E$47</f>
        <v>-150</v>
      </c>
      <c r="BW286" s="2">
        <f>-'Batt IN'!$E$49</f>
        <v>-2250</v>
      </c>
      <c r="BX286" s="2">
        <f>IF('Batt IN'!$H$50="No",-(BC286*'Batt IN'!$E$50),-(BC286+BE286)*'Batt IN'!$E$50)</f>
        <v>0</v>
      </c>
      <c r="BY286" s="2">
        <f>IF(C286='Batt IN'!$H$43*12,-'Batt IN'!$E$43,0)</f>
        <v>0</v>
      </c>
      <c r="BZ286" s="38"/>
      <c r="CA286" s="10">
        <f t="shared" si="68"/>
        <v>13422.323408333334</v>
      </c>
      <c r="CB286" s="2">
        <f t="shared" si="72"/>
        <v>-3026.6691242105676</v>
      </c>
      <c r="CC286" s="45">
        <f t="shared" si="73"/>
        <v>10395.654284122766</v>
      </c>
      <c r="CD286" s="43"/>
      <c r="CE286" s="2">
        <f t="shared" si="69"/>
        <v>0</v>
      </c>
      <c r="CF286" s="2">
        <f t="shared" si="74"/>
        <v>-3026.6691242105676</v>
      </c>
      <c r="CG286" s="2"/>
      <c r="CH286" s="2">
        <f t="shared" si="75"/>
        <v>-3026.6691242105676</v>
      </c>
      <c r="CI286" s="45">
        <f>-CH286*'Batt IN'!$E$7</f>
        <v>635.60051608421918</v>
      </c>
      <c r="CJ286" s="48"/>
      <c r="CK286" s="45">
        <f>IF('Batt IN'!$F$4="PV Only",0,IF(C286&gt;'Batt IN'!$H$43*12,0,CC286+CI286))</f>
        <v>0</v>
      </c>
      <c r="CM286" s="10">
        <f t="shared" si="76"/>
        <v>0</v>
      </c>
      <c r="CN286" s="2">
        <f>CK286/(1+('Batt IN'!$G$8))^(C286)</f>
        <v>0</v>
      </c>
      <c r="CO286" s="2" t="e">
        <f>IF(C286&lt;='Batt IN'!$O$30*12,CN286+CO285,NA())</f>
        <v>#N/A</v>
      </c>
      <c r="CQ286" s="2">
        <f>CK286/((1+('Batt IN'!$E$8/12))^BattCalcs!C286)</f>
        <v>0</v>
      </c>
      <c r="CS286" s="10">
        <f t="shared" si="77"/>
        <v>-3026.6691242105676</v>
      </c>
      <c r="CT286" s="10">
        <f t="shared" si="78"/>
        <v>0</v>
      </c>
      <c r="CU286" s="10">
        <f t="shared" si="79"/>
        <v>-3026.6691242105676</v>
      </c>
      <c r="CV286" s="10">
        <f t="shared" si="80"/>
        <v>-3026.6691242105676</v>
      </c>
      <c r="CW286" s="2">
        <f t="shared" si="81"/>
        <v>0</v>
      </c>
      <c r="CX286" s="2">
        <f>-(SUM(CV286:CW286)*'PV IN'!$E$8)</f>
        <v>635.60051608421918</v>
      </c>
      <c r="CY286" s="2">
        <f t="shared" si="82"/>
        <v>-2391.0686081263484</v>
      </c>
      <c r="CZ286" s="2">
        <f>IF(C286&lt;='Batt IN'!$H$43*12,CY286/(1+('PV IN'!$G$9))^(C286),0)</f>
        <v>-759.70241955629228</v>
      </c>
      <c r="DA286" s="33">
        <f>IF(C286&lt;='Batt IN'!$H$43*12,AE286,0)</f>
        <v>30366.783333333333</v>
      </c>
    </row>
    <row r="287" spans="1:105" x14ac:dyDescent="0.25">
      <c r="A287">
        <f>IF(C287&lt;='Batt IN'!$H$43*12,C287,"")</f>
        <v>283</v>
      </c>
      <c r="C287">
        <v>283</v>
      </c>
      <c r="D287" s="21">
        <v>730</v>
      </c>
      <c r="E287" s="1">
        <f>1-'Batt IN'!$E$31</f>
        <v>2.0000000000000018E-2</v>
      </c>
      <c r="F287" s="12">
        <f>('Batt IN'!$E$33*365)/8760</f>
        <v>0</v>
      </c>
      <c r="G287" s="22">
        <f>'Batt IN'!$E$32/8760</f>
        <v>5.7077625570776253E-3</v>
      </c>
      <c r="H287" s="22">
        <f>'Batt IN'!$E$13/8760</f>
        <v>5.5936073059360729E-3</v>
      </c>
      <c r="I287" s="23">
        <f>IF(C287&lt;='Batt IN'!$G$14*12,'Batt IN'!$E$15/8760*'Batt IN'!$G$15,0)</f>
        <v>0</v>
      </c>
      <c r="J287" s="12">
        <f>Z287/'Batt IN'!$E$27/730</f>
        <v>2.4999999999999996E-3</v>
      </c>
      <c r="K287" s="23">
        <f>AA287/'Batt IN'!$E$27/730</f>
        <v>1.6027397260273972E-3</v>
      </c>
      <c r="L287" s="23">
        <f>AB287/'Batt IN'!$E$27/730</f>
        <v>2.0547945205479451E-4</v>
      </c>
      <c r="M287" s="23">
        <f>AC287/'Batt IN'!$E$27/730</f>
        <v>4.7945205479452057E-3</v>
      </c>
      <c r="N287" s="23">
        <f>AD287/'Batt IN'!$E$27/730</f>
        <v>3.4246575342465752E-3</v>
      </c>
      <c r="O287" s="12">
        <f t="shared" si="70"/>
        <v>4.3828767123287697E-2</v>
      </c>
      <c r="P287" s="21">
        <f t="shared" si="71"/>
        <v>698.005</v>
      </c>
      <c r="Q287" s="2">
        <f>IF('Batt IN'!$E$27*'Batt IN'!$E$24&lt;='Batt IN'!$E$28,(('Batt IN'!$E$23*'Batt IN'!$E$27*'Batt IN'!$E$24)/1000)*P287,(('Batt IN'!$E$23*'Batt IN'!$E$28*'Batt IN'!$E$24)/1000)*P287)</f>
        <v>11168.08</v>
      </c>
      <c r="R287" s="2"/>
      <c r="S287" s="77">
        <f>IF(C287&lt;='Batt IN'!$G$14*12,'Batt IN'!$E$15/12,0)</f>
        <v>0</v>
      </c>
      <c r="T287" s="77"/>
      <c r="U287" s="80">
        <f>'Batt IN'!$E$28*('Batt IN'!$G$24/24)*730*(1-O287)</f>
        <v>81433.916666666657</v>
      </c>
      <c r="V287" s="78">
        <f>U287*'Batt IN'!$F$30</f>
        <v>16286.783333333333</v>
      </c>
      <c r="W287" s="78">
        <f>'Batt IN'!$E$28*'Batt IN'!$G$32*('Batt IN'!$E$32/12)*(1+'Batt IN'!$F$30)</f>
        <v>1750.0000000000002</v>
      </c>
      <c r="X287" s="78">
        <f>'Batt IN'!$E$28*'Batt IN'!$G$13*('Batt IN'!$E$13/12)*(1+'Batt IN'!$F$30)</f>
        <v>3184.9999999999995</v>
      </c>
      <c r="Y287" s="33">
        <f>S287*'Batt IN'!$G$15*'Batt IN'!$E$28*(1+'Batt IN'!$F$30)</f>
        <v>0</v>
      </c>
      <c r="Z287" s="33">
        <f>'Batt IN'!$G$16*365/12*(1+'Batt IN'!$F$30)</f>
        <v>1824.9999999999998</v>
      </c>
      <c r="AA287" s="33">
        <f>'Batt IN'!$G$17*'Batt IN'!$E$18*'Batt IN'!$G$18/12*(1+'Batt IN'!$F$30)</f>
        <v>1170</v>
      </c>
      <c r="AB287" s="33">
        <f>'Batt IN'!$G$19*'Batt IN'!$E$20*'Batt IN'!$G$20/12*(1+'Batt IN'!$F$30)</f>
        <v>150</v>
      </c>
      <c r="AC287" s="33">
        <f>'Batt IN'!$G$21*(1+'Batt IN'!$F$30)/12</f>
        <v>3500</v>
      </c>
      <c r="AD287" s="33">
        <f>'Batt IN'!$G$22*(1+'Batt IN'!$F$30)/12</f>
        <v>2500</v>
      </c>
      <c r="AE287" s="33">
        <f t="shared" si="83"/>
        <v>30366.783333333333</v>
      </c>
      <c r="AF287" s="33">
        <f>IF('PV IN'!$F$4="Battery Only",0,AE287*'Batt IN'!$E$29)</f>
        <v>25811.765833333331</v>
      </c>
      <c r="AG287" s="33">
        <f>PVCalcs!L287</f>
        <v>25811.765833333331</v>
      </c>
      <c r="AH287" s="33">
        <f t="shared" si="84"/>
        <v>4555.0175000000017</v>
      </c>
      <c r="AI287" s="33"/>
      <c r="AJ287" s="2">
        <f>IF(AND('Batt IN'!$D$53="Yes",$AL$1&gt;=1),IF($C287='Batt IN'!$H$54*12,-'Batt IN'!$F$54,0),0)</f>
        <v>0</v>
      </c>
      <c r="AK287" s="2">
        <f>IF(AND('Batt IN'!$D$53="Yes",$AL$1&gt;=2),IF($C287='Batt IN'!$H$55*12,-'Batt IN'!$F$55,0),0)</f>
        <v>0</v>
      </c>
      <c r="AL287" s="2">
        <f>IF(AND('Batt IN'!$D$53="Yes",$AL$1&gt;=3),IF($C287='Batt IN'!$H$56*12,-'Batt IN'!$F$56,0),0)</f>
        <v>0</v>
      </c>
      <c r="AM287" s="2">
        <f>IF(AND('Batt IN'!$D$53="Yes",$AL$1&gt;=4),IF($C287='Batt IN'!$H$57*12,-'Batt IN'!$F$57,0),0)</f>
        <v>0</v>
      </c>
      <c r="AN287" s="2">
        <f>IF(AND('Batt IN'!$D$53="Yes",$AL$1&gt;=5),IF($C287='Batt IN'!$H$58*12,-'Batt IN'!$F$58,0),0)</f>
        <v>0</v>
      </c>
      <c r="AO287" s="10">
        <f>IF(AND('Batt IN'!$D$44="YES",$C287&lt;='Batt IN'!$E$44*12),-'Batt IN'!$E$28*'Batt IN'!$E$42/12,0)</f>
        <v>0</v>
      </c>
      <c r="AP287" s="10">
        <f>IF(AND('Batt IN'!$D$46="YES",$C287&lt;='Batt IN'!$E$46*12),-'Batt IN'!$E$28*'Batt IN'!$E$45/12,0)</f>
        <v>0</v>
      </c>
      <c r="AR287" s="10">
        <f>BattLoan!M314</f>
        <v>0</v>
      </c>
      <c r="AS287" s="10">
        <f>'Batt IN'!$G$16*365/12*'Batt IN'!$E$16</f>
        <v>76.041666666666671</v>
      </c>
      <c r="AT287" s="10">
        <f>IF(AND('Batt IN'!$E$18&gt;0,'Batt IN'!$G$18&gt;0),'Batt IN'!$E$17*'Batt IN'!$G$17,0)</f>
        <v>119.44619999999999</v>
      </c>
      <c r="AU287" s="10">
        <f>IF(AND('Batt IN'!$E$20&gt;0,'Batt IN'!$G$20&gt;0),'Batt IN'!$E$19*'Batt IN'!$G$19,0)</f>
        <v>231</v>
      </c>
      <c r="AV287" s="10"/>
      <c r="AW287" s="10"/>
      <c r="AX287" s="10">
        <f>IF('Batt IN'!$E$11="Non-Taxable",Q287,0)</f>
        <v>11168.08</v>
      </c>
      <c r="AY287" s="10">
        <f>IF('Batt IN'!$E$11="Non-Taxable",'Batt IN'!$E$28/1000*'Batt IN'!$G$13*('Batt IN'!$E$13/12)*'Batt IN'!$E$12,0)</f>
        <v>244.42220833333334</v>
      </c>
      <c r="AZ287" s="10">
        <f>IF('Batt IN'!$E$11="Non-Taxable",$S287*'Batt IN'!$G$15*'Batt IN'!$E$28*'Batt IN'!$E$14/1000,0)</f>
        <v>0</v>
      </c>
      <c r="BA287" s="10">
        <f>IF('Batt IN'!$E$11="Non-Taxable",'Batt IN'!$E$21*'Batt IN'!$G$21/12,0)</f>
        <v>437.5</v>
      </c>
      <c r="BB287" s="10">
        <f>IF('Batt IN'!$E$11="Non-Taxable",'Batt IN'!$E$22*'Batt IN'!$G$22/12,0)</f>
        <v>1145.8333333333335</v>
      </c>
      <c r="BC287" s="10">
        <f>IF('Batt IN'!$E$11="Taxable",Q287,0)</f>
        <v>0</v>
      </c>
      <c r="BD287" s="10">
        <f>IF('Batt IN'!$E$11="Taxable",'Batt IN'!$E$28/1000*'Batt IN'!$G$13*('Batt IN'!$E$13/12)*'Batt IN'!$E$12,0)</f>
        <v>0</v>
      </c>
      <c r="BE287" s="10">
        <f>IF('Batt IN'!$E$11="Taxable",$S287*'Batt IN'!$G$15*'Batt IN'!$E$28*'Batt IN'!$E$14/1000,0)</f>
        <v>0</v>
      </c>
      <c r="BF287" s="10">
        <f>IF('Batt IN'!$E$11="Taxable",'Batt IN'!$E$21*'Batt IN'!$G$21/12,0)</f>
        <v>0</v>
      </c>
      <c r="BG287" s="10">
        <f>IF('Batt IN'!$E$11="Taxable",'Batt IN'!$E$22*'Batt IN'!$G$22/12,0)</f>
        <v>0</v>
      </c>
      <c r="BK287" s="10">
        <f>IF('Batt IN'!$N$18="Yes",-BattLoan!H315,-BattLoan!L315)</f>
        <v>0</v>
      </c>
      <c r="BL287" s="10">
        <f>IF('Batt IN'!$N$18="Yes",-BattLoan!F315,0)</f>
        <v>0</v>
      </c>
      <c r="BM287" s="10">
        <f>IF(AND('Batt IN'!$D$44="YES",$C287&lt;='Batt IN'!$E$44*12),0,-'Batt IN'!$E$28*'Batt IN'!$E$42/12)</f>
        <v>-83.333333333333329</v>
      </c>
      <c r="BN287" s="10">
        <f>IF(AND('Batt IN'!$D$46="YES",$C287&lt;='Batt IN'!$E$46*12),0,-'Batt IN'!$E$28*'Batt IN'!$E$45/12)</f>
        <v>-166.66666666666666</v>
      </c>
      <c r="BO287" s="2">
        <f>IF(AND('Batt IN'!$D$41="YES",BattCalcs!C287=ROUNDUP('Batt IN'!$H$41*12,)),-'Batt IN'!$E$41*'Batt IN'!$E$28,0)</f>
        <v>0</v>
      </c>
      <c r="BP287" s="2">
        <f>IF(AND('Batt IN'!$D$53="Yes",$AL$1&gt;=1),0,IF($C287='Batt IN'!$H$54*12,-'Batt IN'!$F$54,0))</f>
        <v>0</v>
      </c>
      <c r="BQ287" s="2">
        <f>IF(AND('Batt IN'!$D$53="Yes",$AL$1&gt;=2),0,IF($C287='Batt IN'!$H$55*12,-'Batt IN'!$F$55,0))</f>
        <v>0</v>
      </c>
      <c r="BR287" s="2">
        <f>IF(AND('Batt IN'!$D$53="Yes",$AL$1&gt;=3),0,IF($C287='Batt IN'!$H$56*12,-'Batt IN'!$F$56,0))</f>
        <v>0</v>
      </c>
      <c r="BS287" s="2">
        <f>IF(AND('Batt IN'!$D$53="Yes",$AL$1&gt;=4),0,IF($C287='Batt IN'!$H$57*12,-'Batt IN'!$F$57,0))</f>
        <v>0</v>
      </c>
      <c r="BT287" s="2">
        <f>IF(AND('Batt IN'!$D$53="Yes",$AL$1&gt;=5),0,IF($C287='Batt IN'!$H$58*12,-'Batt IN'!$F$58,0))</f>
        <v>0</v>
      </c>
      <c r="BU287" s="2">
        <f>-AH287*PVCalcs!F287</f>
        <v>-376.66912421056747</v>
      </c>
      <c r="BV287" s="2">
        <f>-'Batt IN'!$E$47</f>
        <v>-150</v>
      </c>
      <c r="BW287" s="2">
        <f>-'Batt IN'!$E$49</f>
        <v>-2250</v>
      </c>
      <c r="BX287" s="2">
        <f>IF('Batt IN'!$H$50="No",-(BC287*'Batt IN'!$E$50),-(BC287+BE287)*'Batt IN'!$E$50)</f>
        <v>0</v>
      </c>
      <c r="BY287" s="2">
        <f>IF(C287='Batt IN'!$H$43*12,-'Batt IN'!$E$43,0)</f>
        <v>0</v>
      </c>
      <c r="BZ287" s="38"/>
      <c r="CA287" s="10">
        <f t="shared" si="68"/>
        <v>13422.323408333334</v>
      </c>
      <c r="CB287" s="2">
        <f t="shared" si="72"/>
        <v>-3026.6691242105676</v>
      </c>
      <c r="CC287" s="45">
        <f t="shared" si="73"/>
        <v>10395.654284122766</v>
      </c>
      <c r="CD287" s="43"/>
      <c r="CE287" s="2">
        <f t="shared" si="69"/>
        <v>0</v>
      </c>
      <c r="CF287" s="2">
        <f t="shared" si="74"/>
        <v>-3026.6691242105676</v>
      </c>
      <c r="CG287" s="2"/>
      <c r="CH287" s="2">
        <f t="shared" si="75"/>
        <v>-3026.6691242105676</v>
      </c>
      <c r="CI287" s="45">
        <f>-CH287*'Batt IN'!$E$7</f>
        <v>635.60051608421918</v>
      </c>
      <c r="CJ287" s="48"/>
      <c r="CK287" s="45">
        <f>IF('Batt IN'!$F$4="PV Only",0,IF(C287&gt;'Batt IN'!$H$43*12,0,CC287+CI287))</f>
        <v>0</v>
      </c>
      <c r="CM287" s="10">
        <f t="shared" si="76"/>
        <v>0</v>
      </c>
      <c r="CN287" s="2">
        <f>CK287/(1+('Batt IN'!$G$8))^(C287)</f>
        <v>0</v>
      </c>
      <c r="CO287" s="2" t="e">
        <f>IF(C287&lt;='Batt IN'!$O$30*12,CN287+CO286,NA())</f>
        <v>#N/A</v>
      </c>
      <c r="CQ287" s="2">
        <f>CK287/((1+('Batt IN'!$E$8/12))^BattCalcs!C287)</f>
        <v>0</v>
      </c>
      <c r="CS287" s="10">
        <f t="shared" si="77"/>
        <v>-3026.6691242105676</v>
      </c>
      <c r="CT287" s="10">
        <f t="shared" si="78"/>
        <v>0</v>
      </c>
      <c r="CU287" s="10">
        <f t="shared" si="79"/>
        <v>-3026.6691242105676</v>
      </c>
      <c r="CV287" s="10">
        <f t="shared" si="80"/>
        <v>-3026.6691242105676</v>
      </c>
      <c r="CW287" s="2">
        <f t="shared" si="81"/>
        <v>0</v>
      </c>
      <c r="CX287" s="2">
        <f>-(SUM(CV287:CW287)*'PV IN'!$E$8)</f>
        <v>635.60051608421918</v>
      </c>
      <c r="CY287" s="2">
        <f t="shared" si="82"/>
        <v>-2391.0686081263484</v>
      </c>
      <c r="CZ287" s="2">
        <f>IF(C287&lt;='Batt IN'!$H$43*12,CY287/(1+('PV IN'!$G$9))^(C287),0)</f>
        <v>-756.61985660332402</v>
      </c>
      <c r="DA287" s="33">
        <f>IF(C287&lt;='Batt IN'!$H$43*12,AE287,0)</f>
        <v>30366.783333333333</v>
      </c>
    </row>
    <row r="288" spans="1:105" x14ac:dyDescent="0.25">
      <c r="A288">
        <f>IF(C288&lt;='Batt IN'!$H$43*12,C288,"")</f>
        <v>284</v>
      </c>
      <c r="C288">
        <v>284</v>
      </c>
      <c r="D288" s="21">
        <v>730</v>
      </c>
      <c r="E288" s="1">
        <f>1-'Batt IN'!$E$31</f>
        <v>2.0000000000000018E-2</v>
      </c>
      <c r="F288" s="12">
        <f>('Batt IN'!$E$33*365)/8760</f>
        <v>0</v>
      </c>
      <c r="G288" s="22">
        <f>'Batt IN'!$E$32/8760</f>
        <v>5.7077625570776253E-3</v>
      </c>
      <c r="H288" s="22">
        <f>'Batt IN'!$E$13/8760</f>
        <v>5.5936073059360729E-3</v>
      </c>
      <c r="I288" s="23">
        <f>IF(C288&lt;='Batt IN'!$G$14*12,'Batt IN'!$E$15/8760*'Batt IN'!$G$15,0)</f>
        <v>0</v>
      </c>
      <c r="J288" s="12">
        <f>Z288/'Batt IN'!$E$27/730</f>
        <v>2.4999999999999996E-3</v>
      </c>
      <c r="K288" s="23">
        <f>AA288/'Batt IN'!$E$27/730</f>
        <v>1.6027397260273972E-3</v>
      </c>
      <c r="L288" s="23">
        <f>AB288/'Batt IN'!$E$27/730</f>
        <v>2.0547945205479451E-4</v>
      </c>
      <c r="M288" s="23">
        <f>AC288/'Batt IN'!$E$27/730</f>
        <v>4.7945205479452057E-3</v>
      </c>
      <c r="N288" s="23">
        <f>AD288/'Batt IN'!$E$27/730</f>
        <v>3.4246575342465752E-3</v>
      </c>
      <c r="O288" s="12">
        <f t="shared" si="70"/>
        <v>4.3828767123287697E-2</v>
      </c>
      <c r="P288" s="21">
        <f t="shared" si="71"/>
        <v>698.005</v>
      </c>
      <c r="Q288" s="2">
        <f>IF('Batt IN'!$E$27*'Batt IN'!$E$24&lt;='Batt IN'!$E$28,(('Batt IN'!$E$23*'Batt IN'!$E$27*'Batt IN'!$E$24)/1000)*P288,(('Batt IN'!$E$23*'Batt IN'!$E$28*'Batt IN'!$E$24)/1000)*P288)</f>
        <v>11168.08</v>
      </c>
      <c r="R288" s="2"/>
      <c r="S288" s="77">
        <f>IF(C288&lt;='Batt IN'!$G$14*12,'Batt IN'!$E$15/12,0)</f>
        <v>0</v>
      </c>
      <c r="T288" s="77"/>
      <c r="U288" s="80">
        <f>'Batt IN'!$E$28*('Batt IN'!$G$24/24)*730*(1-O288)</f>
        <v>81433.916666666657</v>
      </c>
      <c r="V288" s="78">
        <f>U288*'Batt IN'!$F$30</f>
        <v>16286.783333333333</v>
      </c>
      <c r="W288" s="78">
        <f>'Batt IN'!$E$28*'Batt IN'!$G$32*('Batt IN'!$E$32/12)*(1+'Batt IN'!$F$30)</f>
        <v>1750.0000000000002</v>
      </c>
      <c r="X288" s="78">
        <f>'Batt IN'!$E$28*'Batt IN'!$G$13*('Batt IN'!$E$13/12)*(1+'Batt IN'!$F$30)</f>
        <v>3184.9999999999995</v>
      </c>
      <c r="Y288" s="33">
        <f>S288*'Batt IN'!$G$15*'Batt IN'!$E$28*(1+'Batt IN'!$F$30)</f>
        <v>0</v>
      </c>
      <c r="Z288" s="33">
        <f>'Batt IN'!$G$16*365/12*(1+'Batt IN'!$F$30)</f>
        <v>1824.9999999999998</v>
      </c>
      <c r="AA288" s="33">
        <f>'Batt IN'!$G$17*'Batt IN'!$E$18*'Batt IN'!$G$18/12*(1+'Batt IN'!$F$30)</f>
        <v>1170</v>
      </c>
      <c r="AB288" s="33">
        <f>'Batt IN'!$G$19*'Batt IN'!$E$20*'Batt IN'!$G$20/12*(1+'Batt IN'!$F$30)</f>
        <v>150</v>
      </c>
      <c r="AC288" s="33">
        <f>'Batt IN'!$G$21*(1+'Batt IN'!$F$30)/12</f>
        <v>3500</v>
      </c>
      <c r="AD288" s="33">
        <f>'Batt IN'!$G$22*(1+'Batt IN'!$F$30)/12</f>
        <v>2500</v>
      </c>
      <c r="AE288" s="33">
        <f t="shared" si="83"/>
        <v>30366.783333333333</v>
      </c>
      <c r="AF288" s="33">
        <f>IF('PV IN'!$F$4="Battery Only",0,AE288*'Batt IN'!$E$29)</f>
        <v>25811.765833333331</v>
      </c>
      <c r="AG288" s="33">
        <f>PVCalcs!L288</f>
        <v>25811.765833333331</v>
      </c>
      <c r="AH288" s="33">
        <f t="shared" si="84"/>
        <v>4555.0175000000017</v>
      </c>
      <c r="AI288" s="33"/>
      <c r="AJ288" s="2">
        <f>IF(AND('Batt IN'!$D$53="Yes",$AL$1&gt;=1),IF($C288='Batt IN'!$H$54*12,-'Batt IN'!$F$54,0),0)</f>
        <v>0</v>
      </c>
      <c r="AK288" s="2">
        <f>IF(AND('Batt IN'!$D$53="Yes",$AL$1&gt;=2),IF($C288='Batt IN'!$H$55*12,-'Batt IN'!$F$55,0),0)</f>
        <v>0</v>
      </c>
      <c r="AL288" s="2">
        <f>IF(AND('Batt IN'!$D$53="Yes",$AL$1&gt;=3),IF($C288='Batt IN'!$H$56*12,-'Batt IN'!$F$56,0),0)</f>
        <v>0</v>
      </c>
      <c r="AM288" s="2">
        <f>IF(AND('Batt IN'!$D$53="Yes",$AL$1&gt;=4),IF($C288='Batt IN'!$H$57*12,-'Batt IN'!$F$57,0),0)</f>
        <v>0</v>
      </c>
      <c r="AN288" s="2">
        <f>IF(AND('Batt IN'!$D$53="Yes",$AL$1&gt;=5),IF($C288='Batt IN'!$H$58*12,-'Batt IN'!$F$58,0),0)</f>
        <v>0</v>
      </c>
      <c r="AO288" s="10">
        <f>IF(AND('Batt IN'!$D$44="YES",$C288&lt;='Batt IN'!$E$44*12),-'Batt IN'!$E$28*'Batt IN'!$E$42/12,0)</f>
        <v>0</v>
      </c>
      <c r="AP288" s="10">
        <f>IF(AND('Batt IN'!$D$46="YES",$C288&lt;='Batt IN'!$E$46*12),-'Batt IN'!$E$28*'Batt IN'!$E$45/12,0)</f>
        <v>0</v>
      </c>
      <c r="AR288" s="10">
        <f>BattLoan!M315</f>
        <v>0</v>
      </c>
      <c r="AS288" s="10">
        <f>'Batt IN'!$G$16*365/12*'Batt IN'!$E$16</f>
        <v>76.041666666666671</v>
      </c>
      <c r="AT288" s="10">
        <f>IF(AND('Batt IN'!$E$18&gt;0,'Batt IN'!$G$18&gt;0),'Batt IN'!$E$17*'Batt IN'!$G$17,0)</f>
        <v>119.44619999999999</v>
      </c>
      <c r="AU288" s="10">
        <f>IF(AND('Batt IN'!$E$20&gt;0,'Batt IN'!$G$20&gt;0),'Batt IN'!$E$19*'Batt IN'!$G$19,0)</f>
        <v>231</v>
      </c>
      <c r="AV288" s="10"/>
      <c r="AW288" s="10"/>
      <c r="AX288" s="10">
        <f>IF('Batt IN'!$E$11="Non-Taxable",Q288,0)</f>
        <v>11168.08</v>
      </c>
      <c r="AY288" s="10">
        <f>IF('Batt IN'!$E$11="Non-Taxable",'Batt IN'!$E$28/1000*'Batt IN'!$G$13*('Batt IN'!$E$13/12)*'Batt IN'!$E$12,0)</f>
        <v>244.42220833333334</v>
      </c>
      <c r="AZ288" s="10">
        <f>IF('Batt IN'!$E$11="Non-Taxable",$S288*'Batt IN'!$G$15*'Batt IN'!$E$28*'Batt IN'!$E$14/1000,0)</f>
        <v>0</v>
      </c>
      <c r="BA288" s="10">
        <f>IF('Batt IN'!$E$11="Non-Taxable",'Batt IN'!$E$21*'Batt IN'!$G$21/12,0)</f>
        <v>437.5</v>
      </c>
      <c r="BB288" s="10">
        <f>IF('Batt IN'!$E$11="Non-Taxable",'Batt IN'!$E$22*'Batt IN'!$G$22/12,0)</f>
        <v>1145.8333333333335</v>
      </c>
      <c r="BC288" s="10">
        <f>IF('Batt IN'!$E$11="Taxable",Q288,0)</f>
        <v>0</v>
      </c>
      <c r="BD288" s="10">
        <f>IF('Batt IN'!$E$11="Taxable",'Batt IN'!$E$28/1000*'Batt IN'!$G$13*('Batt IN'!$E$13/12)*'Batt IN'!$E$12,0)</f>
        <v>0</v>
      </c>
      <c r="BE288" s="10">
        <f>IF('Batt IN'!$E$11="Taxable",$S288*'Batt IN'!$G$15*'Batt IN'!$E$28*'Batt IN'!$E$14/1000,0)</f>
        <v>0</v>
      </c>
      <c r="BF288" s="10">
        <f>IF('Batt IN'!$E$11="Taxable",'Batt IN'!$E$21*'Batt IN'!$G$21/12,0)</f>
        <v>0</v>
      </c>
      <c r="BG288" s="10">
        <f>IF('Batt IN'!$E$11="Taxable",'Batt IN'!$E$22*'Batt IN'!$G$22/12,0)</f>
        <v>0</v>
      </c>
      <c r="BK288" s="10">
        <f>IF('Batt IN'!$N$18="Yes",-BattLoan!H316,-BattLoan!L316)</f>
        <v>0</v>
      </c>
      <c r="BL288" s="10">
        <f>IF('Batt IN'!$N$18="Yes",-BattLoan!F316,0)</f>
        <v>0</v>
      </c>
      <c r="BM288" s="10">
        <f>IF(AND('Batt IN'!$D$44="YES",$C288&lt;='Batt IN'!$E$44*12),0,-'Batt IN'!$E$28*'Batt IN'!$E$42/12)</f>
        <v>-83.333333333333329</v>
      </c>
      <c r="BN288" s="10">
        <f>IF(AND('Batt IN'!$D$46="YES",$C288&lt;='Batt IN'!$E$46*12),0,-'Batt IN'!$E$28*'Batt IN'!$E$45/12)</f>
        <v>-166.66666666666666</v>
      </c>
      <c r="BO288" s="2">
        <f>IF(AND('Batt IN'!$D$41="YES",BattCalcs!C288=ROUNDUP('Batt IN'!$H$41*12,)),-'Batt IN'!$E$41*'Batt IN'!$E$28,0)</f>
        <v>0</v>
      </c>
      <c r="BP288" s="2">
        <f>IF(AND('Batt IN'!$D$53="Yes",$AL$1&gt;=1),0,IF($C288='Batt IN'!$H$54*12,-'Batt IN'!$F$54,0))</f>
        <v>0</v>
      </c>
      <c r="BQ288" s="2">
        <f>IF(AND('Batt IN'!$D$53="Yes",$AL$1&gt;=2),0,IF($C288='Batt IN'!$H$55*12,-'Batt IN'!$F$55,0))</f>
        <v>0</v>
      </c>
      <c r="BR288" s="2">
        <f>IF(AND('Batt IN'!$D$53="Yes",$AL$1&gt;=3),0,IF($C288='Batt IN'!$H$56*12,-'Batt IN'!$F$56,0))</f>
        <v>0</v>
      </c>
      <c r="BS288" s="2">
        <f>IF(AND('Batt IN'!$D$53="Yes",$AL$1&gt;=4),0,IF($C288='Batt IN'!$H$57*12,-'Batt IN'!$F$57,0))</f>
        <v>0</v>
      </c>
      <c r="BT288" s="2">
        <f>IF(AND('Batt IN'!$D$53="Yes",$AL$1&gt;=5),0,IF($C288='Batt IN'!$H$58*12,-'Batt IN'!$F$58,0))</f>
        <v>0</v>
      </c>
      <c r="BU288" s="2">
        <f>-AH288*PVCalcs!F288</f>
        <v>-376.66912421056747</v>
      </c>
      <c r="BV288" s="2">
        <f>-'Batt IN'!$E$47</f>
        <v>-150</v>
      </c>
      <c r="BW288" s="2">
        <f>-'Batt IN'!$E$49</f>
        <v>-2250</v>
      </c>
      <c r="BX288" s="2">
        <f>IF('Batt IN'!$H$50="No",-(BC288*'Batt IN'!$E$50),-(BC288+BE288)*'Batt IN'!$E$50)</f>
        <v>0</v>
      </c>
      <c r="BY288" s="2">
        <f>IF(C288='Batt IN'!$H$43*12,-'Batt IN'!$E$43,0)</f>
        <v>0</v>
      </c>
      <c r="BZ288" s="38"/>
      <c r="CA288" s="10">
        <f t="shared" si="68"/>
        <v>13422.323408333334</v>
      </c>
      <c r="CB288" s="2">
        <f t="shared" si="72"/>
        <v>-3026.6691242105676</v>
      </c>
      <c r="CC288" s="45">
        <f t="shared" si="73"/>
        <v>10395.654284122766</v>
      </c>
      <c r="CD288" s="43"/>
      <c r="CE288" s="2">
        <f t="shared" si="69"/>
        <v>0</v>
      </c>
      <c r="CF288" s="2">
        <f t="shared" si="74"/>
        <v>-3026.6691242105676</v>
      </c>
      <c r="CG288" s="2"/>
      <c r="CH288" s="2">
        <f t="shared" si="75"/>
        <v>-3026.6691242105676</v>
      </c>
      <c r="CI288" s="45">
        <f>-CH288*'Batt IN'!$E$7</f>
        <v>635.60051608421918</v>
      </c>
      <c r="CJ288" s="48"/>
      <c r="CK288" s="45">
        <f>IF('Batt IN'!$F$4="PV Only",0,IF(C288&gt;'Batt IN'!$H$43*12,0,CC288+CI288))</f>
        <v>0</v>
      </c>
      <c r="CM288" s="10">
        <f t="shared" si="76"/>
        <v>0</v>
      </c>
      <c r="CN288" s="2">
        <f>CK288/(1+('Batt IN'!$G$8))^(C288)</f>
        <v>0</v>
      </c>
      <c r="CO288" s="2" t="e">
        <f>IF(C288&lt;='Batt IN'!$O$30*12,CN288+CO287,NA())</f>
        <v>#N/A</v>
      </c>
      <c r="CQ288" s="2">
        <f>CK288/((1+('Batt IN'!$E$8/12))^BattCalcs!C288)</f>
        <v>0</v>
      </c>
      <c r="CS288" s="10">
        <f t="shared" si="77"/>
        <v>-3026.6691242105676</v>
      </c>
      <c r="CT288" s="10">
        <f t="shared" si="78"/>
        <v>0</v>
      </c>
      <c r="CU288" s="10">
        <f t="shared" si="79"/>
        <v>-3026.6691242105676</v>
      </c>
      <c r="CV288" s="10">
        <f t="shared" si="80"/>
        <v>-3026.6691242105676</v>
      </c>
      <c r="CW288" s="2">
        <f t="shared" si="81"/>
        <v>0</v>
      </c>
      <c r="CX288" s="2">
        <f>-(SUM(CV288:CW288)*'PV IN'!$E$8)</f>
        <v>635.60051608421918</v>
      </c>
      <c r="CY288" s="2">
        <f t="shared" si="82"/>
        <v>-2391.0686081263484</v>
      </c>
      <c r="CZ288" s="2">
        <f>IF(C288&lt;='Batt IN'!$H$43*12,CY288/(1+('PV IN'!$G$9))^(C288),0)</f>
        <v>-753.54980143513365</v>
      </c>
      <c r="DA288" s="33">
        <f>IF(C288&lt;='Batt IN'!$H$43*12,AE288,0)</f>
        <v>30366.783333333333</v>
      </c>
    </row>
    <row r="289" spans="1:105" x14ac:dyDescent="0.25">
      <c r="A289">
        <f>IF(C289&lt;='Batt IN'!$H$43*12,C289,"")</f>
        <v>285</v>
      </c>
      <c r="C289">
        <v>285</v>
      </c>
      <c r="D289" s="21">
        <v>730</v>
      </c>
      <c r="E289" s="1">
        <f>1-'Batt IN'!$E$31</f>
        <v>2.0000000000000018E-2</v>
      </c>
      <c r="F289" s="12">
        <f>('Batt IN'!$E$33*365)/8760</f>
        <v>0</v>
      </c>
      <c r="G289" s="22">
        <f>'Batt IN'!$E$32/8760</f>
        <v>5.7077625570776253E-3</v>
      </c>
      <c r="H289" s="22">
        <f>'Batt IN'!$E$13/8760</f>
        <v>5.5936073059360729E-3</v>
      </c>
      <c r="I289" s="23">
        <f>IF(C289&lt;='Batt IN'!$G$14*12,'Batt IN'!$E$15/8760*'Batt IN'!$G$15,0)</f>
        <v>0</v>
      </c>
      <c r="J289" s="12">
        <f>Z289/'Batt IN'!$E$27/730</f>
        <v>2.4999999999999996E-3</v>
      </c>
      <c r="K289" s="23">
        <f>AA289/'Batt IN'!$E$27/730</f>
        <v>1.6027397260273972E-3</v>
      </c>
      <c r="L289" s="23">
        <f>AB289/'Batt IN'!$E$27/730</f>
        <v>2.0547945205479451E-4</v>
      </c>
      <c r="M289" s="23">
        <f>AC289/'Batt IN'!$E$27/730</f>
        <v>4.7945205479452057E-3</v>
      </c>
      <c r="N289" s="23">
        <f>AD289/'Batt IN'!$E$27/730</f>
        <v>3.4246575342465752E-3</v>
      </c>
      <c r="O289" s="12">
        <f t="shared" si="70"/>
        <v>4.3828767123287697E-2</v>
      </c>
      <c r="P289" s="21">
        <f t="shared" si="71"/>
        <v>698.005</v>
      </c>
      <c r="Q289" s="2">
        <f>IF('Batt IN'!$E$27*'Batt IN'!$E$24&lt;='Batt IN'!$E$28,(('Batt IN'!$E$23*'Batt IN'!$E$27*'Batt IN'!$E$24)/1000)*P289,(('Batt IN'!$E$23*'Batt IN'!$E$28*'Batt IN'!$E$24)/1000)*P289)</f>
        <v>11168.08</v>
      </c>
      <c r="R289" s="2"/>
      <c r="S289" s="77">
        <f>IF(C289&lt;='Batt IN'!$G$14*12,'Batt IN'!$E$15/12,0)</f>
        <v>0</v>
      </c>
      <c r="T289" s="77"/>
      <c r="U289" s="80">
        <f>'Batt IN'!$E$28*('Batt IN'!$G$24/24)*730*(1-O289)</f>
        <v>81433.916666666657</v>
      </c>
      <c r="V289" s="78">
        <f>U289*'Batt IN'!$F$30</f>
        <v>16286.783333333333</v>
      </c>
      <c r="W289" s="78">
        <f>'Batt IN'!$E$28*'Batt IN'!$G$32*('Batt IN'!$E$32/12)*(1+'Batt IN'!$F$30)</f>
        <v>1750.0000000000002</v>
      </c>
      <c r="X289" s="78">
        <f>'Batt IN'!$E$28*'Batt IN'!$G$13*('Batt IN'!$E$13/12)*(1+'Batt IN'!$F$30)</f>
        <v>3184.9999999999995</v>
      </c>
      <c r="Y289" s="33">
        <f>S289*'Batt IN'!$G$15*'Batt IN'!$E$28*(1+'Batt IN'!$F$30)</f>
        <v>0</v>
      </c>
      <c r="Z289" s="33">
        <f>'Batt IN'!$G$16*365/12*(1+'Batt IN'!$F$30)</f>
        <v>1824.9999999999998</v>
      </c>
      <c r="AA289" s="33">
        <f>'Batt IN'!$G$17*'Batt IN'!$E$18*'Batt IN'!$G$18/12*(1+'Batt IN'!$F$30)</f>
        <v>1170</v>
      </c>
      <c r="AB289" s="33">
        <f>'Batt IN'!$G$19*'Batt IN'!$E$20*'Batt IN'!$G$20/12*(1+'Batt IN'!$F$30)</f>
        <v>150</v>
      </c>
      <c r="AC289" s="33">
        <f>'Batt IN'!$G$21*(1+'Batt IN'!$F$30)/12</f>
        <v>3500</v>
      </c>
      <c r="AD289" s="33">
        <f>'Batt IN'!$G$22*(1+'Batt IN'!$F$30)/12</f>
        <v>2500</v>
      </c>
      <c r="AE289" s="33">
        <f t="shared" si="83"/>
        <v>30366.783333333333</v>
      </c>
      <c r="AF289" s="33">
        <f>IF('PV IN'!$F$4="Battery Only",0,AE289*'Batt IN'!$E$29)</f>
        <v>25811.765833333331</v>
      </c>
      <c r="AG289" s="33">
        <f>PVCalcs!L289</f>
        <v>25811.765833333331</v>
      </c>
      <c r="AH289" s="33">
        <f t="shared" si="84"/>
        <v>4555.0175000000017</v>
      </c>
      <c r="AI289" s="33"/>
      <c r="AJ289" s="2">
        <f>IF(AND('Batt IN'!$D$53="Yes",$AL$1&gt;=1),IF($C289='Batt IN'!$H$54*12,-'Batt IN'!$F$54,0),0)</f>
        <v>0</v>
      </c>
      <c r="AK289" s="2">
        <f>IF(AND('Batt IN'!$D$53="Yes",$AL$1&gt;=2),IF($C289='Batt IN'!$H$55*12,-'Batt IN'!$F$55,0),0)</f>
        <v>0</v>
      </c>
      <c r="AL289" s="2">
        <f>IF(AND('Batt IN'!$D$53="Yes",$AL$1&gt;=3),IF($C289='Batt IN'!$H$56*12,-'Batt IN'!$F$56,0),0)</f>
        <v>0</v>
      </c>
      <c r="AM289" s="2">
        <f>IF(AND('Batt IN'!$D$53="Yes",$AL$1&gt;=4),IF($C289='Batt IN'!$H$57*12,-'Batt IN'!$F$57,0),0)</f>
        <v>0</v>
      </c>
      <c r="AN289" s="2">
        <f>IF(AND('Batt IN'!$D$53="Yes",$AL$1&gt;=5),IF($C289='Batt IN'!$H$58*12,-'Batt IN'!$F$58,0),0)</f>
        <v>0</v>
      </c>
      <c r="AO289" s="10">
        <f>IF(AND('Batt IN'!$D$44="YES",$C289&lt;='Batt IN'!$E$44*12),-'Batt IN'!$E$28*'Batt IN'!$E$42/12,0)</f>
        <v>0</v>
      </c>
      <c r="AP289" s="10">
        <f>IF(AND('Batt IN'!$D$46="YES",$C289&lt;='Batt IN'!$E$46*12),-'Batt IN'!$E$28*'Batt IN'!$E$45/12,0)</f>
        <v>0</v>
      </c>
      <c r="AR289" s="10">
        <f>BattLoan!M316</f>
        <v>0</v>
      </c>
      <c r="AS289" s="10">
        <f>'Batt IN'!$G$16*365/12*'Batt IN'!$E$16</f>
        <v>76.041666666666671</v>
      </c>
      <c r="AT289" s="10">
        <f>IF(AND('Batt IN'!$E$18&gt;0,'Batt IN'!$G$18&gt;0),'Batt IN'!$E$17*'Batt IN'!$G$17,0)</f>
        <v>119.44619999999999</v>
      </c>
      <c r="AU289" s="10">
        <f>IF(AND('Batt IN'!$E$20&gt;0,'Batt IN'!$G$20&gt;0),'Batt IN'!$E$19*'Batt IN'!$G$19,0)</f>
        <v>231</v>
      </c>
      <c r="AV289" s="10"/>
      <c r="AW289" s="10"/>
      <c r="AX289" s="10">
        <f>IF('Batt IN'!$E$11="Non-Taxable",Q289,0)</f>
        <v>11168.08</v>
      </c>
      <c r="AY289" s="10">
        <f>IF('Batt IN'!$E$11="Non-Taxable",'Batt IN'!$E$28/1000*'Batt IN'!$G$13*('Batt IN'!$E$13/12)*'Batt IN'!$E$12,0)</f>
        <v>244.42220833333334</v>
      </c>
      <c r="AZ289" s="10">
        <f>IF('Batt IN'!$E$11="Non-Taxable",$S289*'Batt IN'!$G$15*'Batt IN'!$E$28*'Batt IN'!$E$14/1000,0)</f>
        <v>0</v>
      </c>
      <c r="BA289" s="10">
        <f>IF('Batt IN'!$E$11="Non-Taxable",'Batt IN'!$E$21*'Batt IN'!$G$21/12,0)</f>
        <v>437.5</v>
      </c>
      <c r="BB289" s="10">
        <f>IF('Batt IN'!$E$11="Non-Taxable",'Batt IN'!$E$22*'Batt IN'!$G$22/12,0)</f>
        <v>1145.8333333333335</v>
      </c>
      <c r="BC289" s="10">
        <f>IF('Batt IN'!$E$11="Taxable",Q289,0)</f>
        <v>0</v>
      </c>
      <c r="BD289" s="10">
        <f>IF('Batt IN'!$E$11="Taxable",'Batt IN'!$E$28/1000*'Batt IN'!$G$13*('Batt IN'!$E$13/12)*'Batt IN'!$E$12,0)</f>
        <v>0</v>
      </c>
      <c r="BE289" s="10">
        <f>IF('Batt IN'!$E$11="Taxable",$S289*'Batt IN'!$G$15*'Batt IN'!$E$28*'Batt IN'!$E$14/1000,0)</f>
        <v>0</v>
      </c>
      <c r="BF289" s="10">
        <f>IF('Batt IN'!$E$11="Taxable",'Batt IN'!$E$21*'Batt IN'!$G$21/12,0)</f>
        <v>0</v>
      </c>
      <c r="BG289" s="10">
        <f>IF('Batt IN'!$E$11="Taxable",'Batt IN'!$E$22*'Batt IN'!$G$22/12,0)</f>
        <v>0</v>
      </c>
      <c r="BK289" s="10">
        <f>IF('Batt IN'!$N$18="Yes",-BattLoan!H317,-BattLoan!L317)</f>
        <v>0</v>
      </c>
      <c r="BL289" s="10">
        <f>IF('Batt IN'!$N$18="Yes",-BattLoan!F317,0)</f>
        <v>0</v>
      </c>
      <c r="BM289" s="10">
        <f>IF(AND('Batt IN'!$D$44="YES",$C289&lt;='Batt IN'!$E$44*12),0,-'Batt IN'!$E$28*'Batt IN'!$E$42/12)</f>
        <v>-83.333333333333329</v>
      </c>
      <c r="BN289" s="10">
        <f>IF(AND('Batt IN'!$D$46="YES",$C289&lt;='Batt IN'!$E$46*12),0,-'Batt IN'!$E$28*'Batt IN'!$E$45/12)</f>
        <v>-166.66666666666666</v>
      </c>
      <c r="BO289" s="2">
        <f>IF(AND('Batt IN'!$D$41="YES",BattCalcs!C289=ROUNDUP('Batt IN'!$H$41*12,)),-'Batt IN'!$E$41*'Batt IN'!$E$28,0)</f>
        <v>0</v>
      </c>
      <c r="BP289" s="2">
        <f>IF(AND('Batt IN'!$D$53="Yes",$AL$1&gt;=1),0,IF($C289='Batt IN'!$H$54*12,-'Batt IN'!$F$54,0))</f>
        <v>0</v>
      </c>
      <c r="BQ289" s="2">
        <f>IF(AND('Batt IN'!$D$53="Yes",$AL$1&gt;=2),0,IF($C289='Batt IN'!$H$55*12,-'Batt IN'!$F$55,0))</f>
        <v>0</v>
      </c>
      <c r="BR289" s="2">
        <f>IF(AND('Batt IN'!$D$53="Yes",$AL$1&gt;=3),0,IF($C289='Batt IN'!$H$56*12,-'Batt IN'!$F$56,0))</f>
        <v>0</v>
      </c>
      <c r="BS289" s="2">
        <f>IF(AND('Batt IN'!$D$53="Yes",$AL$1&gt;=4),0,IF($C289='Batt IN'!$H$57*12,-'Batt IN'!$F$57,0))</f>
        <v>0</v>
      </c>
      <c r="BT289" s="2">
        <f>IF(AND('Batt IN'!$D$53="Yes",$AL$1&gt;=5),0,IF($C289='Batt IN'!$H$58*12,-'Batt IN'!$F$58,0))</f>
        <v>0</v>
      </c>
      <c r="BU289" s="2">
        <f>-AH289*PVCalcs!F289</f>
        <v>-376.66912421056747</v>
      </c>
      <c r="BV289" s="2">
        <f>-'Batt IN'!$E$47</f>
        <v>-150</v>
      </c>
      <c r="BW289" s="2">
        <f>-'Batt IN'!$E$49</f>
        <v>-2250</v>
      </c>
      <c r="BX289" s="2">
        <f>IF('Batt IN'!$H$50="No",-(BC289*'Batt IN'!$E$50),-(BC289+BE289)*'Batt IN'!$E$50)</f>
        <v>0</v>
      </c>
      <c r="BY289" s="2">
        <f>IF(C289='Batt IN'!$H$43*12,-'Batt IN'!$E$43,0)</f>
        <v>0</v>
      </c>
      <c r="BZ289" s="38"/>
      <c r="CA289" s="10">
        <f t="shared" si="68"/>
        <v>13422.323408333334</v>
      </c>
      <c r="CB289" s="2">
        <f t="shared" si="72"/>
        <v>-3026.6691242105676</v>
      </c>
      <c r="CC289" s="45">
        <f t="shared" si="73"/>
        <v>10395.654284122766</v>
      </c>
      <c r="CD289" s="43"/>
      <c r="CE289" s="2">
        <f t="shared" si="69"/>
        <v>0</v>
      </c>
      <c r="CF289" s="2">
        <f t="shared" si="74"/>
        <v>-3026.6691242105676</v>
      </c>
      <c r="CG289" s="2"/>
      <c r="CH289" s="2">
        <f t="shared" si="75"/>
        <v>-3026.6691242105676</v>
      </c>
      <c r="CI289" s="45">
        <f>-CH289*'Batt IN'!$E$7</f>
        <v>635.60051608421918</v>
      </c>
      <c r="CJ289" s="48"/>
      <c r="CK289" s="45">
        <f>IF('Batt IN'!$F$4="PV Only",0,IF(C289&gt;'Batt IN'!$H$43*12,0,CC289+CI289))</f>
        <v>0</v>
      </c>
      <c r="CM289" s="10">
        <f t="shared" si="76"/>
        <v>0</v>
      </c>
      <c r="CN289" s="2">
        <f>CK289/(1+('Batt IN'!$G$8))^(C289)</f>
        <v>0</v>
      </c>
      <c r="CO289" s="2" t="e">
        <f>IF(C289&lt;='Batt IN'!$O$30*12,CN289+CO288,NA())</f>
        <v>#N/A</v>
      </c>
      <c r="CQ289" s="2">
        <f>CK289/((1+('Batt IN'!$E$8/12))^BattCalcs!C289)</f>
        <v>0</v>
      </c>
      <c r="CS289" s="10">
        <f t="shared" si="77"/>
        <v>-3026.6691242105676</v>
      </c>
      <c r="CT289" s="10">
        <f t="shared" si="78"/>
        <v>0</v>
      </c>
      <c r="CU289" s="10">
        <f t="shared" si="79"/>
        <v>-3026.6691242105676</v>
      </c>
      <c r="CV289" s="10">
        <f t="shared" si="80"/>
        <v>-3026.6691242105676</v>
      </c>
      <c r="CW289" s="2">
        <f t="shared" si="81"/>
        <v>0</v>
      </c>
      <c r="CX289" s="2">
        <f>-(SUM(CV289:CW289)*'PV IN'!$E$8)</f>
        <v>635.60051608421918</v>
      </c>
      <c r="CY289" s="2">
        <f t="shared" si="82"/>
        <v>-2391.0686081263484</v>
      </c>
      <c r="CZ289" s="2">
        <f>IF(C289&lt;='Batt IN'!$H$43*12,CY289/(1+('PV IN'!$G$9))^(C289),0)</f>
        <v>-750.49220330022536</v>
      </c>
      <c r="DA289" s="33">
        <f>IF(C289&lt;='Batt IN'!$H$43*12,AE289,0)</f>
        <v>30366.783333333333</v>
      </c>
    </row>
    <row r="290" spans="1:105" x14ac:dyDescent="0.25">
      <c r="A290">
        <f>IF(C290&lt;='Batt IN'!$H$43*12,C290,"")</f>
        <v>286</v>
      </c>
      <c r="C290">
        <v>286</v>
      </c>
      <c r="D290" s="21">
        <v>730</v>
      </c>
      <c r="E290" s="1">
        <f>1-'Batt IN'!$E$31</f>
        <v>2.0000000000000018E-2</v>
      </c>
      <c r="F290" s="12">
        <f>('Batt IN'!$E$33*365)/8760</f>
        <v>0</v>
      </c>
      <c r="G290" s="22">
        <f>'Batt IN'!$E$32/8760</f>
        <v>5.7077625570776253E-3</v>
      </c>
      <c r="H290" s="22">
        <f>'Batt IN'!$E$13/8760</f>
        <v>5.5936073059360729E-3</v>
      </c>
      <c r="I290" s="23">
        <f>IF(C290&lt;='Batt IN'!$G$14*12,'Batt IN'!$E$15/8760*'Batt IN'!$G$15,0)</f>
        <v>0</v>
      </c>
      <c r="J290" s="12">
        <f>Z290/'Batt IN'!$E$27/730</f>
        <v>2.4999999999999996E-3</v>
      </c>
      <c r="K290" s="23">
        <f>AA290/'Batt IN'!$E$27/730</f>
        <v>1.6027397260273972E-3</v>
      </c>
      <c r="L290" s="23">
        <f>AB290/'Batt IN'!$E$27/730</f>
        <v>2.0547945205479451E-4</v>
      </c>
      <c r="M290" s="23">
        <f>AC290/'Batt IN'!$E$27/730</f>
        <v>4.7945205479452057E-3</v>
      </c>
      <c r="N290" s="23">
        <f>AD290/'Batt IN'!$E$27/730</f>
        <v>3.4246575342465752E-3</v>
      </c>
      <c r="O290" s="12">
        <f t="shared" si="70"/>
        <v>4.3828767123287697E-2</v>
      </c>
      <c r="P290" s="21">
        <f t="shared" si="71"/>
        <v>698.005</v>
      </c>
      <c r="Q290" s="2">
        <f>IF('Batt IN'!$E$27*'Batt IN'!$E$24&lt;='Batt IN'!$E$28,(('Batt IN'!$E$23*'Batt IN'!$E$27*'Batt IN'!$E$24)/1000)*P290,(('Batt IN'!$E$23*'Batt IN'!$E$28*'Batt IN'!$E$24)/1000)*P290)</f>
        <v>11168.08</v>
      </c>
      <c r="R290" s="2"/>
      <c r="S290" s="77">
        <f>IF(C290&lt;='Batt IN'!$G$14*12,'Batt IN'!$E$15/12,0)</f>
        <v>0</v>
      </c>
      <c r="T290" s="77"/>
      <c r="U290" s="80">
        <f>'Batt IN'!$E$28*('Batt IN'!$G$24/24)*730*(1-O290)</f>
        <v>81433.916666666657</v>
      </c>
      <c r="V290" s="78">
        <f>U290*'Batt IN'!$F$30</f>
        <v>16286.783333333333</v>
      </c>
      <c r="W290" s="78">
        <f>'Batt IN'!$E$28*'Batt IN'!$G$32*('Batt IN'!$E$32/12)*(1+'Batt IN'!$F$30)</f>
        <v>1750.0000000000002</v>
      </c>
      <c r="X290" s="78">
        <f>'Batt IN'!$E$28*'Batt IN'!$G$13*('Batt IN'!$E$13/12)*(1+'Batt IN'!$F$30)</f>
        <v>3184.9999999999995</v>
      </c>
      <c r="Y290" s="33">
        <f>S290*'Batt IN'!$G$15*'Batt IN'!$E$28*(1+'Batt IN'!$F$30)</f>
        <v>0</v>
      </c>
      <c r="Z290" s="33">
        <f>'Batt IN'!$G$16*365/12*(1+'Batt IN'!$F$30)</f>
        <v>1824.9999999999998</v>
      </c>
      <c r="AA290" s="33">
        <f>'Batt IN'!$G$17*'Batt IN'!$E$18*'Batt IN'!$G$18/12*(1+'Batt IN'!$F$30)</f>
        <v>1170</v>
      </c>
      <c r="AB290" s="33">
        <f>'Batt IN'!$G$19*'Batt IN'!$E$20*'Batt IN'!$G$20/12*(1+'Batt IN'!$F$30)</f>
        <v>150</v>
      </c>
      <c r="AC290" s="33">
        <f>'Batt IN'!$G$21*(1+'Batt IN'!$F$30)/12</f>
        <v>3500</v>
      </c>
      <c r="AD290" s="33">
        <f>'Batt IN'!$G$22*(1+'Batt IN'!$F$30)/12</f>
        <v>2500</v>
      </c>
      <c r="AE290" s="33">
        <f t="shared" si="83"/>
        <v>30366.783333333333</v>
      </c>
      <c r="AF290" s="33">
        <f>IF('PV IN'!$F$4="Battery Only",0,AE290*'Batt IN'!$E$29)</f>
        <v>25811.765833333331</v>
      </c>
      <c r="AG290" s="33">
        <f>PVCalcs!L290</f>
        <v>25811.765833333331</v>
      </c>
      <c r="AH290" s="33">
        <f t="shared" si="84"/>
        <v>4555.0175000000017</v>
      </c>
      <c r="AI290" s="33"/>
      <c r="AJ290" s="2">
        <f>IF(AND('Batt IN'!$D$53="Yes",$AL$1&gt;=1),IF($C290='Batt IN'!$H$54*12,-'Batt IN'!$F$54,0),0)</f>
        <v>0</v>
      </c>
      <c r="AK290" s="2">
        <f>IF(AND('Batt IN'!$D$53="Yes",$AL$1&gt;=2),IF($C290='Batt IN'!$H$55*12,-'Batt IN'!$F$55,0),0)</f>
        <v>0</v>
      </c>
      <c r="AL290" s="2">
        <f>IF(AND('Batt IN'!$D$53="Yes",$AL$1&gt;=3),IF($C290='Batt IN'!$H$56*12,-'Batt IN'!$F$56,0),0)</f>
        <v>0</v>
      </c>
      <c r="AM290" s="2">
        <f>IF(AND('Batt IN'!$D$53="Yes",$AL$1&gt;=4),IF($C290='Batt IN'!$H$57*12,-'Batt IN'!$F$57,0),0)</f>
        <v>0</v>
      </c>
      <c r="AN290" s="2">
        <f>IF(AND('Batt IN'!$D$53="Yes",$AL$1&gt;=5),IF($C290='Batt IN'!$H$58*12,-'Batt IN'!$F$58,0),0)</f>
        <v>0</v>
      </c>
      <c r="AO290" s="10">
        <f>IF(AND('Batt IN'!$D$44="YES",$C290&lt;='Batt IN'!$E$44*12),-'Batt IN'!$E$28*'Batt IN'!$E$42/12,0)</f>
        <v>0</v>
      </c>
      <c r="AP290" s="10">
        <f>IF(AND('Batt IN'!$D$46="YES",$C290&lt;='Batt IN'!$E$46*12),-'Batt IN'!$E$28*'Batt IN'!$E$45/12,0)</f>
        <v>0</v>
      </c>
      <c r="AR290" s="10">
        <f>BattLoan!M317</f>
        <v>0</v>
      </c>
      <c r="AS290" s="10">
        <f>'Batt IN'!$G$16*365/12*'Batt IN'!$E$16</f>
        <v>76.041666666666671</v>
      </c>
      <c r="AT290" s="10">
        <f>IF(AND('Batt IN'!$E$18&gt;0,'Batt IN'!$G$18&gt;0),'Batt IN'!$E$17*'Batt IN'!$G$17,0)</f>
        <v>119.44619999999999</v>
      </c>
      <c r="AU290" s="10">
        <f>IF(AND('Batt IN'!$E$20&gt;0,'Batt IN'!$G$20&gt;0),'Batt IN'!$E$19*'Batt IN'!$G$19,0)</f>
        <v>231</v>
      </c>
      <c r="AV290" s="10"/>
      <c r="AW290" s="10"/>
      <c r="AX290" s="10">
        <f>IF('Batt IN'!$E$11="Non-Taxable",Q290,0)</f>
        <v>11168.08</v>
      </c>
      <c r="AY290" s="10">
        <f>IF('Batt IN'!$E$11="Non-Taxable",'Batt IN'!$E$28/1000*'Batt IN'!$G$13*('Batt IN'!$E$13/12)*'Batt IN'!$E$12,0)</f>
        <v>244.42220833333334</v>
      </c>
      <c r="AZ290" s="10">
        <f>IF('Batt IN'!$E$11="Non-Taxable",$S290*'Batt IN'!$G$15*'Batt IN'!$E$28*'Batt IN'!$E$14/1000,0)</f>
        <v>0</v>
      </c>
      <c r="BA290" s="10">
        <f>IF('Batt IN'!$E$11="Non-Taxable",'Batt IN'!$E$21*'Batt IN'!$G$21/12,0)</f>
        <v>437.5</v>
      </c>
      <c r="BB290" s="10">
        <f>IF('Batt IN'!$E$11="Non-Taxable",'Batt IN'!$E$22*'Batt IN'!$G$22/12,0)</f>
        <v>1145.8333333333335</v>
      </c>
      <c r="BC290" s="10">
        <f>IF('Batt IN'!$E$11="Taxable",Q290,0)</f>
        <v>0</v>
      </c>
      <c r="BD290" s="10">
        <f>IF('Batt IN'!$E$11="Taxable",'Batt IN'!$E$28/1000*'Batt IN'!$G$13*('Batt IN'!$E$13/12)*'Batt IN'!$E$12,0)</f>
        <v>0</v>
      </c>
      <c r="BE290" s="10">
        <f>IF('Batt IN'!$E$11="Taxable",$S290*'Batt IN'!$G$15*'Batt IN'!$E$28*'Batt IN'!$E$14/1000,0)</f>
        <v>0</v>
      </c>
      <c r="BF290" s="10">
        <f>IF('Batt IN'!$E$11="Taxable",'Batt IN'!$E$21*'Batt IN'!$G$21/12,0)</f>
        <v>0</v>
      </c>
      <c r="BG290" s="10">
        <f>IF('Batt IN'!$E$11="Taxable",'Batt IN'!$E$22*'Batt IN'!$G$22/12,0)</f>
        <v>0</v>
      </c>
      <c r="BK290" s="10">
        <f>IF('Batt IN'!$N$18="Yes",-BattLoan!H318,-BattLoan!L318)</f>
        <v>0</v>
      </c>
      <c r="BL290" s="10">
        <f>IF('Batt IN'!$N$18="Yes",-BattLoan!F318,0)</f>
        <v>0</v>
      </c>
      <c r="BM290" s="10">
        <f>IF(AND('Batt IN'!$D$44="YES",$C290&lt;='Batt IN'!$E$44*12),0,-'Batt IN'!$E$28*'Batt IN'!$E$42/12)</f>
        <v>-83.333333333333329</v>
      </c>
      <c r="BN290" s="10">
        <f>IF(AND('Batt IN'!$D$46="YES",$C290&lt;='Batt IN'!$E$46*12),0,-'Batt IN'!$E$28*'Batt IN'!$E$45/12)</f>
        <v>-166.66666666666666</v>
      </c>
      <c r="BO290" s="2">
        <f>IF(AND('Batt IN'!$D$41="YES",BattCalcs!C290=ROUNDUP('Batt IN'!$H$41*12,)),-'Batt IN'!$E$41*'Batt IN'!$E$28,0)</f>
        <v>0</v>
      </c>
      <c r="BP290" s="2">
        <f>IF(AND('Batt IN'!$D$53="Yes",$AL$1&gt;=1),0,IF($C290='Batt IN'!$H$54*12,-'Batt IN'!$F$54,0))</f>
        <v>0</v>
      </c>
      <c r="BQ290" s="2">
        <f>IF(AND('Batt IN'!$D$53="Yes",$AL$1&gt;=2),0,IF($C290='Batt IN'!$H$55*12,-'Batt IN'!$F$55,0))</f>
        <v>0</v>
      </c>
      <c r="BR290" s="2">
        <f>IF(AND('Batt IN'!$D$53="Yes",$AL$1&gt;=3),0,IF($C290='Batt IN'!$H$56*12,-'Batt IN'!$F$56,0))</f>
        <v>0</v>
      </c>
      <c r="BS290" s="2">
        <f>IF(AND('Batt IN'!$D$53="Yes",$AL$1&gt;=4),0,IF($C290='Batt IN'!$H$57*12,-'Batt IN'!$F$57,0))</f>
        <v>0</v>
      </c>
      <c r="BT290" s="2">
        <f>IF(AND('Batt IN'!$D$53="Yes",$AL$1&gt;=5),0,IF($C290='Batt IN'!$H$58*12,-'Batt IN'!$F$58,0))</f>
        <v>0</v>
      </c>
      <c r="BU290" s="2">
        <f>-AH290*PVCalcs!F290</f>
        <v>-376.66912421056747</v>
      </c>
      <c r="BV290" s="2">
        <f>-'Batt IN'!$E$47</f>
        <v>-150</v>
      </c>
      <c r="BW290" s="2">
        <f>-'Batt IN'!$E$49</f>
        <v>-2250</v>
      </c>
      <c r="BX290" s="2">
        <f>IF('Batt IN'!$H$50="No",-(BC290*'Batt IN'!$E$50),-(BC290+BE290)*'Batt IN'!$E$50)</f>
        <v>0</v>
      </c>
      <c r="BY290" s="2">
        <f>IF(C290='Batt IN'!$H$43*12,-'Batt IN'!$E$43,0)</f>
        <v>0</v>
      </c>
      <c r="BZ290" s="38"/>
      <c r="CA290" s="10">
        <f t="shared" si="68"/>
        <v>13422.323408333334</v>
      </c>
      <c r="CB290" s="2">
        <f t="shared" si="72"/>
        <v>-3026.6691242105676</v>
      </c>
      <c r="CC290" s="45">
        <f t="shared" si="73"/>
        <v>10395.654284122766</v>
      </c>
      <c r="CD290" s="43"/>
      <c r="CE290" s="2">
        <f t="shared" si="69"/>
        <v>0</v>
      </c>
      <c r="CF290" s="2">
        <f t="shared" si="74"/>
        <v>-3026.6691242105676</v>
      </c>
      <c r="CG290" s="2"/>
      <c r="CH290" s="2">
        <f t="shared" si="75"/>
        <v>-3026.6691242105676</v>
      </c>
      <c r="CI290" s="45">
        <f>-CH290*'Batt IN'!$E$7</f>
        <v>635.60051608421918</v>
      </c>
      <c r="CJ290" s="48"/>
      <c r="CK290" s="45">
        <f>IF('Batt IN'!$F$4="PV Only",0,IF(C290&gt;'Batt IN'!$H$43*12,0,CC290+CI290))</f>
        <v>0</v>
      </c>
      <c r="CM290" s="10">
        <f t="shared" si="76"/>
        <v>0</v>
      </c>
      <c r="CN290" s="2">
        <f>CK290/(1+('Batt IN'!$G$8))^(C290)</f>
        <v>0</v>
      </c>
      <c r="CO290" s="2" t="e">
        <f>IF(C290&lt;='Batt IN'!$O$30*12,CN290+CO289,NA())</f>
        <v>#N/A</v>
      </c>
      <c r="CQ290" s="2">
        <f>CK290/((1+('Batt IN'!$E$8/12))^BattCalcs!C290)</f>
        <v>0</v>
      </c>
      <c r="CS290" s="10">
        <f t="shared" si="77"/>
        <v>-3026.6691242105676</v>
      </c>
      <c r="CT290" s="10">
        <f t="shared" si="78"/>
        <v>0</v>
      </c>
      <c r="CU290" s="10">
        <f t="shared" si="79"/>
        <v>-3026.6691242105676</v>
      </c>
      <c r="CV290" s="10">
        <f t="shared" si="80"/>
        <v>-3026.6691242105676</v>
      </c>
      <c r="CW290" s="2">
        <f t="shared" si="81"/>
        <v>0</v>
      </c>
      <c r="CX290" s="2">
        <f>-(SUM(CV290:CW290)*'PV IN'!$E$8)</f>
        <v>635.60051608421918</v>
      </c>
      <c r="CY290" s="2">
        <f t="shared" si="82"/>
        <v>-2391.0686081263484</v>
      </c>
      <c r="CZ290" s="2">
        <f>IF(C290&lt;='Batt IN'!$H$43*12,CY290/(1+('PV IN'!$G$9))^(C290),0)</f>
        <v>-747.44701165303297</v>
      </c>
      <c r="DA290" s="33">
        <f>IF(C290&lt;='Batt IN'!$H$43*12,AE290,0)</f>
        <v>30366.783333333333</v>
      </c>
    </row>
    <row r="291" spans="1:105" x14ac:dyDescent="0.25">
      <c r="A291">
        <f>IF(C291&lt;='Batt IN'!$H$43*12,C291,"")</f>
        <v>287</v>
      </c>
      <c r="C291">
        <v>287</v>
      </c>
      <c r="D291" s="21">
        <v>730</v>
      </c>
      <c r="E291" s="1">
        <f>1-'Batt IN'!$E$31</f>
        <v>2.0000000000000018E-2</v>
      </c>
      <c r="F291" s="12">
        <f>('Batt IN'!$E$33*365)/8760</f>
        <v>0</v>
      </c>
      <c r="G291" s="22">
        <f>'Batt IN'!$E$32/8760</f>
        <v>5.7077625570776253E-3</v>
      </c>
      <c r="H291" s="22">
        <f>'Batt IN'!$E$13/8760</f>
        <v>5.5936073059360729E-3</v>
      </c>
      <c r="I291" s="23">
        <f>IF(C291&lt;='Batt IN'!$G$14*12,'Batt IN'!$E$15/8760*'Batt IN'!$G$15,0)</f>
        <v>0</v>
      </c>
      <c r="J291" s="12">
        <f>Z291/'Batt IN'!$E$27/730</f>
        <v>2.4999999999999996E-3</v>
      </c>
      <c r="K291" s="23">
        <f>AA291/'Batt IN'!$E$27/730</f>
        <v>1.6027397260273972E-3</v>
      </c>
      <c r="L291" s="23">
        <f>AB291/'Batt IN'!$E$27/730</f>
        <v>2.0547945205479451E-4</v>
      </c>
      <c r="M291" s="23">
        <f>AC291/'Batt IN'!$E$27/730</f>
        <v>4.7945205479452057E-3</v>
      </c>
      <c r="N291" s="23">
        <f>AD291/'Batt IN'!$E$27/730</f>
        <v>3.4246575342465752E-3</v>
      </c>
      <c r="O291" s="12">
        <f t="shared" si="70"/>
        <v>4.3828767123287697E-2</v>
      </c>
      <c r="P291" s="21">
        <f t="shared" si="71"/>
        <v>698.005</v>
      </c>
      <c r="Q291" s="2">
        <f>IF('Batt IN'!$E$27*'Batt IN'!$E$24&lt;='Batt IN'!$E$28,(('Batt IN'!$E$23*'Batt IN'!$E$27*'Batt IN'!$E$24)/1000)*P291,(('Batt IN'!$E$23*'Batt IN'!$E$28*'Batt IN'!$E$24)/1000)*P291)</f>
        <v>11168.08</v>
      </c>
      <c r="R291" s="2"/>
      <c r="S291" s="77">
        <f>IF(C291&lt;='Batt IN'!$G$14*12,'Batt IN'!$E$15/12,0)</f>
        <v>0</v>
      </c>
      <c r="T291" s="77"/>
      <c r="U291" s="80">
        <f>'Batt IN'!$E$28*('Batt IN'!$G$24/24)*730*(1-O291)</f>
        <v>81433.916666666657</v>
      </c>
      <c r="V291" s="78">
        <f>U291*'Batt IN'!$F$30</f>
        <v>16286.783333333333</v>
      </c>
      <c r="W291" s="78">
        <f>'Batt IN'!$E$28*'Batt IN'!$G$32*('Batt IN'!$E$32/12)*(1+'Batt IN'!$F$30)</f>
        <v>1750.0000000000002</v>
      </c>
      <c r="X291" s="78">
        <f>'Batt IN'!$E$28*'Batt IN'!$G$13*('Batt IN'!$E$13/12)*(1+'Batt IN'!$F$30)</f>
        <v>3184.9999999999995</v>
      </c>
      <c r="Y291" s="33">
        <f>S291*'Batt IN'!$G$15*'Batt IN'!$E$28*(1+'Batt IN'!$F$30)</f>
        <v>0</v>
      </c>
      <c r="Z291" s="33">
        <f>'Batt IN'!$G$16*365/12*(1+'Batt IN'!$F$30)</f>
        <v>1824.9999999999998</v>
      </c>
      <c r="AA291" s="33">
        <f>'Batt IN'!$G$17*'Batt IN'!$E$18*'Batt IN'!$G$18/12*(1+'Batt IN'!$F$30)</f>
        <v>1170</v>
      </c>
      <c r="AB291" s="33">
        <f>'Batt IN'!$G$19*'Batt IN'!$E$20*'Batt IN'!$G$20/12*(1+'Batt IN'!$F$30)</f>
        <v>150</v>
      </c>
      <c r="AC291" s="33">
        <f>'Batt IN'!$G$21*(1+'Batt IN'!$F$30)/12</f>
        <v>3500</v>
      </c>
      <c r="AD291" s="33">
        <f>'Batt IN'!$G$22*(1+'Batt IN'!$F$30)/12</f>
        <v>2500</v>
      </c>
      <c r="AE291" s="33">
        <f t="shared" si="83"/>
        <v>30366.783333333333</v>
      </c>
      <c r="AF291" s="33">
        <f>IF('PV IN'!$F$4="Battery Only",0,AE291*'Batt IN'!$E$29)</f>
        <v>25811.765833333331</v>
      </c>
      <c r="AG291" s="33">
        <f>PVCalcs!L291</f>
        <v>25811.765833333331</v>
      </c>
      <c r="AH291" s="33">
        <f t="shared" si="84"/>
        <v>4555.0175000000017</v>
      </c>
      <c r="AI291" s="33"/>
      <c r="AJ291" s="2">
        <f>IF(AND('Batt IN'!$D$53="Yes",$AL$1&gt;=1),IF($C291='Batt IN'!$H$54*12,-'Batt IN'!$F$54,0),0)</f>
        <v>0</v>
      </c>
      <c r="AK291" s="2">
        <f>IF(AND('Batt IN'!$D$53="Yes",$AL$1&gt;=2),IF($C291='Batt IN'!$H$55*12,-'Batt IN'!$F$55,0),0)</f>
        <v>0</v>
      </c>
      <c r="AL291" s="2">
        <f>IF(AND('Batt IN'!$D$53="Yes",$AL$1&gt;=3),IF($C291='Batt IN'!$H$56*12,-'Batt IN'!$F$56,0),0)</f>
        <v>0</v>
      </c>
      <c r="AM291" s="2">
        <f>IF(AND('Batt IN'!$D$53="Yes",$AL$1&gt;=4),IF($C291='Batt IN'!$H$57*12,-'Batt IN'!$F$57,0),0)</f>
        <v>0</v>
      </c>
      <c r="AN291" s="2">
        <f>IF(AND('Batt IN'!$D$53="Yes",$AL$1&gt;=5),IF($C291='Batt IN'!$H$58*12,-'Batt IN'!$F$58,0),0)</f>
        <v>0</v>
      </c>
      <c r="AO291" s="10">
        <f>IF(AND('Batt IN'!$D$44="YES",$C291&lt;='Batt IN'!$E$44*12),-'Batt IN'!$E$28*'Batt IN'!$E$42/12,0)</f>
        <v>0</v>
      </c>
      <c r="AP291" s="10">
        <f>IF(AND('Batt IN'!$D$46="YES",$C291&lt;='Batt IN'!$E$46*12),-'Batt IN'!$E$28*'Batt IN'!$E$45/12,0)</f>
        <v>0</v>
      </c>
      <c r="AR291" s="10">
        <f>BattLoan!M318</f>
        <v>0</v>
      </c>
      <c r="AS291" s="10">
        <f>'Batt IN'!$G$16*365/12*'Batt IN'!$E$16</f>
        <v>76.041666666666671</v>
      </c>
      <c r="AT291" s="10">
        <f>IF(AND('Batt IN'!$E$18&gt;0,'Batt IN'!$G$18&gt;0),'Batt IN'!$E$17*'Batt IN'!$G$17,0)</f>
        <v>119.44619999999999</v>
      </c>
      <c r="AU291" s="10">
        <f>IF(AND('Batt IN'!$E$20&gt;0,'Batt IN'!$G$20&gt;0),'Batt IN'!$E$19*'Batt IN'!$G$19,0)</f>
        <v>231</v>
      </c>
      <c r="AV291" s="10"/>
      <c r="AW291" s="10"/>
      <c r="AX291" s="10">
        <f>IF('Batt IN'!$E$11="Non-Taxable",Q291,0)</f>
        <v>11168.08</v>
      </c>
      <c r="AY291" s="10">
        <f>IF('Batt IN'!$E$11="Non-Taxable",'Batt IN'!$E$28/1000*'Batt IN'!$G$13*('Batt IN'!$E$13/12)*'Batt IN'!$E$12,0)</f>
        <v>244.42220833333334</v>
      </c>
      <c r="AZ291" s="10">
        <f>IF('Batt IN'!$E$11="Non-Taxable",$S291*'Batt IN'!$G$15*'Batt IN'!$E$28*'Batt IN'!$E$14/1000,0)</f>
        <v>0</v>
      </c>
      <c r="BA291" s="10">
        <f>IF('Batt IN'!$E$11="Non-Taxable",'Batt IN'!$E$21*'Batt IN'!$G$21/12,0)</f>
        <v>437.5</v>
      </c>
      <c r="BB291" s="10">
        <f>IF('Batt IN'!$E$11="Non-Taxable",'Batt IN'!$E$22*'Batt IN'!$G$22/12,0)</f>
        <v>1145.8333333333335</v>
      </c>
      <c r="BC291" s="10">
        <f>IF('Batt IN'!$E$11="Taxable",Q291,0)</f>
        <v>0</v>
      </c>
      <c r="BD291" s="10">
        <f>IF('Batt IN'!$E$11="Taxable",'Batt IN'!$E$28/1000*'Batt IN'!$G$13*('Batt IN'!$E$13/12)*'Batt IN'!$E$12,0)</f>
        <v>0</v>
      </c>
      <c r="BE291" s="10">
        <f>IF('Batt IN'!$E$11="Taxable",$S291*'Batt IN'!$G$15*'Batt IN'!$E$28*'Batt IN'!$E$14/1000,0)</f>
        <v>0</v>
      </c>
      <c r="BF291" s="10">
        <f>IF('Batt IN'!$E$11="Taxable",'Batt IN'!$E$21*'Batt IN'!$G$21/12,0)</f>
        <v>0</v>
      </c>
      <c r="BG291" s="10">
        <f>IF('Batt IN'!$E$11="Taxable",'Batt IN'!$E$22*'Batt IN'!$G$22/12,0)</f>
        <v>0</v>
      </c>
      <c r="BK291" s="10">
        <f>IF('Batt IN'!$N$18="Yes",-BattLoan!H319,-BattLoan!L319)</f>
        <v>0</v>
      </c>
      <c r="BL291" s="10">
        <f>IF('Batt IN'!$N$18="Yes",-BattLoan!F319,0)</f>
        <v>0</v>
      </c>
      <c r="BM291" s="10">
        <f>IF(AND('Batt IN'!$D$44="YES",$C291&lt;='Batt IN'!$E$44*12),0,-'Batt IN'!$E$28*'Batt IN'!$E$42/12)</f>
        <v>-83.333333333333329</v>
      </c>
      <c r="BN291" s="10">
        <f>IF(AND('Batt IN'!$D$46="YES",$C291&lt;='Batt IN'!$E$46*12),0,-'Batt IN'!$E$28*'Batt IN'!$E$45/12)</f>
        <v>-166.66666666666666</v>
      </c>
      <c r="BO291" s="2">
        <f>IF(AND('Batt IN'!$D$41="YES",BattCalcs!C291=ROUNDUP('Batt IN'!$H$41*12,)),-'Batt IN'!$E$41*'Batt IN'!$E$28,0)</f>
        <v>0</v>
      </c>
      <c r="BP291" s="2">
        <f>IF(AND('Batt IN'!$D$53="Yes",$AL$1&gt;=1),0,IF($C291='Batt IN'!$H$54*12,-'Batt IN'!$F$54,0))</f>
        <v>0</v>
      </c>
      <c r="BQ291" s="2">
        <f>IF(AND('Batt IN'!$D$53="Yes",$AL$1&gt;=2),0,IF($C291='Batt IN'!$H$55*12,-'Batt IN'!$F$55,0))</f>
        <v>0</v>
      </c>
      <c r="BR291" s="2">
        <f>IF(AND('Batt IN'!$D$53="Yes",$AL$1&gt;=3),0,IF($C291='Batt IN'!$H$56*12,-'Batt IN'!$F$56,0))</f>
        <v>0</v>
      </c>
      <c r="BS291" s="2">
        <f>IF(AND('Batt IN'!$D$53="Yes",$AL$1&gt;=4),0,IF($C291='Batt IN'!$H$57*12,-'Batt IN'!$F$57,0))</f>
        <v>0</v>
      </c>
      <c r="BT291" s="2">
        <f>IF(AND('Batt IN'!$D$53="Yes",$AL$1&gt;=5),0,IF($C291='Batt IN'!$H$58*12,-'Batt IN'!$F$58,0))</f>
        <v>0</v>
      </c>
      <c r="BU291" s="2">
        <f>-AH291*PVCalcs!F291</f>
        <v>-376.66912421056747</v>
      </c>
      <c r="BV291" s="2">
        <f>-'Batt IN'!$E$47</f>
        <v>-150</v>
      </c>
      <c r="BW291" s="2">
        <f>-'Batt IN'!$E$49</f>
        <v>-2250</v>
      </c>
      <c r="BX291" s="2">
        <f>IF('Batt IN'!$H$50="No",-(BC291*'Batt IN'!$E$50),-(BC291+BE291)*'Batt IN'!$E$50)</f>
        <v>0</v>
      </c>
      <c r="BY291" s="2">
        <f>IF(C291='Batt IN'!$H$43*12,-'Batt IN'!$E$43,0)</f>
        <v>0</v>
      </c>
      <c r="BZ291" s="38"/>
      <c r="CA291" s="10">
        <f t="shared" si="68"/>
        <v>13422.323408333334</v>
      </c>
      <c r="CB291" s="2">
        <f t="shared" si="72"/>
        <v>-3026.6691242105676</v>
      </c>
      <c r="CC291" s="45">
        <f t="shared" si="73"/>
        <v>10395.654284122766</v>
      </c>
      <c r="CD291" s="43"/>
      <c r="CE291" s="2">
        <f t="shared" si="69"/>
        <v>0</v>
      </c>
      <c r="CF291" s="2">
        <f t="shared" si="74"/>
        <v>-3026.6691242105676</v>
      </c>
      <c r="CG291" s="2"/>
      <c r="CH291" s="2">
        <f t="shared" si="75"/>
        <v>-3026.6691242105676</v>
      </c>
      <c r="CI291" s="45">
        <f>-CH291*'Batt IN'!$E$7</f>
        <v>635.60051608421918</v>
      </c>
      <c r="CJ291" s="48"/>
      <c r="CK291" s="45">
        <f>IF('Batt IN'!$F$4="PV Only",0,IF(C291&gt;'Batt IN'!$H$43*12,0,CC291+CI291))</f>
        <v>0</v>
      </c>
      <c r="CM291" s="10">
        <f t="shared" si="76"/>
        <v>0</v>
      </c>
      <c r="CN291" s="2">
        <f>CK291/(1+('Batt IN'!$G$8))^(C291)</f>
        <v>0</v>
      </c>
      <c r="CO291" s="2" t="e">
        <f>IF(C291&lt;='Batt IN'!$O$30*12,CN291+CO290,NA())</f>
        <v>#N/A</v>
      </c>
      <c r="CQ291" s="2">
        <f>CK291/((1+('Batt IN'!$E$8/12))^BattCalcs!C291)</f>
        <v>0</v>
      </c>
      <c r="CS291" s="10">
        <f t="shared" si="77"/>
        <v>-3026.6691242105676</v>
      </c>
      <c r="CT291" s="10">
        <f t="shared" si="78"/>
        <v>0</v>
      </c>
      <c r="CU291" s="10">
        <f t="shared" si="79"/>
        <v>-3026.6691242105676</v>
      </c>
      <c r="CV291" s="10">
        <f t="shared" si="80"/>
        <v>-3026.6691242105676</v>
      </c>
      <c r="CW291" s="2">
        <f t="shared" si="81"/>
        <v>0</v>
      </c>
      <c r="CX291" s="2">
        <f>-(SUM(CV291:CW291)*'PV IN'!$E$8)</f>
        <v>635.60051608421918</v>
      </c>
      <c r="CY291" s="2">
        <f t="shared" si="82"/>
        <v>-2391.0686081263484</v>
      </c>
      <c r="CZ291" s="2">
        <f>IF(C291&lt;='Batt IN'!$H$43*12,CY291/(1+('PV IN'!$G$9))^(C291),0)</f>
        <v>-744.41417615308262</v>
      </c>
      <c r="DA291" s="33">
        <f>IF(C291&lt;='Batt IN'!$H$43*12,AE291,0)</f>
        <v>30366.783333333333</v>
      </c>
    </row>
    <row r="292" spans="1:105" x14ac:dyDescent="0.25">
      <c r="A292">
        <f>IF(C292&lt;='Batt IN'!$H$43*12,C292,"")</f>
        <v>288</v>
      </c>
      <c r="B292">
        <v>24</v>
      </c>
      <c r="C292">
        <v>288</v>
      </c>
      <c r="D292" s="21">
        <v>730</v>
      </c>
      <c r="E292" s="1">
        <f>1-'Batt IN'!$E$31</f>
        <v>2.0000000000000018E-2</v>
      </c>
      <c r="F292" s="12">
        <f>('Batt IN'!$E$33*365)/8760</f>
        <v>0</v>
      </c>
      <c r="G292" s="22">
        <f>'Batt IN'!$E$32/8760</f>
        <v>5.7077625570776253E-3</v>
      </c>
      <c r="H292" s="22">
        <f>'Batt IN'!$E$13/8760</f>
        <v>5.5936073059360729E-3</v>
      </c>
      <c r="I292" s="23">
        <f>IF(C292&lt;='Batt IN'!$G$14*12,'Batt IN'!$E$15/8760*'Batt IN'!$G$15,0)</f>
        <v>0</v>
      </c>
      <c r="J292" s="12">
        <f>Z292/'Batt IN'!$E$27/730</f>
        <v>2.4999999999999996E-3</v>
      </c>
      <c r="K292" s="23">
        <f>AA292/'Batt IN'!$E$27/730</f>
        <v>1.6027397260273972E-3</v>
      </c>
      <c r="L292" s="23">
        <f>AB292/'Batt IN'!$E$27/730</f>
        <v>2.0547945205479451E-4</v>
      </c>
      <c r="M292" s="23">
        <f>AC292/'Batt IN'!$E$27/730</f>
        <v>4.7945205479452057E-3</v>
      </c>
      <c r="N292" s="23">
        <f>AD292/'Batt IN'!$E$27/730</f>
        <v>3.4246575342465752E-3</v>
      </c>
      <c r="O292" s="12">
        <f t="shared" si="70"/>
        <v>4.3828767123287697E-2</v>
      </c>
      <c r="P292" s="21">
        <f t="shared" si="71"/>
        <v>698.005</v>
      </c>
      <c r="Q292" s="2">
        <f>IF('Batt IN'!$E$27*'Batt IN'!$E$24&lt;='Batt IN'!$E$28,(('Batt IN'!$E$23*'Batt IN'!$E$27*'Batt IN'!$E$24)/1000)*P292,(('Batt IN'!$E$23*'Batt IN'!$E$28*'Batt IN'!$E$24)/1000)*P292)</f>
        <v>11168.08</v>
      </c>
      <c r="R292" s="2"/>
      <c r="S292" s="77">
        <f>IF(C292&lt;='Batt IN'!$G$14*12,'Batt IN'!$E$15/12,0)</f>
        <v>0</v>
      </c>
      <c r="T292" s="77"/>
      <c r="U292" s="80">
        <f>'Batt IN'!$E$28*('Batt IN'!$G$24/24)*730*(1-O292)</f>
        <v>81433.916666666657</v>
      </c>
      <c r="V292" s="78">
        <f>U292*'Batt IN'!$F$30</f>
        <v>16286.783333333333</v>
      </c>
      <c r="W292" s="78">
        <f>'Batt IN'!$E$28*'Batt IN'!$G$32*('Batt IN'!$E$32/12)*(1+'Batt IN'!$F$30)</f>
        <v>1750.0000000000002</v>
      </c>
      <c r="X292" s="78">
        <f>'Batt IN'!$E$28*'Batt IN'!$G$13*('Batt IN'!$E$13/12)*(1+'Batt IN'!$F$30)</f>
        <v>3184.9999999999995</v>
      </c>
      <c r="Y292" s="33">
        <f>S292*'Batt IN'!$G$15*'Batt IN'!$E$28*(1+'Batt IN'!$F$30)</f>
        <v>0</v>
      </c>
      <c r="Z292" s="33">
        <f>'Batt IN'!$G$16*365/12*(1+'Batt IN'!$F$30)</f>
        <v>1824.9999999999998</v>
      </c>
      <c r="AA292" s="33">
        <f>'Batt IN'!$G$17*'Batt IN'!$E$18*'Batt IN'!$G$18/12*(1+'Batt IN'!$F$30)</f>
        <v>1170</v>
      </c>
      <c r="AB292" s="33">
        <f>'Batt IN'!$G$19*'Batt IN'!$E$20*'Batt IN'!$G$20/12*(1+'Batt IN'!$F$30)</f>
        <v>150</v>
      </c>
      <c r="AC292" s="33">
        <f>'Batt IN'!$G$21*(1+'Batt IN'!$F$30)/12</f>
        <v>3500</v>
      </c>
      <c r="AD292" s="33">
        <f>'Batt IN'!$G$22*(1+'Batt IN'!$F$30)/12</f>
        <v>2500</v>
      </c>
      <c r="AE292" s="33">
        <f t="shared" si="83"/>
        <v>30366.783333333333</v>
      </c>
      <c r="AF292" s="33">
        <f>IF('PV IN'!$F$4="Battery Only",0,AE292*'Batt IN'!$E$29)</f>
        <v>25811.765833333331</v>
      </c>
      <c r="AG292" s="33">
        <f>PVCalcs!L292</f>
        <v>25811.765833333331</v>
      </c>
      <c r="AH292" s="33">
        <f t="shared" si="84"/>
        <v>4555.0175000000017</v>
      </c>
      <c r="AI292" s="33"/>
      <c r="AJ292" s="2">
        <f>IF(AND('Batt IN'!$D$53="Yes",$AL$1&gt;=1),IF($C292='Batt IN'!$H$54*12,-'Batt IN'!$F$54,0),0)</f>
        <v>0</v>
      </c>
      <c r="AK292" s="2">
        <f>IF(AND('Batt IN'!$D$53="Yes",$AL$1&gt;=2),IF($C292='Batt IN'!$H$55*12,-'Batt IN'!$F$55,0),0)</f>
        <v>0</v>
      </c>
      <c r="AL292" s="2">
        <f>IF(AND('Batt IN'!$D$53="Yes",$AL$1&gt;=3),IF($C292='Batt IN'!$H$56*12,-'Batt IN'!$F$56,0),0)</f>
        <v>0</v>
      </c>
      <c r="AM292" s="2">
        <f>IF(AND('Batt IN'!$D$53="Yes",$AL$1&gt;=4),IF($C292='Batt IN'!$H$57*12,-'Batt IN'!$F$57,0),0)</f>
        <v>0</v>
      </c>
      <c r="AN292" s="2">
        <f>IF(AND('Batt IN'!$D$53="Yes",$AL$1&gt;=5),IF($C292='Batt IN'!$H$58*12,-'Batt IN'!$F$58,0),0)</f>
        <v>0</v>
      </c>
      <c r="AO292" s="10">
        <f>IF(AND('Batt IN'!$D$44="YES",$C292&lt;='Batt IN'!$E$44*12),-'Batt IN'!$E$28*'Batt IN'!$E$42/12,0)</f>
        <v>0</v>
      </c>
      <c r="AP292" s="10">
        <f>IF(AND('Batt IN'!$D$46="YES",$C292&lt;='Batt IN'!$E$46*12),-'Batt IN'!$E$28*'Batt IN'!$E$45/12,0)</f>
        <v>0</v>
      </c>
      <c r="AR292" s="10">
        <f>BattLoan!M319</f>
        <v>0</v>
      </c>
      <c r="AS292" s="10">
        <f>'Batt IN'!$G$16*365/12*'Batt IN'!$E$16</f>
        <v>76.041666666666671</v>
      </c>
      <c r="AT292" s="10">
        <f>IF(AND('Batt IN'!$E$18&gt;0,'Batt IN'!$G$18&gt;0),'Batt IN'!$E$17*'Batt IN'!$G$17,0)</f>
        <v>119.44619999999999</v>
      </c>
      <c r="AU292" s="10">
        <f>IF(AND('Batt IN'!$E$20&gt;0,'Batt IN'!$G$20&gt;0),'Batt IN'!$E$19*'Batt IN'!$G$19,0)</f>
        <v>231</v>
      </c>
      <c r="AV292" s="10"/>
      <c r="AW292" s="10"/>
      <c r="AX292" s="10">
        <f>IF('Batt IN'!$E$11="Non-Taxable",Q292,0)</f>
        <v>11168.08</v>
      </c>
      <c r="AY292" s="10">
        <f>IF('Batt IN'!$E$11="Non-Taxable",'Batt IN'!$E$28/1000*'Batt IN'!$G$13*('Batt IN'!$E$13/12)*'Batt IN'!$E$12,0)</f>
        <v>244.42220833333334</v>
      </c>
      <c r="AZ292" s="10">
        <f>IF('Batt IN'!$E$11="Non-Taxable",$S292*'Batt IN'!$G$15*'Batt IN'!$E$28*'Batt IN'!$E$14/1000,0)</f>
        <v>0</v>
      </c>
      <c r="BA292" s="10">
        <f>IF('Batt IN'!$E$11="Non-Taxable",'Batt IN'!$E$21*'Batt IN'!$G$21/12,0)</f>
        <v>437.5</v>
      </c>
      <c r="BB292" s="10">
        <f>IF('Batt IN'!$E$11="Non-Taxable",'Batt IN'!$E$22*'Batt IN'!$G$22/12,0)</f>
        <v>1145.8333333333335</v>
      </c>
      <c r="BC292" s="10">
        <f>IF('Batt IN'!$E$11="Taxable",Q292,0)</f>
        <v>0</v>
      </c>
      <c r="BD292" s="10">
        <f>IF('Batt IN'!$E$11="Taxable",'Batt IN'!$E$28/1000*'Batt IN'!$G$13*('Batt IN'!$E$13/12)*'Batt IN'!$E$12,0)</f>
        <v>0</v>
      </c>
      <c r="BE292" s="10">
        <f>IF('Batt IN'!$E$11="Taxable",$S292*'Batt IN'!$G$15*'Batt IN'!$E$28*'Batt IN'!$E$14/1000,0)</f>
        <v>0</v>
      </c>
      <c r="BF292" s="10">
        <f>IF('Batt IN'!$E$11="Taxable",'Batt IN'!$E$21*'Batt IN'!$G$21/12,0)</f>
        <v>0</v>
      </c>
      <c r="BG292" s="10">
        <f>IF('Batt IN'!$E$11="Taxable",'Batt IN'!$E$22*'Batt IN'!$G$22/12,0)</f>
        <v>0</v>
      </c>
      <c r="BK292" s="10">
        <f>IF('Batt IN'!$N$18="Yes",-BattLoan!H320,-BattLoan!L320)</f>
        <v>0</v>
      </c>
      <c r="BL292" s="10">
        <f>IF('Batt IN'!$N$18="Yes",-BattLoan!F320,0)</f>
        <v>0</v>
      </c>
      <c r="BM292" s="10">
        <f>IF(AND('Batt IN'!$D$44="YES",$C292&lt;='Batt IN'!$E$44*12),0,-'Batt IN'!$E$28*'Batt IN'!$E$42/12)</f>
        <v>-83.333333333333329</v>
      </c>
      <c r="BN292" s="10">
        <f>IF(AND('Batt IN'!$D$46="YES",$C292&lt;='Batt IN'!$E$46*12),0,-'Batt IN'!$E$28*'Batt IN'!$E$45/12)</f>
        <v>-166.66666666666666</v>
      </c>
      <c r="BO292" s="2">
        <f>IF(AND('Batt IN'!$D$41="YES",BattCalcs!C292=ROUNDUP('Batt IN'!$H$41*12,)),-'Batt IN'!$E$41*'Batt IN'!$E$28,0)</f>
        <v>0</v>
      </c>
      <c r="BP292" s="2">
        <f>IF(AND('Batt IN'!$D$53="Yes",$AL$1&gt;=1),0,IF($C292='Batt IN'!$H$54*12,-'Batt IN'!$F$54,0))</f>
        <v>0</v>
      </c>
      <c r="BQ292" s="2">
        <f>IF(AND('Batt IN'!$D$53="Yes",$AL$1&gt;=2),0,IF($C292='Batt IN'!$H$55*12,-'Batt IN'!$F$55,0))</f>
        <v>0</v>
      </c>
      <c r="BR292" s="2">
        <f>IF(AND('Batt IN'!$D$53="Yes",$AL$1&gt;=3),0,IF($C292='Batt IN'!$H$56*12,-'Batt IN'!$F$56,0))</f>
        <v>0</v>
      </c>
      <c r="BS292" s="2">
        <f>IF(AND('Batt IN'!$D$53="Yes",$AL$1&gt;=4),0,IF($C292='Batt IN'!$H$57*12,-'Batt IN'!$F$57,0))</f>
        <v>0</v>
      </c>
      <c r="BT292" s="2">
        <f>IF(AND('Batt IN'!$D$53="Yes",$AL$1&gt;=5),0,IF($C292='Batt IN'!$H$58*12,-'Batt IN'!$F$58,0))</f>
        <v>0</v>
      </c>
      <c r="BU292" s="2">
        <f>-AH292*PVCalcs!F292</f>
        <v>-376.66912421056747</v>
      </c>
      <c r="BV292" s="2">
        <f>-'Batt IN'!$E$47</f>
        <v>-150</v>
      </c>
      <c r="BW292" s="2">
        <f>-'Batt IN'!$E$49</f>
        <v>-2250</v>
      </c>
      <c r="BX292" s="2">
        <f>IF('Batt IN'!$H$50="No",-(BC292*'Batt IN'!$E$50),-(BC292+BE292)*'Batt IN'!$E$50)</f>
        <v>0</v>
      </c>
      <c r="BY292" s="2">
        <f>IF(C292='Batt IN'!$H$43*12,-'Batt IN'!$E$43,0)</f>
        <v>0</v>
      </c>
      <c r="BZ292" s="38"/>
      <c r="CA292" s="10">
        <f t="shared" si="68"/>
        <v>13422.323408333334</v>
      </c>
      <c r="CB292" s="2">
        <f t="shared" si="72"/>
        <v>-3026.6691242105676</v>
      </c>
      <c r="CC292" s="45">
        <f t="shared" si="73"/>
        <v>10395.654284122766</v>
      </c>
      <c r="CD292" s="43"/>
      <c r="CE292" s="2">
        <f t="shared" si="69"/>
        <v>0</v>
      </c>
      <c r="CF292" s="2">
        <f t="shared" si="74"/>
        <v>-3026.6691242105676</v>
      </c>
      <c r="CG292" s="2"/>
      <c r="CH292" s="2">
        <f t="shared" si="75"/>
        <v>-3026.6691242105676</v>
      </c>
      <c r="CI292" s="45">
        <f>-CH292*'Batt IN'!$E$7</f>
        <v>635.60051608421918</v>
      </c>
      <c r="CJ292" s="48"/>
      <c r="CK292" s="45">
        <f>IF('Batt IN'!$F$4="PV Only",0,IF(C292&gt;'Batt IN'!$H$43*12,0,CC292+CI292))</f>
        <v>0</v>
      </c>
      <c r="CM292" s="10">
        <f t="shared" si="76"/>
        <v>0</v>
      </c>
      <c r="CN292" s="2">
        <f>CK292/(1+('Batt IN'!$G$8))^(C292)</f>
        <v>0</v>
      </c>
      <c r="CO292" s="2" t="e">
        <f>IF(C292&lt;='Batt IN'!$O$30*12,CN292+CO291,NA())</f>
        <v>#N/A</v>
      </c>
      <c r="CQ292" s="2">
        <f>CK292/((1+('Batt IN'!$E$8/12))^BattCalcs!C292)</f>
        <v>0</v>
      </c>
      <c r="CS292" s="10">
        <f t="shared" si="77"/>
        <v>-3026.6691242105676</v>
      </c>
      <c r="CT292" s="10">
        <f t="shared" si="78"/>
        <v>0</v>
      </c>
      <c r="CU292" s="10">
        <f t="shared" si="79"/>
        <v>-3026.6691242105676</v>
      </c>
      <c r="CV292" s="10">
        <f t="shared" si="80"/>
        <v>-3026.6691242105676</v>
      </c>
      <c r="CW292" s="2">
        <f t="shared" si="81"/>
        <v>0</v>
      </c>
      <c r="CX292" s="2">
        <f>-(SUM(CV292:CW292)*'PV IN'!$E$8)</f>
        <v>635.60051608421918</v>
      </c>
      <c r="CY292" s="2">
        <f t="shared" si="82"/>
        <v>-2391.0686081263484</v>
      </c>
      <c r="CZ292" s="2">
        <f>IF(C292&lt;='Batt IN'!$H$43*12,CY292/(1+('PV IN'!$G$9))^(C292),0)</f>
        <v>-741.39364666416225</v>
      </c>
      <c r="DA292" s="33">
        <f>IF(C292&lt;='Batt IN'!$H$43*12,AE292,0)</f>
        <v>30366.783333333333</v>
      </c>
    </row>
    <row r="293" spans="1:105" x14ac:dyDescent="0.25">
      <c r="A293">
        <f>IF(C293&lt;='Batt IN'!$H$43*12,C293,"")</f>
        <v>289</v>
      </c>
      <c r="C293">
        <v>289</v>
      </c>
      <c r="D293" s="21">
        <v>730</v>
      </c>
      <c r="E293" s="1">
        <f>1-'Batt IN'!$E$31</f>
        <v>2.0000000000000018E-2</v>
      </c>
      <c r="F293" s="12">
        <f>('Batt IN'!$E$33*365)/8760</f>
        <v>0</v>
      </c>
      <c r="G293" s="22">
        <f>'Batt IN'!$E$32/8760</f>
        <v>5.7077625570776253E-3</v>
      </c>
      <c r="H293" s="22">
        <f>'Batt IN'!$E$13/8760</f>
        <v>5.5936073059360729E-3</v>
      </c>
      <c r="I293" s="23">
        <f>IF(C293&lt;='Batt IN'!$G$14*12,'Batt IN'!$E$15/8760*'Batt IN'!$G$15,0)</f>
        <v>0</v>
      </c>
      <c r="J293" s="12">
        <f>Z293/'Batt IN'!$E$27/730</f>
        <v>2.4999999999999996E-3</v>
      </c>
      <c r="K293" s="23">
        <f>AA293/'Batt IN'!$E$27/730</f>
        <v>1.6027397260273972E-3</v>
      </c>
      <c r="L293" s="23">
        <f>AB293/'Batt IN'!$E$27/730</f>
        <v>2.0547945205479451E-4</v>
      </c>
      <c r="M293" s="23">
        <f>AC293/'Batt IN'!$E$27/730</f>
        <v>4.7945205479452057E-3</v>
      </c>
      <c r="N293" s="23">
        <f>AD293/'Batt IN'!$E$27/730</f>
        <v>3.4246575342465752E-3</v>
      </c>
      <c r="O293" s="12">
        <f t="shared" si="70"/>
        <v>4.3828767123287697E-2</v>
      </c>
      <c r="P293" s="21">
        <f t="shared" si="71"/>
        <v>698.005</v>
      </c>
      <c r="Q293" s="2">
        <f>IF('Batt IN'!$E$27*'Batt IN'!$E$24&lt;='Batt IN'!$E$28,(('Batt IN'!$E$23*'Batt IN'!$E$27*'Batt IN'!$E$24)/1000)*P293,(('Batt IN'!$E$23*'Batt IN'!$E$28*'Batt IN'!$E$24)/1000)*P293)</f>
        <v>11168.08</v>
      </c>
      <c r="R293" s="2"/>
      <c r="S293" s="77">
        <f>IF(C293&lt;='Batt IN'!$G$14*12,'Batt IN'!$E$15/12,0)</f>
        <v>0</v>
      </c>
      <c r="T293" s="77"/>
      <c r="U293" s="80">
        <f>'Batt IN'!$E$28*('Batt IN'!$G$24/24)*730*(1-O293)</f>
        <v>81433.916666666657</v>
      </c>
      <c r="V293" s="78">
        <f>U293*'Batt IN'!$F$30</f>
        <v>16286.783333333333</v>
      </c>
      <c r="W293" s="78">
        <f>'Batt IN'!$E$28*'Batt IN'!$G$32*('Batt IN'!$E$32/12)*(1+'Batt IN'!$F$30)</f>
        <v>1750.0000000000002</v>
      </c>
      <c r="X293" s="78">
        <f>'Batt IN'!$E$28*'Batt IN'!$G$13*('Batt IN'!$E$13/12)*(1+'Batt IN'!$F$30)</f>
        <v>3184.9999999999995</v>
      </c>
      <c r="Y293" s="33">
        <f>S293*'Batt IN'!$G$15*'Batt IN'!$E$28*(1+'Batt IN'!$F$30)</f>
        <v>0</v>
      </c>
      <c r="Z293" s="33">
        <f>'Batt IN'!$G$16*365/12*(1+'Batt IN'!$F$30)</f>
        <v>1824.9999999999998</v>
      </c>
      <c r="AA293" s="33">
        <f>'Batt IN'!$G$17*'Batt IN'!$E$18*'Batt IN'!$G$18/12*(1+'Batt IN'!$F$30)</f>
        <v>1170</v>
      </c>
      <c r="AB293" s="33">
        <f>'Batt IN'!$G$19*'Batt IN'!$E$20*'Batt IN'!$G$20/12*(1+'Batt IN'!$F$30)</f>
        <v>150</v>
      </c>
      <c r="AC293" s="33">
        <f>'Batt IN'!$G$21*(1+'Batt IN'!$F$30)/12</f>
        <v>3500</v>
      </c>
      <c r="AD293" s="33">
        <f>'Batt IN'!$G$22*(1+'Batt IN'!$F$30)/12</f>
        <v>2500</v>
      </c>
      <c r="AE293" s="33">
        <f t="shared" si="83"/>
        <v>30366.783333333333</v>
      </c>
      <c r="AF293" s="33">
        <f>IF('PV IN'!$F$4="Battery Only",0,AE293*'Batt IN'!$E$29)</f>
        <v>25811.765833333331</v>
      </c>
      <c r="AG293" s="33">
        <f>PVCalcs!L293</f>
        <v>25811.765833333331</v>
      </c>
      <c r="AH293" s="33">
        <f t="shared" si="84"/>
        <v>4555.0175000000017</v>
      </c>
      <c r="AI293" s="33"/>
      <c r="AJ293" s="2">
        <f>IF(AND('Batt IN'!$D$53="Yes",$AL$1&gt;=1),IF($C293='Batt IN'!$H$54*12,-'Batt IN'!$F$54,0),0)</f>
        <v>0</v>
      </c>
      <c r="AK293" s="2">
        <f>IF(AND('Batt IN'!$D$53="Yes",$AL$1&gt;=2),IF($C293='Batt IN'!$H$55*12,-'Batt IN'!$F$55,0),0)</f>
        <v>0</v>
      </c>
      <c r="AL293" s="2">
        <f>IF(AND('Batt IN'!$D$53="Yes",$AL$1&gt;=3),IF($C293='Batt IN'!$H$56*12,-'Batt IN'!$F$56,0),0)</f>
        <v>0</v>
      </c>
      <c r="AM293" s="2">
        <f>IF(AND('Batt IN'!$D$53="Yes",$AL$1&gt;=4),IF($C293='Batt IN'!$H$57*12,-'Batt IN'!$F$57,0),0)</f>
        <v>0</v>
      </c>
      <c r="AN293" s="2">
        <f>IF(AND('Batt IN'!$D$53="Yes",$AL$1&gt;=5),IF($C293='Batt IN'!$H$58*12,-'Batt IN'!$F$58,0),0)</f>
        <v>0</v>
      </c>
      <c r="AO293" s="10">
        <f>IF(AND('Batt IN'!$D$44="YES",$C293&lt;='Batt IN'!$E$44*12),-'Batt IN'!$E$28*'Batt IN'!$E$42/12,0)</f>
        <v>0</v>
      </c>
      <c r="AP293" s="10">
        <f>IF(AND('Batt IN'!$D$46="YES",$C293&lt;='Batt IN'!$E$46*12),-'Batt IN'!$E$28*'Batt IN'!$E$45/12,0)</f>
        <v>0</v>
      </c>
      <c r="AR293" s="10">
        <f>BattLoan!M320</f>
        <v>0</v>
      </c>
      <c r="AS293" s="10">
        <f>'Batt IN'!$G$16*365/12*'Batt IN'!$E$16</f>
        <v>76.041666666666671</v>
      </c>
      <c r="AT293" s="10">
        <f>IF(AND('Batt IN'!$E$18&gt;0,'Batt IN'!$G$18&gt;0),'Batt IN'!$E$17*'Batt IN'!$G$17,0)</f>
        <v>119.44619999999999</v>
      </c>
      <c r="AU293" s="10">
        <f>IF(AND('Batt IN'!$E$20&gt;0,'Batt IN'!$G$20&gt;0),'Batt IN'!$E$19*'Batt IN'!$G$19,0)</f>
        <v>231</v>
      </c>
      <c r="AV293" s="10"/>
      <c r="AW293" s="10"/>
      <c r="AX293" s="10">
        <f>IF('Batt IN'!$E$11="Non-Taxable",Q293,0)</f>
        <v>11168.08</v>
      </c>
      <c r="AY293" s="10">
        <f>IF('Batt IN'!$E$11="Non-Taxable",'Batt IN'!$E$28/1000*'Batt IN'!$G$13*('Batt IN'!$E$13/12)*'Batt IN'!$E$12,0)</f>
        <v>244.42220833333334</v>
      </c>
      <c r="AZ293" s="10">
        <f>IF('Batt IN'!$E$11="Non-Taxable",$S293*'Batt IN'!$G$15*'Batt IN'!$E$28*'Batt IN'!$E$14/1000,0)</f>
        <v>0</v>
      </c>
      <c r="BA293" s="10">
        <f>IF('Batt IN'!$E$11="Non-Taxable",'Batt IN'!$E$21*'Batt IN'!$G$21/12,0)</f>
        <v>437.5</v>
      </c>
      <c r="BB293" s="10">
        <f>IF('Batt IN'!$E$11="Non-Taxable",'Batt IN'!$E$22*'Batt IN'!$G$22/12,0)</f>
        <v>1145.8333333333335</v>
      </c>
      <c r="BC293" s="10">
        <f>IF('Batt IN'!$E$11="Taxable",Q293,0)</f>
        <v>0</v>
      </c>
      <c r="BD293" s="10">
        <f>IF('Batt IN'!$E$11="Taxable",'Batt IN'!$E$28/1000*'Batt IN'!$G$13*('Batt IN'!$E$13/12)*'Batt IN'!$E$12,0)</f>
        <v>0</v>
      </c>
      <c r="BE293" s="10">
        <f>IF('Batt IN'!$E$11="Taxable",$S293*'Batt IN'!$G$15*'Batt IN'!$E$28*'Batt IN'!$E$14/1000,0)</f>
        <v>0</v>
      </c>
      <c r="BF293" s="10">
        <f>IF('Batt IN'!$E$11="Taxable",'Batt IN'!$E$21*'Batt IN'!$G$21/12,0)</f>
        <v>0</v>
      </c>
      <c r="BG293" s="10">
        <f>IF('Batt IN'!$E$11="Taxable",'Batt IN'!$E$22*'Batt IN'!$G$22/12,0)</f>
        <v>0</v>
      </c>
      <c r="BK293" s="10">
        <f>IF('Batt IN'!$N$18="Yes",-BattLoan!H321,-BattLoan!L321)</f>
        <v>0</v>
      </c>
      <c r="BL293" s="10">
        <f>IF('Batt IN'!$N$18="Yes",-BattLoan!F321,0)</f>
        <v>0</v>
      </c>
      <c r="BM293" s="10">
        <f>IF(AND('Batt IN'!$D$44="YES",$C293&lt;='Batt IN'!$E$44*12),0,-'Batt IN'!$E$28*'Batt IN'!$E$42/12)</f>
        <v>-83.333333333333329</v>
      </c>
      <c r="BN293" s="10">
        <f>IF(AND('Batt IN'!$D$46="YES",$C293&lt;='Batt IN'!$E$46*12),0,-'Batt IN'!$E$28*'Batt IN'!$E$45/12)</f>
        <v>-166.66666666666666</v>
      </c>
      <c r="BO293" s="2">
        <f>IF(AND('Batt IN'!$D$41="YES",BattCalcs!C293=ROUNDUP('Batt IN'!$H$41*12,)),-'Batt IN'!$E$41*'Batt IN'!$E$28,0)</f>
        <v>0</v>
      </c>
      <c r="BP293" s="2">
        <f>IF(AND('Batt IN'!$D$53="Yes",$AL$1&gt;=1),0,IF($C293='Batt IN'!$H$54*12,-'Batt IN'!$F$54,0))</f>
        <v>0</v>
      </c>
      <c r="BQ293" s="2">
        <f>IF(AND('Batt IN'!$D$53="Yes",$AL$1&gt;=2),0,IF($C293='Batt IN'!$H$55*12,-'Batt IN'!$F$55,0))</f>
        <v>0</v>
      </c>
      <c r="BR293" s="2">
        <f>IF(AND('Batt IN'!$D$53="Yes",$AL$1&gt;=3),0,IF($C293='Batt IN'!$H$56*12,-'Batt IN'!$F$56,0))</f>
        <v>0</v>
      </c>
      <c r="BS293" s="2">
        <f>IF(AND('Batt IN'!$D$53="Yes",$AL$1&gt;=4),0,IF($C293='Batt IN'!$H$57*12,-'Batt IN'!$F$57,0))</f>
        <v>0</v>
      </c>
      <c r="BT293" s="2">
        <f>IF(AND('Batt IN'!$D$53="Yes",$AL$1&gt;=5),0,IF($C293='Batt IN'!$H$58*12,-'Batt IN'!$F$58,0))</f>
        <v>0</v>
      </c>
      <c r="BU293" s="2">
        <f>-AH293*PVCalcs!F293</f>
        <v>-373.27924071472859</v>
      </c>
      <c r="BV293" s="2">
        <f>-'Batt IN'!$E$47</f>
        <v>-150</v>
      </c>
      <c r="BW293" s="2">
        <f>-'Batt IN'!$E$49</f>
        <v>-2250</v>
      </c>
      <c r="BX293" s="2">
        <f>IF('Batt IN'!$H$50="No",-(BC293*'Batt IN'!$E$50),-(BC293+BE293)*'Batt IN'!$E$50)</f>
        <v>0</v>
      </c>
      <c r="BY293" s="2">
        <f>IF(C293='Batt IN'!$H$43*12,-'Batt IN'!$E$43,0)</f>
        <v>0</v>
      </c>
      <c r="BZ293" s="38"/>
      <c r="CA293" s="10">
        <f t="shared" si="68"/>
        <v>13422.323408333334</v>
      </c>
      <c r="CB293" s="2">
        <f t="shared" si="72"/>
        <v>-3023.2792407147285</v>
      </c>
      <c r="CC293" s="45">
        <f t="shared" si="73"/>
        <v>10399.044167618606</v>
      </c>
      <c r="CD293" s="43"/>
      <c r="CE293" s="2">
        <f t="shared" si="69"/>
        <v>0</v>
      </c>
      <c r="CF293" s="2">
        <f t="shared" si="74"/>
        <v>-3023.2792407147285</v>
      </c>
      <c r="CG293" s="2"/>
      <c r="CH293" s="2">
        <f t="shared" si="75"/>
        <v>-3023.2792407147285</v>
      </c>
      <c r="CI293" s="45">
        <f>-CH293*'Batt IN'!$E$7</f>
        <v>634.88864055009299</v>
      </c>
      <c r="CJ293" s="48"/>
      <c r="CK293" s="45">
        <f>IF('Batt IN'!$F$4="PV Only",0,IF(C293&gt;'Batt IN'!$H$43*12,0,CC293+CI293))</f>
        <v>0</v>
      </c>
      <c r="CM293" s="10">
        <f t="shared" si="76"/>
        <v>0</v>
      </c>
      <c r="CN293" s="2">
        <f>CK293/(1+('Batt IN'!$G$8))^(C293)</f>
        <v>0</v>
      </c>
      <c r="CO293" s="2" t="e">
        <f>IF(C293&lt;='Batt IN'!$O$30*12,CN293+CO292,NA())</f>
        <v>#N/A</v>
      </c>
      <c r="CQ293" s="2">
        <f>CK293/((1+('Batt IN'!$E$8/12))^BattCalcs!C293)</f>
        <v>0</v>
      </c>
      <c r="CS293" s="10">
        <f t="shared" si="77"/>
        <v>-3023.2792407147285</v>
      </c>
      <c r="CT293" s="10">
        <f t="shared" si="78"/>
        <v>0</v>
      </c>
      <c r="CU293" s="10">
        <f t="shared" si="79"/>
        <v>-3023.2792407147285</v>
      </c>
      <c r="CV293" s="10">
        <f t="shared" si="80"/>
        <v>-3023.2792407147285</v>
      </c>
      <c r="CW293" s="2">
        <f t="shared" si="81"/>
        <v>0</v>
      </c>
      <c r="CX293" s="2">
        <f>-(SUM(CV293:CW293)*'PV IN'!$E$8)</f>
        <v>634.88864055009299</v>
      </c>
      <c r="CY293" s="2">
        <f t="shared" si="82"/>
        <v>-2388.3906001646355</v>
      </c>
      <c r="CZ293" s="2">
        <f>IF(C293&lt;='Batt IN'!$H$43*12,CY293/(1+('PV IN'!$G$9))^(C293),0)</f>
        <v>-737.55837820129466</v>
      </c>
      <c r="DA293" s="33">
        <f>IF(C293&lt;='Batt IN'!$H$43*12,AE293,0)</f>
        <v>30366.783333333333</v>
      </c>
    </row>
    <row r="294" spans="1:105" x14ac:dyDescent="0.25">
      <c r="A294">
        <f>IF(C294&lt;='Batt IN'!$H$43*12,C294,"")</f>
        <v>290</v>
      </c>
      <c r="C294">
        <v>290</v>
      </c>
      <c r="D294" s="21">
        <v>730</v>
      </c>
      <c r="E294" s="1">
        <f>1-'Batt IN'!$E$31</f>
        <v>2.0000000000000018E-2</v>
      </c>
      <c r="F294" s="12">
        <f>('Batt IN'!$E$33*365)/8760</f>
        <v>0</v>
      </c>
      <c r="G294" s="22">
        <f>'Batt IN'!$E$32/8760</f>
        <v>5.7077625570776253E-3</v>
      </c>
      <c r="H294" s="22">
        <f>'Batt IN'!$E$13/8760</f>
        <v>5.5936073059360729E-3</v>
      </c>
      <c r="I294" s="23">
        <f>IF(C294&lt;='Batt IN'!$G$14*12,'Batt IN'!$E$15/8760*'Batt IN'!$G$15,0)</f>
        <v>0</v>
      </c>
      <c r="J294" s="12">
        <f>Z294/'Batt IN'!$E$27/730</f>
        <v>2.4999999999999996E-3</v>
      </c>
      <c r="K294" s="23">
        <f>AA294/'Batt IN'!$E$27/730</f>
        <v>1.6027397260273972E-3</v>
      </c>
      <c r="L294" s="23">
        <f>AB294/'Batt IN'!$E$27/730</f>
        <v>2.0547945205479451E-4</v>
      </c>
      <c r="M294" s="23">
        <f>AC294/'Batt IN'!$E$27/730</f>
        <v>4.7945205479452057E-3</v>
      </c>
      <c r="N294" s="23">
        <f>AD294/'Batt IN'!$E$27/730</f>
        <v>3.4246575342465752E-3</v>
      </c>
      <c r="O294" s="12">
        <f t="shared" si="70"/>
        <v>4.3828767123287697E-2</v>
      </c>
      <c r="P294" s="21">
        <f t="shared" si="71"/>
        <v>698.005</v>
      </c>
      <c r="Q294" s="2">
        <f>IF('Batt IN'!$E$27*'Batt IN'!$E$24&lt;='Batt IN'!$E$28,(('Batt IN'!$E$23*'Batt IN'!$E$27*'Batt IN'!$E$24)/1000)*P294,(('Batt IN'!$E$23*'Batt IN'!$E$28*'Batt IN'!$E$24)/1000)*P294)</f>
        <v>11168.08</v>
      </c>
      <c r="R294" s="2"/>
      <c r="S294" s="77">
        <f>IF(C294&lt;='Batt IN'!$G$14*12,'Batt IN'!$E$15/12,0)</f>
        <v>0</v>
      </c>
      <c r="T294" s="77"/>
      <c r="U294" s="80">
        <f>'Batt IN'!$E$28*('Batt IN'!$G$24/24)*730*(1-O294)</f>
        <v>81433.916666666657</v>
      </c>
      <c r="V294" s="78">
        <f>U294*'Batt IN'!$F$30</f>
        <v>16286.783333333333</v>
      </c>
      <c r="W294" s="78">
        <f>'Batt IN'!$E$28*'Batt IN'!$G$32*('Batt IN'!$E$32/12)*(1+'Batt IN'!$F$30)</f>
        <v>1750.0000000000002</v>
      </c>
      <c r="X294" s="78">
        <f>'Batt IN'!$E$28*'Batt IN'!$G$13*('Batt IN'!$E$13/12)*(1+'Batt IN'!$F$30)</f>
        <v>3184.9999999999995</v>
      </c>
      <c r="Y294" s="33">
        <f>S294*'Batt IN'!$G$15*'Batt IN'!$E$28*(1+'Batt IN'!$F$30)</f>
        <v>0</v>
      </c>
      <c r="Z294" s="33">
        <f>'Batt IN'!$G$16*365/12*(1+'Batt IN'!$F$30)</f>
        <v>1824.9999999999998</v>
      </c>
      <c r="AA294" s="33">
        <f>'Batt IN'!$G$17*'Batt IN'!$E$18*'Batt IN'!$G$18/12*(1+'Batt IN'!$F$30)</f>
        <v>1170</v>
      </c>
      <c r="AB294" s="33">
        <f>'Batt IN'!$G$19*'Batt IN'!$E$20*'Batt IN'!$G$20/12*(1+'Batt IN'!$F$30)</f>
        <v>150</v>
      </c>
      <c r="AC294" s="33">
        <f>'Batt IN'!$G$21*(1+'Batt IN'!$F$30)/12</f>
        <v>3500</v>
      </c>
      <c r="AD294" s="33">
        <f>'Batt IN'!$G$22*(1+'Batt IN'!$F$30)/12</f>
        <v>2500</v>
      </c>
      <c r="AE294" s="33">
        <f t="shared" si="83"/>
        <v>30366.783333333333</v>
      </c>
      <c r="AF294" s="33">
        <f>IF('PV IN'!$F$4="Battery Only",0,AE294*'Batt IN'!$E$29)</f>
        <v>25811.765833333331</v>
      </c>
      <c r="AG294" s="33">
        <f>PVCalcs!L294</f>
        <v>25811.765833333331</v>
      </c>
      <c r="AH294" s="33">
        <f t="shared" si="84"/>
        <v>4555.0175000000017</v>
      </c>
      <c r="AI294" s="33"/>
      <c r="AJ294" s="2">
        <f>IF(AND('Batt IN'!$D$53="Yes",$AL$1&gt;=1),IF($C294='Batt IN'!$H$54*12,-'Batt IN'!$F$54,0),0)</f>
        <v>0</v>
      </c>
      <c r="AK294" s="2">
        <f>IF(AND('Batt IN'!$D$53="Yes",$AL$1&gt;=2),IF($C294='Batt IN'!$H$55*12,-'Batt IN'!$F$55,0),0)</f>
        <v>0</v>
      </c>
      <c r="AL294" s="2">
        <f>IF(AND('Batt IN'!$D$53="Yes",$AL$1&gt;=3),IF($C294='Batt IN'!$H$56*12,-'Batt IN'!$F$56,0),0)</f>
        <v>0</v>
      </c>
      <c r="AM294" s="2">
        <f>IF(AND('Batt IN'!$D$53="Yes",$AL$1&gt;=4),IF($C294='Batt IN'!$H$57*12,-'Batt IN'!$F$57,0),0)</f>
        <v>0</v>
      </c>
      <c r="AN294" s="2">
        <f>IF(AND('Batt IN'!$D$53="Yes",$AL$1&gt;=5),IF($C294='Batt IN'!$H$58*12,-'Batt IN'!$F$58,0),0)</f>
        <v>0</v>
      </c>
      <c r="AO294" s="10">
        <f>IF(AND('Batt IN'!$D$44="YES",$C294&lt;='Batt IN'!$E$44*12),-'Batt IN'!$E$28*'Batt IN'!$E$42/12,0)</f>
        <v>0</v>
      </c>
      <c r="AP294" s="10">
        <f>IF(AND('Batt IN'!$D$46="YES",$C294&lt;='Batt IN'!$E$46*12),-'Batt IN'!$E$28*'Batt IN'!$E$45/12,0)</f>
        <v>0</v>
      </c>
      <c r="AR294" s="10">
        <f>BattLoan!M321</f>
        <v>0</v>
      </c>
      <c r="AS294" s="10">
        <f>'Batt IN'!$G$16*365/12*'Batt IN'!$E$16</f>
        <v>76.041666666666671</v>
      </c>
      <c r="AT294" s="10">
        <f>IF(AND('Batt IN'!$E$18&gt;0,'Batt IN'!$G$18&gt;0),'Batt IN'!$E$17*'Batt IN'!$G$17,0)</f>
        <v>119.44619999999999</v>
      </c>
      <c r="AU294" s="10">
        <f>IF(AND('Batt IN'!$E$20&gt;0,'Batt IN'!$G$20&gt;0),'Batt IN'!$E$19*'Batt IN'!$G$19,0)</f>
        <v>231</v>
      </c>
      <c r="AV294" s="10"/>
      <c r="AW294" s="10"/>
      <c r="AX294" s="10">
        <f>IF('Batt IN'!$E$11="Non-Taxable",Q294,0)</f>
        <v>11168.08</v>
      </c>
      <c r="AY294" s="10">
        <f>IF('Batt IN'!$E$11="Non-Taxable",'Batt IN'!$E$28/1000*'Batt IN'!$G$13*('Batt IN'!$E$13/12)*'Batt IN'!$E$12,0)</f>
        <v>244.42220833333334</v>
      </c>
      <c r="AZ294" s="10">
        <f>IF('Batt IN'!$E$11="Non-Taxable",$S294*'Batt IN'!$G$15*'Batt IN'!$E$28*'Batt IN'!$E$14/1000,0)</f>
        <v>0</v>
      </c>
      <c r="BA294" s="10">
        <f>IF('Batt IN'!$E$11="Non-Taxable",'Batt IN'!$E$21*'Batt IN'!$G$21/12,0)</f>
        <v>437.5</v>
      </c>
      <c r="BB294" s="10">
        <f>IF('Batt IN'!$E$11="Non-Taxable",'Batt IN'!$E$22*'Batt IN'!$G$22/12,0)</f>
        <v>1145.8333333333335</v>
      </c>
      <c r="BC294" s="10">
        <f>IF('Batt IN'!$E$11="Taxable",Q294,0)</f>
        <v>0</v>
      </c>
      <c r="BD294" s="10">
        <f>IF('Batt IN'!$E$11="Taxable",'Batt IN'!$E$28/1000*'Batt IN'!$G$13*('Batt IN'!$E$13/12)*'Batt IN'!$E$12,0)</f>
        <v>0</v>
      </c>
      <c r="BE294" s="10">
        <f>IF('Batt IN'!$E$11="Taxable",$S294*'Batt IN'!$G$15*'Batt IN'!$E$28*'Batt IN'!$E$14/1000,0)</f>
        <v>0</v>
      </c>
      <c r="BF294" s="10">
        <f>IF('Batt IN'!$E$11="Taxable",'Batt IN'!$E$21*'Batt IN'!$G$21/12,0)</f>
        <v>0</v>
      </c>
      <c r="BG294" s="10">
        <f>IF('Batt IN'!$E$11="Taxable",'Batt IN'!$E$22*'Batt IN'!$G$22/12,0)</f>
        <v>0</v>
      </c>
      <c r="BK294" s="10">
        <f>IF('Batt IN'!$N$18="Yes",-BattLoan!H322,-BattLoan!L322)</f>
        <v>0</v>
      </c>
      <c r="BL294" s="10">
        <f>IF('Batt IN'!$N$18="Yes",-BattLoan!F322,0)</f>
        <v>0</v>
      </c>
      <c r="BM294" s="10">
        <f>IF(AND('Batt IN'!$D$44="YES",$C294&lt;='Batt IN'!$E$44*12),0,-'Batt IN'!$E$28*'Batt IN'!$E$42/12)</f>
        <v>-83.333333333333329</v>
      </c>
      <c r="BN294" s="10">
        <f>IF(AND('Batt IN'!$D$46="YES",$C294&lt;='Batt IN'!$E$46*12),0,-'Batt IN'!$E$28*'Batt IN'!$E$45/12)</f>
        <v>-166.66666666666666</v>
      </c>
      <c r="BO294" s="2">
        <f>IF(AND('Batt IN'!$D$41="YES",BattCalcs!C294=ROUNDUP('Batt IN'!$H$41*12,)),-'Batt IN'!$E$41*'Batt IN'!$E$28,0)</f>
        <v>0</v>
      </c>
      <c r="BP294" s="2">
        <f>IF(AND('Batt IN'!$D$53="Yes",$AL$1&gt;=1),0,IF($C294='Batt IN'!$H$54*12,-'Batt IN'!$F$54,0))</f>
        <v>0</v>
      </c>
      <c r="BQ294" s="2">
        <f>IF(AND('Batt IN'!$D$53="Yes",$AL$1&gt;=2),0,IF($C294='Batt IN'!$H$55*12,-'Batt IN'!$F$55,0))</f>
        <v>0</v>
      </c>
      <c r="BR294" s="2">
        <f>IF(AND('Batt IN'!$D$53="Yes",$AL$1&gt;=3),0,IF($C294='Batt IN'!$H$56*12,-'Batt IN'!$F$56,0))</f>
        <v>0</v>
      </c>
      <c r="BS294" s="2">
        <f>IF(AND('Batt IN'!$D$53="Yes",$AL$1&gt;=4),0,IF($C294='Batt IN'!$H$57*12,-'Batt IN'!$F$57,0))</f>
        <v>0</v>
      </c>
      <c r="BT294" s="2">
        <f>IF(AND('Batt IN'!$D$53="Yes",$AL$1&gt;=5),0,IF($C294='Batt IN'!$H$58*12,-'Batt IN'!$F$58,0))</f>
        <v>0</v>
      </c>
      <c r="BU294" s="2">
        <f>-AH294*PVCalcs!F294</f>
        <v>-373.27924071472859</v>
      </c>
      <c r="BV294" s="2">
        <f>-'Batt IN'!$E$47</f>
        <v>-150</v>
      </c>
      <c r="BW294" s="2">
        <f>-'Batt IN'!$E$49</f>
        <v>-2250</v>
      </c>
      <c r="BX294" s="2">
        <f>IF('Batt IN'!$H$50="No",-(BC294*'Batt IN'!$E$50),-(BC294+BE294)*'Batt IN'!$E$50)</f>
        <v>0</v>
      </c>
      <c r="BY294" s="2">
        <f>IF(C294='Batt IN'!$H$43*12,-'Batt IN'!$E$43,0)</f>
        <v>0</v>
      </c>
      <c r="BZ294" s="38"/>
      <c r="CA294" s="10">
        <f t="shared" si="68"/>
        <v>13422.323408333334</v>
      </c>
      <c r="CB294" s="2">
        <f t="shared" si="72"/>
        <v>-3023.2792407147285</v>
      </c>
      <c r="CC294" s="45">
        <f t="shared" si="73"/>
        <v>10399.044167618606</v>
      </c>
      <c r="CD294" s="43"/>
      <c r="CE294" s="2">
        <f t="shared" si="69"/>
        <v>0</v>
      </c>
      <c r="CF294" s="2">
        <f t="shared" si="74"/>
        <v>-3023.2792407147285</v>
      </c>
      <c r="CG294" s="2"/>
      <c r="CH294" s="2">
        <f t="shared" si="75"/>
        <v>-3023.2792407147285</v>
      </c>
      <c r="CI294" s="45">
        <f>-CH294*'Batt IN'!$E$7</f>
        <v>634.88864055009299</v>
      </c>
      <c r="CJ294" s="48"/>
      <c r="CK294" s="45">
        <f>IF('Batt IN'!$F$4="PV Only",0,IF(C294&gt;'Batt IN'!$H$43*12,0,CC294+CI294))</f>
        <v>0</v>
      </c>
      <c r="CM294" s="10">
        <f t="shared" si="76"/>
        <v>0</v>
      </c>
      <c r="CN294" s="2">
        <f>CK294/(1+('Batt IN'!$G$8))^(C294)</f>
        <v>0</v>
      </c>
      <c r="CO294" s="2" t="e">
        <f>IF(C294&lt;='Batt IN'!$O$30*12,CN294+CO293,NA())</f>
        <v>#N/A</v>
      </c>
      <c r="CQ294" s="2">
        <f>CK294/((1+('Batt IN'!$E$8/12))^BattCalcs!C294)</f>
        <v>0</v>
      </c>
      <c r="CS294" s="10">
        <f t="shared" si="77"/>
        <v>-3023.2792407147285</v>
      </c>
      <c r="CT294" s="10">
        <f t="shared" si="78"/>
        <v>0</v>
      </c>
      <c r="CU294" s="10">
        <f t="shared" si="79"/>
        <v>-3023.2792407147285</v>
      </c>
      <c r="CV294" s="10">
        <f t="shared" si="80"/>
        <v>-3023.2792407147285</v>
      </c>
      <c r="CW294" s="2">
        <f t="shared" si="81"/>
        <v>0</v>
      </c>
      <c r="CX294" s="2">
        <f>-(SUM(CV294:CW294)*'PV IN'!$E$8)</f>
        <v>634.88864055009299</v>
      </c>
      <c r="CY294" s="2">
        <f t="shared" si="82"/>
        <v>-2388.3906001646355</v>
      </c>
      <c r="CZ294" s="2">
        <f>IF(C294&lt;='Batt IN'!$H$43*12,CY294/(1+('PV IN'!$G$9))^(C294),0)</f>
        <v>-734.56566674774604</v>
      </c>
      <c r="DA294" s="33">
        <f>IF(C294&lt;='Batt IN'!$H$43*12,AE294,0)</f>
        <v>30366.783333333333</v>
      </c>
    </row>
    <row r="295" spans="1:105" x14ac:dyDescent="0.25">
      <c r="A295">
        <f>IF(C295&lt;='Batt IN'!$H$43*12,C295,"")</f>
        <v>291</v>
      </c>
      <c r="C295">
        <v>291</v>
      </c>
      <c r="D295" s="21">
        <v>730</v>
      </c>
      <c r="E295" s="1">
        <f>1-'Batt IN'!$E$31</f>
        <v>2.0000000000000018E-2</v>
      </c>
      <c r="F295" s="12">
        <f>('Batt IN'!$E$33*365)/8760</f>
        <v>0</v>
      </c>
      <c r="G295" s="22">
        <f>'Batt IN'!$E$32/8760</f>
        <v>5.7077625570776253E-3</v>
      </c>
      <c r="H295" s="22">
        <f>'Batt IN'!$E$13/8760</f>
        <v>5.5936073059360729E-3</v>
      </c>
      <c r="I295" s="23">
        <f>IF(C295&lt;='Batt IN'!$G$14*12,'Batt IN'!$E$15/8760*'Batt IN'!$G$15,0)</f>
        <v>0</v>
      </c>
      <c r="J295" s="12">
        <f>Z295/'Batt IN'!$E$27/730</f>
        <v>2.4999999999999996E-3</v>
      </c>
      <c r="K295" s="23">
        <f>AA295/'Batt IN'!$E$27/730</f>
        <v>1.6027397260273972E-3</v>
      </c>
      <c r="L295" s="23">
        <f>AB295/'Batt IN'!$E$27/730</f>
        <v>2.0547945205479451E-4</v>
      </c>
      <c r="M295" s="23">
        <f>AC295/'Batt IN'!$E$27/730</f>
        <v>4.7945205479452057E-3</v>
      </c>
      <c r="N295" s="23">
        <f>AD295/'Batt IN'!$E$27/730</f>
        <v>3.4246575342465752E-3</v>
      </c>
      <c r="O295" s="12">
        <f t="shared" si="70"/>
        <v>4.3828767123287697E-2</v>
      </c>
      <c r="P295" s="21">
        <f t="shared" si="71"/>
        <v>698.005</v>
      </c>
      <c r="Q295" s="2">
        <f>IF('Batt IN'!$E$27*'Batt IN'!$E$24&lt;='Batt IN'!$E$28,(('Batt IN'!$E$23*'Batt IN'!$E$27*'Batt IN'!$E$24)/1000)*P295,(('Batt IN'!$E$23*'Batt IN'!$E$28*'Batt IN'!$E$24)/1000)*P295)</f>
        <v>11168.08</v>
      </c>
      <c r="R295" s="2"/>
      <c r="S295" s="77">
        <f>IF(C295&lt;='Batt IN'!$G$14*12,'Batt IN'!$E$15/12,0)</f>
        <v>0</v>
      </c>
      <c r="T295" s="77"/>
      <c r="U295" s="80">
        <f>'Batt IN'!$E$28*('Batt IN'!$G$24/24)*730*(1-O295)</f>
        <v>81433.916666666657</v>
      </c>
      <c r="V295" s="78">
        <f>U295*'Batt IN'!$F$30</f>
        <v>16286.783333333333</v>
      </c>
      <c r="W295" s="78">
        <f>'Batt IN'!$E$28*'Batt IN'!$G$32*('Batt IN'!$E$32/12)*(1+'Batt IN'!$F$30)</f>
        <v>1750.0000000000002</v>
      </c>
      <c r="X295" s="78">
        <f>'Batt IN'!$E$28*'Batt IN'!$G$13*('Batt IN'!$E$13/12)*(1+'Batt IN'!$F$30)</f>
        <v>3184.9999999999995</v>
      </c>
      <c r="Y295" s="33">
        <f>S295*'Batt IN'!$G$15*'Batt IN'!$E$28*(1+'Batt IN'!$F$30)</f>
        <v>0</v>
      </c>
      <c r="Z295" s="33">
        <f>'Batt IN'!$G$16*365/12*(1+'Batt IN'!$F$30)</f>
        <v>1824.9999999999998</v>
      </c>
      <c r="AA295" s="33">
        <f>'Batt IN'!$G$17*'Batt IN'!$E$18*'Batt IN'!$G$18/12*(1+'Batt IN'!$F$30)</f>
        <v>1170</v>
      </c>
      <c r="AB295" s="33">
        <f>'Batt IN'!$G$19*'Batt IN'!$E$20*'Batt IN'!$G$20/12*(1+'Batt IN'!$F$30)</f>
        <v>150</v>
      </c>
      <c r="AC295" s="33">
        <f>'Batt IN'!$G$21*(1+'Batt IN'!$F$30)/12</f>
        <v>3500</v>
      </c>
      <c r="AD295" s="33">
        <f>'Batt IN'!$G$22*(1+'Batt IN'!$F$30)/12</f>
        <v>2500</v>
      </c>
      <c r="AE295" s="33">
        <f t="shared" si="83"/>
        <v>30366.783333333333</v>
      </c>
      <c r="AF295" s="33">
        <f>IF('PV IN'!$F$4="Battery Only",0,AE295*'Batt IN'!$E$29)</f>
        <v>25811.765833333331</v>
      </c>
      <c r="AG295" s="33">
        <f>PVCalcs!L295</f>
        <v>25811.765833333331</v>
      </c>
      <c r="AH295" s="33">
        <f t="shared" si="84"/>
        <v>4555.0175000000017</v>
      </c>
      <c r="AI295" s="33"/>
      <c r="AJ295" s="2">
        <f>IF(AND('Batt IN'!$D$53="Yes",$AL$1&gt;=1),IF($C295='Batt IN'!$H$54*12,-'Batt IN'!$F$54,0),0)</f>
        <v>0</v>
      </c>
      <c r="AK295" s="2">
        <f>IF(AND('Batt IN'!$D$53="Yes",$AL$1&gt;=2),IF($C295='Batt IN'!$H$55*12,-'Batt IN'!$F$55,0),0)</f>
        <v>0</v>
      </c>
      <c r="AL295" s="2">
        <f>IF(AND('Batt IN'!$D$53="Yes",$AL$1&gt;=3),IF($C295='Batt IN'!$H$56*12,-'Batt IN'!$F$56,0),0)</f>
        <v>0</v>
      </c>
      <c r="AM295" s="2">
        <f>IF(AND('Batt IN'!$D$53="Yes",$AL$1&gt;=4),IF($C295='Batt IN'!$H$57*12,-'Batt IN'!$F$57,0),0)</f>
        <v>0</v>
      </c>
      <c r="AN295" s="2">
        <f>IF(AND('Batt IN'!$D$53="Yes",$AL$1&gt;=5),IF($C295='Batt IN'!$H$58*12,-'Batt IN'!$F$58,0),0)</f>
        <v>0</v>
      </c>
      <c r="AO295" s="10">
        <f>IF(AND('Batt IN'!$D$44="YES",$C295&lt;='Batt IN'!$E$44*12),-'Batt IN'!$E$28*'Batt IN'!$E$42/12,0)</f>
        <v>0</v>
      </c>
      <c r="AP295" s="10">
        <f>IF(AND('Batt IN'!$D$46="YES",$C295&lt;='Batt IN'!$E$46*12),-'Batt IN'!$E$28*'Batt IN'!$E$45/12,0)</f>
        <v>0</v>
      </c>
      <c r="AR295" s="10">
        <f>BattLoan!M322</f>
        <v>0</v>
      </c>
      <c r="AS295" s="10">
        <f>'Batt IN'!$G$16*365/12*'Batt IN'!$E$16</f>
        <v>76.041666666666671</v>
      </c>
      <c r="AT295" s="10">
        <f>IF(AND('Batt IN'!$E$18&gt;0,'Batt IN'!$G$18&gt;0),'Batt IN'!$E$17*'Batt IN'!$G$17,0)</f>
        <v>119.44619999999999</v>
      </c>
      <c r="AU295" s="10">
        <f>IF(AND('Batt IN'!$E$20&gt;0,'Batt IN'!$G$20&gt;0),'Batt IN'!$E$19*'Batt IN'!$G$19,0)</f>
        <v>231</v>
      </c>
      <c r="AV295" s="10"/>
      <c r="AW295" s="10"/>
      <c r="AX295" s="10">
        <f>IF('Batt IN'!$E$11="Non-Taxable",Q295,0)</f>
        <v>11168.08</v>
      </c>
      <c r="AY295" s="10">
        <f>IF('Batt IN'!$E$11="Non-Taxable",'Batt IN'!$E$28/1000*'Batt IN'!$G$13*('Batt IN'!$E$13/12)*'Batt IN'!$E$12,0)</f>
        <v>244.42220833333334</v>
      </c>
      <c r="AZ295" s="10">
        <f>IF('Batt IN'!$E$11="Non-Taxable",$S295*'Batt IN'!$G$15*'Batt IN'!$E$28*'Batt IN'!$E$14/1000,0)</f>
        <v>0</v>
      </c>
      <c r="BA295" s="10">
        <f>IF('Batt IN'!$E$11="Non-Taxable",'Batt IN'!$E$21*'Batt IN'!$G$21/12,0)</f>
        <v>437.5</v>
      </c>
      <c r="BB295" s="10">
        <f>IF('Batt IN'!$E$11="Non-Taxable",'Batt IN'!$E$22*'Batt IN'!$G$22/12,0)</f>
        <v>1145.8333333333335</v>
      </c>
      <c r="BC295" s="10">
        <f>IF('Batt IN'!$E$11="Taxable",Q295,0)</f>
        <v>0</v>
      </c>
      <c r="BD295" s="10">
        <f>IF('Batt IN'!$E$11="Taxable",'Batt IN'!$E$28/1000*'Batt IN'!$G$13*('Batt IN'!$E$13/12)*'Batt IN'!$E$12,0)</f>
        <v>0</v>
      </c>
      <c r="BE295" s="10">
        <f>IF('Batt IN'!$E$11="Taxable",$S295*'Batt IN'!$G$15*'Batt IN'!$E$28*'Batt IN'!$E$14/1000,0)</f>
        <v>0</v>
      </c>
      <c r="BF295" s="10">
        <f>IF('Batt IN'!$E$11="Taxable",'Batt IN'!$E$21*'Batt IN'!$G$21/12,0)</f>
        <v>0</v>
      </c>
      <c r="BG295" s="10">
        <f>IF('Batt IN'!$E$11="Taxable",'Batt IN'!$E$22*'Batt IN'!$G$22/12,0)</f>
        <v>0</v>
      </c>
      <c r="BK295" s="10">
        <f>IF('Batt IN'!$N$18="Yes",-BattLoan!H323,-BattLoan!L323)</f>
        <v>0</v>
      </c>
      <c r="BL295" s="10">
        <f>IF('Batt IN'!$N$18="Yes",-BattLoan!F323,0)</f>
        <v>0</v>
      </c>
      <c r="BM295" s="10">
        <f>IF(AND('Batt IN'!$D$44="YES",$C295&lt;='Batt IN'!$E$44*12),0,-'Batt IN'!$E$28*'Batt IN'!$E$42/12)</f>
        <v>-83.333333333333329</v>
      </c>
      <c r="BN295" s="10">
        <f>IF(AND('Batt IN'!$D$46="YES",$C295&lt;='Batt IN'!$E$46*12),0,-'Batt IN'!$E$28*'Batt IN'!$E$45/12)</f>
        <v>-166.66666666666666</v>
      </c>
      <c r="BO295" s="2">
        <f>IF(AND('Batt IN'!$D$41="YES",BattCalcs!C295=ROUNDUP('Batt IN'!$H$41*12,)),-'Batt IN'!$E$41*'Batt IN'!$E$28,0)</f>
        <v>0</v>
      </c>
      <c r="BP295" s="2">
        <f>IF(AND('Batt IN'!$D$53="Yes",$AL$1&gt;=1),0,IF($C295='Batt IN'!$H$54*12,-'Batt IN'!$F$54,0))</f>
        <v>0</v>
      </c>
      <c r="BQ295" s="2">
        <f>IF(AND('Batt IN'!$D$53="Yes",$AL$1&gt;=2),0,IF($C295='Batt IN'!$H$55*12,-'Batt IN'!$F$55,0))</f>
        <v>0</v>
      </c>
      <c r="BR295" s="2">
        <f>IF(AND('Batt IN'!$D$53="Yes",$AL$1&gt;=3),0,IF($C295='Batt IN'!$H$56*12,-'Batt IN'!$F$56,0))</f>
        <v>0</v>
      </c>
      <c r="BS295" s="2">
        <f>IF(AND('Batt IN'!$D$53="Yes",$AL$1&gt;=4),0,IF($C295='Batt IN'!$H$57*12,-'Batt IN'!$F$57,0))</f>
        <v>0</v>
      </c>
      <c r="BT295" s="2">
        <f>IF(AND('Batt IN'!$D$53="Yes",$AL$1&gt;=5),0,IF($C295='Batt IN'!$H$58*12,-'Batt IN'!$F$58,0))</f>
        <v>0</v>
      </c>
      <c r="BU295" s="2">
        <f>-AH295*PVCalcs!F295</f>
        <v>-373.27924071472859</v>
      </c>
      <c r="BV295" s="2">
        <f>-'Batt IN'!$E$47</f>
        <v>-150</v>
      </c>
      <c r="BW295" s="2">
        <f>-'Batt IN'!$E$49</f>
        <v>-2250</v>
      </c>
      <c r="BX295" s="2">
        <f>IF('Batt IN'!$H$50="No",-(BC295*'Batt IN'!$E$50),-(BC295+BE295)*'Batt IN'!$E$50)</f>
        <v>0</v>
      </c>
      <c r="BY295" s="2">
        <f>IF(C295='Batt IN'!$H$43*12,-'Batt IN'!$E$43,0)</f>
        <v>0</v>
      </c>
      <c r="BZ295" s="38"/>
      <c r="CA295" s="10">
        <f t="shared" si="68"/>
        <v>13422.323408333334</v>
      </c>
      <c r="CB295" s="2">
        <f t="shared" si="72"/>
        <v>-3023.2792407147285</v>
      </c>
      <c r="CC295" s="45">
        <f t="shared" si="73"/>
        <v>10399.044167618606</v>
      </c>
      <c r="CD295" s="43"/>
      <c r="CE295" s="2">
        <f t="shared" si="69"/>
        <v>0</v>
      </c>
      <c r="CF295" s="2">
        <f t="shared" si="74"/>
        <v>-3023.2792407147285</v>
      </c>
      <c r="CG295" s="2"/>
      <c r="CH295" s="2">
        <f t="shared" si="75"/>
        <v>-3023.2792407147285</v>
      </c>
      <c r="CI295" s="45">
        <f>-CH295*'Batt IN'!$E$7</f>
        <v>634.88864055009299</v>
      </c>
      <c r="CJ295" s="48"/>
      <c r="CK295" s="45">
        <f>IF('Batt IN'!$F$4="PV Only",0,IF(C295&gt;'Batt IN'!$H$43*12,0,CC295+CI295))</f>
        <v>0</v>
      </c>
      <c r="CM295" s="10">
        <f t="shared" si="76"/>
        <v>0</v>
      </c>
      <c r="CN295" s="2">
        <f>CK295/(1+('Batt IN'!$G$8))^(C295)</f>
        <v>0</v>
      </c>
      <c r="CO295" s="2" t="e">
        <f>IF(C295&lt;='Batt IN'!$O$30*12,CN295+CO294,NA())</f>
        <v>#N/A</v>
      </c>
      <c r="CQ295" s="2">
        <f>CK295/((1+('Batt IN'!$E$8/12))^BattCalcs!C295)</f>
        <v>0</v>
      </c>
      <c r="CS295" s="10">
        <f t="shared" si="77"/>
        <v>-3023.2792407147285</v>
      </c>
      <c r="CT295" s="10">
        <f t="shared" si="78"/>
        <v>0</v>
      </c>
      <c r="CU295" s="10">
        <f t="shared" si="79"/>
        <v>-3023.2792407147285</v>
      </c>
      <c r="CV295" s="10">
        <f t="shared" si="80"/>
        <v>-3023.2792407147285</v>
      </c>
      <c r="CW295" s="2">
        <f t="shared" si="81"/>
        <v>0</v>
      </c>
      <c r="CX295" s="2">
        <f>-(SUM(CV295:CW295)*'PV IN'!$E$8)</f>
        <v>634.88864055009299</v>
      </c>
      <c r="CY295" s="2">
        <f t="shared" si="82"/>
        <v>-2388.3906001646355</v>
      </c>
      <c r="CZ295" s="2">
        <f>IF(C295&lt;='Batt IN'!$H$43*12,CY295/(1+('PV IN'!$G$9))^(C295),0)</f>
        <v>-731.58509849819188</v>
      </c>
      <c r="DA295" s="33">
        <f>IF(C295&lt;='Batt IN'!$H$43*12,AE295,0)</f>
        <v>30366.783333333333</v>
      </c>
    </row>
    <row r="296" spans="1:105" x14ac:dyDescent="0.25">
      <c r="A296">
        <f>IF(C296&lt;='Batt IN'!$H$43*12,C296,"")</f>
        <v>292</v>
      </c>
      <c r="C296">
        <v>292</v>
      </c>
      <c r="D296" s="21">
        <v>730</v>
      </c>
      <c r="E296" s="1">
        <f>1-'Batt IN'!$E$31</f>
        <v>2.0000000000000018E-2</v>
      </c>
      <c r="F296" s="12">
        <f>('Batt IN'!$E$33*365)/8760</f>
        <v>0</v>
      </c>
      <c r="G296" s="22">
        <f>'Batt IN'!$E$32/8760</f>
        <v>5.7077625570776253E-3</v>
      </c>
      <c r="H296" s="22">
        <f>'Batt IN'!$E$13/8760</f>
        <v>5.5936073059360729E-3</v>
      </c>
      <c r="I296" s="23">
        <f>IF(C296&lt;='Batt IN'!$G$14*12,'Batt IN'!$E$15/8760*'Batt IN'!$G$15,0)</f>
        <v>0</v>
      </c>
      <c r="J296" s="12">
        <f>Z296/'Batt IN'!$E$27/730</f>
        <v>2.4999999999999996E-3</v>
      </c>
      <c r="K296" s="23">
        <f>AA296/'Batt IN'!$E$27/730</f>
        <v>1.6027397260273972E-3</v>
      </c>
      <c r="L296" s="23">
        <f>AB296/'Batt IN'!$E$27/730</f>
        <v>2.0547945205479451E-4</v>
      </c>
      <c r="M296" s="23">
        <f>AC296/'Batt IN'!$E$27/730</f>
        <v>4.7945205479452057E-3</v>
      </c>
      <c r="N296" s="23">
        <f>AD296/'Batt IN'!$E$27/730</f>
        <v>3.4246575342465752E-3</v>
      </c>
      <c r="O296" s="12">
        <f t="shared" si="70"/>
        <v>4.3828767123287697E-2</v>
      </c>
      <c r="P296" s="21">
        <f t="shared" si="71"/>
        <v>698.005</v>
      </c>
      <c r="Q296" s="2">
        <f>IF('Batt IN'!$E$27*'Batt IN'!$E$24&lt;='Batt IN'!$E$28,(('Batt IN'!$E$23*'Batt IN'!$E$27*'Batt IN'!$E$24)/1000)*P296,(('Batt IN'!$E$23*'Batt IN'!$E$28*'Batt IN'!$E$24)/1000)*P296)</f>
        <v>11168.08</v>
      </c>
      <c r="R296" s="2"/>
      <c r="S296" s="77">
        <f>IF(C296&lt;='Batt IN'!$G$14*12,'Batt IN'!$E$15/12,0)</f>
        <v>0</v>
      </c>
      <c r="T296" s="77"/>
      <c r="U296" s="80">
        <f>'Batt IN'!$E$28*('Batt IN'!$G$24/24)*730*(1-O296)</f>
        <v>81433.916666666657</v>
      </c>
      <c r="V296" s="78">
        <f>U296*'Batt IN'!$F$30</f>
        <v>16286.783333333333</v>
      </c>
      <c r="W296" s="78">
        <f>'Batt IN'!$E$28*'Batt IN'!$G$32*('Batt IN'!$E$32/12)*(1+'Batt IN'!$F$30)</f>
        <v>1750.0000000000002</v>
      </c>
      <c r="X296" s="78">
        <f>'Batt IN'!$E$28*'Batt IN'!$G$13*('Batt IN'!$E$13/12)*(1+'Batt IN'!$F$30)</f>
        <v>3184.9999999999995</v>
      </c>
      <c r="Y296" s="33">
        <f>S296*'Batt IN'!$G$15*'Batt IN'!$E$28*(1+'Batt IN'!$F$30)</f>
        <v>0</v>
      </c>
      <c r="Z296" s="33">
        <f>'Batt IN'!$G$16*365/12*(1+'Batt IN'!$F$30)</f>
        <v>1824.9999999999998</v>
      </c>
      <c r="AA296" s="33">
        <f>'Batt IN'!$G$17*'Batt IN'!$E$18*'Batt IN'!$G$18/12*(1+'Batt IN'!$F$30)</f>
        <v>1170</v>
      </c>
      <c r="AB296" s="33">
        <f>'Batt IN'!$G$19*'Batt IN'!$E$20*'Batt IN'!$G$20/12*(1+'Batt IN'!$F$30)</f>
        <v>150</v>
      </c>
      <c r="AC296" s="33">
        <f>'Batt IN'!$G$21*(1+'Batt IN'!$F$30)/12</f>
        <v>3500</v>
      </c>
      <c r="AD296" s="33">
        <f>'Batt IN'!$G$22*(1+'Batt IN'!$F$30)/12</f>
        <v>2500</v>
      </c>
      <c r="AE296" s="33">
        <f t="shared" si="83"/>
        <v>30366.783333333333</v>
      </c>
      <c r="AF296" s="33">
        <f>IF('PV IN'!$F$4="Battery Only",0,AE296*'Batt IN'!$E$29)</f>
        <v>25811.765833333331</v>
      </c>
      <c r="AG296" s="33">
        <f>PVCalcs!L296</f>
        <v>25811.765833333331</v>
      </c>
      <c r="AH296" s="33">
        <f t="shared" si="84"/>
        <v>4555.0175000000017</v>
      </c>
      <c r="AI296" s="33"/>
      <c r="AJ296" s="2">
        <f>IF(AND('Batt IN'!$D$53="Yes",$AL$1&gt;=1),IF($C296='Batt IN'!$H$54*12,-'Batt IN'!$F$54,0),0)</f>
        <v>0</v>
      </c>
      <c r="AK296" s="2">
        <f>IF(AND('Batt IN'!$D$53="Yes",$AL$1&gt;=2),IF($C296='Batt IN'!$H$55*12,-'Batt IN'!$F$55,0),0)</f>
        <v>0</v>
      </c>
      <c r="AL296" s="2">
        <f>IF(AND('Batt IN'!$D$53="Yes",$AL$1&gt;=3),IF($C296='Batt IN'!$H$56*12,-'Batt IN'!$F$56,0),0)</f>
        <v>0</v>
      </c>
      <c r="AM296" s="2">
        <f>IF(AND('Batt IN'!$D$53="Yes",$AL$1&gt;=4),IF($C296='Batt IN'!$H$57*12,-'Batt IN'!$F$57,0),0)</f>
        <v>0</v>
      </c>
      <c r="AN296" s="2">
        <f>IF(AND('Batt IN'!$D$53="Yes",$AL$1&gt;=5),IF($C296='Batt IN'!$H$58*12,-'Batt IN'!$F$58,0),0)</f>
        <v>0</v>
      </c>
      <c r="AO296" s="10">
        <f>IF(AND('Batt IN'!$D$44="YES",$C296&lt;='Batt IN'!$E$44*12),-'Batt IN'!$E$28*'Batt IN'!$E$42/12,0)</f>
        <v>0</v>
      </c>
      <c r="AP296" s="10">
        <f>IF(AND('Batt IN'!$D$46="YES",$C296&lt;='Batt IN'!$E$46*12),-'Batt IN'!$E$28*'Batt IN'!$E$45/12,0)</f>
        <v>0</v>
      </c>
      <c r="AR296" s="10">
        <f>BattLoan!M323</f>
        <v>0</v>
      </c>
      <c r="AS296" s="10">
        <f>'Batt IN'!$G$16*365/12*'Batt IN'!$E$16</f>
        <v>76.041666666666671</v>
      </c>
      <c r="AT296" s="10">
        <f>IF(AND('Batt IN'!$E$18&gt;0,'Batt IN'!$G$18&gt;0),'Batt IN'!$E$17*'Batt IN'!$G$17,0)</f>
        <v>119.44619999999999</v>
      </c>
      <c r="AU296" s="10">
        <f>IF(AND('Batt IN'!$E$20&gt;0,'Batt IN'!$G$20&gt;0),'Batt IN'!$E$19*'Batt IN'!$G$19,0)</f>
        <v>231</v>
      </c>
      <c r="AV296" s="10"/>
      <c r="AW296" s="10"/>
      <c r="AX296" s="10">
        <f>IF('Batt IN'!$E$11="Non-Taxable",Q296,0)</f>
        <v>11168.08</v>
      </c>
      <c r="AY296" s="10">
        <f>IF('Batt IN'!$E$11="Non-Taxable",'Batt IN'!$E$28/1000*'Batt IN'!$G$13*('Batt IN'!$E$13/12)*'Batt IN'!$E$12,0)</f>
        <v>244.42220833333334</v>
      </c>
      <c r="AZ296" s="10">
        <f>IF('Batt IN'!$E$11="Non-Taxable",$S296*'Batt IN'!$G$15*'Batt IN'!$E$28*'Batt IN'!$E$14/1000,0)</f>
        <v>0</v>
      </c>
      <c r="BA296" s="10">
        <f>IF('Batt IN'!$E$11="Non-Taxable",'Batt IN'!$E$21*'Batt IN'!$G$21/12,0)</f>
        <v>437.5</v>
      </c>
      <c r="BB296" s="10">
        <f>IF('Batt IN'!$E$11="Non-Taxable",'Batt IN'!$E$22*'Batt IN'!$G$22/12,0)</f>
        <v>1145.8333333333335</v>
      </c>
      <c r="BC296" s="10">
        <f>IF('Batt IN'!$E$11="Taxable",Q296,0)</f>
        <v>0</v>
      </c>
      <c r="BD296" s="10">
        <f>IF('Batt IN'!$E$11="Taxable",'Batt IN'!$E$28/1000*'Batt IN'!$G$13*('Batt IN'!$E$13/12)*'Batt IN'!$E$12,0)</f>
        <v>0</v>
      </c>
      <c r="BE296" s="10">
        <f>IF('Batt IN'!$E$11="Taxable",$S296*'Batt IN'!$G$15*'Batt IN'!$E$28*'Batt IN'!$E$14/1000,0)</f>
        <v>0</v>
      </c>
      <c r="BF296" s="10">
        <f>IF('Batt IN'!$E$11="Taxable",'Batt IN'!$E$21*'Batt IN'!$G$21/12,0)</f>
        <v>0</v>
      </c>
      <c r="BG296" s="10">
        <f>IF('Batt IN'!$E$11="Taxable",'Batt IN'!$E$22*'Batt IN'!$G$22/12,0)</f>
        <v>0</v>
      </c>
      <c r="BK296" s="10">
        <f>IF('Batt IN'!$N$18="Yes",-BattLoan!H324,-BattLoan!L324)</f>
        <v>0</v>
      </c>
      <c r="BL296" s="10">
        <f>IF('Batt IN'!$N$18="Yes",-BattLoan!F324,0)</f>
        <v>0</v>
      </c>
      <c r="BM296" s="10">
        <f>IF(AND('Batt IN'!$D$44="YES",$C296&lt;='Batt IN'!$E$44*12),0,-'Batt IN'!$E$28*'Batt IN'!$E$42/12)</f>
        <v>-83.333333333333329</v>
      </c>
      <c r="BN296" s="10">
        <f>IF(AND('Batt IN'!$D$46="YES",$C296&lt;='Batt IN'!$E$46*12),0,-'Batt IN'!$E$28*'Batt IN'!$E$45/12)</f>
        <v>-166.66666666666666</v>
      </c>
      <c r="BO296" s="2">
        <f>IF(AND('Batt IN'!$D$41="YES",BattCalcs!C296=ROUNDUP('Batt IN'!$H$41*12,)),-'Batt IN'!$E$41*'Batt IN'!$E$28,0)</f>
        <v>0</v>
      </c>
      <c r="BP296" s="2">
        <f>IF(AND('Batt IN'!$D$53="Yes",$AL$1&gt;=1),0,IF($C296='Batt IN'!$H$54*12,-'Batt IN'!$F$54,0))</f>
        <v>0</v>
      </c>
      <c r="BQ296" s="2">
        <f>IF(AND('Batt IN'!$D$53="Yes",$AL$1&gt;=2),0,IF($C296='Batt IN'!$H$55*12,-'Batt IN'!$F$55,0))</f>
        <v>0</v>
      </c>
      <c r="BR296" s="2">
        <f>IF(AND('Batt IN'!$D$53="Yes",$AL$1&gt;=3),0,IF($C296='Batt IN'!$H$56*12,-'Batt IN'!$F$56,0))</f>
        <v>0</v>
      </c>
      <c r="BS296" s="2">
        <f>IF(AND('Batt IN'!$D$53="Yes",$AL$1&gt;=4),0,IF($C296='Batt IN'!$H$57*12,-'Batt IN'!$F$57,0))</f>
        <v>0</v>
      </c>
      <c r="BT296" s="2">
        <f>IF(AND('Batt IN'!$D$53="Yes",$AL$1&gt;=5),0,IF($C296='Batt IN'!$H$58*12,-'Batt IN'!$F$58,0))</f>
        <v>0</v>
      </c>
      <c r="BU296" s="2">
        <f>-AH296*PVCalcs!F296</f>
        <v>-373.27924071472859</v>
      </c>
      <c r="BV296" s="2">
        <f>-'Batt IN'!$E$47</f>
        <v>-150</v>
      </c>
      <c r="BW296" s="2">
        <f>-'Batt IN'!$E$49</f>
        <v>-2250</v>
      </c>
      <c r="BX296" s="2">
        <f>IF('Batt IN'!$H$50="No",-(BC296*'Batt IN'!$E$50),-(BC296+BE296)*'Batt IN'!$E$50)</f>
        <v>0</v>
      </c>
      <c r="BY296" s="2">
        <f>IF(C296='Batt IN'!$H$43*12,-'Batt IN'!$E$43,0)</f>
        <v>0</v>
      </c>
      <c r="BZ296" s="38"/>
      <c r="CA296" s="10">
        <f t="shared" si="68"/>
        <v>13422.323408333334</v>
      </c>
      <c r="CB296" s="2">
        <f t="shared" si="72"/>
        <v>-3023.2792407147285</v>
      </c>
      <c r="CC296" s="45">
        <f t="shared" si="73"/>
        <v>10399.044167618606</v>
      </c>
      <c r="CD296" s="43"/>
      <c r="CE296" s="2">
        <f t="shared" si="69"/>
        <v>0</v>
      </c>
      <c r="CF296" s="2">
        <f t="shared" si="74"/>
        <v>-3023.2792407147285</v>
      </c>
      <c r="CG296" s="2"/>
      <c r="CH296" s="2">
        <f t="shared" si="75"/>
        <v>-3023.2792407147285</v>
      </c>
      <c r="CI296" s="45">
        <f>-CH296*'Batt IN'!$E$7</f>
        <v>634.88864055009299</v>
      </c>
      <c r="CJ296" s="48"/>
      <c r="CK296" s="45">
        <f>IF('Batt IN'!$F$4="PV Only",0,IF(C296&gt;'Batt IN'!$H$43*12,0,CC296+CI296))</f>
        <v>0</v>
      </c>
      <c r="CM296" s="10">
        <f t="shared" si="76"/>
        <v>0</v>
      </c>
      <c r="CN296" s="2">
        <f>CK296/(1+('Batt IN'!$G$8))^(C296)</f>
        <v>0</v>
      </c>
      <c r="CO296" s="2" t="e">
        <f>IF(C296&lt;='Batt IN'!$O$30*12,CN296+CO295,NA())</f>
        <v>#N/A</v>
      </c>
      <c r="CQ296" s="2">
        <f>CK296/((1+('Batt IN'!$E$8/12))^BattCalcs!C296)</f>
        <v>0</v>
      </c>
      <c r="CS296" s="10">
        <f t="shared" si="77"/>
        <v>-3023.2792407147285</v>
      </c>
      <c r="CT296" s="10">
        <f t="shared" si="78"/>
        <v>0</v>
      </c>
      <c r="CU296" s="10">
        <f t="shared" si="79"/>
        <v>-3023.2792407147285</v>
      </c>
      <c r="CV296" s="10">
        <f t="shared" si="80"/>
        <v>-3023.2792407147285</v>
      </c>
      <c r="CW296" s="2">
        <f t="shared" si="81"/>
        <v>0</v>
      </c>
      <c r="CX296" s="2">
        <f>-(SUM(CV296:CW296)*'PV IN'!$E$8)</f>
        <v>634.88864055009299</v>
      </c>
      <c r="CY296" s="2">
        <f t="shared" si="82"/>
        <v>-2388.3906001646355</v>
      </c>
      <c r="CZ296" s="2">
        <f>IF(C296&lt;='Batt IN'!$H$43*12,CY296/(1+('PV IN'!$G$9))^(C296),0)</f>
        <v>-728.6166241804566</v>
      </c>
      <c r="DA296" s="33">
        <f>IF(C296&lt;='Batt IN'!$H$43*12,AE296,0)</f>
        <v>30366.783333333333</v>
      </c>
    </row>
    <row r="297" spans="1:105" x14ac:dyDescent="0.25">
      <c r="A297">
        <f>IF(C297&lt;='Batt IN'!$H$43*12,C297,"")</f>
        <v>293</v>
      </c>
      <c r="C297">
        <v>293</v>
      </c>
      <c r="D297" s="21">
        <v>730</v>
      </c>
      <c r="E297" s="1">
        <f>1-'Batt IN'!$E$31</f>
        <v>2.0000000000000018E-2</v>
      </c>
      <c r="F297" s="12">
        <f>('Batt IN'!$E$33*365)/8760</f>
        <v>0</v>
      </c>
      <c r="G297" s="22">
        <f>'Batt IN'!$E$32/8760</f>
        <v>5.7077625570776253E-3</v>
      </c>
      <c r="H297" s="22">
        <f>'Batt IN'!$E$13/8760</f>
        <v>5.5936073059360729E-3</v>
      </c>
      <c r="I297" s="23">
        <f>IF(C297&lt;='Batt IN'!$G$14*12,'Batt IN'!$E$15/8760*'Batt IN'!$G$15,0)</f>
        <v>0</v>
      </c>
      <c r="J297" s="12">
        <f>Z297/'Batt IN'!$E$27/730</f>
        <v>2.4999999999999996E-3</v>
      </c>
      <c r="K297" s="23">
        <f>AA297/'Batt IN'!$E$27/730</f>
        <v>1.6027397260273972E-3</v>
      </c>
      <c r="L297" s="23">
        <f>AB297/'Batt IN'!$E$27/730</f>
        <v>2.0547945205479451E-4</v>
      </c>
      <c r="M297" s="23">
        <f>AC297/'Batt IN'!$E$27/730</f>
        <v>4.7945205479452057E-3</v>
      </c>
      <c r="N297" s="23">
        <f>AD297/'Batt IN'!$E$27/730</f>
        <v>3.4246575342465752E-3</v>
      </c>
      <c r="O297" s="12">
        <f t="shared" si="70"/>
        <v>4.3828767123287697E-2</v>
      </c>
      <c r="P297" s="21">
        <f t="shared" si="71"/>
        <v>698.005</v>
      </c>
      <c r="Q297" s="2">
        <f>IF('Batt IN'!$E$27*'Batt IN'!$E$24&lt;='Batt IN'!$E$28,(('Batt IN'!$E$23*'Batt IN'!$E$27*'Batt IN'!$E$24)/1000)*P297,(('Batt IN'!$E$23*'Batt IN'!$E$28*'Batt IN'!$E$24)/1000)*P297)</f>
        <v>11168.08</v>
      </c>
      <c r="R297" s="2"/>
      <c r="S297" s="77">
        <f>IF(C297&lt;='Batt IN'!$G$14*12,'Batt IN'!$E$15/12,0)</f>
        <v>0</v>
      </c>
      <c r="T297" s="77"/>
      <c r="U297" s="80">
        <f>'Batt IN'!$E$28*('Batt IN'!$G$24/24)*730*(1-O297)</f>
        <v>81433.916666666657</v>
      </c>
      <c r="V297" s="78">
        <f>U297*'Batt IN'!$F$30</f>
        <v>16286.783333333333</v>
      </c>
      <c r="W297" s="78">
        <f>'Batt IN'!$E$28*'Batt IN'!$G$32*('Batt IN'!$E$32/12)*(1+'Batt IN'!$F$30)</f>
        <v>1750.0000000000002</v>
      </c>
      <c r="X297" s="78">
        <f>'Batt IN'!$E$28*'Batt IN'!$G$13*('Batt IN'!$E$13/12)*(1+'Batt IN'!$F$30)</f>
        <v>3184.9999999999995</v>
      </c>
      <c r="Y297" s="33">
        <f>S297*'Batt IN'!$G$15*'Batt IN'!$E$28*(1+'Batt IN'!$F$30)</f>
        <v>0</v>
      </c>
      <c r="Z297" s="33">
        <f>'Batt IN'!$G$16*365/12*(1+'Batt IN'!$F$30)</f>
        <v>1824.9999999999998</v>
      </c>
      <c r="AA297" s="33">
        <f>'Batt IN'!$G$17*'Batt IN'!$E$18*'Batt IN'!$G$18/12*(1+'Batt IN'!$F$30)</f>
        <v>1170</v>
      </c>
      <c r="AB297" s="33">
        <f>'Batt IN'!$G$19*'Batt IN'!$E$20*'Batt IN'!$G$20/12*(1+'Batt IN'!$F$30)</f>
        <v>150</v>
      </c>
      <c r="AC297" s="33">
        <f>'Batt IN'!$G$21*(1+'Batt IN'!$F$30)/12</f>
        <v>3500</v>
      </c>
      <c r="AD297" s="33">
        <f>'Batt IN'!$G$22*(1+'Batt IN'!$F$30)/12</f>
        <v>2500</v>
      </c>
      <c r="AE297" s="33">
        <f t="shared" si="83"/>
        <v>30366.783333333333</v>
      </c>
      <c r="AF297" s="33">
        <f>IF('PV IN'!$F$4="Battery Only",0,AE297*'Batt IN'!$E$29)</f>
        <v>25811.765833333331</v>
      </c>
      <c r="AG297" s="33">
        <f>PVCalcs!L297</f>
        <v>25811.765833333331</v>
      </c>
      <c r="AH297" s="33">
        <f t="shared" si="84"/>
        <v>4555.0175000000017</v>
      </c>
      <c r="AI297" s="33"/>
      <c r="AJ297" s="2">
        <f>IF(AND('Batt IN'!$D$53="Yes",$AL$1&gt;=1),IF($C297='Batt IN'!$H$54*12,-'Batt IN'!$F$54,0),0)</f>
        <v>0</v>
      </c>
      <c r="AK297" s="2">
        <f>IF(AND('Batt IN'!$D$53="Yes",$AL$1&gt;=2),IF($C297='Batt IN'!$H$55*12,-'Batt IN'!$F$55,0),0)</f>
        <v>0</v>
      </c>
      <c r="AL297" s="2">
        <f>IF(AND('Batt IN'!$D$53="Yes",$AL$1&gt;=3),IF($C297='Batt IN'!$H$56*12,-'Batt IN'!$F$56,0),0)</f>
        <v>0</v>
      </c>
      <c r="AM297" s="2">
        <f>IF(AND('Batt IN'!$D$53="Yes",$AL$1&gt;=4),IF($C297='Batt IN'!$H$57*12,-'Batt IN'!$F$57,0),0)</f>
        <v>0</v>
      </c>
      <c r="AN297" s="2">
        <f>IF(AND('Batt IN'!$D$53="Yes",$AL$1&gt;=5),IF($C297='Batt IN'!$H$58*12,-'Batt IN'!$F$58,0),0)</f>
        <v>0</v>
      </c>
      <c r="AO297" s="10">
        <f>IF(AND('Batt IN'!$D$44="YES",$C297&lt;='Batt IN'!$E$44*12),-'Batt IN'!$E$28*'Batt IN'!$E$42/12,0)</f>
        <v>0</v>
      </c>
      <c r="AP297" s="10">
        <f>IF(AND('Batt IN'!$D$46="YES",$C297&lt;='Batt IN'!$E$46*12),-'Batt IN'!$E$28*'Batt IN'!$E$45/12,0)</f>
        <v>0</v>
      </c>
      <c r="AR297" s="10">
        <f>BattLoan!M324</f>
        <v>0</v>
      </c>
      <c r="AS297" s="10">
        <f>'Batt IN'!$G$16*365/12*'Batt IN'!$E$16</f>
        <v>76.041666666666671</v>
      </c>
      <c r="AT297" s="10">
        <f>IF(AND('Batt IN'!$E$18&gt;0,'Batt IN'!$G$18&gt;0),'Batt IN'!$E$17*'Batt IN'!$G$17,0)</f>
        <v>119.44619999999999</v>
      </c>
      <c r="AU297" s="10">
        <f>IF(AND('Batt IN'!$E$20&gt;0,'Batt IN'!$G$20&gt;0),'Batt IN'!$E$19*'Batt IN'!$G$19,0)</f>
        <v>231</v>
      </c>
      <c r="AV297" s="10"/>
      <c r="AW297" s="10"/>
      <c r="AX297" s="10">
        <f>IF('Batt IN'!$E$11="Non-Taxable",Q297,0)</f>
        <v>11168.08</v>
      </c>
      <c r="AY297" s="10">
        <f>IF('Batt IN'!$E$11="Non-Taxable",'Batt IN'!$E$28/1000*'Batt IN'!$G$13*('Batt IN'!$E$13/12)*'Batt IN'!$E$12,0)</f>
        <v>244.42220833333334</v>
      </c>
      <c r="AZ297" s="10">
        <f>IF('Batt IN'!$E$11="Non-Taxable",$S297*'Batt IN'!$G$15*'Batt IN'!$E$28*'Batt IN'!$E$14/1000,0)</f>
        <v>0</v>
      </c>
      <c r="BA297" s="10">
        <f>IF('Batt IN'!$E$11="Non-Taxable",'Batt IN'!$E$21*'Batt IN'!$G$21/12,0)</f>
        <v>437.5</v>
      </c>
      <c r="BB297" s="10">
        <f>IF('Batt IN'!$E$11="Non-Taxable",'Batt IN'!$E$22*'Batt IN'!$G$22/12,0)</f>
        <v>1145.8333333333335</v>
      </c>
      <c r="BC297" s="10">
        <f>IF('Batt IN'!$E$11="Taxable",Q297,0)</f>
        <v>0</v>
      </c>
      <c r="BD297" s="10">
        <f>IF('Batt IN'!$E$11="Taxable",'Batt IN'!$E$28/1000*'Batt IN'!$G$13*('Batt IN'!$E$13/12)*'Batt IN'!$E$12,0)</f>
        <v>0</v>
      </c>
      <c r="BE297" s="10">
        <f>IF('Batt IN'!$E$11="Taxable",$S297*'Batt IN'!$G$15*'Batt IN'!$E$28*'Batt IN'!$E$14/1000,0)</f>
        <v>0</v>
      </c>
      <c r="BF297" s="10">
        <f>IF('Batt IN'!$E$11="Taxable",'Batt IN'!$E$21*'Batt IN'!$G$21/12,0)</f>
        <v>0</v>
      </c>
      <c r="BG297" s="10">
        <f>IF('Batt IN'!$E$11="Taxable",'Batt IN'!$E$22*'Batt IN'!$G$22/12,0)</f>
        <v>0</v>
      </c>
      <c r="BK297" s="10">
        <f>IF('Batt IN'!$N$18="Yes",-BattLoan!H325,-BattLoan!L325)</f>
        <v>0</v>
      </c>
      <c r="BL297" s="10">
        <f>IF('Batt IN'!$N$18="Yes",-BattLoan!F325,0)</f>
        <v>0</v>
      </c>
      <c r="BM297" s="10">
        <f>IF(AND('Batt IN'!$D$44="YES",$C297&lt;='Batt IN'!$E$44*12),0,-'Batt IN'!$E$28*'Batt IN'!$E$42/12)</f>
        <v>-83.333333333333329</v>
      </c>
      <c r="BN297" s="10">
        <f>IF(AND('Batt IN'!$D$46="YES",$C297&lt;='Batt IN'!$E$46*12),0,-'Batt IN'!$E$28*'Batt IN'!$E$45/12)</f>
        <v>-166.66666666666666</v>
      </c>
      <c r="BO297" s="2">
        <f>IF(AND('Batt IN'!$D$41="YES",BattCalcs!C297=ROUNDUP('Batt IN'!$H$41*12,)),-'Batt IN'!$E$41*'Batt IN'!$E$28,0)</f>
        <v>0</v>
      </c>
      <c r="BP297" s="2">
        <f>IF(AND('Batt IN'!$D$53="Yes",$AL$1&gt;=1),0,IF($C297='Batt IN'!$H$54*12,-'Batt IN'!$F$54,0))</f>
        <v>0</v>
      </c>
      <c r="BQ297" s="2">
        <f>IF(AND('Batt IN'!$D$53="Yes",$AL$1&gt;=2),0,IF($C297='Batt IN'!$H$55*12,-'Batt IN'!$F$55,0))</f>
        <v>0</v>
      </c>
      <c r="BR297" s="2">
        <f>IF(AND('Batt IN'!$D$53="Yes",$AL$1&gt;=3),0,IF($C297='Batt IN'!$H$56*12,-'Batt IN'!$F$56,0))</f>
        <v>0</v>
      </c>
      <c r="BS297" s="2">
        <f>IF(AND('Batt IN'!$D$53="Yes",$AL$1&gt;=4),0,IF($C297='Batt IN'!$H$57*12,-'Batt IN'!$F$57,0))</f>
        <v>0</v>
      </c>
      <c r="BT297" s="2">
        <f>IF(AND('Batt IN'!$D$53="Yes",$AL$1&gt;=5),0,IF($C297='Batt IN'!$H$58*12,-'Batt IN'!$F$58,0))</f>
        <v>0</v>
      </c>
      <c r="BU297" s="2">
        <f>-AH297*PVCalcs!F297</f>
        <v>-373.27924071472859</v>
      </c>
      <c r="BV297" s="2">
        <f>-'Batt IN'!$E$47</f>
        <v>-150</v>
      </c>
      <c r="BW297" s="2">
        <f>-'Batt IN'!$E$49</f>
        <v>-2250</v>
      </c>
      <c r="BX297" s="2">
        <f>IF('Batt IN'!$H$50="No",-(BC297*'Batt IN'!$E$50),-(BC297+BE297)*'Batt IN'!$E$50)</f>
        <v>0</v>
      </c>
      <c r="BY297" s="2">
        <f>IF(C297='Batt IN'!$H$43*12,-'Batt IN'!$E$43,0)</f>
        <v>0</v>
      </c>
      <c r="BZ297" s="38"/>
      <c r="CA297" s="10">
        <f t="shared" si="68"/>
        <v>13422.323408333334</v>
      </c>
      <c r="CB297" s="2">
        <f t="shared" si="72"/>
        <v>-3023.2792407147285</v>
      </c>
      <c r="CC297" s="45">
        <f t="shared" si="73"/>
        <v>10399.044167618606</v>
      </c>
      <c r="CD297" s="43"/>
      <c r="CE297" s="2">
        <f t="shared" si="69"/>
        <v>0</v>
      </c>
      <c r="CF297" s="2">
        <f t="shared" si="74"/>
        <v>-3023.2792407147285</v>
      </c>
      <c r="CG297" s="2"/>
      <c r="CH297" s="2">
        <f t="shared" si="75"/>
        <v>-3023.2792407147285</v>
      </c>
      <c r="CI297" s="45">
        <f>-CH297*'Batt IN'!$E$7</f>
        <v>634.88864055009299</v>
      </c>
      <c r="CJ297" s="48"/>
      <c r="CK297" s="45">
        <f>IF('Batt IN'!$F$4="PV Only",0,IF(C297&gt;'Batt IN'!$H$43*12,0,CC297+CI297))</f>
        <v>0</v>
      </c>
      <c r="CM297" s="10">
        <f t="shared" si="76"/>
        <v>0</v>
      </c>
      <c r="CN297" s="2">
        <f>CK297/(1+('Batt IN'!$G$8))^(C297)</f>
        <v>0</v>
      </c>
      <c r="CO297" s="2" t="e">
        <f>IF(C297&lt;='Batt IN'!$O$30*12,CN297+CO296,NA())</f>
        <v>#N/A</v>
      </c>
      <c r="CQ297" s="2">
        <f>CK297/((1+('Batt IN'!$E$8/12))^BattCalcs!C297)</f>
        <v>0</v>
      </c>
      <c r="CS297" s="10">
        <f t="shared" si="77"/>
        <v>-3023.2792407147285</v>
      </c>
      <c r="CT297" s="10">
        <f t="shared" si="78"/>
        <v>0</v>
      </c>
      <c r="CU297" s="10">
        <f t="shared" si="79"/>
        <v>-3023.2792407147285</v>
      </c>
      <c r="CV297" s="10">
        <f t="shared" si="80"/>
        <v>-3023.2792407147285</v>
      </c>
      <c r="CW297" s="2">
        <f t="shared" si="81"/>
        <v>0</v>
      </c>
      <c r="CX297" s="2">
        <f>-(SUM(CV297:CW297)*'PV IN'!$E$8)</f>
        <v>634.88864055009299</v>
      </c>
      <c r="CY297" s="2">
        <f t="shared" si="82"/>
        <v>-2388.3906001646355</v>
      </c>
      <c r="CZ297" s="2">
        <f>IF(C297&lt;='Batt IN'!$H$43*12,CY297/(1+('PV IN'!$G$9))^(C297),0)</f>
        <v>-725.66019472229175</v>
      </c>
      <c r="DA297" s="33">
        <f>IF(C297&lt;='Batt IN'!$H$43*12,AE297,0)</f>
        <v>30366.783333333333</v>
      </c>
    </row>
    <row r="298" spans="1:105" x14ac:dyDescent="0.25">
      <c r="A298">
        <f>IF(C298&lt;='Batt IN'!$H$43*12,C298,"")</f>
        <v>294</v>
      </c>
      <c r="C298">
        <v>294</v>
      </c>
      <c r="D298" s="21">
        <v>730</v>
      </c>
      <c r="E298" s="1">
        <f>1-'Batt IN'!$E$31</f>
        <v>2.0000000000000018E-2</v>
      </c>
      <c r="F298" s="12">
        <f>('Batt IN'!$E$33*365)/8760</f>
        <v>0</v>
      </c>
      <c r="G298" s="22">
        <f>'Batt IN'!$E$32/8760</f>
        <v>5.7077625570776253E-3</v>
      </c>
      <c r="H298" s="22">
        <f>'Batt IN'!$E$13/8760</f>
        <v>5.5936073059360729E-3</v>
      </c>
      <c r="I298" s="23">
        <f>IF(C298&lt;='Batt IN'!$G$14*12,'Batt IN'!$E$15/8760*'Batt IN'!$G$15,0)</f>
        <v>0</v>
      </c>
      <c r="J298" s="12">
        <f>Z298/'Batt IN'!$E$27/730</f>
        <v>2.4999999999999996E-3</v>
      </c>
      <c r="K298" s="23">
        <f>AA298/'Batt IN'!$E$27/730</f>
        <v>1.6027397260273972E-3</v>
      </c>
      <c r="L298" s="23">
        <f>AB298/'Batt IN'!$E$27/730</f>
        <v>2.0547945205479451E-4</v>
      </c>
      <c r="M298" s="23">
        <f>AC298/'Batt IN'!$E$27/730</f>
        <v>4.7945205479452057E-3</v>
      </c>
      <c r="N298" s="23">
        <f>AD298/'Batt IN'!$E$27/730</f>
        <v>3.4246575342465752E-3</v>
      </c>
      <c r="O298" s="12">
        <f t="shared" si="70"/>
        <v>4.3828767123287697E-2</v>
      </c>
      <c r="P298" s="21">
        <f t="shared" si="71"/>
        <v>698.005</v>
      </c>
      <c r="Q298" s="2">
        <f>IF('Batt IN'!$E$27*'Batt IN'!$E$24&lt;='Batt IN'!$E$28,(('Batt IN'!$E$23*'Batt IN'!$E$27*'Batt IN'!$E$24)/1000)*P298,(('Batt IN'!$E$23*'Batt IN'!$E$28*'Batt IN'!$E$24)/1000)*P298)</f>
        <v>11168.08</v>
      </c>
      <c r="R298" s="2"/>
      <c r="S298" s="77">
        <f>IF(C298&lt;='Batt IN'!$G$14*12,'Batt IN'!$E$15/12,0)</f>
        <v>0</v>
      </c>
      <c r="T298" s="77"/>
      <c r="U298" s="80">
        <f>'Batt IN'!$E$28*('Batt IN'!$G$24/24)*730*(1-O298)</f>
        <v>81433.916666666657</v>
      </c>
      <c r="V298" s="78">
        <f>U298*'Batt IN'!$F$30</f>
        <v>16286.783333333333</v>
      </c>
      <c r="W298" s="78">
        <f>'Batt IN'!$E$28*'Batt IN'!$G$32*('Batt IN'!$E$32/12)*(1+'Batt IN'!$F$30)</f>
        <v>1750.0000000000002</v>
      </c>
      <c r="X298" s="78">
        <f>'Batt IN'!$E$28*'Batt IN'!$G$13*('Batt IN'!$E$13/12)*(1+'Batt IN'!$F$30)</f>
        <v>3184.9999999999995</v>
      </c>
      <c r="Y298" s="33">
        <f>S298*'Batt IN'!$G$15*'Batt IN'!$E$28*(1+'Batt IN'!$F$30)</f>
        <v>0</v>
      </c>
      <c r="Z298" s="33">
        <f>'Batt IN'!$G$16*365/12*(1+'Batt IN'!$F$30)</f>
        <v>1824.9999999999998</v>
      </c>
      <c r="AA298" s="33">
        <f>'Batt IN'!$G$17*'Batt IN'!$E$18*'Batt IN'!$G$18/12*(1+'Batt IN'!$F$30)</f>
        <v>1170</v>
      </c>
      <c r="AB298" s="33">
        <f>'Batt IN'!$G$19*'Batt IN'!$E$20*'Batt IN'!$G$20/12*(1+'Batt IN'!$F$30)</f>
        <v>150</v>
      </c>
      <c r="AC298" s="33">
        <f>'Batt IN'!$G$21*(1+'Batt IN'!$F$30)/12</f>
        <v>3500</v>
      </c>
      <c r="AD298" s="33">
        <f>'Batt IN'!$G$22*(1+'Batt IN'!$F$30)/12</f>
        <v>2500</v>
      </c>
      <c r="AE298" s="33">
        <f t="shared" si="83"/>
        <v>30366.783333333333</v>
      </c>
      <c r="AF298" s="33">
        <f>IF('PV IN'!$F$4="Battery Only",0,AE298*'Batt IN'!$E$29)</f>
        <v>25811.765833333331</v>
      </c>
      <c r="AG298" s="33">
        <f>PVCalcs!L298</f>
        <v>25811.765833333331</v>
      </c>
      <c r="AH298" s="33">
        <f t="shared" si="84"/>
        <v>4555.0175000000017</v>
      </c>
      <c r="AI298" s="33"/>
      <c r="AJ298" s="2">
        <f>IF(AND('Batt IN'!$D$53="Yes",$AL$1&gt;=1),IF($C298='Batt IN'!$H$54*12,-'Batt IN'!$F$54,0),0)</f>
        <v>0</v>
      </c>
      <c r="AK298" s="2">
        <f>IF(AND('Batt IN'!$D$53="Yes",$AL$1&gt;=2),IF($C298='Batt IN'!$H$55*12,-'Batt IN'!$F$55,0),0)</f>
        <v>0</v>
      </c>
      <c r="AL298" s="2">
        <f>IF(AND('Batt IN'!$D$53="Yes",$AL$1&gt;=3),IF($C298='Batt IN'!$H$56*12,-'Batt IN'!$F$56,0),0)</f>
        <v>0</v>
      </c>
      <c r="AM298" s="2">
        <f>IF(AND('Batt IN'!$D$53="Yes",$AL$1&gt;=4),IF($C298='Batt IN'!$H$57*12,-'Batt IN'!$F$57,0),0)</f>
        <v>0</v>
      </c>
      <c r="AN298" s="2">
        <f>IF(AND('Batt IN'!$D$53="Yes",$AL$1&gt;=5),IF($C298='Batt IN'!$H$58*12,-'Batt IN'!$F$58,0),0)</f>
        <v>0</v>
      </c>
      <c r="AO298" s="10">
        <f>IF(AND('Batt IN'!$D$44="YES",$C298&lt;='Batt IN'!$E$44*12),-'Batt IN'!$E$28*'Batt IN'!$E$42/12,0)</f>
        <v>0</v>
      </c>
      <c r="AP298" s="10">
        <f>IF(AND('Batt IN'!$D$46="YES",$C298&lt;='Batt IN'!$E$46*12),-'Batt IN'!$E$28*'Batt IN'!$E$45/12,0)</f>
        <v>0</v>
      </c>
      <c r="AR298" s="10">
        <f>BattLoan!M325</f>
        <v>0</v>
      </c>
      <c r="AS298" s="10">
        <f>'Batt IN'!$G$16*365/12*'Batt IN'!$E$16</f>
        <v>76.041666666666671</v>
      </c>
      <c r="AT298" s="10">
        <f>IF(AND('Batt IN'!$E$18&gt;0,'Batt IN'!$G$18&gt;0),'Batt IN'!$E$17*'Batt IN'!$G$17,0)</f>
        <v>119.44619999999999</v>
      </c>
      <c r="AU298" s="10">
        <f>IF(AND('Batt IN'!$E$20&gt;0,'Batt IN'!$G$20&gt;0),'Batt IN'!$E$19*'Batt IN'!$G$19,0)</f>
        <v>231</v>
      </c>
      <c r="AV298" s="10"/>
      <c r="AW298" s="10"/>
      <c r="AX298" s="10">
        <f>IF('Batt IN'!$E$11="Non-Taxable",Q298,0)</f>
        <v>11168.08</v>
      </c>
      <c r="AY298" s="10">
        <f>IF('Batt IN'!$E$11="Non-Taxable",'Batt IN'!$E$28/1000*'Batt IN'!$G$13*('Batt IN'!$E$13/12)*'Batt IN'!$E$12,0)</f>
        <v>244.42220833333334</v>
      </c>
      <c r="AZ298" s="10">
        <f>IF('Batt IN'!$E$11="Non-Taxable",$S298*'Batt IN'!$G$15*'Batt IN'!$E$28*'Batt IN'!$E$14/1000,0)</f>
        <v>0</v>
      </c>
      <c r="BA298" s="10">
        <f>IF('Batt IN'!$E$11="Non-Taxable",'Batt IN'!$E$21*'Batt IN'!$G$21/12,0)</f>
        <v>437.5</v>
      </c>
      <c r="BB298" s="10">
        <f>IF('Batt IN'!$E$11="Non-Taxable",'Batt IN'!$E$22*'Batt IN'!$G$22/12,0)</f>
        <v>1145.8333333333335</v>
      </c>
      <c r="BC298" s="10">
        <f>IF('Batt IN'!$E$11="Taxable",Q298,0)</f>
        <v>0</v>
      </c>
      <c r="BD298" s="10">
        <f>IF('Batt IN'!$E$11="Taxable",'Batt IN'!$E$28/1000*'Batt IN'!$G$13*('Batt IN'!$E$13/12)*'Batt IN'!$E$12,0)</f>
        <v>0</v>
      </c>
      <c r="BE298" s="10">
        <f>IF('Batt IN'!$E$11="Taxable",$S298*'Batt IN'!$G$15*'Batt IN'!$E$28*'Batt IN'!$E$14/1000,0)</f>
        <v>0</v>
      </c>
      <c r="BF298" s="10">
        <f>IF('Batt IN'!$E$11="Taxable",'Batt IN'!$E$21*'Batt IN'!$G$21/12,0)</f>
        <v>0</v>
      </c>
      <c r="BG298" s="10">
        <f>IF('Batt IN'!$E$11="Taxable",'Batt IN'!$E$22*'Batt IN'!$G$22/12,0)</f>
        <v>0</v>
      </c>
      <c r="BK298" s="10">
        <f>IF('Batt IN'!$N$18="Yes",-BattLoan!H326,-BattLoan!L326)</f>
        <v>0</v>
      </c>
      <c r="BL298" s="10">
        <f>IF('Batt IN'!$N$18="Yes",-BattLoan!F326,0)</f>
        <v>0</v>
      </c>
      <c r="BM298" s="10">
        <f>IF(AND('Batt IN'!$D$44="YES",$C298&lt;='Batt IN'!$E$44*12),0,-'Batt IN'!$E$28*'Batt IN'!$E$42/12)</f>
        <v>-83.333333333333329</v>
      </c>
      <c r="BN298" s="10">
        <f>IF(AND('Batt IN'!$D$46="YES",$C298&lt;='Batt IN'!$E$46*12),0,-'Batt IN'!$E$28*'Batt IN'!$E$45/12)</f>
        <v>-166.66666666666666</v>
      </c>
      <c r="BO298" s="2">
        <f>IF(AND('Batt IN'!$D$41="YES",BattCalcs!C298=ROUNDUP('Batt IN'!$H$41*12,)),-'Batt IN'!$E$41*'Batt IN'!$E$28,0)</f>
        <v>0</v>
      </c>
      <c r="BP298" s="2">
        <f>IF(AND('Batt IN'!$D$53="Yes",$AL$1&gt;=1),0,IF($C298='Batt IN'!$H$54*12,-'Batt IN'!$F$54,0))</f>
        <v>0</v>
      </c>
      <c r="BQ298" s="2">
        <f>IF(AND('Batt IN'!$D$53="Yes",$AL$1&gt;=2),0,IF($C298='Batt IN'!$H$55*12,-'Batt IN'!$F$55,0))</f>
        <v>0</v>
      </c>
      <c r="BR298" s="2">
        <f>IF(AND('Batt IN'!$D$53="Yes",$AL$1&gt;=3),0,IF($C298='Batt IN'!$H$56*12,-'Batt IN'!$F$56,0))</f>
        <v>0</v>
      </c>
      <c r="BS298" s="2">
        <f>IF(AND('Batt IN'!$D$53="Yes",$AL$1&gt;=4),0,IF($C298='Batt IN'!$H$57*12,-'Batt IN'!$F$57,0))</f>
        <v>0</v>
      </c>
      <c r="BT298" s="2">
        <f>IF(AND('Batt IN'!$D$53="Yes",$AL$1&gt;=5),0,IF($C298='Batt IN'!$H$58*12,-'Batt IN'!$F$58,0))</f>
        <v>0</v>
      </c>
      <c r="BU298" s="2">
        <f>-AH298*PVCalcs!F298</f>
        <v>-373.27924071472859</v>
      </c>
      <c r="BV298" s="2">
        <f>-'Batt IN'!$E$47</f>
        <v>-150</v>
      </c>
      <c r="BW298" s="2">
        <f>-'Batt IN'!$E$49</f>
        <v>-2250</v>
      </c>
      <c r="BX298" s="2">
        <f>IF('Batt IN'!$H$50="No",-(BC298*'Batt IN'!$E$50),-(BC298+BE298)*'Batt IN'!$E$50)</f>
        <v>0</v>
      </c>
      <c r="BY298" s="2">
        <f>IF(C298='Batt IN'!$H$43*12,-'Batt IN'!$E$43,0)</f>
        <v>0</v>
      </c>
      <c r="BZ298" s="38"/>
      <c r="CA298" s="10">
        <f t="shared" si="68"/>
        <v>13422.323408333334</v>
      </c>
      <c r="CB298" s="2">
        <f t="shared" si="72"/>
        <v>-3023.2792407147285</v>
      </c>
      <c r="CC298" s="45">
        <f t="shared" si="73"/>
        <v>10399.044167618606</v>
      </c>
      <c r="CD298" s="43"/>
      <c r="CE298" s="2">
        <f t="shared" si="69"/>
        <v>0</v>
      </c>
      <c r="CF298" s="2">
        <f t="shared" si="74"/>
        <v>-3023.2792407147285</v>
      </c>
      <c r="CG298" s="2"/>
      <c r="CH298" s="2">
        <f t="shared" si="75"/>
        <v>-3023.2792407147285</v>
      </c>
      <c r="CI298" s="45">
        <f>-CH298*'Batt IN'!$E$7</f>
        <v>634.88864055009299</v>
      </c>
      <c r="CJ298" s="48"/>
      <c r="CK298" s="45">
        <f>IF('Batt IN'!$F$4="PV Only",0,IF(C298&gt;'Batt IN'!$H$43*12,0,CC298+CI298))</f>
        <v>0</v>
      </c>
      <c r="CM298" s="10">
        <f t="shared" si="76"/>
        <v>0</v>
      </c>
      <c r="CN298" s="2">
        <f>CK298/(1+('Batt IN'!$G$8))^(C298)</f>
        <v>0</v>
      </c>
      <c r="CO298" s="2" t="e">
        <f>IF(C298&lt;='Batt IN'!$O$30*12,CN298+CO297,NA())</f>
        <v>#N/A</v>
      </c>
      <c r="CQ298" s="2">
        <f>CK298/((1+('Batt IN'!$E$8/12))^BattCalcs!C298)</f>
        <v>0</v>
      </c>
      <c r="CS298" s="10">
        <f t="shared" si="77"/>
        <v>-3023.2792407147285</v>
      </c>
      <c r="CT298" s="10">
        <f t="shared" si="78"/>
        <v>0</v>
      </c>
      <c r="CU298" s="10">
        <f t="shared" si="79"/>
        <v>-3023.2792407147285</v>
      </c>
      <c r="CV298" s="10">
        <f t="shared" si="80"/>
        <v>-3023.2792407147285</v>
      </c>
      <c r="CW298" s="2">
        <f t="shared" si="81"/>
        <v>0</v>
      </c>
      <c r="CX298" s="2">
        <f>-(SUM(CV298:CW298)*'PV IN'!$E$8)</f>
        <v>634.88864055009299</v>
      </c>
      <c r="CY298" s="2">
        <f t="shared" si="82"/>
        <v>-2388.3906001646355</v>
      </c>
      <c r="CZ298" s="2">
        <f>IF(C298&lt;='Batt IN'!$H$43*12,CY298/(1+('PV IN'!$G$9))^(C298),0)</f>
        <v>-722.71576125056333</v>
      </c>
      <c r="DA298" s="33">
        <f>IF(C298&lt;='Batt IN'!$H$43*12,AE298,0)</f>
        <v>30366.783333333333</v>
      </c>
    </row>
    <row r="299" spans="1:105" x14ac:dyDescent="0.25">
      <c r="A299">
        <f>IF(C299&lt;='Batt IN'!$H$43*12,C299,"")</f>
        <v>295</v>
      </c>
      <c r="C299">
        <v>295</v>
      </c>
      <c r="D299" s="21">
        <v>730</v>
      </c>
      <c r="E299" s="1">
        <f>1-'Batt IN'!$E$31</f>
        <v>2.0000000000000018E-2</v>
      </c>
      <c r="F299" s="12">
        <f>('Batt IN'!$E$33*365)/8760</f>
        <v>0</v>
      </c>
      <c r="G299" s="22">
        <f>'Batt IN'!$E$32/8760</f>
        <v>5.7077625570776253E-3</v>
      </c>
      <c r="H299" s="22">
        <f>'Batt IN'!$E$13/8760</f>
        <v>5.5936073059360729E-3</v>
      </c>
      <c r="I299" s="23">
        <f>IF(C299&lt;='Batt IN'!$G$14*12,'Batt IN'!$E$15/8760*'Batt IN'!$G$15,0)</f>
        <v>0</v>
      </c>
      <c r="J299" s="12">
        <f>Z299/'Batt IN'!$E$27/730</f>
        <v>2.4999999999999996E-3</v>
      </c>
      <c r="K299" s="23">
        <f>AA299/'Batt IN'!$E$27/730</f>
        <v>1.6027397260273972E-3</v>
      </c>
      <c r="L299" s="23">
        <f>AB299/'Batt IN'!$E$27/730</f>
        <v>2.0547945205479451E-4</v>
      </c>
      <c r="M299" s="23">
        <f>AC299/'Batt IN'!$E$27/730</f>
        <v>4.7945205479452057E-3</v>
      </c>
      <c r="N299" s="23">
        <f>AD299/'Batt IN'!$E$27/730</f>
        <v>3.4246575342465752E-3</v>
      </c>
      <c r="O299" s="12">
        <f t="shared" si="70"/>
        <v>4.3828767123287697E-2</v>
      </c>
      <c r="P299" s="21">
        <f t="shared" si="71"/>
        <v>698.005</v>
      </c>
      <c r="Q299" s="2">
        <f>IF('Batt IN'!$E$27*'Batt IN'!$E$24&lt;='Batt IN'!$E$28,(('Batt IN'!$E$23*'Batt IN'!$E$27*'Batt IN'!$E$24)/1000)*P299,(('Batt IN'!$E$23*'Batt IN'!$E$28*'Batt IN'!$E$24)/1000)*P299)</f>
        <v>11168.08</v>
      </c>
      <c r="R299" s="2"/>
      <c r="S299" s="77">
        <f>IF(C299&lt;='Batt IN'!$G$14*12,'Batt IN'!$E$15/12,0)</f>
        <v>0</v>
      </c>
      <c r="T299" s="77"/>
      <c r="U299" s="80">
        <f>'Batt IN'!$E$28*('Batt IN'!$G$24/24)*730*(1-O299)</f>
        <v>81433.916666666657</v>
      </c>
      <c r="V299" s="78">
        <f>U299*'Batt IN'!$F$30</f>
        <v>16286.783333333333</v>
      </c>
      <c r="W299" s="78">
        <f>'Batt IN'!$E$28*'Batt IN'!$G$32*('Batt IN'!$E$32/12)*(1+'Batt IN'!$F$30)</f>
        <v>1750.0000000000002</v>
      </c>
      <c r="X299" s="78">
        <f>'Batt IN'!$E$28*'Batt IN'!$G$13*('Batt IN'!$E$13/12)*(1+'Batt IN'!$F$30)</f>
        <v>3184.9999999999995</v>
      </c>
      <c r="Y299" s="33">
        <f>S299*'Batt IN'!$G$15*'Batt IN'!$E$28*(1+'Batt IN'!$F$30)</f>
        <v>0</v>
      </c>
      <c r="Z299" s="33">
        <f>'Batt IN'!$G$16*365/12*(1+'Batt IN'!$F$30)</f>
        <v>1824.9999999999998</v>
      </c>
      <c r="AA299" s="33">
        <f>'Batt IN'!$G$17*'Batt IN'!$E$18*'Batt IN'!$G$18/12*(1+'Batt IN'!$F$30)</f>
        <v>1170</v>
      </c>
      <c r="AB299" s="33">
        <f>'Batt IN'!$G$19*'Batt IN'!$E$20*'Batt IN'!$G$20/12*(1+'Batt IN'!$F$30)</f>
        <v>150</v>
      </c>
      <c r="AC299" s="33">
        <f>'Batt IN'!$G$21*(1+'Batt IN'!$F$30)/12</f>
        <v>3500</v>
      </c>
      <c r="AD299" s="33">
        <f>'Batt IN'!$G$22*(1+'Batt IN'!$F$30)/12</f>
        <v>2500</v>
      </c>
      <c r="AE299" s="33">
        <f t="shared" si="83"/>
        <v>30366.783333333333</v>
      </c>
      <c r="AF299" s="33">
        <f>IF('PV IN'!$F$4="Battery Only",0,AE299*'Batt IN'!$E$29)</f>
        <v>25811.765833333331</v>
      </c>
      <c r="AG299" s="33">
        <f>PVCalcs!L299</f>
        <v>25811.765833333331</v>
      </c>
      <c r="AH299" s="33">
        <f t="shared" si="84"/>
        <v>4555.0175000000017</v>
      </c>
      <c r="AI299" s="33"/>
      <c r="AJ299" s="2">
        <f>IF(AND('Batt IN'!$D$53="Yes",$AL$1&gt;=1),IF($C299='Batt IN'!$H$54*12,-'Batt IN'!$F$54,0),0)</f>
        <v>0</v>
      </c>
      <c r="AK299" s="2">
        <f>IF(AND('Batt IN'!$D$53="Yes",$AL$1&gt;=2),IF($C299='Batt IN'!$H$55*12,-'Batt IN'!$F$55,0),0)</f>
        <v>0</v>
      </c>
      <c r="AL299" s="2">
        <f>IF(AND('Batt IN'!$D$53="Yes",$AL$1&gt;=3),IF($C299='Batt IN'!$H$56*12,-'Batt IN'!$F$56,0),0)</f>
        <v>0</v>
      </c>
      <c r="AM299" s="2">
        <f>IF(AND('Batt IN'!$D$53="Yes",$AL$1&gt;=4),IF($C299='Batt IN'!$H$57*12,-'Batt IN'!$F$57,0),0)</f>
        <v>0</v>
      </c>
      <c r="AN299" s="2">
        <f>IF(AND('Batt IN'!$D$53="Yes",$AL$1&gt;=5),IF($C299='Batt IN'!$H$58*12,-'Batt IN'!$F$58,0),0)</f>
        <v>0</v>
      </c>
      <c r="AO299" s="10">
        <f>IF(AND('Batt IN'!$D$44="YES",$C299&lt;='Batt IN'!$E$44*12),-'Batt IN'!$E$28*'Batt IN'!$E$42/12,0)</f>
        <v>0</v>
      </c>
      <c r="AP299" s="10">
        <f>IF(AND('Batt IN'!$D$46="YES",$C299&lt;='Batt IN'!$E$46*12),-'Batt IN'!$E$28*'Batt IN'!$E$45/12,0)</f>
        <v>0</v>
      </c>
      <c r="AR299" s="10">
        <f>BattLoan!M326</f>
        <v>0</v>
      </c>
      <c r="AS299" s="10">
        <f>'Batt IN'!$G$16*365/12*'Batt IN'!$E$16</f>
        <v>76.041666666666671</v>
      </c>
      <c r="AT299" s="10">
        <f>IF(AND('Batt IN'!$E$18&gt;0,'Batt IN'!$G$18&gt;0),'Batt IN'!$E$17*'Batt IN'!$G$17,0)</f>
        <v>119.44619999999999</v>
      </c>
      <c r="AU299" s="10">
        <f>IF(AND('Batt IN'!$E$20&gt;0,'Batt IN'!$G$20&gt;0),'Batt IN'!$E$19*'Batt IN'!$G$19,0)</f>
        <v>231</v>
      </c>
      <c r="AV299" s="10"/>
      <c r="AW299" s="10"/>
      <c r="AX299" s="10">
        <f>IF('Batt IN'!$E$11="Non-Taxable",Q299,0)</f>
        <v>11168.08</v>
      </c>
      <c r="AY299" s="10">
        <f>IF('Batt IN'!$E$11="Non-Taxable",'Batt IN'!$E$28/1000*'Batt IN'!$G$13*('Batt IN'!$E$13/12)*'Batt IN'!$E$12,0)</f>
        <v>244.42220833333334</v>
      </c>
      <c r="AZ299" s="10">
        <f>IF('Batt IN'!$E$11="Non-Taxable",$S299*'Batt IN'!$G$15*'Batt IN'!$E$28*'Batt IN'!$E$14/1000,0)</f>
        <v>0</v>
      </c>
      <c r="BA299" s="10">
        <f>IF('Batt IN'!$E$11="Non-Taxable",'Batt IN'!$E$21*'Batt IN'!$G$21/12,0)</f>
        <v>437.5</v>
      </c>
      <c r="BB299" s="10">
        <f>IF('Batt IN'!$E$11="Non-Taxable",'Batt IN'!$E$22*'Batt IN'!$G$22/12,0)</f>
        <v>1145.8333333333335</v>
      </c>
      <c r="BC299" s="10">
        <f>IF('Batt IN'!$E$11="Taxable",Q299,0)</f>
        <v>0</v>
      </c>
      <c r="BD299" s="10">
        <f>IF('Batt IN'!$E$11="Taxable",'Batt IN'!$E$28/1000*'Batt IN'!$G$13*('Batt IN'!$E$13/12)*'Batt IN'!$E$12,0)</f>
        <v>0</v>
      </c>
      <c r="BE299" s="10">
        <f>IF('Batt IN'!$E$11="Taxable",$S299*'Batt IN'!$G$15*'Batt IN'!$E$28*'Batt IN'!$E$14/1000,0)</f>
        <v>0</v>
      </c>
      <c r="BF299" s="10">
        <f>IF('Batt IN'!$E$11="Taxable",'Batt IN'!$E$21*'Batt IN'!$G$21/12,0)</f>
        <v>0</v>
      </c>
      <c r="BG299" s="10">
        <f>IF('Batt IN'!$E$11="Taxable",'Batt IN'!$E$22*'Batt IN'!$G$22/12,0)</f>
        <v>0</v>
      </c>
      <c r="BK299" s="10">
        <f>IF('Batt IN'!$N$18="Yes",-BattLoan!H327,-BattLoan!L327)</f>
        <v>0</v>
      </c>
      <c r="BL299" s="10">
        <f>IF('Batt IN'!$N$18="Yes",-BattLoan!F327,0)</f>
        <v>0</v>
      </c>
      <c r="BM299" s="10">
        <f>IF(AND('Batt IN'!$D$44="YES",$C299&lt;='Batt IN'!$E$44*12),0,-'Batt IN'!$E$28*'Batt IN'!$E$42/12)</f>
        <v>-83.333333333333329</v>
      </c>
      <c r="BN299" s="10">
        <f>IF(AND('Batt IN'!$D$46="YES",$C299&lt;='Batt IN'!$E$46*12),0,-'Batt IN'!$E$28*'Batt IN'!$E$45/12)</f>
        <v>-166.66666666666666</v>
      </c>
      <c r="BO299" s="2">
        <f>IF(AND('Batt IN'!$D$41="YES",BattCalcs!C299=ROUNDUP('Batt IN'!$H$41*12,)),-'Batt IN'!$E$41*'Batt IN'!$E$28,0)</f>
        <v>0</v>
      </c>
      <c r="BP299" s="2">
        <f>IF(AND('Batt IN'!$D$53="Yes",$AL$1&gt;=1),0,IF($C299='Batt IN'!$H$54*12,-'Batt IN'!$F$54,0))</f>
        <v>0</v>
      </c>
      <c r="BQ299" s="2">
        <f>IF(AND('Batt IN'!$D$53="Yes",$AL$1&gt;=2),0,IF($C299='Batt IN'!$H$55*12,-'Batt IN'!$F$55,0))</f>
        <v>0</v>
      </c>
      <c r="BR299" s="2">
        <f>IF(AND('Batt IN'!$D$53="Yes",$AL$1&gt;=3),0,IF($C299='Batt IN'!$H$56*12,-'Batt IN'!$F$56,0))</f>
        <v>0</v>
      </c>
      <c r="BS299" s="2">
        <f>IF(AND('Batt IN'!$D$53="Yes",$AL$1&gt;=4),0,IF($C299='Batt IN'!$H$57*12,-'Batt IN'!$F$57,0))</f>
        <v>0</v>
      </c>
      <c r="BT299" s="2">
        <f>IF(AND('Batt IN'!$D$53="Yes",$AL$1&gt;=5),0,IF($C299='Batt IN'!$H$58*12,-'Batt IN'!$F$58,0))</f>
        <v>0</v>
      </c>
      <c r="BU299" s="2">
        <f>-AH299*PVCalcs!F299</f>
        <v>-373.27924071472859</v>
      </c>
      <c r="BV299" s="2">
        <f>-'Batt IN'!$E$47</f>
        <v>-150</v>
      </c>
      <c r="BW299" s="2">
        <f>-'Batt IN'!$E$49</f>
        <v>-2250</v>
      </c>
      <c r="BX299" s="2">
        <f>IF('Batt IN'!$H$50="No",-(BC299*'Batt IN'!$E$50),-(BC299+BE299)*'Batt IN'!$E$50)</f>
        <v>0</v>
      </c>
      <c r="BY299" s="2">
        <f>IF(C299='Batt IN'!$H$43*12,-'Batt IN'!$E$43,0)</f>
        <v>0</v>
      </c>
      <c r="BZ299" s="38"/>
      <c r="CA299" s="10">
        <f t="shared" si="68"/>
        <v>13422.323408333334</v>
      </c>
      <c r="CB299" s="2">
        <f t="shared" si="72"/>
        <v>-3023.2792407147285</v>
      </c>
      <c r="CC299" s="45">
        <f t="shared" si="73"/>
        <v>10399.044167618606</v>
      </c>
      <c r="CD299" s="43"/>
      <c r="CE299" s="2">
        <f t="shared" si="69"/>
        <v>0</v>
      </c>
      <c r="CF299" s="2">
        <f t="shared" si="74"/>
        <v>-3023.2792407147285</v>
      </c>
      <c r="CG299" s="2"/>
      <c r="CH299" s="2">
        <f t="shared" si="75"/>
        <v>-3023.2792407147285</v>
      </c>
      <c r="CI299" s="45">
        <f>-CH299*'Batt IN'!$E$7</f>
        <v>634.88864055009299</v>
      </c>
      <c r="CJ299" s="48"/>
      <c r="CK299" s="45">
        <f>IF('Batt IN'!$F$4="PV Only",0,IF(C299&gt;'Batt IN'!$H$43*12,0,CC299+CI299))</f>
        <v>0</v>
      </c>
      <c r="CM299" s="10">
        <f t="shared" si="76"/>
        <v>0</v>
      </c>
      <c r="CN299" s="2">
        <f>CK299/(1+('Batt IN'!$G$8))^(C299)</f>
        <v>0</v>
      </c>
      <c r="CO299" s="2" t="e">
        <f>IF(C299&lt;='Batt IN'!$O$30*12,CN299+CO298,NA())</f>
        <v>#N/A</v>
      </c>
      <c r="CQ299" s="2">
        <f>CK299/((1+('Batt IN'!$E$8/12))^BattCalcs!C299)</f>
        <v>0</v>
      </c>
      <c r="CS299" s="10">
        <f t="shared" si="77"/>
        <v>-3023.2792407147285</v>
      </c>
      <c r="CT299" s="10">
        <f t="shared" si="78"/>
        <v>0</v>
      </c>
      <c r="CU299" s="10">
        <f t="shared" si="79"/>
        <v>-3023.2792407147285</v>
      </c>
      <c r="CV299" s="10">
        <f t="shared" si="80"/>
        <v>-3023.2792407147285</v>
      </c>
      <c r="CW299" s="2">
        <f t="shared" si="81"/>
        <v>0</v>
      </c>
      <c r="CX299" s="2">
        <f>-(SUM(CV299:CW299)*'PV IN'!$E$8)</f>
        <v>634.88864055009299</v>
      </c>
      <c r="CY299" s="2">
        <f t="shared" si="82"/>
        <v>-2388.3906001646355</v>
      </c>
      <c r="CZ299" s="2">
        <f>IF(C299&lt;='Batt IN'!$H$43*12,CY299/(1+('PV IN'!$G$9))^(C299),0)</f>
        <v>-719.78327509044493</v>
      </c>
      <c r="DA299" s="33">
        <f>IF(C299&lt;='Batt IN'!$H$43*12,AE299,0)</f>
        <v>30366.783333333333</v>
      </c>
    </row>
    <row r="300" spans="1:105" x14ac:dyDescent="0.25">
      <c r="A300">
        <f>IF(C300&lt;='Batt IN'!$H$43*12,C300,"")</f>
        <v>296</v>
      </c>
      <c r="C300">
        <v>296</v>
      </c>
      <c r="D300" s="21">
        <v>730</v>
      </c>
      <c r="E300" s="1">
        <f>1-'Batt IN'!$E$31</f>
        <v>2.0000000000000018E-2</v>
      </c>
      <c r="F300" s="12">
        <f>('Batt IN'!$E$33*365)/8760</f>
        <v>0</v>
      </c>
      <c r="G300" s="22">
        <f>'Batt IN'!$E$32/8760</f>
        <v>5.7077625570776253E-3</v>
      </c>
      <c r="H300" s="22">
        <f>'Batt IN'!$E$13/8760</f>
        <v>5.5936073059360729E-3</v>
      </c>
      <c r="I300" s="23">
        <f>IF(C300&lt;='Batt IN'!$G$14*12,'Batt IN'!$E$15/8760*'Batt IN'!$G$15,0)</f>
        <v>0</v>
      </c>
      <c r="J300" s="12">
        <f>Z300/'Batt IN'!$E$27/730</f>
        <v>2.4999999999999996E-3</v>
      </c>
      <c r="K300" s="23">
        <f>AA300/'Batt IN'!$E$27/730</f>
        <v>1.6027397260273972E-3</v>
      </c>
      <c r="L300" s="23">
        <f>AB300/'Batt IN'!$E$27/730</f>
        <v>2.0547945205479451E-4</v>
      </c>
      <c r="M300" s="23">
        <f>AC300/'Batt IN'!$E$27/730</f>
        <v>4.7945205479452057E-3</v>
      </c>
      <c r="N300" s="23">
        <f>AD300/'Batt IN'!$E$27/730</f>
        <v>3.4246575342465752E-3</v>
      </c>
      <c r="O300" s="12">
        <f t="shared" si="70"/>
        <v>4.3828767123287697E-2</v>
      </c>
      <c r="P300" s="21">
        <f t="shared" si="71"/>
        <v>698.005</v>
      </c>
      <c r="Q300" s="2">
        <f>IF('Batt IN'!$E$27*'Batt IN'!$E$24&lt;='Batt IN'!$E$28,(('Batt IN'!$E$23*'Batt IN'!$E$27*'Batt IN'!$E$24)/1000)*P300,(('Batt IN'!$E$23*'Batt IN'!$E$28*'Batt IN'!$E$24)/1000)*P300)</f>
        <v>11168.08</v>
      </c>
      <c r="R300" s="2"/>
      <c r="S300" s="77">
        <f>IF(C300&lt;='Batt IN'!$G$14*12,'Batt IN'!$E$15/12,0)</f>
        <v>0</v>
      </c>
      <c r="T300" s="77"/>
      <c r="U300" s="80">
        <f>'Batt IN'!$E$28*('Batt IN'!$G$24/24)*730*(1-O300)</f>
        <v>81433.916666666657</v>
      </c>
      <c r="V300" s="78">
        <f>U300*'Batt IN'!$F$30</f>
        <v>16286.783333333333</v>
      </c>
      <c r="W300" s="78">
        <f>'Batt IN'!$E$28*'Batt IN'!$G$32*('Batt IN'!$E$32/12)*(1+'Batt IN'!$F$30)</f>
        <v>1750.0000000000002</v>
      </c>
      <c r="X300" s="78">
        <f>'Batt IN'!$E$28*'Batt IN'!$G$13*('Batt IN'!$E$13/12)*(1+'Batt IN'!$F$30)</f>
        <v>3184.9999999999995</v>
      </c>
      <c r="Y300" s="33">
        <f>S300*'Batt IN'!$G$15*'Batt IN'!$E$28*(1+'Batt IN'!$F$30)</f>
        <v>0</v>
      </c>
      <c r="Z300" s="33">
        <f>'Batt IN'!$G$16*365/12*(1+'Batt IN'!$F$30)</f>
        <v>1824.9999999999998</v>
      </c>
      <c r="AA300" s="33">
        <f>'Batt IN'!$G$17*'Batt IN'!$E$18*'Batt IN'!$G$18/12*(1+'Batt IN'!$F$30)</f>
        <v>1170</v>
      </c>
      <c r="AB300" s="33">
        <f>'Batt IN'!$G$19*'Batt IN'!$E$20*'Batt IN'!$G$20/12*(1+'Batt IN'!$F$30)</f>
        <v>150</v>
      </c>
      <c r="AC300" s="33">
        <f>'Batt IN'!$G$21*(1+'Batt IN'!$F$30)/12</f>
        <v>3500</v>
      </c>
      <c r="AD300" s="33">
        <f>'Batt IN'!$G$22*(1+'Batt IN'!$F$30)/12</f>
        <v>2500</v>
      </c>
      <c r="AE300" s="33">
        <f t="shared" si="83"/>
        <v>30366.783333333333</v>
      </c>
      <c r="AF300" s="33">
        <f>IF('PV IN'!$F$4="Battery Only",0,AE300*'Batt IN'!$E$29)</f>
        <v>25811.765833333331</v>
      </c>
      <c r="AG300" s="33">
        <f>PVCalcs!L300</f>
        <v>25811.765833333331</v>
      </c>
      <c r="AH300" s="33">
        <f t="shared" si="84"/>
        <v>4555.0175000000017</v>
      </c>
      <c r="AI300" s="33"/>
      <c r="AJ300" s="2">
        <f>IF(AND('Batt IN'!$D$53="Yes",$AL$1&gt;=1),IF($C300='Batt IN'!$H$54*12,-'Batt IN'!$F$54,0),0)</f>
        <v>0</v>
      </c>
      <c r="AK300" s="2">
        <f>IF(AND('Batt IN'!$D$53="Yes",$AL$1&gt;=2),IF($C300='Batt IN'!$H$55*12,-'Batt IN'!$F$55,0),0)</f>
        <v>0</v>
      </c>
      <c r="AL300" s="2">
        <f>IF(AND('Batt IN'!$D$53="Yes",$AL$1&gt;=3),IF($C300='Batt IN'!$H$56*12,-'Batt IN'!$F$56,0),0)</f>
        <v>0</v>
      </c>
      <c r="AM300" s="2">
        <f>IF(AND('Batt IN'!$D$53="Yes",$AL$1&gt;=4),IF($C300='Batt IN'!$H$57*12,-'Batt IN'!$F$57,0),0)</f>
        <v>0</v>
      </c>
      <c r="AN300" s="2">
        <f>IF(AND('Batt IN'!$D$53="Yes",$AL$1&gt;=5),IF($C300='Batt IN'!$H$58*12,-'Batt IN'!$F$58,0),0)</f>
        <v>0</v>
      </c>
      <c r="AO300" s="10">
        <f>IF(AND('Batt IN'!$D$44="YES",$C300&lt;='Batt IN'!$E$44*12),-'Batt IN'!$E$28*'Batt IN'!$E$42/12,0)</f>
        <v>0</v>
      </c>
      <c r="AP300" s="10">
        <f>IF(AND('Batt IN'!$D$46="YES",$C300&lt;='Batt IN'!$E$46*12),-'Batt IN'!$E$28*'Batt IN'!$E$45/12,0)</f>
        <v>0</v>
      </c>
      <c r="AR300" s="10">
        <f>BattLoan!M327</f>
        <v>0</v>
      </c>
      <c r="AS300" s="10">
        <f>'Batt IN'!$G$16*365/12*'Batt IN'!$E$16</f>
        <v>76.041666666666671</v>
      </c>
      <c r="AT300" s="10">
        <f>IF(AND('Batt IN'!$E$18&gt;0,'Batt IN'!$G$18&gt;0),'Batt IN'!$E$17*'Batt IN'!$G$17,0)</f>
        <v>119.44619999999999</v>
      </c>
      <c r="AU300" s="10">
        <f>IF(AND('Batt IN'!$E$20&gt;0,'Batt IN'!$G$20&gt;0),'Batt IN'!$E$19*'Batt IN'!$G$19,0)</f>
        <v>231</v>
      </c>
      <c r="AV300" s="10"/>
      <c r="AW300" s="10"/>
      <c r="AX300" s="10">
        <f>IF('Batt IN'!$E$11="Non-Taxable",Q300,0)</f>
        <v>11168.08</v>
      </c>
      <c r="AY300" s="10">
        <f>IF('Batt IN'!$E$11="Non-Taxable",'Batt IN'!$E$28/1000*'Batt IN'!$G$13*('Batt IN'!$E$13/12)*'Batt IN'!$E$12,0)</f>
        <v>244.42220833333334</v>
      </c>
      <c r="AZ300" s="10">
        <f>IF('Batt IN'!$E$11="Non-Taxable",$S300*'Batt IN'!$G$15*'Batt IN'!$E$28*'Batt IN'!$E$14/1000,0)</f>
        <v>0</v>
      </c>
      <c r="BA300" s="10">
        <f>IF('Batt IN'!$E$11="Non-Taxable",'Batt IN'!$E$21*'Batt IN'!$G$21/12,0)</f>
        <v>437.5</v>
      </c>
      <c r="BB300" s="10">
        <f>IF('Batt IN'!$E$11="Non-Taxable",'Batt IN'!$E$22*'Batt IN'!$G$22/12,0)</f>
        <v>1145.8333333333335</v>
      </c>
      <c r="BC300" s="10">
        <f>IF('Batt IN'!$E$11="Taxable",Q300,0)</f>
        <v>0</v>
      </c>
      <c r="BD300" s="10">
        <f>IF('Batt IN'!$E$11="Taxable",'Batt IN'!$E$28/1000*'Batt IN'!$G$13*('Batt IN'!$E$13/12)*'Batt IN'!$E$12,0)</f>
        <v>0</v>
      </c>
      <c r="BE300" s="10">
        <f>IF('Batt IN'!$E$11="Taxable",$S300*'Batt IN'!$G$15*'Batt IN'!$E$28*'Batt IN'!$E$14/1000,0)</f>
        <v>0</v>
      </c>
      <c r="BF300" s="10">
        <f>IF('Batt IN'!$E$11="Taxable",'Batt IN'!$E$21*'Batt IN'!$G$21/12,0)</f>
        <v>0</v>
      </c>
      <c r="BG300" s="10">
        <f>IF('Batt IN'!$E$11="Taxable",'Batt IN'!$E$22*'Batt IN'!$G$22/12,0)</f>
        <v>0</v>
      </c>
      <c r="BK300" s="10">
        <f>IF('Batt IN'!$N$18="Yes",-BattLoan!H328,-BattLoan!L328)</f>
        <v>0</v>
      </c>
      <c r="BL300" s="10">
        <f>IF('Batt IN'!$N$18="Yes",-BattLoan!F328,0)</f>
        <v>0</v>
      </c>
      <c r="BM300" s="10">
        <f>IF(AND('Batt IN'!$D$44="YES",$C300&lt;='Batt IN'!$E$44*12),0,-'Batt IN'!$E$28*'Batt IN'!$E$42/12)</f>
        <v>-83.333333333333329</v>
      </c>
      <c r="BN300" s="10">
        <f>IF(AND('Batt IN'!$D$46="YES",$C300&lt;='Batt IN'!$E$46*12),0,-'Batt IN'!$E$28*'Batt IN'!$E$45/12)</f>
        <v>-166.66666666666666</v>
      </c>
      <c r="BO300" s="2">
        <f>IF(AND('Batt IN'!$D$41="YES",BattCalcs!C300=ROUNDUP('Batt IN'!$H$41*12,)),-'Batt IN'!$E$41*'Batt IN'!$E$28,0)</f>
        <v>0</v>
      </c>
      <c r="BP300" s="2">
        <f>IF(AND('Batt IN'!$D$53="Yes",$AL$1&gt;=1),0,IF($C300='Batt IN'!$H$54*12,-'Batt IN'!$F$54,0))</f>
        <v>0</v>
      </c>
      <c r="BQ300" s="2">
        <f>IF(AND('Batt IN'!$D$53="Yes",$AL$1&gt;=2),0,IF($C300='Batt IN'!$H$55*12,-'Batt IN'!$F$55,0))</f>
        <v>0</v>
      </c>
      <c r="BR300" s="2">
        <f>IF(AND('Batt IN'!$D$53="Yes",$AL$1&gt;=3),0,IF($C300='Batt IN'!$H$56*12,-'Batt IN'!$F$56,0))</f>
        <v>0</v>
      </c>
      <c r="BS300" s="2">
        <f>IF(AND('Batt IN'!$D$53="Yes",$AL$1&gt;=4),0,IF($C300='Batt IN'!$H$57*12,-'Batt IN'!$F$57,0))</f>
        <v>0</v>
      </c>
      <c r="BT300" s="2">
        <f>IF(AND('Batt IN'!$D$53="Yes",$AL$1&gt;=5),0,IF($C300='Batt IN'!$H$58*12,-'Batt IN'!$F$58,0))</f>
        <v>0</v>
      </c>
      <c r="BU300" s="2">
        <f>-AH300*PVCalcs!F300</f>
        <v>-373.27924071472859</v>
      </c>
      <c r="BV300" s="2">
        <f>-'Batt IN'!$E$47</f>
        <v>-150</v>
      </c>
      <c r="BW300" s="2">
        <f>-'Batt IN'!$E$49</f>
        <v>-2250</v>
      </c>
      <c r="BX300" s="2">
        <f>IF('Batt IN'!$H$50="No",-(BC300*'Batt IN'!$E$50),-(BC300+BE300)*'Batt IN'!$E$50)</f>
        <v>0</v>
      </c>
      <c r="BY300" s="2">
        <f>IF(C300='Batt IN'!$H$43*12,-'Batt IN'!$E$43,0)</f>
        <v>0</v>
      </c>
      <c r="BZ300" s="38"/>
      <c r="CA300" s="10">
        <f t="shared" si="68"/>
        <v>13422.323408333334</v>
      </c>
      <c r="CB300" s="2">
        <f t="shared" si="72"/>
        <v>-3023.2792407147285</v>
      </c>
      <c r="CC300" s="45">
        <f t="shared" si="73"/>
        <v>10399.044167618606</v>
      </c>
      <c r="CD300" s="43"/>
      <c r="CE300" s="2">
        <f t="shared" si="69"/>
        <v>0</v>
      </c>
      <c r="CF300" s="2">
        <f t="shared" si="74"/>
        <v>-3023.2792407147285</v>
      </c>
      <c r="CG300" s="2"/>
      <c r="CH300" s="2">
        <f t="shared" si="75"/>
        <v>-3023.2792407147285</v>
      </c>
      <c r="CI300" s="45">
        <f>-CH300*'Batt IN'!$E$7</f>
        <v>634.88864055009299</v>
      </c>
      <c r="CJ300" s="48"/>
      <c r="CK300" s="45">
        <f>IF('Batt IN'!$F$4="PV Only",0,IF(C300&gt;'Batt IN'!$H$43*12,0,CC300+CI300))</f>
        <v>0</v>
      </c>
      <c r="CM300" s="10">
        <f t="shared" si="76"/>
        <v>0</v>
      </c>
      <c r="CN300" s="2">
        <f>CK300/(1+('Batt IN'!$G$8))^(C300)</f>
        <v>0</v>
      </c>
      <c r="CO300" s="2" t="e">
        <f>IF(C300&lt;='Batt IN'!$O$30*12,CN300+CO299,NA())</f>
        <v>#N/A</v>
      </c>
      <c r="CQ300" s="2">
        <f>CK300/((1+('Batt IN'!$E$8/12))^BattCalcs!C300)</f>
        <v>0</v>
      </c>
      <c r="CS300" s="10">
        <f t="shared" si="77"/>
        <v>-3023.2792407147285</v>
      </c>
      <c r="CT300" s="10">
        <f t="shared" si="78"/>
        <v>0</v>
      </c>
      <c r="CU300" s="10">
        <f t="shared" si="79"/>
        <v>-3023.2792407147285</v>
      </c>
      <c r="CV300" s="10">
        <f t="shared" si="80"/>
        <v>-3023.2792407147285</v>
      </c>
      <c r="CW300" s="2">
        <f t="shared" si="81"/>
        <v>0</v>
      </c>
      <c r="CX300" s="2">
        <f>-(SUM(CV300:CW300)*'PV IN'!$E$8)</f>
        <v>634.88864055009299</v>
      </c>
      <c r="CY300" s="2">
        <f t="shared" si="82"/>
        <v>-2388.3906001646355</v>
      </c>
      <c r="CZ300" s="2">
        <f>IF(C300&lt;='Batt IN'!$H$43*12,CY300/(1+('PV IN'!$G$9))^(C300),0)</f>
        <v>-716.86268776461293</v>
      </c>
      <c r="DA300" s="33">
        <f>IF(C300&lt;='Batt IN'!$H$43*12,AE300,0)</f>
        <v>30366.783333333333</v>
      </c>
    </row>
    <row r="301" spans="1:105" x14ac:dyDescent="0.25">
      <c r="A301">
        <f>IF(C301&lt;='Batt IN'!$H$43*12,C301,"")</f>
        <v>297</v>
      </c>
      <c r="C301">
        <v>297</v>
      </c>
      <c r="D301" s="21">
        <v>730</v>
      </c>
      <c r="E301" s="1">
        <f>1-'Batt IN'!$E$31</f>
        <v>2.0000000000000018E-2</v>
      </c>
      <c r="F301" s="12">
        <f>('Batt IN'!$E$33*365)/8760</f>
        <v>0</v>
      </c>
      <c r="G301" s="22">
        <f>'Batt IN'!$E$32/8760</f>
        <v>5.7077625570776253E-3</v>
      </c>
      <c r="H301" s="22">
        <f>'Batt IN'!$E$13/8760</f>
        <v>5.5936073059360729E-3</v>
      </c>
      <c r="I301" s="23">
        <f>IF(C301&lt;='Batt IN'!$G$14*12,'Batt IN'!$E$15/8760*'Batt IN'!$G$15,0)</f>
        <v>0</v>
      </c>
      <c r="J301" s="12">
        <f>Z301/'Batt IN'!$E$27/730</f>
        <v>2.4999999999999996E-3</v>
      </c>
      <c r="K301" s="23">
        <f>AA301/'Batt IN'!$E$27/730</f>
        <v>1.6027397260273972E-3</v>
      </c>
      <c r="L301" s="23">
        <f>AB301/'Batt IN'!$E$27/730</f>
        <v>2.0547945205479451E-4</v>
      </c>
      <c r="M301" s="23">
        <f>AC301/'Batt IN'!$E$27/730</f>
        <v>4.7945205479452057E-3</v>
      </c>
      <c r="N301" s="23">
        <f>AD301/'Batt IN'!$E$27/730</f>
        <v>3.4246575342465752E-3</v>
      </c>
      <c r="O301" s="12">
        <f t="shared" si="70"/>
        <v>4.3828767123287697E-2</v>
      </c>
      <c r="P301" s="21">
        <f t="shared" si="71"/>
        <v>698.005</v>
      </c>
      <c r="Q301" s="2">
        <f>IF('Batt IN'!$E$27*'Batt IN'!$E$24&lt;='Batt IN'!$E$28,(('Batt IN'!$E$23*'Batt IN'!$E$27*'Batt IN'!$E$24)/1000)*P301,(('Batt IN'!$E$23*'Batt IN'!$E$28*'Batt IN'!$E$24)/1000)*P301)</f>
        <v>11168.08</v>
      </c>
      <c r="R301" s="2"/>
      <c r="S301" s="77">
        <f>IF(C301&lt;='Batt IN'!$G$14*12,'Batt IN'!$E$15/12,0)</f>
        <v>0</v>
      </c>
      <c r="T301" s="77"/>
      <c r="U301" s="80">
        <f>'Batt IN'!$E$28*('Batt IN'!$G$24/24)*730*(1-O301)</f>
        <v>81433.916666666657</v>
      </c>
      <c r="V301" s="78">
        <f>U301*'Batt IN'!$F$30</f>
        <v>16286.783333333333</v>
      </c>
      <c r="W301" s="78">
        <f>'Batt IN'!$E$28*'Batt IN'!$G$32*('Batt IN'!$E$32/12)*(1+'Batt IN'!$F$30)</f>
        <v>1750.0000000000002</v>
      </c>
      <c r="X301" s="78">
        <f>'Batt IN'!$E$28*'Batt IN'!$G$13*('Batt IN'!$E$13/12)*(1+'Batt IN'!$F$30)</f>
        <v>3184.9999999999995</v>
      </c>
      <c r="Y301" s="33">
        <f>S301*'Batt IN'!$G$15*'Batt IN'!$E$28*(1+'Batt IN'!$F$30)</f>
        <v>0</v>
      </c>
      <c r="Z301" s="33">
        <f>'Batt IN'!$G$16*365/12*(1+'Batt IN'!$F$30)</f>
        <v>1824.9999999999998</v>
      </c>
      <c r="AA301" s="33">
        <f>'Batt IN'!$G$17*'Batt IN'!$E$18*'Batt IN'!$G$18/12*(1+'Batt IN'!$F$30)</f>
        <v>1170</v>
      </c>
      <c r="AB301" s="33">
        <f>'Batt IN'!$G$19*'Batt IN'!$E$20*'Batt IN'!$G$20/12*(1+'Batt IN'!$F$30)</f>
        <v>150</v>
      </c>
      <c r="AC301" s="33">
        <f>'Batt IN'!$G$21*(1+'Batt IN'!$F$30)/12</f>
        <v>3500</v>
      </c>
      <c r="AD301" s="33">
        <f>'Batt IN'!$G$22*(1+'Batt IN'!$F$30)/12</f>
        <v>2500</v>
      </c>
      <c r="AE301" s="33">
        <f t="shared" si="83"/>
        <v>30366.783333333333</v>
      </c>
      <c r="AF301" s="33">
        <f>IF('PV IN'!$F$4="Battery Only",0,AE301*'Batt IN'!$E$29)</f>
        <v>25811.765833333331</v>
      </c>
      <c r="AG301" s="33">
        <f>PVCalcs!L301</f>
        <v>25811.765833333331</v>
      </c>
      <c r="AH301" s="33">
        <f t="shared" si="84"/>
        <v>4555.0175000000017</v>
      </c>
      <c r="AI301" s="33"/>
      <c r="AJ301" s="2">
        <f>IF(AND('Batt IN'!$D$53="Yes",$AL$1&gt;=1),IF($C301='Batt IN'!$H$54*12,-'Batt IN'!$F$54,0),0)</f>
        <v>0</v>
      </c>
      <c r="AK301" s="2">
        <f>IF(AND('Batt IN'!$D$53="Yes",$AL$1&gt;=2),IF($C301='Batt IN'!$H$55*12,-'Batt IN'!$F$55,0),0)</f>
        <v>0</v>
      </c>
      <c r="AL301" s="2">
        <f>IF(AND('Batt IN'!$D$53="Yes",$AL$1&gt;=3),IF($C301='Batt IN'!$H$56*12,-'Batt IN'!$F$56,0),0)</f>
        <v>0</v>
      </c>
      <c r="AM301" s="2">
        <f>IF(AND('Batt IN'!$D$53="Yes",$AL$1&gt;=4),IF($C301='Batt IN'!$H$57*12,-'Batt IN'!$F$57,0),0)</f>
        <v>0</v>
      </c>
      <c r="AN301" s="2">
        <f>IF(AND('Batt IN'!$D$53="Yes",$AL$1&gt;=5),IF($C301='Batt IN'!$H$58*12,-'Batt IN'!$F$58,0),0)</f>
        <v>0</v>
      </c>
      <c r="AO301" s="10">
        <f>IF(AND('Batt IN'!$D$44="YES",$C301&lt;='Batt IN'!$E$44*12),-'Batt IN'!$E$28*'Batt IN'!$E$42/12,0)</f>
        <v>0</v>
      </c>
      <c r="AP301" s="10">
        <f>IF(AND('Batt IN'!$D$46="YES",$C301&lt;='Batt IN'!$E$46*12),-'Batt IN'!$E$28*'Batt IN'!$E$45/12,0)</f>
        <v>0</v>
      </c>
      <c r="AR301" s="10">
        <f>BattLoan!M328</f>
        <v>0</v>
      </c>
      <c r="AS301" s="10">
        <f>'Batt IN'!$G$16*365/12*'Batt IN'!$E$16</f>
        <v>76.041666666666671</v>
      </c>
      <c r="AT301" s="10">
        <f>IF(AND('Batt IN'!$E$18&gt;0,'Batt IN'!$G$18&gt;0),'Batt IN'!$E$17*'Batt IN'!$G$17,0)</f>
        <v>119.44619999999999</v>
      </c>
      <c r="AU301" s="10">
        <f>IF(AND('Batt IN'!$E$20&gt;0,'Batt IN'!$G$20&gt;0),'Batt IN'!$E$19*'Batt IN'!$G$19,0)</f>
        <v>231</v>
      </c>
      <c r="AV301" s="10"/>
      <c r="AW301" s="10"/>
      <c r="AX301" s="10">
        <f>IF('Batt IN'!$E$11="Non-Taxable",Q301,0)</f>
        <v>11168.08</v>
      </c>
      <c r="AY301" s="10">
        <f>IF('Batt IN'!$E$11="Non-Taxable",'Batt IN'!$E$28/1000*'Batt IN'!$G$13*('Batt IN'!$E$13/12)*'Batt IN'!$E$12,0)</f>
        <v>244.42220833333334</v>
      </c>
      <c r="AZ301" s="10">
        <f>IF('Batt IN'!$E$11="Non-Taxable",$S301*'Batt IN'!$G$15*'Batt IN'!$E$28*'Batt IN'!$E$14/1000,0)</f>
        <v>0</v>
      </c>
      <c r="BA301" s="10">
        <f>IF('Batt IN'!$E$11="Non-Taxable",'Batt IN'!$E$21*'Batt IN'!$G$21/12,0)</f>
        <v>437.5</v>
      </c>
      <c r="BB301" s="10">
        <f>IF('Batt IN'!$E$11="Non-Taxable",'Batt IN'!$E$22*'Batt IN'!$G$22/12,0)</f>
        <v>1145.8333333333335</v>
      </c>
      <c r="BC301" s="10">
        <f>IF('Batt IN'!$E$11="Taxable",Q301,0)</f>
        <v>0</v>
      </c>
      <c r="BD301" s="10">
        <f>IF('Batt IN'!$E$11="Taxable",'Batt IN'!$E$28/1000*'Batt IN'!$G$13*('Batt IN'!$E$13/12)*'Batt IN'!$E$12,0)</f>
        <v>0</v>
      </c>
      <c r="BE301" s="10">
        <f>IF('Batt IN'!$E$11="Taxable",$S301*'Batt IN'!$G$15*'Batt IN'!$E$28*'Batt IN'!$E$14/1000,0)</f>
        <v>0</v>
      </c>
      <c r="BF301" s="10">
        <f>IF('Batt IN'!$E$11="Taxable",'Batt IN'!$E$21*'Batt IN'!$G$21/12,0)</f>
        <v>0</v>
      </c>
      <c r="BG301" s="10">
        <f>IF('Batt IN'!$E$11="Taxable",'Batt IN'!$E$22*'Batt IN'!$G$22/12,0)</f>
        <v>0</v>
      </c>
      <c r="BK301" s="10">
        <f>IF('Batt IN'!$N$18="Yes",-BattLoan!H329,-BattLoan!L329)</f>
        <v>0</v>
      </c>
      <c r="BL301" s="10">
        <f>IF('Batt IN'!$N$18="Yes",-BattLoan!F329,0)</f>
        <v>0</v>
      </c>
      <c r="BM301" s="10">
        <f>IF(AND('Batt IN'!$D$44="YES",$C301&lt;='Batt IN'!$E$44*12),0,-'Batt IN'!$E$28*'Batt IN'!$E$42/12)</f>
        <v>-83.333333333333329</v>
      </c>
      <c r="BN301" s="10">
        <f>IF(AND('Batt IN'!$D$46="YES",$C301&lt;='Batt IN'!$E$46*12),0,-'Batt IN'!$E$28*'Batt IN'!$E$45/12)</f>
        <v>-166.66666666666666</v>
      </c>
      <c r="BO301" s="2">
        <f>IF(AND('Batt IN'!$D$41="YES",BattCalcs!C301=ROUNDUP('Batt IN'!$H$41*12,)),-'Batt IN'!$E$41*'Batt IN'!$E$28,0)</f>
        <v>0</v>
      </c>
      <c r="BP301" s="2">
        <f>IF(AND('Batt IN'!$D$53="Yes",$AL$1&gt;=1),0,IF($C301='Batt IN'!$H$54*12,-'Batt IN'!$F$54,0))</f>
        <v>0</v>
      </c>
      <c r="BQ301" s="2">
        <f>IF(AND('Batt IN'!$D$53="Yes",$AL$1&gt;=2),0,IF($C301='Batt IN'!$H$55*12,-'Batt IN'!$F$55,0))</f>
        <v>0</v>
      </c>
      <c r="BR301" s="2">
        <f>IF(AND('Batt IN'!$D$53="Yes",$AL$1&gt;=3),0,IF($C301='Batt IN'!$H$56*12,-'Batt IN'!$F$56,0))</f>
        <v>0</v>
      </c>
      <c r="BS301" s="2">
        <f>IF(AND('Batt IN'!$D$53="Yes",$AL$1&gt;=4),0,IF($C301='Batt IN'!$H$57*12,-'Batt IN'!$F$57,0))</f>
        <v>0</v>
      </c>
      <c r="BT301" s="2">
        <f>IF(AND('Batt IN'!$D$53="Yes",$AL$1&gt;=5),0,IF($C301='Batt IN'!$H$58*12,-'Batt IN'!$F$58,0))</f>
        <v>0</v>
      </c>
      <c r="BU301" s="2">
        <f>-AH301*PVCalcs!F301</f>
        <v>-373.27924071472859</v>
      </c>
      <c r="BV301" s="2">
        <f>-'Batt IN'!$E$47</f>
        <v>-150</v>
      </c>
      <c r="BW301" s="2">
        <f>-'Batt IN'!$E$49</f>
        <v>-2250</v>
      </c>
      <c r="BX301" s="2">
        <f>IF('Batt IN'!$H$50="No",-(BC301*'Batt IN'!$E$50),-(BC301+BE301)*'Batt IN'!$E$50)</f>
        <v>0</v>
      </c>
      <c r="BY301" s="2">
        <f>IF(C301='Batt IN'!$H$43*12,-'Batt IN'!$E$43,0)</f>
        <v>0</v>
      </c>
      <c r="BZ301" s="38"/>
      <c r="CA301" s="10">
        <f t="shared" si="68"/>
        <v>13422.323408333334</v>
      </c>
      <c r="CB301" s="2">
        <f t="shared" si="72"/>
        <v>-3023.2792407147285</v>
      </c>
      <c r="CC301" s="45">
        <f t="shared" si="73"/>
        <v>10399.044167618606</v>
      </c>
      <c r="CD301" s="43"/>
      <c r="CE301" s="2">
        <f t="shared" si="69"/>
        <v>0</v>
      </c>
      <c r="CF301" s="2">
        <f t="shared" si="74"/>
        <v>-3023.2792407147285</v>
      </c>
      <c r="CG301" s="2"/>
      <c r="CH301" s="2">
        <f t="shared" si="75"/>
        <v>-3023.2792407147285</v>
      </c>
      <c r="CI301" s="45">
        <f>-CH301*'Batt IN'!$E$7</f>
        <v>634.88864055009299</v>
      </c>
      <c r="CJ301" s="48"/>
      <c r="CK301" s="45">
        <f>IF('Batt IN'!$F$4="PV Only",0,IF(C301&gt;'Batt IN'!$H$43*12,0,CC301+CI301))</f>
        <v>0</v>
      </c>
      <c r="CM301" s="10">
        <f t="shared" si="76"/>
        <v>0</v>
      </c>
      <c r="CN301" s="2">
        <f>CK301/(1+('Batt IN'!$G$8))^(C301)</f>
        <v>0</v>
      </c>
      <c r="CO301" s="2" t="e">
        <f>IF(C301&lt;='Batt IN'!$O$30*12,CN301+CO300,NA())</f>
        <v>#N/A</v>
      </c>
      <c r="CQ301" s="2">
        <f>CK301/((1+('Batt IN'!$E$8/12))^BattCalcs!C301)</f>
        <v>0</v>
      </c>
      <c r="CS301" s="10">
        <f t="shared" si="77"/>
        <v>-3023.2792407147285</v>
      </c>
      <c r="CT301" s="10">
        <f t="shared" si="78"/>
        <v>0</v>
      </c>
      <c r="CU301" s="10">
        <f t="shared" si="79"/>
        <v>-3023.2792407147285</v>
      </c>
      <c r="CV301" s="10">
        <f t="shared" si="80"/>
        <v>-3023.2792407147285</v>
      </c>
      <c r="CW301" s="2">
        <f t="shared" si="81"/>
        <v>0</v>
      </c>
      <c r="CX301" s="2">
        <f>-(SUM(CV301:CW301)*'PV IN'!$E$8)</f>
        <v>634.88864055009299</v>
      </c>
      <c r="CY301" s="2">
        <f t="shared" si="82"/>
        <v>-2388.3906001646355</v>
      </c>
      <c r="CZ301" s="2">
        <f>IF(C301&lt;='Batt IN'!$H$43*12,CY301/(1+('PV IN'!$G$9))^(C301),0)</f>
        <v>-713.9539509924449</v>
      </c>
      <c r="DA301" s="33">
        <f>IF(C301&lt;='Batt IN'!$H$43*12,AE301,0)</f>
        <v>30366.783333333333</v>
      </c>
    </row>
    <row r="302" spans="1:105" x14ac:dyDescent="0.25">
      <c r="A302">
        <f>IF(C302&lt;='Batt IN'!$H$43*12,C302,"")</f>
        <v>298</v>
      </c>
      <c r="C302">
        <v>298</v>
      </c>
      <c r="D302" s="21">
        <v>730</v>
      </c>
      <c r="E302" s="1">
        <f>1-'Batt IN'!$E$31</f>
        <v>2.0000000000000018E-2</v>
      </c>
      <c r="F302" s="12">
        <f>('Batt IN'!$E$33*365)/8760</f>
        <v>0</v>
      </c>
      <c r="G302" s="22">
        <f>'Batt IN'!$E$32/8760</f>
        <v>5.7077625570776253E-3</v>
      </c>
      <c r="H302" s="22">
        <f>'Batt IN'!$E$13/8760</f>
        <v>5.5936073059360729E-3</v>
      </c>
      <c r="I302" s="23">
        <f>IF(C302&lt;='Batt IN'!$G$14*12,'Batt IN'!$E$15/8760*'Batt IN'!$G$15,0)</f>
        <v>0</v>
      </c>
      <c r="J302" s="12">
        <f>Z302/'Batt IN'!$E$27/730</f>
        <v>2.4999999999999996E-3</v>
      </c>
      <c r="K302" s="23">
        <f>AA302/'Batt IN'!$E$27/730</f>
        <v>1.6027397260273972E-3</v>
      </c>
      <c r="L302" s="23">
        <f>AB302/'Batt IN'!$E$27/730</f>
        <v>2.0547945205479451E-4</v>
      </c>
      <c r="M302" s="23">
        <f>AC302/'Batt IN'!$E$27/730</f>
        <v>4.7945205479452057E-3</v>
      </c>
      <c r="N302" s="23">
        <f>AD302/'Batt IN'!$E$27/730</f>
        <v>3.4246575342465752E-3</v>
      </c>
      <c r="O302" s="12">
        <f t="shared" si="70"/>
        <v>4.3828767123287697E-2</v>
      </c>
      <c r="P302" s="21">
        <f t="shared" si="71"/>
        <v>698.005</v>
      </c>
      <c r="Q302" s="2">
        <f>IF('Batt IN'!$E$27*'Batt IN'!$E$24&lt;='Batt IN'!$E$28,(('Batt IN'!$E$23*'Batt IN'!$E$27*'Batt IN'!$E$24)/1000)*P302,(('Batt IN'!$E$23*'Batt IN'!$E$28*'Batt IN'!$E$24)/1000)*P302)</f>
        <v>11168.08</v>
      </c>
      <c r="R302" s="2"/>
      <c r="S302" s="77">
        <f>IF(C302&lt;='Batt IN'!$G$14*12,'Batt IN'!$E$15/12,0)</f>
        <v>0</v>
      </c>
      <c r="T302" s="77"/>
      <c r="U302" s="80">
        <f>'Batt IN'!$E$28*('Batt IN'!$G$24/24)*730*(1-O302)</f>
        <v>81433.916666666657</v>
      </c>
      <c r="V302" s="78">
        <f>U302*'Batt IN'!$F$30</f>
        <v>16286.783333333333</v>
      </c>
      <c r="W302" s="78">
        <f>'Batt IN'!$E$28*'Batt IN'!$G$32*('Batt IN'!$E$32/12)*(1+'Batt IN'!$F$30)</f>
        <v>1750.0000000000002</v>
      </c>
      <c r="X302" s="78">
        <f>'Batt IN'!$E$28*'Batt IN'!$G$13*('Batt IN'!$E$13/12)*(1+'Batt IN'!$F$30)</f>
        <v>3184.9999999999995</v>
      </c>
      <c r="Y302" s="33">
        <f>S302*'Batt IN'!$G$15*'Batt IN'!$E$28*(1+'Batt IN'!$F$30)</f>
        <v>0</v>
      </c>
      <c r="Z302" s="33">
        <f>'Batt IN'!$G$16*365/12*(1+'Batt IN'!$F$30)</f>
        <v>1824.9999999999998</v>
      </c>
      <c r="AA302" s="33">
        <f>'Batt IN'!$G$17*'Batt IN'!$E$18*'Batt IN'!$G$18/12*(1+'Batt IN'!$F$30)</f>
        <v>1170</v>
      </c>
      <c r="AB302" s="33">
        <f>'Batt IN'!$G$19*'Batt IN'!$E$20*'Batt IN'!$G$20/12*(1+'Batt IN'!$F$30)</f>
        <v>150</v>
      </c>
      <c r="AC302" s="33">
        <f>'Batt IN'!$G$21*(1+'Batt IN'!$F$30)/12</f>
        <v>3500</v>
      </c>
      <c r="AD302" s="33">
        <f>'Batt IN'!$G$22*(1+'Batt IN'!$F$30)/12</f>
        <v>2500</v>
      </c>
      <c r="AE302" s="33">
        <f t="shared" si="83"/>
        <v>30366.783333333333</v>
      </c>
      <c r="AF302" s="33">
        <f>IF('PV IN'!$F$4="Battery Only",0,AE302*'Batt IN'!$E$29)</f>
        <v>25811.765833333331</v>
      </c>
      <c r="AG302" s="33">
        <f>PVCalcs!L302</f>
        <v>25811.765833333331</v>
      </c>
      <c r="AH302" s="33">
        <f t="shared" si="84"/>
        <v>4555.0175000000017</v>
      </c>
      <c r="AI302" s="33"/>
      <c r="AJ302" s="2">
        <f>IF(AND('Batt IN'!$D$53="Yes",$AL$1&gt;=1),IF($C302='Batt IN'!$H$54*12,-'Batt IN'!$F$54,0),0)</f>
        <v>0</v>
      </c>
      <c r="AK302" s="2">
        <f>IF(AND('Batt IN'!$D$53="Yes",$AL$1&gt;=2),IF($C302='Batt IN'!$H$55*12,-'Batt IN'!$F$55,0),0)</f>
        <v>0</v>
      </c>
      <c r="AL302" s="2">
        <f>IF(AND('Batt IN'!$D$53="Yes",$AL$1&gt;=3),IF($C302='Batt IN'!$H$56*12,-'Batt IN'!$F$56,0),0)</f>
        <v>0</v>
      </c>
      <c r="AM302" s="2">
        <f>IF(AND('Batt IN'!$D$53="Yes",$AL$1&gt;=4),IF($C302='Batt IN'!$H$57*12,-'Batt IN'!$F$57,0),0)</f>
        <v>0</v>
      </c>
      <c r="AN302" s="2">
        <f>IF(AND('Batt IN'!$D$53="Yes",$AL$1&gt;=5),IF($C302='Batt IN'!$H$58*12,-'Batt IN'!$F$58,0),0)</f>
        <v>0</v>
      </c>
      <c r="AO302" s="10">
        <f>IF(AND('Batt IN'!$D$44="YES",$C302&lt;='Batt IN'!$E$44*12),-'Batt IN'!$E$28*'Batt IN'!$E$42/12,0)</f>
        <v>0</v>
      </c>
      <c r="AP302" s="10">
        <f>IF(AND('Batt IN'!$D$46="YES",$C302&lt;='Batt IN'!$E$46*12),-'Batt IN'!$E$28*'Batt IN'!$E$45/12,0)</f>
        <v>0</v>
      </c>
      <c r="AR302" s="10">
        <f>BattLoan!M329</f>
        <v>0</v>
      </c>
      <c r="AS302" s="10">
        <f>'Batt IN'!$G$16*365/12*'Batt IN'!$E$16</f>
        <v>76.041666666666671</v>
      </c>
      <c r="AT302" s="10">
        <f>IF(AND('Batt IN'!$E$18&gt;0,'Batt IN'!$G$18&gt;0),'Batt IN'!$E$17*'Batt IN'!$G$17,0)</f>
        <v>119.44619999999999</v>
      </c>
      <c r="AU302" s="10">
        <f>IF(AND('Batt IN'!$E$20&gt;0,'Batt IN'!$G$20&gt;0),'Batt IN'!$E$19*'Batt IN'!$G$19,0)</f>
        <v>231</v>
      </c>
      <c r="AV302" s="10"/>
      <c r="AW302" s="10"/>
      <c r="AX302" s="10">
        <f>IF('Batt IN'!$E$11="Non-Taxable",Q302,0)</f>
        <v>11168.08</v>
      </c>
      <c r="AY302" s="10">
        <f>IF('Batt IN'!$E$11="Non-Taxable",'Batt IN'!$E$28/1000*'Batt IN'!$G$13*('Batt IN'!$E$13/12)*'Batt IN'!$E$12,0)</f>
        <v>244.42220833333334</v>
      </c>
      <c r="AZ302" s="10">
        <f>IF('Batt IN'!$E$11="Non-Taxable",$S302*'Batt IN'!$G$15*'Batt IN'!$E$28*'Batt IN'!$E$14/1000,0)</f>
        <v>0</v>
      </c>
      <c r="BA302" s="10">
        <f>IF('Batt IN'!$E$11="Non-Taxable",'Batt IN'!$E$21*'Batt IN'!$G$21/12,0)</f>
        <v>437.5</v>
      </c>
      <c r="BB302" s="10">
        <f>IF('Batt IN'!$E$11="Non-Taxable",'Batt IN'!$E$22*'Batt IN'!$G$22/12,0)</f>
        <v>1145.8333333333335</v>
      </c>
      <c r="BC302" s="10">
        <f>IF('Batt IN'!$E$11="Taxable",Q302,0)</f>
        <v>0</v>
      </c>
      <c r="BD302" s="10">
        <f>IF('Batt IN'!$E$11="Taxable",'Batt IN'!$E$28/1000*'Batt IN'!$G$13*('Batt IN'!$E$13/12)*'Batt IN'!$E$12,0)</f>
        <v>0</v>
      </c>
      <c r="BE302" s="10">
        <f>IF('Batt IN'!$E$11="Taxable",$S302*'Batt IN'!$G$15*'Batt IN'!$E$28*'Batt IN'!$E$14/1000,0)</f>
        <v>0</v>
      </c>
      <c r="BF302" s="10">
        <f>IF('Batt IN'!$E$11="Taxable",'Batt IN'!$E$21*'Batt IN'!$G$21/12,0)</f>
        <v>0</v>
      </c>
      <c r="BG302" s="10">
        <f>IF('Batt IN'!$E$11="Taxable",'Batt IN'!$E$22*'Batt IN'!$G$22/12,0)</f>
        <v>0</v>
      </c>
      <c r="BK302" s="10">
        <f>IF('Batt IN'!$N$18="Yes",-BattLoan!H330,-BattLoan!L330)</f>
        <v>0</v>
      </c>
      <c r="BL302" s="10">
        <f>IF('Batt IN'!$N$18="Yes",-BattLoan!F330,0)</f>
        <v>0</v>
      </c>
      <c r="BM302" s="10">
        <f>IF(AND('Batt IN'!$D$44="YES",$C302&lt;='Batt IN'!$E$44*12),0,-'Batt IN'!$E$28*'Batt IN'!$E$42/12)</f>
        <v>-83.333333333333329</v>
      </c>
      <c r="BN302" s="10">
        <f>IF(AND('Batt IN'!$D$46="YES",$C302&lt;='Batt IN'!$E$46*12),0,-'Batt IN'!$E$28*'Batt IN'!$E$45/12)</f>
        <v>-166.66666666666666</v>
      </c>
      <c r="BO302" s="2">
        <f>IF(AND('Batt IN'!$D$41="YES",BattCalcs!C302=ROUNDUP('Batt IN'!$H$41*12,)),-'Batt IN'!$E$41*'Batt IN'!$E$28,0)</f>
        <v>0</v>
      </c>
      <c r="BP302" s="2">
        <f>IF(AND('Batt IN'!$D$53="Yes",$AL$1&gt;=1),0,IF($C302='Batt IN'!$H$54*12,-'Batt IN'!$F$54,0))</f>
        <v>0</v>
      </c>
      <c r="BQ302" s="2">
        <f>IF(AND('Batt IN'!$D$53="Yes",$AL$1&gt;=2),0,IF($C302='Batt IN'!$H$55*12,-'Batt IN'!$F$55,0))</f>
        <v>0</v>
      </c>
      <c r="BR302" s="2">
        <f>IF(AND('Batt IN'!$D$53="Yes",$AL$1&gt;=3),0,IF($C302='Batt IN'!$H$56*12,-'Batt IN'!$F$56,0))</f>
        <v>0</v>
      </c>
      <c r="BS302" s="2">
        <f>IF(AND('Batt IN'!$D$53="Yes",$AL$1&gt;=4),0,IF($C302='Batt IN'!$H$57*12,-'Batt IN'!$F$57,0))</f>
        <v>0</v>
      </c>
      <c r="BT302" s="2">
        <f>IF(AND('Batt IN'!$D$53="Yes",$AL$1&gt;=5),0,IF($C302='Batt IN'!$H$58*12,-'Batt IN'!$F$58,0))</f>
        <v>0</v>
      </c>
      <c r="BU302" s="2">
        <f>-AH302*PVCalcs!F302</f>
        <v>-373.27924071472859</v>
      </c>
      <c r="BV302" s="2">
        <f>-'Batt IN'!$E$47</f>
        <v>-150</v>
      </c>
      <c r="BW302" s="2">
        <f>-'Batt IN'!$E$49</f>
        <v>-2250</v>
      </c>
      <c r="BX302" s="2">
        <f>IF('Batt IN'!$H$50="No",-(BC302*'Batt IN'!$E$50),-(BC302+BE302)*'Batt IN'!$E$50)</f>
        <v>0</v>
      </c>
      <c r="BY302" s="2">
        <f>IF(C302='Batt IN'!$H$43*12,-'Batt IN'!$E$43,0)</f>
        <v>0</v>
      </c>
      <c r="BZ302" s="38"/>
      <c r="CA302" s="10">
        <f t="shared" si="68"/>
        <v>13422.323408333334</v>
      </c>
      <c r="CB302" s="2">
        <f t="shared" si="72"/>
        <v>-3023.2792407147285</v>
      </c>
      <c r="CC302" s="45">
        <f t="shared" si="73"/>
        <v>10399.044167618606</v>
      </c>
      <c r="CD302" s="43"/>
      <c r="CE302" s="2">
        <f t="shared" si="69"/>
        <v>0</v>
      </c>
      <c r="CF302" s="2">
        <f t="shared" si="74"/>
        <v>-3023.2792407147285</v>
      </c>
      <c r="CG302" s="2"/>
      <c r="CH302" s="2">
        <f t="shared" si="75"/>
        <v>-3023.2792407147285</v>
      </c>
      <c r="CI302" s="45">
        <f>-CH302*'Batt IN'!$E$7</f>
        <v>634.88864055009299</v>
      </c>
      <c r="CJ302" s="48"/>
      <c r="CK302" s="45">
        <f>IF('Batt IN'!$F$4="PV Only",0,IF(C302&gt;'Batt IN'!$H$43*12,0,CC302+CI302))</f>
        <v>0</v>
      </c>
      <c r="CM302" s="10">
        <f t="shared" si="76"/>
        <v>0</v>
      </c>
      <c r="CN302" s="2">
        <f>CK302/(1+('Batt IN'!$G$8))^(C302)</f>
        <v>0</v>
      </c>
      <c r="CO302" s="2" t="e">
        <f>IF(C302&lt;='Batt IN'!$O$30*12,CN302+CO301,NA())</f>
        <v>#N/A</v>
      </c>
      <c r="CQ302" s="2">
        <f>CK302/((1+('Batt IN'!$E$8/12))^BattCalcs!C302)</f>
        <v>0</v>
      </c>
      <c r="CS302" s="10">
        <f t="shared" si="77"/>
        <v>-3023.2792407147285</v>
      </c>
      <c r="CT302" s="10">
        <f t="shared" si="78"/>
        <v>0</v>
      </c>
      <c r="CU302" s="10">
        <f t="shared" si="79"/>
        <v>-3023.2792407147285</v>
      </c>
      <c r="CV302" s="10">
        <f t="shared" si="80"/>
        <v>-3023.2792407147285</v>
      </c>
      <c r="CW302" s="2">
        <f t="shared" si="81"/>
        <v>0</v>
      </c>
      <c r="CX302" s="2">
        <f>-(SUM(CV302:CW302)*'PV IN'!$E$8)</f>
        <v>634.88864055009299</v>
      </c>
      <c r="CY302" s="2">
        <f t="shared" si="82"/>
        <v>-2388.3906001646355</v>
      </c>
      <c r="CZ302" s="2">
        <f>IF(C302&lt;='Batt IN'!$H$43*12,CY302/(1+('PV IN'!$G$9))^(C302),0)</f>
        <v>-711.0570166892212</v>
      </c>
      <c r="DA302" s="33">
        <f>IF(C302&lt;='Batt IN'!$H$43*12,AE302,0)</f>
        <v>30366.783333333333</v>
      </c>
    </row>
    <row r="303" spans="1:105" x14ac:dyDescent="0.25">
      <c r="A303">
        <f>IF(C303&lt;='Batt IN'!$H$43*12,C303,"")</f>
        <v>299</v>
      </c>
      <c r="C303">
        <v>299</v>
      </c>
      <c r="D303" s="21">
        <v>730</v>
      </c>
      <c r="E303" s="1">
        <f>1-'Batt IN'!$E$31</f>
        <v>2.0000000000000018E-2</v>
      </c>
      <c r="F303" s="12">
        <f>('Batt IN'!$E$33*365)/8760</f>
        <v>0</v>
      </c>
      <c r="G303" s="22">
        <f>'Batt IN'!$E$32/8760</f>
        <v>5.7077625570776253E-3</v>
      </c>
      <c r="H303" s="22">
        <f>'Batt IN'!$E$13/8760</f>
        <v>5.5936073059360729E-3</v>
      </c>
      <c r="I303" s="23">
        <f>IF(C303&lt;='Batt IN'!$G$14*12,'Batt IN'!$E$15/8760*'Batt IN'!$G$15,0)</f>
        <v>0</v>
      </c>
      <c r="J303" s="12">
        <f>Z303/'Batt IN'!$E$27/730</f>
        <v>2.4999999999999996E-3</v>
      </c>
      <c r="K303" s="23">
        <f>AA303/'Batt IN'!$E$27/730</f>
        <v>1.6027397260273972E-3</v>
      </c>
      <c r="L303" s="23">
        <f>AB303/'Batt IN'!$E$27/730</f>
        <v>2.0547945205479451E-4</v>
      </c>
      <c r="M303" s="23">
        <f>AC303/'Batt IN'!$E$27/730</f>
        <v>4.7945205479452057E-3</v>
      </c>
      <c r="N303" s="23">
        <f>AD303/'Batt IN'!$E$27/730</f>
        <v>3.4246575342465752E-3</v>
      </c>
      <c r="O303" s="12">
        <f t="shared" si="70"/>
        <v>4.3828767123287697E-2</v>
      </c>
      <c r="P303" s="21">
        <f t="shared" si="71"/>
        <v>698.005</v>
      </c>
      <c r="Q303" s="2">
        <f>IF('Batt IN'!$E$27*'Batt IN'!$E$24&lt;='Batt IN'!$E$28,(('Batt IN'!$E$23*'Batt IN'!$E$27*'Batt IN'!$E$24)/1000)*P303,(('Batt IN'!$E$23*'Batt IN'!$E$28*'Batt IN'!$E$24)/1000)*P303)</f>
        <v>11168.08</v>
      </c>
      <c r="R303" s="2"/>
      <c r="S303" s="77">
        <f>IF(C303&lt;='Batt IN'!$G$14*12,'Batt IN'!$E$15/12,0)</f>
        <v>0</v>
      </c>
      <c r="T303" s="77"/>
      <c r="U303" s="80">
        <f>'Batt IN'!$E$28*('Batt IN'!$G$24/24)*730*(1-O303)</f>
        <v>81433.916666666657</v>
      </c>
      <c r="V303" s="78">
        <f>U303*'Batt IN'!$F$30</f>
        <v>16286.783333333333</v>
      </c>
      <c r="W303" s="78">
        <f>'Batt IN'!$E$28*'Batt IN'!$G$32*('Batt IN'!$E$32/12)*(1+'Batt IN'!$F$30)</f>
        <v>1750.0000000000002</v>
      </c>
      <c r="X303" s="78">
        <f>'Batt IN'!$E$28*'Batt IN'!$G$13*('Batt IN'!$E$13/12)*(1+'Batt IN'!$F$30)</f>
        <v>3184.9999999999995</v>
      </c>
      <c r="Y303" s="33">
        <f>S303*'Batt IN'!$G$15*'Batt IN'!$E$28*(1+'Batt IN'!$F$30)</f>
        <v>0</v>
      </c>
      <c r="Z303" s="33">
        <f>'Batt IN'!$G$16*365/12*(1+'Batt IN'!$F$30)</f>
        <v>1824.9999999999998</v>
      </c>
      <c r="AA303" s="33">
        <f>'Batt IN'!$G$17*'Batt IN'!$E$18*'Batt IN'!$G$18/12*(1+'Batt IN'!$F$30)</f>
        <v>1170</v>
      </c>
      <c r="AB303" s="33">
        <f>'Batt IN'!$G$19*'Batt IN'!$E$20*'Batt IN'!$G$20/12*(1+'Batt IN'!$F$30)</f>
        <v>150</v>
      </c>
      <c r="AC303" s="33">
        <f>'Batt IN'!$G$21*(1+'Batt IN'!$F$30)/12</f>
        <v>3500</v>
      </c>
      <c r="AD303" s="33">
        <f>'Batt IN'!$G$22*(1+'Batt IN'!$F$30)/12</f>
        <v>2500</v>
      </c>
      <c r="AE303" s="33">
        <f t="shared" si="83"/>
        <v>30366.783333333333</v>
      </c>
      <c r="AF303" s="33">
        <f>IF('PV IN'!$F$4="Battery Only",0,AE303*'Batt IN'!$E$29)</f>
        <v>25811.765833333331</v>
      </c>
      <c r="AG303" s="33">
        <f>PVCalcs!L303</f>
        <v>25811.765833333331</v>
      </c>
      <c r="AH303" s="33">
        <f t="shared" si="84"/>
        <v>4555.0175000000017</v>
      </c>
      <c r="AI303" s="33"/>
      <c r="AJ303" s="2">
        <f>IF(AND('Batt IN'!$D$53="Yes",$AL$1&gt;=1),IF($C303='Batt IN'!$H$54*12,-'Batt IN'!$F$54,0),0)</f>
        <v>0</v>
      </c>
      <c r="AK303" s="2">
        <f>IF(AND('Batt IN'!$D$53="Yes",$AL$1&gt;=2),IF($C303='Batt IN'!$H$55*12,-'Batt IN'!$F$55,0),0)</f>
        <v>0</v>
      </c>
      <c r="AL303" s="2">
        <f>IF(AND('Batt IN'!$D$53="Yes",$AL$1&gt;=3),IF($C303='Batt IN'!$H$56*12,-'Batt IN'!$F$56,0),0)</f>
        <v>0</v>
      </c>
      <c r="AM303" s="2">
        <f>IF(AND('Batt IN'!$D$53="Yes",$AL$1&gt;=4),IF($C303='Batt IN'!$H$57*12,-'Batt IN'!$F$57,0),0)</f>
        <v>0</v>
      </c>
      <c r="AN303" s="2">
        <f>IF(AND('Batt IN'!$D$53="Yes",$AL$1&gt;=5),IF($C303='Batt IN'!$H$58*12,-'Batt IN'!$F$58,0),0)</f>
        <v>0</v>
      </c>
      <c r="AO303" s="10">
        <f>IF(AND('Batt IN'!$D$44="YES",$C303&lt;='Batt IN'!$E$44*12),-'Batt IN'!$E$28*'Batt IN'!$E$42/12,0)</f>
        <v>0</v>
      </c>
      <c r="AP303" s="10">
        <f>IF(AND('Batt IN'!$D$46="YES",$C303&lt;='Batt IN'!$E$46*12),-'Batt IN'!$E$28*'Batt IN'!$E$45/12,0)</f>
        <v>0</v>
      </c>
      <c r="AR303" s="10">
        <f>BattLoan!M330</f>
        <v>0</v>
      </c>
      <c r="AS303" s="10">
        <f>'Batt IN'!$G$16*365/12*'Batt IN'!$E$16</f>
        <v>76.041666666666671</v>
      </c>
      <c r="AT303" s="10">
        <f>IF(AND('Batt IN'!$E$18&gt;0,'Batt IN'!$G$18&gt;0),'Batt IN'!$E$17*'Batt IN'!$G$17,0)</f>
        <v>119.44619999999999</v>
      </c>
      <c r="AU303" s="10">
        <f>IF(AND('Batt IN'!$E$20&gt;0,'Batt IN'!$G$20&gt;0),'Batt IN'!$E$19*'Batt IN'!$G$19,0)</f>
        <v>231</v>
      </c>
      <c r="AV303" s="10"/>
      <c r="AW303" s="10"/>
      <c r="AX303" s="10">
        <f>IF('Batt IN'!$E$11="Non-Taxable",Q303,0)</f>
        <v>11168.08</v>
      </c>
      <c r="AY303" s="10">
        <f>IF('Batt IN'!$E$11="Non-Taxable",'Batt IN'!$E$28/1000*'Batt IN'!$G$13*('Batt IN'!$E$13/12)*'Batt IN'!$E$12,0)</f>
        <v>244.42220833333334</v>
      </c>
      <c r="AZ303" s="10">
        <f>IF('Batt IN'!$E$11="Non-Taxable",$S303*'Batt IN'!$G$15*'Batt IN'!$E$28*'Batt IN'!$E$14/1000,0)</f>
        <v>0</v>
      </c>
      <c r="BA303" s="10">
        <f>IF('Batt IN'!$E$11="Non-Taxable",'Batt IN'!$E$21*'Batt IN'!$G$21/12,0)</f>
        <v>437.5</v>
      </c>
      <c r="BB303" s="10">
        <f>IF('Batt IN'!$E$11="Non-Taxable",'Batt IN'!$E$22*'Batt IN'!$G$22/12,0)</f>
        <v>1145.8333333333335</v>
      </c>
      <c r="BC303" s="10">
        <f>IF('Batt IN'!$E$11="Taxable",Q303,0)</f>
        <v>0</v>
      </c>
      <c r="BD303" s="10">
        <f>IF('Batt IN'!$E$11="Taxable",'Batt IN'!$E$28/1000*'Batt IN'!$G$13*('Batt IN'!$E$13/12)*'Batt IN'!$E$12,0)</f>
        <v>0</v>
      </c>
      <c r="BE303" s="10">
        <f>IF('Batt IN'!$E$11="Taxable",$S303*'Batt IN'!$G$15*'Batt IN'!$E$28*'Batt IN'!$E$14/1000,0)</f>
        <v>0</v>
      </c>
      <c r="BF303" s="10">
        <f>IF('Batt IN'!$E$11="Taxable",'Batt IN'!$E$21*'Batt IN'!$G$21/12,0)</f>
        <v>0</v>
      </c>
      <c r="BG303" s="10">
        <f>IF('Batt IN'!$E$11="Taxable",'Batt IN'!$E$22*'Batt IN'!$G$22/12,0)</f>
        <v>0</v>
      </c>
      <c r="BK303" s="10">
        <f>IF('Batt IN'!$N$18="Yes",-BattLoan!H331,-BattLoan!L331)</f>
        <v>0</v>
      </c>
      <c r="BL303" s="10">
        <f>IF('Batt IN'!$N$18="Yes",-BattLoan!F331,0)</f>
        <v>0</v>
      </c>
      <c r="BM303" s="10">
        <f>IF(AND('Batt IN'!$D$44="YES",$C303&lt;='Batt IN'!$E$44*12),0,-'Batt IN'!$E$28*'Batt IN'!$E$42/12)</f>
        <v>-83.333333333333329</v>
      </c>
      <c r="BN303" s="10">
        <f>IF(AND('Batt IN'!$D$46="YES",$C303&lt;='Batt IN'!$E$46*12),0,-'Batt IN'!$E$28*'Batt IN'!$E$45/12)</f>
        <v>-166.66666666666666</v>
      </c>
      <c r="BO303" s="2">
        <f>IF(AND('Batt IN'!$D$41="YES",BattCalcs!C303=ROUNDUP('Batt IN'!$H$41*12,)),-'Batt IN'!$E$41*'Batt IN'!$E$28,0)</f>
        <v>0</v>
      </c>
      <c r="BP303" s="2">
        <f>IF(AND('Batt IN'!$D$53="Yes",$AL$1&gt;=1),0,IF($C303='Batt IN'!$H$54*12,-'Batt IN'!$F$54,0))</f>
        <v>0</v>
      </c>
      <c r="BQ303" s="2">
        <f>IF(AND('Batt IN'!$D$53="Yes",$AL$1&gt;=2),0,IF($C303='Batt IN'!$H$55*12,-'Batt IN'!$F$55,0))</f>
        <v>0</v>
      </c>
      <c r="BR303" s="2">
        <f>IF(AND('Batt IN'!$D$53="Yes",$AL$1&gt;=3),0,IF($C303='Batt IN'!$H$56*12,-'Batt IN'!$F$56,0))</f>
        <v>0</v>
      </c>
      <c r="BS303" s="2">
        <f>IF(AND('Batt IN'!$D$53="Yes",$AL$1&gt;=4),0,IF($C303='Batt IN'!$H$57*12,-'Batt IN'!$F$57,0))</f>
        <v>0</v>
      </c>
      <c r="BT303" s="2">
        <f>IF(AND('Batt IN'!$D$53="Yes",$AL$1&gt;=5),0,IF($C303='Batt IN'!$H$58*12,-'Batt IN'!$F$58,0))</f>
        <v>0</v>
      </c>
      <c r="BU303" s="2">
        <f>-AH303*PVCalcs!F303</f>
        <v>-373.27924071472859</v>
      </c>
      <c r="BV303" s="2">
        <f>-'Batt IN'!$E$47</f>
        <v>-150</v>
      </c>
      <c r="BW303" s="2">
        <f>-'Batt IN'!$E$49</f>
        <v>-2250</v>
      </c>
      <c r="BX303" s="2">
        <f>IF('Batt IN'!$H$50="No",-(BC303*'Batt IN'!$E$50),-(BC303+BE303)*'Batt IN'!$E$50)</f>
        <v>0</v>
      </c>
      <c r="BY303" s="2">
        <f>IF(C303='Batt IN'!$H$43*12,-'Batt IN'!$E$43,0)</f>
        <v>0</v>
      </c>
      <c r="BZ303" s="38"/>
      <c r="CA303" s="10">
        <f t="shared" si="68"/>
        <v>13422.323408333334</v>
      </c>
      <c r="CB303" s="2">
        <f t="shared" si="72"/>
        <v>-3023.2792407147285</v>
      </c>
      <c r="CC303" s="45">
        <f t="shared" si="73"/>
        <v>10399.044167618606</v>
      </c>
      <c r="CD303" s="43"/>
      <c r="CE303" s="2">
        <f t="shared" si="69"/>
        <v>0</v>
      </c>
      <c r="CF303" s="2">
        <f t="shared" si="74"/>
        <v>-3023.2792407147285</v>
      </c>
      <c r="CG303" s="2"/>
      <c r="CH303" s="2">
        <f t="shared" si="75"/>
        <v>-3023.2792407147285</v>
      </c>
      <c r="CI303" s="45">
        <f>-CH303*'Batt IN'!$E$7</f>
        <v>634.88864055009299</v>
      </c>
      <c r="CJ303" s="48"/>
      <c r="CK303" s="45">
        <f>IF('Batt IN'!$F$4="PV Only",0,IF(C303&gt;'Batt IN'!$H$43*12,0,CC303+CI303))</f>
        <v>0</v>
      </c>
      <c r="CM303" s="10">
        <f t="shared" si="76"/>
        <v>0</v>
      </c>
      <c r="CN303" s="2">
        <f>CK303/(1+('Batt IN'!$G$8))^(C303)</f>
        <v>0</v>
      </c>
      <c r="CO303" s="2" t="e">
        <f>IF(C303&lt;='Batt IN'!$O$30*12,CN303+CO302,NA())</f>
        <v>#N/A</v>
      </c>
      <c r="CQ303" s="2">
        <f>CK303/((1+('Batt IN'!$E$8/12))^BattCalcs!C303)</f>
        <v>0</v>
      </c>
      <c r="CS303" s="10">
        <f t="shared" si="77"/>
        <v>-3023.2792407147285</v>
      </c>
      <c r="CT303" s="10">
        <f t="shared" si="78"/>
        <v>0</v>
      </c>
      <c r="CU303" s="10">
        <f t="shared" si="79"/>
        <v>-3023.2792407147285</v>
      </c>
      <c r="CV303" s="10">
        <f t="shared" si="80"/>
        <v>-3023.2792407147285</v>
      </c>
      <c r="CW303" s="2">
        <f t="shared" si="81"/>
        <v>0</v>
      </c>
      <c r="CX303" s="2">
        <f>-(SUM(CV303:CW303)*'PV IN'!$E$8)</f>
        <v>634.88864055009299</v>
      </c>
      <c r="CY303" s="2">
        <f t="shared" si="82"/>
        <v>-2388.3906001646355</v>
      </c>
      <c r="CZ303" s="2">
        <f>IF(C303&lt;='Batt IN'!$H$43*12,CY303/(1+('PV IN'!$G$9))^(C303),0)</f>
        <v>-708.17183696533084</v>
      </c>
      <c r="DA303" s="33">
        <f>IF(C303&lt;='Batt IN'!$H$43*12,AE303,0)</f>
        <v>30366.783333333333</v>
      </c>
    </row>
    <row r="304" spans="1:105" x14ac:dyDescent="0.25">
      <c r="A304">
        <f>IF(C304&lt;='Batt IN'!$H$43*12,C304,"")</f>
        <v>300</v>
      </c>
      <c r="B304">
        <v>25</v>
      </c>
      <c r="C304">
        <v>300</v>
      </c>
      <c r="D304" s="21">
        <v>730</v>
      </c>
      <c r="E304" s="1">
        <f>1-'Batt IN'!$E$31</f>
        <v>2.0000000000000018E-2</v>
      </c>
      <c r="F304" s="12">
        <f>('Batt IN'!$E$33*365)/8760</f>
        <v>0</v>
      </c>
      <c r="G304" s="22">
        <f>'Batt IN'!$E$32/8760</f>
        <v>5.7077625570776253E-3</v>
      </c>
      <c r="H304" s="22">
        <f>'Batt IN'!$E$13/8760</f>
        <v>5.5936073059360729E-3</v>
      </c>
      <c r="I304" s="23">
        <f>IF(C304&lt;='Batt IN'!$G$14*12,'Batt IN'!$E$15/8760*'Batt IN'!$G$15,0)</f>
        <v>0</v>
      </c>
      <c r="J304" s="12">
        <f>Z304/'Batt IN'!$E$27/730</f>
        <v>2.4999999999999996E-3</v>
      </c>
      <c r="K304" s="23">
        <f>AA304/'Batt IN'!$E$27/730</f>
        <v>1.6027397260273972E-3</v>
      </c>
      <c r="L304" s="23">
        <f>AB304/'Batt IN'!$E$27/730</f>
        <v>2.0547945205479451E-4</v>
      </c>
      <c r="M304" s="23">
        <f>AC304/'Batt IN'!$E$27/730</f>
        <v>4.7945205479452057E-3</v>
      </c>
      <c r="N304" s="23">
        <f>AD304/'Batt IN'!$E$27/730</f>
        <v>3.4246575342465752E-3</v>
      </c>
      <c r="O304" s="12">
        <f t="shared" si="70"/>
        <v>4.3828767123287697E-2</v>
      </c>
      <c r="P304" s="21">
        <f t="shared" si="71"/>
        <v>698.005</v>
      </c>
      <c r="Q304" s="2">
        <f>IF('Batt IN'!$E$27*'Batt IN'!$E$24&lt;='Batt IN'!$E$28,(('Batt IN'!$E$23*'Batt IN'!$E$27*'Batt IN'!$E$24)/1000)*P304,(('Batt IN'!$E$23*'Batt IN'!$E$28*'Batt IN'!$E$24)/1000)*P304)</f>
        <v>11168.08</v>
      </c>
      <c r="R304" s="2"/>
      <c r="S304" s="77">
        <f>IF(C304&lt;='Batt IN'!$G$14*12,'Batt IN'!$E$15/12,0)</f>
        <v>0</v>
      </c>
      <c r="T304" s="77"/>
      <c r="U304" s="80">
        <f>'Batt IN'!$E$28*('Batt IN'!$G$24/24)*730*(1-O304)</f>
        <v>81433.916666666657</v>
      </c>
      <c r="V304" s="78">
        <f>U304*'Batt IN'!$F$30</f>
        <v>16286.783333333333</v>
      </c>
      <c r="W304" s="78">
        <f>'Batt IN'!$E$28*'Batt IN'!$G$32*('Batt IN'!$E$32/12)*(1+'Batt IN'!$F$30)</f>
        <v>1750.0000000000002</v>
      </c>
      <c r="X304" s="78">
        <f>'Batt IN'!$E$28*'Batt IN'!$G$13*('Batt IN'!$E$13/12)*(1+'Batt IN'!$F$30)</f>
        <v>3184.9999999999995</v>
      </c>
      <c r="Y304" s="33">
        <f>S304*'Batt IN'!$G$15*'Batt IN'!$E$28*(1+'Batt IN'!$F$30)</f>
        <v>0</v>
      </c>
      <c r="Z304" s="33">
        <f>'Batt IN'!$G$16*365/12*(1+'Batt IN'!$F$30)</f>
        <v>1824.9999999999998</v>
      </c>
      <c r="AA304" s="33">
        <f>'Batt IN'!$G$17*'Batt IN'!$E$18*'Batt IN'!$G$18/12*(1+'Batt IN'!$F$30)</f>
        <v>1170</v>
      </c>
      <c r="AB304" s="33">
        <f>'Batt IN'!$G$19*'Batt IN'!$E$20*'Batt IN'!$G$20/12*(1+'Batt IN'!$F$30)</f>
        <v>150</v>
      </c>
      <c r="AC304" s="33">
        <f>'Batt IN'!$G$21*(1+'Batt IN'!$F$30)/12</f>
        <v>3500</v>
      </c>
      <c r="AD304" s="33">
        <f>'Batt IN'!$G$22*(1+'Batt IN'!$F$30)/12</f>
        <v>2500</v>
      </c>
      <c r="AE304" s="33">
        <f t="shared" si="83"/>
        <v>30366.783333333333</v>
      </c>
      <c r="AF304" s="33">
        <f>IF('PV IN'!$F$4="Battery Only",0,AE304*'Batt IN'!$E$29)</f>
        <v>25811.765833333331</v>
      </c>
      <c r="AG304" s="33">
        <f>PVCalcs!L304</f>
        <v>25811.765833333331</v>
      </c>
      <c r="AH304" s="33">
        <f t="shared" si="84"/>
        <v>4555.0175000000017</v>
      </c>
      <c r="AI304" s="33"/>
      <c r="AJ304" s="2">
        <f>IF(AND('Batt IN'!$D$53="Yes",$AL$1&gt;=1),IF($C304='Batt IN'!$H$54*12,-'Batt IN'!$F$54,0),0)</f>
        <v>0</v>
      </c>
      <c r="AK304" s="2">
        <f>IF(AND('Batt IN'!$D$53="Yes",$AL$1&gt;=2),IF($C304='Batt IN'!$H$55*12,-'Batt IN'!$F$55,0),0)</f>
        <v>0</v>
      </c>
      <c r="AL304" s="2">
        <f>IF(AND('Batt IN'!$D$53="Yes",$AL$1&gt;=3),IF($C304='Batt IN'!$H$56*12,-'Batt IN'!$F$56,0),0)</f>
        <v>0</v>
      </c>
      <c r="AM304" s="2">
        <f>IF(AND('Batt IN'!$D$53="Yes",$AL$1&gt;=4),IF($C304='Batt IN'!$H$57*12,-'Batt IN'!$F$57,0),0)</f>
        <v>0</v>
      </c>
      <c r="AN304" s="2">
        <f>IF(AND('Batt IN'!$D$53="Yes",$AL$1&gt;=5),IF($C304='Batt IN'!$H$58*12,-'Batt IN'!$F$58,0),0)</f>
        <v>0</v>
      </c>
      <c r="AO304" s="10">
        <f>IF(AND('Batt IN'!$D$44="YES",$C304&lt;='Batt IN'!$E$44*12),-'Batt IN'!$E$28*'Batt IN'!$E$42/12,0)</f>
        <v>0</v>
      </c>
      <c r="AP304" s="10">
        <f>IF(AND('Batt IN'!$D$46="YES",$C304&lt;='Batt IN'!$E$46*12),-'Batt IN'!$E$28*'Batt IN'!$E$45/12,0)</f>
        <v>0</v>
      </c>
      <c r="AR304" s="10">
        <f>BattLoan!M331</f>
        <v>0</v>
      </c>
      <c r="AS304" s="10">
        <f>'Batt IN'!$G$16*365/12*'Batt IN'!$E$16</f>
        <v>76.041666666666671</v>
      </c>
      <c r="AT304" s="10">
        <f>IF(AND('Batt IN'!$E$18&gt;0,'Batt IN'!$G$18&gt;0),'Batt IN'!$E$17*'Batt IN'!$G$17,0)</f>
        <v>119.44619999999999</v>
      </c>
      <c r="AU304" s="10">
        <f>IF(AND('Batt IN'!$E$20&gt;0,'Batt IN'!$G$20&gt;0),'Batt IN'!$E$19*'Batt IN'!$G$19,0)</f>
        <v>231</v>
      </c>
      <c r="AV304" s="10"/>
      <c r="AW304" s="10"/>
      <c r="AX304" s="10">
        <f>IF('Batt IN'!$E$11="Non-Taxable",Q304,0)</f>
        <v>11168.08</v>
      </c>
      <c r="AY304" s="10">
        <f>IF('Batt IN'!$E$11="Non-Taxable",'Batt IN'!$E$28/1000*'Batt IN'!$G$13*('Batt IN'!$E$13/12)*'Batt IN'!$E$12,0)</f>
        <v>244.42220833333334</v>
      </c>
      <c r="AZ304" s="10">
        <f>IF('Batt IN'!$E$11="Non-Taxable",$S304*'Batt IN'!$G$15*'Batt IN'!$E$28*'Batt IN'!$E$14/1000,0)</f>
        <v>0</v>
      </c>
      <c r="BA304" s="10">
        <f>IF('Batt IN'!$E$11="Non-Taxable",'Batt IN'!$E$21*'Batt IN'!$G$21/12,0)</f>
        <v>437.5</v>
      </c>
      <c r="BB304" s="10">
        <f>IF('Batt IN'!$E$11="Non-Taxable",'Batt IN'!$E$22*'Batt IN'!$G$22/12,0)</f>
        <v>1145.8333333333335</v>
      </c>
      <c r="BC304" s="10">
        <f>IF('Batt IN'!$E$11="Taxable",Q304,0)</f>
        <v>0</v>
      </c>
      <c r="BD304" s="10">
        <f>IF('Batt IN'!$E$11="Taxable",'Batt IN'!$E$28/1000*'Batt IN'!$G$13*('Batt IN'!$E$13/12)*'Batt IN'!$E$12,0)</f>
        <v>0</v>
      </c>
      <c r="BE304" s="10">
        <f>IF('Batt IN'!$E$11="Taxable",$S304*'Batt IN'!$G$15*'Batt IN'!$E$28*'Batt IN'!$E$14/1000,0)</f>
        <v>0</v>
      </c>
      <c r="BF304" s="10">
        <f>IF('Batt IN'!$E$11="Taxable",'Batt IN'!$E$21*'Batt IN'!$G$21/12,0)</f>
        <v>0</v>
      </c>
      <c r="BG304" s="10">
        <f>IF('Batt IN'!$E$11="Taxable",'Batt IN'!$E$22*'Batt IN'!$G$22/12,0)</f>
        <v>0</v>
      </c>
      <c r="BK304" s="10">
        <f>IF('Batt IN'!$N$18="Yes",-BattLoan!H332,-BattLoan!L332)</f>
        <v>0</v>
      </c>
      <c r="BL304" s="10">
        <f>IF('Batt IN'!$N$18="Yes",-BattLoan!F332,0)</f>
        <v>0</v>
      </c>
      <c r="BM304" s="10">
        <f>IF(AND('Batt IN'!$D$44="YES",$C304&lt;='Batt IN'!$E$44*12),0,-'Batt IN'!$E$28*'Batt IN'!$E$42/12)</f>
        <v>-83.333333333333329</v>
      </c>
      <c r="BN304" s="10">
        <f>IF(AND('Batt IN'!$D$46="YES",$C304&lt;='Batt IN'!$E$46*12),0,-'Batt IN'!$E$28*'Batt IN'!$E$45/12)</f>
        <v>-166.66666666666666</v>
      </c>
      <c r="BO304" s="2">
        <f>IF(AND('Batt IN'!$D$41="YES",BattCalcs!C304=ROUNDUP('Batt IN'!$H$41*12,)),-'Batt IN'!$E$41*'Batt IN'!$E$28,0)</f>
        <v>0</v>
      </c>
      <c r="BP304" s="2">
        <f>IF(AND('Batt IN'!$D$53="Yes",$AL$1&gt;=1),0,IF($C304='Batt IN'!$H$54*12,-'Batt IN'!$F$54,0))</f>
        <v>0</v>
      </c>
      <c r="BQ304" s="2">
        <f>IF(AND('Batt IN'!$D$53="Yes",$AL$1&gt;=2),0,IF($C304='Batt IN'!$H$55*12,-'Batt IN'!$F$55,0))</f>
        <v>0</v>
      </c>
      <c r="BR304" s="2">
        <f>IF(AND('Batt IN'!$D$53="Yes",$AL$1&gt;=3),0,IF($C304='Batt IN'!$H$56*12,-'Batt IN'!$F$56,0))</f>
        <v>0</v>
      </c>
      <c r="BS304" s="2">
        <f>IF(AND('Batt IN'!$D$53="Yes",$AL$1&gt;=4),0,IF($C304='Batt IN'!$H$57*12,-'Batt IN'!$F$57,0))</f>
        <v>0</v>
      </c>
      <c r="BT304" s="2">
        <f>IF(AND('Batt IN'!$D$53="Yes",$AL$1&gt;=5),0,IF($C304='Batt IN'!$H$58*12,-'Batt IN'!$F$58,0))</f>
        <v>-20000</v>
      </c>
      <c r="BU304" s="2">
        <f>-AH304*PVCalcs!F304</f>
        <v>-373.27924071472859</v>
      </c>
      <c r="BV304" s="2">
        <f>-'Batt IN'!$E$47</f>
        <v>-150</v>
      </c>
      <c r="BW304" s="2">
        <f>-'Batt IN'!$E$49</f>
        <v>-2250</v>
      </c>
      <c r="BX304" s="2">
        <f>IF('Batt IN'!$H$50="No",-(BC304*'Batt IN'!$E$50),-(BC304+BE304)*'Batt IN'!$E$50)</f>
        <v>0</v>
      </c>
      <c r="BY304" s="2">
        <f>IF(C304='Batt IN'!$H$43*12,-'Batt IN'!$E$43,0)</f>
        <v>-15000</v>
      </c>
      <c r="BZ304" s="38"/>
      <c r="CA304" s="10">
        <f t="shared" si="68"/>
        <v>13422.323408333334</v>
      </c>
      <c r="CB304" s="2">
        <f t="shared" si="72"/>
        <v>-38023.279240714728</v>
      </c>
      <c r="CC304" s="45">
        <f t="shared" si="73"/>
        <v>-24600.955832381394</v>
      </c>
      <c r="CD304" s="43"/>
      <c r="CE304" s="2">
        <f t="shared" si="69"/>
        <v>0</v>
      </c>
      <c r="CF304" s="2">
        <f t="shared" si="74"/>
        <v>-38023.279240714728</v>
      </c>
      <c r="CG304" s="2"/>
      <c r="CH304" s="2">
        <f t="shared" si="75"/>
        <v>-38023.279240714728</v>
      </c>
      <c r="CI304" s="45">
        <f>-CH304*'Batt IN'!$E$7</f>
        <v>7984.8886405500925</v>
      </c>
      <c r="CJ304" s="48"/>
      <c r="CK304" s="45">
        <f>IF('Batt IN'!$F$4="PV Only",0,IF(C304&gt;'Batt IN'!$H$43*12,0,CC304+CI304))</f>
        <v>0</v>
      </c>
      <c r="CM304" s="10">
        <f t="shared" si="76"/>
        <v>0</v>
      </c>
      <c r="CN304" s="2">
        <f>CK304/(1+('Batt IN'!$G$8))^(C304)</f>
        <v>0</v>
      </c>
      <c r="CO304" s="2" t="e">
        <f>IF(C304&lt;='Batt IN'!$O$30*12,CN304+CO303,NA())</f>
        <v>#N/A</v>
      </c>
      <c r="CQ304" s="2">
        <f>CK304/((1+('Batt IN'!$E$8/12))^BattCalcs!C304)</f>
        <v>0</v>
      </c>
      <c r="CS304" s="10">
        <f t="shared" si="77"/>
        <v>-38023.279240714728</v>
      </c>
      <c r="CT304" s="10">
        <f t="shared" si="78"/>
        <v>0</v>
      </c>
      <c r="CU304" s="10">
        <f t="shared" si="79"/>
        <v>-38023.279240714728</v>
      </c>
      <c r="CV304" s="10">
        <f t="shared" si="80"/>
        <v>-23023.279240714728</v>
      </c>
      <c r="CW304" s="2">
        <f t="shared" si="81"/>
        <v>0</v>
      </c>
      <c r="CX304" s="2">
        <f>-(SUM(CV304:CW304)*'PV IN'!$E$8)</f>
        <v>4834.8886405500925</v>
      </c>
      <c r="CY304" s="2">
        <f t="shared" si="82"/>
        <v>-33188.390600164639</v>
      </c>
      <c r="CZ304" s="2">
        <f>IF(C304&lt;='Batt IN'!$H$43*12,CY304/(1+('PV IN'!$G$9))^(C304),0)</f>
        <v>-9800.623732416303</v>
      </c>
      <c r="DA304" s="33">
        <f>IF(C304&lt;='Batt IN'!$H$43*12,AE304,0)</f>
        <v>30366.783333333333</v>
      </c>
    </row>
    <row r="305" spans="1:105" x14ac:dyDescent="0.25">
      <c r="A305" t="str">
        <f>IF(C305&lt;='Batt IN'!$H$43*12,C305,"")</f>
        <v/>
      </c>
      <c r="C305">
        <v>301</v>
      </c>
      <c r="D305" s="21">
        <v>731</v>
      </c>
      <c r="E305" s="1">
        <f>1-'Batt IN'!$E$31</f>
        <v>2.0000000000000018E-2</v>
      </c>
      <c r="F305" s="12">
        <f>('Batt IN'!$E$33*365)/8760</f>
        <v>0</v>
      </c>
      <c r="G305" s="22">
        <f>'Batt IN'!$E$32/8760</f>
        <v>5.7077625570776253E-3</v>
      </c>
      <c r="H305" s="22">
        <f>'Batt IN'!$E$13/8760</f>
        <v>5.5936073059360729E-3</v>
      </c>
      <c r="I305" s="23">
        <f>IF(C305&lt;='Batt IN'!$G$14*12,'Batt IN'!$E$15/8760*'Batt IN'!$G$15,0)</f>
        <v>0</v>
      </c>
      <c r="J305" s="12">
        <f>Z305/'Batt IN'!$E$27/730</f>
        <v>2.4999999999999996E-3</v>
      </c>
      <c r="K305" s="23">
        <f>AA305/'Batt IN'!$E$27/730</f>
        <v>1.6027397260273972E-3</v>
      </c>
      <c r="L305" s="23">
        <f>AB305/'Batt IN'!$E$27/730</f>
        <v>2.0547945205479451E-4</v>
      </c>
      <c r="M305" s="23">
        <f>AC305/'Batt IN'!$E$27/730</f>
        <v>4.7945205479452057E-3</v>
      </c>
      <c r="N305" s="23">
        <f>AD305/'Batt IN'!$E$27/730</f>
        <v>3.4246575342465752E-3</v>
      </c>
      <c r="O305" s="12">
        <f t="shared" ref="O305:O364" si="85">SUM(E305:N305)</f>
        <v>4.3828767123287697E-2</v>
      </c>
      <c r="P305" s="21">
        <f t="shared" ref="P305:P364" si="86">D305*(1-O305)</f>
        <v>698.96117123287672</v>
      </c>
      <c r="Q305" s="2">
        <f>IF('Batt IN'!$E$27*'Batt IN'!$E$24&lt;='Batt IN'!$E$28,(('Batt IN'!$E$23*'Batt IN'!$E$27*'Batt IN'!$E$24)/1000)*P305,(('Batt IN'!$E$23*'Batt IN'!$E$28*'Batt IN'!$E$24)/1000)*P305)</f>
        <v>11183.378739726028</v>
      </c>
      <c r="R305" s="2"/>
      <c r="S305" s="77">
        <f>IF(C305&lt;='Batt IN'!$G$14*12,'Batt IN'!$E$15/12,0)</f>
        <v>0</v>
      </c>
      <c r="T305" s="77"/>
      <c r="U305" s="80">
        <f>'Batt IN'!$E$28*('Batt IN'!$G$24/24)*730*(1-O305)</f>
        <v>81433.916666666657</v>
      </c>
      <c r="V305" s="78">
        <f>U305*'Batt IN'!$F$30</f>
        <v>16286.783333333333</v>
      </c>
      <c r="W305" s="78">
        <f>'Batt IN'!$E$28*'Batt IN'!$G$32*('Batt IN'!$E$32/12)*(1+'Batt IN'!$F$30)</f>
        <v>1750.0000000000002</v>
      </c>
      <c r="X305" s="78">
        <f>'Batt IN'!$E$28*'Batt IN'!$G$13*('Batt IN'!$E$13/12)*(1+'Batt IN'!$F$30)</f>
        <v>3184.9999999999995</v>
      </c>
      <c r="Y305" s="33">
        <f>S305*'Batt IN'!$G$15*'Batt IN'!$E$28*(1+'Batt IN'!$F$30)</f>
        <v>0</v>
      </c>
      <c r="Z305" s="33">
        <f>'Batt IN'!$G$16*365/12*(1+'Batt IN'!$F$30)</f>
        <v>1824.9999999999998</v>
      </c>
      <c r="AA305" s="33">
        <f>'Batt IN'!$G$17*'Batt IN'!$E$18*'Batt IN'!$G$18/12*(1+'Batt IN'!$F$30)</f>
        <v>1170</v>
      </c>
      <c r="AB305" s="33">
        <f>'Batt IN'!$G$19*'Batt IN'!$E$20*'Batt IN'!$G$20/12*(1+'Batt IN'!$F$30)</f>
        <v>150</v>
      </c>
      <c r="AC305" s="33">
        <f>'Batt IN'!$G$21*(1+'Batt IN'!$F$30)/12</f>
        <v>3500</v>
      </c>
      <c r="AD305" s="33">
        <f>'Batt IN'!$G$22*(1+'Batt IN'!$F$30)/12</f>
        <v>2500</v>
      </c>
      <c r="AE305" s="33">
        <f t="shared" ref="AE305:AE364" si="87">SUM(V305:AD305)</f>
        <v>30366.783333333333</v>
      </c>
      <c r="AF305" s="33">
        <f>IF('PV IN'!$F$4="Battery Only",0,AE305*'Batt IN'!$E$29)</f>
        <v>25811.765833333331</v>
      </c>
      <c r="AG305" s="33">
        <f>PVCalcs!L305</f>
        <v>25811.765833333331</v>
      </c>
      <c r="AH305" s="33">
        <f t="shared" ref="AH305:AH364" si="88">AE305-AG305</f>
        <v>4555.0175000000017</v>
      </c>
      <c r="AI305" s="33"/>
      <c r="AJ305" s="2">
        <f>IF(AND('Batt IN'!$D$53="Yes",$AL$1&gt;=1),IF($C305='Batt IN'!$H$54*12,-'Batt IN'!$F$54,0),0)</f>
        <v>0</v>
      </c>
      <c r="AK305" s="2">
        <f>IF(AND('Batt IN'!$D$53="Yes",$AL$1&gt;=2),IF($C305='Batt IN'!$H$55*12,-'Batt IN'!$F$55,0),0)</f>
        <v>0</v>
      </c>
      <c r="AL305" s="2">
        <f>IF(AND('Batt IN'!$D$53="Yes",$AL$1&gt;=3),IF($C305='Batt IN'!$H$56*12,-'Batt IN'!$F$56,0),0)</f>
        <v>0</v>
      </c>
      <c r="AM305" s="2">
        <f>IF(AND('Batt IN'!$D$53="Yes",$AL$1&gt;=4),IF($C305='Batt IN'!$H$57*12,-'Batt IN'!$F$57,0),0)</f>
        <v>0</v>
      </c>
      <c r="AN305" s="2">
        <f>IF(AND('Batt IN'!$D$53="Yes",$AL$1&gt;=5),IF($C305='Batt IN'!$H$58*12,-'Batt IN'!$F$58,0),0)</f>
        <v>0</v>
      </c>
      <c r="AO305" s="10">
        <f>IF(AND('Batt IN'!$D$44="YES",$C305&lt;='Batt IN'!$E$44*12),-'Batt IN'!$E$28*'Batt IN'!$E$42/12,0)</f>
        <v>0</v>
      </c>
      <c r="AP305" s="10">
        <f>IF(AND('Batt IN'!$D$46="YES",$C305&lt;='Batt IN'!$E$46*12),-'Batt IN'!$E$28*'Batt IN'!$E$45/12,0)</f>
        <v>0</v>
      </c>
      <c r="AR305" s="10">
        <f>BattLoan!M332</f>
        <v>0</v>
      </c>
      <c r="AS305" s="10">
        <f>'Batt IN'!$G$16*365/12*'Batt IN'!$E$16</f>
        <v>76.041666666666671</v>
      </c>
      <c r="AT305" s="10">
        <f>IF(AND('Batt IN'!$E$18&gt;0,'Batt IN'!$G$18&gt;0),'Batt IN'!$E$17*'Batt IN'!$G$17,0)</f>
        <v>119.44619999999999</v>
      </c>
      <c r="AU305" s="10">
        <f>IF(AND('Batt IN'!$E$20&gt;0,'Batt IN'!$G$20&gt;0),'Batt IN'!$E$19*'Batt IN'!$G$19,0)</f>
        <v>231</v>
      </c>
      <c r="AV305" s="10"/>
      <c r="AW305" s="10"/>
      <c r="AX305" s="10">
        <f>IF('Batt IN'!$E$11="Non-Taxable",Q305,0)</f>
        <v>11183.378739726028</v>
      </c>
      <c r="AY305" s="10">
        <f>IF('Batt IN'!$E$11="Non-Taxable",'Batt IN'!$E$28/1000*'Batt IN'!$G$13*('Batt IN'!$E$13/12)*'Batt IN'!$E$12,0)</f>
        <v>244.42220833333334</v>
      </c>
      <c r="AZ305" s="10">
        <f>IF('Batt IN'!$E$11="Non-Taxable",$S305*'Batt IN'!$G$15*'Batt IN'!$E$28*'Batt IN'!$E$14/1000,0)</f>
        <v>0</v>
      </c>
      <c r="BA305" s="10">
        <f>IF('Batt IN'!$E$11="Non-Taxable",'Batt IN'!$E$21*'Batt IN'!$G$21/12,0)</f>
        <v>437.5</v>
      </c>
      <c r="BB305" s="10">
        <f>IF('Batt IN'!$E$11="Non-Taxable",'Batt IN'!$E$22*'Batt IN'!$G$22/12,0)</f>
        <v>1145.8333333333335</v>
      </c>
      <c r="BC305" s="10">
        <f>IF('Batt IN'!$E$11="Taxable",Q305,0)</f>
        <v>0</v>
      </c>
      <c r="BD305" s="10">
        <f>IF('Batt IN'!$E$11="Taxable",'Batt IN'!$E$28/1000*'Batt IN'!$G$13*('Batt IN'!$E$13/12)*'Batt IN'!$E$12,0)</f>
        <v>0</v>
      </c>
      <c r="BE305" s="10">
        <f>IF('Batt IN'!$E$11="Taxable",$S305*'Batt IN'!$G$15*'Batt IN'!$E$28*'Batt IN'!$E$14/1000,0)</f>
        <v>0</v>
      </c>
      <c r="BF305" s="10">
        <f>IF('Batt IN'!$E$11="Taxable",'Batt IN'!$E$21*'Batt IN'!$G$21/12,0)</f>
        <v>0</v>
      </c>
      <c r="BG305" s="10">
        <f>IF('Batt IN'!$E$11="Taxable",'Batt IN'!$E$22*'Batt IN'!$G$22/12,0)</f>
        <v>0</v>
      </c>
      <c r="BK305" s="10">
        <f>IF('Batt IN'!$N$18="Yes",-BattLoan!H333,-BattLoan!L333)</f>
        <v>0</v>
      </c>
      <c r="BL305" s="10">
        <f>IF('Batt IN'!$N$18="Yes",-BattLoan!F333,0)</f>
        <v>0</v>
      </c>
      <c r="BM305" s="10">
        <f>IF(AND('Batt IN'!$D$44="YES",$C305&lt;='Batt IN'!$E$44*12),0,-'Batt IN'!$E$28*'Batt IN'!$E$42/12)</f>
        <v>-83.333333333333329</v>
      </c>
      <c r="BN305" s="10">
        <f>IF(AND('Batt IN'!$D$46="YES",$C305&lt;='Batt IN'!$E$46*12),0,-'Batt IN'!$E$28*'Batt IN'!$E$45/12)</f>
        <v>-166.66666666666666</v>
      </c>
      <c r="BO305" s="2">
        <f>IF(AND('Batt IN'!$D$41="YES",BattCalcs!C305=ROUNDUP('Batt IN'!$H$41*12,)),-'Batt IN'!$E$41*'Batt IN'!$E$28,0)</f>
        <v>0</v>
      </c>
      <c r="BP305" s="2">
        <f>IF(AND('Batt IN'!$D$53="Yes",$AL$1&gt;=1),0,IF($C305='Batt IN'!$H$54*12,-'Batt IN'!$F$54,0))</f>
        <v>0</v>
      </c>
      <c r="BQ305" s="2">
        <f>IF(AND('Batt IN'!$D$53="Yes",$AL$1&gt;=2),0,IF($C305='Batt IN'!$H$55*12,-'Batt IN'!$F$55,0))</f>
        <v>0</v>
      </c>
      <c r="BR305" s="2">
        <f>IF(AND('Batt IN'!$D$53="Yes",$AL$1&gt;=3),0,IF($C305='Batt IN'!$H$56*12,-'Batt IN'!$F$56,0))</f>
        <v>0</v>
      </c>
      <c r="BS305" s="2">
        <f>IF(AND('Batt IN'!$D$53="Yes",$AL$1&gt;=4),0,IF($C305='Batt IN'!$H$57*12,-'Batt IN'!$F$57,0))</f>
        <v>0</v>
      </c>
      <c r="BT305" s="2">
        <f>IF(AND('Batt IN'!$D$53="Yes",$AL$1&gt;=5),0,IF($C305='Batt IN'!$H$58*12,-'Batt IN'!$F$58,0))</f>
        <v>0</v>
      </c>
      <c r="BU305" s="2">
        <f>-AH305*PVCalcs!F305</f>
        <v>-370.4560173336377</v>
      </c>
      <c r="BV305" s="2">
        <f>-'Batt IN'!$E$47</f>
        <v>-150</v>
      </c>
      <c r="BW305" s="2">
        <f>-'Batt IN'!$E$49</f>
        <v>-2250</v>
      </c>
      <c r="BX305" s="2">
        <f>IF('Batt IN'!$H$50="No",-(BC305*'Batt IN'!$E$50),-(BC305+BE305)*'Batt IN'!$E$50)</f>
        <v>0</v>
      </c>
      <c r="BY305" s="2">
        <f>IF(C305='Batt IN'!$H$43*12,-'Batt IN'!$E$43,0)</f>
        <v>0</v>
      </c>
      <c r="BZ305" s="38"/>
      <c r="CA305" s="10">
        <f t="shared" ref="CA305:CA364" si="89">SUM(AR305:BH305)</f>
        <v>13437.622148059361</v>
      </c>
      <c r="CB305" s="2">
        <f t="shared" si="72"/>
        <v>-3020.4560173336376</v>
      </c>
      <c r="CC305" s="45">
        <f t="shared" ref="CC305:CC364" si="90">SUM(CA305:CB305)</f>
        <v>10417.166130725724</v>
      </c>
      <c r="CD305" s="43"/>
      <c r="CE305" s="2">
        <f t="shared" ref="CE305:CE364" si="91">SUM(BC305:BH305)</f>
        <v>0</v>
      </c>
      <c r="CF305" s="2">
        <f t="shared" si="74"/>
        <v>-3020.4560173336376</v>
      </c>
      <c r="CG305" s="2"/>
      <c r="CH305" s="2">
        <f t="shared" ref="CH305:CH364" si="92">SUM(CE305:CG305)</f>
        <v>-3020.4560173336376</v>
      </c>
      <c r="CI305" s="45">
        <f>-CH305*'Batt IN'!$E$7</f>
        <v>634.29576364006391</v>
      </c>
      <c r="CJ305" s="48"/>
      <c r="CK305" s="45">
        <f>IF('Batt IN'!$F$4="PV Only",0,IF(C305&gt;'Batt IN'!$H$43*12,0,CC305+CI305))</f>
        <v>0</v>
      </c>
      <c r="CM305" s="10">
        <f t="shared" ref="CM305:CM364" si="93">CM304+CK305</f>
        <v>0</v>
      </c>
      <c r="CN305" s="2">
        <f>CK305/(1+('Batt IN'!$G$8))^(C305)</f>
        <v>0</v>
      </c>
      <c r="CO305" s="2" t="e">
        <f>IF(C305&lt;='Batt IN'!$O$30*12,CN305+CO304,NA())</f>
        <v>#N/A</v>
      </c>
      <c r="CQ305" s="2">
        <f>CK305/((1+('Batt IN'!$E$8/12))^BattCalcs!C305)</f>
        <v>0</v>
      </c>
      <c r="CS305" s="10">
        <f t="shared" si="77"/>
        <v>-3020.4560173336376</v>
      </c>
      <c r="CT305" s="10">
        <f t="shared" si="78"/>
        <v>0</v>
      </c>
      <c r="CU305" s="10">
        <f t="shared" si="79"/>
        <v>-3020.4560173336376</v>
      </c>
      <c r="CV305" s="10">
        <f t="shared" si="80"/>
        <v>-3020.4560173336376</v>
      </c>
      <c r="CW305" s="2">
        <f t="shared" si="81"/>
        <v>0</v>
      </c>
      <c r="CX305" s="2">
        <f>-(SUM(CV305:CW305)*'PV IN'!$E$8)</f>
        <v>634.29576364006391</v>
      </c>
      <c r="CY305" s="2">
        <f t="shared" si="82"/>
        <v>-2386.1602536935738</v>
      </c>
      <c r="CZ305" s="2">
        <f>IF(C305&lt;='Batt IN'!$H$43*12,CY305/(1+('PV IN'!$G$9))^(C305),0)</f>
        <v>0</v>
      </c>
      <c r="DA305" s="33">
        <f>IF(C305&lt;='Batt IN'!$H$43*12,AE305,0)</f>
        <v>0</v>
      </c>
    </row>
    <row r="306" spans="1:105" x14ac:dyDescent="0.25">
      <c r="A306" t="str">
        <f>IF(C306&lt;='Batt IN'!$H$43*12,C306,"")</f>
        <v/>
      </c>
      <c r="C306">
        <v>302</v>
      </c>
      <c r="D306" s="21">
        <v>732</v>
      </c>
      <c r="E306" s="1">
        <f>1-'Batt IN'!$E$31</f>
        <v>2.0000000000000018E-2</v>
      </c>
      <c r="F306" s="12">
        <f>('Batt IN'!$E$33*365)/8760</f>
        <v>0</v>
      </c>
      <c r="G306" s="22">
        <f>'Batt IN'!$E$32/8760</f>
        <v>5.7077625570776253E-3</v>
      </c>
      <c r="H306" s="22">
        <f>'Batt IN'!$E$13/8760</f>
        <v>5.5936073059360729E-3</v>
      </c>
      <c r="I306" s="23">
        <f>IF(C306&lt;='Batt IN'!$G$14*12,'Batt IN'!$E$15/8760*'Batt IN'!$G$15,0)</f>
        <v>0</v>
      </c>
      <c r="J306" s="12">
        <f>Z306/'Batt IN'!$E$27/730</f>
        <v>2.4999999999999996E-3</v>
      </c>
      <c r="K306" s="23">
        <f>AA306/'Batt IN'!$E$27/730</f>
        <v>1.6027397260273972E-3</v>
      </c>
      <c r="L306" s="23">
        <f>AB306/'Batt IN'!$E$27/730</f>
        <v>2.0547945205479451E-4</v>
      </c>
      <c r="M306" s="23">
        <f>AC306/'Batt IN'!$E$27/730</f>
        <v>4.7945205479452057E-3</v>
      </c>
      <c r="N306" s="23">
        <f>AD306/'Batt IN'!$E$27/730</f>
        <v>3.4246575342465752E-3</v>
      </c>
      <c r="O306" s="12">
        <f t="shared" si="85"/>
        <v>4.3828767123287697E-2</v>
      </c>
      <c r="P306" s="21">
        <f t="shared" si="86"/>
        <v>699.91734246575345</v>
      </c>
      <c r="Q306" s="2">
        <f>IF('Batt IN'!$E$27*'Batt IN'!$E$24&lt;='Batt IN'!$E$28,(('Batt IN'!$E$23*'Batt IN'!$E$27*'Batt IN'!$E$24)/1000)*P306,(('Batt IN'!$E$23*'Batt IN'!$E$28*'Batt IN'!$E$24)/1000)*P306)</f>
        <v>11198.677479452055</v>
      </c>
      <c r="R306" s="2"/>
      <c r="S306" s="77">
        <f>IF(C306&lt;='Batt IN'!$G$14*12,'Batt IN'!$E$15/12,0)</f>
        <v>0</v>
      </c>
      <c r="T306" s="77"/>
      <c r="U306" s="80">
        <f>'Batt IN'!$E$28*('Batt IN'!$G$24/24)*730*(1-O306)</f>
        <v>81433.916666666657</v>
      </c>
      <c r="V306" s="78">
        <f>U306*'Batt IN'!$F$30</f>
        <v>16286.783333333333</v>
      </c>
      <c r="W306" s="78">
        <f>'Batt IN'!$E$28*'Batt IN'!$G$32*('Batt IN'!$E$32/12)*(1+'Batt IN'!$F$30)</f>
        <v>1750.0000000000002</v>
      </c>
      <c r="X306" s="78">
        <f>'Batt IN'!$E$28*'Batt IN'!$G$13*('Batt IN'!$E$13/12)*(1+'Batt IN'!$F$30)</f>
        <v>3184.9999999999995</v>
      </c>
      <c r="Y306" s="33">
        <f>S306*'Batt IN'!$G$15*'Batt IN'!$E$28*(1+'Batt IN'!$F$30)</f>
        <v>0</v>
      </c>
      <c r="Z306" s="33">
        <f>'Batt IN'!$G$16*365/12*(1+'Batt IN'!$F$30)</f>
        <v>1824.9999999999998</v>
      </c>
      <c r="AA306" s="33">
        <f>'Batt IN'!$G$17*'Batt IN'!$E$18*'Batt IN'!$G$18/12*(1+'Batt IN'!$F$30)</f>
        <v>1170</v>
      </c>
      <c r="AB306" s="33">
        <f>'Batt IN'!$G$19*'Batt IN'!$E$20*'Batt IN'!$G$20/12*(1+'Batt IN'!$F$30)</f>
        <v>150</v>
      </c>
      <c r="AC306" s="33">
        <f>'Batt IN'!$G$21*(1+'Batt IN'!$F$30)/12</f>
        <v>3500</v>
      </c>
      <c r="AD306" s="33">
        <f>'Batt IN'!$G$22*(1+'Batt IN'!$F$30)/12</f>
        <v>2500</v>
      </c>
      <c r="AE306" s="33">
        <f t="shared" si="87"/>
        <v>30366.783333333333</v>
      </c>
      <c r="AF306" s="33">
        <f>IF('PV IN'!$F$4="Battery Only",0,AE306*'Batt IN'!$E$29)</f>
        <v>25811.765833333331</v>
      </c>
      <c r="AG306" s="33">
        <f>PVCalcs!L306</f>
        <v>25811.765833333331</v>
      </c>
      <c r="AH306" s="33">
        <f t="shared" si="88"/>
        <v>4555.0175000000017</v>
      </c>
      <c r="AI306" s="33"/>
      <c r="AJ306" s="2">
        <f>IF(AND('Batt IN'!$D$53="Yes",$AL$1&gt;=1),IF($C306='Batt IN'!$H$54*12,-'Batt IN'!$F$54,0),0)</f>
        <v>0</v>
      </c>
      <c r="AK306" s="2">
        <f>IF(AND('Batt IN'!$D$53="Yes",$AL$1&gt;=2),IF($C306='Batt IN'!$H$55*12,-'Batt IN'!$F$55,0),0)</f>
        <v>0</v>
      </c>
      <c r="AL306" s="2">
        <f>IF(AND('Batt IN'!$D$53="Yes",$AL$1&gt;=3),IF($C306='Batt IN'!$H$56*12,-'Batt IN'!$F$56,0),0)</f>
        <v>0</v>
      </c>
      <c r="AM306" s="2">
        <f>IF(AND('Batt IN'!$D$53="Yes",$AL$1&gt;=4),IF($C306='Batt IN'!$H$57*12,-'Batt IN'!$F$57,0),0)</f>
        <v>0</v>
      </c>
      <c r="AN306" s="2">
        <f>IF(AND('Batt IN'!$D$53="Yes",$AL$1&gt;=5),IF($C306='Batt IN'!$H$58*12,-'Batt IN'!$F$58,0),0)</f>
        <v>0</v>
      </c>
      <c r="AO306" s="10">
        <f>IF(AND('Batt IN'!$D$44="YES",$C306&lt;='Batt IN'!$E$44*12),-'Batt IN'!$E$28*'Batt IN'!$E$42/12,0)</f>
        <v>0</v>
      </c>
      <c r="AP306" s="10">
        <f>IF(AND('Batt IN'!$D$46="YES",$C306&lt;='Batt IN'!$E$46*12),-'Batt IN'!$E$28*'Batt IN'!$E$45/12,0)</f>
        <v>0</v>
      </c>
      <c r="AR306" s="10">
        <f>BattLoan!M333</f>
        <v>0</v>
      </c>
      <c r="AS306" s="10">
        <f>'Batt IN'!$G$16*365/12*'Batt IN'!$E$16</f>
        <v>76.041666666666671</v>
      </c>
      <c r="AT306" s="10">
        <f>IF(AND('Batt IN'!$E$18&gt;0,'Batt IN'!$G$18&gt;0),'Batt IN'!$E$17*'Batt IN'!$G$17,0)</f>
        <v>119.44619999999999</v>
      </c>
      <c r="AU306" s="10">
        <f>IF(AND('Batt IN'!$E$20&gt;0,'Batt IN'!$G$20&gt;0),'Batt IN'!$E$19*'Batt IN'!$G$19,0)</f>
        <v>231</v>
      </c>
      <c r="AV306" s="10"/>
      <c r="AW306" s="10"/>
      <c r="AX306" s="10">
        <f>IF('Batt IN'!$E$11="Non-Taxable",Q306,0)</f>
        <v>11198.677479452055</v>
      </c>
      <c r="AY306" s="10">
        <f>IF('Batt IN'!$E$11="Non-Taxable",'Batt IN'!$E$28/1000*'Batt IN'!$G$13*('Batt IN'!$E$13/12)*'Batt IN'!$E$12,0)</f>
        <v>244.42220833333334</v>
      </c>
      <c r="AZ306" s="10">
        <f>IF('Batt IN'!$E$11="Non-Taxable",$S306*'Batt IN'!$G$15*'Batt IN'!$E$28*'Batt IN'!$E$14/1000,0)</f>
        <v>0</v>
      </c>
      <c r="BA306" s="10">
        <f>IF('Batt IN'!$E$11="Non-Taxable",'Batt IN'!$E$21*'Batt IN'!$G$21/12,0)</f>
        <v>437.5</v>
      </c>
      <c r="BB306" s="10">
        <f>IF('Batt IN'!$E$11="Non-Taxable",'Batt IN'!$E$22*'Batt IN'!$G$22/12,0)</f>
        <v>1145.8333333333335</v>
      </c>
      <c r="BC306" s="10">
        <f>IF('Batt IN'!$E$11="Taxable",Q306,0)</f>
        <v>0</v>
      </c>
      <c r="BD306" s="10">
        <f>IF('Batt IN'!$E$11="Taxable",'Batt IN'!$E$28/1000*'Batt IN'!$G$13*('Batt IN'!$E$13/12)*'Batt IN'!$E$12,0)</f>
        <v>0</v>
      </c>
      <c r="BE306" s="10">
        <f>IF('Batt IN'!$E$11="Taxable",$S306*'Batt IN'!$G$15*'Batt IN'!$E$28*'Batt IN'!$E$14/1000,0)</f>
        <v>0</v>
      </c>
      <c r="BF306" s="10">
        <f>IF('Batt IN'!$E$11="Taxable",'Batt IN'!$E$21*'Batt IN'!$G$21/12,0)</f>
        <v>0</v>
      </c>
      <c r="BG306" s="10">
        <f>IF('Batt IN'!$E$11="Taxable",'Batt IN'!$E$22*'Batt IN'!$G$22/12,0)</f>
        <v>0</v>
      </c>
      <c r="BK306" s="10">
        <f>IF('Batt IN'!$N$18="Yes",-BattLoan!H334,-BattLoan!L334)</f>
        <v>0</v>
      </c>
      <c r="BL306" s="10">
        <f>IF('Batt IN'!$N$18="Yes",-BattLoan!F334,0)</f>
        <v>0</v>
      </c>
      <c r="BM306" s="10">
        <f>IF(AND('Batt IN'!$D$44="YES",$C306&lt;='Batt IN'!$E$44*12),0,-'Batt IN'!$E$28*'Batt IN'!$E$42/12)</f>
        <v>-83.333333333333329</v>
      </c>
      <c r="BN306" s="10">
        <f>IF(AND('Batt IN'!$D$46="YES",$C306&lt;='Batt IN'!$E$46*12),0,-'Batt IN'!$E$28*'Batt IN'!$E$45/12)</f>
        <v>-166.66666666666666</v>
      </c>
      <c r="BO306" s="2">
        <f>IF(AND('Batt IN'!$D$41="YES",BattCalcs!C306=ROUNDUP('Batt IN'!$H$41*12,)),-'Batt IN'!$E$41*'Batt IN'!$E$28,0)</f>
        <v>0</v>
      </c>
      <c r="BP306" s="2">
        <f>IF(AND('Batt IN'!$D$53="Yes",$AL$1&gt;=1),0,IF($C306='Batt IN'!$H$54*12,-'Batt IN'!$F$54,0))</f>
        <v>0</v>
      </c>
      <c r="BQ306" s="2">
        <f>IF(AND('Batt IN'!$D$53="Yes",$AL$1&gt;=2),0,IF($C306='Batt IN'!$H$55*12,-'Batt IN'!$F$55,0))</f>
        <v>0</v>
      </c>
      <c r="BR306" s="2">
        <f>IF(AND('Batt IN'!$D$53="Yes",$AL$1&gt;=3),0,IF($C306='Batt IN'!$H$56*12,-'Batt IN'!$F$56,0))</f>
        <v>0</v>
      </c>
      <c r="BS306" s="2">
        <f>IF(AND('Batt IN'!$D$53="Yes",$AL$1&gt;=4),0,IF($C306='Batt IN'!$H$57*12,-'Batt IN'!$F$57,0))</f>
        <v>0</v>
      </c>
      <c r="BT306" s="2">
        <f>IF(AND('Batt IN'!$D$53="Yes",$AL$1&gt;=5),0,IF($C306='Batt IN'!$H$58*12,-'Batt IN'!$F$58,0))</f>
        <v>0</v>
      </c>
      <c r="BU306" s="2">
        <f>-AH306*PVCalcs!F306</f>
        <v>-370.4560173336377</v>
      </c>
      <c r="BV306" s="2">
        <f>-'Batt IN'!$E$47</f>
        <v>-150</v>
      </c>
      <c r="BW306" s="2">
        <f>-'Batt IN'!$E$49</f>
        <v>-2250</v>
      </c>
      <c r="BX306" s="2">
        <f>IF('Batt IN'!$H$50="No",-(BC306*'Batt IN'!$E$50),-(BC306+BE306)*'Batt IN'!$E$50)</f>
        <v>0</v>
      </c>
      <c r="BY306" s="2">
        <f>IF(C306='Batt IN'!$H$43*12,-'Batt IN'!$E$43,0)</f>
        <v>0</v>
      </c>
      <c r="BZ306" s="38"/>
      <c r="CA306" s="10">
        <f t="shared" si="89"/>
        <v>13452.920887785389</v>
      </c>
      <c r="CB306" s="2">
        <f t="shared" si="72"/>
        <v>-3020.4560173336376</v>
      </c>
      <c r="CC306" s="45">
        <f t="shared" si="90"/>
        <v>10432.464870451751</v>
      </c>
      <c r="CD306" s="43"/>
      <c r="CE306" s="2">
        <f t="shared" si="91"/>
        <v>0</v>
      </c>
      <c r="CF306" s="2">
        <f t="shared" si="74"/>
        <v>-3020.4560173336376</v>
      </c>
      <c r="CG306" s="2"/>
      <c r="CH306" s="2">
        <f t="shared" si="92"/>
        <v>-3020.4560173336376</v>
      </c>
      <c r="CI306" s="45">
        <f>-CH306*'Batt IN'!$E$7</f>
        <v>634.29576364006391</v>
      </c>
      <c r="CJ306" s="48"/>
      <c r="CK306" s="45">
        <f>IF('Batt IN'!$F$4="PV Only",0,IF(C306&gt;'Batt IN'!$H$43*12,0,CC306+CI306))</f>
        <v>0</v>
      </c>
      <c r="CM306" s="10">
        <f t="shared" si="93"/>
        <v>0</v>
      </c>
      <c r="CN306" s="2">
        <f>CK306/(1+('Batt IN'!$G$8))^(C306)</f>
        <v>0</v>
      </c>
      <c r="CO306" s="2" t="e">
        <f>IF(C306&lt;='Batt IN'!$O$30*12,CN306+CO305,NA())</f>
        <v>#N/A</v>
      </c>
      <c r="CQ306" s="2">
        <f>CK306/((1+('Batt IN'!$E$8/12))^BattCalcs!C306)</f>
        <v>0</v>
      </c>
      <c r="CS306" s="10">
        <f t="shared" si="77"/>
        <v>-3020.4560173336376</v>
      </c>
      <c r="CT306" s="10">
        <f t="shared" si="78"/>
        <v>0</v>
      </c>
      <c r="CU306" s="10">
        <f t="shared" si="79"/>
        <v>-3020.4560173336376</v>
      </c>
      <c r="CV306" s="10">
        <f t="shared" si="80"/>
        <v>-3020.4560173336376</v>
      </c>
      <c r="CW306" s="2">
        <f t="shared" si="81"/>
        <v>0</v>
      </c>
      <c r="CX306" s="2">
        <f>-(SUM(CV306:CW306)*'PV IN'!$E$8)</f>
        <v>634.29576364006391</v>
      </c>
      <c r="CY306" s="2">
        <f t="shared" si="82"/>
        <v>-2386.1602536935738</v>
      </c>
      <c r="CZ306" s="2">
        <f>IF(C306&lt;='Batt IN'!$H$43*12,CY306/(1+('PV IN'!$G$9))^(C306),0)</f>
        <v>0</v>
      </c>
      <c r="DA306" s="33">
        <f>IF(C306&lt;='Batt IN'!$H$43*12,AE306,0)</f>
        <v>0</v>
      </c>
    </row>
    <row r="307" spans="1:105" x14ac:dyDescent="0.25">
      <c r="A307" t="str">
        <f>IF(C307&lt;='Batt IN'!$H$43*12,C307,"")</f>
        <v/>
      </c>
      <c r="C307">
        <v>303</v>
      </c>
      <c r="D307" s="21">
        <v>733</v>
      </c>
      <c r="E307" s="1">
        <f>1-'Batt IN'!$E$31</f>
        <v>2.0000000000000018E-2</v>
      </c>
      <c r="F307" s="12">
        <f>('Batt IN'!$E$33*365)/8760</f>
        <v>0</v>
      </c>
      <c r="G307" s="22">
        <f>'Batt IN'!$E$32/8760</f>
        <v>5.7077625570776253E-3</v>
      </c>
      <c r="H307" s="22">
        <f>'Batt IN'!$E$13/8760</f>
        <v>5.5936073059360729E-3</v>
      </c>
      <c r="I307" s="23">
        <f>IF(C307&lt;='Batt IN'!$G$14*12,'Batt IN'!$E$15/8760*'Batt IN'!$G$15,0)</f>
        <v>0</v>
      </c>
      <c r="J307" s="12">
        <f>Z307/'Batt IN'!$E$27/730</f>
        <v>2.4999999999999996E-3</v>
      </c>
      <c r="K307" s="23">
        <f>AA307/'Batt IN'!$E$27/730</f>
        <v>1.6027397260273972E-3</v>
      </c>
      <c r="L307" s="23">
        <f>AB307/'Batt IN'!$E$27/730</f>
        <v>2.0547945205479451E-4</v>
      </c>
      <c r="M307" s="23">
        <f>AC307/'Batt IN'!$E$27/730</f>
        <v>4.7945205479452057E-3</v>
      </c>
      <c r="N307" s="23">
        <f>AD307/'Batt IN'!$E$27/730</f>
        <v>3.4246575342465752E-3</v>
      </c>
      <c r="O307" s="12">
        <f t="shared" si="85"/>
        <v>4.3828767123287697E-2</v>
      </c>
      <c r="P307" s="21">
        <f t="shared" si="86"/>
        <v>700.87351369863018</v>
      </c>
      <c r="Q307" s="2">
        <f>IF('Batt IN'!$E$27*'Batt IN'!$E$24&lt;='Batt IN'!$E$28,(('Batt IN'!$E$23*'Batt IN'!$E$27*'Batt IN'!$E$24)/1000)*P307,(('Batt IN'!$E$23*'Batt IN'!$E$28*'Batt IN'!$E$24)/1000)*P307)</f>
        <v>11213.976219178083</v>
      </c>
      <c r="R307" s="2"/>
      <c r="S307" s="77">
        <f>IF(C307&lt;='Batt IN'!$G$14*12,'Batt IN'!$E$15/12,0)</f>
        <v>0</v>
      </c>
      <c r="T307" s="77"/>
      <c r="U307" s="80">
        <f>'Batt IN'!$E$28*('Batt IN'!$G$24/24)*730*(1-O307)</f>
        <v>81433.916666666657</v>
      </c>
      <c r="V307" s="78">
        <f>U307*'Batt IN'!$F$30</f>
        <v>16286.783333333333</v>
      </c>
      <c r="W307" s="78">
        <f>'Batt IN'!$E$28*'Batt IN'!$G$32*('Batt IN'!$E$32/12)*(1+'Batt IN'!$F$30)</f>
        <v>1750.0000000000002</v>
      </c>
      <c r="X307" s="78">
        <f>'Batt IN'!$E$28*'Batt IN'!$G$13*('Batt IN'!$E$13/12)*(1+'Batt IN'!$F$30)</f>
        <v>3184.9999999999995</v>
      </c>
      <c r="Y307" s="33">
        <f>S307*'Batt IN'!$G$15*'Batt IN'!$E$28*(1+'Batt IN'!$F$30)</f>
        <v>0</v>
      </c>
      <c r="Z307" s="33">
        <f>'Batt IN'!$G$16*365/12*(1+'Batt IN'!$F$30)</f>
        <v>1824.9999999999998</v>
      </c>
      <c r="AA307" s="33">
        <f>'Batt IN'!$G$17*'Batt IN'!$E$18*'Batt IN'!$G$18/12*(1+'Batt IN'!$F$30)</f>
        <v>1170</v>
      </c>
      <c r="AB307" s="33">
        <f>'Batt IN'!$G$19*'Batt IN'!$E$20*'Batt IN'!$G$20/12*(1+'Batt IN'!$F$30)</f>
        <v>150</v>
      </c>
      <c r="AC307" s="33">
        <f>'Batt IN'!$G$21*(1+'Batt IN'!$F$30)/12</f>
        <v>3500</v>
      </c>
      <c r="AD307" s="33">
        <f>'Batt IN'!$G$22*(1+'Batt IN'!$F$30)/12</f>
        <v>2500</v>
      </c>
      <c r="AE307" s="33">
        <f t="shared" si="87"/>
        <v>30366.783333333333</v>
      </c>
      <c r="AF307" s="33">
        <f>IF('PV IN'!$F$4="Battery Only",0,AE307*'Batt IN'!$E$29)</f>
        <v>25811.765833333331</v>
      </c>
      <c r="AG307" s="33">
        <f>PVCalcs!L307</f>
        <v>25811.765833333331</v>
      </c>
      <c r="AH307" s="33">
        <f t="shared" si="88"/>
        <v>4555.0175000000017</v>
      </c>
      <c r="AI307" s="33"/>
      <c r="AJ307" s="2">
        <f>IF(AND('Batt IN'!$D$53="Yes",$AL$1&gt;=1),IF($C307='Batt IN'!$H$54*12,-'Batt IN'!$F$54,0),0)</f>
        <v>0</v>
      </c>
      <c r="AK307" s="2">
        <f>IF(AND('Batt IN'!$D$53="Yes",$AL$1&gt;=2),IF($C307='Batt IN'!$H$55*12,-'Batt IN'!$F$55,0),0)</f>
        <v>0</v>
      </c>
      <c r="AL307" s="2">
        <f>IF(AND('Batt IN'!$D$53="Yes",$AL$1&gt;=3),IF($C307='Batt IN'!$H$56*12,-'Batt IN'!$F$56,0),0)</f>
        <v>0</v>
      </c>
      <c r="AM307" s="2">
        <f>IF(AND('Batt IN'!$D$53="Yes",$AL$1&gt;=4),IF($C307='Batt IN'!$H$57*12,-'Batt IN'!$F$57,0),0)</f>
        <v>0</v>
      </c>
      <c r="AN307" s="2">
        <f>IF(AND('Batt IN'!$D$53="Yes",$AL$1&gt;=5),IF($C307='Batt IN'!$H$58*12,-'Batt IN'!$F$58,0),0)</f>
        <v>0</v>
      </c>
      <c r="AO307" s="10">
        <f>IF(AND('Batt IN'!$D$44="YES",$C307&lt;='Batt IN'!$E$44*12),-'Batt IN'!$E$28*'Batt IN'!$E$42/12,0)</f>
        <v>0</v>
      </c>
      <c r="AP307" s="10">
        <f>IF(AND('Batt IN'!$D$46="YES",$C307&lt;='Batt IN'!$E$46*12),-'Batt IN'!$E$28*'Batt IN'!$E$45/12,0)</f>
        <v>0</v>
      </c>
      <c r="AR307" s="10">
        <f>BattLoan!M334</f>
        <v>0</v>
      </c>
      <c r="AS307" s="10">
        <f>'Batt IN'!$G$16*365/12*'Batt IN'!$E$16</f>
        <v>76.041666666666671</v>
      </c>
      <c r="AT307" s="10">
        <f>IF(AND('Batt IN'!$E$18&gt;0,'Batt IN'!$G$18&gt;0),'Batt IN'!$E$17*'Batt IN'!$G$17,0)</f>
        <v>119.44619999999999</v>
      </c>
      <c r="AU307" s="10">
        <f>IF(AND('Batt IN'!$E$20&gt;0,'Batt IN'!$G$20&gt;0),'Batt IN'!$E$19*'Batt IN'!$G$19,0)</f>
        <v>231</v>
      </c>
      <c r="AV307" s="10"/>
      <c r="AW307" s="10"/>
      <c r="AX307" s="10">
        <f>IF('Batt IN'!$E$11="Non-Taxable",Q307,0)</f>
        <v>11213.976219178083</v>
      </c>
      <c r="AY307" s="10">
        <f>IF('Batt IN'!$E$11="Non-Taxable",'Batt IN'!$E$28/1000*'Batt IN'!$G$13*('Batt IN'!$E$13/12)*'Batt IN'!$E$12,0)</f>
        <v>244.42220833333334</v>
      </c>
      <c r="AZ307" s="10">
        <f>IF('Batt IN'!$E$11="Non-Taxable",$S307*'Batt IN'!$G$15*'Batt IN'!$E$28*'Batt IN'!$E$14/1000,0)</f>
        <v>0</v>
      </c>
      <c r="BA307" s="10">
        <f>IF('Batt IN'!$E$11="Non-Taxable",'Batt IN'!$E$21*'Batt IN'!$G$21/12,0)</f>
        <v>437.5</v>
      </c>
      <c r="BB307" s="10">
        <f>IF('Batt IN'!$E$11="Non-Taxable",'Batt IN'!$E$22*'Batt IN'!$G$22/12,0)</f>
        <v>1145.8333333333335</v>
      </c>
      <c r="BC307" s="10">
        <f>IF('Batt IN'!$E$11="Taxable",Q307,0)</f>
        <v>0</v>
      </c>
      <c r="BD307" s="10">
        <f>IF('Batt IN'!$E$11="Taxable",'Batt IN'!$E$28/1000*'Batt IN'!$G$13*('Batt IN'!$E$13/12)*'Batt IN'!$E$12,0)</f>
        <v>0</v>
      </c>
      <c r="BE307" s="10">
        <f>IF('Batt IN'!$E$11="Taxable",$S307*'Batt IN'!$G$15*'Batt IN'!$E$28*'Batt IN'!$E$14/1000,0)</f>
        <v>0</v>
      </c>
      <c r="BF307" s="10">
        <f>IF('Batt IN'!$E$11="Taxable",'Batt IN'!$E$21*'Batt IN'!$G$21/12,0)</f>
        <v>0</v>
      </c>
      <c r="BG307" s="10">
        <f>IF('Batt IN'!$E$11="Taxable",'Batt IN'!$E$22*'Batt IN'!$G$22/12,0)</f>
        <v>0</v>
      </c>
      <c r="BK307" s="10">
        <f>IF('Batt IN'!$N$18="Yes",-BattLoan!H335,-BattLoan!L335)</f>
        <v>0</v>
      </c>
      <c r="BL307" s="10">
        <f>IF('Batt IN'!$N$18="Yes",-BattLoan!F335,0)</f>
        <v>0</v>
      </c>
      <c r="BM307" s="10">
        <f>IF(AND('Batt IN'!$D$44="YES",$C307&lt;='Batt IN'!$E$44*12),0,-'Batt IN'!$E$28*'Batt IN'!$E$42/12)</f>
        <v>-83.333333333333329</v>
      </c>
      <c r="BN307" s="10">
        <f>IF(AND('Batt IN'!$D$46="YES",$C307&lt;='Batt IN'!$E$46*12),0,-'Batt IN'!$E$28*'Batt IN'!$E$45/12)</f>
        <v>-166.66666666666666</v>
      </c>
      <c r="BO307" s="2">
        <f>IF(AND('Batt IN'!$D$41="YES",BattCalcs!C307=ROUNDUP('Batt IN'!$H$41*12,)),-'Batt IN'!$E$41*'Batt IN'!$E$28,0)</f>
        <v>0</v>
      </c>
      <c r="BP307" s="2">
        <f>IF(AND('Batt IN'!$D$53="Yes",$AL$1&gt;=1),0,IF($C307='Batt IN'!$H$54*12,-'Batt IN'!$F$54,0))</f>
        <v>0</v>
      </c>
      <c r="BQ307" s="2">
        <f>IF(AND('Batt IN'!$D$53="Yes",$AL$1&gt;=2),0,IF($C307='Batt IN'!$H$55*12,-'Batt IN'!$F$55,0))</f>
        <v>0</v>
      </c>
      <c r="BR307" s="2">
        <f>IF(AND('Batt IN'!$D$53="Yes",$AL$1&gt;=3),0,IF($C307='Batt IN'!$H$56*12,-'Batt IN'!$F$56,0))</f>
        <v>0</v>
      </c>
      <c r="BS307" s="2">
        <f>IF(AND('Batt IN'!$D$53="Yes",$AL$1&gt;=4),0,IF($C307='Batt IN'!$H$57*12,-'Batt IN'!$F$57,0))</f>
        <v>0</v>
      </c>
      <c r="BT307" s="2">
        <f>IF(AND('Batt IN'!$D$53="Yes",$AL$1&gt;=5),0,IF($C307='Batt IN'!$H$58*12,-'Batt IN'!$F$58,0))</f>
        <v>0</v>
      </c>
      <c r="BU307" s="2">
        <f>-AH307*PVCalcs!F307</f>
        <v>-370.4560173336377</v>
      </c>
      <c r="BV307" s="2">
        <f>-'Batt IN'!$E$47</f>
        <v>-150</v>
      </c>
      <c r="BW307" s="2">
        <f>-'Batt IN'!$E$49</f>
        <v>-2250</v>
      </c>
      <c r="BX307" s="2">
        <f>IF('Batt IN'!$H$50="No",-(BC307*'Batt IN'!$E$50),-(BC307+BE307)*'Batt IN'!$E$50)</f>
        <v>0</v>
      </c>
      <c r="BY307" s="2">
        <f>IF(C307='Batt IN'!$H$43*12,-'Batt IN'!$E$43,0)</f>
        <v>0</v>
      </c>
      <c r="BZ307" s="38"/>
      <c r="CA307" s="10">
        <f t="shared" si="89"/>
        <v>13468.219627511417</v>
      </c>
      <c r="CB307" s="2">
        <f t="shared" si="72"/>
        <v>-3020.4560173336376</v>
      </c>
      <c r="CC307" s="45">
        <f t="shared" si="90"/>
        <v>10447.763610177779</v>
      </c>
      <c r="CD307" s="43"/>
      <c r="CE307" s="2">
        <f t="shared" si="91"/>
        <v>0</v>
      </c>
      <c r="CF307" s="2">
        <f t="shared" si="74"/>
        <v>-3020.4560173336376</v>
      </c>
      <c r="CG307" s="2"/>
      <c r="CH307" s="2">
        <f t="shared" si="92"/>
        <v>-3020.4560173336376</v>
      </c>
      <c r="CI307" s="45">
        <f>-CH307*'Batt IN'!$E$7</f>
        <v>634.29576364006391</v>
      </c>
      <c r="CJ307" s="48"/>
      <c r="CK307" s="45">
        <f>IF('Batt IN'!$F$4="PV Only",0,IF(C307&gt;'Batt IN'!$H$43*12,0,CC307+CI307))</f>
        <v>0</v>
      </c>
      <c r="CM307" s="10">
        <f t="shared" si="93"/>
        <v>0</v>
      </c>
      <c r="CN307" s="2">
        <f>CK307/(1+('Batt IN'!$G$8))^(C307)</f>
        <v>0</v>
      </c>
      <c r="CO307" s="2" t="e">
        <f>IF(C307&lt;='Batt IN'!$O$30*12,CN307+CO306,NA())</f>
        <v>#N/A</v>
      </c>
      <c r="CQ307" s="2">
        <f>CK307/((1+('Batt IN'!$E$8/12))^BattCalcs!C307)</f>
        <v>0</v>
      </c>
      <c r="CS307" s="10">
        <f t="shared" si="77"/>
        <v>-3020.4560173336376</v>
      </c>
      <c r="CT307" s="10">
        <f t="shared" si="78"/>
        <v>0</v>
      </c>
      <c r="CU307" s="10">
        <f t="shared" si="79"/>
        <v>-3020.4560173336376</v>
      </c>
      <c r="CV307" s="10">
        <f t="shared" si="80"/>
        <v>-3020.4560173336376</v>
      </c>
      <c r="CW307" s="2">
        <f t="shared" si="81"/>
        <v>0</v>
      </c>
      <c r="CX307" s="2">
        <f>-(SUM(CV307:CW307)*'PV IN'!$E$8)</f>
        <v>634.29576364006391</v>
      </c>
      <c r="CY307" s="2">
        <f t="shared" si="82"/>
        <v>-2386.1602536935738</v>
      </c>
      <c r="CZ307" s="2">
        <f>IF(C307&lt;='Batt IN'!$H$43*12,CY307/(1+('PV IN'!$G$9))^(C307),0)</f>
        <v>0</v>
      </c>
      <c r="DA307" s="33">
        <f>IF(C307&lt;='Batt IN'!$H$43*12,AE307,0)</f>
        <v>0</v>
      </c>
    </row>
    <row r="308" spans="1:105" x14ac:dyDescent="0.25">
      <c r="A308" t="str">
        <f>IF(C308&lt;='Batt IN'!$H$43*12,C308,"")</f>
        <v/>
      </c>
      <c r="C308">
        <v>304</v>
      </c>
      <c r="D308" s="21">
        <v>734</v>
      </c>
      <c r="E308" s="1">
        <f>1-'Batt IN'!$E$31</f>
        <v>2.0000000000000018E-2</v>
      </c>
      <c r="F308" s="12">
        <f>('Batt IN'!$E$33*365)/8760</f>
        <v>0</v>
      </c>
      <c r="G308" s="22">
        <f>'Batt IN'!$E$32/8760</f>
        <v>5.7077625570776253E-3</v>
      </c>
      <c r="H308" s="22">
        <f>'Batt IN'!$E$13/8760</f>
        <v>5.5936073059360729E-3</v>
      </c>
      <c r="I308" s="23">
        <f>IF(C308&lt;='Batt IN'!$G$14*12,'Batt IN'!$E$15/8760*'Batt IN'!$G$15,0)</f>
        <v>0</v>
      </c>
      <c r="J308" s="12">
        <f>Z308/'Batt IN'!$E$27/730</f>
        <v>2.4999999999999996E-3</v>
      </c>
      <c r="K308" s="23">
        <f>AA308/'Batt IN'!$E$27/730</f>
        <v>1.6027397260273972E-3</v>
      </c>
      <c r="L308" s="23">
        <f>AB308/'Batt IN'!$E$27/730</f>
        <v>2.0547945205479451E-4</v>
      </c>
      <c r="M308" s="23">
        <f>AC308/'Batt IN'!$E$27/730</f>
        <v>4.7945205479452057E-3</v>
      </c>
      <c r="N308" s="23">
        <f>AD308/'Batt IN'!$E$27/730</f>
        <v>3.4246575342465752E-3</v>
      </c>
      <c r="O308" s="12">
        <f t="shared" si="85"/>
        <v>4.3828767123287697E-2</v>
      </c>
      <c r="P308" s="21">
        <f t="shared" si="86"/>
        <v>701.8296849315069</v>
      </c>
      <c r="Q308" s="2">
        <f>IF('Batt IN'!$E$27*'Batt IN'!$E$24&lt;='Batt IN'!$E$28,(('Batt IN'!$E$23*'Batt IN'!$E$27*'Batt IN'!$E$24)/1000)*P308,(('Batt IN'!$E$23*'Batt IN'!$E$28*'Batt IN'!$E$24)/1000)*P308)</f>
        <v>11229.27495890411</v>
      </c>
      <c r="R308" s="2"/>
      <c r="S308" s="77">
        <f>IF(C308&lt;='Batt IN'!$G$14*12,'Batt IN'!$E$15/12,0)</f>
        <v>0</v>
      </c>
      <c r="T308" s="77"/>
      <c r="U308" s="80">
        <f>'Batt IN'!$E$28*('Batt IN'!$G$24/24)*730*(1-O308)</f>
        <v>81433.916666666657</v>
      </c>
      <c r="V308" s="78">
        <f>U308*'Batt IN'!$F$30</f>
        <v>16286.783333333333</v>
      </c>
      <c r="W308" s="78">
        <f>'Batt IN'!$E$28*'Batt IN'!$G$32*('Batt IN'!$E$32/12)*(1+'Batt IN'!$F$30)</f>
        <v>1750.0000000000002</v>
      </c>
      <c r="X308" s="78">
        <f>'Batt IN'!$E$28*'Batt IN'!$G$13*('Batt IN'!$E$13/12)*(1+'Batt IN'!$F$30)</f>
        <v>3184.9999999999995</v>
      </c>
      <c r="Y308" s="33">
        <f>S308*'Batt IN'!$G$15*'Batt IN'!$E$28*(1+'Batt IN'!$F$30)</f>
        <v>0</v>
      </c>
      <c r="Z308" s="33">
        <f>'Batt IN'!$G$16*365/12*(1+'Batt IN'!$F$30)</f>
        <v>1824.9999999999998</v>
      </c>
      <c r="AA308" s="33">
        <f>'Batt IN'!$G$17*'Batt IN'!$E$18*'Batt IN'!$G$18/12*(1+'Batt IN'!$F$30)</f>
        <v>1170</v>
      </c>
      <c r="AB308" s="33">
        <f>'Batt IN'!$G$19*'Batt IN'!$E$20*'Batt IN'!$G$20/12*(1+'Batt IN'!$F$30)</f>
        <v>150</v>
      </c>
      <c r="AC308" s="33">
        <f>'Batt IN'!$G$21*(1+'Batt IN'!$F$30)/12</f>
        <v>3500</v>
      </c>
      <c r="AD308" s="33">
        <f>'Batt IN'!$G$22*(1+'Batt IN'!$F$30)/12</f>
        <v>2500</v>
      </c>
      <c r="AE308" s="33">
        <f t="shared" si="87"/>
        <v>30366.783333333333</v>
      </c>
      <c r="AF308" s="33">
        <f>IF('PV IN'!$F$4="Battery Only",0,AE308*'Batt IN'!$E$29)</f>
        <v>25811.765833333331</v>
      </c>
      <c r="AG308" s="33">
        <f>PVCalcs!L308</f>
        <v>25811.765833333331</v>
      </c>
      <c r="AH308" s="33">
        <f t="shared" si="88"/>
        <v>4555.0175000000017</v>
      </c>
      <c r="AI308" s="33"/>
      <c r="AJ308" s="2">
        <f>IF(AND('Batt IN'!$D$53="Yes",$AL$1&gt;=1),IF($C308='Batt IN'!$H$54*12,-'Batt IN'!$F$54,0),0)</f>
        <v>0</v>
      </c>
      <c r="AK308" s="2">
        <f>IF(AND('Batt IN'!$D$53="Yes",$AL$1&gt;=2),IF($C308='Batt IN'!$H$55*12,-'Batt IN'!$F$55,0),0)</f>
        <v>0</v>
      </c>
      <c r="AL308" s="2">
        <f>IF(AND('Batt IN'!$D$53="Yes",$AL$1&gt;=3),IF($C308='Batt IN'!$H$56*12,-'Batt IN'!$F$56,0),0)</f>
        <v>0</v>
      </c>
      <c r="AM308" s="2">
        <f>IF(AND('Batt IN'!$D$53="Yes",$AL$1&gt;=4),IF($C308='Batt IN'!$H$57*12,-'Batt IN'!$F$57,0),0)</f>
        <v>0</v>
      </c>
      <c r="AN308" s="2">
        <f>IF(AND('Batt IN'!$D$53="Yes",$AL$1&gt;=5),IF($C308='Batt IN'!$H$58*12,-'Batt IN'!$F$58,0),0)</f>
        <v>0</v>
      </c>
      <c r="AO308" s="10">
        <f>IF(AND('Batt IN'!$D$44="YES",$C308&lt;='Batt IN'!$E$44*12),-'Batt IN'!$E$28*'Batt IN'!$E$42/12,0)</f>
        <v>0</v>
      </c>
      <c r="AP308" s="10">
        <f>IF(AND('Batt IN'!$D$46="YES",$C308&lt;='Batt IN'!$E$46*12),-'Batt IN'!$E$28*'Batt IN'!$E$45/12,0)</f>
        <v>0</v>
      </c>
      <c r="AR308" s="10">
        <f>BattLoan!M335</f>
        <v>0</v>
      </c>
      <c r="AS308" s="10">
        <f>'Batt IN'!$G$16*365/12*'Batt IN'!$E$16</f>
        <v>76.041666666666671</v>
      </c>
      <c r="AT308" s="10">
        <f>IF(AND('Batt IN'!$E$18&gt;0,'Batt IN'!$G$18&gt;0),'Batt IN'!$E$17*'Batt IN'!$G$17,0)</f>
        <v>119.44619999999999</v>
      </c>
      <c r="AU308" s="10">
        <f>IF(AND('Batt IN'!$E$20&gt;0,'Batt IN'!$G$20&gt;0),'Batt IN'!$E$19*'Batt IN'!$G$19,0)</f>
        <v>231</v>
      </c>
      <c r="AV308" s="10"/>
      <c r="AW308" s="10"/>
      <c r="AX308" s="10">
        <f>IF('Batt IN'!$E$11="Non-Taxable",Q308,0)</f>
        <v>11229.27495890411</v>
      </c>
      <c r="AY308" s="10">
        <f>IF('Batt IN'!$E$11="Non-Taxable",'Batt IN'!$E$28/1000*'Batt IN'!$G$13*('Batt IN'!$E$13/12)*'Batt IN'!$E$12,0)</f>
        <v>244.42220833333334</v>
      </c>
      <c r="AZ308" s="10">
        <f>IF('Batt IN'!$E$11="Non-Taxable",$S308*'Batt IN'!$G$15*'Batt IN'!$E$28*'Batt IN'!$E$14/1000,0)</f>
        <v>0</v>
      </c>
      <c r="BA308" s="10">
        <f>IF('Batt IN'!$E$11="Non-Taxable",'Batt IN'!$E$21*'Batt IN'!$G$21/12,0)</f>
        <v>437.5</v>
      </c>
      <c r="BB308" s="10">
        <f>IF('Batt IN'!$E$11="Non-Taxable",'Batt IN'!$E$22*'Batt IN'!$G$22/12,0)</f>
        <v>1145.8333333333335</v>
      </c>
      <c r="BC308" s="10">
        <f>IF('Batt IN'!$E$11="Taxable",Q308,0)</f>
        <v>0</v>
      </c>
      <c r="BD308" s="10">
        <f>IF('Batt IN'!$E$11="Taxable",'Batt IN'!$E$28/1000*'Batt IN'!$G$13*('Batt IN'!$E$13/12)*'Batt IN'!$E$12,0)</f>
        <v>0</v>
      </c>
      <c r="BE308" s="10">
        <f>IF('Batt IN'!$E$11="Taxable",$S308*'Batt IN'!$G$15*'Batt IN'!$E$28*'Batt IN'!$E$14/1000,0)</f>
        <v>0</v>
      </c>
      <c r="BF308" s="10">
        <f>IF('Batt IN'!$E$11="Taxable",'Batt IN'!$E$21*'Batt IN'!$G$21/12,0)</f>
        <v>0</v>
      </c>
      <c r="BG308" s="10">
        <f>IF('Batt IN'!$E$11="Taxable",'Batt IN'!$E$22*'Batt IN'!$G$22/12,0)</f>
        <v>0</v>
      </c>
      <c r="BK308" s="10">
        <f>IF('Batt IN'!$N$18="Yes",-BattLoan!H336,-BattLoan!L336)</f>
        <v>0</v>
      </c>
      <c r="BL308" s="10">
        <f>IF('Batt IN'!$N$18="Yes",-BattLoan!F336,0)</f>
        <v>0</v>
      </c>
      <c r="BM308" s="10">
        <f>IF(AND('Batt IN'!$D$44="YES",$C308&lt;='Batt IN'!$E$44*12),0,-'Batt IN'!$E$28*'Batt IN'!$E$42/12)</f>
        <v>-83.333333333333329</v>
      </c>
      <c r="BN308" s="10">
        <f>IF(AND('Batt IN'!$D$46="YES",$C308&lt;='Batt IN'!$E$46*12),0,-'Batt IN'!$E$28*'Batt IN'!$E$45/12)</f>
        <v>-166.66666666666666</v>
      </c>
      <c r="BO308" s="2">
        <f>IF(AND('Batt IN'!$D$41="YES",BattCalcs!C308=ROUNDUP('Batt IN'!$H$41*12,)),-'Batt IN'!$E$41*'Batt IN'!$E$28,0)</f>
        <v>0</v>
      </c>
      <c r="BP308" s="2">
        <f>IF(AND('Batt IN'!$D$53="Yes",$AL$1&gt;=1),0,IF($C308='Batt IN'!$H$54*12,-'Batt IN'!$F$54,0))</f>
        <v>0</v>
      </c>
      <c r="BQ308" s="2">
        <f>IF(AND('Batt IN'!$D$53="Yes",$AL$1&gt;=2),0,IF($C308='Batt IN'!$H$55*12,-'Batt IN'!$F$55,0))</f>
        <v>0</v>
      </c>
      <c r="BR308" s="2">
        <f>IF(AND('Batt IN'!$D$53="Yes",$AL$1&gt;=3),0,IF($C308='Batt IN'!$H$56*12,-'Batt IN'!$F$56,0))</f>
        <v>0</v>
      </c>
      <c r="BS308" s="2">
        <f>IF(AND('Batt IN'!$D$53="Yes",$AL$1&gt;=4),0,IF($C308='Batt IN'!$H$57*12,-'Batt IN'!$F$57,0))</f>
        <v>0</v>
      </c>
      <c r="BT308" s="2">
        <f>IF(AND('Batt IN'!$D$53="Yes",$AL$1&gt;=5),0,IF($C308='Batt IN'!$H$58*12,-'Batt IN'!$F$58,0))</f>
        <v>0</v>
      </c>
      <c r="BU308" s="2">
        <f>-AH308*PVCalcs!F308</f>
        <v>-370.4560173336377</v>
      </c>
      <c r="BV308" s="2">
        <f>-'Batt IN'!$E$47</f>
        <v>-150</v>
      </c>
      <c r="BW308" s="2">
        <f>-'Batt IN'!$E$49</f>
        <v>-2250</v>
      </c>
      <c r="BX308" s="2">
        <f>IF('Batt IN'!$H$50="No",-(BC308*'Batt IN'!$E$50),-(BC308+BE308)*'Batt IN'!$E$50)</f>
        <v>0</v>
      </c>
      <c r="BY308" s="2">
        <f>IF(C308='Batt IN'!$H$43*12,-'Batt IN'!$E$43,0)</f>
        <v>0</v>
      </c>
      <c r="BZ308" s="38"/>
      <c r="CA308" s="10">
        <f t="shared" si="89"/>
        <v>13483.518367237444</v>
      </c>
      <c r="CB308" s="2">
        <f t="shared" si="72"/>
        <v>-3020.4560173336376</v>
      </c>
      <c r="CC308" s="45">
        <f t="shared" si="90"/>
        <v>10463.062349903807</v>
      </c>
      <c r="CD308" s="43"/>
      <c r="CE308" s="2">
        <f t="shared" si="91"/>
        <v>0</v>
      </c>
      <c r="CF308" s="2">
        <f t="shared" si="74"/>
        <v>-3020.4560173336376</v>
      </c>
      <c r="CG308" s="2"/>
      <c r="CH308" s="2">
        <f t="shared" si="92"/>
        <v>-3020.4560173336376</v>
      </c>
      <c r="CI308" s="45">
        <f>-CH308*'Batt IN'!$E$7</f>
        <v>634.29576364006391</v>
      </c>
      <c r="CJ308" s="48"/>
      <c r="CK308" s="45">
        <f>IF('Batt IN'!$F$4="PV Only",0,IF(C308&gt;'Batt IN'!$H$43*12,0,CC308+CI308))</f>
        <v>0</v>
      </c>
      <c r="CM308" s="10">
        <f t="shared" si="93"/>
        <v>0</v>
      </c>
      <c r="CN308" s="2">
        <f>CK308/(1+('Batt IN'!$G$8))^(C308)</f>
        <v>0</v>
      </c>
      <c r="CO308" s="2" t="e">
        <f>IF(C308&lt;='Batt IN'!$O$30*12,CN308+CO307,NA())</f>
        <v>#N/A</v>
      </c>
      <c r="CQ308" s="2">
        <f>CK308/((1+('Batt IN'!$E$8/12))^BattCalcs!C308)</f>
        <v>0</v>
      </c>
      <c r="CS308" s="10">
        <f t="shared" si="77"/>
        <v>-3020.4560173336376</v>
      </c>
      <c r="CT308" s="10">
        <f t="shared" si="78"/>
        <v>0</v>
      </c>
      <c r="CU308" s="10">
        <f t="shared" si="79"/>
        <v>-3020.4560173336376</v>
      </c>
      <c r="CV308" s="10">
        <f t="shared" si="80"/>
        <v>-3020.4560173336376</v>
      </c>
      <c r="CW308" s="2">
        <f t="shared" si="81"/>
        <v>0</v>
      </c>
      <c r="CX308" s="2">
        <f>-(SUM(CV308:CW308)*'PV IN'!$E$8)</f>
        <v>634.29576364006391</v>
      </c>
      <c r="CY308" s="2">
        <f t="shared" si="82"/>
        <v>-2386.1602536935738</v>
      </c>
      <c r="CZ308" s="2">
        <f>IF(C308&lt;='Batt IN'!$H$43*12,CY308/(1+('PV IN'!$G$9))^(C308),0)</f>
        <v>0</v>
      </c>
      <c r="DA308" s="33">
        <f>IF(C308&lt;='Batt IN'!$H$43*12,AE308,0)</f>
        <v>0</v>
      </c>
    </row>
    <row r="309" spans="1:105" x14ac:dyDescent="0.25">
      <c r="A309" t="str">
        <f>IF(C309&lt;='Batt IN'!$H$43*12,C309,"")</f>
        <v/>
      </c>
      <c r="C309">
        <v>305</v>
      </c>
      <c r="D309" s="21">
        <v>735</v>
      </c>
      <c r="E309" s="1">
        <f>1-'Batt IN'!$E$31</f>
        <v>2.0000000000000018E-2</v>
      </c>
      <c r="F309" s="12">
        <f>('Batt IN'!$E$33*365)/8760</f>
        <v>0</v>
      </c>
      <c r="G309" s="22">
        <f>'Batt IN'!$E$32/8760</f>
        <v>5.7077625570776253E-3</v>
      </c>
      <c r="H309" s="22">
        <f>'Batt IN'!$E$13/8760</f>
        <v>5.5936073059360729E-3</v>
      </c>
      <c r="I309" s="23">
        <f>IF(C309&lt;='Batt IN'!$G$14*12,'Batt IN'!$E$15/8760*'Batt IN'!$G$15,0)</f>
        <v>0</v>
      </c>
      <c r="J309" s="12">
        <f>Z309/'Batt IN'!$E$27/730</f>
        <v>2.4999999999999996E-3</v>
      </c>
      <c r="K309" s="23">
        <f>AA309/'Batt IN'!$E$27/730</f>
        <v>1.6027397260273972E-3</v>
      </c>
      <c r="L309" s="23">
        <f>AB309/'Batt IN'!$E$27/730</f>
        <v>2.0547945205479451E-4</v>
      </c>
      <c r="M309" s="23">
        <f>AC309/'Batt IN'!$E$27/730</f>
        <v>4.7945205479452057E-3</v>
      </c>
      <c r="N309" s="23">
        <f>AD309/'Batt IN'!$E$27/730</f>
        <v>3.4246575342465752E-3</v>
      </c>
      <c r="O309" s="12">
        <f t="shared" si="85"/>
        <v>4.3828767123287697E-2</v>
      </c>
      <c r="P309" s="21">
        <f t="shared" si="86"/>
        <v>702.78585616438363</v>
      </c>
      <c r="Q309" s="2">
        <f>IF('Batt IN'!$E$27*'Batt IN'!$E$24&lt;='Batt IN'!$E$28,(('Batt IN'!$E$23*'Batt IN'!$E$27*'Batt IN'!$E$24)/1000)*P309,(('Batt IN'!$E$23*'Batt IN'!$E$28*'Batt IN'!$E$24)/1000)*P309)</f>
        <v>11244.573698630138</v>
      </c>
      <c r="R309" s="2"/>
      <c r="S309" s="77">
        <f>IF(C309&lt;='Batt IN'!$G$14*12,'Batt IN'!$E$15/12,0)</f>
        <v>0</v>
      </c>
      <c r="T309" s="77"/>
      <c r="U309" s="80">
        <f>'Batt IN'!$E$28*('Batt IN'!$G$24/24)*730*(1-O309)</f>
        <v>81433.916666666657</v>
      </c>
      <c r="V309" s="78">
        <f>U309*'Batt IN'!$F$30</f>
        <v>16286.783333333333</v>
      </c>
      <c r="W309" s="78">
        <f>'Batt IN'!$E$28*'Batt IN'!$G$32*('Batt IN'!$E$32/12)*(1+'Batt IN'!$F$30)</f>
        <v>1750.0000000000002</v>
      </c>
      <c r="X309" s="78">
        <f>'Batt IN'!$E$28*'Batt IN'!$G$13*('Batt IN'!$E$13/12)*(1+'Batt IN'!$F$30)</f>
        <v>3184.9999999999995</v>
      </c>
      <c r="Y309" s="33">
        <f>S309*'Batt IN'!$G$15*'Batt IN'!$E$28*(1+'Batt IN'!$F$30)</f>
        <v>0</v>
      </c>
      <c r="Z309" s="33">
        <f>'Batt IN'!$G$16*365/12*(1+'Batt IN'!$F$30)</f>
        <v>1824.9999999999998</v>
      </c>
      <c r="AA309" s="33">
        <f>'Batt IN'!$G$17*'Batt IN'!$E$18*'Batt IN'!$G$18/12*(1+'Batt IN'!$F$30)</f>
        <v>1170</v>
      </c>
      <c r="AB309" s="33">
        <f>'Batt IN'!$G$19*'Batt IN'!$E$20*'Batt IN'!$G$20/12*(1+'Batt IN'!$F$30)</f>
        <v>150</v>
      </c>
      <c r="AC309" s="33">
        <f>'Batt IN'!$G$21*(1+'Batt IN'!$F$30)/12</f>
        <v>3500</v>
      </c>
      <c r="AD309" s="33">
        <f>'Batt IN'!$G$22*(1+'Batt IN'!$F$30)/12</f>
        <v>2500</v>
      </c>
      <c r="AE309" s="33">
        <f t="shared" si="87"/>
        <v>30366.783333333333</v>
      </c>
      <c r="AF309" s="33">
        <f>IF('PV IN'!$F$4="Battery Only",0,AE309*'Batt IN'!$E$29)</f>
        <v>25811.765833333331</v>
      </c>
      <c r="AG309" s="33">
        <f>PVCalcs!L309</f>
        <v>25811.765833333331</v>
      </c>
      <c r="AH309" s="33">
        <f t="shared" si="88"/>
        <v>4555.0175000000017</v>
      </c>
      <c r="AI309" s="33"/>
      <c r="AJ309" s="2">
        <f>IF(AND('Batt IN'!$D$53="Yes",$AL$1&gt;=1),IF($C309='Batt IN'!$H$54*12,-'Batt IN'!$F$54,0),0)</f>
        <v>0</v>
      </c>
      <c r="AK309" s="2">
        <f>IF(AND('Batt IN'!$D$53="Yes",$AL$1&gt;=2),IF($C309='Batt IN'!$H$55*12,-'Batt IN'!$F$55,0),0)</f>
        <v>0</v>
      </c>
      <c r="AL309" s="2">
        <f>IF(AND('Batt IN'!$D$53="Yes",$AL$1&gt;=3),IF($C309='Batt IN'!$H$56*12,-'Batt IN'!$F$56,0),0)</f>
        <v>0</v>
      </c>
      <c r="AM309" s="2">
        <f>IF(AND('Batt IN'!$D$53="Yes",$AL$1&gt;=4),IF($C309='Batt IN'!$H$57*12,-'Batt IN'!$F$57,0),0)</f>
        <v>0</v>
      </c>
      <c r="AN309" s="2">
        <f>IF(AND('Batt IN'!$D$53="Yes",$AL$1&gt;=5),IF($C309='Batt IN'!$H$58*12,-'Batt IN'!$F$58,0),0)</f>
        <v>0</v>
      </c>
      <c r="AO309" s="10">
        <f>IF(AND('Batt IN'!$D$44="YES",$C309&lt;='Batt IN'!$E$44*12),-'Batt IN'!$E$28*'Batt IN'!$E$42/12,0)</f>
        <v>0</v>
      </c>
      <c r="AP309" s="10">
        <f>IF(AND('Batt IN'!$D$46="YES",$C309&lt;='Batt IN'!$E$46*12),-'Batt IN'!$E$28*'Batt IN'!$E$45/12,0)</f>
        <v>0</v>
      </c>
      <c r="AR309" s="10">
        <f>BattLoan!M336</f>
        <v>0</v>
      </c>
      <c r="AS309" s="10">
        <f>'Batt IN'!$G$16*365/12*'Batt IN'!$E$16</f>
        <v>76.041666666666671</v>
      </c>
      <c r="AT309" s="10">
        <f>IF(AND('Batt IN'!$E$18&gt;0,'Batt IN'!$G$18&gt;0),'Batt IN'!$E$17*'Batt IN'!$G$17,0)</f>
        <v>119.44619999999999</v>
      </c>
      <c r="AU309" s="10">
        <f>IF(AND('Batt IN'!$E$20&gt;0,'Batt IN'!$G$20&gt;0),'Batt IN'!$E$19*'Batt IN'!$G$19,0)</f>
        <v>231</v>
      </c>
      <c r="AV309" s="10"/>
      <c r="AW309" s="10"/>
      <c r="AX309" s="10">
        <f>IF('Batt IN'!$E$11="Non-Taxable",Q309,0)</f>
        <v>11244.573698630138</v>
      </c>
      <c r="AY309" s="10">
        <f>IF('Batt IN'!$E$11="Non-Taxable",'Batt IN'!$E$28/1000*'Batt IN'!$G$13*('Batt IN'!$E$13/12)*'Batt IN'!$E$12,0)</f>
        <v>244.42220833333334</v>
      </c>
      <c r="AZ309" s="10">
        <f>IF('Batt IN'!$E$11="Non-Taxable",$S309*'Batt IN'!$G$15*'Batt IN'!$E$28*'Batt IN'!$E$14/1000,0)</f>
        <v>0</v>
      </c>
      <c r="BA309" s="10">
        <f>IF('Batt IN'!$E$11="Non-Taxable",'Batt IN'!$E$21*'Batt IN'!$G$21/12,0)</f>
        <v>437.5</v>
      </c>
      <c r="BB309" s="10">
        <f>IF('Batt IN'!$E$11="Non-Taxable",'Batt IN'!$E$22*'Batt IN'!$G$22/12,0)</f>
        <v>1145.8333333333335</v>
      </c>
      <c r="BC309" s="10">
        <f>IF('Batt IN'!$E$11="Taxable",Q309,0)</f>
        <v>0</v>
      </c>
      <c r="BD309" s="10">
        <f>IF('Batt IN'!$E$11="Taxable",'Batt IN'!$E$28/1000*'Batt IN'!$G$13*('Batt IN'!$E$13/12)*'Batt IN'!$E$12,0)</f>
        <v>0</v>
      </c>
      <c r="BE309" s="10">
        <f>IF('Batt IN'!$E$11="Taxable",$S309*'Batt IN'!$G$15*'Batt IN'!$E$28*'Batt IN'!$E$14/1000,0)</f>
        <v>0</v>
      </c>
      <c r="BF309" s="10">
        <f>IF('Batt IN'!$E$11="Taxable",'Batt IN'!$E$21*'Batt IN'!$G$21/12,0)</f>
        <v>0</v>
      </c>
      <c r="BG309" s="10">
        <f>IF('Batt IN'!$E$11="Taxable",'Batt IN'!$E$22*'Batt IN'!$G$22/12,0)</f>
        <v>0</v>
      </c>
      <c r="BK309" s="10">
        <f>IF('Batt IN'!$N$18="Yes",-BattLoan!H337,-BattLoan!L337)</f>
        <v>0</v>
      </c>
      <c r="BL309" s="10">
        <f>IF('Batt IN'!$N$18="Yes",-BattLoan!F337,0)</f>
        <v>0</v>
      </c>
      <c r="BM309" s="10">
        <f>IF(AND('Batt IN'!$D$44="YES",$C309&lt;='Batt IN'!$E$44*12),0,-'Batt IN'!$E$28*'Batt IN'!$E$42/12)</f>
        <v>-83.333333333333329</v>
      </c>
      <c r="BN309" s="10">
        <f>IF(AND('Batt IN'!$D$46="YES",$C309&lt;='Batt IN'!$E$46*12),0,-'Batt IN'!$E$28*'Batt IN'!$E$45/12)</f>
        <v>-166.66666666666666</v>
      </c>
      <c r="BO309" s="2">
        <f>IF(AND('Batt IN'!$D$41="YES",BattCalcs!C309=ROUNDUP('Batt IN'!$H$41*12,)),-'Batt IN'!$E$41*'Batt IN'!$E$28,0)</f>
        <v>0</v>
      </c>
      <c r="BP309" s="2">
        <f>IF(AND('Batt IN'!$D$53="Yes",$AL$1&gt;=1),0,IF($C309='Batt IN'!$H$54*12,-'Batt IN'!$F$54,0))</f>
        <v>0</v>
      </c>
      <c r="BQ309" s="2">
        <f>IF(AND('Batt IN'!$D$53="Yes",$AL$1&gt;=2),0,IF($C309='Batt IN'!$H$55*12,-'Batt IN'!$F$55,0))</f>
        <v>0</v>
      </c>
      <c r="BR309" s="2">
        <f>IF(AND('Batt IN'!$D$53="Yes",$AL$1&gt;=3),0,IF($C309='Batt IN'!$H$56*12,-'Batt IN'!$F$56,0))</f>
        <v>0</v>
      </c>
      <c r="BS309" s="2">
        <f>IF(AND('Batt IN'!$D$53="Yes",$AL$1&gt;=4),0,IF($C309='Batt IN'!$H$57*12,-'Batt IN'!$F$57,0))</f>
        <v>0</v>
      </c>
      <c r="BT309" s="2">
        <f>IF(AND('Batt IN'!$D$53="Yes",$AL$1&gt;=5),0,IF($C309='Batt IN'!$H$58*12,-'Batt IN'!$F$58,0))</f>
        <v>0</v>
      </c>
      <c r="BU309" s="2">
        <f>-AH309*PVCalcs!F309</f>
        <v>-370.4560173336377</v>
      </c>
      <c r="BV309" s="2">
        <f>-'Batt IN'!$E$47</f>
        <v>-150</v>
      </c>
      <c r="BW309" s="2">
        <f>-'Batt IN'!$E$49</f>
        <v>-2250</v>
      </c>
      <c r="BX309" s="2">
        <f>IF('Batt IN'!$H$50="No",-(BC309*'Batt IN'!$E$50),-(BC309+BE309)*'Batt IN'!$E$50)</f>
        <v>0</v>
      </c>
      <c r="BY309" s="2">
        <f>IF(C309='Batt IN'!$H$43*12,-'Batt IN'!$E$43,0)</f>
        <v>0</v>
      </c>
      <c r="BZ309" s="38"/>
      <c r="CA309" s="10">
        <f t="shared" si="89"/>
        <v>13498.817106963472</v>
      </c>
      <c r="CB309" s="2">
        <f t="shared" si="72"/>
        <v>-3020.4560173336376</v>
      </c>
      <c r="CC309" s="45">
        <f t="shared" si="90"/>
        <v>10478.361089629834</v>
      </c>
      <c r="CD309" s="43"/>
      <c r="CE309" s="2">
        <f t="shared" si="91"/>
        <v>0</v>
      </c>
      <c r="CF309" s="2">
        <f t="shared" si="74"/>
        <v>-3020.4560173336376</v>
      </c>
      <c r="CG309" s="2"/>
      <c r="CH309" s="2">
        <f t="shared" si="92"/>
        <v>-3020.4560173336376</v>
      </c>
      <c r="CI309" s="45">
        <f>-CH309*'Batt IN'!$E$7</f>
        <v>634.29576364006391</v>
      </c>
      <c r="CJ309" s="48"/>
      <c r="CK309" s="45">
        <f>IF('Batt IN'!$F$4="PV Only",0,IF(C309&gt;'Batt IN'!$H$43*12,0,CC309+CI309))</f>
        <v>0</v>
      </c>
      <c r="CM309" s="10">
        <f t="shared" si="93"/>
        <v>0</v>
      </c>
      <c r="CN309" s="2">
        <f>CK309/(1+('Batt IN'!$G$8))^(C309)</f>
        <v>0</v>
      </c>
      <c r="CO309" s="2" t="e">
        <f>IF(C309&lt;='Batt IN'!$O$30*12,CN309+CO308,NA())</f>
        <v>#N/A</v>
      </c>
      <c r="CQ309" s="2">
        <f>CK309/((1+('Batt IN'!$E$8/12))^BattCalcs!C309)</f>
        <v>0</v>
      </c>
      <c r="CS309" s="10">
        <f t="shared" si="77"/>
        <v>-3020.4560173336376</v>
      </c>
      <c r="CT309" s="10">
        <f t="shared" si="78"/>
        <v>0</v>
      </c>
      <c r="CU309" s="10">
        <f t="shared" si="79"/>
        <v>-3020.4560173336376</v>
      </c>
      <c r="CV309" s="10">
        <f t="shared" si="80"/>
        <v>-3020.4560173336376</v>
      </c>
      <c r="CW309" s="2">
        <f t="shared" si="81"/>
        <v>0</v>
      </c>
      <c r="CX309" s="2">
        <f>-(SUM(CV309:CW309)*'PV IN'!$E$8)</f>
        <v>634.29576364006391</v>
      </c>
      <c r="CY309" s="2">
        <f t="shared" si="82"/>
        <v>-2386.1602536935738</v>
      </c>
      <c r="CZ309" s="2">
        <f>IF(C309&lt;='Batt IN'!$H$43*12,CY309/(1+('PV IN'!$G$9))^(C309),0)</f>
        <v>0</v>
      </c>
      <c r="DA309" s="33">
        <f>IF(C309&lt;='Batt IN'!$H$43*12,AE309,0)</f>
        <v>0</v>
      </c>
    </row>
    <row r="310" spans="1:105" x14ac:dyDescent="0.25">
      <c r="A310" t="str">
        <f>IF(C310&lt;='Batt IN'!$H$43*12,C310,"")</f>
        <v/>
      </c>
      <c r="C310">
        <v>306</v>
      </c>
      <c r="D310" s="21">
        <v>736</v>
      </c>
      <c r="E310" s="1">
        <f>1-'Batt IN'!$E$31</f>
        <v>2.0000000000000018E-2</v>
      </c>
      <c r="F310" s="12">
        <f>('Batt IN'!$E$33*365)/8760</f>
        <v>0</v>
      </c>
      <c r="G310" s="22">
        <f>'Batt IN'!$E$32/8760</f>
        <v>5.7077625570776253E-3</v>
      </c>
      <c r="H310" s="22">
        <f>'Batt IN'!$E$13/8760</f>
        <v>5.5936073059360729E-3</v>
      </c>
      <c r="I310" s="23">
        <f>IF(C310&lt;='Batt IN'!$G$14*12,'Batt IN'!$E$15/8760*'Batt IN'!$G$15,0)</f>
        <v>0</v>
      </c>
      <c r="J310" s="12">
        <f>Z310/'Batt IN'!$E$27/730</f>
        <v>2.4999999999999996E-3</v>
      </c>
      <c r="K310" s="23">
        <f>AA310/'Batt IN'!$E$27/730</f>
        <v>1.6027397260273972E-3</v>
      </c>
      <c r="L310" s="23">
        <f>AB310/'Batt IN'!$E$27/730</f>
        <v>2.0547945205479451E-4</v>
      </c>
      <c r="M310" s="23">
        <f>AC310/'Batt IN'!$E$27/730</f>
        <v>4.7945205479452057E-3</v>
      </c>
      <c r="N310" s="23">
        <f>AD310/'Batt IN'!$E$27/730</f>
        <v>3.4246575342465752E-3</v>
      </c>
      <c r="O310" s="12">
        <f t="shared" si="85"/>
        <v>4.3828767123287697E-2</v>
      </c>
      <c r="P310" s="21">
        <f t="shared" si="86"/>
        <v>703.74202739726024</v>
      </c>
      <c r="Q310" s="2">
        <f>IF('Batt IN'!$E$27*'Batt IN'!$E$24&lt;='Batt IN'!$E$28,(('Batt IN'!$E$23*'Batt IN'!$E$27*'Batt IN'!$E$24)/1000)*P310,(('Batt IN'!$E$23*'Batt IN'!$E$28*'Batt IN'!$E$24)/1000)*P310)</f>
        <v>11259.872438356164</v>
      </c>
      <c r="R310" s="2"/>
      <c r="S310" s="77">
        <f>IF(C310&lt;='Batt IN'!$G$14*12,'Batt IN'!$E$15/12,0)</f>
        <v>0</v>
      </c>
      <c r="T310" s="77"/>
      <c r="U310" s="80">
        <f>'Batt IN'!$E$28*('Batt IN'!$G$24/24)*730*(1-O310)</f>
        <v>81433.916666666657</v>
      </c>
      <c r="V310" s="78">
        <f>U310*'Batt IN'!$F$30</f>
        <v>16286.783333333333</v>
      </c>
      <c r="W310" s="78">
        <f>'Batt IN'!$E$28*'Batt IN'!$G$32*('Batt IN'!$E$32/12)*(1+'Batt IN'!$F$30)</f>
        <v>1750.0000000000002</v>
      </c>
      <c r="X310" s="78">
        <f>'Batt IN'!$E$28*'Batt IN'!$G$13*('Batt IN'!$E$13/12)*(1+'Batt IN'!$F$30)</f>
        <v>3184.9999999999995</v>
      </c>
      <c r="Y310" s="33">
        <f>S310*'Batt IN'!$G$15*'Batt IN'!$E$28*(1+'Batt IN'!$F$30)</f>
        <v>0</v>
      </c>
      <c r="Z310" s="33">
        <f>'Batt IN'!$G$16*365/12*(1+'Batt IN'!$F$30)</f>
        <v>1824.9999999999998</v>
      </c>
      <c r="AA310" s="33">
        <f>'Batt IN'!$G$17*'Batt IN'!$E$18*'Batt IN'!$G$18/12*(1+'Batt IN'!$F$30)</f>
        <v>1170</v>
      </c>
      <c r="AB310" s="33">
        <f>'Batt IN'!$G$19*'Batt IN'!$E$20*'Batt IN'!$G$20/12*(1+'Batt IN'!$F$30)</f>
        <v>150</v>
      </c>
      <c r="AC310" s="33">
        <f>'Batt IN'!$G$21*(1+'Batt IN'!$F$30)/12</f>
        <v>3500</v>
      </c>
      <c r="AD310" s="33">
        <f>'Batt IN'!$G$22*(1+'Batt IN'!$F$30)/12</f>
        <v>2500</v>
      </c>
      <c r="AE310" s="33">
        <f t="shared" si="87"/>
        <v>30366.783333333333</v>
      </c>
      <c r="AF310" s="33">
        <f>IF('PV IN'!$F$4="Battery Only",0,AE310*'Batt IN'!$E$29)</f>
        <v>25811.765833333331</v>
      </c>
      <c r="AG310" s="33">
        <f>PVCalcs!L310</f>
        <v>25811.765833333331</v>
      </c>
      <c r="AH310" s="33">
        <f t="shared" si="88"/>
        <v>4555.0175000000017</v>
      </c>
      <c r="AI310" s="33"/>
      <c r="AJ310" s="2">
        <f>IF(AND('Batt IN'!$D$53="Yes",$AL$1&gt;=1),IF($C310='Batt IN'!$H$54*12,-'Batt IN'!$F$54,0),0)</f>
        <v>0</v>
      </c>
      <c r="AK310" s="2">
        <f>IF(AND('Batt IN'!$D$53="Yes",$AL$1&gt;=2),IF($C310='Batt IN'!$H$55*12,-'Batt IN'!$F$55,0),0)</f>
        <v>0</v>
      </c>
      <c r="AL310" s="2">
        <f>IF(AND('Batt IN'!$D$53="Yes",$AL$1&gt;=3),IF($C310='Batt IN'!$H$56*12,-'Batt IN'!$F$56,0),0)</f>
        <v>0</v>
      </c>
      <c r="AM310" s="2">
        <f>IF(AND('Batt IN'!$D$53="Yes",$AL$1&gt;=4),IF($C310='Batt IN'!$H$57*12,-'Batt IN'!$F$57,0),0)</f>
        <v>0</v>
      </c>
      <c r="AN310" s="2">
        <f>IF(AND('Batt IN'!$D$53="Yes",$AL$1&gt;=5),IF($C310='Batt IN'!$H$58*12,-'Batt IN'!$F$58,0),0)</f>
        <v>0</v>
      </c>
      <c r="AO310" s="10">
        <f>IF(AND('Batt IN'!$D$44="YES",$C310&lt;='Batt IN'!$E$44*12),-'Batt IN'!$E$28*'Batt IN'!$E$42/12,0)</f>
        <v>0</v>
      </c>
      <c r="AP310" s="10">
        <f>IF(AND('Batt IN'!$D$46="YES",$C310&lt;='Batt IN'!$E$46*12),-'Batt IN'!$E$28*'Batt IN'!$E$45/12,0)</f>
        <v>0</v>
      </c>
      <c r="AR310" s="10">
        <f>BattLoan!M337</f>
        <v>0</v>
      </c>
      <c r="AS310" s="10">
        <f>'Batt IN'!$G$16*365/12*'Batt IN'!$E$16</f>
        <v>76.041666666666671</v>
      </c>
      <c r="AT310" s="10">
        <f>IF(AND('Batt IN'!$E$18&gt;0,'Batt IN'!$G$18&gt;0),'Batt IN'!$E$17*'Batt IN'!$G$17,0)</f>
        <v>119.44619999999999</v>
      </c>
      <c r="AU310" s="10">
        <f>IF(AND('Batt IN'!$E$20&gt;0,'Batt IN'!$G$20&gt;0),'Batt IN'!$E$19*'Batt IN'!$G$19,0)</f>
        <v>231</v>
      </c>
      <c r="AV310" s="10"/>
      <c r="AW310" s="10"/>
      <c r="AX310" s="10">
        <f>IF('Batt IN'!$E$11="Non-Taxable",Q310,0)</f>
        <v>11259.872438356164</v>
      </c>
      <c r="AY310" s="10">
        <f>IF('Batt IN'!$E$11="Non-Taxable",'Batt IN'!$E$28/1000*'Batt IN'!$G$13*('Batt IN'!$E$13/12)*'Batt IN'!$E$12,0)</f>
        <v>244.42220833333334</v>
      </c>
      <c r="AZ310" s="10">
        <f>IF('Batt IN'!$E$11="Non-Taxable",$S310*'Batt IN'!$G$15*'Batt IN'!$E$28*'Batt IN'!$E$14/1000,0)</f>
        <v>0</v>
      </c>
      <c r="BA310" s="10">
        <f>IF('Batt IN'!$E$11="Non-Taxable",'Batt IN'!$E$21*'Batt IN'!$G$21/12,0)</f>
        <v>437.5</v>
      </c>
      <c r="BB310" s="10">
        <f>IF('Batt IN'!$E$11="Non-Taxable",'Batt IN'!$E$22*'Batt IN'!$G$22/12,0)</f>
        <v>1145.8333333333335</v>
      </c>
      <c r="BC310" s="10">
        <f>IF('Batt IN'!$E$11="Taxable",Q310,0)</f>
        <v>0</v>
      </c>
      <c r="BD310" s="10">
        <f>IF('Batt IN'!$E$11="Taxable",'Batt IN'!$E$28/1000*'Batt IN'!$G$13*('Batt IN'!$E$13/12)*'Batt IN'!$E$12,0)</f>
        <v>0</v>
      </c>
      <c r="BE310" s="10">
        <f>IF('Batt IN'!$E$11="Taxable",$S310*'Batt IN'!$G$15*'Batt IN'!$E$28*'Batt IN'!$E$14/1000,0)</f>
        <v>0</v>
      </c>
      <c r="BF310" s="10">
        <f>IF('Batt IN'!$E$11="Taxable",'Batt IN'!$E$21*'Batt IN'!$G$21/12,0)</f>
        <v>0</v>
      </c>
      <c r="BG310" s="10">
        <f>IF('Batt IN'!$E$11="Taxable",'Batt IN'!$E$22*'Batt IN'!$G$22/12,0)</f>
        <v>0</v>
      </c>
      <c r="BK310" s="10">
        <f>IF('Batt IN'!$N$18="Yes",-BattLoan!H338,-BattLoan!L338)</f>
        <v>0</v>
      </c>
      <c r="BL310" s="10">
        <f>IF('Batt IN'!$N$18="Yes",-BattLoan!F338,0)</f>
        <v>0</v>
      </c>
      <c r="BM310" s="10">
        <f>IF(AND('Batt IN'!$D$44="YES",$C310&lt;='Batt IN'!$E$44*12),0,-'Batt IN'!$E$28*'Batt IN'!$E$42/12)</f>
        <v>-83.333333333333329</v>
      </c>
      <c r="BN310" s="10">
        <f>IF(AND('Batt IN'!$D$46="YES",$C310&lt;='Batt IN'!$E$46*12),0,-'Batt IN'!$E$28*'Batt IN'!$E$45/12)</f>
        <v>-166.66666666666666</v>
      </c>
      <c r="BO310" s="2">
        <f>IF(AND('Batt IN'!$D$41="YES",BattCalcs!C310=ROUNDUP('Batt IN'!$H$41*12,)),-'Batt IN'!$E$41*'Batt IN'!$E$28,0)</f>
        <v>0</v>
      </c>
      <c r="BP310" s="2">
        <f>IF(AND('Batt IN'!$D$53="Yes",$AL$1&gt;=1),0,IF($C310='Batt IN'!$H$54*12,-'Batt IN'!$F$54,0))</f>
        <v>0</v>
      </c>
      <c r="BQ310" s="2">
        <f>IF(AND('Batt IN'!$D$53="Yes",$AL$1&gt;=2),0,IF($C310='Batt IN'!$H$55*12,-'Batt IN'!$F$55,0))</f>
        <v>0</v>
      </c>
      <c r="BR310" s="2">
        <f>IF(AND('Batt IN'!$D$53="Yes",$AL$1&gt;=3),0,IF($C310='Batt IN'!$H$56*12,-'Batt IN'!$F$56,0))</f>
        <v>0</v>
      </c>
      <c r="BS310" s="2">
        <f>IF(AND('Batt IN'!$D$53="Yes",$AL$1&gt;=4),0,IF($C310='Batt IN'!$H$57*12,-'Batt IN'!$F$57,0))</f>
        <v>0</v>
      </c>
      <c r="BT310" s="2">
        <f>IF(AND('Batt IN'!$D$53="Yes",$AL$1&gt;=5),0,IF($C310='Batt IN'!$H$58*12,-'Batt IN'!$F$58,0))</f>
        <v>0</v>
      </c>
      <c r="BU310" s="2">
        <f>-AH310*PVCalcs!F310</f>
        <v>-370.4560173336377</v>
      </c>
      <c r="BV310" s="2">
        <f>-'Batt IN'!$E$47</f>
        <v>-150</v>
      </c>
      <c r="BW310" s="2">
        <f>-'Batt IN'!$E$49</f>
        <v>-2250</v>
      </c>
      <c r="BX310" s="2">
        <f>IF('Batt IN'!$H$50="No",-(BC310*'Batt IN'!$E$50),-(BC310+BE310)*'Batt IN'!$E$50)</f>
        <v>0</v>
      </c>
      <c r="BY310" s="2">
        <f>IF(C310='Batt IN'!$H$43*12,-'Batt IN'!$E$43,0)</f>
        <v>0</v>
      </c>
      <c r="BZ310" s="38"/>
      <c r="CA310" s="10">
        <f t="shared" si="89"/>
        <v>13514.115846689498</v>
      </c>
      <c r="CB310" s="2">
        <f t="shared" si="72"/>
        <v>-3020.4560173336376</v>
      </c>
      <c r="CC310" s="45">
        <f t="shared" si="90"/>
        <v>10493.65982935586</v>
      </c>
      <c r="CD310" s="43"/>
      <c r="CE310" s="2">
        <f t="shared" si="91"/>
        <v>0</v>
      </c>
      <c r="CF310" s="2">
        <f t="shared" si="74"/>
        <v>-3020.4560173336376</v>
      </c>
      <c r="CG310" s="2"/>
      <c r="CH310" s="2">
        <f t="shared" si="92"/>
        <v>-3020.4560173336376</v>
      </c>
      <c r="CI310" s="45">
        <f>-CH310*'Batt IN'!$E$7</f>
        <v>634.29576364006391</v>
      </c>
      <c r="CJ310" s="48"/>
      <c r="CK310" s="45">
        <f>IF('Batt IN'!$F$4="PV Only",0,IF(C310&gt;'Batt IN'!$H$43*12,0,CC310+CI310))</f>
        <v>0</v>
      </c>
      <c r="CM310" s="10">
        <f t="shared" si="93"/>
        <v>0</v>
      </c>
      <c r="CN310" s="2">
        <f>CK310/(1+('Batt IN'!$G$8))^(C310)</f>
        <v>0</v>
      </c>
      <c r="CO310" s="2" t="e">
        <f>IF(C310&lt;='Batt IN'!$O$30*12,CN310+CO309,NA())</f>
        <v>#N/A</v>
      </c>
      <c r="CQ310" s="2">
        <f>CK310/((1+('Batt IN'!$E$8/12))^BattCalcs!C310)</f>
        <v>0</v>
      </c>
      <c r="CS310" s="10">
        <f t="shared" si="77"/>
        <v>-3020.4560173336376</v>
      </c>
      <c r="CT310" s="10">
        <f t="shared" si="78"/>
        <v>0</v>
      </c>
      <c r="CU310" s="10">
        <f t="shared" si="79"/>
        <v>-3020.4560173336376</v>
      </c>
      <c r="CV310" s="10">
        <f t="shared" si="80"/>
        <v>-3020.4560173336376</v>
      </c>
      <c r="CW310" s="2">
        <f t="shared" si="81"/>
        <v>0</v>
      </c>
      <c r="CX310" s="2">
        <f>-(SUM(CV310:CW310)*'PV IN'!$E$8)</f>
        <v>634.29576364006391</v>
      </c>
      <c r="CY310" s="2">
        <f t="shared" si="82"/>
        <v>-2386.1602536935738</v>
      </c>
      <c r="CZ310" s="2">
        <f>IF(C310&lt;='Batt IN'!$H$43*12,CY310/(1+('PV IN'!$G$9))^(C310),0)</f>
        <v>0</v>
      </c>
      <c r="DA310" s="33">
        <f>IF(C310&lt;='Batt IN'!$H$43*12,AE310,0)</f>
        <v>0</v>
      </c>
    </row>
    <row r="311" spans="1:105" x14ac:dyDescent="0.25">
      <c r="A311" t="str">
        <f>IF(C311&lt;='Batt IN'!$H$43*12,C311,"")</f>
        <v/>
      </c>
      <c r="C311">
        <v>307</v>
      </c>
      <c r="D311" s="21">
        <v>737</v>
      </c>
      <c r="E311" s="1">
        <f>1-'Batt IN'!$E$31</f>
        <v>2.0000000000000018E-2</v>
      </c>
      <c r="F311" s="12">
        <f>('Batt IN'!$E$33*365)/8760</f>
        <v>0</v>
      </c>
      <c r="G311" s="22">
        <f>'Batt IN'!$E$32/8760</f>
        <v>5.7077625570776253E-3</v>
      </c>
      <c r="H311" s="22">
        <f>'Batt IN'!$E$13/8760</f>
        <v>5.5936073059360729E-3</v>
      </c>
      <c r="I311" s="23">
        <f>IF(C311&lt;='Batt IN'!$G$14*12,'Batt IN'!$E$15/8760*'Batt IN'!$G$15,0)</f>
        <v>0</v>
      </c>
      <c r="J311" s="12">
        <f>Z311/'Batt IN'!$E$27/730</f>
        <v>2.4999999999999996E-3</v>
      </c>
      <c r="K311" s="23">
        <f>AA311/'Batt IN'!$E$27/730</f>
        <v>1.6027397260273972E-3</v>
      </c>
      <c r="L311" s="23">
        <f>AB311/'Batt IN'!$E$27/730</f>
        <v>2.0547945205479451E-4</v>
      </c>
      <c r="M311" s="23">
        <f>AC311/'Batt IN'!$E$27/730</f>
        <v>4.7945205479452057E-3</v>
      </c>
      <c r="N311" s="23">
        <f>AD311/'Batt IN'!$E$27/730</f>
        <v>3.4246575342465752E-3</v>
      </c>
      <c r="O311" s="12">
        <f t="shared" si="85"/>
        <v>4.3828767123287697E-2</v>
      </c>
      <c r="P311" s="21">
        <f t="shared" si="86"/>
        <v>704.69819863013697</v>
      </c>
      <c r="Q311" s="2">
        <f>IF('Batt IN'!$E$27*'Batt IN'!$E$24&lt;='Batt IN'!$E$28,(('Batt IN'!$E$23*'Batt IN'!$E$27*'Batt IN'!$E$24)/1000)*P311,(('Batt IN'!$E$23*'Batt IN'!$E$28*'Batt IN'!$E$24)/1000)*P311)</f>
        <v>11275.171178082192</v>
      </c>
      <c r="R311" s="2"/>
      <c r="S311" s="77">
        <f>IF(C311&lt;='Batt IN'!$G$14*12,'Batt IN'!$E$15/12,0)</f>
        <v>0</v>
      </c>
      <c r="T311" s="77"/>
      <c r="U311" s="80">
        <f>'Batt IN'!$E$28*('Batt IN'!$G$24/24)*730*(1-O311)</f>
        <v>81433.916666666657</v>
      </c>
      <c r="V311" s="78">
        <f>U311*'Batt IN'!$F$30</f>
        <v>16286.783333333333</v>
      </c>
      <c r="W311" s="78">
        <f>'Batt IN'!$E$28*'Batt IN'!$G$32*('Batt IN'!$E$32/12)*(1+'Batt IN'!$F$30)</f>
        <v>1750.0000000000002</v>
      </c>
      <c r="X311" s="78">
        <f>'Batt IN'!$E$28*'Batt IN'!$G$13*('Batt IN'!$E$13/12)*(1+'Batt IN'!$F$30)</f>
        <v>3184.9999999999995</v>
      </c>
      <c r="Y311" s="33">
        <f>S311*'Batt IN'!$G$15*'Batt IN'!$E$28*(1+'Batt IN'!$F$30)</f>
        <v>0</v>
      </c>
      <c r="Z311" s="33">
        <f>'Batt IN'!$G$16*365/12*(1+'Batt IN'!$F$30)</f>
        <v>1824.9999999999998</v>
      </c>
      <c r="AA311" s="33">
        <f>'Batt IN'!$G$17*'Batt IN'!$E$18*'Batt IN'!$G$18/12*(1+'Batt IN'!$F$30)</f>
        <v>1170</v>
      </c>
      <c r="AB311" s="33">
        <f>'Batt IN'!$G$19*'Batt IN'!$E$20*'Batt IN'!$G$20/12*(1+'Batt IN'!$F$30)</f>
        <v>150</v>
      </c>
      <c r="AC311" s="33">
        <f>'Batt IN'!$G$21*(1+'Batt IN'!$F$30)/12</f>
        <v>3500</v>
      </c>
      <c r="AD311" s="33">
        <f>'Batt IN'!$G$22*(1+'Batt IN'!$F$30)/12</f>
        <v>2500</v>
      </c>
      <c r="AE311" s="33">
        <f t="shared" si="87"/>
        <v>30366.783333333333</v>
      </c>
      <c r="AF311" s="33">
        <f>IF('PV IN'!$F$4="Battery Only",0,AE311*'Batt IN'!$E$29)</f>
        <v>25811.765833333331</v>
      </c>
      <c r="AG311" s="33">
        <f>PVCalcs!L311</f>
        <v>25811.765833333331</v>
      </c>
      <c r="AH311" s="33">
        <f t="shared" si="88"/>
        <v>4555.0175000000017</v>
      </c>
      <c r="AI311" s="33"/>
      <c r="AJ311" s="2">
        <f>IF(AND('Batt IN'!$D$53="Yes",$AL$1&gt;=1),IF($C311='Batt IN'!$H$54*12,-'Batt IN'!$F$54,0),0)</f>
        <v>0</v>
      </c>
      <c r="AK311" s="2">
        <f>IF(AND('Batt IN'!$D$53="Yes",$AL$1&gt;=2),IF($C311='Batt IN'!$H$55*12,-'Batt IN'!$F$55,0),0)</f>
        <v>0</v>
      </c>
      <c r="AL311" s="2">
        <f>IF(AND('Batt IN'!$D$53="Yes",$AL$1&gt;=3),IF($C311='Batt IN'!$H$56*12,-'Batt IN'!$F$56,0),0)</f>
        <v>0</v>
      </c>
      <c r="AM311" s="2">
        <f>IF(AND('Batt IN'!$D$53="Yes",$AL$1&gt;=4),IF($C311='Batt IN'!$H$57*12,-'Batt IN'!$F$57,0),0)</f>
        <v>0</v>
      </c>
      <c r="AN311" s="2">
        <f>IF(AND('Batt IN'!$D$53="Yes",$AL$1&gt;=5),IF($C311='Batt IN'!$H$58*12,-'Batt IN'!$F$58,0),0)</f>
        <v>0</v>
      </c>
      <c r="AO311" s="10">
        <f>IF(AND('Batt IN'!$D$44="YES",$C311&lt;='Batt IN'!$E$44*12),-'Batt IN'!$E$28*'Batt IN'!$E$42/12,0)</f>
        <v>0</v>
      </c>
      <c r="AP311" s="10">
        <f>IF(AND('Batt IN'!$D$46="YES",$C311&lt;='Batt IN'!$E$46*12),-'Batt IN'!$E$28*'Batt IN'!$E$45/12,0)</f>
        <v>0</v>
      </c>
      <c r="AR311" s="10">
        <f>BattLoan!M338</f>
        <v>0</v>
      </c>
      <c r="AS311" s="10">
        <f>'Batt IN'!$G$16*365/12*'Batt IN'!$E$16</f>
        <v>76.041666666666671</v>
      </c>
      <c r="AT311" s="10">
        <f>IF(AND('Batt IN'!$E$18&gt;0,'Batt IN'!$G$18&gt;0),'Batt IN'!$E$17*'Batt IN'!$G$17,0)</f>
        <v>119.44619999999999</v>
      </c>
      <c r="AU311" s="10">
        <f>IF(AND('Batt IN'!$E$20&gt;0,'Batt IN'!$G$20&gt;0),'Batt IN'!$E$19*'Batt IN'!$G$19,0)</f>
        <v>231</v>
      </c>
      <c r="AV311" s="10"/>
      <c r="AW311" s="10"/>
      <c r="AX311" s="10">
        <f>IF('Batt IN'!$E$11="Non-Taxable",Q311,0)</f>
        <v>11275.171178082192</v>
      </c>
      <c r="AY311" s="10">
        <f>IF('Batt IN'!$E$11="Non-Taxable",'Batt IN'!$E$28/1000*'Batt IN'!$G$13*('Batt IN'!$E$13/12)*'Batt IN'!$E$12,0)</f>
        <v>244.42220833333334</v>
      </c>
      <c r="AZ311" s="10">
        <f>IF('Batt IN'!$E$11="Non-Taxable",$S311*'Batt IN'!$G$15*'Batt IN'!$E$28*'Batt IN'!$E$14/1000,0)</f>
        <v>0</v>
      </c>
      <c r="BA311" s="10">
        <f>IF('Batt IN'!$E$11="Non-Taxable",'Batt IN'!$E$21*'Batt IN'!$G$21/12,0)</f>
        <v>437.5</v>
      </c>
      <c r="BB311" s="10">
        <f>IF('Batt IN'!$E$11="Non-Taxable",'Batt IN'!$E$22*'Batt IN'!$G$22/12,0)</f>
        <v>1145.8333333333335</v>
      </c>
      <c r="BC311" s="10">
        <f>IF('Batt IN'!$E$11="Taxable",Q311,0)</f>
        <v>0</v>
      </c>
      <c r="BD311" s="10">
        <f>IF('Batt IN'!$E$11="Taxable",'Batt IN'!$E$28/1000*'Batt IN'!$G$13*('Batt IN'!$E$13/12)*'Batt IN'!$E$12,0)</f>
        <v>0</v>
      </c>
      <c r="BE311" s="10">
        <f>IF('Batt IN'!$E$11="Taxable",$S311*'Batt IN'!$G$15*'Batt IN'!$E$28*'Batt IN'!$E$14/1000,0)</f>
        <v>0</v>
      </c>
      <c r="BF311" s="10">
        <f>IF('Batt IN'!$E$11="Taxable",'Batt IN'!$E$21*'Batt IN'!$G$21/12,0)</f>
        <v>0</v>
      </c>
      <c r="BG311" s="10">
        <f>IF('Batt IN'!$E$11="Taxable",'Batt IN'!$E$22*'Batt IN'!$G$22/12,0)</f>
        <v>0</v>
      </c>
      <c r="BK311" s="10">
        <f>IF('Batt IN'!$N$18="Yes",-BattLoan!H339,-BattLoan!L339)</f>
        <v>0</v>
      </c>
      <c r="BL311" s="10">
        <f>IF('Batt IN'!$N$18="Yes",-BattLoan!F339,0)</f>
        <v>0</v>
      </c>
      <c r="BM311" s="10">
        <f>IF(AND('Batt IN'!$D$44="YES",$C311&lt;='Batt IN'!$E$44*12),0,-'Batt IN'!$E$28*'Batt IN'!$E$42/12)</f>
        <v>-83.333333333333329</v>
      </c>
      <c r="BN311" s="10">
        <f>IF(AND('Batt IN'!$D$46="YES",$C311&lt;='Batt IN'!$E$46*12),0,-'Batt IN'!$E$28*'Batt IN'!$E$45/12)</f>
        <v>-166.66666666666666</v>
      </c>
      <c r="BO311" s="2">
        <f>IF(AND('Batt IN'!$D$41="YES",BattCalcs!C311=ROUNDUP('Batt IN'!$H$41*12,)),-'Batt IN'!$E$41*'Batt IN'!$E$28,0)</f>
        <v>0</v>
      </c>
      <c r="BP311" s="2">
        <f>IF(AND('Batt IN'!$D$53="Yes",$AL$1&gt;=1),0,IF($C311='Batt IN'!$H$54*12,-'Batt IN'!$F$54,0))</f>
        <v>0</v>
      </c>
      <c r="BQ311" s="2">
        <f>IF(AND('Batt IN'!$D$53="Yes",$AL$1&gt;=2),0,IF($C311='Batt IN'!$H$55*12,-'Batt IN'!$F$55,0))</f>
        <v>0</v>
      </c>
      <c r="BR311" s="2">
        <f>IF(AND('Batt IN'!$D$53="Yes",$AL$1&gt;=3),0,IF($C311='Batt IN'!$H$56*12,-'Batt IN'!$F$56,0))</f>
        <v>0</v>
      </c>
      <c r="BS311" s="2">
        <f>IF(AND('Batt IN'!$D$53="Yes",$AL$1&gt;=4),0,IF($C311='Batt IN'!$H$57*12,-'Batt IN'!$F$57,0))</f>
        <v>0</v>
      </c>
      <c r="BT311" s="2">
        <f>IF(AND('Batt IN'!$D$53="Yes",$AL$1&gt;=5),0,IF($C311='Batt IN'!$H$58*12,-'Batt IN'!$F$58,0))</f>
        <v>0</v>
      </c>
      <c r="BU311" s="2">
        <f>-AH311*PVCalcs!F311</f>
        <v>-370.4560173336377</v>
      </c>
      <c r="BV311" s="2">
        <f>-'Batt IN'!$E$47</f>
        <v>-150</v>
      </c>
      <c r="BW311" s="2">
        <f>-'Batt IN'!$E$49</f>
        <v>-2250</v>
      </c>
      <c r="BX311" s="2">
        <f>IF('Batt IN'!$H$50="No",-(BC311*'Batt IN'!$E$50),-(BC311+BE311)*'Batt IN'!$E$50)</f>
        <v>0</v>
      </c>
      <c r="BY311" s="2">
        <f>IF(C311='Batt IN'!$H$43*12,-'Batt IN'!$E$43,0)</f>
        <v>0</v>
      </c>
      <c r="BZ311" s="38"/>
      <c r="CA311" s="10">
        <f t="shared" si="89"/>
        <v>13529.414586415525</v>
      </c>
      <c r="CB311" s="2">
        <f t="shared" si="72"/>
        <v>-3020.4560173336376</v>
      </c>
      <c r="CC311" s="45">
        <f t="shared" si="90"/>
        <v>10508.958569081888</v>
      </c>
      <c r="CD311" s="43"/>
      <c r="CE311" s="2">
        <f t="shared" si="91"/>
        <v>0</v>
      </c>
      <c r="CF311" s="2">
        <f t="shared" si="74"/>
        <v>-3020.4560173336376</v>
      </c>
      <c r="CG311" s="2"/>
      <c r="CH311" s="2">
        <f t="shared" si="92"/>
        <v>-3020.4560173336376</v>
      </c>
      <c r="CI311" s="45">
        <f>-CH311*'Batt IN'!$E$7</f>
        <v>634.29576364006391</v>
      </c>
      <c r="CJ311" s="48"/>
      <c r="CK311" s="45">
        <f>IF('Batt IN'!$F$4="PV Only",0,IF(C311&gt;'Batt IN'!$H$43*12,0,CC311+CI311))</f>
        <v>0</v>
      </c>
      <c r="CM311" s="10">
        <f t="shared" si="93"/>
        <v>0</v>
      </c>
      <c r="CN311" s="2">
        <f>CK311/(1+('Batt IN'!$G$8))^(C311)</f>
        <v>0</v>
      </c>
      <c r="CO311" s="2" t="e">
        <f>IF(C311&lt;='Batt IN'!$O$30*12,CN311+CO310,NA())</f>
        <v>#N/A</v>
      </c>
      <c r="CQ311" s="2">
        <f>CK311/((1+('Batt IN'!$E$8/12))^BattCalcs!C311)</f>
        <v>0</v>
      </c>
      <c r="CS311" s="10">
        <f t="shared" si="77"/>
        <v>-3020.4560173336376</v>
      </c>
      <c r="CT311" s="10">
        <f t="shared" si="78"/>
        <v>0</v>
      </c>
      <c r="CU311" s="10">
        <f t="shared" si="79"/>
        <v>-3020.4560173336376</v>
      </c>
      <c r="CV311" s="10">
        <f t="shared" si="80"/>
        <v>-3020.4560173336376</v>
      </c>
      <c r="CW311" s="2">
        <f t="shared" si="81"/>
        <v>0</v>
      </c>
      <c r="CX311" s="2">
        <f>-(SUM(CV311:CW311)*'PV IN'!$E$8)</f>
        <v>634.29576364006391</v>
      </c>
      <c r="CY311" s="2">
        <f t="shared" si="82"/>
        <v>-2386.1602536935738</v>
      </c>
      <c r="CZ311" s="2">
        <f>IF(C311&lt;='Batt IN'!$H$43*12,CY311/(1+('PV IN'!$G$9))^(C311),0)</f>
        <v>0</v>
      </c>
      <c r="DA311" s="33">
        <f>IF(C311&lt;='Batt IN'!$H$43*12,AE311,0)</f>
        <v>0</v>
      </c>
    </row>
    <row r="312" spans="1:105" x14ac:dyDescent="0.25">
      <c r="A312" t="str">
        <f>IF(C312&lt;='Batt IN'!$H$43*12,C312,"")</f>
        <v/>
      </c>
      <c r="C312">
        <v>308</v>
      </c>
      <c r="D312" s="21">
        <v>738</v>
      </c>
      <c r="E312" s="1">
        <f>1-'Batt IN'!$E$31</f>
        <v>2.0000000000000018E-2</v>
      </c>
      <c r="F312" s="12">
        <f>('Batt IN'!$E$33*365)/8760</f>
        <v>0</v>
      </c>
      <c r="G312" s="22">
        <f>'Batt IN'!$E$32/8760</f>
        <v>5.7077625570776253E-3</v>
      </c>
      <c r="H312" s="22">
        <f>'Batt IN'!$E$13/8760</f>
        <v>5.5936073059360729E-3</v>
      </c>
      <c r="I312" s="23">
        <f>IF(C312&lt;='Batt IN'!$G$14*12,'Batt IN'!$E$15/8760*'Batt IN'!$G$15,0)</f>
        <v>0</v>
      </c>
      <c r="J312" s="12">
        <f>Z312/'Batt IN'!$E$27/730</f>
        <v>2.4999999999999996E-3</v>
      </c>
      <c r="K312" s="23">
        <f>AA312/'Batt IN'!$E$27/730</f>
        <v>1.6027397260273972E-3</v>
      </c>
      <c r="L312" s="23">
        <f>AB312/'Batt IN'!$E$27/730</f>
        <v>2.0547945205479451E-4</v>
      </c>
      <c r="M312" s="23">
        <f>AC312/'Batt IN'!$E$27/730</f>
        <v>4.7945205479452057E-3</v>
      </c>
      <c r="N312" s="23">
        <f>AD312/'Batt IN'!$E$27/730</f>
        <v>3.4246575342465752E-3</v>
      </c>
      <c r="O312" s="12">
        <f t="shared" si="85"/>
        <v>4.3828767123287697E-2</v>
      </c>
      <c r="P312" s="21">
        <f t="shared" si="86"/>
        <v>705.6543698630137</v>
      </c>
      <c r="Q312" s="2">
        <f>IF('Batt IN'!$E$27*'Batt IN'!$E$24&lt;='Batt IN'!$E$28,(('Batt IN'!$E$23*'Batt IN'!$E$27*'Batt IN'!$E$24)/1000)*P312,(('Batt IN'!$E$23*'Batt IN'!$E$28*'Batt IN'!$E$24)/1000)*P312)</f>
        <v>11290.469917808219</v>
      </c>
      <c r="R312" s="2"/>
      <c r="S312" s="77">
        <f>IF(C312&lt;='Batt IN'!$G$14*12,'Batt IN'!$E$15/12,0)</f>
        <v>0</v>
      </c>
      <c r="T312" s="77"/>
      <c r="U312" s="80">
        <f>'Batt IN'!$E$28*('Batt IN'!$G$24/24)*730*(1-O312)</f>
        <v>81433.916666666657</v>
      </c>
      <c r="V312" s="78">
        <f>U312*'Batt IN'!$F$30</f>
        <v>16286.783333333333</v>
      </c>
      <c r="W312" s="78">
        <f>'Batt IN'!$E$28*'Batt IN'!$G$32*('Batt IN'!$E$32/12)*(1+'Batt IN'!$F$30)</f>
        <v>1750.0000000000002</v>
      </c>
      <c r="X312" s="78">
        <f>'Batt IN'!$E$28*'Batt IN'!$G$13*('Batt IN'!$E$13/12)*(1+'Batt IN'!$F$30)</f>
        <v>3184.9999999999995</v>
      </c>
      <c r="Y312" s="33">
        <f>S312*'Batt IN'!$G$15*'Batt IN'!$E$28*(1+'Batt IN'!$F$30)</f>
        <v>0</v>
      </c>
      <c r="Z312" s="33">
        <f>'Batt IN'!$G$16*365/12*(1+'Batt IN'!$F$30)</f>
        <v>1824.9999999999998</v>
      </c>
      <c r="AA312" s="33">
        <f>'Batt IN'!$G$17*'Batt IN'!$E$18*'Batt IN'!$G$18/12*(1+'Batt IN'!$F$30)</f>
        <v>1170</v>
      </c>
      <c r="AB312" s="33">
        <f>'Batt IN'!$G$19*'Batt IN'!$E$20*'Batt IN'!$G$20/12*(1+'Batt IN'!$F$30)</f>
        <v>150</v>
      </c>
      <c r="AC312" s="33">
        <f>'Batt IN'!$G$21*(1+'Batt IN'!$F$30)/12</f>
        <v>3500</v>
      </c>
      <c r="AD312" s="33">
        <f>'Batt IN'!$G$22*(1+'Batt IN'!$F$30)/12</f>
        <v>2500</v>
      </c>
      <c r="AE312" s="33">
        <f t="shared" si="87"/>
        <v>30366.783333333333</v>
      </c>
      <c r="AF312" s="33">
        <f>IF('PV IN'!$F$4="Battery Only",0,AE312*'Batt IN'!$E$29)</f>
        <v>25811.765833333331</v>
      </c>
      <c r="AG312" s="33">
        <f>PVCalcs!L312</f>
        <v>25811.765833333331</v>
      </c>
      <c r="AH312" s="33">
        <f t="shared" si="88"/>
        <v>4555.0175000000017</v>
      </c>
      <c r="AI312" s="33"/>
      <c r="AJ312" s="2">
        <f>IF(AND('Batt IN'!$D$53="Yes",$AL$1&gt;=1),IF($C312='Batt IN'!$H$54*12,-'Batt IN'!$F$54,0),0)</f>
        <v>0</v>
      </c>
      <c r="AK312" s="2">
        <f>IF(AND('Batt IN'!$D$53="Yes",$AL$1&gt;=2),IF($C312='Batt IN'!$H$55*12,-'Batt IN'!$F$55,0),0)</f>
        <v>0</v>
      </c>
      <c r="AL312" s="2">
        <f>IF(AND('Batt IN'!$D$53="Yes",$AL$1&gt;=3),IF($C312='Batt IN'!$H$56*12,-'Batt IN'!$F$56,0),0)</f>
        <v>0</v>
      </c>
      <c r="AM312" s="2">
        <f>IF(AND('Batt IN'!$D$53="Yes",$AL$1&gt;=4),IF($C312='Batt IN'!$H$57*12,-'Batt IN'!$F$57,0),0)</f>
        <v>0</v>
      </c>
      <c r="AN312" s="2">
        <f>IF(AND('Batt IN'!$D$53="Yes",$AL$1&gt;=5),IF($C312='Batt IN'!$H$58*12,-'Batt IN'!$F$58,0),0)</f>
        <v>0</v>
      </c>
      <c r="AO312" s="10">
        <f>IF(AND('Batt IN'!$D$44="YES",$C312&lt;='Batt IN'!$E$44*12),-'Batt IN'!$E$28*'Batt IN'!$E$42/12,0)</f>
        <v>0</v>
      </c>
      <c r="AP312" s="10">
        <f>IF(AND('Batt IN'!$D$46="YES",$C312&lt;='Batt IN'!$E$46*12),-'Batt IN'!$E$28*'Batt IN'!$E$45/12,0)</f>
        <v>0</v>
      </c>
      <c r="AR312" s="10">
        <f>BattLoan!M339</f>
        <v>0</v>
      </c>
      <c r="AS312" s="10">
        <f>'Batt IN'!$G$16*365/12*'Batt IN'!$E$16</f>
        <v>76.041666666666671</v>
      </c>
      <c r="AT312" s="10">
        <f>IF(AND('Batt IN'!$E$18&gt;0,'Batt IN'!$G$18&gt;0),'Batt IN'!$E$17*'Batt IN'!$G$17,0)</f>
        <v>119.44619999999999</v>
      </c>
      <c r="AU312" s="10">
        <f>IF(AND('Batt IN'!$E$20&gt;0,'Batt IN'!$G$20&gt;0),'Batt IN'!$E$19*'Batt IN'!$G$19,0)</f>
        <v>231</v>
      </c>
      <c r="AV312" s="10"/>
      <c r="AW312" s="10"/>
      <c r="AX312" s="10">
        <f>IF('Batt IN'!$E$11="Non-Taxable",Q312,0)</f>
        <v>11290.469917808219</v>
      </c>
      <c r="AY312" s="10">
        <f>IF('Batt IN'!$E$11="Non-Taxable",'Batt IN'!$E$28/1000*'Batt IN'!$G$13*('Batt IN'!$E$13/12)*'Batt IN'!$E$12,0)</f>
        <v>244.42220833333334</v>
      </c>
      <c r="AZ312" s="10">
        <f>IF('Batt IN'!$E$11="Non-Taxable",$S312*'Batt IN'!$G$15*'Batt IN'!$E$28*'Batt IN'!$E$14/1000,0)</f>
        <v>0</v>
      </c>
      <c r="BA312" s="10">
        <f>IF('Batt IN'!$E$11="Non-Taxable",'Batt IN'!$E$21*'Batt IN'!$G$21/12,0)</f>
        <v>437.5</v>
      </c>
      <c r="BB312" s="10">
        <f>IF('Batt IN'!$E$11="Non-Taxable",'Batt IN'!$E$22*'Batt IN'!$G$22/12,0)</f>
        <v>1145.8333333333335</v>
      </c>
      <c r="BC312" s="10">
        <f>IF('Batt IN'!$E$11="Taxable",Q312,0)</f>
        <v>0</v>
      </c>
      <c r="BD312" s="10">
        <f>IF('Batt IN'!$E$11="Taxable",'Batt IN'!$E$28/1000*'Batt IN'!$G$13*('Batt IN'!$E$13/12)*'Batt IN'!$E$12,0)</f>
        <v>0</v>
      </c>
      <c r="BE312" s="10">
        <f>IF('Batt IN'!$E$11="Taxable",$S312*'Batt IN'!$G$15*'Batt IN'!$E$28*'Batt IN'!$E$14/1000,0)</f>
        <v>0</v>
      </c>
      <c r="BF312" s="10">
        <f>IF('Batt IN'!$E$11="Taxable",'Batt IN'!$E$21*'Batt IN'!$G$21/12,0)</f>
        <v>0</v>
      </c>
      <c r="BG312" s="10">
        <f>IF('Batt IN'!$E$11="Taxable",'Batt IN'!$E$22*'Batt IN'!$G$22/12,0)</f>
        <v>0</v>
      </c>
      <c r="BK312" s="10">
        <f>IF('Batt IN'!$N$18="Yes",-BattLoan!H340,-BattLoan!L340)</f>
        <v>0</v>
      </c>
      <c r="BL312" s="10">
        <f>IF('Batt IN'!$N$18="Yes",-BattLoan!F340,0)</f>
        <v>0</v>
      </c>
      <c r="BM312" s="10">
        <f>IF(AND('Batt IN'!$D$44="YES",$C312&lt;='Batt IN'!$E$44*12),0,-'Batt IN'!$E$28*'Batt IN'!$E$42/12)</f>
        <v>-83.333333333333329</v>
      </c>
      <c r="BN312" s="10">
        <f>IF(AND('Batt IN'!$D$46="YES",$C312&lt;='Batt IN'!$E$46*12),0,-'Batt IN'!$E$28*'Batt IN'!$E$45/12)</f>
        <v>-166.66666666666666</v>
      </c>
      <c r="BO312" s="2">
        <f>IF(AND('Batt IN'!$D$41="YES",BattCalcs!C312=ROUNDUP('Batt IN'!$H$41*12,)),-'Batt IN'!$E$41*'Batt IN'!$E$28,0)</f>
        <v>0</v>
      </c>
      <c r="BP312" s="2">
        <f>IF(AND('Batt IN'!$D$53="Yes",$AL$1&gt;=1),0,IF($C312='Batt IN'!$H$54*12,-'Batt IN'!$F$54,0))</f>
        <v>0</v>
      </c>
      <c r="BQ312" s="2">
        <f>IF(AND('Batt IN'!$D$53="Yes",$AL$1&gt;=2),0,IF($C312='Batt IN'!$H$55*12,-'Batt IN'!$F$55,0))</f>
        <v>0</v>
      </c>
      <c r="BR312" s="2">
        <f>IF(AND('Batt IN'!$D$53="Yes",$AL$1&gt;=3),0,IF($C312='Batt IN'!$H$56*12,-'Batt IN'!$F$56,0))</f>
        <v>0</v>
      </c>
      <c r="BS312" s="2">
        <f>IF(AND('Batt IN'!$D$53="Yes",$AL$1&gt;=4),0,IF($C312='Batt IN'!$H$57*12,-'Batt IN'!$F$57,0))</f>
        <v>0</v>
      </c>
      <c r="BT312" s="2">
        <f>IF(AND('Batt IN'!$D$53="Yes",$AL$1&gt;=5),0,IF($C312='Batt IN'!$H$58*12,-'Batt IN'!$F$58,0))</f>
        <v>0</v>
      </c>
      <c r="BU312" s="2">
        <f>-AH312*PVCalcs!F312</f>
        <v>-370.4560173336377</v>
      </c>
      <c r="BV312" s="2">
        <f>-'Batt IN'!$E$47</f>
        <v>-150</v>
      </c>
      <c r="BW312" s="2">
        <f>-'Batt IN'!$E$49</f>
        <v>-2250</v>
      </c>
      <c r="BX312" s="2">
        <f>IF('Batt IN'!$H$50="No",-(BC312*'Batt IN'!$E$50),-(BC312+BE312)*'Batt IN'!$E$50)</f>
        <v>0</v>
      </c>
      <c r="BY312" s="2">
        <f>IF(C312='Batt IN'!$H$43*12,-'Batt IN'!$E$43,0)</f>
        <v>0</v>
      </c>
      <c r="BZ312" s="38"/>
      <c r="CA312" s="10">
        <f t="shared" si="89"/>
        <v>13544.713326141553</v>
      </c>
      <c r="CB312" s="2">
        <f t="shared" si="72"/>
        <v>-3020.4560173336376</v>
      </c>
      <c r="CC312" s="45">
        <f t="shared" si="90"/>
        <v>10524.257308807915</v>
      </c>
      <c r="CD312" s="43"/>
      <c r="CE312" s="2">
        <f t="shared" si="91"/>
        <v>0</v>
      </c>
      <c r="CF312" s="2">
        <f t="shared" si="74"/>
        <v>-3020.4560173336376</v>
      </c>
      <c r="CG312" s="2"/>
      <c r="CH312" s="2">
        <f t="shared" si="92"/>
        <v>-3020.4560173336376</v>
      </c>
      <c r="CI312" s="45">
        <f>-CH312*'Batt IN'!$E$7</f>
        <v>634.29576364006391</v>
      </c>
      <c r="CJ312" s="48"/>
      <c r="CK312" s="45">
        <f>IF('Batt IN'!$F$4="PV Only",0,IF(C312&gt;'Batt IN'!$H$43*12,0,CC312+CI312))</f>
        <v>0</v>
      </c>
      <c r="CM312" s="10">
        <f t="shared" si="93"/>
        <v>0</v>
      </c>
      <c r="CN312" s="2">
        <f>CK312/(1+('Batt IN'!$G$8))^(C312)</f>
        <v>0</v>
      </c>
      <c r="CO312" s="2" t="e">
        <f>IF(C312&lt;='Batt IN'!$O$30*12,CN312+CO311,NA())</f>
        <v>#N/A</v>
      </c>
      <c r="CQ312" s="2">
        <f>CK312/((1+('Batt IN'!$E$8/12))^BattCalcs!C312)</f>
        <v>0</v>
      </c>
      <c r="CS312" s="10">
        <f t="shared" si="77"/>
        <v>-3020.4560173336376</v>
      </c>
      <c r="CT312" s="10">
        <f t="shared" si="78"/>
        <v>0</v>
      </c>
      <c r="CU312" s="10">
        <f t="shared" si="79"/>
        <v>-3020.4560173336376</v>
      </c>
      <c r="CV312" s="10">
        <f t="shared" si="80"/>
        <v>-3020.4560173336376</v>
      </c>
      <c r="CW312" s="2">
        <f t="shared" si="81"/>
        <v>0</v>
      </c>
      <c r="CX312" s="2">
        <f>-(SUM(CV312:CW312)*'PV IN'!$E$8)</f>
        <v>634.29576364006391</v>
      </c>
      <c r="CY312" s="2">
        <f t="shared" si="82"/>
        <v>-2386.1602536935738</v>
      </c>
      <c r="CZ312" s="2">
        <f>IF(C312&lt;='Batt IN'!$H$43*12,CY312/(1+('PV IN'!$G$9))^(C312),0)</f>
        <v>0</v>
      </c>
      <c r="DA312" s="33">
        <f>IF(C312&lt;='Batt IN'!$H$43*12,AE312,0)</f>
        <v>0</v>
      </c>
    </row>
    <row r="313" spans="1:105" x14ac:dyDescent="0.25">
      <c r="A313" t="str">
        <f>IF(C313&lt;='Batt IN'!$H$43*12,C313,"")</f>
        <v/>
      </c>
      <c r="C313">
        <v>309</v>
      </c>
      <c r="D313" s="21">
        <v>739</v>
      </c>
      <c r="E313" s="1">
        <f>1-'Batt IN'!$E$31</f>
        <v>2.0000000000000018E-2</v>
      </c>
      <c r="F313" s="12">
        <f>('Batt IN'!$E$33*365)/8760</f>
        <v>0</v>
      </c>
      <c r="G313" s="22">
        <f>'Batt IN'!$E$32/8760</f>
        <v>5.7077625570776253E-3</v>
      </c>
      <c r="H313" s="22">
        <f>'Batt IN'!$E$13/8760</f>
        <v>5.5936073059360729E-3</v>
      </c>
      <c r="I313" s="23">
        <f>IF(C313&lt;='Batt IN'!$G$14*12,'Batt IN'!$E$15/8760*'Batt IN'!$G$15,0)</f>
        <v>0</v>
      </c>
      <c r="J313" s="12">
        <f>Z313/'Batt IN'!$E$27/730</f>
        <v>2.4999999999999996E-3</v>
      </c>
      <c r="K313" s="23">
        <f>AA313/'Batt IN'!$E$27/730</f>
        <v>1.6027397260273972E-3</v>
      </c>
      <c r="L313" s="23">
        <f>AB313/'Batt IN'!$E$27/730</f>
        <v>2.0547945205479451E-4</v>
      </c>
      <c r="M313" s="23">
        <f>AC313/'Batt IN'!$E$27/730</f>
        <v>4.7945205479452057E-3</v>
      </c>
      <c r="N313" s="23">
        <f>AD313/'Batt IN'!$E$27/730</f>
        <v>3.4246575342465752E-3</v>
      </c>
      <c r="O313" s="12">
        <f t="shared" si="85"/>
        <v>4.3828767123287697E-2</v>
      </c>
      <c r="P313" s="21">
        <f t="shared" si="86"/>
        <v>706.61054109589043</v>
      </c>
      <c r="Q313" s="2">
        <f>IF('Batt IN'!$E$27*'Batt IN'!$E$24&lt;='Batt IN'!$E$28,(('Batt IN'!$E$23*'Batt IN'!$E$27*'Batt IN'!$E$24)/1000)*P313,(('Batt IN'!$E$23*'Batt IN'!$E$28*'Batt IN'!$E$24)/1000)*P313)</f>
        <v>11305.768657534247</v>
      </c>
      <c r="R313" s="2"/>
      <c r="S313" s="77">
        <f>IF(C313&lt;='Batt IN'!$G$14*12,'Batt IN'!$E$15/12,0)</f>
        <v>0</v>
      </c>
      <c r="T313" s="77"/>
      <c r="U313" s="80">
        <f>'Batt IN'!$E$28*('Batt IN'!$G$24/24)*730*(1-O313)</f>
        <v>81433.916666666657</v>
      </c>
      <c r="V313" s="78">
        <f>U313*'Batt IN'!$F$30</f>
        <v>16286.783333333333</v>
      </c>
      <c r="W313" s="78">
        <f>'Batt IN'!$E$28*'Batt IN'!$G$32*('Batt IN'!$E$32/12)*(1+'Batt IN'!$F$30)</f>
        <v>1750.0000000000002</v>
      </c>
      <c r="X313" s="78">
        <f>'Batt IN'!$E$28*'Batt IN'!$G$13*('Batt IN'!$E$13/12)*(1+'Batt IN'!$F$30)</f>
        <v>3184.9999999999995</v>
      </c>
      <c r="Y313" s="33">
        <f>S313*'Batt IN'!$G$15*'Batt IN'!$E$28*(1+'Batt IN'!$F$30)</f>
        <v>0</v>
      </c>
      <c r="Z313" s="33">
        <f>'Batt IN'!$G$16*365/12*(1+'Batt IN'!$F$30)</f>
        <v>1824.9999999999998</v>
      </c>
      <c r="AA313" s="33">
        <f>'Batt IN'!$G$17*'Batt IN'!$E$18*'Batt IN'!$G$18/12*(1+'Batt IN'!$F$30)</f>
        <v>1170</v>
      </c>
      <c r="AB313" s="33">
        <f>'Batt IN'!$G$19*'Batt IN'!$E$20*'Batt IN'!$G$20/12*(1+'Batt IN'!$F$30)</f>
        <v>150</v>
      </c>
      <c r="AC313" s="33">
        <f>'Batt IN'!$G$21*(1+'Batt IN'!$F$30)/12</f>
        <v>3500</v>
      </c>
      <c r="AD313" s="33">
        <f>'Batt IN'!$G$22*(1+'Batt IN'!$F$30)/12</f>
        <v>2500</v>
      </c>
      <c r="AE313" s="33">
        <f t="shared" si="87"/>
        <v>30366.783333333333</v>
      </c>
      <c r="AF313" s="33">
        <f>IF('PV IN'!$F$4="Battery Only",0,AE313*'Batt IN'!$E$29)</f>
        <v>25811.765833333331</v>
      </c>
      <c r="AG313" s="33">
        <f>PVCalcs!L313</f>
        <v>25811.765833333331</v>
      </c>
      <c r="AH313" s="33">
        <f t="shared" si="88"/>
        <v>4555.0175000000017</v>
      </c>
      <c r="AI313" s="33"/>
      <c r="AJ313" s="2">
        <f>IF(AND('Batt IN'!$D$53="Yes",$AL$1&gt;=1),IF($C313='Batt IN'!$H$54*12,-'Batt IN'!$F$54,0),0)</f>
        <v>0</v>
      </c>
      <c r="AK313" s="2">
        <f>IF(AND('Batt IN'!$D$53="Yes",$AL$1&gt;=2),IF($C313='Batt IN'!$H$55*12,-'Batt IN'!$F$55,0),0)</f>
        <v>0</v>
      </c>
      <c r="AL313" s="2">
        <f>IF(AND('Batt IN'!$D$53="Yes",$AL$1&gt;=3),IF($C313='Batt IN'!$H$56*12,-'Batt IN'!$F$56,0),0)</f>
        <v>0</v>
      </c>
      <c r="AM313" s="2">
        <f>IF(AND('Batt IN'!$D$53="Yes",$AL$1&gt;=4),IF($C313='Batt IN'!$H$57*12,-'Batt IN'!$F$57,0),0)</f>
        <v>0</v>
      </c>
      <c r="AN313" s="2">
        <f>IF(AND('Batt IN'!$D$53="Yes",$AL$1&gt;=5),IF($C313='Batt IN'!$H$58*12,-'Batt IN'!$F$58,0),0)</f>
        <v>0</v>
      </c>
      <c r="AO313" s="10">
        <f>IF(AND('Batt IN'!$D$44="YES",$C313&lt;='Batt IN'!$E$44*12),-'Batt IN'!$E$28*'Batt IN'!$E$42/12,0)</f>
        <v>0</v>
      </c>
      <c r="AP313" s="10">
        <f>IF(AND('Batt IN'!$D$46="YES",$C313&lt;='Batt IN'!$E$46*12),-'Batt IN'!$E$28*'Batt IN'!$E$45/12,0)</f>
        <v>0</v>
      </c>
      <c r="AR313" s="10">
        <f>BattLoan!M340</f>
        <v>0</v>
      </c>
      <c r="AS313" s="10">
        <f>'Batt IN'!$G$16*365/12*'Batt IN'!$E$16</f>
        <v>76.041666666666671</v>
      </c>
      <c r="AT313" s="10">
        <f>IF(AND('Batt IN'!$E$18&gt;0,'Batt IN'!$G$18&gt;0),'Batt IN'!$E$17*'Batt IN'!$G$17,0)</f>
        <v>119.44619999999999</v>
      </c>
      <c r="AU313" s="10">
        <f>IF(AND('Batt IN'!$E$20&gt;0,'Batt IN'!$G$20&gt;0),'Batt IN'!$E$19*'Batt IN'!$G$19,0)</f>
        <v>231</v>
      </c>
      <c r="AV313" s="10"/>
      <c r="AW313" s="10"/>
      <c r="AX313" s="10">
        <f>IF('Batt IN'!$E$11="Non-Taxable",Q313,0)</f>
        <v>11305.768657534247</v>
      </c>
      <c r="AY313" s="10">
        <f>IF('Batt IN'!$E$11="Non-Taxable",'Batt IN'!$E$28/1000*'Batt IN'!$G$13*('Batt IN'!$E$13/12)*'Batt IN'!$E$12,0)</f>
        <v>244.42220833333334</v>
      </c>
      <c r="AZ313" s="10">
        <f>IF('Batt IN'!$E$11="Non-Taxable",$S313*'Batt IN'!$G$15*'Batt IN'!$E$28*'Batt IN'!$E$14/1000,0)</f>
        <v>0</v>
      </c>
      <c r="BA313" s="10">
        <f>IF('Batt IN'!$E$11="Non-Taxable",'Batt IN'!$E$21*'Batt IN'!$G$21/12,0)</f>
        <v>437.5</v>
      </c>
      <c r="BB313" s="10">
        <f>IF('Batt IN'!$E$11="Non-Taxable",'Batt IN'!$E$22*'Batt IN'!$G$22/12,0)</f>
        <v>1145.8333333333335</v>
      </c>
      <c r="BC313" s="10">
        <f>IF('Batt IN'!$E$11="Taxable",Q313,0)</f>
        <v>0</v>
      </c>
      <c r="BD313" s="10">
        <f>IF('Batt IN'!$E$11="Taxable",'Batt IN'!$E$28/1000*'Batt IN'!$G$13*('Batt IN'!$E$13/12)*'Batt IN'!$E$12,0)</f>
        <v>0</v>
      </c>
      <c r="BE313" s="10">
        <f>IF('Batt IN'!$E$11="Taxable",$S313*'Batt IN'!$G$15*'Batt IN'!$E$28*'Batt IN'!$E$14/1000,0)</f>
        <v>0</v>
      </c>
      <c r="BF313" s="10">
        <f>IF('Batt IN'!$E$11="Taxable",'Batt IN'!$E$21*'Batt IN'!$G$21/12,0)</f>
        <v>0</v>
      </c>
      <c r="BG313" s="10">
        <f>IF('Batt IN'!$E$11="Taxable",'Batt IN'!$E$22*'Batt IN'!$G$22/12,0)</f>
        <v>0</v>
      </c>
      <c r="BK313" s="10">
        <f>IF('Batt IN'!$N$18="Yes",-BattLoan!H341,-BattLoan!L341)</f>
        <v>0</v>
      </c>
      <c r="BL313" s="10">
        <f>IF('Batt IN'!$N$18="Yes",-BattLoan!F341,0)</f>
        <v>0</v>
      </c>
      <c r="BM313" s="10">
        <f>IF(AND('Batt IN'!$D$44="YES",$C313&lt;='Batt IN'!$E$44*12),0,-'Batt IN'!$E$28*'Batt IN'!$E$42/12)</f>
        <v>-83.333333333333329</v>
      </c>
      <c r="BN313" s="10">
        <f>IF(AND('Batt IN'!$D$46="YES",$C313&lt;='Batt IN'!$E$46*12),0,-'Batt IN'!$E$28*'Batt IN'!$E$45/12)</f>
        <v>-166.66666666666666</v>
      </c>
      <c r="BO313" s="2">
        <f>IF(AND('Batt IN'!$D$41="YES",BattCalcs!C313=ROUNDUP('Batt IN'!$H$41*12,)),-'Batt IN'!$E$41*'Batt IN'!$E$28,0)</f>
        <v>0</v>
      </c>
      <c r="BP313" s="2">
        <f>IF(AND('Batt IN'!$D$53="Yes",$AL$1&gt;=1),0,IF($C313='Batt IN'!$H$54*12,-'Batt IN'!$F$54,0))</f>
        <v>0</v>
      </c>
      <c r="BQ313" s="2">
        <f>IF(AND('Batt IN'!$D$53="Yes",$AL$1&gt;=2),0,IF($C313='Batt IN'!$H$55*12,-'Batt IN'!$F$55,0))</f>
        <v>0</v>
      </c>
      <c r="BR313" s="2">
        <f>IF(AND('Batt IN'!$D$53="Yes",$AL$1&gt;=3),0,IF($C313='Batt IN'!$H$56*12,-'Batt IN'!$F$56,0))</f>
        <v>0</v>
      </c>
      <c r="BS313" s="2">
        <f>IF(AND('Batt IN'!$D$53="Yes",$AL$1&gt;=4),0,IF($C313='Batt IN'!$H$57*12,-'Batt IN'!$F$57,0))</f>
        <v>0</v>
      </c>
      <c r="BT313" s="2">
        <f>IF(AND('Batt IN'!$D$53="Yes",$AL$1&gt;=5),0,IF($C313='Batt IN'!$H$58*12,-'Batt IN'!$F$58,0))</f>
        <v>0</v>
      </c>
      <c r="BU313" s="2">
        <f>-AH313*PVCalcs!F313</f>
        <v>-370.4560173336377</v>
      </c>
      <c r="BV313" s="2">
        <f>-'Batt IN'!$E$47</f>
        <v>-150</v>
      </c>
      <c r="BW313" s="2">
        <f>-'Batt IN'!$E$49</f>
        <v>-2250</v>
      </c>
      <c r="BX313" s="2">
        <f>IF('Batt IN'!$H$50="No",-(BC313*'Batt IN'!$E$50),-(BC313+BE313)*'Batt IN'!$E$50)</f>
        <v>0</v>
      </c>
      <c r="BY313" s="2">
        <f>IF(C313='Batt IN'!$H$43*12,-'Batt IN'!$E$43,0)</f>
        <v>0</v>
      </c>
      <c r="BZ313" s="38"/>
      <c r="CA313" s="10">
        <f t="shared" si="89"/>
        <v>13560.012065867581</v>
      </c>
      <c r="CB313" s="2">
        <f t="shared" si="72"/>
        <v>-3020.4560173336376</v>
      </c>
      <c r="CC313" s="45">
        <f t="shared" si="90"/>
        <v>10539.556048533943</v>
      </c>
      <c r="CD313" s="43"/>
      <c r="CE313" s="2">
        <f t="shared" si="91"/>
        <v>0</v>
      </c>
      <c r="CF313" s="2">
        <f t="shared" si="74"/>
        <v>-3020.4560173336376</v>
      </c>
      <c r="CG313" s="2"/>
      <c r="CH313" s="2">
        <f t="shared" si="92"/>
        <v>-3020.4560173336376</v>
      </c>
      <c r="CI313" s="45">
        <f>-CH313*'Batt IN'!$E$7</f>
        <v>634.29576364006391</v>
      </c>
      <c r="CJ313" s="48"/>
      <c r="CK313" s="45">
        <f>IF('Batt IN'!$F$4="PV Only",0,IF(C313&gt;'Batt IN'!$H$43*12,0,CC313+CI313))</f>
        <v>0</v>
      </c>
      <c r="CM313" s="10">
        <f t="shared" si="93"/>
        <v>0</v>
      </c>
      <c r="CN313" s="2">
        <f>CK313/(1+('Batt IN'!$G$8))^(C313)</f>
        <v>0</v>
      </c>
      <c r="CO313" s="2" t="e">
        <f>IF(C313&lt;='Batt IN'!$O$30*12,CN313+CO312,NA())</f>
        <v>#N/A</v>
      </c>
      <c r="CQ313" s="2">
        <f>CK313/((1+('Batt IN'!$E$8/12))^BattCalcs!C313)</f>
        <v>0</v>
      </c>
      <c r="CS313" s="10">
        <f t="shared" si="77"/>
        <v>-3020.4560173336376</v>
      </c>
      <c r="CT313" s="10">
        <f t="shared" si="78"/>
        <v>0</v>
      </c>
      <c r="CU313" s="10">
        <f t="shared" si="79"/>
        <v>-3020.4560173336376</v>
      </c>
      <c r="CV313" s="10">
        <f t="shared" si="80"/>
        <v>-3020.4560173336376</v>
      </c>
      <c r="CW313" s="2">
        <f t="shared" si="81"/>
        <v>0</v>
      </c>
      <c r="CX313" s="2">
        <f>-(SUM(CV313:CW313)*'PV IN'!$E$8)</f>
        <v>634.29576364006391</v>
      </c>
      <c r="CY313" s="2">
        <f t="shared" si="82"/>
        <v>-2386.1602536935738</v>
      </c>
      <c r="CZ313" s="2">
        <f>IF(C313&lt;='Batt IN'!$H$43*12,CY313/(1+('PV IN'!$G$9))^(C313),0)</f>
        <v>0</v>
      </c>
      <c r="DA313" s="33">
        <f>IF(C313&lt;='Batt IN'!$H$43*12,AE313,0)</f>
        <v>0</v>
      </c>
    </row>
    <row r="314" spans="1:105" x14ac:dyDescent="0.25">
      <c r="A314" t="str">
        <f>IF(C314&lt;='Batt IN'!$H$43*12,C314,"")</f>
        <v/>
      </c>
      <c r="C314">
        <v>310</v>
      </c>
      <c r="D314" s="21">
        <v>740</v>
      </c>
      <c r="E314" s="1">
        <f>1-'Batt IN'!$E$31</f>
        <v>2.0000000000000018E-2</v>
      </c>
      <c r="F314" s="12">
        <f>('Batt IN'!$E$33*365)/8760</f>
        <v>0</v>
      </c>
      <c r="G314" s="22">
        <f>'Batt IN'!$E$32/8760</f>
        <v>5.7077625570776253E-3</v>
      </c>
      <c r="H314" s="22">
        <f>'Batt IN'!$E$13/8760</f>
        <v>5.5936073059360729E-3</v>
      </c>
      <c r="I314" s="23">
        <f>IF(C314&lt;='Batt IN'!$G$14*12,'Batt IN'!$E$15/8760*'Batt IN'!$G$15,0)</f>
        <v>0</v>
      </c>
      <c r="J314" s="12">
        <f>Z314/'Batt IN'!$E$27/730</f>
        <v>2.4999999999999996E-3</v>
      </c>
      <c r="K314" s="23">
        <f>AA314/'Batt IN'!$E$27/730</f>
        <v>1.6027397260273972E-3</v>
      </c>
      <c r="L314" s="23">
        <f>AB314/'Batt IN'!$E$27/730</f>
        <v>2.0547945205479451E-4</v>
      </c>
      <c r="M314" s="23">
        <f>AC314/'Batt IN'!$E$27/730</f>
        <v>4.7945205479452057E-3</v>
      </c>
      <c r="N314" s="23">
        <f>AD314/'Batt IN'!$E$27/730</f>
        <v>3.4246575342465752E-3</v>
      </c>
      <c r="O314" s="12">
        <f t="shared" si="85"/>
        <v>4.3828767123287697E-2</v>
      </c>
      <c r="P314" s="21">
        <f t="shared" si="86"/>
        <v>707.56671232876715</v>
      </c>
      <c r="Q314" s="2">
        <f>IF('Batt IN'!$E$27*'Batt IN'!$E$24&lt;='Batt IN'!$E$28,(('Batt IN'!$E$23*'Batt IN'!$E$27*'Batt IN'!$E$24)/1000)*P314,(('Batt IN'!$E$23*'Batt IN'!$E$28*'Batt IN'!$E$24)/1000)*P314)</f>
        <v>11321.067397260274</v>
      </c>
      <c r="R314" s="2"/>
      <c r="S314" s="77">
        <f>IF(C314&lt;='Batt IN'!$G$14*12,'Batt IN'!$E$15/12,0)</f>
        <v>0</v>
      </c>
      <c r="T314" s="77"/>
      <c r="U314" s="80">
        <f>'Batt IN'!$E$28*('Batt IN'!$G$24/24)*730*(1-O314)</f>
        <v>81433.916666666657</v>
      </c>
      <c r="V314" s="78">
        <f>U314*'Batt IN'!$F$30</f>
        <v>16286.783333333333</v>
      </c>
      <c r="W314" s="78">
        <f>'Batt IN'!$E$28*'Batt IN'!$G$32*('Batt IN'!$E$32/12)*(1+'Batt IN'!$F$30)</f>
        <v>1750.0000000000002</v>
      </c>
      <c r="X314" s="78">
        <f>'Batt IN'!$E$28*'Batt IN'!$G$13*('Batt IN'!$E$13/12)*(1+'Batt IN'!$F$30)</f>
        <v>3184.9999999999995</v>
      </c>
      <c r="Y314" s="33">
        <f>S314*'Batt IN'!$G$15*'Batt IN'!$E$28*(1+'Batt IN'!$F$30)</f>
        <v>0</v>
      </c>
      <c r="Z314" s="33">
        <f>'Batt IN'!$G$16*365/12*(1+'Batt IN'!$F$30)</f>
        <v>1824.9999999999998</v>
      </c>
      <c r="AA314" s="33">
        <f>'Batt IN'!$G$17*'Batt IN'!$E$18*'Batt IN'!$G$18/12*(1+'Batt IN'!$F$30)</f>
        <v>1170</v>
      </c>
      <c r="AB314" s="33">
        <f>'Batt IN'!$G$19*'Batt IN'!$E$20*'Batt IN'!$G$20/12*(1+'Batt IN'!$F$30)</f>
        <v>150</v>
      </c>
      <c r="AC314" s="33">
        <f>'Batt IN'!$G$21*(1+'Batt IN'!$F$30)/12</f>
        <v>3500</v>
      </c>
      <c r="AD314" s="33">
        <f>'Batt IN'!$G$22*(1+'Batt IN'!$F$30)/12</f>
        <v>2500</v>
      </c>
      <c r="AE314" s="33">
        <f t="shared" si="87"/>
        <v>30366.783333333333</v>
      </c>
      <c r="AF314" s="33">
        <f>IF('PV IN'!$F$4="Battery Only",0,AE314*'Batt IN'!$E$29)</f>
        <v>25811.765833333331</v>
      </c>
      <c r="AG314" s="33">
        <f>PVCalcs!L314</f>
        <v>25811.765833333331</v>
      </c>
      <c r="AH314" s="33">
        <f t="shared" si="88"/>
        <v>4555.0175000000017</v>
      </c>
      <c r="AI314" s="33"/>
      <c r="AJ314" s="2">
        <f>IF(AND('Batt IN'!$D$53="Yes",$AL$1&gt;=1),IF($C314='Batt IN'!$H$54*12,-'Batt IN'!$F$54,0),0)</f>
        <v>0</v>
      </c>
      <c r="AK314" s="2">
        <f>IF(AND('Batt IN'!$D$53="Yes",$AL$1&gt;=2),IF($C314='Batt IN'!$H$55*12,-'Batt IN'!$F$55,0),0)</f>
        <v>0</v>
      </c>
      <c r="AL314" s="2">
        <f>IF(AND('Batt IN'!$D$53="Yes",$AL$1&gt;=3),IF($C314='Batt IN'!$H$56*12,-'Batt IN'!$F$56,0),0)</f>
        <v>0</v>
      </c>
      <c r="AM314" s="2">
        <f>IF(AND('Batt IN'!$D$53="Yes",$AL$1&gt;=4),IF($C314='Batt IN'!$H$57*12,-'Batt IN'!$F$57,0),0)</f>
        <v>0</v>
      </c>
      <c r="AN314" s="2">
        <f>IF(AND('Batt IN'!$D$53="Yes",$AL$1&gt;=5),IF($C314='Batt IN'!$H$58*12,-'Batt IN'!$F$58,0),0)</f>
        <v>0</v>
      </c>
      <c r="AO314" s="10">
        <f>IF(AND('Batt IN'!$D$44="YES",$C314&lt;='Batt IN'!$E$44*12),-'Batt IN'!$E$28*'Batt IN'!$E$42/12,0)</f>
        <v>0</v>
      </c>
      <c r="AP314" s="10">
        <f>IF(AND('Batt IN'!$D$46="YES",$C314&lt;='Batt IN'!$E$46*12),-'Batt IN'!$E$28*'Batt IN'!$E$45/12,0)</f>
        <v>0</v>
      </c>
      <c r="AR314" s="10">
        <f>BattLoan!M341</f>
        <v>0</v>
      </c>
      <c r="AS314" s="10">
        <f>'Batt IN'!$G$16*365/12*'Batt IN'!$E$16</f>
        <v>76.041666666666671</v>
      </c>
      <c r="AT314" s="10">
        <f>IF(AND('Batt IN'!$E$18&gt;0,'Batt IN'!$G$18&gt;0),'Batt IN'!$E$17*'Batt IN'!$G$17,0)</f>
        <v>119.44619999999999</v>
      </c>
      <c r="AU314" s="10">
        <f>IF(AND('Batt IN'!$E$20&gt;0,'Batt IN'!$G$20&gt;0),'Batt IN'!$E$19*'Batt IN'!$G$19,0)</f>
        <v>231</v>
      </c>
      <c r="AV314" s="10"/>
      <c r="AW314" s="10"/>
      <c r="AX314" s="10">
        <f>IF('Batt IN'!$E$11="Non-Taxable",Q314,0)</f>
        <v>11321.067397260274</v>
      </c>
      <c r="AY314" s="10">
        <f>IF('Batt IN'!$E$11="Non-Taxable",'Batt IN'!$E$28/1000*'Batt IN'!$G$13*('Batt IN'!$E$13/12)*'Batt IN'!$E$12,0)</f>
        <v>244.42220833333334</v>
      </c>
      <c r="AZ314" s="10">
        <f>IF('Batt IN'!$E$11="Non-Taxable",$S314*'Batt IN'!$G$15*'Batt IN'!$E$28*'Batt IN'!$E$14/1000,0)</f>
        <v>0</v>
      </c>
      <c r="BA314" s="10">
        <f>IF('Batt IN'!$E$11="Non-Taxable",'Batt IN'!$E$21*'Batt IN'!$G$21/12,0)</f>
        <v>437.5</v>
      </c>
      <c r="BB314" s="10">
        <f>IF('Batt IN'!$E$11="Non-Taxable",'Batt IN'!$E$22*'Batt IN'!$G$22/12,0)</f>
        <v>1145.8333333333335</v>
      </c>
      <c r="BC314" s="10">
        <f>IF('Batt IN'!$E$11="Taxable",Q314,0)</f>
        <v>0</v>
      </c>
      <c r="BD314" s="10">
        <f>IF('Batt IN'!$E$11="Taxable",'Batt IN'!$E$28/1000*'Batt IN'!$G$13*('Batt IN'!$E$13/12)*'Batt IN'!$E$12,0)</f>
        <v>0</v>
      </c>
      <c r="BE314" s="10">
        <f>IF('Batt IN'!$E$11="Taxable",$S314*'Batt IN'!$G$15*'Batt IN'!$E$28*'Batt IN'!$E$14/1000,0)</f>
        <v>0</v>
      </c>
      <c r="BF314" s="10">
        <f>IF('Batt IN'!$E$11="Taxable",'Batt IN'!$E$21*'Batt IN'!$G$21/12,0)</f>
        <v>0</v>
      </c>
      <c r="BG314" s="10">
        <f>IF('Batt IN'!$E$11="Taxable",'Batt IN'!$E$22*'Batt IN'!$G$22/12,0)</f>
        <v>0</v>
      </c>
      <c r="BK314" s="10">
        <f>IF('Batt IN'!$N$18="Yes",-BattLoan!H342,-BattLoan!L342)</f>
        <v>0</v>
      </c>
      <c r="BL314" s="10">
        <f>IF('Batt IN'!$N$18="Yes",-BattLoan!F342,0)</f>
        <v>0</v>
      </c>
      <c r="BM314" s="10">
        <f>IF(AND('Batt IN'!$D$44="YES",$C314&lt;='Batt IN'!$E$44*12),0,-'Batt IN'!$E$28*'Batt IN'!$E$42/12)</f>
        <v>-83.333333333333329</v>
      </c>
      <c r="BN314" s="10">
        <f>IF(AND('Batt IN'!$D$46="YES",$C314&lt;='Batt IN'!$E$46*12),0,-'Batt IN'!$E$28*'Batt IN'!$E$45/12)</f>
        <v>-166.66666666666666</v>
      </c>
      <c r="BO314" s="2">
        <f>IF(AND('Batt IN'!$D$41="YES",BattCalcs!C314=ROUNDUP('Batt IN'!$H$41*12,)),-'Batt IN'!$E$41*'Batt IN'!$E$28,0)</f>
        <v>0</v>
      </c>
      <c r="BP314" s="2">
        <f>IF(AND('Batt IN'!$D$53="Yes",$AL$1&gt;=1),0,IF($C314='Batt IN'!$H$54*12,-'Batt IN'!$F$54,0))</f>
        <v>0</v>
      </c>
      <c r="BQ314" s="2">
        <f>IF(AND('Batt IN'!$D$53="Yes",$AL$1&gt;=2),0,IF($C314='Batt IN'!$H$55*12,-'Batt IN'!$F$55,0))</f>
        <v>0</v>
      </c>
      <c r="BR314" s="2">
        <f>IF(AND('Batt IN'!$D$53="Yes",$AL$1&gt;=3),0,IF($C314='Batt IN'!$H$56*12,-'Batt IN'!$F$56,0))</f>
        <v>0</v>
      </c>
      <c r="BS314" s="2">
        <f>IF(AND('Batt IN'!$D$53="Yes",$AL$1&gt;=4),0,IF($C314='Batt IN'!$H$57*12,-'Batt IN'!$F$57,0))</f>
        <v>0</v>
      </c>
      <c r="BT314" s="2">
        <f>IF(AND('Batt IN'!$D$53="Yes",$AL$1&gt;=5),0,IF($C314='Batt IN'!$H$58*12,-'Batt IN'!$F$58,0))</f>
        <v>0</v>
      </c>
      <c r="BU314" s="2">
        <f>-AH314*PVCalcs!F314</f>
        <v>-370.4560173336377</v>
      </c>
      <c r="BV314" s="2">
        <f>-'Batt IN'!$E$47</f>
        <v>-150</v>
      </c>
      <c r="BW314" s="2">
        <f>-'Batt IN'!$E$49</f>
        <v>-2250</v>
      </c>
      <c r="BX314" s="2">
        <f>IF('Batt IN'!$H$50="No",-(BC314*'Batt IN'!$E$50),-(BC314+BE314)*'Batt IN'!$E$50)</f>
        <v>0</v>
      </c>
      <c r="BY314" s="2">
        <f>IF(C314='Batt IN'!$H$43*12,-'Batt IN'!$E$43,0)</f>
        <v>0</v>
      </c>
      <c r="BZ314" s="38"/>
      <c r="CA314" s="10">
        <f t="shared" si="89"/>
        <v>13575.310805593608</v>
      </c>
      <c r="CB314" s="2">
        <f t="shared" si="72"/>
        <v>-3020.4560173336376</v>
      </c>
      <c r="CC314" s="45">
        <f t="shared" si="90"/>
        <v>10554.854788259971</v>
      </c>
      <c r="CD314" s="43"/>
      <c r="CE314" s="2">
        <f t="shared" si="91"/>
        <v>0</v>
      </c>
      <c r="CF314" s="2">
        <f t="shared" si="74"/>
        <v>-3020.4560173336376</v>
      </c>
      <c r="CG314" s="2"/>
      <c r="CH314" s="2">
        <f t="shared" si="92"/>
        <v>-3020.4560173336376</v>
      </c>
      <c r="CI314" s="45">
        <f>-CH314*'Batt IN'!$E$7</f>
        <v>634.29576364006391</v>
      </c>
      <c r="CJ314" s="48"/>
      <c r="CK314" s="45">
        <f>IF('Batt IN'!$F$4="PV Only",0,IF(C314&gt;'Batt IN'!$H$43*12,0,CC314+CI314))</f>
        <v>0</v>
      </c>
      <c r="CM314" s="10">
        <f t="shared" si="93"/>
        <v>0</v>
      </c>
      <c r="CN314" s="2">
        <f>CK314/(1+('Batt IN'!$G$8))^(C314)</f>
        <v>0</v>
      </c>
      <c r="CO314" s="2" t="e">
        <f>IF(C314&lt;='Batt IN'!$O$30*12,CN314+CO313,NA())</f>
        <v>#N/A</v>
      </c>
      <c r="CQ314" s="2">
        <f>CK314/((1+('Batt IN'!$E$8/12))^BattCalcs!C314)</f>
        <v>0</v>
      </c>
      <c r="CS314" s="10">
        <f t="shared" si="77"/>
        <v>-3020.4560173336376</v>
      </c>
      <c r="CT314" s="10">
        <f t="shared" si="78"/>
        <v>0</v>
      </c>
      <c r="CU314" s="10">
        <f t="shared" si="79"/>
        <v>-3020.4560173336376</v>
      </c>
      <c r="CV314" s="10">
        <f t="shared" si="80"/>
        <v>-3020.4560173336376</v>
      </c>
      <c r="CW314" s="2">
        <f t="shared" si="81"/>
        <v>0</v>
      </c>
      <c r="CX314" s="2">
        <f>-(SUM(CV314:CW314)*'PV IN'!$E$8)</f>
        <v>634.29576364006391</v>
      </c>
      <c r="CY314" s="2">
        <f t="shared" si="82"/>
        <v>-2386.1602536935738</v>
      </c>
      <c r="CZ314" s="2">
        <f>IF(C314&lt;='Batt IN'!$H$43*12,CY314/(1+('PV IN'!$G$9))^(C314),0)</f>
        <v>0</v>
      </c>
      <c r="DA314" s="33">
        <f>IF(C314&lt;='Batt IN'!$H$43*12,AE314,0)</f>
        <v>0</v>
      </c>
    </row>
    <row r="315" spans="1:105" x14ac:dyDescent="0.25">
      <c r="A315" t="str">
        <f>IF(C315&lt;='Batt IN'!$H$43*12,C315,"")</f>
        <v/>
      </c>
      <c r="C315">
        <v>311</v>
      </c>
      <c r="D315" s="21">
        <v>741</v>
      </c>
      <c r="E315" s="1">
        <f>1-'Batt IN'!$E$31</f>
        <v>2.0000000000000018E-2</v>
      </c>
      <c r="F315" s="12">
        <f>('Batt IN'!$E$33*365)/8760</f>
        <v>0</v>
      </c>
      <c r="G315" s="22">
        <f>'Batt IN'!$E$32/8760</f>
        <v>5.7077625570776253E-3</v>
      </c>
      <c r="H315" s="22">
        <f>'Batt IN'!$E$13/8760</f>
        <v>5.5936073059360729E-3</v>
      </c>
      <c r="I315" s="23">
        <f>IF(C315&lt;='Batt IN'!$G$14*12,'Batt IN'!$E$15/8760*'Batt IN'!$G$15,0)</f>
        <v>0</v>
      </c>
      <c r="J315" s="12">
        <f>Z315/'Batt IN'!$E$27/730</f>
        <v>2.4999999999999996E-3</v>
      </c>
      <c r="K315" s="23">
        <f>AA315/'Batt IN'!$E$27/730</f>
        <v>1.6027397260273972E-3</v>
      </c>
      <c r="L315" s="23">
        <f>AB315/'Batt IN'!$E$27/730</f>
        <v>2.0547945205479451E-4</v>
      </c>
      <c r="M315" s="23">
        <f>AC315/'Batt IN'!$E$27/730</f>
        <v>4.7945205479452057E-3</v>
      </c>
      <c r="N315" s="23">
        <f>AD315/'Batt IN'!$E$27/730</f>
        <v>3.4246575342465752E-3</v>
      </c>
      <c r="O315" s="12">
        <f t="shared" si="85"/>
        <v>4.3828767123287697E-2</v>
      </c>
      <c r="P315" s="21">
        <f t="shared" si="86"/>
        <v>708.52288356164388</v>
      </c>
      <c r="Q315" s="2">
        <f>IF('Batt IN'!$E$27*'Batt IN'!$E$24&lt;='Batt IN'!$E$28,(('Batt IN'!$E$23*'Batt IN'!$E$27*'Batt IN'!$E$24)/1000)*P315,(('Batt IN'!$E$23*'Batt IN'!$E$28*'Batt IN'!$E$24)/1000)*P315)</f>
        <v>11336.366136986302</v>
      </c>
      <c r="R315" s="2"/>
      <c r="S315" s="77">
        <f>IF(C315&lt;='Batt IN'!$G$14*12,'Batt IN'!$E$15/12,0)</f>
        <v>0</v>
      </c>
      <c r="T315" s="77"/>
      <c r="U315" s="80">
        <f>'Batt IN'!$E$28*('Batt IN'!$G$24/24)*730*(1-O315)</f>
        <v>81433.916666666657</v>
      </c>
      <c r="V315" s="78">
        <f>U315*'Batt IN'!$F$30</f>
        <v>16286.783333333333</v>
      </c>
      <c r="W315" s="78">
        <f>'Batt IN'!$E$28*'Batt IN'!$G$32*('Batt IN'!$E$32/12)*(1+'Batt IN'!$F$30)</f>
        <v>1750.0000000000002</v>
      </c>
      <c r="X315" s="78">
        <f>'Batt IN'!$E$28*'Batt IN'!$G$13*('Batt IN'!$E$13/12)*(1+'Batt IN'!$F$30)</f>
        <v>3184.9999999999995</v>
      </c>
      <c r="Y315" s="33">
        <f>S315*'Batt IN'!$G$15*'Batt IN'!$E$28*(1+'Batt IN'!$F$30)</f>
        <v>0</v>
      </c>
      <c r="Z315" s="33">
        <f>'Batt IN'!$G$16*365/12*(1+'Batt IN'!$F$30)</f>
        <v>1824.9999999999998</v>
      </c>
      <c r="AA315" s="33">
        <f>'Batt IN'!$G$17*'Batt IN'!$E$18*'Batt IN'!$G$18/12*(1+'Batt IN'!$F$30)</f>
        <v>1170</v>
      </c>
      <c r="AB315" s="33">
        <f>'Batt IN'!$G$19*'Batt IN'!$E$20*'Batt IN'!$G$20/12*(1+'Batt IN'!$F$30)</f>
        <v>150</v>
      </c>
      <c r="AC315" s="33">
        <f>'Batt IN'!$G$21*(1+'Batt IN'!$F$30)/12</f>
        <v>3500</v>
      </c>
      <c r="AD315" s="33">
        <f>'Batt IN'!$G$22*(1+'Batt IN'!$F$30)/12</f>
        <v>2500</v>
      </c>
      <c r="AE315" s="33">
        <f t="shared" si="87"/>
        <v>30366.783333333333</v>
      </c>
      <c r="AF315" s="33">
        <f>IF('PV IN'!$F$4="Battery Only",0,AE315*'Batt IN'!$E$29)</f>
        <v>25811.765833333331</v>
      </c>
      <c r="AG315" s="33">
        <f>PVCalcs!L315</f>
        <v>25811.765833333331</v>
      </c>
      <c r="AH315" s="33">
        <f t="shared" si="88"/>
        <v>4555.0175000000017</v>
      </c>
      <c r="AI315" s="33"/>
      <c r="AJ315" s="2">
        <f>IF(AND('Batt IN'!$D$53="Yes",$AL$1&gt;=1),IF($C315='Batt IN'!$H$54*12,-'Batt IN'!$F$54,0),0)</f>
        <v>0</v>
      </c>
      <c r="AK315" s="2">
        <f>IF(AND('Batt IN'!$D$53="Yes",$AL$1&gt;=2),IF($C315='Batt IN'!$H$55*12,-'Batt IN'!$F$55,0),0)</f>
        <v>0</v>
      </c>
      <c r="AL315" s="2">
        <f>IF(AND('Batt IN'!$D$53="Yes",$AL$1&gt;=3),IF($C315='Batt IN'!$H$56*12,-'Batt IN'!$F$56,0),0)</f>
        <v>0</v>
      </c>
      <c r="AM315" s="2">
        <f>IF(AND('Batt IN'!$D$53="Yes",$AL$1&gt;=4),IF($C315='Batt IN'!$H$57*12,-'Batt IN'!$F$57,0),0)</f>
        <v>0</v>
      </c>
      <c r="AN315" s="2">
        <f>IF(AND('Batt IN'!$D$53="Yes",$AL$1&gt;=5),IF($C315='Batt IN'!$H$58*12,-'Batt IN'!$F$58,0),0)</f>
        <v>0</v>
      </c>
      <c r="AO315" s="10">
        <f>IF(AND('Batt IN'!$D$44="YES",$C315&lt;='Batt IN'!$E$44*12),-'Batt IN'!$E$28*'Batt IN'!$E$42/12,0)</f>
        <v>0</v>
      </c>
      <c r="AP315" s="10">
        <f>IF(AND('Batt IN'!$D$46="YES",$C315&lt;='Batt IN'!$E$46*12),-'Batt IN'!$E$28*'Batt IN'!$E$45/12,0)</f>
        <v>0</v>
      </c>
      <c r="AR315" s="10">
        <f>BattLoan!M342</f>
        <v>0</v>
      </c>
      <c r="AS315" s="10">
        <f>'Batt IN'!$G$16*365/12*'Batt IN'!$E$16</f>
        <v>76.041666666666671</v>
      </c>
      <c r="AT315" s="10">
        <f>IF(AND('Batt IN'!$E$18&gt;0,'Batt IN'!$G$18&gt;0),'Batt IN'!$E$17*'Batt IN'!$G$17,0)</f>
        <v>119.44619999999999</v>
      </c>
      <c r="AU315" s="10">
        <f>IF(AND('Batt IN'!$E$20&gt;0,'Batt IN'!$G$20&gt;0),'Batt IN'!$E$19*'Batt IN'!$G$19,0)</f>
        <v>231</v>
      </c>
      <c r="AV315" s="10"/>
      <c r="AW315" s="10"/>
      <c r="AX315" s="10">
        <f>IF('Batt IN'!$E$11="Non-Taxable",Q315,0)</f>
        <v>11336.366136986302</v>
      </c>
      <c r="AY315" s="10">
        <f>IF('Batt IN'!$E$11="Non-Taxable",'Batt IN'!$E$28/1000*'Batt IN'!$G$13*('Batt IN'!$E$13/12)*'Batt IN'!$E$12,0)</f>
        <v>244.42220833333334</v>
      </c>
      <c r="AZ315" s="10">
        <f>IF('Batt IN'!$E$11="Non-Taxable",$S315*'Batt IN'!$G$15*'Batt IN'!$E$28*'Batt IN'!$E$14/1000,0)</f>
        <v>0</v>
      </c>
      <c r="BA315" s="10">
        <f>IF('Batt IN'!$E$11="Non-Taxable",'Batt IN'!$E$21*'Batt IN'!$G$21/12,0)</f>
        <v>437.5</v>
      </c>
      <c r="BB315" s="10">
        <f>IF('Batt IN'!$E$11="Non-Taxable",'Batt IN'!$E$22*'Batt IN'!$G$22/12,0)</f>
        <v>1145.8333333333335</v>
      </c>
      <c r="BC315" s="10">
        <f>IF('Batt IN'!$E$11="Taxable",Q315,0)</f>
        <v>0</v>
      </c>
      <c r="BD315" s="10">
        <f>IF('Batt IN'!$E$11="Taxable",'Batt IN'!$E$28/1000*'Batt IN'!$G$13*('Batt IN'!$E$13/12)*'Batt IN'!$E$12,0)</f>
        <v>0</v>
      </c>
      <c r="BE315" s="10">
        <f>IF('Batt IN'!$E$11="Taxable",$S315*'Batt IN'!$G$15*'Batt IN'!$E$28*'Batt IN'!$E$14/1000,0)</f>
        <v>0</v>
      </c>
      <c r="BF315" s="10">
        <f>IF('Batt IN'!$E$11="Taxable",'Batt IN'!$E$21*'Batt IN'!$G$21/12,0)</f>
        <v>0</v>
      </c>
      <c r="BG315" s="10">
        <f>IF('Batt IN'!$E$11="Taxable",'Batt IN'!$E$22*'Batt IN'!$G$22/12,0)</f>
        <v>0</v>
      </c>
      <c r="BK315" s="10">
        <f>IF('Batt IN'!$N$18="Yes",-BattLoan!H343,-BattLoan!L343)</f>
        <v>0</v>
      </c>
      <c r="BL315" s="10">
        <f>IF('Batt IN'!$N$18="Yes",-BattLoan!F343,0)</f>
        <v>0</v>
      </c>
      <c r="BM315" s="10">
        <f>IF(AND('Batt IN'!$D$44="YES",$C315&lt;='Batt IN'!$E$44*12),0,-'Batt IN'!$E$28*'Batt IN'!$E$42/12)</f>
        <v>-83.333333333333329</v>
      </c>
      <c r="BN315" s="10">
        <f>IF(AND('Batt IN'!$D$46="YES",$C315&lt;='Batt IN'!$E$46*12),0,-'Batt IN'!$E$28*'Batt IN'!$E$45/12)</f>
        <v>-166.66666666666666</v>
      </c>
      <c r="BO315" s="2">
        <f>IF(AND('Batt IN'!$D$41="YES",BattCalcs!C315=ROUNDUP('Batt IN'!$H$41*12,)),-'Batt IN'!$E$41*'Batt IN'!$E$28,0)</f>
        <v>0</v>
      </c>
      <c r="BP315" s="2">
        <f>IF(AND('Batt IN'!$D$53="Yes",$AL$1&gt;=1),0,IF($C315='Batt IN'!$H$54*12,-'Batt IN'!$F$54,0))</f>
        <v>0</v>
      </c>
      <c r="BQ315" s="2">
        <f>IF(AND('Batt IN'!$D$53="Yes",$AL$1&gt;=2),0,IF($C315='Batt IN'!$H$55*12,-'Batt IN'!$F$55,0))</f>
        <v>0</v>
      </c>
      <c r="BR315" s="2">
        <f>IF(AND('Batt IN'!$D$53="Yes",$AL$1&gt;=3),0,IF($C315='Batt IN'!$H$56*12,-'Batt IN'!$F$56,0))</f>
        <v>0</v>
      </c>
      <c r="BS315" s="2">
        <f>IF(AND('Batt IN'!$D$53="Yes",$AL$1&gt;=4),0,IF($C315='Batt IN'!$H$57*12,-'Batt IN'!$F$57,0))</f>
        <v>0</v>
      </c>
      <c r="BT315" s="2">
        <f>IF(AND('Batt IN'!$D$53="Yes",$AL$1&gt;=5),0,IF($C315='Batt IN'!$H$58*12,-'Batt IN'!$F$58,0))</f>
        <v>0</v>
      </c>
      <c r="BU315" s="2">
        <f>-AH315*PVCalcs!F315</f>
        <v>-370.4560173336377</v>
      </c>
      <c r="BV315" s="2">
        <f>-'Batt IN'!$E$47</f>
        <v>-150</v>
      </c>
      <c r="BW315" s="2">
        <f>-'Batt IN'!$E$49</f>
        <v>-2250</v>
      </c>
      <c r="BX315" s="2">
        <f>IF('Batt IN'!$H$50="No",-(BC315*'Batt IN'!$E$50),-(BC315+BE315)*'Batt IN'!$E$50)</f>
        <v>0</v>
      </c>
      <c r="BY315" s="2">
        <f>IF(C315='Batt IN'!$H$43*12,-'Batt IN'!$E$43,0)</f>
        <v>0</v>
      </c>
      <c r="BZ315" s="38"/>
      <c r="CA315" s="10">
        <f t="shared" si="89"/>
        <v>13590.609545319636</v>
      </c>
      <c r="CB315" s="2">
        <f t="shared" si="72"/>
        <v>-3020.4560173336376</v>
      </c>
      <c r="CC315" s="45">
        <f t="shared" si="90"/>
        <v>10570.153527985998</v>
      </c>
      <c r="CD315" s="43"/>
      <c r="CE315" s="2">
        <f t="shared" si="91"/>
        <v>0</v>
      </c>
      <c r="CF315" s="2">
        <f t="shared" si="74"/>
        <v>-3020.4560173336376</v>
      </c>
      <c r="CG315" s="2"/>
      <c r="CH315" s="2">
        <f t="shared" si="92"/>
        <v>-3020.4560173336376</v>
      </c>
      <c r="CI315" s="45">
        <f>-CH315*'Batt IN'!$E$7</f>
        <v>634.29576364006391</v>
      </c>
      <c r="CJ315" s="48"/>
      <c r="CK315" s="45">
        <f>IF('Batt IN'!$F$4="PV Only",0,IF(C315&gt;'Batt IN'!$H$43*12,0,CC315+CI315))</f>
        <v>0</v>
      </c>
      <c r="CM315" s="10">
        <f t="shared" si="93"/>
        <v>0</v>
      </c>
      <c r="CN315" s="2">
        <f>CK315/(1+('Batt IN'!$G$8))^(C315)</f>
        <v>0</v>
      </c>
      <c r="CO315" s="2" t="e">
        <f>IF(C315&lt;='Batt IN'!$O$30*12,CN315+CO314,NA())</f>
        <v>#N/A</v>
      </c>
      <c r="CQ315" s="2">
        <f>CK315/((1+('Batt IN'!$E$8/12))^BattCalcs!C315)</f>
        <v>0</v>
      </c>
      <c r="CS315" s="10">
        <f t="shared" si="77"/>
        <v>-3020.4560173336376</v>
      </c>
      <c r="CT315" s="10">
        <f t="shared" si="78"/>
        <v>0</v>
      </c>
      <c r="CU315" s="10">
        <f t="shared" si="79"/>
        <v>-3020.4560173336376</v>
      </c>
      <c r="CV315" s="10">
        <f t="shared" si="80"/>
        <v>-3020.4560173336376</v>
      </c>
      <c r="CW315" s="2">
        <f t="shared" si="81"/>
        <v>0</v>
      </c>
      <c r="CX315" s="2">
        <f>-(SUM(CV315:CW315)*'PV IN'!$E$8)</f>
        <v>634.29576364006391</v>
      </c>
      <c r="CY315" s="2">
        <f t="shared" si="82"/>
        <v>-2386.1602536935738</v>
      </c>
      <c r="CZ315" s="2">
        <f>IF(C315&lt;='Batt IN'!$H$43*12,CY315/(1+('PV IN'!$G$9))^(C315),0)</f>
        <v>0</v>
      </c>
      <c r="DA315" s="33">
        <f>IF(C315&lt;='Batt IN'!$H$43*12,AE315,0)</f>
        <v>0</v>
      </c>
    </row>
    <row r="316" spans="1:105" x14ac:dyDescent="0.25">
      <c r="A316" t="str">
        <f>IF(C316&lt;='Batt IN'!$H$43*12,C316,"")</f>
        <v/>
      </c>
      <c r="B316">
        <v>26</v>
      </c>
      <c r="C316">
        <v>312</v>
      </c>
      <c r="D316" s="21">
        <v>742</v>
      </c>
      <c r="E316" s="1">
        <f>1-'Batt IN'!$E$31</f>
        <v>2.0000000000000018E-2</v>
      </c>
      <c r="F316" s="12">
        <f>('Batt IN'!$E$33*365)/8760</f>
        <v>0</v>
      </c>
      <c r="G316" s="22">
        <f>'Batt IN'!$E$32/8760</f>
        <v>5.7077625570776253E-3</v>
      </c>
      <c r="H316" s="22">
        <f>'Batt IN'!$E$13/8760</f>
        <v>5.5936073059360729E-3</v>
      </c>
      <c r="I316" s="23">
        <f>IF(C316&lt;='Batt IN'!$G$14*12,'Batt IN'!$E$15/8760*'Batt IN'!$G$15,0)</f>
        <v>0</v>
      </c>
      <c r="J316" s="12">
        <f>Z316/'Batt IN'!$E$27/730</f>
        <v>2.4999999999999996E-3</v>
      </c>
      <c r="K316" s="23">
        <f>AA316/'Batt IN'!$E$27/730</f>
        <v>1.6027397260273972E-3</v>
      </c>
      <c r="L316" s="23">
        <f>AB316/'Batt IN'!$E$27/730</f>
        <v>2.0547945205479451E-4</v>
      </c>
      <c r="M316" s="23">
        <f>AC316/'Batt IN'!$E$27/730</f>
        <v>4.7945205479452057E-3</v>
      </c>
      <c r="N316" s="23">
        <f>AD316/'Batt IN'!$E$27/730</f>
        <v>3.4246575342465752E-3</v>
      </c>
      <c r="O316" s="12">
        <f t="shared" si="85"/>
        <v>4.3828767123287697E-2</v>
      </c>
      <c r="P316" s="21">
        <f t="shared" si="86"/>
        <v>709.47905479452061</v>
      </c>
      <c r="Q316" s="2">
        <f>IF('Batt IN'!$E$27*'Batt IN'!$E$24&lt;='Batt IN'!$E$28,(('Batt IN'!$E$23*'Batt IN'!$E$27*'Batt IN'!$E$24)/1000)*P316,(('Batt IN'!$E$23*'Batt IN'!$E$28*'Batt IN'!$E$24)/1000)*P316)</f>
        <v>11351.66487671233</v>
      </c>
      <c r="R316" s="2"/>
      <c r="S316" s="77">
        <f>IF(C316&lt;='Batt IN'!$G$14*12,'Batt IN'!$E$15/12,0)</f>
        <v>0</v>
      </c>
      <c r="T316" s="77"/>
      <c r="U316" s="80">
        <f>'Batt IN'!$E$28*('Batt IN'!$G$24/24)*730*(1-O316)</f>
        <v>81433.916666666657</v>
      </c>
      <c r="V316" s="78">
        <f>U316*'Batt IN'!$F$30</f>
        <v>16286.783333333333</v>
      </c>
      <c r="W316" s="78">
        <f>'Batt IN'!$E$28*'Batt IN'!$G$32*('Batt IN'!$E$32/12)*(1+'Batt IN'!$F$30)</f>
        <v>1750.0000000000002</v>
      </c>
      <c r="X316" s="78">
        <f>'Batt IN'!$E$28*'Batt IN'!$G$13*('Batt IN'!$E$13/12)*(1+'Batt IN'!$F$30)</f>
        <v>3184.9999999999995</v>
      </c>
      <c r="Y316" s="33">
        <f>S316*'Batt IN'!$G$15*'Batt IN'!$E$28*(1+'Batt IN'!$F$30)</f>
        <v>0</v>
      </c>
      <c r="Z316" s="33">
        <f>'Batt IN'!$G$16*365/12*(1+'Batt IN'!$F$30)</f>
        <v>1824.9999999999998</v>
      </c>
      <c r="AA316" s="33">
        <f>'Batt IN'!$G$17*'Batt IN'!$E$18*'Batt IN'!$G$18/12*(1+'Batt IN'!$F$30)</f>
        <v>1170</v>
      </c>
      <c r="AB316" s="33">
        <f>'Batt IN'!$G$19*'Batt IN'!$E$20*'Batt IN'!$G$20/12*(1+'Batt IN'!$F$30)</f>
        <v>150</v>
      </c>
      <c r="AC316" s="33">
        <f>'Batt IN'!$G$21*(1+'Batt IN'!$F$30)/12</f>
        <v>3500</v>
      </c>
      <c r="AD316" s="33">
        <f>'Batt IN'!$G$22*(1+'Batt IN'!$F$30)/12</f>
        <v>2500</v>
      </c>
      <c r="AE316" s="33">
        <f t="shared" si="87"/>
        <v>30366.783333333333</v>
      </c>
      <c r="AF316" s="33">
        <f>IF('PV IN'!$F$4="Battery Only",0,AE316*'Batt IN'!$E$29)</f>
        <v>25811.765833333331</v>
      </c>
      <c r="AG316" s="33">
        <f>PVCalcs!L316</f>
        <v>25811.765833333331</v>
      </c>
      <c r="AH316" s="33">
        <f t="shared" si="88"/>
        <v>4555.0175000000017</v>
      </c>
      <c r="AI316" s="33"/>
      <c r="AJ316" s="2">
        <f>IF(AND('Batt IN'!$D$53="Yes",$AL$1&gt;=1),IF($C316='Batt IN'!$H$54*12,-'Batt IN'!$F$54,0),0)</f>
        <v>0</v>
      </c>
      <c r="AK316" s="2">
        <f>IF(AND('Batt IN'!$D$53="Yes",$AL$1&gt;=2),IF($C316='Batt IN'!$H$55*12,-'Batt IN'!$F$55,0),0)</f>
        <v>0</v>
      </c>
      <c r="AL316" s="2">
        <f>IF(AND('Batt IN'!$D$53="Yes",$AL$1&gt;=3),IF($C316='Batt IN'!$H$56*12,-'Batt IN'!$F$56,0),0)</f>
        <v>0</v>
      </c>
      <c r="AM316" s="2">
        <f>IF(AND('Batt IN'!$D$53="Yes",$AL$1&gt;=4),IF($C316='Batt IN'!$H$57*12,-'Batt IN'!$F$57,0),0)</f>
        <v>0</v>
      </c>
      <c r="AN316" s="2">
        <f>IF(AND('Batt IN'!$D$53="Yes",$AL$1&gt;=5),IF($C316='Batt IN'!$H$58*12,-'Batt IN'!$F$58,0),0)</f>
        <v>0</v>
      </c>
      <c r="AO316" s="10">
        <f>IF(AND('Batt IN'!$D$44="YES",$C316&lt;='Batt IN'!$E$44*12),-'Batt IN'!$E$28*'Batt IN'!$E$42/12,0)</f>
        <v>0</v>
      </c>
      <c r="AP316" s="10">
        <f>IF(AND('Batt IN'!$D$46="YES",$C316&lt;='Batt IN'!$E$46*12),-'Batt IN'!$E$28*'Batt IN'!$E$45/12,0)</f>
        <v>0</v>
      </c>
      <c r="AR316" s="10">
        <f>BattLoan!M343</f>
        <v>0</v>
      </c>
      <c r="AS316" s="10">
        <f>'Batt IN'!$G$16*365/12*'Batt IN'!$E$16</f>
        <v>76.041666666666671</v>
      </c>
      <c r="AT316" s="10">
        <f>IF(AND('Batt IN'!$E$18&gt;0,'Batt IN'!$G$18&gt;0),'Batt IN'!$E$17*'Batt IN'!$G$17,0)</f>
        <v>119.44619999999999</v>
      </c>
      <c r="AU316" s="10">
        <f>IF(AND('Batt IN'!$E$20&gt;0,'Batt IN'!$G$20&gt;0),'Batt IN'!$E$19*'Batt IN'!$G$19,0)</f>
        <v>231</v>
      </c>
      <c r="AV316" s="10"/>
      <c r="AW316" s="10"/>
      <c r="AX316" s="10">
        <f>IF('Batt IN'!$E$11="Non-Taxable",Q316,0)</f>
        <v>11351.66487671233</v>
      </c>
      <c r="AY316" s="10">
        <f>IF('Batt IN'!$E$11="Non-Taxable",'Batt IN'!$E$28/1000*'Batt IN'!$G$13*('Batt IN'!$E$13/12)*'Batt IN'!$E$12,0)</f>
        <v>244.42220833333334</v>
      </c>
      <c r="AZ316" s="10">
        <f>IF('Batt IN'!$E$11="Non-Taxable",$S316*'Batt IN'!$G$15*'Batt IN'!$E$28*'Batt IN'!$E$14/1000,0)</f>
        <v>0</v>
      </c>
      <c r="BA316" s="10">
        <f>IF('Batt IN'!$E$11="Non-Taxable",'Batt IN'!$E$21*'Batt IN'!$G$21/12,0)</f>
        <v>437.5</v>
      </c>
      <c r="BB316" s="10">
        <f>IF('Batt IN'!$E$11="Non-Taxable",'Batt IN'!$E$22*'Batt IN'!$G$22/12,0)</f>
        <v>1145.8333333333335</v>
      </c>
      <c r="BC316" s="10">
        <f>IF('Batt IN'!$E$11="Taxable",Q316,0)</f>
        <v>0</v>
      </c>
      <c r="BD316" s="10">
        <f>IF('Batt IN'!$E$11="Taxable",'Batt IN'!$E$28/1000*'Batt IN'!$G$13*('Batt IN'!$E$13/12)*'Batt IN'!$E$12,0)</f>
        <v>0</v>
      </c>
      <c r="BE316" s="10">
        <f>IF('Batt IN'!$E$11="Taxable",$S316*'Batt IN'!$G$15*'Batt IN'!$E$28*'Batt IN'!$E$14/1000,0)</f>
        <v>0</v>
      </c>
      <c r="BF316" s="10">
        <f>IF('Batt IN'!$E$11="Taxable",'Batt IN'!$E$21*'Batt IN'!$G$21/12,0)</f>
        <v>0</v>
      </c>
      <c r="BG316" s="10">
        <f>IF('Batt IN'!$E$11="Taxable",'Batt IN'!$E$22*'Batt IN'!$G$22/12,0)</f>
        <v>0</v>
      </c>
      <c r="BK316" s="10">
        <f>IF('Batt IN'!$N$18="Yes",-BattLoan!H344,-BattLoan!L344)</f>
        <v>0</v>
      </c>
      <c r="BL316" s="10">
        <f>IF('Batt IN'!$N$18="Yes",-BattLoan!F344,0)</f>
        <v>0</v>
      </c>
      <c r="BM316" s="10">
        <f>IF(AND('Batt IN'!$D$44="YES",$C316&lt;='Batt IN'!$E$44*12),0,-'Batt IN'!$E$28*'Batt IN'!$E$42/12)</f>
        <v>-83.333333333333329</v>
      </c>
      <c r="BN316" s="10">
        <f>IF(AND('Batt IN'!$D$46="YES",$C316&lt;='Batt IN'!$E$46*12),0,-'Batt IN'!$E$28*'Batt IN'!$E$45/12)</f>
        <v>-166.66666666666666</v>
      </c>
      <c r="BO316" s="2">
        <f>IF(AND('Batt IN'!$D$41="YES",BattCalcs!C316=ROUNDUP('Batt IN'!$H$41*12,)),-'Batt IN'!$E$41*'Batt IN'!$E$28,0)</f>
        <v>0</v>
      </c>
      <c r="BP316" s="2">
        <f>IF(AND('Batt IN'!$D$53="Yes",$AL$1&gt;=1),0,IF($C316='Batt IN'!$H$54*12,-'Batt IN'!$F$54,0))</f>
        <v>0</v>
      </c>
      <c r="BQ316" s="2">
        <f>IF(AND('Batt IN'!$D$53="Yes",$AL$1&gt;=2),0,IF($C316='Batt IN'!$H$55*12,-'Batt IN'!$F$55,0))</f>
        <v>0</v>
      </c>
      <c r="BR316" s="2">
        <f>IF(AND('Batt IN'!$D$53="Yes",$AL$1&gt;=3),0,IF($C316='Batt IN'!$H$56*12,-'Batt IN'!$F$56,0))</f>
        <v>0</v>
      </c>
      <c r="BS316" s="2">
        <f>IF(AND('Batt IN'!$D$53="Yes",$AL$1&gt;=4),0,IF($C316='Batt IN'!$H$57*12,-'Batt IN'!$F$57,0))</f>
        <v>0</v>
      </c>
      <c r="BT316" s="2">
        <f>IF(AND('Batt IN'!$D$53="Yes",$AL$1&gt;=5),0,IF($C316='Batt IN'!$H$58*12,-'Batt IN'!$F$58,0))</f>
        <v>0</v>
      </c>
      <c r="BU316" s="2">
        <f>-AH316*PVCalcs!F316</f>
        <v>-370.4560173336377</v>
      </c>
      <c r="BV316" s="2">
        <f>-'Batt IN'!$E$47</f>
        <v>-150</v>
      </c>
      <c r="BW316" s="2">
        <f>-'Batt IN'!$E$49</f>
        <v>-2250</v>
      </c>
      <c r="BX316" s="2">
        <f>IF('Batt IN'!$H$50="No",-(BC316*'Batt IN'!$E$50),-(BC316+BE316)*'Batt IN'!$E$50)</f>
        <v>0</v>
      </c>
      <c r="BY316" s="2">
        <f>IF(C316='Batt IN'!$H$43*12,-'Batt IN'!$E$43,0)</f>
        <v>0</v>
      </c>
      <c r="BZ316" s="38"/>
      <c r="CA316" s="10">
        <f t="shared" si="89"/>
        <v>13605.908285045663</v>
      </c>
      <c r="CB316" s="2">
        <f t="shared" si="72"/>
        <v>-3020.4560173336376</v>
      </c>
      <c r="CC316" s="45">
        <f t="shared" si="90"/>
        <v>10585.452267712026</v>
      </c>
      <c r="CD316" s="43"/>
      <c r="CE316" s="2">
        <f t="shared" si="91"/>
        <v>0</v>
      </c>
      <c r="CF316" s="2">
        <f t="shared" si="74"/>
        <v>-3020.4560173336376</v>
      </c>
      <c r="CG316" s="2"/>
      <c r="CH316" s="2">
        <f t="shared" si="92"/>
        <v>-3020.4560173336376</v>
      </c>
      <c r="CI316" s="45">
        <f>-CH316*'Batt IN'!$E$7</f>
        <v>634.29576364006391</v>
      </c>
      <c r="CJ316" s="48"/>
      <c r="CK316" s="45">
        <f>IF('Batt IN'!$F$4="PV Only",0,IF(C316&gt;'Batt IN'!$H$43*12,0,CC316+CI316))</f>
        <v>0</v>
      </c>
      <c r="CM316" s="10">
        <f t="shared" si="93"/>
        <v>0</v>
      </c>
      <c r="CN316" s="2">
        <f>CK316/(1+('Batt IN'!$G$8))^(C316)</f>
        <v>0</v>
      </c>
      <c r="CO316" s="2" t="e">
        <f>IF(C316&lt;='Batt IN'!$O$30*12,CN316+CO315,NA())</f>
        <v>#N/A</v>
      </c>
      <c r="CQ316" s="2">
        <f>CK316/((1+('Batt IN'!$E$8/12))^BattCalcs!C316)</f>
        <v>0</v>
      </c>
      <c r="CS316" s="10">
        <f t="shared" si="77"/>
        <v>-3020.4560173336376</v>
      </c>
      <c r="CT316" s="10">
        <f t="shared" si="78"/>
        <v>0</v>
      </c>
      <c r="CU316" s="10">
        <f t="shared" si="79"/>
        <v>-3020.4560173336376</v>
      </c>
      <c r="CV316" s="10">
        <f t="shared" si="80"/>
        <v>-3020.4560173336376</v>
      </c>
      <c r="CW316" s="2">
        <f t="shared" si="81"/>
        <v>0</v>
      </c>
      <c r="CX316" s="2">
        <f>-(SUM(CV316:CW316)*'PV IN'!$E$8)</f>
        <v>634.29576364006391</v>
      </c>
      <c r="CY316" s="2">
        <f t="shared" si="82"/>
        <v>-2386.1602536935738</v>
      </c>
      <c r="CZ316" s="2">
        <f>IF(C316&lt;='Batt IN'!$H$43*12,CY316/(1+('PV IN'!$G$9))^(C316),0)</f>
        <v>0</v>
      </c>
      <c r="DA316" s="33">
        <f>IF(C316&lt;='Batt IN'!$H$43*12,AE316,0)</f>
        <v>0</v>
      </c>
    </row>
    <row r="317" spans="1:105" x14ac:dyDescent="0.25">
      <c r="A317" t="str">
        <f>IF(C317&lt;='Batt IN'!$H$43*12,C317,"")</f>
        <v/>
      </c>
      <c r="C317">
        <v>313</v>
      </c>
      <c r="D317" s="21">
        <v>743</v>
      </c>
      <c r="E317" s="1">
        <f>1-'Batt IN'!$E$31</f>
        <v>2.0000000000000018E-2</v>
      </c>
      <c r="F317" s="12">
        <f>('Batt IN'!$E$33*365)/8760</f>
        <v>0</v>
      </c>
      <c r="G317" s="22">
        <f>'Batt IN'!$E$32/8760</f>
        <v>5.7077625570776253E-3</v>
      </c>
      <c r="H317" s="22">
        <f>'Batt IN'!$E$13/8760</f>
        <v>5.5936073059360729E-3</v>
      </c>
      <c r="I317" s="23">
        <f>IF(C317&lt;='Batt IN'!$G$14*12,'Batt IN'!$E$15/8760*'Batt IN'!$G$15,0)</f>
        <v>0</v>
      </c>
      <c r="J317" s="12">
        <f>Z317/'Batt IN'!$E$27/730</f>
        <v>2.4999999999999996E-3</v>
      </c>
      <c r="K317" s="23">
        <f>AA317/'Batt IN'!$E$27/730</f>
        <v>1.6027397260273972E-3</v>
      </c>
      <c r="L317" s="23">
        <f>AB317/'Batt IN'!$E$27/730</f>
        <v>2.0547945205479451E-4</v>
      </c>
      <c r="M317" s="23">
        <f>AC317/'Batt IN'!$E$27/730</f>
        <v>4.7945205479452057E-3</v>
      </c>
      <c r="N317" s="23">
        <f>AD317/'Batt IN'!$E$27/730</f>
        <v>3.4246575342465752E-3</v>
      </c>
      <c r="O317" s="12">
        <f t="shared" si="85"/>
        <v>4.3828767123287697E-2</v>
      </c>
      <c r="P317" s="21">
        <f t="shared" si="86"/>
        <v>710.43522602739722</v>
      </c>
      <c r="Q317" s="2">
        <f>IF('Batt IN'!$E$27*'Batt IN'!$E$24&lt;='Batt IN'!$E$28,(('Batt IN'!$E$23*'Batt IN'!$E$27*'Batt IN'!$E$24)/1000)*P317,(('Batt IN'!$E$23*'Batt IN'!$E$28*'Batt IN'!$E$24)/1000)*P317)</f>
        <v>11366.963616438356</v>
      </c>
      <c r="R317" s="2"/>
      <c r="S317" s="77">
        <f>IF(C317&lt;='Batt IN'!$G$14*12,'Batt IN'!$E$15/12,0)</f>
        <v>0</v>
      </c>
      <c r="T317" s="77"/>
      <c r="U317" s="80">
        <f>'Batt IN'!$E$28*('Batt IN'!$G$24/24)*730*(1-O317)</f>
        <v>81433.916666666657</v>
      </c>
      <c r="V317" s="78">
        <f>U317*'Batt IN'!$F$30</f>
        <v>16286.783333333333</v>
      </c>
      <c r="W317" s="78">
        <f>'Batt IN'!$E$28*'Batt IN'!$G$32*('Batt IN'!$E$32/12)*(1+'Batt IN'!$F$30)</f>
        <v>1750.0000000000002</v>
      </c>
      <c r="X317" s="78">
        <f>'Batt IN'!$E$28*'Batt IN'!$G$13*('Batt IN'!$E$13/12)*(1+'Batt IN'!$F$30)</f>
        <v>3184.9999999999995</v>
      </c>
      <c r="Y317" s="33">
        <f>S317*'Batt IN'!$G$15*'Batt IN'!$E$28*(1+'Batt IN'!$F$30)</f>
        <v>0</v>
      </c>
      <c r="Z317" s="33">
        <f>'Batt IN'!$G$16*365/12*(1+'Batt IN'!$F$30)</f>
        <v>1824.9999999999998</v>
      </c>
      <c r="AA317" s="33">
        <f>'Batt IN'!$G$17*'Batt IN'!$E$18*'Batt IN'!$G$18/12*(1+'Batt IN'!$F$30)</f>
        <v>1170</v>
      </c>
      <c r="AB317" s="33">
        <f>'Batt IN'!$G$19*'Batt IN'!$E$20*'Batt IN'!$G$20/12*(1+'Batt IN'!$F$30)</f>
        <v>150</v>
      </c>
      <c r="AC317" s="33">
        <f>'Batt IN'!$G$21*(1+'Batt IN'!$F$30)/12</f>
        <v>3500</v>
      </c>
      <c r="AD317" s="33">
        <f>'Batt IN'!$G$22*(1+'Batt IN'!$F$30)/12</f>
        <v>2500</v>
      </c>
      <c r="AE317" s="33">
        <f t="shared" si="87"/>
        <v>30366.783333333333</v>
      </c>
      <c r="AF317" s="33">
        <f>IF('PV IN'!$F$4="Battery Only",0,AE317*'Batt IN'!$E$29)</f>
        <v>25811.765833333331</v>
      </c>
      <c r="AG317" s="33">
        <f>PVCalcs!L317</f>
        <v>25811.765833333331</v>
      </c>
      <c r="AH317" s="33">
        <f t="shared" si="88"/>
        <v>4555.0175000000017</v>
      </c>
      <c r="AI317" s="33"/>
      <c r="AJ317" s="2">
        <f>IF(AND('Batt IN'!$D$53="Yes",$AL$1&gt;=1),IF($C317='Batt IN'!$H$54*12,-'Batt IN'!$F$54,0),0)</f>
        <v>0</v>
      </c>
      <c r="AK317" s="2">
        <f>IF(AND('Batt IN'!$D$53="Yes",$AL$1&gt;=2),IF($C317='Batt IN'!$H$55*12,-'Batt IN'!$F$55,0),0)</f>
        <v>0</v>
      </c>
      <c r="AL317" s="2">
        <f>IF(AND('Batt IN'!$D$53="Yes",$AL$1&gt;=3),IF($C317='Batt IN'!$H$56*12,-'Batt IN'!$F$56,0),0)</f>
        <v>0</v>
      </c>
      <c r="AM317" s="2">
        <f>IF(AND('Batt IN'!$D$53="Yes",$AL$1&gt;=4),IF($C317='Batt IN'!$H$57*12,-'Batt IN'!$F$57,0),0)</f>
        <v>0</v>
      </c>
      <c r="AN317" s="2">
        <f>IF(AND('Batt IN'!$D$53="Yes",$AL$1&gt;=5),IF($C317='Batt IN'!$H$58*12,-'Batt IN'!$F$58,0),0)</f>
        <v>0</v>
      </c>
      <c r="AO317" s="10">
        <f>IF(AND('Batt IN'!$D$44="YES",$C317&lt;='Batt IN'!$E$44*12),-'Batt IN'!$E$28*'Batt IN'!$E$42/12,0)</f>
        <v>0</v>
      </c>
      <c r="AP317" s="10">
        <f>IF(AND('Batt IN'!$D$46="YES",$C317&lt;='Batt IN'!$E$46*12),-'Batt IN'!$E$28*'Batt IN'!$E$45/12,0)</f>
        <v>0</v>
      </c>
      <c r="AR317" s="10">
        <f>BattLoan!M344</f>
        <v>0</v>
      </c>
      <c r="AS317" s="10">
        <f>'Batt IN'!$G$16*365/12*'Batt IN'!$E$16</f>
        <v>76.041666666666671</v>
      </c>
      <c r="AT317" s="10">
        <f>IF(AND('Batt IN'!$E$18&gt;0,'Batt IN'!$G$18&gt;0),'Batt IN'!$E$17*'Batt IN'!$G$17,0)</f>
        <v>119.44619999999999</v>
      </c>
      <c r="AU317" s="10">
        <f>IF(AND('Batt IN'!$E$20&gt;0,'Batt IN'!$G$20&gt;0),'Batt IN'!$E$19*'Batt IN'!$G$19,0)</f>
        <v>231</v>
      </c>
      <c r="AV317" s="10"/>
      <c r="AW317" s="10"/>
      <c r="AX317" s="10">
        <f>IF('Batt IN'!$E$11="Non-Taxable",Q317,0)</f>
        <v>11366.963616438356</v>
      </c>
      <c r="AY317" s="10">
        <f>IF('Batt IN'!$E$11="Non-Taxable",'Batt IN'!$E$28/1000*'Batt IN'!$G$13*('Batt IN'!$E$13/12)*'Batt IN'!$E$12,0)</f>
        <v>244.42220833333334</v>
      </c>
      <c r="AZ317" s="10">
        <f>IF('Batt IN'!$E$11="Non-Taxable",$S317*'Batt IN'!$G$15*'Batt IN'!$E$28*'Batt IN'!$E$14/1000,0)</f>
        <v>0</v>
      </c>
      <c r="BA317" s="10">
        <f>IF('Batt IN'!$E$11="Non-Taxable",'Batt IN'!$E$21*'Batt IN'!$G$21/12,0)</f>
        <v>437.5</v>
      </c>
      <c r="BB317" s="10">
        <f>IF('Batt IN'!$E$11="Non-Taxable",'Batt IN'!$E$22*'Batt IN'!$G$22/12,0)</f>
        <v>1145.8333333333335</v>
      </c>
      <c r="BC317" s="10">
        <f>IF('Batt IN'!$E$11="Taxable",Q317,0)</f>
        <v>0</v>
      </c>
      <c r="BD317" s="10">
        <f>IF('Batt IN'!$E$11="Taxable",'Batt IN'!$E$28/1000*'Batt IN'!$G$13*('Batt IN'!$E$13/12)*'Batt IN'!$E$12,0)</f>
        <v>0</v>
      </c>
      <c r="BE317" s="10">
        <f>IF('Batt IN'!$E$11="Taxable",$S317*'Batt IN'!$G$15*'Batt IN'!$E$28*'Batt IN'!$E$14/1000,0)</f>
        <v>0</v>
      </c>
      <c r="BF317" s="10">
        <f>IF('Batt IN'!$E$11="Taxable",'Batt IN'!$E$21*'Batt IN'!$G$21/12,0)</f>
        <v>0</v>
      </c>
      <c r="BG317" s="10">
        <f>IF('Batt IN'!$E$11="Taxable",'Batt IN'!$E$22*'Batt IN'!$G$22/12,0)</f>
        <v>0</v>
      </c>
      <c r="BK317" s="10">
        <f>IF('Batt IN'!$N$18="Yes",-BattLoan!H345,-BattLoan!L345)</f>
        <v>0</v>
      </c>
      <c r="BL317" s="10">
        <f>IF('Batt IN'!$N$18="Yes",-BattLoan!F345,0)</f>
        <v>0</v>
      </c>
      <c r="BM317" s="10">
        <f>IF(AND('Batt IN'!$D$44="YES",$C317&lt;='Batt IN'!$E$44*12),0,-'Batt IN'!$E$28*'Batt IN'!$E$42/12)</f>
        <v>-83.333333333333329</v>
      </c>
      <c r="BN317" s="10">
        <f>IF(AND('Batt IN'!$D$46="YES",$C317&lt;='Batt IN'!$E$46*12),0,-'Batt IN'!$E$28*'Batt IN'!$E$45/12)</f>
        <v>-166.66666666666666</v>
      </c>
      <c r="BO317" s="2">
        <f>IF(AND('Batt IN'!$D$41="YES",BattCalcs!C317=ROUNDUP('Batt IN'!$H$41*12,)),-'Batt IN'!$E$41*'Batt IN'!$E$28,0)</f>
        <v>0</v>
      </c>
      <c r="BP317" s="2">
        <f>IF(AND('Batt IN'!$D$53="Yes",$AL$1&gt;=1),0,IF($C317='Batt IN'!$H$54*12,-'Batt IN'!$F$54,0))</f>
        <v>0</v>
      </c>
      <c r="BQ317" s="2">
        <f>IF(AND('Batt IN'!$D$53="Yes",$AL$1&gt;=2),0,IF($C317='Batt IN'!$H$55*12,-'Batt IN'!$F$55,0))</f>
        <v>0</v>
      </c>
      <c r="BR317" s="2">
        <f>IF(AND('Batt IN'!$D$53="Yes",$AL$1&gt;=3),0,IF($C317='Batt IN'!$H$56*12,-'Batt IN'!$F$56,0))</f>
        <v>0</v>
      </c>
      <c r="BS317" s="2">
        <f>IF(AND('Batt IN'!$D$53="Yes",$AL$1&gt;=4),0,IF($C317='Batt IN'!$H$57*12,-'Batt IN'!$F$57,0))</f>
        <v>0</v>
      </c>
      <c r="BT317" s="2">
        <f>IF(AND('Batt IN'!$D$53="Yes",$AL$1&gt;=5),0,IF($C317='Batt IN'!$H$58*12,-'Batt IN'!$F$58,0))</f>
        <v>0</v>
      </c>
      <c r="BU317" s="2">
        <f>-AH317*PVCalcs!F317</f>
        <v>-367.65414684172509</v>
      </c>
      <c r="BV317" s="2">
        <f>-'Batt IN'!$E$47</f>
        <v>-150</v>
      </c>
      <c r="BW317" s="2">
        <f>-'Batt IN'!$E$49</f>
        <v>-2250</v>
      </c>
      <c r="BX317" s="2">
        <f>IF('Batt IN'!$H$50="No",-(BC317*'Batt IN'!$E$50),-(BC317+BE317)*'Batt IN'!$E$50)</f>
        <v>0</v>
      </c>
      <c r="BY317" s="2">
        <f>IF(C317='Batt IN'!$H$43*12,-'Batt IN'!$E$43,0)</f>
        <v>0</v>
      </c>
      <c r="BZ317" s="38"/>
      <c r="CA317" s="10">
        <f t="shared" si="89"/>
        <v>13621.207024771689</v>
      </c>
      <c r="CB317" s="2">
        <f t="shared" si="72"/>
        <v>-3017.6541468417254</v>
      </c>
      <c r="CC317" s="45">
        <f t="shared" si="90"/>
        <v>10603.552877929964</v>
      </c>
      <c r="CD317" s="43"/>
      <c r="CE317" s="2">
        <f t="shared" si="91"/>
        <v>0</v>
      </c>
      <c r="CF317" s="2">
        <f t="shared" si="74"/>
        <v>-3017.6541468417254</v>
      </c>
      <c r="CG317" s="2"/>
      <c r="CH317" s="2">
        <f t="shared" si="92"/>
        <v>-3017.6541468417254</v>
      </c>
      <c r="CI317" s="45">
        <f>-CH317*'Batt IN'!$E$7</f>
        <v>633.70737083676227</v>
      </c>
      <c r="CJ317" s="48"/>
      <c r="CK317" s="45">
        <f>IF('Batt IN'!$F$4="PV Only",0,IF(C317&gt;'Batt IN'!$H$43*12,0,CC317+CI317))</f>
        <v>0</v>
      </c>
      <c r="CM317" s="10">
        <f t="shared" si="93"/>
        <v>0</v>
      </c>
      <c r="CN317" s="2">
        <f>CK317/(1+('Batt IN'!$G$8))^(C317)</f>
        <v>0</v>
      </c>
      <c r="CO317" s="2" t="e">
        <f>IF(C317&lt;='Batt IN'!$O$30*12,CN317+CO316,NA())</f>
        <v>#N/A</v>
      </c>
      <c r="CQ317" s="2">
        <f>CK317/((1+('Batt IN'!$E$8/12))^BattCalcs!C317)</f>
        <v>0</v>
      </c>
      <c r="CS317" s="10">
        <f t="shared" si="77"/>
        <v>-3017.6541468417254</v>
      </c>
      <c r="CT317" s="10">
        <f t="shared" si="78"/>
        <v>0</v>
      </c>
      <c r="CU317" s="10">
        <f t="shared" si="79"/>
        <v>-3017.6541468417254</v>
      </c>
      <c r="CV317" s="10">
        <f t="shared" si="80"/>
        <v>-3017.6541468417254</v>
      </c>
      <c r="CW317" s="2">
        <f t="shared" si="81"/>
        <v>0</v>
      </c>
      <c r="CX317" s="2">
        <f>-(SUM(CV317:CW317)*'PV IN'!$E$8)</f>
        <v>633.70737083676227</v>
      </c>
      <c r="CY317" s="2">
        <f t="shared" si="82"/>
        <v>-2383.9467760049629</v>
      </c>
      <c r="CZ317" s="2">
        <f>IF(C317&lt;='Batt IN'!$H$43*12,CY317/(1+('PV IN'!$G$9))^(C317),0)</f>
        <v>0</v>
      </c>
      <c r="DA317" s="33">
        <f>IF(C317&lt;='Batt IN'!$H$43*12,AE317,0)</f>
        <v>0</v>
      </c>
    </row>
    <row r="318" spans="1:105" x14ac:dyDescent="0.25">
      <c r="A318" t="str">
        <f>IF(C318&lt;='Batt IN'!$H$43*12,C318,"")</f>
        <v/>
      </c>
      <c r="C318">
        <v>314</v>
      </c>
      <c r="D318" s="21">
        <v>744</v>
      </c>
      <c r="E318" s="1">
        <f>1-'Batt IN'!$E$31</f>
        <v>2.0000000000000018E-2</v>
      </c>
      <c r="F318" s="12">
        <f>('Batt IN'!$E$33*365)/8760</f>
        <v>0</v>
      </c>
      <c r="G318" s="22">
        <f>'Batt IN'!$E$32/8760</f>
        <v>5.7077625570776253E-3</v>
      </c>
      <c r="H318" s="22">
        <f>'Batt IN'!$E$13/8760</f>
        <v>5.5936073059360729E-3</v>
      </c>
      <c r="I318" s="23">
        <f>IF(C318&lt;='Batt IN'!$G$14*12,'Batt IN'!$E$15/8760*'Batt IN'!$G$15,0)</f>
        <v>0</v>
      </c>
      <c r="J318" s="12">
        <f>Z318/'Batt IN'!$E$27/730</f>
        <v>2.4999999999999996E-3</v>
      </c>
      <c r="K318" s="23">
        <f>AA318/'Batt IN'!$E$27/730</f>
        <v>1.6027397260273972E-3</v>
      </c>
      <c r="L318" s="23">
        <f>AB318/'Batt IN'!$E$27/730</f>
        <v>2.0547945205479451E-4</v>
      </c>
      <c r="M318" s="23">
        <f>AC318/'Batt IN'!$E$27/730</f>
        <v>4.7945205479452057E-3</v>
      </c>
      <c r="N318" s="23">
        <f>AD318/'Batt IN'!$E$27/730</f>
        <v>3.4246575342465752E-3</v>
      </c>
      <c r="O318" s="12">
        <f t="shared" si="85"/>
        <v>4.3828767123287697E-2</v>
      </c>
      <c r="P318" s="21">
        <f t="shared" si="86"/>
        <v>711.39139726027395</v>
      </c>
      <c r="Q318" s="2">
        <f>IF('Batt IN'!$E$27*'Batt IN'!$E$24&lt;='Batt IN'!$E$28,(('Batt IN'!$E$23*'Batt IN'!$E$27*'Batt IN'!$E$24)/1000)*P318,(('Batt IN'!$E$23*'Batt IN'!$E$28*'Batt IN'!$E$24)/1000)*P318)</f>
        <v>11382.262356164383</v>
      </c>
      <c r="R318" s="2"/>
      <c r="S318" s="77">
        <f>IF(C318&lt;='Batt IN'!$G$14*12,'Batt IN'!$E$15/12,0)</f>
        <v>0</v>
      </c>
      <c r="T318" s="77"/>
      <c r="U318" s="80">
        <f>'Batt IN'!$E$28*('Batt IN'!$G$24/24)*730*(1-O318)</f>
        <v>81433.916666666657</v>
      </c>
      <c r="V318" s="78">
        <f>U318*'Batt IN'!$F$30</f>
        <v>16286.783333333333</v>
      </c>
      <c r="W318" s="78">
        <f>'Batt IN'!$E$28*'Batt IN'!$G$32*('Batt IN'!$E$32/12)*(1+'Batt IN'!$F$30)</f>
        <v>1750.0000000000002</v>
      </c>
      <c r="X318" s="78">
        <f>'Batt IN'!$E$28*'Batt IN'!$G$13*('Batt IN'!$E$13/12)*(1+'Batt IN'!$F$30)</f>
        <v>3184.9999999999995</v>
      </c>
      <c r="Y318" s="33">
        <f>S318*'Batt IN'!$G$15*'Batt IN'!$E$28*(1+'Batt IN'!$F$30)</f>
        <v>0</v>
      </c>
      <c r="Z318" s="33">
        <f>'Batt IN'!$G$16*365/12*(1+'Batt IN'!$F$30)</f>
        <v>1824.9999999999998</v>
      </c>
      <c r="AA318" s="33">
        <f>'Batt IN'!$G$17*'Batt IN'!$E$18*'Batt IN'!$G$18/12*(1+'Batt IN'!$F$30)</f>
        <v>1170</v>
      </c>
      <c r="AB318" s="33">
        <f>'Batt IN'!$G$19*'Batt IN'!$E$20*'Batt IN'!$G$20/12*(1+'Batt IN'!$F$30)</f>
        <v>150</v>
      </c>
      <c r="AC318" s="33">
        <f>'Batt IN'!$G$21*(1+'Batt IN'!$F$30)/12</f>
        <v>3500</v>
      </c>
      <c r="AD318" s="33">
        <f>'Batt IN'!$G$22*(1+'Batt IN'!$F$30)/12</f>
        <v>2500</v>
      </c>
      <c r="AE318" s="33">
        <f t="shared" si="87"/>
        <v>30366.783333333333</v>
      </c>
      <c r="AF318" s="33">
        <f>IF('PV IN'!$F$4="Battery Only",0,AE318*'Batt IN'!$E$29)</f>
        <v>25811.765833333331</v>
      </c>
      <c r="AG318" s="33">
        <f>PVCalcs!L318</f>
        <v>25811.765833333331</v>
      </c>
      <c r="AH318" s="33">
        <f t="shared" si="88"/>
        <v>4555.0175000000017</v>
      </c>
      <c r="AI318" s="33"/>
      <c r="AJ318" s="2">
        <f>IF(AND('Batt IN'!$D$53="Yes",$AL$1&gt;=1),IF($C318='Batt IN'!$H$54*12,-'Batt IN'!$F$54,0),0)</f>
        <v>0</v>
      </c>
      <c r="AK318" s="2">
        <f>IF(AND('Batt IN'!$D$53="Yes",$AL$1&gt;=2),IF($C318='Batt IN'!$H$55*12,-'Batt IN'!$F$55,0),0)</f>
        <v>0</v>
      </c>
      <c r="AL318" s="2">
        <f>IF(AND('Batt IN'!$D$53="Yes",$AL$1&gt;=3),IF($C318='Batt IN'!$H$56*12,-'Batt IN'!$F$56,0),0)</f>
        <v>0</v>
      </c>
      <c r="AM318" s="2">
        <f>IF(AND('Batt IN'!$D$53="Yes",$AL$1&gt;=4),IF($C318='Batt IN'!$H$57*12,-'Batt IN'!$F$57,0),0)</f>
        <v>0</v>
      </c>
      <c r="AN318" s="2">
        <f>IF(AND('Batt IN'!$D$53="Yes",$AL$1&gt;=5),IF($C318='Batt IN'!$H$58*12,-'Batt IN'!$F$58,0),0)</f>
        <v>0</v>
      </c>
      <c r="AO318" s="10">
        <f>IF(AND('Batt IN'!$D$44="YES",$C318&lt;='Batt IN'!$E$44*12),-'Batt IN'!$E$28*'Batt IN'!$E$42/12,0)</f>
        <v>0</v>
      </c>
      <c r="AP318" s="10">
        <f>IF(AND('Batt IN'!$D$46="YES",$C318&lt;='Batt IN'!$E$46*12),-'Batt IN'!$E$28*'Batt IN'!$E$45/12,0)</f>
        <v>0</v>
      </c>
      <c r="AR318" s="10">
        <f>BattLoan!M345</f>
        <v>0</v>
      </c>
      <c r="AS318" s="10">
        <f>'Batt IN'!$G$16*365/12*'Batt IN'!$E$16</f>
        <v>76.041666666666671</v>
      </c>
      <c r="AT318" s="10">
        <f>IF(AND('Batt IN'!$E$18&gt;0,'Batt IN'!$G$18&gt;0),'Batt IN'!$E$17*'Batt IN'!$G$17,0)</f>
        <v>119.44619999999999</v>
      </c>
      <c r="AU318" s="10">
        <f>IF(AND('Batt IN'!$E$20&gt;0,'Batt IN'!$G$20&gt;0),'Batt IN'!$E$19*'Batt IN'!$G$19,0)</f>
        <v>231</v>
      </c>
      <c r="AV318" s="10"/>
      <c r="AW318" s="10"/>
      <c r="AX318" s="10">
        <f>IF('Batt IN'!$E$11="Non-Taxable",Q318,0)</f>
        <v>11382.262356164383</v>
      </c>
      <c r="AY318" s="10">
        <f>IF('Batt IN'!$E$11="Non-Taxable",'Batt IN'!$E$28/1000*'Batt IN'!$G$13*('Batt IN'!$E$13/12)*'Batt IN'!$E$12,0)</f>
        <v>244.42220833333334</v>
      </c>
      <c r="AZ318" s="10">
        <f>IF('Batt IN'!$E$11="Non-Taxable",$S318*'Batt IN'!$G$15*'Batt IN'!$E$28*'Batt IN'!$E$14/1000,0)</f>
        <v>0</v>
      </c>
      <c r="BA318" s="10">
        <f>IF('Batt IN'!$E$11="Non-Taxable",'Batt IN'!$E$21*'Batt IN'!$G$21/12,0)</f>
        <v>437.5</v>
      </c>
      <c r="BB318" s="10">
        <f>IF('Batt IN'!$E$11="Non-Taxable",'Batt IN'!$E$22*'Batt IN'!$G$22/12,0)</f>
        <v>1145.8333333333335</v>
      </c>
      <c r="BC318" s="10">
        <f>IF('Batt IN'!$E$11="Taxable",Q318,0)</f>
        <v>0</v>
      </c>
      <c r="BD318" s="10">
        <f>IF('Batt IN'!$E$11="Taxable",'Batt IN'!$E$28/1000*'Batt IN'!$G$13*('Batt IN'!$E$13/12)*'Batt IN'!$E$12,0)</f>
        <v>0</v>
      </c>
      <c r="BE318" s="10">
        <f>IF('Batt IN'!$E$11="Taxable",$S318*'Batt IN'!$G$15*'Batt IN'!$E$28*'Batt IN'!$E$14/1000,0)</f>
        <v>0</v>
      </c>
      <c r="BF318" s="10">
        <f>IF('Batt IN'!$E$11="Taxable",'Batt IN'!$E$21*'Batt IN'!$G$21/12,0)</f>
        <v>0</v>
      </c>
      <c r="BG318" s="10">
        <f>IF('Batt IN'!$E$11="Taxable",'Batt IN'!$E$22*'Batt IN'!$G$22/12,0)</f>
        <v>0</v>
      </c>
      <c r="BK318" s="10">
        <f>IF('Batt IN'!$N$18="Yes",-BattLoan!H346,-BattLoan!L346)</f>
        <v>0</v>
      </c>
      <c r="BL318" s="10">
        <f>IF('Batt IN'!$N$18="Yes",-BattLoan!F346,0)</f>
        <v>0</v>
      </c>
      <c r="BM318" s="10">
        <f>IF(AND('Batt IN'!$D$44="YES",$C318&lt;='Batt IN'!$E$44*12),0,-'Batt IN'!$E$28*'Batt IN'!$E$42/12)</f>
        <v>-83.333333333333329</v>
      </c>
      <c r="BN318" s="10">
        <f>IF(AND('Batt IN'!$D$46="YES",$C318&lt;='Batt IN'!$E$46*12),0,-'Batt IN'!$E$28*'Batt IN'!$E$45/12)</f>
        <v>-166.66666666666666</v>
      </c>
      <c r="BO318" s="2">
        <f>IF(AND('Batt IN'!$D$41="YES",BattCalcs!C318=ROUNDUP('Batt IN'!$H$41*12,)),-'Batt IN'!$E$41*'Batt IN'!$E$28,0)</f>
        <v>0</v>
      </c>
      <c r="BP318" s="2">
        <f>IF(AND('Batt IN'!$D$53="Yes",$AL$1&gt;=1),0,IF($C318='Batt IN'!$H$54*12,-'Batt IN'!$F$54,0))</f>
        <v>0</v>
      </c>
      <c r="BQ318" s="2">
        <f>IF(AND('Batt IN'!$D$53="Yes",$AL$1&gt;=2),0,IF($C318='Batt IN'!$H$55*12,-'Batt IN'!$F$55,0))</f>
        <v>0</v>
      </c>
      <c r="BR318" s="2">
        <f>IF(AND('Batt IN'!$D$53="Yes",$AL$1&gt;=3),0,IF($C318='Batt IN'!$H$56*12,-'Batt IN'!$F$56,0))</f>
        <v>0</v>
      </c>
      <c r="BS318" s="2">
        <f>IF(AND('Batt IN'!$D$53="Yes",$AL$1&gt;=4),0,IF($C318='Batt IN'!$H$57*12,-'Batt IN'!$F$57,0))</f>
        <v>0</v>
      </c>
      <c r="BT318" s="2">
        <f>IF(AND('Batt IN'!$D$53="Yes",$AL$1&gt;=5),0,IF($C318='Batt IN'!$H$58*12,-'Batt IN'!$F$58,0))</f>
        <v>0</v>
      </c>
      <c r="BU318" s="2">
        <f>-AH318*PVCalcs!F318</f>
        <v>-367.65414684172509</v>
      </c>
      <c r="BV318" s="2">
        <f>-'Batt IN'!$E$47</f>
        <v>-150</v>
      </c>
      <c r="BW318" s="2">
        <f>-'Batt IN'!$E$49</f>
        <v>-2250</v>
      </c>
      <c r="BX318" s="2">
        <f>IF('Batt IN'!$H$50="No",-(BC318*'Batt IN'!$E$50),-(BC318+BE318)*'Batt IN'!$E$50)</f>
        <v>0</v>
      </c>
      <c r="BY318" s="2">
        <f>IF(C318='Batt IN'!$H$43*12,-'Batt IN'!$E$43,0)</f>
        <v>0</v>
      </c>
      <c r="BZ318" s="38"/>
      <c r="CA318" s="10">
        <f t="shared" si="89"/>
        <v>13636.505764497717</v>
      </c>
      <c r="CB318" s="2">
        <f t="shared" si="72"/>
        <v>-3017.6541468417254</v>
      </c>
      <c r="CC318" s="45">
        <f t="shared" si="90"/>
        <v>10618.851617655992</v>
      </c>
      <c r="CD318" s="43"/>
      <c r="CE318" s="2">
        <f t="shared" si="91"/>
        <v>0</v>
      </c>
      <c r="CF318" s="2">
        <f t="shared" si="74"/>
        <v>-3017.6541468417254</v>
      </c>
      <c r="CG318" s="2"/>
      <c r="CH318" s="2">
        <f t="shared" si="92"/>
        <v>-3017.6541468417254</v>
      </c>
      <c r="CI318" s="45">
        <f>-CH318*'Batt IN'!$E$7</f>
        <v>633.70737083676227</v>
      </c>
      <c r="CJ318" s="48"/>
      <c r="CK318" s="45">
        <f>IF('Batt IN'!$F$4="PV Only",0,IF(C318&gt;'Batt IN'!$H$43*12,0,CC318+CI318))</f>
        <v>0</v>
      </c>
      <c r="CM318" s="10">
        <f t="shared" si="93"/>
        <v>0</v>
      </c>
      <c r="CN318" s="2">
        <f>CK318/(1+('Batt IN'!$G$8))^(C318)</f>
        <v>0</v>
      </c>
      <c r="CO318" s="2" t="e">
        <f>IF(C318&lt;='Batt IN'!$O$30*12,CN318+CO317,NA())</f>
        <v>#N/A</v>
      </c>
      <c r="CQ318" s="2">
        <f>CK318/((1+('Batt IN'!$E$8/12))^BattCalcs!C318)</f>
        <v>0</v>
      </c>
      <c r="CS318" s="10">
        <f t="shared" si="77"/>
        <v>-3017.6541468417254</v>
      </c>
      <c r="CT318" s="10">
        <f t="shared" si="78"/>
        <v>0</v>
      </c>
      <c r="CU318" s="10">
        <f t="shared" si="79"/>
        <v>-3017.6541468417254</v>
      </c>
      <c r="CV318" s="10">
        <f t="shared" si="80"/>
        <v>-3017.6541468417254</v>
      </c>
      <c r="CW318" s="2">
        <f t="shared" si="81"/>
        <v>0</v>
      </c>
      <c r="CX318" s="2">
        <f>-(SUM(CV318:CW318)*'PV IN'!$E$8)</f>
        <v>633.70737083676227</v>
      </c>
      <c r="CY318" s="2">
        <f t="shared" si="82"/>
        <v>-2383.9467760049629</v>
      </c>
      <c r="CZ318" s="2">
        <f>IF(C318&lt;='Batt IN'!$H$43*12,CY318/(1+('PV IN'!$G$9))^(C318),0)</f>
        <v>0</v>
      </c>
      <c r="DA318" s="33">
        <f>IF(C318&lt;='Batt IN'!$H$43*12,AE318,0)</f>
        <v>0</v>
      </c>
    </row>
    <row r="319" spans="1:105" x14ac:dyDescent="0.25">
      <c r="A319" t="str">
        <f>IF(C319&lt;='Batt IN'!$H$43*12,C319,"")</f>
        <v/>
      </c>
      <c r="C319">
        <v>315</v>
      </c>
      <c r="D319" s="21">
        <v>745</v>
      </c>
      <c r="E319" s="1">
        <f>1-'Batt IN'!$E$31</f>
        <v>2.0000000000000018E-2</v>
      </c>
      <c r="F319" s="12">
        <f>('Batt IN'!$E$33*365)/8760</f>
        <v>0</v>
      </c>
      <c r="G319" s="22">
        <f>'Batt IN'!$E$32/8760</f>
        <v>5.7077625570776253E-3</v>
      </c>
      <c r="H319" s="22">
        <f>'Batt IN'!$E$13/8760</f>
        <v>5.5936073059360729E-3</v>
      </c>
      <c r="I319" s="23">
        <f>IF(C319&lt;='Batt IN'!$G$14*12,'Batt IN'!$E$15/8760*'Batt IN'!$G$15,0)</f>
        <v>0</v>
      </c>
      <c r="J319" s="12">
        <f>Z319/'Batt IN'!$E$27/730</f>
        <v>2.4999999999999996E-3</v>
      </c>
      <c r="K319" s="23">
        <f>AA319/'Batt IN'!$E$27/730</f>
        <v>1.6027397260273972E-3</v>
      </c>
      <c r="L319" s="23">
        <f>AB319/'Batt IN'!$E$27/730</f>
        <v>2.0547945205479451E-4</v>
      </c>
      <c r="M319" s="23">
        <f>AC319/'Batt IN'!$E$27/730</f>
        <v>4.7945205479452057E-3</v>
      </c>
      <c r="N319" s="23">
        <f>AD319/'Batt IN'!$E$27/730</f>
        <v>3.4246575342465752E-3</v>
      </c>
      <c r="O319" s="12">
        <f t="shared" si="85"/>
        <v>4.3828767123287697E-2</v>
      </c>
      <c r="P319" s="21">
        <f t="shared" si="86"/>
        <v>712.34756849315067</v>
      </c>
      <c r="Q319" s="2">
        <f>IF('Batt IN'!$E$27*'Batt IN'!$E$24&lt;='Batt IN'!$E$28,(('Batt IN'!$E$23*'Batt IN'!$E$27*'Batt IN'!$E$24)/1000)*P319,(('Batt IN'!$E$23*'Batt IN'!$E$28*'Batt IN'!$E$24)/1000)*P319)</f>
        <v>11397.561095890411</v>
      </c>
      <c r="R319" s="2"/>
      <c r="S319" s="77">
        <f>IF(C319&lt;='Batt IN'!$G$14*12,'Batt IN'!$E$15/12,0)</f>
        <v>0</v>
      </c>
      <c r="T319" s="77"/>
      <c r="U319" s="80">
        <f>'Batt IN'!$E$28*('Batt IN'!$G$24/24)*730*(1-O319)</f>
        <v>81433.916666666657</v>
      </c>
      <c r="V319" s="78">
        <f>U319*'Batt IN'!$F$30</f>
        <v>16286.783333333333</v>
      </c>
      <c r="W319" s="78">
        <f>'Batt IN'!$E$28*'Batt IN'!$G$32*('Batt IN'!$E$32/12)*(1+'Batt IN'!$F$30)</f>
        <v>1750.0000000000002</v>
      </c>
      <c r="X319" s="78">
        <f>'Batt IN'!$E$28*'Batt IN'!$G$13*('Batt IN'!$E$13/12)*(1+'Batt IN'!$F$30)</f>
        <v>3184.9999999999995</v>
      </c>
      <c r="Y319" s="33">
        <f>S319*'Batt IN'!$G$15*'Batt IN'!$E$28*(1+'Batt IN'!$F$30)</f>
        <v>0</v>
      </c>
      <c r="Z319" s="33">
        <f>'Batt IN'!$G$16*365/12*(1+'Batt IN'!$F$30)</f>
        <v>1824.9999999999998</v>
      </c>
      <c r="AA319" s="33">
        <f>'Batt IN'!$G$17*'Batt IN'!$E$18*'Batt IN'!$G$18/12*(1+'Batt IN'!$F$30)</f>
        <v>1170</v>
      </c>
      <c r="AB319" s="33">
        <f>'Batt IN'!$G$19*'Batt IN'!$E$20*'Batt IN'!$G$20/12*(1+'Batt IN'!$F$30)</f>
        <v>150</v>
      </c>
      <c r="AC319" s="33">
        <f>'Batt IN'!$G$21*(1+'Batt IN'!$F$30)/12</f>
        <v>3500</v>
      </c>
      <c r="AD319" s="33">
        <f>'Batt IN'!$G$22*(1+'Batt IN'!$F$30)/12</f>
        <v>2500</v>
      </c>
      <c r="AE319" s="33">
        <f t="shared" si="87"/>
        <v>30366.783333333333</v>
      </c>
      <c r="AF319" s="33">
        <f>IF('PV IN'!$F$4="Battery Only",0,AE319*'Batt IN'!$E$29)</f>
        <v>25811.765833333331</v>
      </c>
      <c r="AG319" s="33">
        <f>PVCalcs!L319</f>
        <v>25811.765833333331</v>
      </c>
      <c r="AH319" s="33">
        <f t="shared" si="88"/>
        <v>4555.0175000000017</v>
      </c>
      <c r="AI319" s="33"/>
      <c r="AJ319" s="2">
        <f>IF(AND('Batt IN'!$D$53="Yes",$AL$1&gt;=1),IF($C319='Batt IN'!$H$54*12,-'Batt IN'!$F$54,0),0)</f>
        <v>0</v>
      </c>
      <c r="AK319" s="2">
        <f>IF(AND('Batt IN'!$D$53="Yes",$AL$1&gt;=2),IF($C319='Batt IN'!$H$55*12,-'Batt IN'!$F$55,0),0)</f>
        <v>0</v>
      </c>
      <c r="AL319" s="2">
        <f>IF(AND('Batt IN'!$D$53="Yes",$AL$1&gt;=3),IF($C319='Batt IN'!$H$56*12,-'Batt IN'!$F$56,0),0)</f>
        <v>0</v>
      </c>
      <c r="AM319" s="2">
        <f>IF(AND('Batt IN'!$D$53="Yes",$AL$1&gt;=4),IF($C319='Batt IN'!$H$57*12,-'Batt IN'!$F$57,0),0)</f>
        <v>0</v>
      </c>
      <c r="AN319" s="2">
        <f>IF(AND('Batt IN'!$D$53="Yes",$AL$1&gt;=5),IF($C319='Batt IN'!$H$58*12,-'Batt IN'!$F$58,0),0)</f>
        <v>0</v>
      </c>
      <c r="AO319" s="10">
        <f>IF(AND('Batt IN'!$D$44="YES",$C319&lt;='Batt IN'!$E$44*12),-'Batt IN'!$E$28*'Batt IN'!$E$42/12,0)</f>
        <v>0</v>
      </c>
      <c r="AP319" s="10">
        <f>IF(AND('Batt IN'!$D$46="YES",$C319&lt;='Batt IN'!$E$46*12),-'Batt IN'!$E$28*'Batt IN'!$E$45/12,0)</f>
        <v>0</v>
      </c>
      <c r="AR319" s="10">
        <f>BattLoan!M346</f>
        <v>0</v>
      </c>
      <c r="AS319" s="10">
        <f>'Batt IN'!$G$16*365/12*'Batt IN'!$E$16</f>
        <v>76.041666666666671</v>
      </c>
      <c r="AT319" s="10">
        <f>IF(AND('Batt IN'!$E$18&gt;0,'Batt IN'!$G$18&gt;0),'Batt IN'!$E$17*'Batt IN'!$G$17,0)</f>
        <v>119.44619999999999</v>
      </c>
      <c r="AU319" s="10">
        <f>IF(AND('Batt IN'!$E$20&gt;0,'Batt IN'!$G$20&gt;0),'Batt IN'!$E$19*'Batt IN'!$G$19,0)</f>
        <v>231</v>
      </c>
      <c r="AV319" s="10"/>
      <c r="AW319" s="10"/>
      <c r="AX319" s="10">
        <f>IF('Batt IN'!$E$11="Non-Taxable",Q319,0)</f>
        <v>11397.561095890411</v>
      </c>
      <c r="AY319" s="10">
        <f>IF('Batt IN'!$E$11="Non-Taxable",'Batt IN'!$E$28/1000*'Batt IN'!$G$13*('Batt IN'!$E$13/12)*'Batt IN'!$E$12,0)</f>
        <v>244.42220833333334</v>
      </c>
      <c r="AZ319" s="10">
        <f>IF('Batt IN'!$E$11="Non-Taxable",$S319*'Batt IN'!$G$15*'Batt IN'!$E$28*'Batt IN'!$E$14/1000,0)</f>
        <v>0</v>
      </c>
      <c r="BA319" s="10">
        <f>IF('Batt IN'!$E$11="Non-Taxable",'Batt IN'!$E$21*'Batt IN'!$G$21/12,0)</f>
        <v>437.5</v>
      </c>
      <c r="BB319" s="10">
        <f>IF('Batt IN'!$E$11="Non-Taxable",'Batt IN'!$E$22*'Batt IN'!$G$22/12,0)</f>
        <v>1145.8333333333335</v>
      </c>
      <c r="BC319" s="10">
        <f>IF('Batt IN'!$E$11="Taxable",Q319,0)</f>
        <v>0</v>
      </c>
      <c r="BD319" s="10">
        <f>IF('Batt IN'!$E$11="Taxable",'Batt IN'!$E$28/1000*'Batt IN'!$G$13*('Batt IN'!$E$13/12)*'Batt IN'!$E$12,0)</f>
        <v>0</v>
      </c>
      <c r="BE319" s="10">
        <f>IF('Batt IN'!$E$11="Taxable",$S319*'Batt IN'!$G$15*'Batt IN'!$E$28*'Batt IN'!$E$14/1000,0)</f>
        <v>0</v>
      </c>
      <c r="BF319" s="10">
        <f>IF('Batt IN'!$E$11="Taxable",'Batt IN'!$E$21*'Batt IN'!$G$21/12,0)</f>
        <v>0</v>
      </c>
      <c r="BG319" s="10">
        <f>IF('Batt IN'!$E$11="Taxable",'Batt IN'!$E$22*'Batt IN'!$G$22/12,0)</f>
        <v>0</v>
      </c>
      <c r="BK319" s="10">
        <f>IF('Batt IN'!$N$18="Yes",-BattLoan!H347,-BattLoan!L347)</f>
        <v>0</v>
      </c>
      <c r="BL319" s="10">
        <f>IF('Batt IN'!$N$18="Yes",-BattLoan!F347,0)</f>
        <v>0</v>
      </c>
      <c r="BM319" s="10">
        <f>IF(AND('Batt IN'!$D$44="YES",$C319&lt;='Batt IN'!$E$44*12),0,-'Batt IN'!$E$28*'Batt IN'!$E$42/12)</f>
        <v>-83.333333333333329</v>
      </c>
      <c r="BN319" s="10">
        <f>IF(AND('Batt IN'!$D$46="YES",$C319&lt;='Batt IN'!$E$46*12),0,-'Batt IN'!$E$28*'Batt IN'!$E$45/12)</f>
        <v>-166.66666666666666</v>
      </c>
      <c r="BO319" s="2">
        <f>IF(AND('Batt IN'!$D$41="YES",BattCalcs!C319=ROUNDUP('Batt IN'!$H$41*12,)),-'Batt IN'!$E$41*'Batt IN'!$E$28,0)</f>
        <v>0</v>
      </c>
      <c r="BP319" s="2">
        <f>IF(AND('Batt IN'!$D$53="Yes",$AL$1&gt;=1),0,IF($C319='Batt IN'!$H$54*12,-'Batt IN'!$F$54,0))</f>
        <v>0</v>
      </c>
      <c r="BQ319" s="2">
        <f>IF(AND('Batt IN'!$D$53="Yes",$AL$1&gt;=2),0,IF($C319='Batt IN'!$H$55*12,-'Batt IN'!$F$55,0))</f>
        <v>0</v>
      </c>
      <c r="BR319" s="2">
        <f>IF(AND('Batt IN'!$D$53="Yes",$AL$1&gt;=3),0,IF($C319='Batt IN'!$H$56*12,-'Batt IN'!$F$56,0))</f>
        <v>0</v>
      </c>
      <c r="BS319" s="2">
        <f>IF(AND('Batt IN'!$D$53="Yes",$AL$1&gt;=4),0,IF($C319='Batt IN'!$H$57*12,-'Batt IN'!$F$57,0))</f>
        <v>0</v>
      </c>
      <c r="BT319" s="2">
        <f>IF(AND('Batt IN'!$D$53="Yes",$AL$1&gt;=5),0,IF($C319='Batt IN'!$H$58*12,-'Batt IN'!$F$58,0))</f>
        <v>0</v>
      </c>
      <c r="BU319" s="2">
        <f>-AH319*PVCalcs!F319</f>
        <v>-367.65414684172509</v>
      </c>
      <c r="BV319" s="2">
        <f>-'Batt IN'!$E$47</f>
        <v>-150</v>
      </c>
      <c r="BW319" s="2">
        <f>-'Batt IN'!$E$49</f>
        <v>-2250</v>
      </c>
      <c r="BX319" s="2">
        <f>IF('Batt IN'!$H$50="No",-(BC319*'Batt IN'!$E$50),-(BC319+BE319)*'Batt IN'!$E$50)</f>
        <v>0</v>
      </c>
      <c r="BY319" s="2">
        <f>IF(C319='Batt IN'!$H$43*12,-'Batt IN'!$E$43,0)</f>
        <v>0</v>
      </c>
      <c r="BZ319" s="38"/>
      <c r="CA319" s="10">
        <f t="shared" si="89"/>
        <v>13651.804504223745</v>
      </c>
      <c r="CB319" s="2">
        <f t="shared" si="72"/>
        <v>-3017.6541468417254</v>
      </c>
      <c r="CC319" s="45">
        <f t="shared" si="90"/>
        <v>10634.150357382019</v>
      </c>
      <c r="CD319" s="43"/>
      <c r="CE319" s="2">
        <f t="shared" si="91"/>
        <v>0</v>
      </c>
      <c r="CF319" s="2">
        <f t="shared" si="74"/>
        <v>-3017.6541468417254</v>
      </c>
      <c r="CG319" s="2"/>
      <c r="CH319" s="2">
        <f t="shared" si="92"/>
        <v>-3017.6541468417254</v>
      </c>
      <c r="CI319" s="45">
        <f>-CH319*'Batt IN'!$E$7</f>
        <v>633.70737083676227</v>
      </c>
      <c r="CJ319" s="48"/>
      <c r="CK319" s="45">
        <f>IF('Batt IN'!$F$4="PV Only",0,IF(C319&gt;'Batt IN'!$H$43*12,0,CC319+CI319))</f>
        <v>0</v>
      </c>
      <c r="CM319" s="10">
        <f t="shared" si="93"/>
        <v>0</v>
      </c>
      <c r="CN319" s="2">
        <f>CK319/(1+('Batt IN'!$G$8))^(C319)</f>
        <v>0</v>
      </c>
      <c r="CO319" s="2" t="e">
        <f>IF(C319&lt;='Batt IN'!$O$30*12,CN319+CO318,NA())</f>
        <v>#N/A</v>
      </c>
      <c r="CQ319" s="2">
        <f>CK319/((1+('Batt IN'!$E$8/12))^BattCalcs!C319)</f>
        <v>0</v>
      </c>
      <c r="CS319" s="10">
        <f t="shared" si="77"/>
        <v>-3017.6541468417254</v>
      </c>
      <c r="CT319" s="10">
        <f t="shared" si="78"/>
        <v>0</v>
      </c>
      <c r="CU319" s="10">
        <f t="shared" si="79"/>
        <v>-3017.6541468417254</v>
      </c>
      <c r="CV319" s="10">
        <f t="shared" si="80"/>
        <v>-3017.6541468417254</v>
      </c>
      <c r="CW319" s="2">
        <f t="shared" si="81"/>
        <v>0</v>
      </c>
      <c r="CX319" s="2">
        <f>-(SUM(CV319:CW319)*'PV IN'!$E$8)</f>
        <v>633.70737083676227</v>
      </c>
      <c r="CY319" s="2">
        <f t="shared" si="82"/>
        <v>-2383.9467760049629</v>
      </c>
      <c r="CZ319" s="2">
        <f>IF(C319&lt;='Batt IN'!$H$43*12,CY319/(1+('PV IN'!$G$9))^(C319),0)</f>
        <v>0</v>
      </c>
      <c r="DA319" s="33">
        <f>IF(C319&lt;='Batt IN'!$H$43*12,AE319,0)</f>
        <v>0</v>
      </c>
    </row>
    <row r="320" spans="1:105" x14ac:dyDescent="0.25">
      <c r="A320" t="str">
        <f>IF(C320&lt;='Batt IN'!$H$43*12,C320,"")</f>
        <v/>
      </c>
      <c r="C320">
        <v>316</v>
      </c>
      <c r="D320" s="21">
        <v>746</v>
      </c>
      <c r="E320" s="1">
        <f>1-'Batt IN'!$E$31</f>
        <v>2.0000000000000018E-2</v>
      </c>
      <c r="F320" s="12">
        <f>('Batt IN'!$E$33*365)/8760</f>
        <v>0</v>
      </c>
      <c r="G320" s="22">
        <f>'Batt IN'!$E$32/8760</f>
        <v>5.7077625570776253E-3</v>
      </c>
      <c r="H320" s="22">
        <f>'Batt IN'!$E$13/8760</f>
        <v>5.5936073059360729E-3</v>
      </c>
      <c r="I320" s="23">
        <f>IF(C320&lt;='Batt IN'!$G$14*12,'Batt IN'!$E$15/8760*'Batt IN'!$G$15,0)</f>
        <v>0</v>
      </c>
      <c r="J320" s="12">
        <f>Z320/'Batt IN'!$E$27/730</f>
        <v>2.4999999999999996E-3</v>
      </c>
      <c r="K320" s="23">
        <f>AA320/'Batt IN'!$E$27/730</f>
        <v>1.6027397260273972E-3</v>
      </c>
      <c r="L320" s="23">
        <f>AB320/'Batt IN'!$E$27/730</f>
        <v>2.0547945205479451E-4</v>
      </c>
      <c r="M320" s="23">
        <f>AC320/'Batt IN'!$E$27/730</f>
        <v>4.7945205479452057E-3</v>
      </c>
      <c r="N320" s="23">
        <f>AD320/'Batt IN'!$E$27/730</f>
        <v>3.4246575342465752E-3</v>
      </c>
      <c r="O320" s="12">
        <f t="shared" si="85"/>
        <v>4.3828767123287697E-2</v>
      </c>
      <c r="P320" s="21">
        <f t="shared" si="86"/>
        <v>713.3037397260274</v>
      </c>
      <c r="Q320" s="2">
        <f>IF('Batt IN'!$E$27*'Batt IN'!$E$24&lt;='Batt IN'!$E$28,(('Batt IN'!$E$23*'Batt IN'!$E$27*'Batt IN'!$E$24)/1000)*P320,(('Batt IN'!$E$23*'Batt IN'!$E$28*'Batt IN'!$E$24)/1000)*P320)</f>
        <v>11412.859835616438</v>
      </c>
      <c r="R320" s="2"/>
      <c r="S320" s="77">
        <f>IF(C320&lt;='Batt IN'!$G$14*12,'Batt IN'!$E$15/12,0)</f>
        <v>0</v>
      </c>
      <c r="T320" s="77"/>
      <c r="U320" s="80">
        <f>'Batt IN'!$E$28*('Batt IN'!$G$24/24)*730*(1-O320)</f>
        <v>81433.916666666657</v>
      </c>
      <c r="V320" s="78">
        <f>U320*'Batt IN'!$F$30</f>
        <v>16286.783333333333</v>
      </c>
      <c r="W320" s="78">
        <f>'Batt IN'!$E$28*'Batt IN'!$G$32*('Batt IN'!$E$32/12)*(1+'Batt IN'!$F$30)</f>
        <v>1750.0000000000002</v>
      </c>
      <c r="X320" s="78">
        <f>'Batt IN'!$E$28*'Batt IN'!$G$13*('Batt IN'!$E$13/12)*(1+'Batt IN'!$F$30)</f>
        <v>3184.9999999999995</v>
      </c>
      <c r="Y320" s="33">
        <f>S320*'Batt IN'!$G$15*'Batt IN'!$E$28*(1+'Batt IN'!$F$30)</f>
        <v>0</v>
      </c>
      <c r="Z320" s="33">
        <f>'Batt IN'!$G$16*365/12*(1+'Batt IN'!$F$30)</f>
        <v>1824.9999999999998</v>
      </c>
      <c r="AA320" s="33">
        <f>'Batt IN'!$G$17*'Batt IN'!$E$18*'Batt IN'!$G$18/12*(1+'Batt IN'!$F$30)</f>
        <v>1170</v>
      </c>
      <c r="AB320" s="33">
        <f>'Batt IN'!$G$19*'Batt IN'!$E$20*'Batt IN'!$G$20/12*(1+'Batt IN'!$F$30)</f>
        <v>150</v>
      </c>
      <c r="AC320" s="33">
        <f>'Batt IN'!$G$21*(1+'Batt IN'!$F$30)/12</f>
        <v>3500</v>
      </c>
      <c r="AD320" s="33">
        <f>'Batt IN'!$G$22*(1+'Batt IN'!$F$30)/12</f>
        <v>2500</v>
      </c>
      <c r="AE320" s="33">
        <f t="shared" si="87"/>
        <v>30366.783333333333</v>
      </c>
      <c r="AF320" s="33">
        <f>IF('PV IN'!$F$4="Battery Only",0,AE320*'Batt IN'!$E$29)</f>
        <v>25811.765833333331</v>
      </c>
      <c r="AG320" s="33">
        <f>PVCalcs!L320</f>
        <v>25811.765833333331</v>
      </c>
      <c r="AH320" s="33">
        <f t="shared" si="88"/>
        <v>4555.0175000000017</v>
      </c>
      <c r="AI320" s="33"/>
      <c r="AJ320" s="2">
        <f>IF(AND('Batt IN'!$D$53="Yes",$AL$1&gt;=1),IF($C320='Batt IN'!$H$54*12,-'Batt IN'!$F$54,0),0)</f>
        <v>0</v>
      </c>
      <c r="AK320" s="2">
        <f>IF(AND('Batt IN'!$D$53="Yes",$AL$1&gt;=2),IF($C320='Batt IN'!$H$55*12,-'Batt IN'!$F$55,0),0)</f>
        <v>0</v>
      </c>
      <c r="AL320" s="2">
        <f>IF(AND('Batt IN'!$D$53="Yes",$AL$1&gt;=3),IF($C320='Batt IN'!$H$56*12,-'Batt IN'!$F$56,0),0)</f>
        <v>0</v>
      </c>
      <c r="AM320" s="2">
        <f>IF(AND('Batt IN'!$D$53="Yes",$AL$1&gt;=4),IF($C320='Batt IN'!$H$57*12,-'Batt IN'!$F$57,0),0)</f>
        <v>0</v>
      </c>
      <c r="AN320" s="2">
        <f>IF(AND('Batt IN'!$D$53="Yes",$AL$1&gt;=5),IF($C320='Batt IN'!$H$58*12,-'Batt IN'!$F$58,0),0)</f>
        <v>0</v>
      </c>
      <c r="AO320" s="10">
        <f>IF(AND('Batt IN'!$D$44="YES",$C320&lt;='Batt IN'!$E$44*12),-'Batt IN'!$E$28*'Batt IN'!$E$42/12,0)</f>
        <v>0</v>
      </c>
      <c r="AP320" s="10">
        <f>IF(AND('Batt IN'!$D$46="YES",$C320&lt;='Batt IN'!$E$46*12),-'Batt IN'!$E$28*'Batt IN'!$E$45/12,0)</f>
        <v>0</v>
      </c>
      <c r="AR320" s="10">
        <f>BattLoan!M347</f>
        <v>0</v>
      </c>
      <c r="AS320" s="10">
        <f>'Batt IN'!$G$16*365/12*'Batt IN'!$E$16</f>
        <v>76.041666666666671</v>
      </c>
      <c r="AT320" s="10">
        <f>IF(AND('Batt IN'!$E$18&gt;0,'Batt IN'!$G$18&gt;0),'Batt IN'!$E$17*'Batt IN'!$G$17,0)</f>
        <v>119.44619999999999</v>
      </c>
      <c r="AU320" s="10">
        <f>IF(AND('Batt IN'!$E$20&gt;0,'Batt IN'!$G$20&gt;0),'Batt IN'!$E$19*'Batt IN'!$G$19,0)</f>
        <v>231</v>
      </c>
      <c r="AV320" s="10"/>
      <c r="AW320" s="10"/>
      <c r="AX320" s="10">
        <f>IF('Batt IN'!$E$11="Non-Taxable",Q320,0)</f>
        <v>11412.859835616438</v>
      </c>
      <c r="AY320" s="10">
        <f>IF('Batt IN'!$E$11="Non-Taxable",'Batt IN'!$E$28/1000*'Batt IN'!$G$13*('Batt IN'!$E$13/12)*'Batt IN'!$E$12,0)</f>
        <v>244.42220833333334</v>
      </c>
      <c r="AZ320" s="10">
        <f>IF('Batt IN'!$E$11="Non-Taxable",$S320*'Batt IN'!$G$15*'Batt IN'!$E$28*'Batt IN'!$E$14/1000,0)</f>
        <v>0</v>
      </c>
      <c r="BA320" s="10">
        <f>IF('Batt IN'!$E$11="Non-Taxable",'Batt IN'!$E$21*'Batt IN'!$G$21/12,0)</f>
        <v>437.5</v>
      </c>
      <c r="BB320" s="10">
        <f>IF('Batt IN'!$E$11="Non-Taxable",'Batt IN'!$E$22*'Batt IN'!$G$22/12,0)</f>
        <v>1145.8333333333335</v>
      </c>
      <c r="BC320" s="10">
        <f>IF('Batt IN'!$E$11="Taxable",Q320,0)</f>
        <v>0</v>
      </c>
      <c r="BD320" s="10">
        <f>IF('Batt IN'!$E$11="Taxable",'Batt IN'!$E$28/1000*'Batt IN'!$G$13*('Batt IN'!$E$13/12)*'Batt IN'!$E$12,0)</f>
        <v>0</v>
      </c>
      <c r="BE320" s="10">
        <f>IF('Batt IN'!$E$11="Taxable",$S320*'Batt IN'!$G$15*'Batt IN'!$E$28*'Batt IN'!$E$14/1000,0)</f>
        <v>0</v>
      </c>
      <c r="BF320" s="10">
        <f>IF('Batt IN'!$E$11="Taxable",'Batt IN'!$E$21*'Batt IN'!$G$21/12,0)</f>
        <v>0</v>
      </c>
      <c r="BG320" s="10">
        <f>IF('Batt IN'!$E$11="Taxable",'Batt IN'!$E$22*'Batt IN'!$G$22/12,0)</f>
        <v>0</v>
      </c>
      <c r="BK320" s="10">
        <f>IF('Batt IN'!$N$18="Yes",-BattLoan!H348,-BattLoan!L348)</f>
        <v>0</v>
      </c>
      <c r="BL320" s="10">
        <f>IF('Batt IN'!$N$18="Yes",-BattLoan!F348,0)</f>
        <v>0</v>
      </c>
      <c r="BM320" s="10">
        <f>IF(AND('Batt IN'!$D$44="YES",$C320&lt;='Batt IN'!$E$44*12),0,-'Batt IN'!$E$28*'Batt IN'!$E$42/12)</f>
        <v>-83.333333333333329</v>
      </c>
      <c r="BN320" s="10">
        <f>IF(AND('Batt IN'!$D$46="YES",$C320&lt;='Batt IN'!$E$46*12),0,-'Batt IN'!$E$28*'Batt IN'!$E$45/12)</f>
        <v>-166.66666666666666</v>
      </c>
      <c r="BO320" s="2">
        <f>IF(AND('Batt IN'!$D$41="YES",BattCalcs!C320=ROUNDUP('Batt IN'!$H$41*12,)),-'Batt IN'!$E$41*'Batt IN'!$E$28,0)</f>
        <v>0</v>
      </c>
      <c r="BP320" s="2">
        <f>IF(AND('Batt IN'!$D$53="Yes",$AL$1&gt;=1),0,IF($C320='Batt IN'!$H$54*12,-'Batt IN'!$F$54,0))</f>
        <v>0</v>
      </c>
      <c r="BQ320" s="2">
        <f>IF(AND('Batt IN'!$D$53="Yes",$AL$1&gt;=2),0,IF($C320='Batt IN'!$H$55*12,-'Batt IN'!$F$55,0))</f>
        <v>0</v>
      </c>
      <c r="BR320" s="2">
        <f>IF(AND('Batt IN'!$D$53="Yes",$AL$1&gt;=3),0,IF($C320='Batt IN'!$H$56*12,-'Batt IN'!$F$56,0))</f>
        <v>0</v>
      </c>
      <c r="BS320" s="2">
        <f>IF(AND('Batt IN'!$D$53="Yes",$AL$1&gt;=4),0,IF($C320='Batt IN'!$H$57*12,-'Batt IN'!$F$57,0))</f>
        <v>0</v>
      </c>
      <c r="BT320" s="2">
        <f>IF(AND('Batt IN'!$D$53="Yes",$AL$1&gt;=5),0,IF($C320='Batt IN'!$H$58*12,-'Batt IN'!$F$58,0))</f>
        <v>0</v>
      </c>
      <c r="BU320" s="2">
        <f>-AH320*PVCalcs!F320</f>
        <v>-367.65414684172509</v>
      </c>
      <c r="BV320" s="2">
        <f>-'Batt IN'!$E$47</f>
        <v>-150</v>
      </c>
      <c r="BW320" s="2">
        <f>-'Batt IN'!$E$49</f>
        <v>-2250</v>
      </c>
      <c r="BX320" s="2">
        <f>IF('Batt IN'!$H$50="No",-(BC320*'Batt IN'!$E$50),-(BC320+BE320)*'Batt IN'!$E$50)</f>
        <v>0</v>
      </c>
      <c r="BY320" s="2">
        <f>IF(C320='Batt IN'!$H$43*12,-'Batt IN'!$E$43,0)</f>
        <v>0</v>
      </c>
      <c r="BZ320" s="38"/>
      <c r="CA320" s="10">
        <f t="shared" si="89"/>
        <v>13667.103243949772</v>
      </c>
      <c r="CB320" s="2">
        <f t="shared" si="72"/>
        <v>-3017.6541468417254</v>
      </c>
      <c r="CC320" s="45">
        <f t="shared" si="90"/>
        <v>10649.449097108047</v>
      </c>
      <c r="CD320" s="43"/>
      <c r="CE320" s="2">
        <f t="shared" si="91"/>
        <v>0</v>
      </c>
      <c r="CF320" s="2">
        <f t="shared" si="74"/>
        <v>-3017.6541468417254</v>
      </c>
      <c r="CG320" s="2"/>
      <c r="CH320" s="2">
        <f t="shared" si="92"/>
        <v>-3017.6541468417254</v>
      </c>
      <c r="CI320" s="45">
        <f>-CH320*'Batt IN'!$E$7</f>
        <v>633.70737083676227</v>
      </c>
      <c r="CJ320" s="48"/>
      <c r="CK320" s="45">
        <f>IF('Batt IN'!$F$4="PV Only",0,IF(C320&gt;'Batt IN'!$H$43*12,0,CC320+CI320))</f>
        <v>0</v>
      </c>
      <c r="CM320" s="10">
        <f t="shared" si="93"/>
        <v>0</v>
      </c>
      <c r="CN320" s="2">
        <f>CK320/(1+('Batt IN'!$G$8))^(C320)</f>
        <v>0</v>
      </c>
      <c r="CO320" s="2" t="e">
        <f>IF(C320&lt;='Batt IN'!$O$30*12,CN320+CO319,NA())</f>
        <v>#N/A</v>
      </c>
      <c r="CQ320" s="2">
        <f>CK320/((1+('Batt IN'!$E$8/12))^BattCalcs!C320)</f>
        <v>0</v>
      </c>
      <c r="CS320" s="10">
        <f t="shared" si="77"/>
        <v>-3017.6541468417254</v>
      </c>
      <c r="CT320" s="10">
        <f t="shared" si="78"/>
        <v>0</v>
      </c>
      <c r="CU320" s="10">
        <f t="shared" si="79"/>
        <v>-3017.6541468417254</v>
      </c>
      <c r="CV320" s="10">
        <f t="shared" si="80"/>
        <v>-3017.6541468417254</v>
      </c>
      <c r="CW320" s="2">
        <f t="shared" si="81"/>
        <v>0</v>
      </c>
      <c r="CX320" s="2">
        <f>-(SUM(CV320:CW320)*'PV IN'!$E$8)</f>
        <v>633.70737083676227</v>
      </c>
      <c r="CY320" s="2">
        <f t="shared" si="82"/>
        <v>-2383.9467760049629</v>
      </c>
      <c r="CZ320" s="2">
        <f>IF(C320&lt;='Batt IN'!$H$43*12,CY320/(1+('PV IN'!$G$9))^(C320),0)</f>
        <v>0</v>
      </c>
      <c r="DA320" s="33">
        <f>IF(C320&lt;='Batt IN'!$H$43*12,AE320,0)</f>
        <v>0</v>
      </c>
    </row>
    <row r="321" spans="1:105" x14ac:dyDescent="0.25">
      <c r="A321" t="str">
        <f>IF(C321&lt;='Batt IN'!$H$43*12,C321,"")</f>
        <v/>
      </c>
      <c r="C321">
        <v>317</v>
      </c>
      <c r="D321" s="21">
        <v>747</v>
      </c>
      <c r="E321" s="1">
        <f>1-'Batt IN'!$E$31</f>
        <v>2.0000000000000018E-2</v>
      </c>
      <c r="F321" s="12">
        <f>('Batt IN'!$E$33*365)/8760</f>
        <v>0</v>
      </c>
      <c r="G321" s="22">
        <f>'Batt IN'!$E$32/8760</f>
        <v>5.7077625570776253E-3</v>
      </c>
      <c r="H321" s="22">
        <f>'Batt IN'!$E$13/8760</f>
        <v>5.5936073059360729E-3</v>
      </c>
      <c r="I321" s="23">
        <f>IF(C321&lt;='Batt IN'!$G$14*12,'Batt IN'!$E$15/8760*'Batt IN'!$G$15,0)</f>
        <v>0</v>
      </c>
      <c r="J321" s="12">
        <f>Z321/'Batt IN'!$E$27/730</f>
        <v>2.4999999999999996E-3</v>
      </c>
      <c r="K321" s="23">
        <f>AA321/'Batt IN'!$E$27/730</f>
        <v>1.6027397260273972E-3</v>
      </c>
      <c r="L321" s="23">
        <f>AB321/'Batt IN'!$E$27/730</f>
        <v>2.0547945205479451E-4</v>
      </c>
      <c r="M321" s="23">
        <f>AC321/'Batt IN'!$E$27/730</f>
        <v>4.7945205479452057E-3</v>
      </c>
      <c r="N321" s="23">
        <f>AD321/'Batt IN'!$E$27/730</f>
        <v>3.4246575342465752E-3</v>
      </c>
      <c r="O321" s="12">
        <f t="shared" si="85"/>
        <v>4.3828767123287697E-2</v>
      </c>
      <c r="P321" s="21">
        <f t="shared" si="86"/>
        <v>714.25991095890413</v>
      </c>
      <c r="Q321" s="2">
        <f>IF('Batt IN'!$E$27*'Batt IN'!$E$24&lt;='Batt IN'!$E$28,(('Batt IN'!$E$23*'Batt IN'!$E$27*'Batt IN'!$E$24)/1000)*P321,(('Batt IN'!$E$23*'Batt IN'!$E$28*'Batt IN'!$E$24)/1000)*P321)</f>
        <v>11428.158575342466</v>
      </c>
      <c r="R321" s="2"/>
      <c r="S321" s="77">
        <f>IF(C321&lt;='Batt IN'!$G$14*12,'Batt IN'!$E$15/12,0)</f>
        <v>0</v>
      </c>
      <c r="T321" s="77"/>
      <c r="U321" s="80">
        <f>'Batt IN'!$E$28*('Batt IN'!$G$24/24)*730*(1-O321)</f>
        <v>81433.916666666657</v>
      </c>
      <c r="V321" s="78">
        <f>U321*'Batt IN'!$F$30</f>
        <v>16286.783333333333</v>
      </c>
      <c r="W321" s="78">
        <f>'Batt IN'!$E$28*'Batt IN'!$G$32*('Batt IN'!$E$32/12)*(1+'Batt IN'!$F$30)</f>
        <v>1750.0000000000002</v>
      </c>
      <c r="X321" s="78">
        <f>'Batt IN'!$E$28*'Batt IN'!$G$13*('Batt IN'!$E$13/12)*(1+'Batt IN'!$F$30)</f>
        <v>3184.9999999999995</v>
      </c>
      <c r="Y321" s="33">
        <f>S321*'Batt IN'!$G$15*'Batt IN'!$E$28*(1+'Batt IN'!$F$30)</f>
        <v>0</v>
      </c>
      <c r="Z321" s="33">
        <f>'Batt IN'!$G$16*365/12*(1+'Batt IN'!$F$30)</f>
        <v>1824.9999999999998</v>
      </c>
      <c r="AA321" s="33">
        <f>'Batt IN'!$G$17*'Batt IN'!$E$18*'Batt IN'!$G$18/12*(1+'Batt IN'!$F$30)</f>
        <v>1170</v>
      </c>
      <c r="AB321" s="33">
        <f>'Batt IN'!$G$19*'Batt IN'!$E$20*'Batt IN'!$G$20/12*(1+'Batt IN'!$F$30)</f>
        <v>150</v>
      </c>
      <c r="AC321" s="33">
        <f>'Batt IN'!$G$21*(1+'Batt IN'!$F$30)/12</f>
        <v>3500</v>
      </c>
      <c r="AD321" s="33">
        <f>'Batt IN'!$G$22*(1+'Batt IN'!$F$30)/12</f>
        <v>2500</v>
      </c>
      <c r="AE321" s="33">
        <f t="shared" si="87"/>
        <v>30366.783333333333</v>
      </c>
      <c r="AF321" s="33">
        <f>IF('PV IN'!$F$4="Battery Only",0,AE321*'Batt IN'!$E$29)</f>
        <v>25811.765833333331</v>
      </c>
      <c r="AG321" s="33">
        <f>PVCalcs!L321</f>
        <v>25811.765833333331</v>
      </c>
      <c r="AH321" s="33">
        <f t="shared" si="88"/>
        <v>4555.0175000000017</v>
      </c>
      <c r="AI321" s="33"/>
      <c r="AJ321" s="2">
        <f>IF(AND('Batt IN'!$D$53="Yes",$AL$1&gt;=1),IF($C321='Batt IN'!$H$54*12,-'Batt IN'!$F$54,0),0)</f>
        <v>0</v>
      </c>
      <c r="AK321" s="2">
        <f>IF(AND('Batt IN'!$D$53="Yes",$AL$1&gt;=2),IF($C321='Batt IN'!$H$55*12,-'Batt IN'!$F$55,0),0)</f>
        <v>0</v>
      </c>
      <c r="AL321" s="2">
        <f>IF(AND('Batt IN'!$D$53="Yes",$AL$1&gt;=3),IF($C321='Batt IN'!$H$56*12,-'Batt IN'!$F$56,0),0)</f>
        <v>0</v>
      </c>
      <c r="AM321" s="2">
        <f>IF(AND('Batt IN'!$D$53="Yes",$AL$1&gt;=4),IF($C321='Batt IN'!$H$57*12,-'Batt IN'!$F$57,0),0)</f>
        <v>0</v>
      </c>
      <c r="AN321" s="2">
        <f>IF(AND('Batt IN'!$D$53="Yes",$AL$1&gt;=5),IF($C321='Batt IN'!$H$58*12,-'Batt IN'!$F$58,0),0)</f>
        <v>0</v>
      </c>
      <c r="AO321" s="10">
        <f>IF(AND('Batt IN'!$D$44="YES",$C321&lt;='Batt IN'!$E$44*12),-'Batt IN'!$E$28*'Batt IN'!$E$42/12,0)</f>
        <v>0</v>
      </c>
      <c r="AP321" s="10">
        <f>IF(AND('Batt IN'!$D$46="YES",$C321&lt;='Batt IN'!$E$46*12),-'Batt IN'!$E$28*'Batt IN'!$E$45/12,0)</f>
        <v>0</v>
      </c>
      <c r="AR321" s="10">
        <f>BattLoan!M348</f>
        <v>0</v>
      </c>
      <c r="AS321" s="10">
        <f>'Batt IN'!$G$16*365/12*'Batt IN'!$E$16</f>
        <v>76.041666666666671</v>
      </c>
      <c r="AT321" s="10">
        <f>IF(AND('Batt IN'!$E$18&gt;0,'Batt IN'!$G$18&gt;0),'Batt IN'!$E$17*'Batt IN'!$G$17,0)</f>
        <v>119.44619999999999</v>
      </c>
      <c r="AU321" s="10">
        <f>IF(AND('Batt IN'!$E$20&gt;0,'Batt IN'!$G$20&gt;0),'Batt IN'!$E$19*'Batt IN'!$G$19,0)</f>
        <v>231</v>
      </c>
      <c r="AV321" s="10"/>
      <c r="AW321" s="10"/>
      <c r="AX321" s="10">
        <f>IF('Batt IN'!$E$11="Non-Taxable",Q321,0)</f>
        <v>11428.158575342466</v>
      </c>
      <c r="AY321" s="10">
        <f>IF('Batt IN'!$E$11="Non-Taxable",'Batt IN'!$E$28/1000*'Batt IN'!$G$13*('Batt IN'!$E$13/12)*'Batt IN'!$E$12,0)</f>
        <v>244.42220833333334</v>
      </c>
      <c r="AZ321" s="10">
        <f>IF('Batt IN'!$E$11="Non-Taxable",$S321*'Batt IN'!$G$15*'Batt IN'!$E$28*'Batt IN'!$E$14/1000,0)</f>
        <v>0</v>
      </c>
      <c r="BA321" s="10">
        <f>IF('Batt IN'!$E$11="Non-Taxable",'Batt IN'!$E$21*'Batt IN'!$G$21/12,0)</f>
        <v>437.5</v>
      </c>
      <c r="BB321" s="10">
        <f>IF('Batt IN'!$E$11="Non-Taxable",'Batt IN'!$E$22*'Batt IN'!$G$22/12,0)</f>
        <v>1145.8333333333335</v>
      </c>
      <c r="BC321" s="10">
        <f>IF('Batt IN'!$E$11="Taxable",Q321,0)</f>
        <v>0</v>
      </c>
      <c r="BD321" s="10">
        <f>IF('Batt IN'!$E$11="Taxable",'Batt IN'!$E$28/1000*'Batt IN'!$G$13*('Batt IN'!$E$13/12)*'Batt IN'!$E$12,0)</f>
        <v>0</v>
      </c>
      <c r="BE321" s="10">
        <f>IF('Batt IN'!$E$11="Taxable",$S321*'Batt IN'!$G$15*'Batt IN'!$E$28*'Batt IN'!$E$14/1000,0)</f>
        <v>0</v>
      </c>
      <c r="BF321" s="10">
        <f>IF('Batt IN'!$E$11="Taxable",'Batt IN'!$E$21*'Batt IN'!$G$21/12,0)</f>
        <v>0</v>
      </c>
      <c r="BG321" s="10">
        <f>IF('Batt IN'!$E$11="Taxable",'Batt IN'!$E$22*'Batt IN'!$G$22/12,0)</f>
        <v>0</v>
      </c>
      <c r="BK321" s="10">
        <f>IF('Batt IN'!$N$18="Yes",-BattLoan!H349,-BattLoan!L349)</f>
        <v>0</v>
      </c>
      <c r="BL321" s="10">
        <f>IF('Batt IN'!$N$18="Yes",-BattLoan!F349,0)</f>
        <v>0</v>
      </c>
      <c r="BM321" s="10">
        <f>IF(AND('Batt IN'!$D$44="YES",$C321&lt;='Batt IN'!$E$44*12),0,-'Batt IN'!$E$28*'Batt IN'!$E$42/12)</f>
        <v>-83.333333333333329</v>
      </c>
      <c r="BN321" s="10">
        <f>IF(AND('Batt IN'!$D$46="YES",$C321&lt;='Batt IN'!$E$46*12),0,-'Batt IN'!$E$28*'Batt IN'!$E$45/12)</f>
        <v>-166.66666666666666</v>
      </c>
      <c r="BO321" s="2">
        <f>IF(AND('Batt IN'!$D$41="YES",BattCalcs!C321=ROUNDUP('Batt IN'!$H$41*12,)),-'Batt IN'!$E$41*'Batt IN'!$E$28,0)</f>
        <v>0</v>
      </c>
      <c r="BP321" s="2">
        <f>IF(AND('Batt IN'!$D$53="Yes",$AL$1&gt;=1),0,IF($C321='Batt IN'!$H$54*12,-'Batt IN'!$F$54,0))</f>
        <v>0</v>
      </c>
      <c r="BQ321" s="2">
        <f>IF(AND('Batt IN'!$D$53="Yes",$AL$1&gt;=2),0,IF($C321='Batt IN'!$H$55*12,-'Batt IN'!$F$55,0))</f>
        <v>0</v>
      </c>
      <c r="BR321" s="2">
        <f>IF(AND('Batt IN'!$D$53="Yes",$AL$1&gt;=3),0,IF($C321='Batt IN'!$H$56*12,-'Batt IN'!$F$56,0))</f>
        <v>0</v>
      </c>
      <c r="BS321" s="2">
        <f>IF(AND('Batt IN'!$D$53="Yes",$AL$1&gt;=4),0,IF($C321='Batt IN'!$H$57*12,-'Batt IN'!$F$57,0))</f>
        <v>0</v>
      </c>
      <c r="BT321" s="2">
        <f>IF(AND('Batt IN'!$D$53="Yes",$AL$1&gt;=5),0,IF($C321='Batt IN'!$H$58*12,-'Batt IN'!$F$58,0))</f>
        <v>0</v>
      </c>
      <c r="BU321" s="2">
        <f>-AH321*PVCalcs!F321</f>
        <v>-367.65414684172509</v>
      </c>
      <c r="BV321" s="2">
        <f>-'Batt IN'!$E$47</f>
        <v>-150</v>
      </c>
      <c r="BW321" s="2">
        <f>-'Batt IN'!$E$49</f>
        <v>-2250</v>
      </c>
      <c r="BX321" s="2">
        <f>IF('Batt IN'!$H$50="No",-(BC321*'Batt IN'!$E$50),-(BC321+BE321)*'Batt IN'!$E$50)</f>
        <v>0</v>
      </c>
      <c r="BY321" s="2">
        <f>IF(C321='Batt IN'!$H$43*12,-'Batt IN'!$E$43,0)</f>
        <v>0</v>
      </c>
      <c r="BZ321" s="38"/>
      <c r="CA321" s="10">
        <f t="shared" si="89"/>
        <v>13682.4019836758</v>
      </c>
      <c r="CB321" s="2">
        <f t="shared" si="72"/>
        <v>-3017.6541468417254</v>
      </c>
      <c r="CC321" s="45">
        <f t="shared" si="90"/>
        <v>10664.747836834074</v>
      </c>
      <c r="CD321" s="43"/>
      <c r="CE321" s="2">
        <f t="shared" si="91"/>
        <v>0</v>
      </c>
      <c r="CF321" s="2">
        <f t="shared" si="74"/>
        <v>-3017.6541468417254</v>
      </c>
      <c r="CG321" s="2"/>
      <c r="CH321" s="2">
        <f t="shared" si="92"/>
        <v>-3017.6541468417254</v>
      </c>
      <c r="CI321" s="45">
        <f>-CH321*'Batt IN'!$E$7</f>
        <v>633.70737083676227</v>
      </c>
      <c r="CJ321" s="48"/>
      <c r="CK321" s="45">
        <f>IF('Batt IN'!$F$4="PV Only",0,IF(C321&gt;'Batt IN'!$H$43*12,0,CC321+CI321))</f>
        <v>0</v>
      </c>
      <c r="CM321" s="10">
        <f t="shared" si="93"/>
        <v>0</v>
      </c>
      <c r="CN321" s="2">
        <f>CK321/(1+('Batt IN'!$G$8))^(C321)</f>
        <v>0</v>
      </c>
      <c r="CO321" s="2" t="e">
        <f>IF(C321&lt;='Batt IN'!$O$30*12,CN321+CO320,NA())</f>
        <v>#N/A</v>
      </c>
      <c r="CQ321" s="2">
        <f>CK321/((1+('Batt IN'!$E$8/12))^BattCalcs!C321)</f>
        <v>0</v>
      </c>
      <c r="CS321" s="10">
        <f t="shared" si="77"/>
        <v>-3017.6541468417254</v>
      </c>
      <c r="CT321" s="10">
        <f t="shared" si="78"/>
        <v>0</v>
      </c>
      <c r="CU321" s="10">
        <f t="shared" si="79"/>
        <v>-3017.6541468417254</v>
      </c>
      <c r="CV321" s="10">
        <f t="shared" si="80"/>
        <v>-3017.6541468417254</v>
      </c>
      <c r="CW321" s="2">
        <f t="shared" si="81"/>
        <v>0</v>
      </c>
      <c r="CX321" s="2">
        <f>-(SUM(CV321:CW321)*'PV IN'!$E$8)</f>
        <v>633.70737083676227</v>
      </c>
      <c r="CY321" s="2">
        <f t="shared" si="82"/>
        <v>-2383.9467760049629</v>
      </c>
      <c r="CZ321" s="2">
        <f>IF(C321&lt;='Batt IN'!$H$43*12,CY321/(1+('PV IN'!$G$9))^(C321),0)</f>
        <v>0</v>
      </c>
      <c r="DA321" s="33">
        <f>IF(C321&lt;='Batt IN'!$H$43*12,AE321,0)</f>
        <v>0</v>
      </c>
    </row>
    <row r="322" spans="1:105" x14ac:dyDescent="0.25">
      <c r="A322" t="str">
        <f>IF(C322&lt;='Batt IN'!$H$43*12,C322,"")</f>
        <v/>
      </c>
      <c r="C322">
        <v>318</v>
      </c>
      <c r="D322" s="21">
        <v>748</v>
      </c>
      <c r="E322" s="1">
        <f>1-'Batt IN'!$E$31</f>
        <v>2.0000000000000018E-2</v>
      </c>
      <c r="F322" s="12">
        <f>('Batt IN'!$E$33*365)/8760</f>
        <v>0</v>
      </c>
      <c r="G322" s="22">
        <f>'Batt IN'!$E$32/8760</f>
        <v>5.7077625570776253E-3</v>
      </c>
      <c r="H322" s="22">
        <f>'Batt IN'!$E$13/8760</f>
        <v>5.5936073059360729E-3</v>
      </c>
      <c r="I322" s="23">
        <f>IF(C322&lt;='Batt IN'!$G$14*12,'Batt IN'!$E$15/8760*'Batt IN'!$G$15,0)</f>
        <v>0</v>
      </c>
      <c r="J322" s="12">
        <f>Z322/'Batt IN'!$E$27/730</f>
        <v>2.4999999999999996E-3</v>
      </c>
      <c r="K322" s="23">
        <f>AA322/'Batt IN'!$E$27/730</f>
        <v>1.6027397260273972E-3</v>
      </c>
      <c r="L322" s="23">
        <f>AB322/'Batt IN'!$E$27/730</f>
        <v>2.0547945205479451E-4</v>
      </c>
      <c r="M322" s="23">
        <f>AC322/'Batt IN'!$E$27/730</f>
        <v>4.7945205479452057E-3</v>
      </c>
      <c r="N322" s="23">
        <f>AD322/'Batt IN'!$E$27/730</f>
        <v>3.4246575342465752E-3</v>
      </c>
      <c r="O322" s="12">
        <f t="shared" si="85"/>
        <v>4.3828767123287697E-2</v>
      </c>
      <c r="P322" s="21">
        <f t="shared" si="86"/>
        <v>715.21608219178086</v>
      </c>
      <c r="Q322" s="2">
        <f>IF('Batt IN'!$E$27*'Batt IN'!$E$24&lt;='Batt IN'!$E$28,(('Batt IN'!$E$23*'Batt IN'!$E$27*'Batt IN'!$E$24)/1000)*P322,(('Batt IN'!$E$23*'Batt IN'!$E$28*'Batt IN'!$E$24)/1000)*P322)</f>
        <v>11443.457315068494</v>
      </c>
      <c r="R322" s="2"/>
      <c r="S322" s="77">
        <f>IF(C322&lt;='Batt IN'!$G$14*12,'Batt IN'!$E$15/12,0)</f>
        <v>0</v>
      </c>
      <c r="T322" s="77"/>
      <c r="U322" s="80">
        <f>'Batt IN'!$E$28*('Batt IN'!$G$24/24)*730*(1-O322)</f>
        <v>81433.916666666657</v>
      </c>
      <c r="V322" s="78">
        <f>U322*'Batt IN'!$F$30</f>
        <v>16286.783333333333</v>
      </c>
      <c r="W322" s="78">
        <f>'Batt IN'!$E$28*'Batt IN'!$G$32*('Batt IN'!$E$32/12)*(1+'Batt IN'!$F$30)</f>
        <v>1750.0000000000002</v>
      </c>
      <c r="X322" s="78">
        <f>'Batt IN'!$E$28*'Batt IN'!$G$13*('Batt IN'!$E$13/12)*(1+'Batt IN'!$F$30)</f>
        <v>3184.9999999999995</v>
      </c>
      <c r="Y322" s="33">
        <f>S322*'Batt IN'!$G$15*'Batt IN'!$E$28*(1+'Batt IN'!$F$30)</f>
        <v>0</v>
      </c>
      <c r="Z322" s="33">
        <f>'Batt IN'!$G$16*365/12*(1+'Batt IN'!$F$30)</f>
        <v>1824.9999999999998</v>
      </c>
      <c r="AA322" s="33">
        <f>'Batt IN'!$G$17*'Batt IN'!$E$18*'Batt IN'!$G$18/12*(1+'Batt IN'!$F$30)</f>
        <v>1170</v>
      </c>
      <c r="AB322" s="33">
        <f>'Batt IN'!$G$19*'Batt IN'!$E$20*'Batt IN'!$G$20/12*(1+'Batt IN'!$F$30)</f>
        <v>150</v>
      </c>
      <c r="AC322" s="33">
        <f>'Batt IN'!$G$21*(1+'Batt IN'!$F$30)/12</f>
        <v>3500</v>
      </c>
      <c r="AD322" s="33">
        <f>'Batt IN'!$G$22*(1+'Batt IN'!$F$30)/12</f>
        <v>2500</v>
      </c>
      <c r="AE322" s="33">
        <f t="shared" si="87"/>
        <v>30366.783333333333</v>
      </c>
      <c r="AF322" s="33">
        <f>IF('PV IN'!$F$4="Battery Only",0,AE322*'Batt IN'!$E$29)</f>
        <v>25811.765833333331</v>
      </c>
      <c r="AG322" s="33">
        <f>PVCalcs!L322</f>
        <v>25811.765833333331</v>
      </c>
      <c r="AH322" s="33">
        <f t="shared" si="88"/>
        <v>4555.0175000000017</v>
      </c>
      <c r="AI322" s="33"/>
      <c r="AJ322" s="2">
        <f>IF(AND('Batt IN'!$D$53="Yes",$AL$1&gt;=1),IF($C322='Batt IN'!$H$54*12,-'Batt IN'!$F$54,0),0)</f>
        <v>0</v>
      </c>
      <c r="AK322" s="2">
        <f>IF(AND('Batt IN'!$D$53="Yes",$AL$1&gt;=2),IF($C322='Batt IN'!$H$55*12,-'Batt IN'!$F$55,0),0)</f>
        <v>0</v>
      </c>
      <c r="AL322" s="2">
        <f>IF(AND('Batt IN'!$D$53="Yes",$AL$1&gt;=3),IF($C322='Batt IN'!$H$56*12,-'Batt IN'!$F$56,0),0)</f>
        <v>0</v>
      </c>
      <c r="AM322" s="2">
        <f>IF(AND('Batt IN'!$D$53="Yes",$AL$1&gt;=4),IF($C322='Batt IN'!$H$57*12,-'Batt IN'!$F$57,0),0)</f>
        <v>0</v>
      </c>
      <c r="AN322" s="2">
        <f>IF(AND('Batt IN'!$D$53="Yes",$AL$1&gt;=5),IF($C322='Batt IN'!$H$58*12,-'Batt IN'!$F$58,0),0)</f>
        <v>0</v>
      </c>
      <c r="AO322" s="10">
        <f>IF(AND('Batt IN'!$D$44="YES",$C322&lt;='Batt IN'!$E$44*12),-'Batt IN'!$E$28*'Batt IN'!$E$42/12,0)</f>
        <v>0</v>
      </c>
      <c r="AP322" s="10">
        <f>IF(AND('Batt IN'!$D$46="YES",$C322&lt;='Batt IN'!$E$46*12),-'Batt IN'!$E$28*'Batt IN'!$E$45/12,0)</f>
        <v>0</v>
      </c>
      <c r="AR322" s="10">
        <f>BattLoan!M349</f>
        <v>0</v>
      </c>
      <c r="AS322" s="10">
        <f>'Batt IN'!$G$16*365/12*'Batt IN'!$E$16</f>
        <v>76.041666666666671</v>
      </c>
      <c r="AT322" s="10">
        <f>IF(AND('Batt IN'!$E$18&gt;0,'Batt IN'!$G$18&gt;0),'Batt IN'!$E$17*'Batt IN'!$G$17,0)</f>
        <v>119.44619999999999</v>
      </c>
      <c r="AU322" s="10">
        <f>IF(AND('Batt IN'!$E$20&gt;0,'Batt IN'!$G$20&gt;0),'Batt IN'!$E$19*'Batt IN'!$G$19,0)</f>
        <v>231</v>
      </c>
      <c r="AV322" s="10"/>
      <c r="AW322" s="10"/>
      <c r="AX322" s="10">
        <f>IF('Batt IN'!$E$11="Non-Taxable",Q322,0)</f>
        <v>11443.457315068494</v>
      </c>
      <c r="AY322" s="10">
        <f>IF('Batt IN'!$E$11="Non-Taxable",'Batt IN'!$E$28/1000*'Batt IN'!$G$13*('Batt IN'!$E$13/12)*'Batt IN'!$E$12,0)</f>
        <v>244.42220833333334</v>
      </c>
      <c r="AZ322" s="10">
        <f>IF('Batt IN'!$E$11="Non-Taxable",$S322*'Batt IN'!$G$15*'Batt IN'!$E$28*'Batt IN'!$E$14/1000,0)</f>
        <v>0</v>
      </c>
      <c r="BA322" s="10">
        <f>IF('Batt IN'!$E$11="Non-Taxable",'Batt IN'!$E$21*'Batt IN'!$G$21/12,0)</f>
        <v>437.5</v>
      </c>
      <c r="BB322" s="10">
        <f>IF('Batt IN'!$E$11="Non-Taxable",'Batt IN'!$E$22*'Batt IN'!$G$22/12,0)</f>
        <v>1145.8333333333335</v>
      </c>
      <c r="BC322" s="10">
        <f>IF('Batt IN'!$E$11="Taxable",Q322,0)</f>
        <v>0</v>
      </c>
      <c r="BD322" s="10">
        <f>IF('Batt IN'!$E$11="Taxable",'Batt IN'!$E$28/1000*'Batt IN'!$G$13*('Batt IN'!$E$13/12)*'Batt IN'!$E$12,0)</f>
        <v>0</v>
      </c>
      <c r="BE322" s="10">
        <f>IF('Batt IN'!$E$11="Taxable",$S322*'Batt IN'!$G$15*'Batt IN'!$E$28*'Batt IN'!$E$14/1000,0)</f>
        <v>0</v>
      </c>
      <c r="BF322" s="10">
        <f>IF('Batt IN'!$E$11="Taxable",'Batt IN'!$E$21*'Batt IN'!$G$21/12,0)</f>
        <v>0</v>
      </c>
      <c r="BG322" s="10">
        <f>IF('Batt IN'!$E$11="Taxable",'Batt IN'!$E$22*'Batt IN'!$G$22/12,0)</f>
        <v>0</v>
      </c>
      <c r="BK322" s="10">
        <f>IF('Batt IN'!$N$18="Yes",-BattLoan!H350,-BattLoan!L350)</f>
        <v>0</v>
      </c>
      <c r="BL322" s="10">
        <f>IF('Batt IN'!$N$18="Yes",-BattLoan!F350,0)</f>
        <v>0</v>
      </c>
      <c r="BM322" s="10">
        <f>IF(AND('Batt IN'!$D$44="YES",$C322&lt;='Batt IN'!$E$44*12),0,-'Batt IN'!$E$28*'Batt IN'!$E$42/12)</f>
        <v>-83.333333333333329</v>
      </c>
      <c r="BN322" s="10">
        <f>IF(AND('Batt IN'!$D$46="YES",$C322&lt;='Batt IN'!$E$46*12),0,-'Batt IN'!$E$28*'Batt IN'!$E$45/12)</f>
        <v>-166.66666666666666</v>
      </c>
      <c r="BO322" s="2">
        <f>IF(AND('Batt IN'!$D$41="YES",BattCalcs!C322=ROUNDUP('Batt IN'!$H$41*12,)),-'Batt IN'!$E$41*'Batt IN'!$E$28,0)</f>
        <v>0</v>
      </c>
      <c r="BP322" s="2">
        <f>IF(AND('Batt IN'!$D$53="Yes",$AL$1&gt;=1),0,IF($C322='Batt IN'!$H$54*12,-'Batt IN'!$F$54,0))</f>
        <v>0</v>
      </c>
      <c r="BQ322" s="2">
        <f>IF(AND('Batt IN'!$D$53="Yes",$AL$1&gt;=2),0,IF($C322='Batt IN'!$H$55*12,-'Batt IN'!$F$55,0))</f>
        <v>0</v>
      </c>
      <c r="BR322" s="2">
        <f>IF(AND('Batt IN'!$D$53="Yes",$AL$1&gt;=3),0,IF($C322='Batt IN'!$H$56*12,-'Batt IN'!$F$56,0))</f>
        <v>0</v>
      </c>
      <c r="BS322" s="2">
        <f>IF(AND('Batt IN'!$D$53="Yes",$AL$1&gt;=4),0,IF($C322='Batt IN'!$H$57*12,-'Batt IN'!$F$57,0))</f>
        <v>0</v>
      </c>
      <c r="BT322" s="2">
        <f>IF(AND('Batt IN'!$D$53="Yes",$AL$1&gt;=5),0,IF($C322='Batt IN'!$H$58*12,-'Batt IN'!$F$58,0))</f>
        <v>0</v>
      </c>
      <c r="BU322" s="2">
        <f>-AH322*PVCalcs!F322</f>
        <v>-367.65414684172509</v>
      </c>
      <c r="BV322" s="2">
        <f>-'Batt IN'!$E$47</f>
        <v>-150</v>
      </c>
      <c r="BW322" s="2">
        <f>-'Batt IN'!$E$49</f>
        <v>-2250</v>
      </c>
      <c r="BX322" s="2">
        <f>IF('Batt IN'!$H$50="No",-(BC322*'Batt IN'!$E$50),-(BC322+BE322)*'Batt IN'!$E$50)</f>
        <v>0</v>
      </c>
      <c r="BY322" s="2">
        <f>IF(C322='Batt IN'!$H$43*12,-'Batt IN'!$E$43,0)</f>
        <v>0</v>
      </c>
      <c r="BZ322" s="38"/>
      <c r="CA322" s="10">
        <f t="shared" si="89"/>
        <v>13697.700723401827</v>
      </c>
      <c r="CB322" s="2">
        <f t="shared" si="72"/>
        <v>-3017.6541468417254</v>
      </c>
      <c r="CC322" s="45">
        <f t="shared" si="90"/>
        <v>10680.046576560102</v>
      </c>
      <c r="CD322" s="43"/>
      <c r="CE322" s="2">
        <f t="shared" si="91"/>
        <v>0</v>
      </c>
      <c r="CF322" s="2">
        <f t="shared" si="74"/>
        <v>-3017.6541468417254</v>
      </c>
      <c r="CG322" s="2"/>
      <c r="CH322" s="2">
        <f t="shared" si="92"/>
        <v>-3017.6541468417254</v>
      </c>
      <c r="CI322" s="45">
        <f>-CH322*'Batt IN'!$E$7</f>
        <v>633.70737083676227</v>
      </c>
      <c r="CJ322" s="48"/>
      <c r="CK322" s="45">
        <f>IF('Batt IN'!$F$4="PV Only",0,IF(C322&gt;'Batt IN'!$H$43*12,0,CC322+CI322))</f>
        <v>0</v>
      </c>
      <c r="CM322" s="10">
        <f t="shared" si="93"/>
        <v>0</v>
      </c>
      <c r="CN322" s="2">
        <f>CK322/(1+('Batt IN'!$G$8))^(C322)</f>
        <v>0</v>
      </c>
      <c r="CO322" s="2" t="e">
        <f>IF(C322&lt;='Batt IN'!$O$30*12,CN322+CO321,NA())</f>
        <v>#N/A</v>
      </c>
      <c r="CQ322" s="2">
        <f>CK322/((1+('Batt IN'!$E$8/12))^BattCalcs!C322)</f>
        <v>0</v>
      </c>
      <c r="CS322" s="10">
        <f t="shared" si="77"/>
        <v>-3017.6541468417254</v>
      </c>
      <c r="CT322" s="10">
        <f t="shared" si="78"/>
        <v>0</v>
      </c>
      <c r="CU322" s="10">
        <f t="shared" si="79"/>
        <v>-3017.6541468417254</v>
      </c>
      <c r="CV322" s="10">
        <f t="shared" si="80"/>
        <v>-3017.6541468417254</v>
      </c>
      <c r="CW322" s="2">
        <f t="shared" si="81"/>
        <v>0</v>
      </c>
      <c r="CX322" s="2">
        <f>-(SUM(CV322:CW322)*'PV IN'!$E$8)</f>
        <v>633.70737083676227</v>
      </c>
      <c r="CY322" s="2">
        <f t="shared" si="82"/>
        <v>-2383.9467760049629</v>
      </c>
      <c r="CZ322" s="2">
        <f>IF(C322&lt;='Batt IN'!$H$43*12,CY322/(1+('PV IN'!$G$9))^(C322),0)</f>
        <v>0</v>
      </c>
      <c r="DA322" s="33">
        <f>IF(C322&lt;='Batt IN'!$H$43*12,AE322,0)</f>
        <v>0</v>
      </c>
    </row>
    <row r="323" spans="1:105" x14ac:dyDescent="0.25">
      <c r="A323" t="str">
        <f>IF(C323&lt;='Batt IN'!$H$43*12,C323,"")</f>
        <v/>
      </c>
      <c r="C323">
        <v>319</v>
      </c>
      <c r="D323" s="21">
        <v>749</v>
      </c>
      <c r="E323" s="1">
        <f>1-'Batt IN'!$E$31</f>
        <v>2.0000000000000018E-2</v>
      </c>
      <c r="F323" s="12">
        <f>('Batt IN'!$E$33*365)/8760</f>
        <v>0</v>
      </c>
      <c r="G323" s="22">
        <f>'Batt IN'!$E$32/8760</f>
        <v>5.7077625570776253E-3</v>
      </c>
      <c r="H323" s="22">
        <f>'Batt IN'!$E$13/8760</f>
        <v>5.5936073059360729E-3</v>
      </c>
      <c r="I323" s="23">
        <f>IF(C323&lt;='Batt IN'!$G$14*12,'Batt IN'!$E$15/8760*'Batt IN'!$G$15,0)</f>
        <v>0</v>
      </c>
      <c r="J323" s="12">
        <f>Z323/'Batt IN'!$E$27/730</f>
        <v>2.4999999999999996E-3</v>
      </c>
      <c r="K323" s="23">
        <f>AA323/'Batt IN'!$E$27/730</f>
        <v>1.6027397260273972E-3</v>
      </c>
      <c r="L323" s="23">
        <f>AB323/'Batt IN'!$E$27/730</f>
        <v>2.0547945205479451E-4</v>
      </c>
      <c r="M323" s="23">
        <f>AC323/'Batt IN'!$E$27/730</f>
        <v>4.7945205479452057E-3</v>
      </c>
      <c r="N323" s="23">
        <f>AD323/'Batt IN'!$E$27/730</f>
        <v>3.4246575342465752E-3</v>
      </c>
      <c r="O323" s="12">
        <f t="shared" si="85"/>
        <v>4.3828767123287697E-2</v>
      </c>
      <c r="P323" s="21">
        <f t="shared" si="86"/>
        <v>716.17225342465758</v>
      </c>
      <c r="Q323" s="2">
        <f>IF('Batt IN'!$E$27*'Batt IN'!$E$24&lt;='Batt IN'!$E$28,(('Batt IN'!$E$23*'Batt IN'!$E$27*'Batt IN'!$E$24)/1000)*P323,(('Batt IN'!$E$23*'Batt IN'!$E$28*'Batt IN'!$E$24)/1000)*P323)</f>
        <v>11458.756054794521</v>
      </c>
      <c r="R323" s="2"/>
      <c r="S323" s="77">
        <f>IF(C323&lt;='Batt IN'!$G$14*12,'Batt IN'!$E$15/12,0)</f>
        <v>0</v>
      </c>
      <c r="T323" s="77"/>
      <c r="U323" s="80">
        <f>'Batt IN'!$E$28*('Batt IN'!$G$24/24)*730*(1-O323)</f>
        <v>81433.916666666657</v>
      </c>
      <c r="V323" s="78">
        <f>U323*'Batt IN'!$F$30</f>
        <v>16286.783333333333</v>
      </c>
      <c r="W323" s="78">
        <f>'Batt IN'!$E$28*'Batt IN'!$G$32*('Batt IN'!$E$32/12)*(1+'Batt IN'!$F$30)</f>
        <v>1750.0000000000002</v>
      </c>
      <c r="X323" s="78">
        <f>'Batt IN'!$E$28*'Batt IN'!$G$13*('Batt IN'!$E$13/12)*(1+'Batt IN'!$F$30)</f>
        <v>3184.9999999999995</v>
      </c>
      <c r="Y323" s="33">
        <f>S323*'Batt IN'!$G$15*'Batt IN'!$E$28*(1+'Batt IN'!$F$30)</f>
        <v>0</v>
      </c>
      <c r="Z323" s="33">
        <f>'Batt IN'!$G$16*365/12*(1+'Batt IN'!$F$30)</f>
        <v>1824.9999999999998</v>
      </c>
      <c r="AA323" s="33">
        <f>'Batt IN'!$G$17*'Batt IN'!$E$18*'Batt IN'!$G$18/12*(1+'Batt IN'!$F$30)</f>
        <v>1170</v>
      </c>
      <c r="AB323" s="33">
        <f>'Batt IN'!$G$19*'Batt IN'!$E$20*'Batt IN'!$G$20/12*(1+'Batt IN'!$F$30)</f>
        <v>150</v>
      </c>
      <c r="AC323" s="33">
        <f>'Batt IN'!$G$21*(1+'Batt IN'!$F$30)/12</f>
        <v>3500</v>
      </c>
      <c r="AD323" s="33">
        <f>'Batt IN'!$G$22*(1+'Batt IN'!$F$30)/12</f>
        <v>2500</v>
      </c>
      <c r="AE323" s="33">
        <f t="shared" si="87"/>
        <v>30366.783333333333</v>
      </c>
      <c r="AF323" s="33">
        <f>IF('PV IN'!$F$4="Battery Only",0,AE323*'Batt IN'!$E$29)</f>
        <v>25811.765833333331</v>
      </c>
      <c r="AG323" s="33">
        <f>PVCalcs!L323</f>
        <v>25811.765833333331</v>
      </c>
      <c r="AH323" s="33">
        <f t="shared" si="88"/>
        <v>4555.0175000000017</v>
      </c>
      <c r="AI323" s="33"/>
      <c r="AJ323" s="2">
        <f>IF(AND('Batt IN'!$D$53="Yes",$AL$1&gt;=1),IF($C323='Batt IN'!$H$54*12,-'Batt IN'!$F$54,0),0)</f>
        <v>0</v>
      </c>
      <c r="AK323" s="2">
        <f>IF(AND('Batt IN'!$D$53="Yes",$AL$1&gt;=2),IF($C323='Batt IN'!$H$55*12,-'Batt IN'!$F$55,0),0)</f>
        <v>0</v>
      </c>
      <c r="AL323" s="2">
        <f>IF(AND('Batt IN'!$D$53="Yes",$AL$1&gt;=3),IF($C323='Batt IN'!$H$56*12,-'Batt IN'!$F$56,0),0)</f>
        <v>0</v>
      </c>
      <c r="AM323" s="2">
        <f>IF(AND('Batt IN'!$D$53="Yes",$AL$1&gt;=4),IF($C323='Batt IN'!$H$57*12,-'Batt IN'!$F$57,0),0)</f>
        <v>0</v>
      </c>
      <c r="AN323" s="2">
        <f>IF(AND('Batt IN'!$D$53="Yes",$AL$1&gt;=5),IF($C323='Batt IN'!$H$58*12,-'Batt IN'!$F$58,0),0)</f>
        <v>0</v>
      </c>
      <c r="AO323" s="10">
        <f>IF(AND('Batt IN'!$D$44="YES",$C323&lt;='Batt IN'!$E$44*12),-'Batt IN'!$E$28*'Batt IN'!$E$42/12,0)</f>
        <v>0</v>
      </c>
      <c r="AP323" s="10">
        <f>IF(AND('Batt IN'!$D$46="YES",$C323&lt;='Batt IN'!$E$46*12),-'Batt IN'!$E$28*'Batt IN'!$E$45/12,0)</f>
        <v>0</v>
      </c>
      <c r="AR323" s="10">
        <f>BattLoan!M350</f>
        <v>0</v>
      </c>
      <c r="AS323" s="10">
        <f>'Batt IN'!$G$16*365/12*'Batt IN'!$E$16</f>
        <v>76.041666666666671</v>
      </c>
      <c r="AT323" s="10">
        <f>IF(AND('Batt IN'!$E$18&gt;0,'Batt IN'!$G$18&gt;0),'Batt IN'!$E$17*'Batt IN'!$G$17,0)</f>
        <v>119.44619999999999</v>
      </c>
      <c r="AU323" s="10">
        <f>IF(AND('Batt IN'!$E$20&gt;0,'Batt IN'!$G$20&gt;0),'Batt IN'!$E$19*'Batt IN'!$G$19,0)</f>
        <v>231</v>
      </c>
      <c r="AV323" s="10"/>
      <c r="AW323" s="10"/>
      <c r="AX323" s="10">
        <f>IF('Batt IN'!$E$11="Non-Taxable",Q323,0)</f>
        <v>11458.756054794521</v>
      </c>
      <c r="AY323" s="10">
        <f>IF('Batt IN'!$E$11="Non-Taxable",'Batt IN'!$E$28/1000*'Batt IN'!$G$13*('Batt IN'!$E$13/12)*'Batt IN'!$E$12,0)</f>
        <v>244.42220833333334</v>
      </c>
      <c r="AZ323" s="10">
        <f>IF('Batt IN'!$E$11="Non-Taxable",$S323*'Batt IN'!$G$15*'Batt IN'!$E$28*'Batt IN'!$E$14/1000,0)</f>
        <v>0</v>
      </c>
      <c r="BA323" s="10">
        <f>IF('Batt IN'!$E$11="Non-Taxable",'Batt IN'!$E$21*'Batt IN'!$G$21/12,0)</f>
        <v>437.5</v>
      </c>
      <c r="BB323" s="10">
        <f>IF('Batt IN'!$E$11="Non-Taxable",'Batt IN'!$E$22*'Batt IN'!$G$22/12,0)</f>
        <v>1145.8333333333335</v>
      </c>
      <c r="BC323" s="10">
        <f>IF('Batt IN'!$E$11="Taxable",Q323,0)</f>
        <v>0</v>
      </c>
      <c r="BD323" s="10">
        <f>IF('Batt IN'!$E$11="Taxable",'Batt IN'!$E$28/1000*'Batt IN'!$G$13*('Batt IN'!$E$13/12)*'Batt IN'!$E$12,0)</f>
        <v>0</v>
      </c>
      <c r="BE323" s="10">
        <f>IF('Batt IN'!$E$11="Taxable",$S323*'Batt IN'!$G$15*'Batt IN'!$E$28*'Batt IN'!$E$14/1000,0)</f>
        <v>0</v>
      </c>
      <c r="BF323" s="10">
        <f>IF('Batt IN'!$E$11="Taxable",'Batt IN'!$E$21*'Batt IN'!$G$21/12,0)</f>
        <v>0</v>
      </c>
      <c r="BG323" s="10">
        <f>IF('Batt IN'!$E$11="Taxable",'Batt IN'!$E$22*'Batt IN'!$G$22/12,0)</f>
        <v>0</v>
      </c>
      <c r="BK323" s="10">
        <f>IF('Batt IN'!$N$18="Yes",-BattLoan!H351,-BattLoan!L351)</f>
        <v>0</v>
      </c>
      <c r="BL323" s="10">
        <f>IF('Batt IN'!$N$18="Yes",-BattLoan!F351,0)</f>
        <v>0</v>
      </c>
      <c r="BM323" s="10">
        <f>IF(AND('Batt IN'!$D$44="YES",$C323&lt;='Batt IN'!$E$44*12),0,-'Batt IN'!$E$28*'Batt IN'!$E$42/12)</f>
        <v>-83.333333333333329</v>
      </c>
      <c r="BN323" s="10">
        <f>IF(AND('Batt IN'!$D$46="YES",$C323&lt;='Batt IN'!$E$46*12),0,-'Batt IN'!$E$28*'Batt IN'!$E$45/12)</f>
        <v>-166.66666666666666</v>
      </c>
      <c r="BO323" s="2">
        <f>IF(AND('Batt IN'!$D$41="YES",BattCalcs!C323=ROUNDUP('Batt IN'!$H$41*12,)),-'Batt IN'!$E$41*'Batt IN'!$E$28,0)</f>
        <v>0</v>
      </c>
      <c r="BP323" s="2">
        <f>IF(AND('Batt IN'!$D$53="Yes",$AL$1&gt;=1),0,IF($C323='Batt IN'!$H$54*12,-'Batt IN'!$F$54,0))</f>
        <v>0</v>
      </c>
      <c r="BQ323" s="2">
        <f>IF(AND('Batt IN'!$D$53="Yes",$AL$1&gt;=2),0,IF($C323='Batt IN'!$H$55*12,-'Batt IN'!$F$55,0))</f>
        <v>0</v>
      </c>
      <c r="BR323" s="2">
        <f>IF(AND('Batt IN'!$D$53="Yes",$AL$1&gt;=3),0,IF($C323='Batt IN'!$H$56*12,-'Batt IN'!$F$56,0))</f>
        <v>0</v>
      </c>
      <c r="BS323" s="2">
        <f>IF(AND('Batt IN'!$D$53="Yes",$AL$1&gt;=4),0,IF($C323='Batt IN'!$H$57*12,-'Batt IN'!$F$57,0))</f>
        <v>0</v>
      </c>
      <c r="BT323" s="2">
        <f>IF(AND('Batt IN'!$D$53="Yes",$AL$1&gt;=5),0,IF($C323='Batt IN'!$H$58*12,-'Batt IN'!$F$58,0))</f>
        <v>0</v>
      </c>
      <c r="BU323" s="2">
        <f>-AH323*PVCalcs!F323</f>
        <v>-367.65414684172509</v>
      </c>
      <c r="BV323" s="2">
        <f>-'Batt IN'!$E$47</f>
        <v>-150</v>
      </c>
      <c r="BW323" s="2">
        <f>-'Batt IN'!$E$49</f>
        <v>-2250</v>
      </c>
      <c r="BX323" s="2">
        <f>IF('Batt IN'!$H$50="No",-(BC323*'Batt IN'!$E$50),-(BC323+BE323)*'Batt IN'!$E$50)</f>
        <v>0</v>
      </c>
      <c r="BY323" s="2">
        <f>IF(C323='Batt IN'!$H$43*12,-'Batt IN'!$E$43,0)</f>
        <v>0</v>
      </c>
      <c r="BZ323" s="38"/>
      <c r="CA323" s="10">
        <f t="shared" si="89"/>
        <v>13712.999463127855</v>
      </c>
      <c r="CB323" s="2">
        <f t="shared" si="72"/>
        <v>-3017.6541468417254</v>
      </c>
      <c r="CC323" s="45">
        <f t="shared" si="90"/>
        <v>10695.34531628613</v>
      </c>
      <c r="CD323" s="43"/>
      <c r="CE323" s="2">
        <f t="shared" si="91"/>
        <v>0</v>
      </c>
      <c r="CF323" s="2">
        <f t="shared" si="74"/>
        <v>-3017.6541468417254</v>
      </c>
      <c r="CG323" s="2"/>
      <c r="CH323" s="2">
        <f t="shared" si="92"/>
        <v>-3017.6541468417254</v>
      </c>
      <c r="CI323" s="45">
        <f>-CH323*'Batt IN'!$E$7</f>
        <v>633.70737083676227</v>
      </c>
      <c r="CJ323" s="48"/>
      <c r="CK323" s="45">
        <f>IF('Batt IN'!$F$4="PV Only",0,IF(C323&gt;'Batt IN'!$H$43*12,0,CC323+CI323))</f>
        <v>0</v>
      </c>
      <c r="CM323" s="10">
        <f t="shared" si="93"/>
        <v>0</v>
      </c>
      <c r="CN323" s="2">
        <f>CK323/(1+('Batt IN'!$G$8))^(C323)</f>
        <v>0</v>
      </c>
      <c r="CO323" s="2" t="e">
        <f>IF(C323&lt;='Batt IN'!$O$30*12,CN323+CO322,NA())</f>
        <v>#N/A</v>
      </c>
      <c r="CQ323" s="2">
        <f>CK323/((1+('Batt IN'!$E$8/12))^BattCalcs!C323)</f>
        <v>0</v>
      </c>
      <c r="CS323" s="10">
        <f t="shared" si="77"/>
        <v>-3017.6541468417254</v>
      </c>
      <c r="CT323" s="10">
        <f t="shared" si="78"/>
        <v>0</v>
      </c>
      <c r="CU323" s="10">
        <f t="shared" si="79"/>
        <v>-3017.6541468417254</v>
      </c>
      <c r="CV323" s="10">
        <f t="shared" si="80"/>
        <v>-3017.6541468417254</v>
      </c>
      <c r="CW323" s="2">
        <f t="shared" si="81"/>
        <v>0</v>
      </c>
      <c r="CX323" s="2">
        <f>-(SUM(CV323:CW323)*'PV IN'!$E$8)</f>
        <v>633.70737083676227</v>
      </c>
      <c r="CY323" s="2">
        <f t="shared" si="82"/>
        <v>-2383.9467760049629</v>
      </c>
      <c r="CZ323" s="2">
        <f>IF(C323&lt;='Batt IN'!$H$43*12,CY323/(1+('PV IN'!$G$9))^(C323),0)</f>
        <v>0</v>
      </c>
      <c r="DA323" s="33">
        <f>IF(C323&lt;='Batt IN'!$H$43*12,AE323,0)</f>
        <v>0</v>
      </c>
    </row>
    <row r="324" spans="1:105" x14ac:dyDescent="0.25">
      <c r="A324" t="str">
        <f>IF(C324&lt;='Batt IN'!$H$43*12,C324,"")</f>
        <v/>
      </c>
      <c r="C324">
        <v>320</v>
      </c>
      <c r="D324" s="21">
        <v>750</v>
      </c>
      <c r="E324" s="1">
        <f>1-'Batt IN'!$E$31</f>
        <v>2.0000000000000018E-2</v>
      </c>
      <c r="F324" s="12">
        <f>('Batt IN'!$E$33*365)/8760</f>
        <v>0</v>
      </c>
      <c r="G324" s="22">
        <f>'Batt IN'!$E$32/8760</f>
        <v>5.7077625570776253E-3</v>
      </c>
      <c r="H324" s="22">
        <f>'Batt IN'!$E$13/8760</f>
        <v>5.5936073059360729E-3</v>
      </c>
      <c r="I324" s="23">
        <f>IF(C324&lt;='Batt IN'!$G$14*12,'Batt IN'!$E$15/8760*'Batt IN'!$G$15,0)</f>
        <v>0</v>
      </c>
      <c r="J324" s="12">
        <f>Z324/'Batt IN'!$E$27/730</f>
        <v>2.4999999999999996E-3</v>
      </c>
      <c r="K324" s="23">
        <f>AA324/'Batt IN'!$E$27/730</f>
        <v>1.6027397260273972E-3</v>
      </c>
      <c r="L324" s="23">
        <f>AB324/'Batt IN'!$E$27/730</f>
        <v>2.0547945205479451E-4</v>
      </c>
      <c r="M324" s="23">
        <f>AC324/'Batt IN'!$E$27/730</f>
        <v>4.7945205479452057E-3</v>
      </c>
      <c r="N324" s="23">
        <f>AD324/'Batt IN'!$E$27/730</f>
        <v>3.4246575342465752E-3</v>
      </c>
      <c r="O324" s="12">
        <f t="shared" si="85"/>
        <v>4.3828767123287697E-2</v>
      </c>
      <c r="P324" s="21">
        <f t="shared" si="86"/>
        <v>717.12842465753431</v>
      </c>
      <c r="Q324" s="2">
        <f>IF('Batt IN'!$E$27*'Batt IN'!$E$24&lt;='Batt IN'!$E$28,(('Batt IN'!$E$23*'Batt IN'!$E$27*'Batt IN'!$E$24)/1000)*P324,(('Batt IN'!$E$23*'Batt IN'!$E$28*'Batt IN'!$E$24)/1000)*P324)</f>
        <v>11474.054794520549</v>
      </c>
      <c r="R324" s="2"/>
      <c r="S324" s="77">
        <f>IF(C324&lt;='Batt IN'!$G$14*12,'Batt IN'!$E$15/12,0)</f>
        <v>0</v>
      </c>
      <c r="T324" s="77"/>
      <c r="U324" s="80">
        <f>'Batt IN'!$E$28*('Batt IN'!$G$24/24)*730*(1-O324)</f>
        <v>81433.916666666657</v>
      </c>
      <c r="V324" s="78">
        <f>U324*'Batt IN'!$F$30</f>
        <v>16286.783333333333</v>
      </c>
      <c r="W324" s="78">
        <f>'Batt IN'!$E$28*'Batt IN'!$G$32*('Batt IN'!$E$32/12)*(1+'Batt IN'!$F$30)</f>
        <v>1750.0000000000002</v>
      </c>
      <c r="X324" s="78">
        <f>'Batt IN'!$E$28*'Batt IN'!$G$13*('Batt IN'!$E$13/12)*(1+'Batt IN'!$F$30)</f>
        <v>3184.9999999999995</v>
      </c>
      <c r="Y324" s="33">
        <f>S324*'Batt IN'!$G$15*'Batt IN'!$E$28*(1+'Batt IN'!$F$30)</f>
        <v>0</v>
      </c>
      <c r="Z324" s="33">
        <f>'Batt IN'!$G$16*365/12*(1+'Batt IN'!$F$30)</f>
        <v>1824.9999999999998</v>
      </c>
      <c r="AA324" s="33">
        <f>'Batt IN'!$G$17*'Batt IN'!$E$18*'Batt IN'!$G$18/12*(1+'Batt IN'!$F$30)</f>
        <v>1170</v>
      </c>
      <c r="AB324" s="33">
        <f>'Batt IN'!$G$19*'Batt IN'!$E$20*'Batt IN'!$G$20/12*(1+'Batt IN'!$F$30)</f>
        <v>150</v>
      </c>
      <c r="AC324" s="33">
        <f>'Batt IN'!$G$21*(1+'Batt IN'!$F$30)/12</f>
        <v>3500</v>
      </c>
      <c r="AD324" s="33">
        <f>'Batt IN'!$G$22*(1+'Batt IN'!$F$30)/12</f>
        <v>2500</v>
      </c>
      <c r="AE324" s="33">
        <f t="shared" si="87"/>
        <v>30366.783333333333</v>
      </c>
      <c r="AF324" s="33">
        <f>IF('PV IN'!$F$4="Battery Only",0,AE324*'Batt IN'!$E$29)</f>
        <v>25811.765833333331</v>
      </c>
      <c r="AG324" s="33">
        <f>PVCalcs!L324</f>
        <v>25811.765833333331</v>
      </c>
      <c r="AH324" s="33">
        <f t="shared" si="88"/>
        <v>4555.0175000000017</v>
      </c>
      <c r="AI324" s="33"/>
      <c r="AJ324" s="2">
        <f>IF(AND('Batt IN'!$D$53="Yes",$AL$1&gt;=1),IF($C324='Batt IN'!$H$54*12,-'Batt IN'!$F$54,0),0)</f>
        <v>0</v>
      </c>
      <c r="AK324" s="2">
        <f>IF(AND('Batt IN'!$D$53="Yes",$AL$1&gt;=2),IF($C324='Batt IN'!$H$55*12,-'Batt IN'!$F$55,0),0)</f>
        <v>0</v>
      </c>
      <c r="AL324" s="2">
        <f>IF(AND('Batt IN'!$D$53="Yes",$AL$1&gt;=3),IF($C324='Batt IN'!$H$56*12,-'Batt IN'!$F$56,0),0)</f>
        <v>0</v>
      </c>
      <c r="AM324" s="2">
        <f>IF(AND('Batt IN'!$D$53="Yes",$AL$1&gt;=4),IF($C324='Batt IN'!$H$57*12,-'Batt IN'!$F$57,0),0)</f>
        <v>0</v>
      </c>
      <c r="AN324" s="2">
        <f>IF(AND('Batt IN'!$D$53="Yes",$AL$1&gt;=5),IF($C324='Batt IN'!$H$58*12,-'Batt IN'!$F$58,0),0)</f>
        <v>0</v>
      </c>
      <c r="AO324" s="10">
        <f>IF(AND('Batt IN'!$D$44="YES",$C324&lt;='Batt IN'!$E$44*12),-'Batt IN'!$E$28*'Batt IN'!$E$42/12,0)</f>
        <v>0</v>
      </c>
      <c r="AP324" s="10">
        <f>IF(AND('Batt IN'!$D$46="YES",$C324&lt;='Batt IN'!$E$46*12),-'Batt IN'!$E$28*'Batt IN'!$E$45/12,0)</f>
        <v>0</v>
      </c>
      <c r="AR324" s="10">
        <f>BattLoan!M351</f>
        <v>0</v>
      </c>
      <c r="AS324" s="10">
        <f>'Batt IN'!$G$16*365/12*'Batt IN'!$E$16</f>
        <v>76.041666666666671</v>
      </c>
      <c r="AT324" s="10">
        <f>IF(AND('Batt IN'!$E$18&gt;0,'Batt IN'!$G$18&gt;0),'Batt IN'!$E$17*'Batt IN'!$G$17,0)</f>
        <v>119.44619999999999</v>
      </c>
      <c r="AU324" s="10">
        <f>IF(AND('Batt IN'!$E$20&gt;0,'Batt IN'!$G$20&gt;0),'Batt IN'!$E$19*'Batt IN'!$G$19,0)</f>
        <v>231</v>
      </c>
      <c r="AV324" s="10"/>
      <c r="AW324" s="10"/>
      <c r="AX324" s="10">
        <f>IF('Batt IN'!$E$11="Non-Taxable",Q324,0)</f>
        <v>11474.054794520549</v>
      </c>
      <c r="AY324" s="10">
        <f>IF('Batt IN'!$E$11="Non-Taxable",'Batt IN'!$E$28/1000*'Batt IN'!$G$13*('Batt IN'!$E$13/12)*'Batt IN'!$E$12,0)</f>
        <v>244.42220833333334</v>
      </c>
      <c r="AZ324" s="10">
        <f>IF('Batt IN'!$E$11="Non-Taxable",$S324*'Batt IN'!$G$15*'Batt IN'!$E$28*'Batt IN'!$E$14/1000,0)</f>
        <v>0</v>
      </c>
      <c r="BA324" s="10">
        <f>IF('Batt IN'!$E$11="Non-Taxable",'Batt IN'!$E$21*'Batt IN'!$G$21/12,0)</f>
        <v>437.5</v>
      </c>
      <c r="BB324" s="10">
        <f>IF('Batt IN'!$E$11="Non-Taxable",'Batt IN'!$E$22*'Batt IN'!$G$22/12,0)</f>
        <v>1145.8333333333335</v>
      </c>
      <c r="BC324" s="10">
        <f>IF('Batt IN'!$E$11="Taxable",Q324,0)</f>
        <v>0</v>
      </c>
      <c r="BD324" s="10">
        <f>IF('Batt IN'!$E$11="Taxable",'Batt IN'!$E$28/1000*'Batt IN'!$G$13*('Batt IN'!$E$13/12)*'Batt IN'!$E$12,0)</f>
        <v>0</v>
      </c>
      <c r="BE324" s="10">
        <f>IF('Batt IN'!$E$11="Taxable",$S324*'Batt IN'!$G$15*'Batt IN'!$E$28*'Batt IN'!$E$14/1000,0)</f>
        <v>0</v>
      </c>
      <c r="BF324" s="10">
        <f>IF('Batt IN'!$E$11="Taxable",'Batt IN'!$E$21*'Batt IN'!$G$21/12,0)</f>
        <v>0</v>
      </c>
      <c r="BG324" s="10">
        <f>IF('Batt IN'!$E$11="Taxable",'Batt IN'!$E$22*'Batt IN'!$G$22/12,0)</f>
        <v>0</v>
      </c>
      <c r="BK324" s="10">
        <f>IF('Batt IN'!$N$18="Yes",-BattLoan!H352,-BattLoan!L352)</f>
        <v>0</v>
      </c>
      <c r="BL324" s="10">
        <f>IF('Batt IN'!$N$18="Yes",-BattLoan!F352,0)</f>
        <v>0</v>
      </c>
      <c r="BM324" s="10">
        <f>IF(AND('Batt IN'!$D$44="YES",$C324&lt;='Batt IN'!$E$44*12),0,-'Batt IN'!$E$28*'Batt IN'!$E$42/12)</f>
        <v>-83.333333333333329</v>
      </c>
      <c r="BN324" s="10">
        <f>IF(AND('Batt IN'!$D$46="YES",$C324&lt;='Batt IN'!$E$46*12),0,-'Batt IN'!$E$28*'Batt IN'!$E$45/12)</f>
        <v>-166.66666666666666</v>
      </c>
      <c r="BO324" s="2">
        <f>IF(AND('Batt IN'!$D$41="YES",BattCalcs!C324=ROUNDUP('Batt IN'!$H$41*12,)),-'Batt IN'!$E$41*'Batt IN'!$E$28,0)</f>
        <v>0</v>
      </c>
      <c r="BP324" s="2">
        <f>IF(AND('Batt IN'!$D$53="Yes",$AL$1&gt;=1),0,IF($C324='Batt IN'!$H$54*12,-'Batt IN'!$F$54,0))</f>
        <v>0</v>
      </c>
      <c r="BQ324" s="2">
        <f>IF(AND('Batt IN'!$D$53="Yes",$AL$1&gt;=2),0,IF($C324='Batt IN'!$H$55*12,-'Batt IN'!$F$55,0))</f>
        <v>0</v>
      </c>
      <c r="BR324" s="2">
        <f>IF(AND('Batt IN'!$D$53="Yes",$AL$1&gt;=3),0,IF($C324='Batt IN'!$H$56*12,-'Batt IN'!$F$56,0))</f>
        <v>0</v>
      </c>
      <c r="BS324" s="2">
        <f>IF(AND('Batt IN'!$D$53="Yes",$AL$1&gt;=4),0,IF($C324='Batt IN'!$H$57*12,-'Batt IN'!$F$57,0))</f>
        <v>0</v>
      </c>
      <c r="BT324" s="2">
        <f>IF(AND('Batt IN'!$D$53="Yes",$AL$1&gt;=5),0,IF($C324='Batt IN'!$H$58*12,-'Batt IN'!$F$58,0))</f>
        <v>0</v>
      </c>
      <c r="BU324" s="2">
        <f>-AH324*PVCalcs!F324</f>
        <v>-367.65414684172509</v>
      </c>
      <c r="BV324" s="2">
        <f>-'Batt IN'!$E$47</f>
        <v>-150</v>
      </c>
      <c r="BW324" s="2">
        <f>-'Batt IN'!$E$49</f>
        <v>-2250</v>
      </c>
      <c r="BX324" s="2">
        <f>IF('Batt IN'!$H$50="No",-(BC324*'Batt IN'!$E$50),-(BC324+BE324)*'Batt IN'!$E$50)</f>
        <v>0</v>
      </c>
      <c r="BY324" s="2">
        <f>IF(C324='Batt IN'!$H$43*12,-'Batt IN'!$E$43,0)</f>
        <v>0</v>
      </c>
      <c r="BZ324" s="38"/>
      <c r="CA324" s="10">
        <f t="shared" si="89"/>
        <v>13728.298202853883</v>
      </c>
      <c r="CB324" s="2">
        <f t="shared" si="72"/>
        <v>-3017.6541468417254</v>
      </c>
      <c r="CC324" s="45">
        <f t="shared" si="90"/>
        <v>10710.644056012157</v>
      </c>
      <c r="CD324" s="43"/>
      <c r="CE324" s="2">
        <f t="shared" si="91"/>
        <v>0</v>
      </c>
      <c r="CF324" s="2">
        <f t="shared" si="74"/>
        <v>-3017.6541468417254</v>
      </c>
      <c r="CG324" s="2"/>
      <c r="CH324" s="2">
        <f t="shared" si="92"/>
        <v>-3017.6541468417254</v>
      </c>
      <c r="CI324" s="45">
        <f>-CH324*'Batt IN'!$E$7</f>
        <v>633.70737083676227</v>
      </c>
      <c r="CJ324" s="48"/>
      <c r="CK324" s="45">
        <f>IF('Batt IN'!$F$4="PV Only",0,IF(C324&gt;'Batt IN'!$H$43*12,0,CC324+CI324))</f>
        <v>0</v>
      </c>
      <c r="CM324" s="10">
        <f t="shared" si="93"/>
        <v>0</v>
      </c>
      <c r="CN324" s="2">
        <f>CK324/(1+('Batt IN'!$G$8))^(C324)</f>
        <v>0</v>
      </c>
      <c r="CO324" s="2" t="e">
        <f>IF(C324&lt;='Batt IN'!$O$30*12,CN324+CO323,NA())</f>
        <v>#N/A</v>
      </c>
      <c r="CQ324" s="2">
        <f>CK324/((1+('Batt IN'!$E$8/12))^BattCalcs!C324)</f>
        <v>0</v>
      </c>
      <c r="CS324" s="10">
        <f t="shared" si="77"/>
        <v>-3017.6541468417254</v>
      </c>
      <c r="CT324" s="10">
        <f t="shared" si="78"/>
        <v>0</v>
      </c>
      <c r="CU324" s="10">
        <f t="shared" si="79"/>
        <v>-3017.6541468417254</v>
      </c>
      <c r="CV324" s="10">
        <f t="shared" si="80"/>
        <v>-3017.6541468417254</v>
      </c>
      <c r="CW324" s="2">
        <f t="shared" si="81"/>
        <v>0</v>
      </c>
      <c r="CX324" s="2">
        <f>-(SUM(CV324:CW324)*'PV IN'!$E$8)</f>
        <v>633.70737083676227</v>
      </c>
      <c r="CY324" s="2">
        <f t="shared" si="82"/>
        <v>-2383.9467760049629</v>
      </c>
      <c r="CZ324" s="2">
        <f>IF(C324&lt;='Batt IN'!$H$43*12,CY324/(1+('PV IN'!$G$9))^(C324),0)</f>
        <v>0</v>
      </c>
      <c r="DA324" s="33">
        <f>IF(C324&lt;='Batt IN'!$H$43*12,AE324,0)</f>
        <v>0</v>
      </c>
    </row>
    <row r="325" spans="1:105" x14ac:dyDescent="0.25">
      <c r="A325" t="str">
        <f>IF(C325&lt;='Batt IN'!$H$43*12,C325,"")</f>
        <v/>
      </c>
      <c r="C325">
        <v>321</v>
      </c>
      <c r="D325" s="21">
        <v>751</v>
      </c>
      <c r="E325" s="1">
        <f>1-'Batt IN'!$E$31</f>
        <v>2.0000000000000018E-2</v>
      </c>
      <c r="F325" s="12">
        <f>('Batt IN'!$E$33*365)/8760</f>
        <v>0</v>
      </c>
      <c r="G325" s="22">
        <f>'Batt IN'!$E$32/8760</f>
        <v>5.7077625570776253E-3</v>
      </c>
      <c r="H325" s="22">
        <f>'Batt IN'!$E$13/8760</f>
        <v>5.5936073059360729E-3</v>
      </c>
      <c r="I325" s="23">
        <f>IF(C325&lt;='Batt IN'!$G$14*12,'Batt IN'!$E$15/8760*'Batt IN'!$G$15,0)</f>
        <v>0</v>
      </c>
      <c r="J325" s="12">
        <f>Z325/'Batt IN'!$E$27/730</f>
        <v>2.4999999999999996E-3</v>
      </c>
      <c r="K325" s="23">
        <f>AA325/'Batt IN'!$E$27/730</f>
        <v>1.6027397260273972E-3</v>
      </c>
      <c r="L325" s="23">
        <f>AB325/'Batt IN'!$E$27/730</f>
        <v>2.0547945205479451E-4</v>
      </c>
      <c r="M325" s="23">
        <f>AC325/'Batt IN'!$E$27/730</f>
        <v>4.7945205479452057E-3</v>
      </c>
      <c r="N325" s="23">
        <f>AD325/'Batt IN'!$E$27/730</f>
        <v>3.4246575342465752E-3</v>
      </c>
      <c r="O325" s="12">
        <f t="shared" si="85"/>
        <v>4.3828767123287697E-2</v>
      </c>
      <c r="P325" s="21">
        <f t="shared" si="86"/>
        <v>718.08459589041092</v>
      </c>
      <c r="Q325" s="2">
        <f>IF('Batt IN'!$E$27*'Batt IN'!$E$24&lt;='Batt IN'!$E$28,(('Batt IN'!$E$23*'Batt IN'!$E$27*'Batt IN'!$E$24)/1000)*P325,(('Batt IN'!$E$23*'Batt IN'!$E$28*'Batt IN'!$E$24)/1000)*P325)</f>
        <v>11489.353534246575</v>
      </c>
      <c r="R325" s="2"/>
      <c r="S325" s="77">
        <f>IF(C325&lt;='Batt IN'!$G$14*12,'Batt IN'!$E$15/12,0)</f>
        <v>0</v>
      </c>
      <c r="T325" s="77"/>
      <c r="U325" s="80">
        <f>'Batt IN'!$E$28*('Batt IN'!$G$24/24)*730*(1-O325)</f>
        <v>81433.916666666657</v>
      </c>
      <c r="V325" s="78">
        <f>U325*'Batt IN'!$F$30</f>
        <v>16286.783333333333</v>
      </c>
      <c r="W325" s="78">
        <f>'Batt IN'!$E$28*'Batt IN'!$G$32*('Batt IN'!$E$32/12)*(1+'Batt IN'!$F$30)</f>
        <v>1750.0000000000002</v>
      </c>
      <c r="X325" s="78">
        <f>'Batt IN'!$E$28*'Batt IN'!$G$13*('Batt IN'!$E$13/12)*(1+'Batt IN'!$F$30)</f>
        <v>3184.9999999999995</v>
      </c>
      <c r="Y325" s="33">
        <f>S325*'Batt IN'!$G$15*'Batt IN'!$E$28*(1+'Batt IN'!$F$30)</f>
        <v>0</v>
      </c>
      <c r="Z325" s="33">
        <f>'Batt IN'!$G$16*365/12*(1+'Batt IN'!$F$30)</f>
        <v>1824.9999999999998</v>
      </c>
      <c r="AA325" s="33">
        <f>'Batt IN'!$G$17*'Batt IN'!$E$18*'Batt IN'!$G$18/12*(1+'Batt IN'!$F$30)</f>
        <v>1170</v>
      </c>
      <c r="AB325" s="33">
        <f>'Batt IN'!$G$19*'Batt IN'!$E$20*'Batt IN'!$G$20/12*(1+'Batt IN'!$F$30)</f>
        <v>150</v>
      </c>
      <c r="AC325" s="33">
        <f>'Batt IN'!$G$21*(1+'Batt IN'!$F$30)/12</f>
        <v>3500</v>
      </c>
      <c r="AD325" s="33">
        <f>'Batt IN'!$G$22*(1+'Batt IN'!$F$30)/12</f>
        <v>2500</v>
      </c>
      <c r="AE325" s="33">
        <f t="shared" si="87"/>
        <v>30366.783333333333</v>
      </c>
      <c r="AF325" s="33">
        <f>IF('PV IN'!$F$4="Battery Only",0,AE325*'Batt IN'!$E$29)</f>
        <v>25811.765833333331</v>
      </c>
      <c r="AG325" s="33">
        <f>PVCalcs!L325</f>
        <v>25811.765833333331</v>
      </c>
      <c r="AH325" s="33">
        <f t="shared" si="88"/>
        <v>4555.0175000000017</v>
      </c>
      <c r="AI325" s="33"/>
      <c r="AJ325" s="2">
        <f>IF(AND('Batt IN'!$D$53="Yes",$AL$1&gt;=1),IF($C325='Batt IN'!$H$54*12,-'Batt IN'!$F$54,0),0)</f>
        <v>0</v>
      </c>
      <c r="AK325" s="2">
        <f>IF(AND('Batt IN'!$D$53="Yes",$AL$1&gt;=2),IF($C325='Batt IN'!$H$55*12,-'Batt IN'!$F$55,0),0)</f>
        <v>0</v>
      </c>
      <c r="AL325" s="2">
        <f>IF(AND('Batt IN'!$D$53="Yes",$AL$1&gt;=3),IF($C325='Batt IN'!$H$56*12,-'Batt IN'!$F$56,0),0)</f>
        <v>0</v>
      </c>
      <c r="AM325" s="2">
        <f>IF(AND('Batt IN'!$D$53="Yes",$AL$1&gt;=4),IF($C325='Batt IN'!$H$57*12,-'Batt IN'!$F$57,0),0)</f>
        <v>0</v>
      </c>
      <c r="AN325" s="2">
        <f>IF(AND('Batt IN'!$D$53="Yes",$AL$1&gt;=5),IF($C325='Batt IN'!$H$58*12,-'Batt IN'!$F$58,0),0)</f>
        <v>0</v>
      </c>
      <c r="AO325" s="10">
        <f>IF(AND('Batt IN'!$D$44="YES",$C325&lt;='Batt IN'!$E$44*12),-'Batt IN'!$E$28*'Batt IN'!$E$42/12,0)</f>
        <v>0</v>
      </c>
      <c r="AP325" s="10">
        <f>IF(AND('Batt IN'!$D$46="YES",$C325&lt;='Batt IN'!$E$46*12),-'Batt IN'!$E$28*'Batt IN'!$E$45/12,0)</f>
        <v>0</v>
      </c>
      <c r="AR325" s="10">
        <f>BattLoan!M352</f>
        <v>0</v>
      </c>
      <c r="AS325" s="10">
        <f>'Batt IN'!$G$16*365/12*'Batt IN'!$E$16</f>
        <v>76.041666666666671</v>
      </c>
      <c r="AT325" s="10">
        <f>IF(AND('Batt IN'!$E$18&gt;0,'Batt IN'!$G$18&gt;0),'Batt IN'!$E$17*'Batt IN'!$G$17,0)</f>
        <v>119.44619999999999</v>
      </c>
      <c r="AU325" s="10">
        <f>IF(AND('Batt IN'!$E$20&gt;0,'Batt IN'!$G$20&gt;0),'Batt IN'!$E$19*'Batt IN'!$G$19,0)</f>
        <v>231</v>
      </c>
      <c r="AV325" s="10"/>
      <c r="AW325" s="10"/>
      <c r="AX325" s="10">
        <f>IF('Batt IN'!$E$11="Non-Taxable",Q325,0)</f>
        <v>11489.353534246575</v>
      </c>
      <c r="AY325" s="10">
        <f>IF('Batt IN'!$E$11="Non-Taxable",'Batt IN'!$E$28/1000*'Batt IN'!$G$13*('Batt IN'!$E$13/12)*'Batt IN'!$E$12,0)</f>
        <v>244.42220833333334</v>
      </c>
      <c r="AZ325" s="10">
        <f>IF('Batt IN'!$E$11="Non-Taxable",$S325*'Batt IN'!$G$15*'Batt IN'!$E$28*'Batt IN'!$E$14/1000,0)</f>
        <v>0</v>
      </c>
      <c r="BA325" s="10">
        <f>IF('Batt IN'!$E$11="Non-Taxable",'Batt IN'!$E$21*'Batt IN'!$G$21/12,0)</f>
        <v>437.5</v>
      </c>
      <c r="BB325" s="10">
        <f>IF('Batt IN'!$E$11="Non-Taxable",'Batt IN'!$E$22*'Batt IN'!$G$22/12,0)</f>
        <v>1145.8333333333335</v>
      </c>
      <c r="BC325" s="10">
        <f>IF('Batt IN'!$E$11="Taxable",Q325,0)</f>
        <v>0</v>
      </c>
      <c r="BD325" s="10">
        <f>IF('Batt IN'!$E$11="Taxable",'Batt IN'!$E$28/1000*'Batt IN'!$G$13*('Batt IN'!$E$13/12)*'Batt IN'!$E$12,0)</f>
        <v>0</v>
      </c>
      <c r="BE325" s="10">
        <f>IF('Batt IN'!$E$11="Taxable",$S325*'Batt IN'!$G$15*'Batt IN'!$E$28*'Batt IN'!$E$14/1000,0)</f>
        <v>0</v>
      </c>
      <c r="BF325" s="10">
        <f>IF('Batt IN'!$E$11="Taxable",'Batt IN'!$E$21*'Batt IN'!$G$21/12,0)</f>
        <v>0</v>
      </c>
      <c r="BG325" s="10">
        <f>IF('Batt IN'!$E$11="Taxable",'Batt IN'!$E$22*'Batt IN'!$G$22/12,0)</f>
        <v>0</v>
      </c>
      <c r="BK325" s="10">
        <f>IF('Batt IN'!$N$18="Yes",-BattLoan!H353,-BattLoan!L353)</f>
        <v>0</v>
      </c>
      <c r="BL325" s="10">
        <f>IF('Batt IN'!$N$18="Yes",-BattLoan!F353,0)</f>
        <v>0</v>
      </c>
      <c r="BM325" s="10">
        <f>IF(AND('Batt IN'!$D$44="YES",$C325&lt;='Batt IN'!$E$44*12),0,-'Batt IN'!$E$28*'Batt IN'!$E$42/12)</f>
        <v>-83.333333333333329</v>
      </c>
      <c r="BN325" s="10">
        <f>IF(AND('Batt IN'!$D$46="YES",$C325&lt;='Batt IN'!$E$46*12),0,-'Batt IN'!$E$28*'Batt IN'!$E$45/12)</f>
        <v>-166.66666666666666</v>
      </c>
      <c r="BO325" s="2">
        <f>IF(AND('Batt IN'!$D$41="YES",BattCalcs!C325=ROUNDUP('Batt IN'!$H$41*12,)),-'Batt IN'!$E$41*'Batt IN'!$E$28,0)</f>
        <v>0</v>
      </c>
      <c r="BP325" s="2">
        <f>IF(AND('Batt IN'!$D$53="Yes",$AL$1&gt;=1),0,IF($C325='Batt IN'!$H$54*12,-'Batt IN'!$F$54,0))</f>
        <v>0</v>
      </c>
      <c r="BQ325" s="2">
        <f>IF(AND('Batt IN'!$D$53="Yes",$AL$1&gt;=2),0,IF($C325='Batt IN'!$H$55*12,-'Batt IN'!$F$55,0))</f>
        <v>0</v>
      </c>
      <c r="BR325" s="2">
        <f>IF(AND('Batt IN'!$D$53="Yes",$AL$1&gt;=3),0,IF($C325='Batt IN'!$H$56*12,-'Batt IN'!$F$56,0))</f>
        <v>0</v>
      </c>
      <c r="BS325" s="2">
        <f>IF(AND('Batt IN'!$D$53="Yes",$AL$1&gt;=4),0,IF($C325='Batt IN'!$H$57*12,-'Batt IN'!$F$57,0))</f>
        <v>0</v>
      </c>
      <c r="BT325" s="2">
        <f>IF(AND('Batt IN'!$D$53="Yes",$AL$1&gt;=5),0,IF($C325='Batt IN'!$H$58*12,-'Batt IN'!$F$58,0))</f>
        <v>0</v>
      </c>
      <c r="BU325" s="2">
        <f>-AH325*PVCalcs!F325</f>
        <v>-367.65414684172509</v>
      </c>
      <c r="BV325" s="2">
        <f>-'Batt IN'!$E$47</f>
        <v>-150</v>
      </c>
      <c r="BW325" s="2">
        <f>-'Batt IN'!$E$49</f>
        <v>-2250</v>
      </c>
      <c r="BX325" s="2">
        <f>IF('Batt IN'!$H$50="No",-(BC325*'Batt IN'!$E$50),-(BC325+BE325)*'Batt IN'!$E$50)</f>
        <v>0</v>
      </c>
      <c r="BY325" s="2">
        <f>IF(C325='Batt IN'!$H$43*12,-'Batt IN'!$E$43,0)</f>
        <v>0</v>
      </c>
      <c r="BZ325" s="38"/>
      <c r="CA325" s="10">
        <f t="shared" si="89"/>
        <v>13743.596942579909</v>
      </c>
      <c r="CB325" s="2">
        <f t="shared" ref="CB325:CB388" si="94">SUM(BJ325:BY325)</f>
        <v>-3017.6541468417254</v>
      </c>
      <c r="CC325" s="45">
        <f t="shared" si="90"/>
        <v>10725.942795738183</v>
      </c>
      <c r="CD325" s="43"/>
      <c r="CE325" s="2">
        <f t="shared" si="91"/>
        <v>0</v>
      </c>
      <c r="CF325" s="2">
        <f t="shared" ref="CF325:CF388" si="95">SUM(BL325:BY325)</f>
        <v>-3017.6541468417254</v>
      </c>
      <c r="CG325" s="2"/>
      <c r="CH325" s="2">
        <f t="shared" si="92"/>
        <v>-3017.6541468417254</v>
      </c>
      <c r="CI325" s="45">
        <f>-CH325*'Batt IN'!$E$7</f>
        <v>633.70737083676227</v>
      </c>
      <c r="CJ325" s="48"/>
      <c r="CK325" s="45">
        <f>IF('Batt IN'!$F$4="PV Only",0,IF(C325&gt;'Batt IN'!$H$43*12,0,CC325+CI325))</f>
        <v>0</v>
      </c>
      <c r="CM325" s="10">
        <f t="shared" si="93"/>
        <v>0</v>
      </c>
      <c r="CN325" s="2">
        <f>CK325/(1+('Batt IN'!$G$8))^(C325)</f>
        <v>0</v>
      </c>
      <c r="CO325" s="2" t="e">
        <f>IF(C325&lt;='Batt IN'!$O$30*12,CN325+CO324,NA())</f>
        <v>#N/A</v>
      </c>
      <c r="CQ325" s="2">
        <f>CK325/((1+('Batt IN'!$E$8/12))^BattCalcs!C325)</f>
        <v>0</v>
      </c>
      <c r="CS325" s="10">
        <f t="shared" ref="CS325:CS388" si="96">CB325</f>
        <v>-3017.6541468417254</v>
      </c>
      <c r="CT325" s="10">
        <f t="shared" ref="CT325:CT388" si="97">AV325+BH325</f>
        <v>0</v>
      </c>
      <c r="CU325" s="10">
        <f t="shared" ref="CU325:CU388" si="98">CS325+CT325</f>
        <v>-3017.6541468417254</v>
      </c>
      <c r="CV325" s="10">
        <f t="shared" ref="CV325:CV388" si="99">SUM(BL325:BX325)</f>
        <v>-3017.6541468417254</v>
      </c>
      <c r="CW325" s="2">
        <f t="shared" ref="CW325:CW388" si="100">CG325</f>
        <v>0</v>
      </c>
      <c r="CX325" s="2">
        <f>-(SUM(CV325:CW325)*'PV IN'!$E$8)</f>
        <v>633.70737083676227</v>
      </c>
      <c r="CY325" s="2">
        <f t="shared" ref="CY325:CY388" si="101">CU325+CX325</f>
        <v>-2383.9467760049629</v>
      </c>
      <c r="CZ325" s="2">
        <f>IF(C325&lt;='Batt IN'!$H$43*12,CY325/(1+('PV IN'!$G$9))^(C325),0)</f>
        <v>0</v>
      </c>
      <c r="DA325" s="33">
        <f>IF(C325&lt;='Batt IN'!$H$43*12,AE325,0)</f>
        <v>0</v>
      </c>
    </row>
    <row r="326" spans="1:105" x14ac:dyDescent="0.25">
      <c r="A326" t="str">
        <f>IF(C326&lt;='Batt IN'!$H$43*12,C326,"")</f>
        <v/>
      </c>
      <c r="C326">
        <v>322</v>
      </c>
      <c r="D326" s="21">
        <v>752</v>
      </c>
      <c r="E326" s="1">
        <f>1-'Batt IN'!$E$31</f>
        <v>2.0000000000000018E-2</v>
      </c>
      <c r="F326" s="12">
        <f>('Batt IN'!$E$33*365)/8760</f>
        <v>0</v>
      </c>
      <c r="G326" s="22">
        <f>'Batt IN'!$E$32/8760</f>
        <v>5.7077625570776253E-3</v>
      </c>
      <c r="H326" s="22">
        <f>'Batt IN'!$E$13/8760</f>
        <v>5.5936073059360729E-3</v>
      </c>
      <c r="I326" s="23">
        <f>IF(C326&lt;='Batt IN'!$G$14*12,'Batt IN'!$E$15/8760*'Batt IN'!$G$15,0)</f>
        <v>0</v>
      </c>
      <c r="J326" s="12">
        <f>Z326/'Batt IN'!$E$27/730</f>
        <v>2.4999999999999996E-3</v>
      </c>
      <c r="K326" s="23">
        <f>AA326/'Batt IN'!$E$27/730</f>
        <v>1.6027397260273972E-3</v>
      </c>
      <c r="L326" s="23">
        <f>AB326/'Batt IN'!$E$27/730</f>
        <v>2.0547945205479451E-4</v>
      </c>
      <c r="M326" s="23">
        <f>AC326/'Batt IN'!$E$27/730</f>
        <v>4.7945205479452057E-3</v>
      </c>
      <c r="N326" s="23">
        <f>AD326/'Batt IN'!$E$27/730</f>
        <v>3.4246575342465752E-3</v>
      </c>
      <c r="O326" s="12">
        <f t="shared" si="85"/>
        <v>4.3828767123287697E-2</v>
      </c>
      <c r="P326" s="21">
        <f t="shared" si="86"/>
        <v>719.04076712328765</v>
      </c>
      <c r="Q326" s="2">
        <f>IF('Batt IN'!$E$27*'Batt IN'!$E$24&lt;='Batt IN'!$E$28,(('Batt IN'!$E$23*'Batt IN'!$E$27*'Batt IN'!$E$24)/1000)*P326,(('Batt IN'!$E$23*'Batt IN'!$E$28*'Batt IN'!$E$24)/1000)*P326)</f>
        <v>11504.652273972602</v>
      </c>
      <c r="R326" s="2"/>
      <c r="S326" s="77">
        <f>IF(C326&lt;='Batt IN'!$G$14*12,'Batt IN'!$E$15/12,0)</f>
        <v>0</v>
      </c>
      <c r="T326" s="77"/>
      <c r="U326" s="80">
        <f>'Batt IN'!$E$28*('Batt IN'!$G$24/24)*730*(1-O326)</f>
        <v>81433.916666666657</v>
      </c>
      <c r="V326" s="78">
        <f>U326*'Batt IN'!$F$30</f>
        <v>16286.783333333333</v>
      </c>
      <c r="W326" s="78">
        <f>'Batt IN'!$E$28*'Batt IN'!$G$32*('Batt IN'!$E$32/12)*(1+'Batt IN'!$F$30)</f>
        <v>1750.0000000000002</v>
      </c>
      <c r="X326" s="78">
        <f>'Batt IN'!$E$28*'Batt IN'!$G$13*('Batt IN'!$E$13/12)*(1+'Batt IN'!$F$30)</f>
        <v>3184.9999999999995</v>
      </c>
      <c r="Y326" s="33">
        <f>S326*'Batt IN'!$G$15*'Batt IN'!$E$28*(1+'Batt IN'!$F$30)</f>
        <v>0</v>
      </c>
      <c r="Z326" s="33">
        <f>'Batt IN'!$G$16*365/12*(1+'Batt IN'!$F$30)</f>
        <v>1824.9999999999998</v>
      </c>
      <c r="AA326" s="33">
        <f>'Batt IN'!$G$17*'Batt IN'!$E$18*'Batt IN'!$G$18/12*(1+'Batt IN'!$F$30)</f>
        <v>1170</v>
      </c>
      <c r="AB326" s="33">
        <f>'Batt IN'!$G$19*'Batt IN'!$E$20*'Batt IN'!$G$20/12*(1+'Batt IN'!$F$30)</f>
        <v>150</v>
      </c>
      <c r="AC326" s="33">
        <f>'Batt IN'!$G$21*(1+'Batt IN'!$F$30)/12</f>
        <v>3500</v>
      </c>
      <c r="AD326" s="33">
        <f>'Batt IN'!$G$22*(1+'Batt IN'!$F$30)/12</f>
        <v>2500</v>
      </c>
      <c r="AE326" s="33">
        <f t="shared" si="87"/>
        <v>30366.783333333333</v>
      </c>
      <c r="AF326" s="33">
        <f>IF('PV IN'!$F$4="Battery Only",0,AE326*'Batt IN'!$E$29)</f>
        <v>25811.765833333331</v>
      </c>
      <c r="AG326" s="33">
        <f>PVCalcs!L326</f>
        <v>25811.765833333331</v>
      </c>
      <c r="AH326" s="33">
        <f t="shared" si="88"/>
        <v>4555.0175000000017</v>
      </c>
      <c r="AI326" s="33"/>
      <c r="AJ326" s="2">
        <f>IF(AND('Batt IN'!$D$53="Yes",$AL$1&gt;=1),IF($C326='Batt IN'!$H$54*12,-'Batt IN'!$F$54,0),0)</f>
        <v>0</v>
      </c>
      <c r="AK326" s="2">
        <f>IF(AND('Batt IN'!$D$53="Yes",$AL$1&gt;=2),IF($C326='Batt IN'!$H$55*12,-'Batt IN'!$F$55,0),0)</f>
        <v>0</v>
      </c>
      <c r="AL326" s="2">
        <f>IF(AND('Batt IN'!$D$53="Yes",$AL$1&gt;=3),IF($C326='Batt IN'!$H$56*12,-'Batt IN'!$F$56,0),0)</f>
        <v>0</v>
      </c>
      <c r="AM326" s="2">
        <f>IF(AND('Batt IN'!$D$53="Yes",$AL$1&gt;=4),IF($C326='Batt IN'!$H$57*12,-'Batt IN'!$F$57,0),0)</f>
        <v>0</v>
      </c>
      <c r="AN326" s="2">
        <f>IF(AND('Batt IN'!$D$53="Yes",$AL$1&gt;=5),IF($C326='Batt IN'!$H$58*12,-'Batt IN'!$F$58,0),0)</f>
        <v>0</v>
      </c>
      <c r="AO326" s="10">
        <f>IF(AND('Batt IN'!$D$44="YES",$C326&lt;='Batt IN'!$E$44*12),-'Batt IN'!$E$28*'Batt IN'!$E$42/12,0)</f>
        <v>0</v>
      </c>
      <c r="AP326" s="10">
        <f>IF(AND('Batt IN'!$D$46="YES",$C326&lt;='Batt IN'!$E$46*12),-'Batt IN'!$E$28*'Batt IN'!$E$45/12,0)</f>
        <v>0</v>
      </c>
      <c r="AR326" s="10">
        <f>BattLoan!M353</f>
        <v>0</v>
      </c>
      <c r="AS326" s="10">
        <f>'Batt IN'!$G$16*365/12*'Batt IN'!$E$16</f>
        <v>76.041666666666671</v>
      </c>
      <c r="AT326" s="10">
        <f>IF(AND('Batt IN'!$E$18&gt;0,'Batt IN'!$G$18&gt;0),'Batt IN'!$E$17*'Batt IN'!$G$17,0)</f>
        <v>119.44619999999999</v>
      </c>
      <c r="AU326" s="10">
        <f>IF(AND('Batt IN'!$E$20&gt;0,'Batt IN'!$G$20&gt;0),'Batt IN'!$E$19*'Batt IN'!$G$19,0)</f>
        <v>231</v>
      </c>
      <c r="AV326" s="10"/>
      <c r="AW326" s="10"/>
      <c r="AX326" s="10">
        <f>IF('Batt IN'!$E$11="Non-Taxable",Q326,0)</f>
        <v>11504.652273972602</v>
      </c>
      <c r="AY326" s="10">
        <f>IF('Batt IN'!$E$11="Non-Taxable",'Batt IN'!$E$28/1000*'Batt IN'!$G$13*('Batt IN'!$E$13/12)*'Batt IN'!$E$12,0)</f>
        <v>244.42220833333334</v>
      </c>
      <c r="AZ326" s="10">
        <f>IF('Batt IN'!$E$11="Non-Taxable",$S326*'Batt IN'!$G$15*'Batt IN'!$E$28*'Batt IN'!$E$14/1000,0)</f>
        <v>0</v>
      </c>
      <c r="BA326" s="10">
        <f>IF('Batt IN'!$E$11="Non-Taxable",'Batt IN'!$E$21*'Batt IN'!$G$21/12,0)</f>
        <v>437.5</v>
      </c>
      <c r="BB326" s="10">
        <f>IF('Batt IN'!$E$11="Non-Taxable",'Batt IN'!$E$22*'Batt IN'!$G$22/12,0)</f>
        <v>1145.8333333333335</v>
      </c>
      <c r="BC326" s="10">
        <f>IF('Batt IN'!$E$11="Taxable",Q326,0)</f>
        <v>0</v>
      </c>
      <c r="BD326" s="10">
        <f>IF('Batt IN'!$E$11="Taxable",'Batt IN'!$E$28/1000*'Batt IN'!$G$13*('Batt IN'!$E$13/12)*'Batt IN'!$E$12,0)</f>
        <v>0</v>
      </c>
      <c r="BE326" s="10">
        <f>IF('Batt IN'!$E$11="Taxable",$S326*'Batt IN'!$G$15*'Batt IN'!$E$28*'Batt IN'!$E$14/1000,0)</f>
        <v>0</v>
      </c>
      <c r="BF326" s="10">
        <f>IF('Batt IN'!$E$11="Taxable",'Batt IN'!$E$21*'Batt IN'!$G$21/12,0)</f>
        <v>0</v>
      </c>
      <c r="BG326" s="10">
        <f>IF('Batt IN'!$E$11="Taxable",'Batt IN'!$E$22*'Batt IN'!$G$22/12,0)</f>
        <v>0</v>
      </c>
      <c r="BK326" s="10">
        <f>IF('Batt IN'!$N$18="Yes",-BattLoan!H354,-BattLoan!L354)</f>
        <v>0</v>
      </c>
      <c r="BL326" s="10">
        <f>IF('Batt IN'!$N$18="Yes",-BattLoan!F354,0)</f>
        <v>0</v>
      </c>
      <c r="BM326" s="10">
        <f>IF(AND('Batt IN'!$D$44="YES",$C326&lt;='Batt IN'!$E$44*12),0,-'Batt IN'!$E$28*'Batt IN'!$E$42/12)</f>
        <v>-83.333333333333329</v>
      </c>
      <c r="BN326" s="10">
        <f>IF(AND('Batt IN'!$D$46="YES",$C326&lt;='Batt IN'!$E$46*12),0,-'Batt IN'!$E$28*'Batt IN'!$E$45/12)</f>
        <v>-166.66666666666666</v>
      </c>
      <c r="BO326" s="2">
        <f>IF(AND('Batt IN'!$D$41="YES",BattCalcs!C326=ROUNDUP('Batt IN'!$H$41*12,)),-'Batt IN'!$E$41*'Batt IN'!$E$28,0)</f>
        <v>0</v>
      </c>
      <c r="BP326" s="2">
        <f>IF(AND('Batt IN'!$D$53="Yes",$AL$1&gt;=1),0,IF($C326='Batt IN'!$H$54*12,-'Batt IN'!$F$54,0))</f>
        <v>0</v>
      </c>
      <c r="BQ326" s="2">
        <f>IF(AND('Batt IN'!$D$53="Yes",$AL$1&gt;=2),0,IF($C326='Batt IN'!$H$55*12,-'Batt IN'!$F$55,0))</f>
        <v>0</v>
      </c>
      <c r="BR326" s="2">
        <f>IF(AND('Batt IN'!$D$53="Yes",$AL$1&gt;=3),0,IF($C326='Batt IN'!$H$56*12,-'Batt IN'!$F$56,0))</f>
        <v>0</v>
      </c>
      <c r="BS326" s="2">
        <f>IF(AND('Batt IN'!$D$53="Yes",$AL$1&gt;=4),0,IF($C326='Batt IN'!$H$57*12,-'Batt IN'!$F$57,0))</f>
        <v>0</v>
      </c>
      <c r="BT326" s="2">
        <f>IF(AND('Batt IN'!$D$53="Yes",$AL$1&gt;=5),0,IF($C326='Batt IN'!$H$58*12,-'Batt IN'!$F$58,0))</f>
        <v>0</v>
      </c>
      <c r="BU326" s="2">
        <f>-AH326*PVCalcs!F326</f>
        <v>-367.65414684172509</v>
      </c>
      <c r="BV326" s="2">
        <f>-'Batt IN'!$E$47</f>
        <v>-150</v>
      </c>
      <c r="BW326" s="2">
        <f>-'Batt IN'!$E$49</f>
        <v>-2250</v>
      </c>
      <c r="BX326" s="2">
        <f>IF('Batt IN'!$H$50="No",-(BC326*'Batt IN'!$E$50),-(BC326+BE326)*'Batt IN'!$E$50)</f>
        <v>0</v>
      </c>
      <c r="BY326" s="2">
        <f>IF(C326='Batt IN'!$H$43*12,-'Batt IN'!$E$43,0)</f>
        <v>0</v>
      </c>
      <c r="BZ326" s="38"/>
      <c r="CA326" s="10">
        <f t="shared" si="89"/>
        <v>13758.895682305936</v>
      </c>
      <c r="CB326" s="2">
        <f t="shared" si="94"/>
        <v>-3017.6541468417254</v>
      </c>
      <c r="CC326" s="45">
        <f t="shared" si="90"/>
        <v>10741.241535464211</v>
      </c>
      <c r="CD326" s="43"/>
      <c r="CE326" s="2">
        <f t="shared" si="91"/>
        <v>0</v>
      </c>
      <c r="CF326" s="2">
        <f t="shared" si="95"/>
        <v>-3017.6541468417254</v>
      </c>
      <c r="CG326" s="2"/>
      <c r="CH326" s="2">
        <f t="shared" si="92"/>
        <v>-3017.6541468417254</v>
      </c>
      <c r="CI326" s="45">
        <f>-CH326*'Batt IN'!$E$7</f>
        <v>633.70737083676227</v>
      </c>
      <c r="CJ326" s="48"/>
      <c r="CK326" s="45">
        <f>IF('Batt IN'!$F$4="PV Only",0,IF(C326&gt;'Batt IN'!$H$43*12,0,CC326+CI326))</f>
        <v>0</v>
      </c>
      <c r="CM326" s="10">
        <f t="shared" si="93"/>
        <v>0</v>
      </c>
      <c r="CN326" s="2">
        <f>CK326/(1+('Batt IN'!$G$8))^(C326)</f>
        <v>0</v>
      </c>
      <c r="CO326" s="2" t="e">
        <f>IF(C326&lt;='Batt IN'!$O$30*12,CN326+CO325,NA())</f>
        <v>#N/A</v>
      </c>
      <c r="CQ326" s="2">
        <f>CK326/((1+('Batt IN'!$E$8/12))^BattCalcs!C326)</f>
        <v>0</v>
      </c>
      <c r="CS326" s="10">
        <f t="shared" si="96"/>
        <v>-3017.6541468417254</v>
      </c>
      <c r="CT326" s="10">
        <f t="shared" si="97"/>
        <v>0</v>
      </c>
      <c r="CU326" s="10">
        <f t="shared" si="98"/>
        <v>-3017.6541468417254</v>
      </c>
      <c r="CV326" s="10">
        <f t="shared" si="99"/>
        <v>-3017.6541468417254</v>
      </c>
      <c r="CW326" s="2">
        <f t="shared" si="100"/>
        <v>0</v>
      </c>
      <c r="CX326" s="2">
        <f>-(SUM(CV326:CW326)*'PV IN'!$E$8)</f>
        <v>633.70737083676227</v>
      </c>
      <c r="CY326" s="2">
        <f t="shared" si="101"/>
        <v>-2383.9467760049629</v>
      </c>
      <c r="CZ326" s="2">
        <f>IF(C326&lt;='Batt IN'!$H$43*12,CY326/(1+('PV IN'!$G$9))^(C326),0)</f>
        <v>0</v>
      </c>
      <c r="DA326" s="33">
        <f>IF(C326&lt;='Batt IN'!$H$43*12,AE326,0)</f>
        <v>0</v>
      </c>
    </row>
    <row r="327" spans="1:105" x14ac:dyDescent="0.25">
      <c r="A327" t="str">
        <f>IF(C327&lt;='Batt IN'!$H$43*12,C327,"")</f>
        <v/>
      </c>
      <c r="C327">
        <v>323</v>
      </c>
      <c r="D327" s="21">
        <v>753</v>
      </c>
      <c r="E327" s="1">
        <f>1-'Batt IN'!$E$31</f>
        <v>2.0000000000000018E-2</v>
      </c>
      <c r="F327" s="12">
        <f>('Batt IN'!$E$33*365)/8760</f>
        <v>0</v>
      </c>
      <c r="G327" s="22">
        <f>'Batt IN'!$E$32/8760</f>
        <v>5.7077625570776253E-3</v>
      </c>
      <c r="H327" s="22">
        <f>'Batt IN'!$E$13/8760</f>
        <v>5.5936073059360729E-3</v>
      </c>
      <c r="I327" s="23">
        <f>IF(C327&lt;='Batt IN'!$G$14*12,'Batt IN'!$E$15/8760*'Batt IN'!$G$15,0)</f>
        <v>0</v>
      </c>
      <c r="J327" s="12">
        <f>Z327/'Batt IN'!$E$27/730</f>
        <v>2.4999999999999996E-3</v>
      </c>
      <c r="K327" s="23">
        <f>AA327/'Batt IN'!$E$27/730</f>
        <v>1.6027397260273972E-3</v>
      </c>
      <c r="L327" s="23">
        <f>AB327/'Batt IN'!$E$27/730</f>
        <v>2.0547945205479451E-4</v>
      </c>
      <c r="M327" s="23">
        <f>AC327/'Batt IN'!$E$27/730</f>
        <v>4.7945205479452057E-3</v>
      </c>
      <c r="N327" s="23">
        <f>AD327/'Batt IN'!$E$27/730</f>
        <v>3.4246575342465752E-3</v>
      </c>
      <c r="O327" s="12">
        <f t="shared" si="85"/>
        <v>4.3828767123287697E-2</v>
      </c>
      <c r="P327" s="21">
        <f t="shared" si="86"/>
        <v>719.99693835616438</v>
      </c>
      <c r="Q327" s="2">
        <f>IF('Batt IN'!$E$27*'Batt IN'!$E$24&lt;='Batt IN'!$E$28,(('Batt IN'!$E$23*'Batt IN'!$E$27*'Batt IN'!$E$24)/1000)*P327,(('Batt IN'!$E$23*'Batt IN'!$E$28*'Batt IN'!$E$24)/1000)*P327)</f>
        <v>11519.95101369863</v>
      </c>
      <c r="R327" s="2"/>
      <c r="S327" s="77">
        <f>IF(C327&lt;='Batt IN'!$G$14*12,'Batt IN'!$E$15/12,0)</f>
        <v>0</v>
      </c>
      <c r="T327" s="77"/>
      <c r="U327" s="80">
        <f>'Batt IN'!$E$28*('Batt IN'!$G$24/24)*730*(1-O327)</f>
        <v>81433.916666666657</v>
      </c>
      <c r="V327" s="78">
        <f>U327*'Batt IN'!$F$30</f>
        <v>16286.783333333333</v>
      </c>
      <c r="W327" s="78">
        <f>'Batt IN'!$E$28*'Batt IN'!$G$32*('Batt IN'!$E$32/12)*(1+'Batt IN'!$F$30)</f>
        <v>1750.0000000000002</v>
      </c>
      <c r="X327" s="78">
        <f>'Batt IN'!$E$28*'Batt IN'!$G$13*('Batt IN'!$E$13/12)*(1+'Batt IN'!$F$30)</f>
        <v>3184.9999999999995</v>
      </c>
      <c r="Y327" s="33">
        <f>S327*'Batt IN'!$G$15*'Batt IN'!$E$28*(1+'Batt IN'!$F$30)</f>
        <v>0</v>
      </c>
      <c r="Z327" s="33">
        <f>'Batt IN'!$G$16*365/12*(1+'Batt IN'!$F$30)</f>
        <v>1824.9999999999998</v>
      </c>
      <c r="AA327" s="33">
        <f>'Batt IN'!$G$17*'Batt IN'!$E$18*'Batt IN'!$G$18/12*(1+'Batt IN'!$F$30)</f>
        <v>1170</v>
      </c>
      <c r="AB327" s="33">
        <f>'Batt IN'!$G$19*'Batt IN'!$E$20*'Batt IN'!$G$20/12*(1+'Batt IN'!$F$30)</f>
        <v>150</v>
      </c>
      <c r="AC327" s="33">
        <f>'Batt IN'!$G$21*(1+'Batt IN'!$F$30)/12</f>
        <v>3500</v>
      </c>
      <c r="AD327" s="33">
        <f>'Batt IN'!$G$22*(1+'Batt IN'!$F$30)/12</f>
        <v>2500</v>
      </c>
      <c r="AE327" s="33">
        <f t="shared" si="87"/>
        <v>30366.783333333333</v>
      </c>
      <c r="AF327" s="33">
        <f>IF('PV IN'!$F$4="Battery Only",0,AE327*'Batt IN'!$E$29)</f>
        <v>25811.765833333331</v>
      </c>
      <c r="AG327" s="33">
        <f>PVCalcs!L327</f>
        <v>25811.765833333331</v>
      </c>
      <c r="AH327" s="33">
        <f t="shared" si="88"/>
        <v>4555.0175000000017</v>
      </c>
      <c r="AI327" s="33"/>
      <c r="AJ327" s="2">
        <f>IF(AND('Batt IN'!$D$53="Yes",$AL$1&gt;=1),IF($C327='Batt IN'!$H$54*12,-'Batt IN'!$F$54,0),0)</f>
        <v>0</v>
      </c>
      <c r="AK327" s="2">
        <f>IF(AND('Batt IN'!$D$53="Yes",$AL$1&gt;=2),IF($C327='Batt IN'!$H$55*12,-'Batt IN'!$F$55,0),0)</f>
        <v>0</v>
      </c>
      <c r="AL327" s="2">
        <f>IF(AND('Batt IN'!$D$53="Yes",$AL$1&gt;=3),IF($C327='Batt IN'!$H$56*12,-'Batt IN'!$F$56,0),0)</f>
        <v>0</v>
      </c>
      <c r="AM327" s="2">
        <f>IF(AND('Batt IN'!$D$53="Yes",$AL$1&gt;=4),IF($C327='Batt IN'!$H$57*12,-'Batt IN'!$F$57,0),0)</f>
        <v>0</v>
      </c>
      <c r="AN327" s="2">
        <f>IF(AND('Batt IN'!$D$53="Yes",$AL$1&gt;=5),IF($C327='Batt IN'!$H$58*12,-'Batt IN'!$F$58,0),0)</f>
        <v>0</v>
      </c>
      <c r="AO327" s="10">
        <f>IF(AND('Batt IN'!$D$44="YES",$C327&lt;='Batt IN'!$E$44*12),-'Batt IN'!$E$28*'Batt IN'!$E$42/12,0)</f>
        <v>0</v>
      </c>
      <c r="AP327" s="10">
        <f>IF(AND('Batt IN'!$D$46="YES",$C327&lt;='Batt IN'!$E$46*12),-'Batt IN'!$E$28*'Batt IN'!$E$45/12,0)</f>
        <v>0</v>
      </c>
      <c r="AR327" s="10">
        <f>BattLoan!M354</f>
        <v>0</v>
      </c>
      <c r="AS327" s="10">
        <f>'Batt IN'!$G$16*365/12*'Batt IN'!$E$16</f>
        <v>76.041666666666671</v>
      </c>
      <c r="AT327" s="10">
        <f>IF(AND('Batt IN'!$E$18&gt;0,'Batt IN'!$G$18&gt;0),'Batt IN'!$E$17*'Batt IN'!$G$17,0)</f>
        <v>119.44619999999999</v>
      </c>
      <c r="AU327" s="10">
        <f>IF(AND('Batt IN'!$E$20&gt;0,'Batt IN'!$G$20&gt;0),'Batt IN'!$E$19*'Batt IN'!$G$19,0)</f>
        <v>231</v>
      </c>
      <c r="AV327" s="10"/>
      <c r="AW327" s="10"/>
      <c r="AX327" s="10">
        <f>IF('Batt IN'!$E$11="Non-Taxable",Q327,0)</f>
        <v>11519.95101369863</v>
      </c>
      <c r="AY327" s="10">
        <f>IF('Batt IN'!$E$11="Non-Taxable",'Batt IN'!$E$28/1000*'Batt IN'!$G$13*('Batt IN'!$E$13/12)*'Batt IN'!$E$12,0)</f>
        <v>244.42220833333334</v>
      </c>
      <c r="AZ327" s="10">
        <f>IF('Batt IN'!$E$11="Non-Taxable",$S327*'Batt IN'!$G$15*'Batt IN'!$E$28*'Batt IN'!$E$14/1000,0)</f>
        <v>0</v>
      </c>
      <c r="BA327" s="10">
        <f>IF('Batt IN'!$E$11="Non-Taxable",'Batt IN'!$E$21*'Batt IN'!$G$21/12,0)</f>
        <v>437.5</v>
      </c>
      <c r="BB327" s="10">
        <f>IF('Batt IN'!$E$11="Non-Taxable",'Batt IN'!$E$22*'Batt IN'!$G$22/12,0)</f>
        <v>1145.8333333333335</v>
      </c>
      <c r="BC327" s="10">
        <f>IF('Batt IN'!$E$11="Taxable",Q327,0)</f>
        <v>0</v>
      </c>
      <c r="BD327" s="10">
        <f>IF('Batt IN'!$E$11="Taxable",'Batt IN'!$E$28/1000*'Batt IN'!$G$13*('Batt IN'!$E$13/12)*'Batt IN'!$E$12,0)</f>
        <v>0</v>
      </c>
      <c r="BE327" s="10">
        <f>IF('Batt IN'!$E$11="Taxable",$S327*'Batt IN'!$G$15*'Batt IN'!$E$28*'Batt IN'!$E$14/1000,0)</f>
        <v>0</v>
      </c>
      <c r="BF327" s="10">
        <f>IF('Batt IN'!$E$11="Taxable",'Batt IN'!$E$21*'Batt IN'!$G$21/12,0)</f>
        <v>0</v>
      </c>
      <c r="BG327" s="10">
        <f>IF('Batt IN'!$E$11="Taxable",'Batt IN'!$E$22*'Batt IN'!$G$22/12,0)</f>
        <v>0</v>
      </c>
      <c r="BK327" s="10">
        <f>IF('Batt IN'!$N$18="Yes",-BattLoan!H355,-BattLoan!L355)</f>
        <v>0</v>
      </c>
      <c r="BL327" s="10">
        <f>IF('Batt IN'!$N$18="Yes",-BattLoan!F355,0)</f>
        <v>0</v>
      </c>
      <c r="BM327" s="10">
        <f>IF(AND('Batt IN'!$D$44="YES",$C327&lt;='Batt IN'!$E$44*12),0,-'Batt IN'!$E$28*'Batt IN'!$E$42/12)</f>
        <v>-83.333333333333329</v>
      </c>
      <c r="BN327" s="10">
        <f>IF(AND('Batt IN'!$D$46="YES",$C327&lt;='Batt IN'!$E$46*12),0,-'Batt IN'!$E$28*'Batt IN'!$E$45/12)</f>
        <v>-166.66666666666666</v>
      </c>
      <c r="BO327" s="2">
        <f>IF(AND('Batt IN'!$D$41="YES",BattCalcs!C327=ROUNDUP('Batt IN'!$H$41*12,)),-'Batt IN'!$E$41*'Batt IN'!$E$28,0)</f>
        <v>0</v>
      </c>
      <c r="BP327" s="2">
        <f>IF(AND('Batt IN'!$D$53="Yes",$AL$1&gt;=1),0,IF($C327='Batt IN'!$H$54*12,-'Batt IN'!$F$54,0))</f>
        <v>0</v>
      </c>
      <c r="BQ327" s="2">
        <f>IF(AND('Batt IN'!$D$53="Yes",$AL$1&gt;=2),0,IF($C327='Batt IN'!$H$55*12,-'Batt IN'!$F$55,0))</f>
        <v>0</v>
      </c>
      <c r="BR327" s="2">
        <f>IF(AND('Batt IN'!$D$53="Yes",$AL$1&gt;=3),0,IF($C327='Batt IN'!$H$56*12,-'Batt IN'!$F$56,0))</f>
        <v>0</v>
      </c>
      <c r="BS327" s="2">
        <f>IF(AND('Batt IN'!$D$53="Yes",$AL$1&gt;=4),0,IF($C327='Batt IN'!$H$57*12,-'Batt IN'!$F$57,0))</f>
        <v>0</v>
      </c>
      <c r="BT327" s="2">
        <f>IF(AND('Batt IN'!$D$53="Yes",$AL$1&gt;=5),0,IF($C327='Batt IN'!$H$58*12,-'Batt IN'!$F$58,0))</f>
        <v>0</v>
      </c>
      <c r="BU327" s="2">
        <f>-AH327*PVCalcs!F327</f>
        <v>-367.65414684172509</v>
      </c>
      <c r="BV327" s="2">
        <f>-'Batt IN'!$E$47</f>
        <v>-150</v>
      </c>
      <c r="BW327" s="2">
        <f>-'Batt IN'!$E$49</f>
        <v>-2250</v>
      </c>
      <c r="BX327" s="2">
        <f>IF('Batt IN'!$H$50="No",-(BC327*'Batt IN'!$E$50),-(BC327+BE327)*'Batt IN'!$E$50)</f>
        <v>0</v>
      </c>
      <c r="BY327" s="2">
        <f>IF(C327='Batt IN'!$H$43*12,-'Batt IN'!$E$43,0)</f>
        <v>0</v>
      </c>
      <c r="BZ327" s="38"/>
      <c r="CA327" s="10">
        <f t="shared" si="89"/>
        <v>13774.194422031964</v>
      </c>
      <c r="CB327" s="2">
        <f t="shared" si="94"/>
        <v>-3017.6541468417254</v>
      </c>
      <c r="CC327" s="45">
        <f t="shared" si="90"/>
        <v>10756.540275190238</v>
      </c>
      <c r="CD327" s="43"/>
      <c r="CE327" s="2">
        <f t="shared" si="91"/>
        <v>0</v>
      </c>
      <c r="CF327" s="2">
        <f t="shared" si="95"/>
        <v>-3017.6541468417254</v>
      </c>
      <c r="CG327" s="2"/>
      <c r="CH327" s="2">
        <f t="shared" si="92"/>
        <v>-3017.6541468417254</v>
      </c>
      <c r="CI327" s="45">
        <f>-CH327*'Batt IN'!$E$7</f>
        <v>633.70737083676227</v>
      </c>
      <c r="CJ327" s="48"/>
      <c r="CK327" s="45">
        <f>IF('Batt IN'!$F$4="PV Only",0,IF(C327&gt;'Batt IN'!$H$43*12,0,CC327+CI327))</f>
        <v>0</v>
      </c>
      <c r="CM327" s="10">
        <f t="shared" si="93"/>
        <v>0</v>
      </c>
      <c r="CN327" s="2">
        <f>CK327/(1+('Batt IN'!$G$8))^(C327)</f>
        <v>0</v>
      </c>
      <c r="CO327" s="2" t="e">
        <f>IF(C327&lt;='Batt IN'!$O$30*12,CN327+CO326,NA())</f>
        <v>#N/A</v>
      </c>
      <c r="CQ327" s="2">
        <f>CK327/((1+('Batt IN'!$E$8/12))^BattCalcs!C327)</f>
        <v>0</v>
      </c>
      <c r="CS327" s="10">
        <f t="shared" si="96"/>
        <v>-3017.6541468417254</v>
      </c>
      <c r="CT327" s="10">
        <f t="shared" si="97"/>
        <v>0</v>
      </c>
      <c r="CU327" s="10">
        <f t="shared" si="98"/>
        <v>-3017.6541468417254</v>
      </c>
      <c r="CV327" s="10">
        <f t="shared" si="99"/>
        <v>-3017.6541468417254</v>
      </c>
      <c r="CW327" s="2">
        <f t="shared" si="100"/>
        <v>0</v>
      </c>
      <c r="CX327" s="2">
        <f>-(SUM(CV327:CW327)*'PV IN'!$E$8)</f>
        <v>633.70737083676227</v>
      </c>
      <c r="CY327" s="2">
        <f t="shared" si="101"/>
        <v>-2383.9467760049629</v>
      </c>
      <c r="CZ327" s="2">
        <f>IF(C327&lt;='Batt IN'!$H$43*12,CY327/(1+('PV IN'!$G$9))^(C327),0)</f>
        <v>0</v>
      </c>
      <c r="DA327" s="33">
        <f>IF(C327&lt;='Batt IN'!$H$43*12,AE327,0)</f>
        <v>0</v>
      </c>
    </row>
    <row r="328" spans="1:105" x14ac:dyDescent="0.25">
      <c r="A328" t="str">
        <f>IF(C328&lt;='Batt IN'!$H$43*12,C328,"")</f>
        <v/>
      </c>
      <c r="B328">
        <v>27</v>
      </c>
      <c r="C328">
        <v>324</v>
      </c>
      <c r="D328" s="21">
        <v>754</v>
      </c>
      <c r="E328" s="1">
        <f>1-'Batt IN'!$E$31</f>
        <v>2.0000000000000018E-2</v>
      </c>
      <c r="F328" s="12">
        <f>('Batt IN'!$E$33*365)/8760</f>
        <v>0</v>
      </c>
      <c r="G328" s="22">
        <f>'Batt IN'!$E$32/8760</f>
        <v>5.7077625570776253E-3</v>
      </c>
      <c r="H328" s="22">
        <f>'Batt IN'!$E$13/8760</f>
        <v>5.5936073059360729E-3</v>
      </c>
      <c r="I328" s="23">
        <f>IF(C328&lt;='Batt IN'!$G$14*12,'Batt IN'!$E$15/8760*'Batt IN'!$G$15,0)</f>
        <v>0</v>
      </c>
      <c r="J328" s="12">
        <f>Z328/'Batt IN'!$E$27/730</f>
        <v>2.4999999999999996E-3</v>
      </c>
      <c r="K328" s="23">
        <f>AA328/'Batt IN'!$E$27/730</f>
        <v>1.6027397260273972E-3</v>
      </c>
      <c r="L328" s="23">
        <f>AB328/'Batt IN'!$E$27/730</f>
        <v>2.0547945205479451E-4</v>
      </c>
      <c r="M328" s="23">
        <f>AC328/'Batt IN'!$E$27/730</f>
        <v>4.7945205479452057E-3</v>
      </c>
      <c r="N328" s="23">
        <f>AD328/'Batt IN'!$E$27/730</f>
        <v>3.4246575342465752E-3</v>
      </c>
      <c r="O328" s="12">
        <f t="shared" si="85"/>
        <v>4.3828767123287697E-2</v>
      </c>
      <c r="P328" s="21">
        <f t="shared" si="86"/>
        <v>720.95310958904111</v>
      </c>
      <c r="Q328" s="2">
        <f>IF('Batt IN'!$E$27*'Batt IN'!$E$24&lt;='Batt IN'!$E$28,(('Batt IN'!$E$23*'Batt IN'!$E$27*'Batt IN'!$E$24)/1000)*P328,(('Batt IN'!$E$23*'Batt IN'!$E$28*'Batt IN'!$E$24)/1000)*P328)</f>
        <v>11535.249753424658</v>
      </c>
      <c r="R328" s="2"/>
      <c r="S328" s="77">
        <f>IF(C328&lt;='Batt IN'!$G$14*12,'Batt IN'!$E$15/12,0)</f>
        <v>0</v>
      </c>
      <c r="T328" s="77"/>
      <c r="U328" s="80">
        <f>'Batt IN'!$E$28*('Batt IN'!$G$24/24)*730*(1-O328)</f>
        <v>81433.916666666657</v>
      </c>
      <c r="V328" s="78">
        <f>U328*'Batt IN'!$F$30</f>
        <v>16286.783333333333</v>
      </c>
      <c r="W328" s="78">
        <f>'Batt IN'!$E$28*'Batt IN'!$G$32*('Batt IN'!$E$32/12)*(1+'Batt IN'!$F$30)</f>
        <v>1750.0000000000002</v>
      </c>
      <c r="X328" s="78">
        <f>'Batt IN'!$E$28*'Batt IN'!$G$13*('Batt IN'!$E$13/12)*(1+'Batt IN'!$F$30)</f>
        <v>3184.9999999999995</v>
      </c>
      <c r="Y328" s="33">
        <f>S328*'Batt IN'!$G$15*'Batt IN'!$E$28*(1+'Batt IN'!$F$30)</f>
        <v>0</v>
      </c>
      <c r="Z328" s="33">
        <f>'Batt IN'!$G$16*365/12*(1+'Batt IN'!$F$30)</f>
        <v>1824.9999999999998</v>
      </c>
      <c r="AA328" s="33">
        <f>'Batt IN'!$G$17*'Batt IN'!$E$18*'Batt IN'!$G$18/12*(1+'Batt IN'!$F$30)</f>
        <v>1170</v>
      </c>
      <c r="AB328" s="33">
        <f>'Batt IN'!$G$19*'Batt IN'!$E$20*'Batt IN'!$G$20/12*(1+'Batt IN'!$F$30)</f>
        <v>150</v>
      </c>
      <c r="AC328" s="33">
        <f>'Batt IN'!$G$21*(1+'Batt IN'!$F$30)/12</f>
        <v>3500</v>
      </c>
      <c r="AD328" s="33">
        <f>'Batt IN'!$G$22*(1+'Batt IN'!$F$30)/12</f>
        <v>2500</v>
      </c>
      <c r="AE328" s="33">
        <f t="shared" si="87"/>
        <v>30366.783333333333</v>
      </c>
      <c r="AF328" s="33">
        <f>IF('PV IN'!$F$4="Battery Only",0,AE328*'Batt IN'!$E$29)</f>
        <v>25811.765833333331</v>
      </c>
      <c r="AG328" s="33">
        <f>PVCalcs!L328</f>
        <v>25811.765833333331</v>
      </c>
      <c r="AH328" s="33">
        <f t="shared" si="88"/>
        <v>4555.0175000000017</v>
      </c>
      <c r="AI328" s="33"/>
      <c r="AJ328" s="2">
        <f>IF(AND('Batt IN'!$D$53="Yes",$AL$1&gt;=1),IF($C328='Batt IN'!$H$54*12,-'Batt IN'!$F$54,0),0)</f>
        <v>0</v>
      </c>
      <c r="AK328" s="2">
        <f>IF(AND('Batt IN'!$D$53="Yes",$AL$1&gt;=2),IF($C328='Batt IN'!$H$55*12,-'Batt IN'!$F$55,0),0)</f>
        <v>0</v>
      </c>
      <c r="AL328" s="2">
        <f>IF(AND('Batt IN'!$D$53="Yes",$AL$1&gt;=3),IF($C328='Batt IN'!$H$56*12,-'Batt IN'!$F$56,0),0)</f>
        <v>0</v>
      </c>
      <c r="AM328" s="2">
        <f>IF(AND('Batt IN'!$D$53="Yes",$AL$1&gt;=4),IF($C328='Batt IN'!$H$57*12,-'Batt IN'!$F$57,0),0)</f>
        <v>0</v>
      </c>
      <c r="AN328" s="2">
        <f>IF(AND('Batt IN'!$D$53="Yes",$AL$1&gt;=5),IF($C328='Batt IN'!$H$58*12,-'Batt IN'!$F$58,0),0)</f>
        <v>0</v>
      </c>
      <c r="AO328" s="10">
        <f>IF(AND('Batt IN'!$D$44="YES",$C328&lt;='Batt IN'!$E$44*12),-'Batt IN'!$E$28*'Batt IN'!$E$42/12,0)</f>
        <v>0</v>
      </c>
      <c r="AP328" s="10">
        <f>IF(AND('Batt IN'!$D$46="YES",$C328&lt;='Batt IN'!$E$46*12),-'Batt IN'!$E$28*'Batt IN'!$E$45/12,0)</f>
        <v>0</v>
      </c>
      <c r="AR328" s="10">
        <f>BattLoan!M355</f>
        <v>0</v>
      </c>
      <c r="AS328" s="10">
        <f>'Batt IN'!$G$16*365/12*'Batt IN'!$E$16</f>
        <v>76.041666666666671</v>
      </c>
      <c r="AT328" s="10">
        <f>IF(AND('Batt IN'!$E$18&gt;0,'Batt IN'!$G$18&gt;0),'Batt IN'!$E$17*'Batt IN'!$G$17,0)</f>
        <v>119.44619999999999</v>
      </c>
      <c r="AU328" s="10">
        <f>IF(AND('Batt IN'!$E$20&gt;0,'Batt IN'!$G$20&gt;0),'Batt IN'!$E$19*'Batt IN'!$G$19,0)</f>
        <v>231</v>
      </c>
      <c r="AV328" s="10"/>
      <c r="AW328" s="10"/>
      <c r="AX328" s="10">
        <f>IF('Batt IN'!$E$11="Non-Taxable",Q328,0)</f>
        <v>11535.249753424658</v>
      </c>
      <c r="AY328" s="10">
        <f>IF('Batt IN'!$E$11="Non-Taxable",'Batt IN'!$E$28/1000*'Batt IN'!$G$13*('Batt IN'!$E$13/12)*'Batt IN'!$E$12,0)</f>
        <v>244.42220833333334</v>
      </c>
      <c r="AZ328" s="10">
        <f>IF('Batt IN'!$E$11="Non-Taxable",$S328*'Batt IN'!$G$15*'Batt IN'!$E$28*'Batt IN'!$E$14/1000,0)</f>
        <v>0</v>
      </c>
      <c r="BA328" s="10">
        <f>IF('Batt IN'!$E$11="Non-Taxable",'Batt IN'!$E$21*'Batt IN'!$G$21/12,0)</f>
        <v>437.5</v>
      </c>
      <c r="BB328" s="10">
        <f>IF('Batt IN'!$E$11="Non-Taxable",'Batt IN'!$E$22*'Batt IN'!$G$22/12,0)</f>
        <v>1145.8333333333335</v>
      </c>
      <c r="BC328" s="10">
        <f>IF('Batt IN'!$E$11="Taxable",Q328,0)</f>
        <v>0</v>
      </c>
      <c r="BD328" s="10">
        <f>IF('Batt IN'!$E$11="Taxable",'Batt IN'!$E$28/1000*'Batt IN'!$G$13*('Batt IN'!$E$13/12)*'Batt IN'!$E$12,0)</f>
        <v>0</v>
      </c>
      <c r="BE328" s="10">
        <f>IF('Batt IN'!$E$11="Taxable",$S328*'Batt IN'!$G$15*'Batt IN'!$E$28*'Batt IN'!$E$14/1000,0)</f>
        <v>0</v>
      </c>
      <c r="BF328" s="10">
        <f>IF('Batt IN'!$E$11="Taxable",'Batt IN'!$E$21*'Batt IN'!$G$21/12,0)</f>
        <v>0</v>
      </c>
      <c r="BG328" s="10">
        <f>IF('Batt IN'!$E$11="Taxable",'Batt IN'!$E$22*'Batt IN'!$G$22/12,0)</f>
        <v>0</v>
      </c>
      <c r="BK328" s="10">
        <f>IF('Batt IN'!$N$18="Yes",-BattLoan!H356,-BattLoan!L356)</f>
        <v>0</v>
      </c>
      <c r="BL328" s="10">
        <f>IF('Batt IN'!$N$18="Yes",-BattLoan!F356,0)</f>
        <v>0</v>
      </c>
      <c r="BM328" s="10">
        <f>IF(AND('Batt IN'!$D$44="YES",$C328&lt;='Batt IN'!$E$44*12),0,-'Batt IN'!$E$28*'Batt IN'!$E$42/12)</f>
        <v>-83.333333333333329</v>
      </c>
      <c r="BN328" s="10">
        <f>IF(AND('Batt IN'!$D$46="YES",$C328&lt;='Batt IN'!$E$46*12),0,-'Batt IN'!$E$28*'Batt IN'!$E$45/12)</f>
        <v>-166.66666666666666</v>
      </c>
      <c r="BO328" s="2">
        <f>IF(AND('Batt IN'!$D$41="YES",BattCalcs!C328=ROUNDUP('Batt IN'!$H$41*12,)),-'Batt IN'!$E$41*'Batt IN'!$E$28,0)</f>
        <v>0</v>
      </c>
      <c r="BP328" s="2">
        <f>IF(AND('Batt IN'!$D$53="Yes",$AL$1&gt;=1),0,IF($C328='Batt IN'!$H$54*12,-'Batt IN'!$F$54,0))</f>
        <v>0</v>
      </c>
      <c r="BQ328" s="2">
        <f>IF(AND('Batt IN'!$D$53="Yes",$AL$1&gt;=2),0,IF($C328='Batt IN'!$H$55*12,-'Batt IN'!$F$55,0))</f>
        <v>0</v>
      </c>
      <c r="BR328" s="2">
        <f>IF(AND('Batt IN'!$D$53="Yes",$AL$1&gt;=3),0,IF($C328='Batt IN'!$H$56*12,-'Batt IN'!$F$56,0))</f>
        <v>0</v>
      </c>
      <c r="BS328" s="2">
        <f>IF(AND('Batt IN'!$D$53="Yes",$AL$1&gt;=4),0,IF($C328='Batt IN'!$H$57*12,-'Batt IN'!$F$57,0))</f>
        <v>0</v>
      </c>
      <c r="BT328" s="2">
        <f>IF(AND('Batt IN'!$D$53="Yes",$AL$1&gt;=5),0,IF($C328='Batt IN'!$H$58*12,-'Batt IN'!$F$58,0))</f>
        <v>0</v>
      </c>
      <c r="BU328" s="2">
        <f>-AH328*PVCalcs!F328</f>
        <v>-367.65414684172509</v>
      </c>
      <c r="BV328" s="2">
        <f>-'Batt IN'!$E$47</f>
        <v>-150</v>
      </c>
      <c r="BW328" s="2">
        <f>-'Batt IN'!$E$49</f>
        <v>-2250</v>
      </c>
      <c r="BX328" s="2">
        <f>IF('Batt IN'!$H$50="No",-(BC328*'Batt IN'!$E$50),-(BC328+BE328)*'Batt IN'!$E$50)</f>
        <v>0</v>
      </c>
      <c r="BY328" s="2">
        <f>IF(C328='Batt IN'!$H$43*12,-'Batt IN'!$E$43,0)</f>
        <v>0</v>
      </c>
      <c r="BZ328" s="38"/>
      <c r="CA328" s="10">
        <f t="shared" si="89"/>
        <v>13789.493161757991</v>
      </c>
      <c r="CB328" s="2">
        <f t="shared" si="94"/>
        <v>-3017.6541468417254</v>
      </c>
      <c r="CC328" s="45">
        <f t="shared" si="90"/>
        <v>10771.839014916266</v>
      </c>
      <c r="CD328" s="43"/>
      <c r="CE328" s="2">
        <f t="shared" si="91"/>
        <v>0</v>
      </c>
      <c r="CF328" s="2">
        <f t="shared" si="95"/>
        <v>-3017.6541468417254</v>
      </c>
      <c r="CG328" s="2"/>
      <c r="CH328" s="2">
        <f t="shared" si="92"/>
        <v>-3017.6541468417254</v>
      </c>
      <c r="CI328" s="45">
        <f>-CH328*'Batt IN'!$E$7</f>
        <v>633.70737083676227</v>
      </c>
      <c r="CJ328" s="48"/>
      <c r="CK328" s="45">
        <f>IF('Batt IN'!$F$4="PV Only",0,IF(C328&gt;'Batt IN'!$H$43*12,0,CC328+CI328))</f>
        <v>0</v>
      </c>
      <c r="CM328" s="10">
        <f t="shared" si="93"/>
        <v>0</v>
      </c>
      <c r="CN328" s="2">
        <f>CK328/(1+('Batt IN'!$G$8))^(C328)</f>
        <v>0</v>
      </c>
      <c r="CO328" s="2" t="e">
        <f>IF(C328&lt;='Batt IN'!$O$30*12,CN328+CO327,NA())</f>
        <v>#N/A</v>
      </c>
      <c r="CQ328" s="2">
        <f>CK328/((1+('Batt IN'!$E$8/12))^BattCalcs!C328)</f>
        <v>0</v>
      </c>
      <c r="CS328" s="10">
        <f t="shared" si="96"/>
        <v>-3017.6541468417254</v>
      </c>
      <c r="CT328" s="10">
        <f t="shared" si="97"/>
        <v>0</v>
      </c>
      <c r="CU328" s="10">
        <f t="shared" si="98"/>
        <v>-3017.6541468417254</v>
      </c>
      <c r="CV328" s="10">
        <f t="shared" si="99"/>
        <v>-3017.6541468417254</v>
      </c>
      <c r="CW328" s="2">
        <f t="shared" si="100"/>
        <v>0</v>
      </c>
      <c r="CX328" s="2">
        <f>-(SUM(CV328:CW328)*'PV IN'!$E$8)</f>
        <v>633.70737083676227</v>
      </c>
      <c r="CY328" s="2">
        <f t="shared" si="101"/>
        <v>-2383.9467760049629</v>
      </c>
      <c r="CZ328" s="2">
        <f>IF(C328&lt;='Batt IN'!$H$43*12,CY328/(1+('PV IN'!$G$9))^(C328),0)</f>
        <v>0</v>
      </c>
      <c r="DA328" s="33">
        <f>IF(C328&lt;='Batt IN'!$H$43*12,AE328,0)</f>
        <v>0</v>
      </c>
    </row>
    <row r="329" spans="1:105" x14ac:dyDescent="0.25">
      <c r="A329" t="str">
        <f>IF(C329&lt;='Batt IN'!$H$43*12,C329,"")</f>
        <v/>
      </c>
      <c r="C329">
        <v>325</v>
      </c>
      <c r="D329" s="21">
        <v>755</v>
      </c>
      <c r="E329" s="1">
        <f>1-'Batt IN'!$E$31</f>
        <v>2.0000000000000018E-2</v>
      </c>
      <c r="F329" s="12">
        <f>('Batt IN'!$E$33*365)/8760</f>
        <v>0</v>
      </c>
      <c r="G329" s="22">
        <f>'Batt IN'!$E$32/8760</f>
        <v>5.7077625570776253E-3</v>
      </c>
      <c r="H329" s="22">
        <f>'Batt IN'!$E$13/8760</f>
        <v>5.5936073059360729E-3</v>
      </c>
      <c r="I329" s="23">
        <f>IF(C329&lt;='Batt IN'!$G$14*12,'Batt IN'!$E$15/8760*'Batt IN'!$G$15,0)</f>
        <v>0</v>
      </c>
      <c r="J329" s="12">
        <f>Z329/'Batt IN'!$E$27/730</f>
        <v>2.4999999999999996E-3</v>
      </c>
      <c r="K329" s="23">
        <f>AA329/'Batt IN'!$E$27/730</f>
        <v>1.6027397260273972E-3</v>
      </c>
      <c r="L329" s="23">
        <f>AB329/'Batt IN'!$E$27/730</f>
        <v>2.0547945205479451E-4</v>
      </c>
      <c r="M329" s="23">
        <f>AC329/'Batt IN'!$E$27/730</f>
        <v>4.7945205479452057E-3</v>
      </c>
      <c r="N329" s="23">
        <f>AD329/'Batt IN'!$E$27/730</f>
        <v>3.4246575342465752E-3</v>
      </c>
      <c r="O329" s="12">
        <f t="shared" si="85"/>
        <v>4.3828767123287697E-2</v>
      </c>
      <c r="P329" s="21">
        <f t="shared" si="86"/>
        <v>721.90928082191783</v>
      </c>
      <c r="Q329" s="2">
        <f>IF('Batt IN'!$E$27*'Batt IN'!$E$24&lt;='Batt IN'!$E$28,(('Batt IN'!$E$23*'Batt IN'!$E$27*'Batt IN'!$E$24)/1000)*P329,(('Batt IN'!$E$23*'Batt IN'!$E$28*'Batt IN'!$E$24)/1000)*P329)</f>
        <v>11550.548493150685</v>
      </c>
      <c r="R329" s="2"/>
      <c r="S329" s="77">
        <f>IF(C329&lt;='Batt IN'!$G$14*12,'Batt IN'!$E$15/12,0)</f>
        <v>0</v>
      </c>
      <c r="T329" s="77"/>
      <c r="U329" s="80">
        <f>'Batt IN'!$E$28*('Batt IN'!$G$24/24)*730*(1-O329)</f>
        <v>81433.916666666657</v>
      </c>
      <c r="V329" s="78">
        <f>U329*'Batt IN'!$F$30</f>
        <v>16286.783333333333</v>
      </c>
      <c r="W329" s="78">
        <f>'Batt IN'!$E$28*'Batt IN'!$G$32*('Batt IN'!$E$32/12)*(1+'Batt IN'!$F$30)</f>
        <v>1750.0000000000002</v>
      </c>
      <c r="X329" s="78">
        <f>'Batt IN'!$E$28*'Batt IN'!$G$13*('Batt IN'!$E$13/12)*(1+'Batt IN'!$F$30)</f>
        <v>3184.9999999999995</v>
      </c>
      <c r="Y329" s="33">
        <f>S329*'Batt IN'!$G$15*'Batt IN'!$E$28*(1+'Batt IN'!$F$30)</f>
        <v>0</v>
      </c>
      <c r="Z329" s="33">
        <f>'Batt IN'!$G$16*365/12*(1+'Batt IN'!$F$30)</f>
        <v>1824.9999999999998</v>
      </c>
      <c r="AA329" s="33">
        <f>'Batt IN'!$G$17*'Batt IN'!$E$18*'Batt IN'!$G$18/12*(1+'Batt IN'!$F$30)</f>
        <v>1170</v>
      </c>
      <c r="AB329" s="33">
        <f>'Batt IN'!$G$19*'Batt IN'!$E$20*'Batt IN'!$G$20/12*(1+'Batt IN'!$F$30)</f>
        <v>150</v>
      </c>
      <c r="AC329" s="33">
        <f>'Batt IN'!$G$21*(1+'Batt IN'!$F$30)/12</f>
        <v>3500</v>
      </c>
      <c r="AD329" s="33">
        <f>'Batt IN'!$G$22*(1+'Batt IN'!$F$30)/12</f>
        <v>2500</v>
      </c>
      <c r="AE329" s="33">
        <f t="shared" si="87"/>
        <v>30366.783333333333</v>
      </c>
      <c r="AF329" s="33">
        <f>IF('PV IN'!$F$4="Battery Only",0,AE329*'Batt IN'!$E$29)</f>
        <v>25811.765833333331</v>
      </c>
      <c r="AG329" s="33">
        <f>PVCalcs!L329</f>
        <v>25811.765833333331</v>
      </c>
      <c r="AH329" s="33">
        <f t="shared" si="88"/>
        <v>4555.0175000000017</v>
      </c>
      <c r="AI329" s="33"/>
      <c r="AJ329" s="2">
        <f>IF(AND('Batt IN'!$D$53="Yes",$AL$1&gt;=1),IF($C329='Batt IN'!$H$54*12,-'Batt IN'!$F$54,0),0)</f>
        <v>0</v>
      </c>
      <c r="AK329" s="2">
        <f>IF(AND('Batt IN'!$D$53="Yes",$AL$1&gt;=2),IF($C329='Batt IN'!$H$55*12,-'Batt IN'!$F$55,0),0)</f>
        <v>0</v>
      </c>
      <c r="AL329" s="2">
        <f>IF(AND('Batt IN'!$D$53="Yes",$AL$1&gt;=3),IF($C329='Batt IN'!$H$56*12,-'Batt IN'!$F$56,0),0)</f>
        <v>0</v>
      </c>
      <c r="AM329" s="2">
        <f>IF(AND('Batt IN'!$D$53="Yes",$AL$1&gt;=4),IF($C329='Batt IN'!$H$57*12,-'Batt IN'!$F$57,0),0)</f>
        <v>0</v>
      </c>
      <c r="AN329" s="2">
        <f>IF(AND('Batt IN'!$D$53="Yes",$AL$1&gt;=5),IF($C329='Batt IN'!$H$58*12,-'Batt IN'!$F$58,0),0)</f>
        <v>0</v>
      </c>
      <c r="AO329" s="10">
        <f>IF(AND('Batt IN'!$D$44="YES",$C329&lt;='Batt IN'!$E$44*12),-'Batt IN'!$E$28*'Batt IN'!$E$42/12,0)</f>
        <v>0</v>
      </c>
      <c r="AP329" s="10">
        <f>IF(AND('Batt IN'!$D$46="YES",$C329&lt;='Batt IN'!$E$46*12),-'Batt IN'!$E$28*'Batt IN'!$E$45/12,0)</f>
        <v>0</v>
      </c>
      <c r="AR329" s="10">
        <f>BattLoan!M356</f>
        <v>0</v>
      </c>
      <c r="AS329" s="10">
        <f>'Batt IN'!$G$16*365/12*'Batt IN'!$E$16</f>
        <v>76.041666666666671</v>
      </c>
      <c r="AT329" s="10">
        <f>IF(AND('Batt IN'!$E$18&gt;0,'Batt IN'!$G$18&gt;0),'Batt IN'!$E$17*'Batt IN'!$G$17,0)</f>
        <v>119.44619999999999</v>
      </c>
      <c r="AU329" s="10">
        <f>IF(AND('Batt IN'!$E$20&gt;0,'Batt IN'!$G$20&gt;0),'Batt IN'!$E$19*'Batt IN'!$G$19,0)</f>
        <v>231</v>
      </c>
      <c r="AV329" s="10"/>
      <c r="AW329" s="10"/>
      <c r="AX329" s="10">
        <f>IF('Batt IN'!$E$11="Non-Taxable",Q329,0)</f>
        <v>11550.548493150685</v>
      </c>
      <c r="AY329" s="10">
        <f>IF('Batt IN'!$E$11="Non-Taxable",'Batt IN'!$E$28/1000*'Batt IN'!$G$13*('Batt IN'!$E$13/12)*'Batt IN'!$E$12,0)</f>
        <v>244.42220833333334</v>
      </c>
      <c r="AZ329" s="10">
        <f>IF('Batt IN'!$E$11="Non-Taxable",$S329*'Batt IN'!$G$15*'Batt IN'!$E$28*'Batt IN'!$E$14/1000,0)</f>
        <v>0</v>
      </c>
      <c r="BA329" s="10">
        <f>IF('Batt IN'!$E$11="Non-Taxable",'Batt IN'!$E$21*'Batt IN'!$G$21/12,0)</f>
        <v>437.5</v>
      </c>
      <c r="BB329" s="10">
        <f>IF('Batt IN'!$E$11="Non-Taxable",'Batt IN'!$E$22*'Batt IN'!$G$22/12,0)</f>
        <v>1145.8333333333335</v>
      </c>
      <c r="BC329" s="10">
        <f>IF('Batt IN'!$E$11="Taxable",Q329,0)</f>
        <v>0</v>
      </c>
      <c r="BD329" s="10">
        <f>IF('Batt IN'!$E$11="Taxable",'Batt IN'!$E$28/1000*'Batt IN'!$G$13*('Batt IN'!$E$13/12)*'Batt IN'!$E$12,0)</f>
        <v>0</v>
      </c>
      <c r="BE329" s="10">
        <f>IF('Batt IN'!$E$11="Taxable",$S329*'Batt IN'!$G$15*'Batt IN'!$E$28*'Batt IN'!$E$14/1000,0)</f>
        <v>0</v>
      </c>
      <c r="BF329" s="10">
        <f>IF('Batt IN'!$E$11="Taxable",'Batt IN'!$E$21*'Batt IN'!$G$21/12,0)</f>
        <v>0</v>
      </c>
      <c r="BG329" s="10">
        <f>IF('Batt IN'!$E$11="Taxable",'Batt IN'!$E$22*'Batt IN'!$G$22/12,0)</f>
        <v>0</v>
      </c>
      <c r="BK329" s="10">
        <f>IF('Batt IN'!$N$18="Yes",-BattLoan!H357,-BattLoan!L357)</f>
        <v>0</v>
      </c>
      <c r="BL329" s="10">
        <f>IF('Batt IN'!$N$18="Yes",-BattLoan!F357,0)</f>
        <v>0</v>
      </c>
      <c r="BM329" s="10">
        <f>IF(AND('Batt IN'!$D$44="YES",$C329&lt;='Batt IN'!$E$44*12),0,-'Batt IN'!$E$28*'Batt IN'!$E$42/12)</f>
        <v>-83.333333333333329</v>
      </c>
      <c r="BN329" s="10">
        <f>IF(AND('Batt IN'!$D$46="YES",$C329&lt;='Batt IN'!$E$46*12),0,-'Batt IN'!$E$28*'Batt IN'!$E$45/12)</f>
        <v>-166.66666666666666</v>
      </c>
      <c r="BO329" s="2">
        <f>IF(AND('Batt IN'!$D$41="YES",BattCalcs!C329=ROUNDUP('Batt IN'!$H$41*12,)),-'Batt IN'!$E$41*'Batt IN'!$E$28,0)</f>
        <v>0</v>
      </c>
      <c r="BP329" s="2">
        <f>IF(AND('Batt IN'!$D$53="Yes",$AL$1&gt;=1),0,IF($C329='Batt IN'!$H$54*12,-'Batt IN'!$F$54,0))</f>
        <v>0</v>
      </c>
      <c r="BQ329" s="2">
        <f>IF(AND('Batt IN'!$D$53="Yes",$AL$1&gt;=2),0,IF($C329='Batt IN'!$H$55*12,-'Batt IN'!$F$55,0))</f>
        <v>0</v>
      </c>
      <c r="BR329" s="2">
        <f>IF(AND('Batt IN'!$D$53="Yes",$AL$1&gt;=3),0,IF($C329='Batt IN'!$H$56*12,-'Batt IN'!$F$56,0))</f>
        <v>0</v>
      </c>
      <c r="BS329" s="2">
        <f>IF(AND('Batt IN'!$D$53="Yes",$AL$1&gt;=4),0,IF($C329='Batt IN'!$H$57*12,-'Batt IN'!$F$57,0))</f>
        <v>0</v>
      </c>
      <c r="BT329" s="2">
        <f>IF(AND('Batt IN'!$D$53="Yes",$AL$1&gt;=5),0,IF($C329='Batt IN'!$H$58*12,-'Batt IN'!$F$58,0))</f>
        <v>0</v>
      </c>
      <c r="BU329" s="2">
        <f>-AH329*PVCalcs!F329</f>
        <v>-364.87346774065543</v>
      </c>
      <c r="BV329" s="2">
        <f>-'Batt IN'!$E$47</f>
        <v>-150</v>
      </c>
      <c r="BW329" s="2">
        <f>-'Batt IN'!$E$49</f>
        <v>-2250</v>
      </c>
      <c r="BX329" s="2">
        <f>IF('Batt IN'!$H$50="No",-(BC329*'Batt IN'!$E$50),-(BC329+BE329)*'Batt IN'!$E$50)</f>
        <v>0</v>
      </c>
      <c r="BY329" s="2">
        <f>IF(C329='Batt IN'!$H$43*12,-'Batt IN'!$E$43,0)</f>
        <v>0</v>
      </c>
      <c r="BZ329" s="38"/>
      <c r="CA329" s="10">
        <f t="shared" si="89"/>
        <v>13804.791901484019</v>
      </c>
      <c r="CB329" s="2">
        <f t="shared" si="94"/>
        <v>-3014.8734677406555</v>
      </c>
      <c r="CC329" s="45">
        <f t="shared" si="90"/>
        <v>10789.918433743363</v>
      </c>
      <c r="CD329" s="43"/>
      <c r="CE329" s="2">
        <f t="shared" si="91"/>
        <v>0</v>
      </c>
      <c r="CF329" s="2">
        <f t="shared" si="95"/>
        <v>-3014.8734677406555</v>
      </c>
      <c r="CG329" s="2"/>
      <c r="CH329" s="2">
        <f t="shared" si="92"/>
        <v>-3014.8734677406555</v>
      </c>
      <c r="CI329" s="45">
        <f>-CH329*'Batt IN'!$E$7</f>
        <v>633.12342822553762</v>
      </c>
      <c r="CJ329" s="48"/>
      <c r="CK329" s="45">
        <f>IF('Batt IN'!$F$4="PV Only",0,IF(C329&gt;'Batt IN'!$H$43*12,0,CC329+CI329))</f>
        <v>0</v>
      </c>
      <c r="CM329" s="10">
        <f t="shared" si="93"/>
        <v>0</v>
      </c>
      <c r="CN329" s="2">
        <f>CK329/(1+('Batt IN'!$G$8))^(C329)</f>
        <v>0</v>
      </c>
      <c r="CO329" s="2" t="e">
        <f>IF(C329&lt;='Batt IN'!$O$30*12,CN329+CO328,NA())</f>
        <v>#N/A</v>
      </c>
      <c r="CQ329" s="2">
        <f>CK329/((1+('Batt IN'!$E$8/12))^BattCalcs!C329)</f>
        <v>0</v>
      </c>
      <c r="CS329" s="10">
        <f t="shared" si="96"/>
        <v>-3014.8734677406555</v>
      </c>
      <c r="CT329" s="10">
        <f t="shared" si="97"/>
        <v>0</v>
      </c>
      <c r="CU329" s="10">
        <f t="shared" si="98"/>
        <v>-3014.8734677406555</v>
      </c>
      <c r="CV329" s="10">
        <f t="shared" si="99"/>
        <v>-3014.8734677406555</v>
      </c>
      <c r="CW329" s="2">
        <f t="shared" si="100"/>
        <v>0</v>
      </c>
      <c r="CX329" s="2">
        <f>-(SUM(CV329:CW329)*'PV IN'!$E$8)</f>
        <v>633.12342822553762</v>
      </c>
      <c r="CY329" s="2">
        <f t="shared" si="101"/>
        <v>-2381.7500395151178</v>
      </c>
      <c r="CZ329" s="2">
        <f>IF(C329&lt;='Batt IN'!$H$43*12,CY329/(1+('PV IN'!$G$9))^(C329),0)</f>
        <v>0</v>
      </c>
      <c r="DA329" s="33">
        <f>IF(C329&lt;='Batt IN'!$H$43*12,AE329,0)</f>
        <v>0</v>
      </c>
    </row>
    <row r="330" spans="1:105" x14ac:dyDescent="0.25">
      <c r="A330" t="str">
        <f>IF(C330&lt;='Batt IN'!$H$43*12,C330,"")</f>
        <v/>
      </c>
      <c r="C330">
        <v>326</v>
      </c>
      <c r="D330" s="21">
        <v>756</v>
      </c>
      <c r="E330" s="1">
        <f>1-'Batt IN'!$E$31</f>
        <v>2.0000000000000018E-2</v>
      </c>
      <c r="F330" s="12">
        <f>('Batt IN'!$E$33*365)/8760</f>
        <v>0</v>
      </c>
      <c r="G330" s="22">
        <f>'Batt IN'!$E$32/8760</f>
        <v>5.7077625570776253E-3</v>
      </c>
      <c r="H330" s="22">
        <f>'Batt IN'!$E$13/8760</f>
        <v>5.5936073059360729E-3</v>
      </c>
      <c r="I330" s="23">
        <f>IF(C330&lt;='Batt IN'!$G$14*12,'Batt IN'!$E$15/8760*'Batt IN'!$G$15,0)</f>
        <v>0</v>
      </c>
      <c r="J330" s="12">
        <f>Z330/'Batt IN'!$E$27/730</f>
        <v>2.4999999999999996E-3</v>
      </c>
      <c r="K330" s="23">
        <f>AA330/'Batt IN'!$E$27/730</f>
        <v>1.6027397260273972E-3</v>
      </c>
      <c r="L330" s="23">
        <f>AB330/'Batt IN'!$E$27/730</f>
        <v>2.0547945205479451E-4</v>
      </c>
      <c r="M330" s="23">
        <f>AC330/'Batt IN'!$E$27/730</f>
        <v>4.7945205479452057E-3</v>
      </c>
      <c r="N330" s="23">
        <f>AD330/'Batt IN'!$E$27/730</f>
        <v>3.4246575342465752E-3</v>
      </c>
      <c r="O330" s="12">
        <f t="shared" si="85"/>
        <v>4.3828767123287697E-2</v>
      </c>
      <c r="P330" s="21">
        <f t="shared" si="86"/>
        <v>722.86545205479456</v>
      </c>
      <c r="Q330" s="2">
        <f>IF('Batt IN'!$E$27*'Batt IN'!$E$24&lt;='Batt IN'!$E$28,(('Batt IN'!$E$23*'Batt IN'!$E$27*'Batt IN'!$E$24)/1000)*P330,(('Batt IN'!$E$23*'Batt IN'!$E$28*'Batt IN'!$E$24)/1000)*P330)</f>
        <v>11565.847232876713</v>
      </c>
      <c r="R330" s="2"/>
      <c r="S330" s="77">
        <f>IF(C330&lt;='Batt IN'!$G$14*12,'Batt IN'!$E$15/12,0)</f>
        <v>0</v>
      </c>
      <c r="T330" s="77"/>
      <c r="U330" s="80">
        <f>'Batt IN'!$E$28*('Batt IN'!$G$24/24)*730*(1-O330)</f>
        <v>81433.916666666657</v>
      </c>
      <c r="V330" s="78">
        <f>U330*'Batt IN'!$F$30</f>
        <v>16286.783333333333</v>
      </c>
      <c r="W330" s="78">
        <f>'Batt IN'!$E$28*'Batt IN'!$G$32*('Batt IN'!$E$32/12)*(1+'Batt IN'!$F$30)</f>
        <v>1750.0000000000002</v>
      </c>
      <c r="X330" s="78">
        <f>'Batt IN'!$E$28*'Batt IN'!$G$13*('Batt IN'!$E$13/12)*(1+'Batt IN'!$F$30)</f>
        <v>3184.9999999999995</v>
      </c>
      <c r="Y330" s="33">
        <f>S330*'Batt IN'!$G$15*'Batt IN'!$E$28*(1+'Batt IN'!$F$30)</f>
        <v>0</v>
      </c>
      <c r="Z330" s="33">
        <f>'Batt IN'!$G$16*365/12*(1+'Batt IN'!$F$30)</f>
        <v>1824.9999999999998</v>
      </c>
      <c r="AA330" s="33">
        <f>'Batt IN'!$G$17*'Batt IN'!$E$18*'Batt IN'!$G$18/12*(1+'Batt IN'!$F$30)</f>
        <v>1170</v>
      </c>
      <c r="AB330" s="33">
        <f>'Batt IN'!$G$19*'Batt IN'!$E$20*'Batt IN'!$G$20/12*(1+'Batt IN'!$F$30)</f>
        <v>150</v>
      </c>
      <c r="AC330" s="33">
        <f>'Batt IN'!$G$21*(1+'Batt IN'!$F$30)/12</f>
        <v>3500</v>
      </c>
      <c r="AD330" s="33">
        <f>'Batt IN'!$G$22*(1+'Batt IN'!$F$30)/12</f>
        <v>2500</v>
      </c>
      <c r="AE330" s="33">
        <f t="shared" si="87"/>
        <v>30366.783333333333</v>
      </c>
      <c r="AF330" s="33">
        <f>IF('PV IN'!$F$4="Battery Only",0,AE330*'Batt IN'!$E$29)</f>
        <v>25811.765833333331</v>
      </c>
      <c r="AG330" s="33">
        <f>PVCalcs!L330</f>
        <v>25811.765833333331</v>
      </c>
      <c r="AH330" s="33">
        <f t="shared" si="88"/>
        <v>4555.0175000000017</v>
      </c>
      <c r="AI330" s="33"/>
      <c r="AJ330" s="2">
        <f>IF(AND('Batt IN'!$D$53="Yes",$AL$1&gt;=1),IF($C330='Batt IN'!$H$54*12,-'Batt IN'!$F$54,0),0)</f>
        <v>0</v>
      </c>
      <c r="AK330" s="2">
        <f>IF(AND('Batt IN'!$D$53="Yes",$AL$1&gt;=2),IF($C330='Batt IN'!$H$55*12,-'Batt IN'!$F$55,0),0)</f>
        <v>0</v>
      </c>
      <c r="AL330" s="2">
        <f>IF(AND('Batt IN'!$D$53="Yes",$AL$1&gt;=3),IF($C330='Batt IN'!$H$56*12,-'Batt IN'!$F$56,0),0)</f>
        <v>0</v>
      </c>
      <c r="AM330" s="2">
        <f>IF(AND('Batt IN'!$D$53="Yes",$AL$1&gt;=4),IF($C330='Batt IN'!$H$57*12,-'Batt IN'!$F$57,0),0)</f>
        <v>0</v>
      </c>
      <c r="AN330" s="2">
        <f>IF(AND('Batt IN'!$D$53="Yes",$AL$1&gt;=5),IF($C330='Batt IN'!$H$58*12,-'Batt IN'!$F$58,0),0)</f>
        <v>0</v>
      </c>
      <c r="AO330" s="10">
        <f>IF(AND('Batt IN'!$D$44="YES",$C330&lt;='Batt IN'!$E$44*12),-'Batt IN'!$E$28*'Batt IN'!$E$42/12,0)</f>
        <v>0</v>
      </c>
      <c r="AP330" s="10">
        <f>IF(AND('Batt IN'!$D$46="YES",$C330&lt;='Batt IN'!$E$46*12),-'Batt IN'!$E$28*'Batt IN'!$E$45/12,0)</f>
        <v>0</v>
      </c>
      <c r="AR330" s="10">
        <f>BattLoan!M357</f>
        <v>0</v>
      </c>
      <c r="AS330" s="10">
        <f>'Batt IN'!$G$16*365/12*'Batt IN'!$E$16</f>
        <v>76.041666666666671</v>
      </c>
      <c r="AT330" s="10">
        <f>IF(AND('Batt IN'!$E$18&gt;0,'Batt IN'!$G$18&gt;0),'Batt IN'!$E$17*'Batt IN'!$G$17,0)</f>
        <v>119.44619999999999</v>
      </c>
      <c r="AU330" s="10">
        <f>IF(AND('Batt IN'!$E$20&gt;0,'Batt IN'!$G$20&gt;0),'Batt IN'!$E$19*'Batt IN'!$G$19,0)</f>
        <v>231</v>
      </c>
      <c r="AV330" s="10"/>
      <c r="AW330" s="10"/>
      <c r="AX330" s="10">
        <f>IF('Batt IN'!$E$11="Non-Taxable",Q330,0)</f>
        <v>11565.847232876713</v>
      </c>
      <c r="AY330" s="10">
        <f>IF('Batt IN'!$E$11="Non-Taxable",'Batt IN'!$E$28/1000*'Batt IN'!$G$13*('Batt IN'!$E$13/12)*'Batt IN'!$E$12,0)</f>
        <v>244.42220833333334</v>
      </c>
      <c r="AZ330" s="10">
        <f>IF('Batt IN'!$E$11="Non-Taxable",$S330*'Batt IN'!$G$15*'Batt IN'!$E$28*'Batt IN'!$E$14/1000,0)</f>
        <v>0</v>
      </c>
      <c r="BA330" s="10">
        <f>IF('Batt IN'!$E$11="Non-Taxable",'Batt IN'!$E$21*'Batt IN'!$G$21/12,0)</f>
        <v>437.5</v>
      </c>
      <c r="BB330" s="10">
        <f>IF('Batt IN'!$E$11="Non-Taxable",'Batt IN'!$E$22*'Batt IN'!$G$22/12,0)</f>
        <v>1145.8333333333335</v>
      </c>
      <c r="BC330" s="10">
        <f>IF('Batt IN'!$E$11="Taxable",Q330,0)</f>
        <v>0</v>
      </c>
      <c r="BD330" s="10">
        <f>IF('Batt IN'!$E$11="Taxable",'Batt IN'!$E$28/1000*'Batt IN'!$G$13*('Batt IN'!$E$13/12)*'Batt IN'!$E$12,0)</f>
        <v>0</v>
      </c>
      <c r="BE330" s="10">
        <f>IF('Batt IN'!$E$11="Taxable",$S330*'Batt IN'!$G$15*'Batt IN'!$E$28*'Batt IN'!$E$14/1000,0)</f>
        <v>0</v>
      </c>
      <c r="BF330" s="10">
        <f>IF('Batt IN'!$E$11="Taxable",'Batt IN'!$E$21*'Batt IN'!$G$21/12,0)</f>
        <v>0</v>
      </c>
      <c r="BG330" s="10">
        <f>IF('Batt IN'!$E$11="Taxable",'Batt IN'!$E$22*'Batt IN'!$G$22/12,0)</f>
        <v>0</v>
      </c>
      <c r="BK330" s="10">
        <f>IF('Batt IN'!$N$18="Yes",-BattLoan!H358,-BattLoan!L358)</f>
        <v>0</v>
      </c>
      <c r="BL330" s="10">
        <f>IF('Batt IN'!$N$18="Yes",-BattLoan!F358,0)</f>
        <v>0</v>
      </c>
      <c r="BM330" s="10">
        <f>IF(AND('Batt IN'!$D$44="YES",$C330&lt;='Batt IN'!$E$44*12),0,-'Batt IN'!$E$28*'Batt IN'!$E$42/12)</f>
        <v>-83.333333333333329</v>
      </c>
      <c r="BN330" s="10">
        <f>IF(AND('Batt IN'!$D$46="YES",$C330&lt;='Batt IN'!$E$46*12),0,-'Batt IN'!$E$28*'Batt IN'!$E$45/12)</f>
        <v>-166.66666666666666</v>
      </c>
      <c r="BO330" s="2">
        <f>IF(AND('Batt IN'!$D$41="YES",BattCalcs!C330=ROUNDUP('Batt IN'!$H$41*12,)),-'Batt IN'!$E$41*'Batt IN'!$E$28,0)</f>
        <v>0</v>
      </c>
      <c r="BP330" s="2">
        <f>IF(AND('Batt IN'!$D$53="Yes",$AL$1&gt;=1),0,IF($C330='Batt IN'!$H$54*12,-'Batt IN'!$F$54,0))</f>
        <v>0</v>
      </c>
      <c r="BQ330" s="2">
        <f>IF(AND('Batt IN'!$D$53="Yes",$AL$1&gt;=2),0,IF($C330='Batt IN'!$H$55*12,-'Batt IN'!$F$55,0))</f>
        <v>0</v>
      </c>
      <c r="BR330" s="2">
        <f>IF(AND('Batt IN'!$D$53="Yes",$AL$1&gt;=3),0,IF($C330='Batt IN'!$H$56*12,-'Batt IN'!$F$56,0))</f>
        <v>0</v>
      </c>
      <c r="BS330" s="2">
        <f>IF(AND('Batt IN'!$D$53="Yes",$AL$1&gt;=4),0,IF($C330='Batt IN'!$H$57*12,-'Batt IN'!$F$57,0))</f>
        <v>0</v>
      </c>
      <c r="BT330" s="2">
        <f>IF(AND('Batt IN'!$D$53="Yes",$AL$1&gt;=5),0,IF($C330='Batt IN'!$H$58*12,-'Batt IN'!$F$58,0))</f>
        <v>0</v>
      </c>
      <c r="BU330" s="2">
        <f>-AH330*PVCalcs!F330</f>
        <v>-364.87346774065543</v>
      </c>
      <c r="BV330" s="2">
        <f>-'Batt IN'!$E$47</f>
        <v>-150</v>
      </c>
      <c r="BW330" s="2">
        <f>-'Batt IN'!$E$49</f>
        <v>-2250</v>
      </c>
      <c r="BX330" s="2">
        <f>IF('Batt IN'!$H$50="No",-(BC330*'Batt IN'!$E$50),-(BC330+BE330)*'Batt IN'!$E$50)</f>
        <v>0</v>
      </c>
      <c r="BY330" s="2">
        <f>IF(C330='Batt IN'!$H$43*12,-'Batt IN'!$E$43,0)</f>
        <v>0</v>
      </c>
      <c r="BZ330" s="38"/>
      <c r="CA330" s="10">
        <f t="shared" si="89"/>
        <v>13820.090641210047</v>
      </c>
      <c r="CB330" s="2">
        <f t="shared" si="94"/>
        <v>-3014.8734677406555</v>
      </c>
      <c r="CC330" s="45">
        <f t="shared" si="90"/>
        <v>10805.217173469391</v>
      </c>
      <c r="CD330" s="43"/>
      <c r="CE330" s="2">
        <f t="shared" si="91"/>
        <v>0</v>
      </c>
      <c r="CF330" s="2">
        <f t="shared" si="95"/>
        <v>-3014.8734677406555</v>
      </c>
      <c r="CG330" s="2"/>
      <c r="CH330" s="2">
        <f t="shared" si="92"/>
        <v>-3014.8734677406555</v>
      </c>
      <c r="CI330" s="45">
        <f>-CH330*'Batt IN'!$E$7</f>
        <v>633.12342822553762</v>
      </c>
      <c r="CJ330" s="48"/>
      <c r="CK330" s="45">
        <f>IF('Batt IN'!$F$4="PV Only",0,IF(C330&gt;'Batt IN'!$H$43*12,0,CC330+CI330))</f>
        <v>0</v>
      </c>
      <c r="CM330" s="10">
        <f t="shared" si="93"/>
        <v>0</v>
      </c>
      <c r="CN330" s="2">
        <f>CK330/(1+('Batt IN'!$G$8))^(C330)</f>
        <v>0</v>
      </c>
      <c r="CO330" s="2" t="e">
        <f>IF(C330&lt;='Batt IN'!$O$30*12,CN330+CO329,NA())</f>
        <v>#N/A</v>
      </c>
      <c r="CQ330" s="2">
        <f>CK330/((1+('Batt IN'!$E$8/12))^BattCalcs!C330)</f>
        <v>0</v>
      </c>
      <c r="CS330" s="10">
        <f t="shared" si="96"/>
        <v>-3014.8734677406555</v>
      </c>
      <c r="CT330" s="10">
        <f t="shared" si="97"/>
        <v>0</v>
      </c>
      <c r="CU330" s="10">
        <f t="shared" si="98"/>
        <v>-3014.8734677406555</v>
      </c>
      <c r="CV330" s="10">
        <f t="shared" si="99"/>
        <v>-3014.8734677406555</v>
      </c>
      <c r="CW330" s="2">
        <f t="shared" si="100"/>
        <v>0</v>
      </c>
      <c r="CX330" s="2">
        <f>-(SUM(CV330:CW330)*'PV IN'!$E$8)</f>
        <v>633.12342822553762</v>
      </c>
      <c r="CY330" s="2">
        <f t="shared" si="101"/>
        <v>-2381.7500395151178</v>
      </c>
      <c r="CZ330" s="2">
        <f>IF(C330&lt;='Batt IN'!$H$43*12,CY330/(1+('PV IN'!$G$9))^(C330),0)</f>
        <v>0</v>
      </c>
      <c r="DA330" s="33">
        <f>IF(C330&lt;='Batt IN'!$H$43*12,AE330,0)</f>
        <v>0</v>
      </c>
    </row>
    <row r="331" spans="1:105" x14ac:dyDescent="0.25">
      <c r="A331" t="str">
        <f>IF(C331&lt;='Batt IN'!$H$43*12,C331,"")</f>
        <v/>
      </c>
      <c r="C331">
        <v>327</v>
      </c>
      <c r="D331" s="21">
        <v>757</v>
      </c>
      <c r="E331" s="1">
        <f>1-'Batt IN'!$E$31</f>
        <v>2.0000000000000018E-2</v>
      </c>
      <c r="F331" s="12">
        <f>('Batt IN'!$E$33*365)/8760</f>
        <v>0</v>
      </c>
      <c r="G331" s="22">
        <f>'Batt IN'!$E$32/8760</f>
        <v>5.7077625570776253E-3</v>
      </c>
      <c r="H331" s="22">
        <f>'Batt IN'!$E$13/8760</f>
        <v>5.5936073059360729E-3</v>
      </c>
      <c r="I331" s="23">
        <f>IF(C331&lt;='Batt IN'!$G$14*12,'Batt IN'!$E$15/8760*'Batt IN'!$G$15,0)</f>
        <v>0</v>
      </c>
      <c r="J331" s="12">
        <f>Z331/'Batt IN'!$E$27/730</f>
        <v>2.4999999999999996E-3</v>
      </c>
      <c r="K331" s="23">
        <f>AA331/'Batt IN'!$E$27/730</f>
        <v>1.6027397260273972E-3</v>
      </c>
      <c r="L331" s="23">
        <f>AB331/'Batt IN'!$E$27/730</f>
        <v>2.0547945205479451E-4</v>
      </c>
      <c r="M331" s="23">
        <f>AC331/'Batt IN'!$E$27/730</f>
        <v>4.7945205479452057E-3</v>
      </c>
      <c r="N331" s="23">
        <f>AD331/'Batt IN'!$E$27/730</f>
        <v>3.4246575342465752E-3</v>
      </c>
      <c r="O331" s="12">
        <f t="shared" si="85"/>
        <v>4.3828767123287697E-2</v>
      </c>
      <c r="P331" s="21">
        <f t="shared" si="86"/>
        <v>723.82162328767129</v>
      </c>
      <c r="Q331" s="2">
        <f>IF('Batt IN'!$E$27*'Batt IN'!$E$24&lt;='Batt IN'!$E$28,(('Batt IN'!$E$23*'Batt IN'!$E$27*'Batt IN'!$E$24)/1000)*P331,(('Batt IN'!$E$23*'Batt IN'!$E$28*'Batt IN'!$E$24)/1000)*P331)</f>
        <v>11581.145972602741</v>
      </c>
      <c r="R331" s="2"/>
      <c r="S331" s="77">
        <f>IF(C331&lt;='Batt IN'!$G$14*12,'Batt IN'!$E$15/12,0)</f>
        <v>0</v>
      </c>
      <c r="T331" s="77"/>
      <c r="U331" s="80">
        <f>'Batt IN'!$E$28*('Batt IN'!$G$24/24)*730*(1-O331)</f>
        <v>81433.916666666657</v>
      </c>
      <c r="V331" s="78">
        <f>U331*'Batt IN'!$F$30</f>
        <v>16286.783333333333</v>
      </c>
      <c r="W331" s="78">
        <f>'Batt IN'!$E$28*'Batt IN'!$G$32*('Batt IN'!$E$32/12)*(1+'Batt IN'!$F$30)</f>
        <v>1750.0000000000002</v>
      </c>
      <c r="X331" s="78">
        <f>'Batt IN'!$E$28*'Batt IN'!$G$13*('Batt IN'!$E$13/12)*(1+'Batt IN'!$F$30)</f>
        <v>3184.9999999999995</v>
      </c>
      <c r="Y331" s="33">
        <f>S331*'Batt IN'!$G$15*'Batt IN'!$E$28*(1+'Batt IN'!$F$30)</f>
        <v>0</v>
      </c>
      <c r="Z331" s="33">
        <f>'Batt IN'!$G$16*365/12*(1+'Batt IN'!$F$30)</f>
        <v>1824.9999999999998</v>
      </c>
      <c r="AA331" s="33">
        <f>'Batt IN'!$G$17*'Batt IN'!$E$18*'Batt IN'!$G$18/12*(1+'Batt IN'!$F$30)</f>
        <v>1170</v>
      </c>
      <c r="AB331" s="33">
        <f>'Batt IN'!$G$19*'Batt IN'!$E$20*'Batt IN'!$G$20/12*(1+'Batt IN'!$F$30)</f>
        <v>150</v>
      </c>
      <c r="AC331" s="33">
        <f>'Batt IN'!$G$21*(1+'Batt IN'!$F$30)/12</f>
        <v>3500</v>
      </c>
      <c r="AD331" s="33">
        <f>'Batt IN'!$G$22*(1+'Batt IN'!$F$30)/12</f>
        <v>2500</v>
      </c>
      <c r="AE331" s="33">
        <f t="shared" si="87"/>
        <v>30366.783333333333</v>
      </c>
      <c r="AF331" s="33">
        <f>IF('PV IN'!$F$4="Battery Only",0,AE331*'Batt IN'!$E$29)</f>
        <v>25811.765833333331</v>
      </c>
      <c r="AG331" s="33">
        <f>PVCalcs!L331</f>
        <v>25811.765833333331</v>
      </c>
      <c r="AH331" s="33">
        <f t="shared" si="88"/>
        <v>4555.0175000000017</v>
      </c>
      <c r="AI331" s="33"/>
      <c r="AJ331" s="2">
        <f>IF(AND('Batt IN'!$D$53="Yes",$AL$1&gt;=1),IF($C331='Batt IN'!$H$54*12,-'Batt IN'!$F$54,0),0)</f>
        <v>0</v>
      </c>
      <c r="AK331" s="2">
        <f>IF(AND('Batt IN'!$D$53="Yes",$AL$1&gt;=2),IF($C331='Batt IN'!$H$55*12,-'Batt IN'!$F$55,0),0)</f>
        <v>0</v>
      </c>
      <c r="AL331" s="2">
        <f>IF(AND('Batt IN'!$D$53="Yes",$AL$1&gt;=3),IF($C331='Batt IN'!$H$56*12,-'Batt IN'!$F$56,0),0)</f>
        <v>0</v>
      </c>
      <c r="AM331" s="2">
        <f>IF(AND('Batt IN'!$D$53="Yes",$AL$1&gt;=4),IF($C331='Batt IN'!$H$57*12,-'Batt IN'!$F$57,0),0)</f>
        <v>0</v>
      </c>
      <c r="AN331" s="2">
        <f>IF(AND('Batt IN'!$D$53="Yes",$AL$1&gt;=5),IF($C331='Batt IN'!$H$58*12,-'Batt IN'!$F$58,0),0)</f>
        <v>0</v>
      </c>
      <c r="AO331" s="10">
        <f>IF(AND('Batt IN'!$D$44="YES",$C331&lt;='Batt IN'!$E$44*12),-'Batt IN'!$E$28*'Batt IN'!$E$42/12,0)</f>
        <v>0</v>
      </c>
      <c r="AP331" s="10">
        <f>IF(AND('Batt IN'!$D$46="YES",$C331&lt;='Batt IN'!$E$46*12),-'Batt IN'!$E$28*'Batt IN'!$E$45/12,0)</f>
        <v>0</v>
      </c>
      <c r="AR331" s="10">
        <f>BattLoan!M358</f>
        <v>0</v>
      </c>
      <c r="AS331" s="10">
        <f>'Batt IN'!$G$16*365/12*'Batt IN'!$E$16</f>
        <v>76.041666666666671</v>
      </c>
      <c r="AT331" s="10">
        <f>IF(AND('Batt IN'!$E$18&gt;0,'Batt IN'!$G$18&gt;0),'Batt IN'!$E$17*'Batt IN'!$G$17,0)</f>
        <v>119.44619999999999</v>
      </c>
      <c r="AU331" s="10">
        <f>IF(AND('Batt IN'!$E$20&gt;0,'Batt IN'!$G$20&gt;0),'Batt IN'!$E$19*'Batt IN'!$G$19,0)</f>
        <v>231</v>
      </c>
      <c r="AV331" s="10"/>
      <c r="AW331" s="10"/>
      <c r="AX331" s="10">
        <f>IF('Batt IN'!$E$11="Non-Taxable",Q331,0)</f>
        <v>11581.145972602741</v>
      </c>
      <c r="AY331" s="10">
        <f>IF('Batt IN'!$E$11="Non-Taxable",'Batt IN'!$E$28/1000*'Batt IN'!$G$13*('Batt IN'!$E$13/12)*'Batt IN'!$E$12,0)</f>
        <v>244.42220833333334</v>
      </c>
      <c r="AZ331" s="10">
        <f>IF('Batt IN'!$E$11="Non-Taxable",$S331*'Batt IN'!$G$15*'Batt IN'!$E$28*'Batt IN'!$E$14/1000,0)</f>
        <v>0</v>
      </c>
      <c r="BA331" s="10">
        <f>IF('Batt IN'!$E$11="Non-Taxable",'Batt IN'!$E$21*'Batt IN'!$G$21/12,0)</f>
        <v>437.5</v>
      </c>
      <c r="BB331" s="10">
        <f>IF('Batt IN'!$E$11="Non-Taxable",'Batt IN'!$E$22*'Batt IN'!$G$22/12,0)</f>
        <v>1145.8333333333335</v>
      </c>
      <c r="BC331" s="10">
        <f>IF('Batt IN'!$E$11="Taxable",Q331,0)</f>
        <v>0</v>
      </c>
      <c r="BD331" s="10">
        <f>IF('Batt IN'!$E$11="Taxable",'Batt IN'!$E$28/1000*'Batt IN'!$G$13*('Batt IN'!$E$13/12)*'Batt IN'!$E$12,0)</f>
        <v>0</v>
      </c>
      <c r="BE331" s="10">
        <f>IF('Batt IN'!$E$11="Taxable",$S331*'Batt IN'!$G$15*'Batt IN'!$E$28*'Batt IN'!$E$14/1000,0)</f>
        <v>0</v>
      </c>
      <c r="BF331" s="10">
        <f>IF('Batt IN'!$E$11="Taxable",'Batt IN'!$E$21*'Batt IN'!$G$21/12,0)</f>
        <v>0</v>
      </c>
      <c r="BG331" s="10">
        <f>IF('Batt IN'!$E$11="Taxable",'Batt IN'!$E$22*'Batt IN'!$G$22/12,0)</f>
        <v>0</v>
      </c>
      <c r="BK331" s="10">
        <f>IF('Batt IN'!$N$18="Yes",-BattLoan!H359,-BattLoan!L359)</f>
        <v>0</v>
      </c>
      <c r="BL331" s="10">
        <f>IF('Batt IN'!$N$18="Yes",-BattLoan!F359,0)</f>
        <v>0</v>
      </c>
      <c r="BM331" s="10">
        <f>IF(AND('Batt IN'!$D$44="YES",$C331&lt;='Batt IN'!$E$44*12),0,-'Batt IN'!$E$28*'Batt IN'!$E$42/12)</f>
        <v>-83.333333333333329</v>
      </c>
      <c r="BN331" s="10">
        <f>IF(AND('Batt IN'!$D$46="YES",$C331&lt;='Batt IN'!$E$46*12),0,-'Batt IN'!$E$28*'Batt IN'!$E$45/12)</f>
        <v>-166.66666666666666</v>
      </c>
      <c r="BO331" s="2">
        <f>IF(AND('Batt IN'!$D$41="YES",BattCalcs!C331=ROUNDUP('Batt IN'!$H$41*12,)),-'Batt IN'!$E$41*'Batt IN'!$E$28,0)</f>
        <v>0</v>
      </c>
      <c r="BP331" s="2">
        <f>IF(AND('Batt IN'!$D$53="Yes",$AL$1&gt;=1),0,IF($C331='Batt IN'!$H$54*12,-'Batt IN'!$F$54,0))</f>
        <v>0</v>
      </c>
      <c r="BQ331" s="2">
        <f>IF(AND('Batt IN'!$D$53="Yes",$AL$1&gt;=2),0,IF($C331='Batt IN'!$H$55*12,-'Batt IN'!$F$55,0))</f>
        <v>0</v>
      </c>
      <c r="BR331" s="2">
        <f>IF(AND('Batt IN'!$D$53="Yes",$AL$1&gt;=3),0,IF($C331='Batt IN'!$H$56*12,-'Batt IN'!$F$56,0))</f>
        <v>0</v>
      </c>
      <c r="BS331" s="2">
        <f>IF(AND('Batt IN'!$D$53="Yes",$AL$1&gt;=4),0,IF($C331='Batt IN'!$H$57*12,-'Batt IN'!$F$57,0))</f>
        <v>0</v>
      </c>
      <c r="BT331" s="2">
        <f>IF(AND('Batt IN'!$D$53="Yes",$AL$1&gt;=5),0,IF($C331='Batt IN'!$H$58*12,-'Batt IN'!$F$58,0))</f>
        <v>0</v>
      </c>
      <c r="BU331" s="2">
        <f>-AH331*PVCalcs!F331</f>
        <v>-364.87346774065543</v>
      </c>
      <c r="BV331" s="2">
        <f>-'Batt IN'!$E$47</f>
        <v>-150</v>
      </c>
      <c r="BW331" s="2">
        <f>-'Batt IN'!$E$49</f>
        <v>-2250</v>
      </c>
      <c r="BX331" s="2">
        <f>IF('Batt IN'!$H$50="No",-(BC331*'Batt IN'!$E$50),-(BC331+BE331)*'Batt IN'!$E$50)</f>
        <v>0</v>
      </c>
      <c r="BY331" s="2">
        <f>IF(C331='Batt IN'!$H$43*12,-'Batt IN'!$E$43,0)</f>
        <v>0</v>
      </c>
      <c r="BZ331" s="38"/>
      <c r="CA331" s="10">
        <f t="shared" si="89"/>
        <v>13835.389380936074</v>
      </c>
      <c r="CB331" s="2">
        <f t="shared" si="94"/>
        <v>-3014.8734677406555</v>
      </c>
      <c r="CC331" s="45">
        <f t="shared" si="90"/>
        <v>10820.515913195419</v>
      </c>
      <c r="CD331" s="43"/>
      <c r="CE331" s="2">
        <f t="shared" si="91"/>
        <v>0</v>
      </c>
      <c r="CF331" s="2">
        <f t="shared" si="95"/>
        <v>-3014.8734677406555</v>
      </c>
      <c r="CG331" s="2"/>
      <c r="CH331" s="2">
        <f t="shared" si="92"/>
        <v>-3014.8734677406555</v>
      </c>
      <c r="CI331" s="45">
        <f>-CH331*'Batt IN'!$E$7</f>
        <v>633.12342822553762</v>
      </c>
      <c r="CJ331" s="48"/>
      <c r="CK331" s="45">
        <f>IF('Batt IN'!$F$4="PV Only",0,IF(C331&gt;'Batt IN'!$H$43*12,0,CC331+CI331))</f>
        <v>0</v>
      </c>
      <c r="CM331" s="10">
        <f t="shared" si="93"/>
        <v>0</v>
      </c>
      <c r="CN331" s="2">
        <f>CK331/(1+('Batt IN'!$G$8))^(C331)</f>
        <v>0</v>
      </c>
      <c r="CO331" s="2" t="e">
        <f>IF(C331&lt;='Batt IN'!$O$30*12,CN331+CO330,NA())</f>
        <v>#N/A</v>
      </c>
      <c r="CQ331" s="2">
        <f>CK331/((1+('Batt IN'!$E$8/12))^BattCalcs!C331)</f>
        <v>0</v>
      </c>
      <c r="CS331" s="10">
        <f t="shared" si="96"/>
        <v>-3014.8734677406555</v>
      </c>
      <c r="CT331" s="10">
        <f t="shared" si="97"/>
        <v>0</v>
      </c>
      <c r="CU331" s="10">
        <f t="shared" si="98"/>
        <v>-3014.8734677406555</v>
      </c>
      <c r="CV331" s="10">
        <f t="shared" si="99"/>
        <v>-3014.8734677406555</v>
      </c>
      <c r="CW331" s="2">
        <f t="shared" si="100"/>
        <v>0</v>
      </c>
      <c r="CX331" s="2">
        <f>-(SUM(CV331:CW331)*'PV IN'!$E$8)</f>
        <v>633.12342822553762</v>
      </c>
      <c r="CY331" s="2">
        <f t="shared" si="101"/>
        <v>-2381.7500395151178</v>
      </c>
      <c r="CZ331" s="2">
        <f>IF(C331&lt;='Batt IN'!$H$43*12,CY331/(1+('PV IN'!$G$9))^(C331),0)</f>
        <v>0</v>
      </c>
      <c r="DA331" s="33">
        <f>IF(C331&lt;='Batt IN'!$H$43*12,AE331,0)</f>
        <v>0</v>
      </c>
    </row>
    <row r="332" spans="1:105" x14ac:dyDescent="0.25">
      <c r="A332" t="str">
        <f>IF(C332&lt;='Batt IN'!$H$43*12,C332,"")</f>
        <v/>
      </c>
      <c r="C332">
        <v>328</v>
      </c>
      <c r="D332" s="21">
        <v>758</v>
      </c>
      <c r="E332" s="1">
        <f>1-'Batt IN'!$E$31</f>
        <v>2.0000000000000018E-2</v>
      </c>
      <c r="F332" s="12">
        <f>('Batt IN'!$E$33*365)/8760</f>
        <v>0</v>
      </c>
      <c r="G332" s="22">
        <f>'Batt IN'!$E$32/8760</f>
        <v>5.7077625570776253E-3</v>
      </c>
      <c r="H332" s="22">
        <f>'Batt IN'!$E$13/8760</f>
        <v>5.5936073059360729E-3</v>
      </c>
      <c r="I332" s="23">
        <f>IF(C332&lt;='Batt IN'!$G$14*12,'Batt IN'!$E$15/8760*'Batt IN'!$G$15,0)</f>
        <v>0</v>
      </c>
      <c r="J332" s="12">
        <f>Z332/'Batt IN'!$E$27/730</f>
        <v>2.4999999999999996E-3</v>
      </c>
      <c r="K332" s="23">
        <f>AA332/'Batt IN'!$E$27/730</f>
        <v>1.6027397260273972E-3</v>
      </c>
      <c r="L332" s="23">
        <f>AB332/'Batt IN'!$E$27/730</f>
        <v>2.0547945205479451E-4</v>
      </c>
      <c r="M332" s="23">
        <f>AC332/'Batt IN'!$E$27/730</f>
        <v>4.7945205479452057E-3</v>
      </c>
      <c r="N332" s="23">
        <f>AD332/'Batt IN'!$E$27/730</f>
        <v>3.4246575342465752E-3</v>
      </c>
      <c r="O332" s="12">
        <f t="shared" si="85"/>
        <v>4.3828767123287697E-2</v>
      </c>
      <c r="P332" s="21">
        <f t="shared" si="86"/>
        <v>724.77779452054801</v>
      </c>
      <c r="Q332" s="2">
        <f>IF('Batt IN'!$E$27*'Batt IN'!$E$24&lt;='Batt IN'!$E$28,(('Batt IN'!$E$23*'Batt IN'!$E$27*'Batt IN'!$E$24)/1000)*P332,(('Batt IN'!$E$23*'Batt IN'!$E$28*'Batt IN'!$E$24)/1000)*P332)</f>
        <v>11596.444712328768</v>
      </c>
      <c r="R332" s="2"/>
      <c r="S332" s="77">
        <f>IF(C332&lt;='Batt IN'!$G$14*12,'Batt IN'!$E$15/12,0)</f>
        <v>0</v>
      </c>
      <c r="T332" s="77"/>
      <c r="U332" s="80">
        <f>'Batt IN'!$E$28*('Batt IN'!$G$24/24)*730*(1-O332)</f>
        <v>81433.916666666657</v>
      </c>
      <c r="V332" s="78">
        <f>U332*'Batt IN'!$F$30</f>
        <v>16286.783333333333</v>
      </c>
      <c r="W332" s="78">
        <f>'Batt IN'!$E$28*'Batt IN'!$G$32*('Batt IN'!$E$32/12)*(1+'Batt IN'!$F$30)</f>
        <v>1750.0000000000002</v>
      </c>
      <c r="X332" s="78">
        <f>'Batt IN'!$E$28*'Batt IN'!$G$13*('Batt IN'!$E$13/12)*(1+'Batt IN'!$F$30)</f>
        <v>3184.9999999999995</v>
      </c>
      <c r="Y332" s="33">
        <f>S332*'Batt IN'!$G$15*'Batt IN'!$E$28*(1+'Batt IN'!$F$30)</f>
        <v>0</v>
      </c>
      <c r="Z332" s="33">
        <f>'Batt IN'!$G$16*365/12*(1+'Batt IN'!$F$30)</f>
        <v>1824.9999999999998</v>
      </c>
      <c r="AA332" s="33">
        <f>'Batt IN'!$G$17*'Batt IN'!$E$18*'Batt IN'!$G$18/12*(1+'Batt IN'!$F$30)</f>
        <v>1170</v>
      </c>
      <c r="AB332" s="33">
        <f>'Batt IN'!$G$19*'Batt IN'!$E$20*'Batt IN'!$G$20/12*(1+'Batt IN'!$F$30)</f>
        <v>150</v>
      </c>
      <c r="AC332" s="33">
        <f>'Batt IN'!$G$21*(1+'Batt IN'!$F$30)/12</f>
        <v>3500</v>
      </c>
      <c r="AD332" s="33">
        <f>'Batt IN'!$G$22*(1+'Batt IN'!$F$30)/12</f>
        <v>2500</v>
      </c>
      <c r="AE332" s="33">
        <f t="shared" si="87"/>
        <v>30366.783333333333</v>
      </c>
      <c r="AF332" s="33">
        <f>IF('PV IN'!$F$4="Battery Only",0,AE332*'Batt IN'!$E$29)</f>
        <v>25811.765833333331</v>
      </c>
      <c r="AG332" s="33">
        <f>PVCalcs!L332</f>
        <v>25811.765833333331</v>
      </c>
      <c r="AH332" s="33">
        <f t="shared" si="88"/>
        <v>4555.0175000000017</v>
      </c>
      <c r="AI332" s="33"/>
      <c r="AJ332" s="2">
        <f>IF(AND('Batt IN'!$D$53="Yes",$AL$1&gt;=1),IF($C332='Batt IN'!$H$54*12,-'Batt IN'!$F$54,0),0)</f>
        <v>0</v>
      </c>
      <c r="AK332" s="2">
        <f>IF(AND('Batt IN'!$D$53="Yes",$AL$1&gt;=2),IF($C332='Batt IN'!$H$55*12,-'Batt IN'!$F$55,0),0)</f>
        <v>0</v>
      </c>
      <c r="AL332" s="2">
        <f>IF(AND('Batt IN'!$D$53="Yes",$AL$1&gt;=3),IF($C332='Batt IN'!$H$56*12,-'Batt IN'!$F$56,0),0)</f>
        <v>0</v>
      </c>
      <c r="AM332" s="2">
        <f>IF(AND('Batt IN'!$D$53="Yes",$AL$1&gt;=4),IF($C332='Batt IN'!$H$57*12,-'Batt IN'!$F$57,0),0)</f>
        <v>0</v>
      </c>
      <c r="AN332" s="2">
        <f>IF(AND('Batt IN'!$D$53="Yes",$AL$1&gt;=5),IF($C332='Batt IN'!$H$58*12,-'Batt IN'!$F$58,0),0)</f>
        <v>0</v>
      </c>
      <c r="AO332" s="10">
        <f>IF(AND('Batt IN'!$D$44="YES",$C332&lt;='Batt IN'!$E$44*12),-'Batt IN'!$E$28*'Batt IN'!$E$42/12,0)</f>
        <v>0</v>
      </c>
      <c r="AP332" s="10">
        <f>IF(AND('Batt IN'!$D$46="YES",$C332&lt;='Batt IN'!$E$46*12),-'Batt IN'!$E$28*'Batt IN'!$E$45/12,0)</f>
        <v>0</v>
      </c>
      <c r="AR332" s="10">
        <f>BattLoan!M359</f>
        <v>0</v>
      </c>
      <c r="AS332" s="10">
        <f>'Batt IN'!$G$16*365/12*'Batt IN'!$E$16</f>
        <v>76.041666666666671</v>
      </c>
      <c r="AT332" s="10">
        <f>IF(AND('Batt IN'!$E$18&gt;0,'Batt IN'!$G$18&gt;0),'Batt IN'!$E$17*'Batt IN'!$G$17,0)</f>
        <v>119.44619999999999</v>
      </c>
      <c r="AU332" s="10">
        <f>IF(AND('Batt IN'!$E$20&gt;0,'Batt IN'!$G$20&gt;0),'Batt IN'!$E$19*'Batt IN'!$G$19,0)</f>
        <v>231</v>
      </c>
      <c r="AV332" s="10"/>
      <c r="AW332" s="10"/>
      <c r="AX332" s="10">
        <f>IF('Batt IN'!$E$11="Non-Taxable",Q332,0)</f>
        <v>11596.444712328768</v>
      </c>
      <c r="AY332" s="10">
        <f>IF('Batt IN'!$E$11="Non-Taxable",'Batt IN'!$E$28/1000*'Batt IN'!$G$13*('Batt IN'!$E$13/12)*'Batt IN'!$E$12,0)</f>
        <v>244.42220833333334</v>
      </c>
      <c r="AZ332" s="10">
        <f>IF('Batt IN'!$E$11="Non-Taxable",$S332*'Batt IN'!$G$15*'Batt IN'!$E$28*'Batt IN'!$E$14/1000,0)</f>
        <v>0</v>
      </c>
      <c r="BA332" s="10">
        <f>IF('Batt IN'!$E$11="Non-Taxable",'Batt IN'!$E$21*'Batt IN'!$G$21/12,0)</f>
        <v>437.5</v>
      </c>
      <c r="BB332" s="10">
        <f>IF('Batt IN'!$E$11="Non-Taxable",'Batt IN'!$E$22*'Batt IN'!$G$22/12,0)</f>
        <v>1145.8333333333335</v>
      </c>
      <c r="BC332" s="10">
        <f>IF('Batt IN'!$E$11="Taxable",Q332,0)</f>
        <v>0</v>
      </c>
      <c r="BD332" s="10">
        <f>IF('Batt IN'!$E$11="Taxable",'Batt IN'!$E$28/1000*'Batt IN'!$G$13*('Batt IN'!$E$13/12)*'Batt IN'!$E$12,0)</f>
        <v>0</v>
      </c>
      <c r="BE332" s="10">
        <f>IF('Batt IN'!$E$11="Taxable",$S332*'Batt IN'!$G$15*'Batt IN'!$E$28*'Batt IN'!$E$14/1000,0)</f>
        <v>0</v>
      </c>
      <c r="BF332" s="10">
        <f>IF('Batt IN'!$E$11="Taxable",'Batt IN'!$E$21*'Batt IN'!$G$21/12,0)</f>
        <v>0</v>
      </c>
      <c r="BG332" s="10">
        <f>IF('Batt IN'!$E$11="Taxable",'Batt IN'!$E$22*'Batt IN'!$G$22/12,0)</f>
        <v>0</v>
      </c>
      <c r="BK332" s="10">
        <f>IF('Batt IN'!$N$18="Yes",-BattLoan!H360,-BattLoan!L360)</f>
        <v>0</v>
      </c>
      <c r="BL332" s="10">
        <f>IF('Batt IN'!$N$18="Yes",-BattLoan!F360,0)</f>
        <v>0</v>
      </c>
      <c r="BM332" s="10">
        <f>IF(AND('Batt IN'!$D$44="YES",$C332&lt;='Batt IN'!$E$44*12),0,-'Batt IN'!$E$28*'Batt IN'!$E$42/12)</f>
        <v>-83.333333333333329</v>
      </c>
      <c r="BN332" s="10">
        <f>IF(AND('Batt IN'!$D$46="YES",$C332&lt;='Batt IN'!$E$46*12),0,-'Batt IN'!$E$28*'Batt IN'!$E$45/12)</f>
        <v>-166.66666666666666</v>
      </c>
      <c r="BO332" s="2">
        <f>IF(AND('Batt IN'!$D$41="YES",BattCalcs!C332=ROUNDUP('Batt IN'!$H$41*12,)),-'Batt IN'!$E$41*'Batt IN'!$E$28,0)</f>
        <v>0</v>
      </c>
      <c r="BP332" s="2">
        <f>IF(AND('Batt IN'!$D$53="Yes",$AL$1&gt;=1),0,IF($C332='Batt IN'!$H$54*12,-'Batt IN'!$F$54,0))</f>
        <v>0</v>
      </c>
      <c r="BQ332" s="2">
        <f>IF(AND('Batt IN'!$D$53="Yes",$AL$1&gt;=2),0,IF($C332='Batt IN'!$H$55*12,-'Batt IN'!$F$55,0))</f>
        <v>0</v>
      </c>
      <c r="BR332" s="2">
        <f>IF(AND('Batt IN'!$D$53="Yes",$AL$1&gt;=3),0,IF($C332='Batt IN'!$H$56*12,-'Batt IN'!$F$56,0))</f>
        <v>0</v>
      </c>
      <c r="BS332" s="2">
        <f>IF(AND('Batt IN'!$D$53="Yes",$AL$1&gt;=4),0,IF($C332='Batt IN'!$H$57*12,-'Batt IN'!$F$57,0))</f>
        <v>0</v>
      </c>
      <c r="BT332" s="2">
        <f>IF(AND('Batt IN'!$D$53="Yes",$AL$1&gt;=5),0,IF($C332='Batt IN'!$H$58*12,-'Batt IN'!$F$58,0))</f>
        <v>0</v>
      </c>
      <c r="BU332" s="2">
        <f>-AH332*PVCalcs!F332</f>
        <v>-364.87346774065543</v>
      </c>
      <c r="BV332" s="2">
        <f>-'Batt IN'!$E$47</f>
        <v>-150</v>
      </c>
      <c r="BW332" s="2">
        <f>-'Batt IN'!$E$49</f>
        <v>-2250</v>
      </c>
      <c r="BX332" s="2">
        <f>IF('Batt IN'!$H$50="No",-(BC332*'Batt IN'!$E$50),-(BC332+BE332)*'Batt IN'!$E$50)</f>
        <v>0</v>
      </c>
      <c r="BY332" s="2">
        <f>IF(C332='Batt IN'!$H$43*12,-'Batt IN'!$E$43,0)</f>
        <v>0</v>
      </c>
      <c r="BZ332" s="38"/>
      <c r="CA332" s="10">
        <f t="shared" si="89"/>
        <v>13850.688120662102</v>
      </c>
      <c r="CB332" s="2">
        <f t="shared" si="94"/>
        <v>-3014.8734677406555</v>
      </c>
      <c r="CC332" s="45">
        <f t="shared" si="90"/>
        <v>10835.814652921446</v>
      </c>
      <c r="CD332" s="43"/>
      <c r="CE332" s="2">
        <f t="shared" si="91"/>
        <v>0</v>
      </c>
      <c r="CF332" s="2">
        <f t="shared" si="95"/>
        <v>-3014.8734677406555</v>
      </c>
      <c r="CG332" s="2"/>
      <c r="CH332" s="2">
        <f t="shared" si="92"/>
        <v>-3014.8734677406555</v>
      </c>
      <c r="CI332" s="45">
        <f>-CH332*'Batt IN'!$E$7</f>
        <v>633.12342822553762</v>
      </c>
      <c r="CJ332" s="48"/>
      <c r="CK332" s="45">
        <f>IF('Batt IN'!$F$4="PV Only",0,IF(C332&gt;'Batt IN'!$H$43*12,0,CC332+CI332))</f>
        <v>0</v>
      </c>
      <c r="CM332" s="10">
        <f t="shared" si="93"/>
        <v>0</v>
      </c>
      <c r="CN332" s="2">
        <f>CK332/(1+('Batt IN'!$G$8))^(C332)</f>
        <v>0</v>
      </c>
      <c r="CO332" s="2" t="e">
        <f>IF(C332&lt;='Batt IN'!$O$30*12,CN332+CO331,NA())</f>
        <v>#N/A</v>
      </c>
      <c r="CQ332" s="2">
        <f>CK332/((1+('Batt IN'!$E$8/12))^BattCalcs!C332)</f>
        <v>0</v>
      </c>
      <c r="CS332" s="10">
        <f t="shared" si="96"/>
        <v>-3014.8734677406555</v>
      </c>
      <c r="CT332" s="10">
        <f t="shared" si="97"/>
        <v>0</v>
      </c>
      <c r="CU332" s="10">
        <f t="shared" si="98"/>
        <v>-3014.8734677406555</v>
      </c>
      <c r="CV332" s="10">
        <f t="shared" si="99"/>
        <v>-3014.8734677406555</v>
      </c>
      <c r="CW332" s="2">
        <f t="shared" si="100"/>
        <v>0</v>
      </c>
      <c r="CX332" s="2">
        <f>-(SUM(CV332:CW332)*'PV IN'!$E$8)</f>
        <v>633.12342822553762</v>
      </c>
      <c r="CY332" s="2">
        <f t="shared" si="101"/>
        <v>-2381.7500395151178</v>
      </c>
      <c r="CZ332" s="2">
        <f>IF(C332&lt;='Batt IN'!$H$43*12,CY332/(1+('PV IN'!$G$9))^(C332),0)</f>
        <v>0</v>
      </c>
      <c r="DA332" s="33">
        <f>IF(C332&lt;='Batt IN'!$H$43*12,AE332,0)</f>
        <v>0</v>
      </c>
    </row>
    <row r="333" spans="1:105" x14ac:dyDescent="0.25">
      <c r="A333" t="str">
        <f>IF(C333&lt;='Batt IN'!$H$43*12,C333,"")</f>
        <v/>
      </c>
      <c r="C333">
        <v>329</v>
      </c>
      <c r="D333" s="21">
        <v>759</v>
      </c>
      <c r="E333" s="1">
        <f>1-'Batt IN'!$E$31</f>
        <v>2.0000000000000018E-2</v>
      </c>
      <c r="F333" s="12">
        <f>('Batt IN'!$E$33*365)/8760</f>
        <v>0</v>
      </c>
      <c r="G333" s="22">
        <f>'Batt IN'!$E$32/8760</f>
        <v>5.7077625570776253E-3</v>
      </c>
      <c r="H333" s="22">
        <f>'Batt IN'!$E$13/8760</f>
        <v>5.5936073059360729E-3</v>
      </c>
      <c r="I333" s="23">
        <f>IF(C333&lt;='Batt IN'!$G$14*12,'Batt IN'!$E$15/8760*'Batt IN'!$G$15,0)</f>
        <v>0</v>
      </c>
      <c r="J333" s="12">
        <f>Z333/'Batt IN'!$E$27/730</f>
        <v>2.4999999999999996E-3</v>
      </c>
      <c r="K333" s="23">
        <f>AA333/'Batt IN'!$E$27/730</f>
        <v>1.6027397260273972E-3</v>
      </c>
      <c r="L333" s="23">
        <f>AB333/'Batt IN'!$E$27/730</f>
        <v>2.0547945205479451E-4</v>
      </c>
      <c r="M333" s="23">
        <f>AC333/'Batt IN'!$E$27/730</f>
        <v>4.7945205479452057E-3</v>
      </c>
      <c r="N333" s="23">
        <f>AD333/'Batt IN'!$E$27/730</f>
        <v>3.4246575342465752E-3</v>
      </c>
      <c r="O333" s="12">
        <f t="shared" si="85"/>
        <v>4.3828767123287697E-2</v>
      </c>
      <c r="P333" s="21">
        <f t="shared" si="86"/>
        <v>725.73396575342463</v>
      </c>
      <c r="Q333" s="2">
        <f>IF('Batt IN'!$E$27*'Batt IN'!$E$24&lt;='Batt IN'!$E$28,(('Batt IN'!$E$23*'Batt IN'!$E$27*'Batt IN'!$E$24)/1000)*P333,(('Batt IN'!$E$23*'Batt IN'!$E$28*'Batt IN'!$E$24)/1000)*P333)</f>
        <v>11611.743452054794</v>
      </c>
      <c r="R333" s="2"/>
      <c r="S333" s="77">
        <f>IF(C333&lt;='Batt IN'!$G$14*12,'Batt IN'!$E$15/12,0)</f>
        <v>0</v>
      </c>
      <c r="T333" s="77"/>
      <c r="U333" s="80">
        <f>'Batt IN'!$E$28*('Batt IN'!$G$24/24)*730*(1-O333)</f>
        <v>81433.916666666657</v>
      </c>
      <c r="V333" s="78">
        <f>U333*'Batt IN'!$F$30</f>
        <v>16286.783333333333</v>
      </c>
      <c r="W333" s="78">
        <f>'Batt IN'!$E$28*'Batt IN'!$G$32*('Batt IN'!$E$32/12)*(1+'Batt IN'!$F$30)</f>
        <v>1750.0000000000002</v>
      </c>
      <c r="X333" s="78">
        <f>'Batt IN'!$E$28*'Batt IN'!$G$13*('Batt IN'!$E$13/12)*(1+'Batt IN'!$F$30)</f>
        <v>3184.9999999999995</v>
      </c>
      <c r="Y333" s="33">
        <f>S333*'Batt IN'!$G$15*'Batt IN'!$E$28*(1+'Batt IN'!$F$30)</f>
        <v>0</v>
      </c>
      <c r="Z333" s="33">
        <f>'Batt IN'!$G$16*365/12*(1+'Batt IN'!$F$30)</f>
        <v>1824.9999999999998</v>
      </c>
      <c r="AA333" s="33">
        <f>'Batt IN'!$G$17*'Batt IN'!$E$18*'Batt IN'!$G$18/12*(1+'Batt IN'!$F$30)</f>
        <v>1170</v>
      </c>
      <c r="AB333" s="33">
        <f>'Batt IN'!$G$19*'Batt IN'!$E$20*'Batt IN'!$G$20/12*(1+'Batt IN'!$F$30)</f>
        <v>150</v>
      </c>
      <c r="AC333" s="33">
        <f>'Batt IN'!$G$21*(1+'Batt IN'!$F$30)/12</f>
        <v>3500</v>
      </c>
      <c r="AD333" s="33">
        <f>'Batt IN'!$G$22*(1+'Batt IN'!$F$30)/12</f>
        <v>2500</v>
      </c>
      <c r="AE333" s="33">
        <f t="shared" si="87"/>
        <v>30366.783333333333</v>
      </c>
      <c r="AF333" s="33">
        <f>IF('PV IN'!$F$4="Battery Only",0,AE333*'Batt IN'!$E$29)</f>
        <v>25811.765833333331</v>
      </c>
      <c r="AG333" s="33">
        <f>PVCalcs!L333</f>
        <v>25811.765833333331</v>
      </c>
      <c r="AH333" s="33">
        <f t="shared" si="88"/>
        <v>4555.0175000000017</v>
      </c>
      <c r="AI333" s="33"/>
      <c r="AJ333" s="2">
        <f>IF(AND('Batt IN'!$D$53="Yes",$AL$1&gt;=1),IF($C333='Batt IN'!$H$54*12,-'Batt IN'!$F$54,0),0)</f>
        <v>0</v>
      </c>
      <c r="AK333" s="2">
        <f>IF(AND('Batt IN'!$D$53="Yes",$AL$1&gt;=2),IF($C333='Batt IN'!$H$55*12,-'Batt IN'!$F$55,0),0)</f>
        <v>0</v>
      </c>
      <c r="AL333" s="2">
        <f>IF(AND('Batt IN'!$D$53="Yes",$AL$1&gt;=3),IF($C333='Batt IN'!$H$56*12,-'Batt IN'!$F$56,0),0)</f>
        <v>0</v>
      </c>
      <c r="AM333" s="2">
        <f>IF(AND('Batt IN'!$D$53="Yes",$AL$1&gt;=4),IF($C333='Batt IN'!$H$57*12,-'Batt IN'!$F$57,0),0)</f>
        <v>0</v>
      </c>
      <c r="AN333" s="2">
        <f>IF(AND('Batt IN'!$D$53="Yes",$AL$1&gt;=5),IF($C333='Batt IN'!$H$58*12,-'Batt IN'!$F$58,0),0)</f>
        <v>0</v>
      </c>
      <c r="AO333" s="10">
        <f>IF(AND('Batt IN'!$D$44="YES",$C333&lt;='Batt IN'!$E$44*12),-'Batt IN'!$E$28*'Batt IN'!$E$42/12,0)</f>
        <v>0</v>
      </c>
      <c r="AP333" s="10">
        <f>IF(AND('Batt IN'!$D$46="YES",$C333&lt;='Batt IN'!$E$46*12),-'Batt IN'!$E$28*'Batt IN'!$E$45/12,0)</f>
        <v>0</v>
      </c>
      <c r="AR333" s="10">
        <f>BattLoan!M360</f>
        <v>0</v>
      </c>
      <c r="AS333" s="10">
        <f>'Batt IN'!$G$16*365/12*'Batt IN'!$E$16</f>
        <v>76.041666666666671</v>
      </c>
      <c r="AT333" s="10">
        <f>IF(AND('Batt IN'!$E$18&gt;0,'Batt IN'!$G$18&gt;0),'Batt IN'!$E$17*'Batt IN'!$G$17,0)</f>
        <v>119.44619999999999</v>
      </c>
      <c r="AU333" s="10">
        <f>IF(AND('Batt IN'!$E$20&gt;0,'Batt IN'!$G$20&gt;0),'Batt IN'!$E$19*'Batt IN'!$G$19,0)</f>
        <v>231</v>
      </c>
      <c r="AV333" s="10"/>
      <c r="AW333" s="10"/>
      <c r="AX333" s="10">
        <f>IF('Batt IN'!$E$11="Non-Taxable",Q333,0)</f>
        <v>11611.743452054794</v>
      </c>
      <c r="AY333" s="10">
        <f>IF('Batt IN'!$E$11="Non-Taxable",'Batt IN'!$E$28/1000*'Batt IN'!$G$13*('Batt IN'!$E$13/12)*'Batt IN'!$E$12,0)</f>
        <v>244.42220833333334</v>
      </c>
      <c r="AZ333" s="10">
        <f>IF('Batt IN'!$E$11="Non-Taxable",$S333*'Batt IN'!$G$15*'Batt IN'!$E$28*'Batt IN'!$E$14/1000,0)</f>
        <v>0</v>
      </c>
      <c r="BA333" s="10">
        <f>IF('Batt IN'!$E$11="Non-Taxable",'Batt IN'!$E$21*'Batt IN'!$G$21/12,0)</f>
        <v>437.5</v>
      </c>
      <c r="BB333" s="10">
        <f>IF('Batt IN'!$E$11="Non-Taxable",'Batt IN'!$E$22*'Batt IN'!$G$22/12,0)</f>
        <v>1145.8333333333335</v>
      </c>
      <c r="BC333" s="10">
        <f>IF('Batt IN'!$E$11="Taxable",Q333,0)</f>
        <v>0</v>
      </c>
      <c r="BD333" s="10">
        <f>IF('Batt IN'!$E$11="Taxable",'Batt IN'!$E$28/1000*'Batt IN'!$G$13*('Batt IN'!$E$13/12)*'Batt IN'!$E$12,0)</f>
        <v>0</v>
      </c>
      <c r="BE333" s="10">
        <f>IF('Batt IN'!$E$11="Taxable",$S333*'Batt IN'!$G$15*'Batt IN'!$E$28*'Batt IN'!$E$14/1000,0)</f>
        <v>0</v>
      </c>
      <c r="BF333" s="10">
        <f>IF('Batt IN'!$E$11="Taxable",'Batt IN'!$E$21*'Batt IN'!$G$21/12,0)</f>
        <v>0</v>
      </c>
      <c r="BG333" s="10">
        <f>IF('Batt IN'!$E$11="Taxable",'Batt IN'!$E$22*'Batt IN'!$G$22/12,0)</f>
        <v>0</v>
      </c>
      <c r="BK333" s="10">
        <f>IF('Batt IN'!$N$18="Yes",-BattLoan!H361,-BattLoan!L361)</f>
        <v>0</v>
      </c>
      <c r="BL333" s="10">
        <f>IF('Batt IN'!$N$18="Yes",-BattLoan!F361,0)</f>
        <v>0</v>
      </c>
      <c r="BM333" s="10">
        <f>IF(AND('Batt IN'!$D$44="YES",$C333&lt;='Batt IN'!$E$44*12),0,-'Batt IN'!$E$28*'Batt IN'!$E$42/12)</f>
        <v>-83.333333333333329</v>
      </c>
      <c r="BN333" s="10">
        <f>IF(AND('Batt IN'!$D$46="YES",$C333&lt;='Batt IN'!$E$46*12),0,-'Batt IN'!$E$28*'Batt IN'!$E$45/12)</f>
        <v>-166.66666666666666</v>
      </c>
      <c r="BO333" s="2">
        <f>IF(AND('Batt IN'!$D$41="YES",BattCalcs!C333=ROUNDUP('Batt IN'!$H$41*12,)),-'Batt IN'!$E$41*'Batt IN'!$E$28,0)</f>
        <v>0</v>
      </c>
      <c r="BP333" s="2">
        <f>IF(AND('Batt IN'!$D$53="Yes",$AL$1&gt;=1),0,IF($C333='Batt IN'!$H$54*12,-'Batt IN'!$F$54,0))</f>
        <v>0</v>
      </c>
      <c r="BQ333" s="2">
        <f>IF(AND('Batt IN'!$D$53="Yes",$AL$1&gt;=2),0,IF($C333='Batt IN'!$H$55*12,-'Batt IN'!$F$55,0))</f>
        <v>0</v>
      </c>
      <c r="BR333" s="2">
        <f>IF(AND('Batt IN'!$D$53="Yes",$AL$1&gt;=3),0,IF($C333='Batt IN'!$H$56*12,-'Batt IN'!$F$56,0))</f>
        <v>0</v>
      </c>
      <c r="BS333" s="2">
        <f>IF(AND('Batt IN'!$D$53="Yes",$AL$1&gt;=4),0,IF($C333='Batt IN'!$H$57*12,-'Batt IN'!$F$57,0))</f>
        <v>0</v>
      </c>
      <c r="BT333" s="2">
        <f>IF(AND('Batt IN'!$D$53="Yes",$AL$1&gt;=5),0,IF($C333='Batt IN'!$H$58*12,-'Batt IN'!$F$58,0))</f>
        <v>0</v>
      </c>
      <c r="BU333" s="2">
        <f>-AH333*PVCalcs!F333</f>
        <v>-364.87346774065543</v>
      </c>
      <c r="BV333" s="2">
        <f>-'Batt IN'!$E$47</f>
        <v>-150</v>
      </c>
      <c r="BW333" s="2">
        <f>-'Batt IN'!$E$49</f>
        <v>-2250</v>
      </c>
      <c r="BX333" s="2">
        <f>IF('Batt IN'!$H$50="No",-(BC333*'Batt IN'!$E$50),-(BC333+BE333)*'Batt IN'!$E$50)</f>
        <v>0</v>
      </c>
      <c r="BY333" s="2">
        <f>IF(C333='Batt IN'!$H$43*12,-'Batt IN'!$E$43,0)</f>
        <v>0</v>
      </c>
      <c r="BZ333" s="38"/>
      <c r="CA333" s="10">
        <f t="shared" si="89"/>
        <v>13865.986860388128</v>
      </c>
      <c r="CB333" s="2">
        <f t="shared" si="94"/>
        <v>-3014.8734677406555</v>
      </c>
      <c r="CC333" s="45">
        <f t="shared" si="90"/>
        <v>10851.113392647472</v>
      </c>
      <c r="CD333" s="43"/>
      <c r="CE333" s="2">
        <f t="shared" si="91"/>
        <v>0</v>
      </c>
      <c r="CF333" s="2">
        <f t="shared" si="95"/>
        <v>-3014.8734677406555</v>
      </c>
      <c r="CG333" s="2"/>
      <c r="CH333" s="2">
        <f t="shared" si="92"/>
        <v>-3014.8734677406555</v>
      </c>
      <c r="CI333" s="45">
        <f>-CH333*'Batt IN'!$E$7</f>
        <v>633.12342822553762</v>
      </c>
      <c r="CJ333" s="48"/>
      <c r="CK333" s="45">
        <f>IF('Batt IN'!$F$4="PV Only",0,IF(C333&gt;'Batt IN'!$H$43*12,0,CC333+CI333))</f>
        <v>0</v>
      </c>
      <c r="CM333" s="10">
        <f t="shared" si="93"/>
        <v>0</v>
      </c>
      <c r="CN333" s="2">
        <f>CK333/(1+('Batt IN'!$G$8))^(C333)</f>
        <v>0</v>
      </c>
      <c r="CO333" s="2" t="e">
        <f>IF(C333&lt;='Batt IN'!$O$30*12,CN333+CO332,NA())</f>
        <v>#N/A</v>
      </c>
      <c r="CQ333" s="2">
        <f>CK333/((1+('Batt IN'!$E$8/12))^BattCalcs!C333)</f>
        <v>0</v>
      </c>
      <c r="CS333" s="10">
        <f t="shared" si="96"/>
        <v>-3014.8734677406555</v>
      </c>
      <c r="CT333" s="10">
        <f t="shared" si="97"/>
        <v>0</v>
      </c>
      <c r="CU333" s="10">
        <f t="shared" si="98"/>
        <v>-3014.8734677406555</v>
      </c>
      <c r="CV333" s="10">
        <f t="shared" si="99"/>
        <v>-3014.8734677406555</v>
      </c>
      <c r="CW333" s="2">
        <f t="shared" si="100"/>
        <v>0</v>
      </c>
      <c r="CX333" s="2">
        <f>-(SUM(CV333:CW333)*'PV IN'!$E$8)</f>
        <v>633.12342822553762</v>
      </c>
      <c r="CY333" s="2">
        <f t="shared" si="101"/>
        <v>-2381.7500395151178</v>
      </c>
      <c r="CZ333" s="2">
        <f>IF(C333&lt;='Batt IN'!$H$43*12,CY333/(1+('PV IN'!$G$9))^(C333),0)</f>
        <v>0</v>
      </c>
      <c r="DA333" s="33">
        <f>IF(C333&lt;='Batt IN'!$H$43*12,AE333,0)</f>
        <v>0</v>
      </c>
    </row>
    <row r="334" spans="1:105" x14ac:dyDescent="0.25">
      <c r="A334" t="str">
        <f>IF(C334&lt;='Batt IN'!$H$43*12,C334,"")</f>
        <v/>
      </c>
      <c r="C334">
        <v>330</v>
      </c>
      <c r="D334" s="21">
        <v>760</v>
      </c>
      <c r="E334" s="1">
        <f>1-'Batt IN'!$E$31</f>
        <v>2.0000000000000018E-2</v>
      </c>
      <c r="F334" s="12">
        <f>('Batt IN'!$E$33*365)/8760</f>
        <v>0</v>
      </c>
      <c r="G334" s="22">
        <f>'Batt IN'!$E$32/8760</f>
        <v>5.7077625570776253E-3</v>
      </c>
      <c r="H334" s="22">
        <f>'Batt IN'!$E$13/8760</f>
        <v>5.5936073059360729E-3</v>
      </c>
      <c r="I334" s="23">
        <f>IF(C334&lt;='Batt IN'!$G$14*12,'Batt IN'!$E$15/8760*'Batt IN'!$G$15,0)</f>
        <v>0</v>
      </c>
      <c r="J334" s="12">
        <f>Z334/'Batt IN'!$E$27/730</f>
        <v>2.4999999999999996E-3</v>
      </c>
      <c r="K334" s="23">
        <f>AA334/'Batt IN'!$E$27/730</f>
        <v>1.6027397260273972E-3</v>
      </c>
      <c r="L334" s="23">
        <f>AB334/'Batt IN'!$E$27/730</f>
        <v>2.0547945205479451E-4</v>
      </c>
      <c r="M334" s="23">
        <f>AC334/'Batt IN'!$E$27/730</f>
        <v>4.7945205479452057E-3</v>
      </c>
      <c r="N334" s="23">
        <f>AD334/'Batt IN'!$E$27/730</f>
        <v>3.4246575342465752E-3</v>
      </c>
      <c r="O334" s="12">
        <f t="shared" si="85"/>
        <v>4.3828767123287697E-2</v>
      </c>
      <c r="P334" s="21">
        <f t="shared" si="86"/>
        <v>726.69013698630135</v>
      </c>
      <c r="Q334" s="2">
        <f>IF('Batt IN'!$E$27*'Batt IN'!$E$24&lt;='Batt IN'!$E$28,(('Batt IN'!$E$23*'Batt IN'!$E$27*'Batt IN'!$E$24)/1000)*P334,(('Batt IN'!$E$23*'Batt IN'!$E$28*'Batt IN'!$E$24)/1000)*P334)</f>
        <v>11627.042191780822</v>
      </c>
      <c r="R334" s="2"/>
      <c r="S334" s="77">
        <f>IF(C334&lt;='Batt IN'!$G$14*12,'Batt IN'!$E$15/12,0)</f>
        <v>0</v>
      </c>
      <c r="T334" s="77"/>
      <c r="U334" s="80">
        <f>'Batt IN'!$E$28*('Batt IN'!$G$24/24)*730*(1-O334)</f>
        <v>81433.916666666657</v>
      </c>
      <c r="V334" s="78">
        <f>U334*'Batt IN'!$F$30</f>
        <v>16286.783333333333</v>
      </c>
      <c r="W334" s="78">
        <f>'Batt IN'!$E$28*'Batt IN'!$G$32*('Batt IN'!$E$32/12)*(1+'Batt IN'!$F$30)</f>
        <v>1750.0000000000002</v>
      </c>
      <c r="X334" s="78">
        <f>'Batt IN'!$E$28*'Batt IN'!$G$13*('Batt IN'!$E$13/12)*(1+'Batt IN'!$F$30)</f>
        <v>3184.9999999999995</v>
      </c>
      <c r="Y334" s="33">
        <f>S334*'Batt IN'!$G$15*'Batt IN'!$E$28*(1+'Batt IN'!$F$30)</f>
        <v>0</v>
      </c>
      <c r="Z334" s="33">
        <f>'Batt IN'!$G$16*365/12*(1+'Batt IN'!$F$30)</f>
        <v>1824.9999999999998</v>
      </c>
      <c r="AA334" s="33">
        <f>'Batt IN'!$G$17*'Batt IN'!$E$18*'Batt IN'!$G$18/12*(1+'Batt IN'!$F$30)</f>
        <v>1170</v>
      </c>
      <c r="AB334" s="33">
        <f>'Batt IN'!$G$19*'Batt IN'!$E$20*'Batt IN'!$G$20/12*(1+'Batt IN'!$F$30)</f>
        <v>150</v>
      </c>
      <c r="AC334" s="33">
        <f>'Batt IN'!$G$21*(1+'Batt IN'!$F$30)/12</f>
        <v>3500</v>
      </c>
      <c r="AD334" s="33">
        <f>'Batt IN'!$G$22*(1+'Batt IN'!$F$30)/12</f>
        <v>2500</v>
      </c>
      <c r="AE334" s="33">
        <f t="shared" si="87"/>
        <v>30366.783333333333</v>
      </c>
      <c r="AF334" s="33">
        <f>IF('PV IN'!$F$4="Battery Only",0,AE334*'Batt IN'!$E$29)</f>
        <v>25811.765833333331</v>
      </c>
      <c r="AG334" s="33">
        <f>PVCalcs!L334</f>
        <v>25811.765833333331</v>
      </c>
      <c r="AH334" s="33">
        <f t="shared" si="88"/>
        <v>4555.0175000000017</v>
      </c>
      <c r="AI334" s="33"/>
      <c r="AJ334" s="2">
        <f>IF(AND('Batt IN'!$D$53="Yes",$AL$1&gt;=1),IF($C334='Batt IN'!$H$54*12,-'Batt IN'!$F$54,0),0)</f>
        <v>0</v>
      </c>
      <c r="AK334" s="2">
        <f>IF(AND('Batt IN'!$D$53="Yes",$AL$1&gt;=2),IF($C334='Batt IN'!$H$55*12,-'Batt IN'!$F$55,0),0)</f>
        <v>0</v>
      </c>
      <c r="AL334" s="2">
        <f>IF(AND('Batt IN'!$D$53="Yes",$AL$1&gt;=3),IF($C334='Batt IN'!$H$56*12,-'Batt IN'!$F$56,0),0)</f>
        <v>0</v>
      </c>
      <c r="AM334" s="2">
        <f>IF(AND('Batt IN'!$D$53="Yes",$AL$1&gt;=4),IF($C334='Batt IN'!$H$57*12,-'Batt IN'!$F$57,0),0)</f>
        <v>0</v>
      </c>
      <c r="AN334" s="2">
        <f>IF(AND('Batt IN'!$D$53="Yes",$AL$1&gt;=5),IF($C334='Batt IN'!$H$58*12,-'Batt IN'!$F$58,0),0)</f>
        <v>0</v>
      </c>
      <c r="AO334" s="10">
        <f>IF(AND('Batt IN'!$D$44="YES",$C334&lt;='Batt IN'!$E$44*12),-'Batt IN'!$E$28*'Batt IN'!$E$42/12,0)</f>
        <v>0</v>
      </c>
      <c r="AP334" s="10">
        <f>IF(AND('Batt IN'!$D$46="YES",$C334&lt;='Batt IN'!$E$46*12),-'Batt IN'!$E$28*'Batt IN'!$E$45/12,0)</f>
        <v>0</v>
      </c>
      <c r="AR334" s="10">
        <f>BattLoan!M361</f>
        <v>0</v>
      </c>
      <c r="AS334" s="10">
        <f>'Batt IN'!$G$16*365/12*'Batt IN'!$E$16</f>
        <v>76.041666666666671</v>
      </c>
      <c r="AT334" s="10">
        <f>IF(AND('Batt IN'!$E$18&gt;0,'Batt IN'!$G$18&gt;0),'Batt IN'!$E$17*'Batt IN'!$G$17,0)</f>
        <v>119.44619999999999</v>
      </c>
      <c r="AU334" s="10">
        <f>IF(AND('Batt IN'!$E$20&gt;0,'Batt IN'!$G$20&gt;0),'Batt IN'!$E$19*'Batt IN'!$G$19,0)</f>
        <v>231</v>
      </c>
      <c r="AV334" s="10"/>
      <c r="AW334" s="10"/>
      <c r="AX334" s="10">
        <f>IF('Batt IN'!$E$11="Non-Taxable",Q334,0)</f>
        <v>11627.042191780822</v>
      </c>
      <c r="AY334" s="10">
        <f>IF('Batt IN'!$E$11="Non-Taxable",'Batt IN'!$E$28/1000*'Batt IN'!$G$13*('Batt IN'!$E$13/12)*'Batt IN'!$E$12,0)</f>
        <v>244.42220833333334</v>
      </c>
      <c r="AZ334" s="10">
        <f>IF('Batt IN'!$E$11="Non-Taxable",$S334*'Batt IN'!$G$15*'Batt IN'!$E$28*'Batt IN'!$E$14/1000,0)</f>
        <v>0</v>
      </c>
      <c r="BA334" s="10">
        <f>IF('Batt IN'!$E$11="Non-Taxable",'Batt IN'!$E$21*'Batt IN'!$G$21/12,0)</f>
        <v>437.5</v>
      </c>
      <c r="BB334" s="10">
        <f>IF('Batt IN'!$E$11="Non-Taxable",'Batt IN'!$E$22*'Batt IN'!$G$22/12,0)</f>
        <v>1145.8333333333335</v>
      </c>
      <c r="BC334" s="10">
        <f>IF('Batt IN'!$E$11="Taxable",Q334,0)</f>
        <v>0</v>
      </c>
      <c r="BD334" s="10">
        <f>IF('Batt IN'!$E$11="Taxable",'Batt IN'!$E$28/1000*'Batt IN'!$G$13*('Batt IN'!$E$13/12)*'Batt IN'!$E$12,0)</f>
        <v>0</v>
      </c>
      <c r="BE334" s="10">
        <f>IF('Batt IN'!$E$11="Taxable",$S334*'Batt IN'!$G$15*'Batt IN'!$E$28*'Batt IN'!$E$14/1000,0)</f>
        <v>0</v>
      </c>
      <c r="BF334" s="10">
        <f>IF('Batt IN'!$E$11="Taxable",'Batt IN'!$E$21*'Batt IN'!$G$21/12,0)</f>
        <v>0</v>
      </c>
      <c r="BG334" s="10">
        <f>IF('Batt IN'!$E$11="Taxable",'Batt IN'!$E$22*'Batt IN'!$G$22/12,0)</f>
        <v>0</v>
      </c>
      <c r="BK334" s="10">
        <f>IF('Batt IN'!$N$18="Yes",-BattLoan!H362,-BattLoan!L362)</f>
        <v>0</v>
      </c>
      <c r="BL334" s="10">
        <f>IF('Batt IN'!$N$18="Yes",-BattLoan!F362,0)</f>
        <v>0</v>
      </c>
      <c r="BM334" s="10">
        <f>IF(AND('Batt IN'!$D$44="YES",$C334&lt;='Batt IN'!$E$44*12),0,-'Batt IN'!$E$28*'Batt IN'!$E$42/12)</f>
        <v>-83.333333333333329</v>
      </c>
      <c r="BN334" s="10">
        <f>IF(AND('Batt IN'!$D$46="YES",$C334&lt;='Batt IN'!$E$46*12),0,-'Batt IN'!$E$28*'Batt IN'!$E$45/12)</f>
        <v>-166.66666666666666</v>
      </c>
      <c r="BO334" s="2">
        <f>IF(AND('Batt IN'!$D$41="YES",BattCalcs!C334=ROUNDUP('Batt IN'!$H$41*12,)),-'Batt IN'!$E$41*'Batt IN'!$E$28,0)</f>
        <v>0</v>
      </c>
      <c r="BP334" s="2">
        <f>IF(AND('Batt IN'!$D$53="Yes",$AL$1&gt;=1),0,IF($C334='Batt IN'!$H$54*12,-'Batt IN'!$F$54,0))</f>
        <v>0</v>
      </c>
      <c r="BQ334" s="2">
        <f>IF(AND('Batt IN'!$D$53="Yes",$AL$1&gt;=2),0,IF($C334='Batt IN'!$H$55*12,-'Batt IN'!$F$55,0))</f>
        <v>0</v>
      </c>
      <c r="BR334" s="2">
        <f>IF(AND('Batt IN'!$D$53="Yes",$AL$1&gt;=3),0,IF($C334='Batt IN'!$H$56*12,-'Batt IN'!$F$56,0))</f>
        <v>0</v>
      </c>
      <c r="BS334" s="2">
        <f>IF(AND('Batt IN'!$D$53="Yes",$AL$1&gt;=4),0,IF($C334='Batt IN'!$H$57*12,-'Batt IN'!$F$57,0))</f>
        <v>0</v>
      </c>
      <c r="BT334" s="2">
        <f>IF(AND('Batt IN'!$D$53="Yes",$AL$1&gt;=5),0,IF($C334='Batt IN'!$H$58*12,-'Batt IN'!$F$58,0))</f>
        <v>0</v>
      </c>
      <c r="BU334" s="2">
        <f>-AH334*PVCalcs!F334</f>
        <v>-364.87346774065543</v>
      </c>
      <c r="BV334" s="2">
        <f>-'Batt IN'!$E$47</f>
        <v>-150</v>
      </c>
      <c r="BW334" s="2">
        <f>-'Batt IN'!$E$49</f>
        <v>-2250</v>
      </c>
      <c r="BX334" s="2">
        <f>IF('Batt IN'!$H$50="No",-(BC334*'Batt IN'!$E$50),-(BC334+BE334)*'Batt IN'!$E$50)</f>
        <v>0</v>
      </c>
      <c r="BY334" s="2">
        <f>IF(C334='Batt IN'!$H$43*12,-'Batt IN'!$E$43,0)</f>
        <v>0</v>
      </c>
      <c r="BZ334" s="38"/>
      <c r="CA334" s="10">
        <f t="shared" si="89"/>
        <v>13881.285600114155</v>
      </c>
      <c r="CB334" s="2">
        <f t="shared" si="94"/>
        <v>-3014.8734677406555</v>
      </c>
      <c r="CC334" s="45">
        <f t="shared" si="90"/>
        <v>10866.4121323735</v>
      </c>
      <c r="CD334" s="43"/>
      <c r="CE334" s="2">
        <f t="shared" si="91"/>
        <v>0</v>
      </c>
      <c r="CF334" s="2">
        <f t="shared" si="95"/>
        <v>-3014.8734677406555</v>
      </c>
      <c r="CG334" s="2"/>
      <c r="CH334" s="2">
        <f t="shared" si="92"/>
        <v>-3014.8734677406555</v>
      </c>
      <c r="CI334" s="45">
        <f>-CH334*'Batt IN'!$E$7</f>
        <v>633.12342822553762</v>
      </c>
      <c r="CJ334" s="48"/>
      <c r="CK334" s="45">
        <f>IF('Batt IN'!$F$4="PV Only",0,IF(C334&gt;'Batt IN'!$H$43*12,0,CC334+CI334))</f>
        <v>0</v>
      </c>
      <c r="CM334" s="10">
        <f t="shared" si="93"/>
        <v>0</v>
      </c>
      <c r="CN334" s="2">
        <f>CK334/(1+('Batt IN'!$G$8))^(C334)</f>
        <v>0</v>
      </c>
      <c r="CO334" s="2" t="e">
        <f>IF(C334&lt;='Batt IN'!$O$30*12,CN334+CO333,NA())</f>
        <v>#N/A</v>
      </c>
      <c r="CQ334" s="2">
        <f>CK334/((1+('Batt IN'!$E$8/12))^BattCalcs!C334)</f>
        <v>0</v>
      </c>
      <c r="CS334" s="10">
        <f t="shared" si="96"/>
        <v>-3014.8734677406555</v>
      </c>
      <c r="CT334" s="10">
        <f t="shared" si="97"/>
        <v>0</v>
      </c>
      <c r="CU334" s="10">
        <f t="shared" si="98"/>
        <v>-3014.8734677406555</v>
      </c>
      <c r="CV334" s="10">
        <f t="shared" si="99"/>
        <v>-3014.8734677406555</v>
      </c>
      <c r="CW334" s="2">
        <f t="shared" si="100"/>
        <v>0</v>
      </c>
      <c r="CX334" s="2">
        <f>-(SUM(CV334:CW334)*'PV IN'!$E$8)</f>
        <v>633.12342822553762</v>
      </c>
      <c r="CY334" s="2">
        <f t="shared" si="101"/>
        <v>-2381.7500395151178</v>
      </c>
      <c r="CZ334" s="2">
        <f>IF(C334&lt;='Batt IN'!$H$43*12,CY334/(1+('PV IN'!$G$9))^(C334),0)</f>
        <v>0</v>
      </c>
      <c r="DA334" s="33">
        <f>IF(C334&lt;='Batt IN'!$H$43*12,AE334,0)</f>
        <v>0</v>
      </c>
    </row>
    <row r="335" spans="1:105" x14ac:dyDescent="0.25">
      <c r="A335" t="str">
        <f>IF(C335&lt;='Batt IN'!$H$43*12,C335,"")</f>
        <v/>
      </c>
      <c r="C335">
        <v>331</v>
      </c>
      <c r="D335" s="21">
        <v>761</v>
      </c>
      <c r="E335" s="1">
        <f>1-'Batt IN'!$E$31</f>
        <v>2.0000000000000018E-2</v>
      </c>
      <c r="F335" s="12">
        <f>('Batt IN'!$E$33*365)/8760</f>
        <v>0</v>
      </c>
      <c r="G335" s="22">
        <f>'Batt IN'!$E$32/8760</f>
        <v>5.7077625570776253E-3</v>
      </c>
      <c r="H335" s="22">
        <f>'Batt IN'!$E$13/8760</f>
        <v>5.5936073059360729E-3</v>
      </c>
      <c r="I335" s="23">
        <f>IF(C335&lt;='Batt IN'!$G$14*12,'Batt IN'!$E$15/8760*'Batt IN'!$G$15,0)</f>
        <v>0</v>
      </c>
      <c r="J335" s="12">
        <f>Z335/'Batt IN'!$E$27/730</f>
        <v>2.4999999999999996E-3</v>
      </c>
      <c r="K335" s="23">
        <f>AA335/'Batt IN'!$E$27/730</f>
        <v>1.6027397260273972E-3</v>
      </c>
      <c r="L335" s="23">
        <f>AB335/'Batt IN'!$E$27/730</f>
        <v>2.0547945205479451E-4</v>
      </c>
      <c r="M335" s="23">
        <f>AC335/'Batt IN'!$E$27/730</f>
        <v>4.7945205479452057E-3</v>
      </c>
      <c r="N335" s="23">
        <f>AD335/'Batt IN'!$E$27/730</f>
        <v>3.4246575342465752E-3</v>
      </c>
      <c r="O335" s="12">
        <f t="shared" si="85"/>
        <v>4.3828767123287697E-2</v>
      </c>
      <c r="P335" s="21">
        <f t="shared" si="86"/>
        <v>727.64630821917808</v>
      </c>
      <c r="Q335" s="2">
        <f>IF('Batt IN'!$E$27*'Batt IN'!$E$24&lt;='Batt IN'!$E$28,(('Batt IN'!$E$23*'Batt IN'!$E$27*'Batt IN'!$E$24)/1000)*P335,(('Batt IN'!$E$23*'Batt IN'!$E$28*'Batt IN'!$E$24)/1000)*P335)</f>
        <v>11642.340931506849</v>
      </c>
      <c r="R335" s="2"/>
      <c r="S335" s="77">
        <f>IF(C335&lt;='Batt IN'!$G$14*12,'Batt IN'!$E$15/12,0)</f>
        <v>0</v>
      </c>
      <c r="T335" s="77"/>
      <c r="U335" s="80">
        <f>'Batt IN'!$E$28*('Batt IN'!$G$24/24)*730*(1-O335)</f>
        <v>81433.916666666657</v>
      </c>
      <c r="V335" s="78">
        <f>U335*'Batt IN'!$F$30</f>
        <v>16286.783333333333</v>
      </c>
      <c r="W335" s="78">
        <f>'Batt IN'!$E$28*'Batt IN'!$G$32*('Batt IN'!$E$32/12)*(1+'Batt IN'!$F$30)</f>
        <v>1750.0000000000002</v>
      </c>
      <c r="X335" s="78">
        <f>'Batt IN'!$E$28*'Batt IN'!$G$13*('Batt IN'!$E$13/12)*(1+'Batt IN'!$F$30)</f>
        <v>3184.9999999999995</v>
      </c>
      <c r="Y335" s="33">
        <f>S335*'Batt IN'!$G$15*'Batt IN'!$E$28*(1+'Batt IN'!$F$30)</f>
        <v>0</v>
      </c>
      <c r="Z335" s="33">
        <f>'Batt IN'!$G$16*365/12*(1+'Batt IN'!$F$30)</f>
        <v>1824.9999999999998</v>
      </c>
      <c r="AA335" s="33">
        <f>'Batt IN'!$G$17*'Batt IN'!$E$18*'Batt IN'!$G$18/12*(1+'Batt IN'!$F$30)</f>
        <v>1170</v>
      </c>
      <c r="AB335" s="33">
        <f>'Batt IN'!$G$19*'Batt IN'!$E$20*'Batt IN'!$G$20/12*(1+'Batt IN'!$F$30)</f>
        <v>150</v>
      </c>
      <c r="AC335" s="33">
        <f>'Batt IN'!$G$21*(1+'Batt IN'!$F$30)/12</f>
        <v>3500</v>
      </c>
      <c r="AD335" s="33">
        <f>'Batt IN'!$G$22*(1+'Batt IN'!$F$30)/12</f>
        <v>2500</v>
      </c>
      <c r="AE335" s="33">
        <f t="shared" si="87"/>
        <v>30366.783333333333</v>
      </c>
      <c r="AF335" s="33">
        <f>IF('PV IN'!$F$4="Battery Only",0,AE335*'Batt IN'!$E$29)</f>
        <v>25811.765833333331</v>
      </c>
      <c r="AG335" s="33">
        <f>PVCalcs!L335</f>
        <v>25811.765833333331</v>
      </c>
      <c r="AH335" s="33">
        <f t="shared" si="88"/>
        <v>4555.0175000000017</v>
      </c>
      <c r="AI335" s="33"/>
      <c r="AJ335" s="2">
        <f>IF(AND('Batt IN'!$D$53="Yes",$AL$1&gt;=1),IF($C335='Batt IN'!$H$54*12,-'Batt IN'!$F$54,0),0)</f>
        <v>0</v>
      </c>
      <c r="AK335" s="2">
        <f>IF(AND('Batt IN'!$D$53="Yes",$AL$1&gt;=2),IF($C335='Batt IN'!$H$55*12,-'Batt IN'!$F$55,0),0)</f>
        <v>0</v>
      </c>
      <c r="AL335" s="2">
        <f>IF(AND('Batt IN'!$D$53="Yes",$AL$1&gt;=3),IF($C335='Batt IN'!$H$56*12,-'Batt IN'!$F$56,0),0)</f>
        <v>0</v>
      </c>
      <c r="AM335" s="2">
        <f>IF(AND('Batt IN'!$D$53="Yes",$AL$1&gt;=4),IF($C335='Batt IN'!$H$57*12,-'Batt IN'!$F$57,0),0)</f>
        <v>0</v>
      </c>
      <c r="AN335" s="2">
        <f>IF(AND('Batt IN'!$D$53="Yes",$AL$1&gt;=5),IF($C335='Batt IN'!$H$58*12,-'Batt IN'!$F$58,0),0)</f>
        <v>0</v>
      </c>
      <c r="AO335" s="10">
        <f>IF(AND('Batt IN'!$D$44="YES",$C335&lt;='Batt IN'!$E$44*12),-'Batt IN'!$E$28*'Batt IN'!$E$42/12,0)</f>
        <v>0</v>
      </c>
      <c r="AP335" s="10">
        <f>IF(AND('Batt IN'!$D$46="YES",$C335&lt;='Batt IN'!$E$46*12),-'Batt IN'!$E$28*'Batt IN'!$E$45/12,0)</f>
        <v>0</v>
      </c>
      <c r="AR335" s="10">
        <f>BattLoan!M362</f>
        <v>0</v>
      </c>
      <c r="AS335" s="10">
        <f>'Batt IN'!$G$16*365/12*'Batt IN'!$E$16</f>
        <v>76.041666666666671</v>
      </c>
      <c r="AT335" s="10">
        <f>IF(AND('Batt IN'!$E$18&gt;0,'Batt IN'!$G$18&gt;0),'Batt IN'!$E$17*'Batt IN'!$G$17,0)</f>
        <v>119.44619999999999</v>
      </c>
      <c r="AU335" s="10">
        <f>IF(AND('Batt IN'!$E$20&gt;0,'Batt IN'!$G$20&gt;0),'Batt IN'!$E$19*'Batt IN'!$G$19,0)</f>
        <v>231</v>
      </c>
      <c r="AV335" s="10"/>
      <c r="AW335" s="10"/>
      <c r="AX335" s="10">
        <f>IF('Batt IN'!$E$11="Non-Taxable",Q335,0)</f>
        <v>11642.340931506849</v>
      </c>
      <c r="AY335" s="10">
        <f>IF('Batt IN'!$E$11="Non-Taxable",'Batt IN'!$E$28/1000*'Batt IN'!$G$13*('Batt IN'!$E$13/12)*'Batt IN'!$E$12,0)</f>
        <v>244.42220833333334</v>
      </c>
      <c r="AZ335" s="10">
        <f>IF('Batt IN'!$E$11="Non-Taxable",$S335*'Batt IN'!$G$15*'Batt IN'!$E$28*'Batt IN'!$E$14/1000,0)</f>
        <v>0</v>
      </c>
      <c r="BA335" s="10">
        <f>IF('Batt IN'!$E$11="Non-Taxable",'Batt IN'!$E$21*'Batt IN'!$G$21/12,0)</f>
        <v>437.5</v>
      </c>
      <c r="BB335" s="10">
        <f>IF('Batt IN'!$E$11="Non-Taxable",'Batt IN'!$E$22*'Batt IN'!$G$22/12,0)</f>
        <v>1145.8333333333335</v>
      </c>
      <c r="BC335" s="10">
        <f>IF('Batt IN'!$E$11="Taxable",Q335,0)</f>
        <v>0</v>
      </c>
      <c r="BD335" s="10">
        <f>IF('Batt IN'!$E$11="Taxable",'Batt IN'!$E$28/1000*'Batt IN'!$G$13*('Batt IN'!$E$13/12)*'Batt IN'!$E$12,0)</f>
        <v>0</v>
      </c>
      <c r="BE335" s="10">
        <f>IF('Batt IN'!$E$11="Taxable",$S335*'Batt IN'!$G$15*'Batt IN'!$E$28*'Batt IN'!$E$14/1000,0)</f>
        <v>0</v>
      </c>
      <c r="BF335" s="10">
        <f>IF('Batt IN'!$E$11="Taxable",'Batt IN'!$E$21*'Batt IN'!$G$21/12,0)</f>
        <v>0</v>
      </c>
      <c r="BG335" s="10">
        <f>IF('Batt IN'!$E$11="Taxable",'Batt IN'!$E$22*'Batt IN'!$G$22/12,0)</f>
        <v>0</v>
      </c>
      <c r="BK335" s="10">
        <f>IF('Batt IN'!$N$18="Yes",-BattLoan!H363,-BattLoan!L363)</f>
        <v>0</v>
      </c>
      <c r="BL335" s="10">
        <f>IF('Batt IN'!$N$18="Yes",-BattLoan!F363,0)</f>
        <v>0</v>
      </c>
      <c r="BM335" s="10">
        <f>IF(AND('Batt IN'!$D$44="YES",$C335&lt;='Batt IN'!$E$44*12),0,-'Batt IN'!$E$28*'Batt IN'!$E$42/12)</f>
        <v>-83.333333333333329</v>
      </c>
      <c r="BN335" s="10">
        <f>IF(AND('Batt IN'!$D$46="YES",$C335&lt;='Batt IN'!$E$46*12),0,-'Batt IN'!$E$28*'Batt IN'!$E$45/12)</f>
        <v>-166.66666666666666</v>
      </c>
      <c r="BO335" s="2">
        <f>IF(AND('Batt IN'!$D$41="YES",BattCalcs!C335=ROUNDUP('Batt IN'!$H$41*12,)),-'Batt IN'!$E$41*'Batt IN'!$E$28,0)</f>
        <v>0</v>
      </c>
      <c r="BP335" s="2">
        <f>IF(AND('Batt IN'!$D$53="Yes",$AL$1&gt;=1),0,IF($C335='Batt IN'!$H$54*12,-'Batt IN'!$F$54,0))</f>
        <v>0</v>
      </c>
      <c r="BQ335" s="2">
        <f>IF(AND('Batt IN'!$D$53="Yes",$AL$1&gt;=2),0,IF($C335='Batt IN'!$H$55*12,-'Batt IN'!$F$55,0))</f>
        <v>0</v>
      </c>
      <c r="BR335" s="2">
        <f>IF(AND('Batt IN'!$D$53="Yes",$AL$1&gt;=3),0,IF($C335='Batt IN'!$H$56*12,-'Batt IN'!$F$56,0))</f>
        <v>0</v>
      </c>
      <c r="BS335" s="2">
        <f>IF(AND('Batt IN'!$D$53="Yes",$AL$1&gt;=4),0,IF($C335='Batt IN'!$H$57*12,-'Batt IN'!$F$57,0))</f>
        <v>0</v>
      </c>
      <c r="BT335" s="2">
        <f>IF(AND('Batt IN'!$D$53="Yes",$AL$1&gt;=5),0,IF($C335='Batt IN'!$H$58*12,-'Batt IN'!$F$58,0))</f>
        <v>0</v>
      </c>
      <c r="BU335" s="2">
        <f>-AH335*PVCalcs!F335</f>
        <v>-364.87346774065543</v>
      </c>
      <c r="BV335" s="2">
        <f>-'Batt IN'!$E$47</f>
        <v>-150</v>
      </c>
      <c r="BW335" s="2">
        <f>-'Batt IN'!$E$49</f>
        <v>-2250</v>
      </c>
      <c r="BX335" s="2">
        <f>IF('Batt IN'!$H$50="No",-(BC335*'Batt IN'!$E$50),-(BC335+BE335)*'Batt IN'!$E$50)</f>
        <v>0</v>
      </c>
      <c r="BY335" s="2">
        <f>IF(C335='Batt IN'!$H$43*12,-'Batt IN'!$E$43,0)</f>
        <v>0</v>
      </c>
      <c r="BZ335" s="38"/>
      <c r="CA335" s="10">
        <f t="shared" si="89"/>
        <v>13896.584339840183</v>
      </c>
      <c r="CB335" s="2">
        <f t="shared" si="94"/>
        <v>-3014.8734677406555</v>
      </c>
      <c r="CC335" s="45">
        <f t="shared" si="90"/>
        <v>10881.710872099527</v>
      </c>
      <c r="CD335" s="43"/>
      <c r="CE335" s="2">
        <f t="shared" si="91"/>
        <v>0</v>
      </c>
      <c r="CF335" s="2">
        <f t="shared" si="95"/>
        <v>-3014.8734677406555</v>
      </c>
      <c r="CG335" s="2"/>
      <c r="CH335" s="2">
        <f t="shared" si="92"/>
        <v>-3014.8734677406555</v>
      </c>
      <c r="CI335" s="45">
        <f>-CH335*'Batt IN'!$E$7</f>
        <v>633.12342822553762</v>
      </c>
      <c r="CJ335" s="48"/>
      <c r="CK335" s="45">
        <f>IF('Batt IN'!$F$4="PV Only",0,IF(C335&gt;'Batt IN'!$H$43*12,0,CC335+CI335))</f>
        <v>0</v>
      </c>
      <c r="CM335" s="10">
        <f t="shared" si="93"/>
        <v>0</v>
      </c>
      <c r="CN335" s="2">
        <f>CK335/(1+('Batt IN'!$G$8))^(C335)</f>
        <v>0</v>
      </c>
      <c r="CO335" s="2" t="e">
        <f>IF(C335&lt;='Batt IN'!$O$30*12,CN335+CO334,NA())</f>
        <v>#N/A</v>
      </c>
      <c r="CQ335" s="2">
        <f>CK335/((1+('Batt IN'!$E$8/12))^BattCalcs!C335)</f>
        <v>0</v>
      </c>
      <c r="CS335" s="10">
        <f t="shared" si="96"/>
        <v>-3014.8734677406555</v>
      </c>
      <c r="CT335" s="10">
        <f t="shared" si="97"/>
        <v>0</v>
      </c>
      <c r="CU335" s="10">
        <f t="shared" si="98"/>
        <v>-3014.8734677406555</v>
      </c>
      <c r="CV335" s="10">
        <f t="shared" si="99"/>
        <v>-3014.8734677406555</v>
      </c>
      <c r="CW335" s="2">
        <f t="shared" si="100"/>
        <v>0</v>
      </c>
      <c r="CX335" s="2">
        <f>-(SUM(CV335:CW335)*'PV IN'!$E$8)</f>
        <v>633.12342822553762</v>
      </c>
      <c r="CY335" s="2">
        <f t="shared" si="101"/>
        <v>-2381.7500395151178</v>
      </c>
      <c r="CZ335" s="2">
        <f>IF(C335&lt;='Batt IN'!$H$43*12,CY335/(1+('PV IN'!$G$9))^(C335),0)</f>
        <v>0</v>
      </c>
      <c r="DA335" s="33">
        <f>IF(C335&lt;='Batt IN'!$H$43*12,AE335,0)</f>
        <v>0</v>
      </c>
    </row>
    <row r="336" spans="1:105" x14ac:dyDescent="0.25">
      <c r="A336" t="str">
        <f>IF(C336&lt;='Batt IN'!$H$43*12,C336,"")</f>
        <v/>
      </c>
      <c r="C336">
        <v>332</v>
      </c>
      <c r="D336" s="21">
        <v>762</v>
      </c>
      <c r="E336" s="1">
        <f>1-'Batt IN'!$E$31</f>
        <v>2.0000000000000018E-2</v>
      </c>
      <c r="F336" s="12">
        <f>('Batt IN'!$E$33*365)/8760</f>
        <v>0</v>
      </c>
      <c r="G336" s="22">
        <f>'Batt IN'!$E$32/8760</f>
        <v>5.7077625570776253E-3</v>
      </c>
      <c r="H336" s="22">
        <f>'Batt IN'!$E$13/8760</f>
        <v>5.5936073059360729E-3</v>
      </c>
      <c r="I336" s="23">
        <f>IF(C336&lt;='Batt IN'!$G$14*12,'Batt IN'!$E$15/8760*'Batt IN'!$G$15,0)</f>
        <v>0</v>
      </c>
      <c r="J336" s="12">
        <f>Z336/'Batt IN'!$E$27/730</f>
        <v>2.4999999999999996E-3</v>
      </c>
      <c r="K336" s="23">
        <f>AA336/'Batt IN'!$E$27/730</f>
        <v>1.6027397260273972E-3</v>
      </c>
      <c r="L336" s="23">
        <f>AB336/'Batt IN'!$E$27/730</f>
        <v>2.0547945205479451E-4</v>
      </c>
      <c r="M336" s="23">
        <f>AC336/'Batt IN'!$E$27/730</f>
        <v>4.7945205479452057E-3</v>
      </c>
      <c r="N336" s="23">
        <f>AD336/'Batt IN'!$E$27/730</f>
        <v>3.4246575342465752E-3</v>
      </c>
      <c r="O336" s="12">
        <f t="shared" si="85"/>
        <v>4.3828767123287697E-2</v>
      </c>
      <c r="P336" s="21">
        <f t="shared" si="86"/>
        <v>728.60247945205481</v>
      </c>
      <c r="Q336" s="2">
        <f>IF('Batt IN'!$E$27*'Batt IN'!$E$24&lt;='Batt IN'!$E$28,(('Batt IN'!$E$23*'Batt IN'!$E$27*'Batt IN'!$E$24)/1000)*P336,(('Batt IN'!$E$23*'Batt IN'!$E$28*'Batt IN'!$E$24)/1000)*P336)</f>
        <v>11657.639671232877</v>
      </c>
      <c r="R336" s="2"/>
      <c r="S336" s="77">
        <f>IF(C336&lt;='Batt IN'!$G$14*12,'Batt IN'!$E$15/12,0)</f>
        <v>0</v>
      </c>
      <c r="T336" s="77"/>
      <c r="U336" s="80">
        <f>'Batt IN'!$E$28*('Batt IN'!$G$24/24)*730*(1-O336)</f>
        <v>81433.916666666657</v>
      </c>
      <c r="V336" s="78">
        <f>U336*'Batt IN'!$F$30</f>
        <v>16286.783333333333</v>
      </c>
      <c r="W336" s="78">
        <f>'Batt IN'!$E$28*'Batt IN'!$G$32*('Batt IN'!$E$32/12)*(1+'Batt IN'!$F$30)</f>
        <v>1750.0000000000002</v>
      </c>
      <c r="X336" s="78">
        <f>'Batt IN'!$E$28*'Batt IN'!$G$13*('Batt IN'!$E$13/12)*(1+'Batt IN'!$F$30)</f>
        <v>3184.9999999999995</v>
      </c>
      <c r="Y336" s="33">
        <f>S336*'Batt IN'!$G$15*'Batt IN'!$E$28*(1+'Batt IN'!$F$30)</f>
        <v>0</v>
      </c>
      <c r="Z336" s="33">
        <f>'Batt IN'!$G$16*365/12*(1+'Batt IN'!$F$30)</f>
        <v>1824.9999999999998</v>
      </c>
      <c r="AA336" s="33">
        <f>'Batt IN'!$G$17*'Batt IN'!$E$18*'Batt IN'!$G$18/12*(1+'Batt IN'!$F$30)</f>
        <v>1170</v>
      </c>
      <c r="AB336" s="33">
        <f>'Batt IN'!$G$19*'Batt IN'!$E$20*'Batt IN'!$G$20/12*(1+'Batt IN'!$F$30)</f>
        <v>150</v>
      </c>
      <c r="AC336" s="33">
        <f>'Batt IN'!$G$21*(1+'Batt IN'!$F$30)/12</f>
        <v>3500</v>
      </c>
      <c r="AD336" s="33">
        <f>'Batt IN'!$G$22*(1+'Batt IN'!$F$30)/12</f>
        <v>2500</v>
      </c>
      <c r="AE336" s="33">
        <f t="shared" si="87"/>
        <v>30366.783333333333</v>
      </c>
      <c r="AF336" s="33">
        <f>IF('PV IN'!$F$4="Battery Only",0,AE336*'Batt IN'!$E$29)</f>
        <v>25811.765833333331</v>
      </c>
      <c r="AG336" s="33">
        <f>PVCalcs!L336</f>
        <v>25811.765833333331</v>
      </c>
      <c r="AH336" s="33">
        <f t="shared" si="88"/>
        <v>4555.0175000000017</v>
      </c>
      <c r="AI336" s="33"/>
      <c r="AJ336" s="2">
        <f>IF(AND('Batt IN'!$D$53="Yes",$AL$1&gt;=1),IF($C336='Batt IN'!$H$54*12,-'Batt IN'!$F$54,0),0)</f>
        <v>0</v>
      </c>
      <c r="AK336" s="2">
        <f>IF(AND('Batt IN'!$D$53="Yes",$AL$1&gt;=2),IF($C336='Batt IN'!$H$55*12,-'Batt IN'!$F$55,0),0)</f>
        <v>0</v>
      </c>
      <c r="AL336" s="2">
        <f>IF(AND('Batt IN'!$D$53="Yes",$AL$1&gt;=3),IF($C336='Batt IN'!$H$56*12,-'Batt IN'!$F$56,0),0)</f>
        <v>0</v>
      </c>
      <c r="AM336" s="2">
        <f>IF(AND('Batt IN'!$D$53="Yes",$AL$1&gt;=4),IF($C336='Batt IN'!$H$57*12,-'Batt IN'!$F$57,0),0)</f>
        <v>0</v>
      </c>
      <c r="AN336" s="2">
        <f>IF(AND('Batt IN'!$D$53="Yes",$AL$1&gt;=5),IF($C336='Batt IN'!$H$58*12,-'Batt IN'!$F$58,0),0)</f>
        <v>0</v>
      </c>
      <c r="AO336" s="10">
        <f>IF(AND('Batt IN'!$D$44="YES",$C336&lt;='Batt IN'!$E$44*12),-'Batt IN'!$E$28*'Batt IN'!$E$42/12,0)</f>
        <v>0</v>
      </c>
      <c r="AP336" s="10">
        <f>IF(AND('Batt IN'!$D$46="YES",$C336&lt;='Batt IN'!$E$46*12),-'Batt IN'!$E$28*'Batt IN'!$E$45/12,0)</f>
        <v>0</v>
      </c>
      <c r="AR336" s="10">
        <f>BattLoan!M363</f>
        <v>0</v>
      </c>
      <c r="AS336" s="10">
        <f>'Batt IN'!$G$16*365/12*'Batt IN'!$E$16</f>
        <v>76.041666666666671</v>
      </c>
      <c r="AT336" s="10">
        <f>IF(AND('Batt IN'!$E$18&gt;0,'Batt IN'!$G$18&gt;0),'Batt IN'!$E$17*'Batt IN'!$G$17,0)</f>
        <v>119.44619999999999</v>
      </c>
      <c r="AU336" s="10">
        <f>IF(AND('Batt IN'!$E$20&gt;0,'Batt IN'!$G$20&gt;0),'Batt IN'!$E$19*'Batt IN'!$G$19,0)</f>
        <v>231</v>
      </c>
      <c r="AV336" s="10"/>
      <c r="AW336" s="10"/>
      <c r="AX336" s="10">
        <f>IF('Batt IN'!$E$11="Non-Taxable",Q336,0)</f>
        <v>11657.639671232877</v>
      </c>
      <c r="AY336" s="10">
        <f>IF('Batt IN'!$E$11="Non-Taxable",'Batt IN'!$E$28/1000*'Batt IN'!$G$13*('Batt IN'!$E$13/12)*'Batt IN'!$E$12,0)</f>
        <v>244.42220833333334</v>
      </c>
      <c r="AZ336" s="10">
        <f>IF('Batt IN'!$E$11="Non-Taxable",$S336*'Batt IN'!$G$15*'Batt IN'!$E$28*'Batt IN'!$E$14/1000,0)</f>
        <v>0</v>
      </c>
      <c r="BA336" s="10">
        <f>IF('Batt IN'!$E$11="Non-Taxable",'Batt IN'!$E$21*'Batt IN'!$G$21/12,0)</f>
        <v>437.5</v>
      </c>
      <c r="BB336" s="10">
        <f>IF('Batt IN'!$E$11="Non-Taxable",'Batt IN'!$E$22*'Batt IN'!$G$22/12,0)</f>
        <v>1145.8333333333335</v>
      </c>
      <c r="BC336" s="10">
        <f>IF('Batt IN'!$E$11="Taxable",Q336,0)</f>
        <v>0</v>
      </c>
      <c r="BD336" s="10">
        <f>IF('Batt IN'!$E$11="Taxable",'Batt IN'!$E$28/1000*'Batt IN'!$G$13*('Batt IN'!$E$13/12)*'Batt IN'!$E$12,0)</f>
        <v>0</v>
      </c>
      <c r="BE336" s="10">
        <f>IF('Batt IN'!$E$11="Taxable",$S336*'Batt IN'!$G$15*'Batt IN'!$E$28*'Batt IN'!$E$14/1000,0)</f>
        <v>0</v>
      </c>
      <c r="BF336" s="10">
        <f>IF('Batt IN'!$E$11="Taxable",'Batt IN'!$E$21*'Batt IN'!$G$21/12,0)</f>
        <v>0</v>
      </c>
      <c r="BG336" s="10">
        <f>IF('Batt IN'!$E$11="Taxable",'Batt IN'!$E$22*'Batt IN'!$G$22/12,0)</f>
        <v>0</v>
      </c>
      <c r="BK336" s="10">
        <f>IF('Batt IN'!$N$18="Yes",-BattLoan!H364,-BattLoan!L364)</f>
        <v>0</v>
      </c>
      <c r="BL336" s="10">
        <f>IF('Batt IN'!$N$18="Yes",-BattLoan!F364,0)</f>
        <v>0</v>
      </c>
      <c r="BM336" s="10">
        <f>IF(AND('Batt IN'!$D$44="YES",$C336&lt;='Batt IN'!$E$44*12),0,-'Batt IN'!$E$28*'Batt IN'!$E$42/12)</f>
        <v>-83.333333333333329</v>
      </c>
      <c r="BN336" s="10">
        <f>IF(AND('Batt IN'!$D$46="YES",$C336&lt;='Batt IN'!$E$46*12),0,-'Batt IN'!$E$28*'Batt IN'!$E$45/12)</f>
        <v>-166.66666666666666</v>
      </c>
      <c r="BO336" s="2">
        <f>IF(AND('Batt IN'!$D$41="YES",BattCalcs!C336=ROUNDUP('Batt IN'!$H$41*12,)),-'Batt IN'!$E$41*'Batt IN'!$E$28,0)</f>
        <v>0</v>
      </c>
      <c r="BP336" s="2">
        <f>IF(AND('Batt IN'!$D$53="Yes",$AL$1&gt;=1),0,IF($C336='Batt IN'!$H$54*12,-'Batt IN'!$F$54,0))</f>
        <v>0</v>
      </c>
      <c r="BQ336" s="2">
        <f>IF(AND('Batt IN'!$D$53="Yes",$AL$1&gt;=2),0,IF($C336='Batt IN'!$H$55*12,-'Batt IN'!$F$55,0))</f>
        <v>0</v>
      </c>
      <c r="BR336" s="2">
        <f>IF(AND('Batt IN'!$D$53="Yes",$AL$1&gt;=3),0,IF($C336='Batt IN'!$H$56*12,-'Batt IN'!$F$56,0))</f>
        <v>0</v>
      </c>
      <c r="BS336" s="2">
        <f>IF(AND('Batt IN'!$D$53="Yes",$AL$1&gt;=4),0,IF($C336='Batt IN'!$H$57*12,-'Batt IN'!$F$57,0))</f>
        <v>0</v>
      </c>
      <c r="BT336" s="2">
        <f>IF(AND('Batt IN'!$D$53="Yes",$AL$1&gt;=5),0,IF($C336='Batt IN'!$H$58*12,-'Batt IN'!$F$58,0))</f>
        <v>0</v>
      </c>
      <c r="BU336" s="2">
        <f>-AH336*PVCalcs!F336</f>
        <v>-364.87346774065543</v>
      </c>
      <c r="BV336" s="2">
        <f>-'Batt IN'!$E$47</f>
        <v>-150</v>
      </c>
      <c r="BW336" s="2">
        <f>-'Batt IN'!$E$49</f>
        <v>-2250</v>
      </c>
      <c r="BX336" s="2">
        <f>IF('Batt IN'!$H$50="No",-(BC336*'Batt IN'!$E$50),-(BC336+BE336)*'Batt IN'!$E$50)</f>
        <v>0</v>
      </c>
      <c r="BY336" s="2">
        <f>IF(C336='Batt IN'!$H$43*12,-'Batt IN'!$E$43,0)</f>
        <v>0</v>
      </c>
      <c r="BZ336" s="38"/>
      <c r="CA336" s="10">
        <f t="shared" si="89"/>
        <v>13911.883079566211</v>
      </c>
      <c r="CB336" s="2">
        <f t="shared" si="94"/>
        <v>-3014.8734677406555</v>
      </c>
      <c r="CC336" s="45">
        <f t="shared" si="90"/>
        <v>10897.009611825555</v>
      </c>
      <c r="CD336" s="43"/>
      <c r="CE336" s="2">
        <f t="shared" si="91"/>
        <v>0</v>
      </c>
      <c r="CF336" s="2">
        <f t="shared" si="95"/>
        <v>-3014.8734677406555</v>
      </c>
      <c r="CG336" s="2"/>
      <c r="CH336" s="2">
        <f t="shared" si="92"/>
        <v>-3014.8734677406555</v>
      </c>
      <c r="CI336" s="45">
        <f>-CH336*'Batt IN'!$E$7</f>
        <v>633.12342822553762</v>
      </c>
      <c r="CJ336" s="48"/>
      <c r="CK336" s="45">
        <f>IF('Batt IN'!$F$4="PV Only",0,IF(C336&gt;'Batt IN'!$H$43*12,0,CC336+CI336))</f>
        <v>0</v>
      </c>
      <c r="CM336" s="10">
        <f t="shared" si="93"/>
        <v>0</v>
      </c>
      <c r="CN336" s="2">
        <f>CK336/(1+('Batt IN'!$G$8))^(C336)</f>
        <v>0</v>
      </c>
      <c r="CO336" s="2" t="e">
        <f>IF(C336&lt;='Batt IN'!$O$30*12,CN336+CO335,NA())</f>
        <v>#N/A</v>
      </c>
      <c r="CQ336" s="2">
        <f>CK336/((1+('Batt IN'!$E$8/12))^BattCalcs!C336)</f>
        <v>0</v>
      </c>
      <c r="CS336" s="10">
        <f t="shared" si="96"/>
        <v>-3014.8734677406555</v>
      </c>
      <c r="CT336" s="10">
        <f t="shared" si="97"/>
        <v>0</v>
      </c>
      <c r="CU336" s="10">
        <f t="shared" si="98"/>
        <v>-3014.8734677406555</v>
      </c>
      <c r="CV336" s="10">
        <f t="shared" si="99"/>
        <v>-3014.8734677406555</v>
      </c>
      <c r="CW336" s="2">
        <f t="shared" si="100"/>
        <v>0</v>
      </c>
      <c r="CX336" s="2">
        <f>-(SUM(CV336:CW336)*'PV IN'!$E$8)</f>
        <v>633.12342822553762</v>
      </c>
      <c r="CY336" s="2">
        <f t="shared" si="101"/>
        <v>-2381.7500395151178</v>
      </c>
      <c r="CZ336" s="2">
        <f>IF(C336&lt;='Batt IN'!$H$43*12,CY336/(1+('PV IN'!$G$9))^(C336),0)</f>
        <v>0</v>
      </c>
      <c r="DA336" s="33">
        <f>IF(C336&lt;='Batt IN'!$H$43*12,AE336,0)</f>
        <v>0</v>
      </c>
    </row>
    <row r="337" spans="1:105" x14ac:dyDescent="0.25">
      <c r="A337" t="str">
        <f>IF(C337&lt;='Batt IN'!$H$43*12,C337,"")</f>
        <v/>
      </c>
      <c r="C337">
        <v>333</v>
      </c>
      <c r="D337" s="21">
        <v>763</v>
      </c>
      <c r="E337" s="1">
        <f>1-'Batt IN'!$E$31</f>
        <v>2.0000000000000018E-2</v>
      </c>
      <c r="F337" s="12">
        <f>('Batt IN'!$E$33*365)/8760</f>
        <v>0</v>
      </c>
      <c r="G337" s="22">
        <f>'Batt IN'!$E$32/8760</f>
        <v>5.7077625570776253E-3</v>
      </c>
      <c r="H337" s="22">
        <f>'Batt IN'!$E$13/8760</f>
        <v>5.5936073059360729E-3</v>
      </c>
      <c r="I337" s="23">
        <f>IF(C337&lt;='Batt IN'!$G$14*12,'Batt IN'!$E$15/8760*'Batt IN'!$G$15,0)</f>
        <v>0</v>
      </c>
      <c r="J337" s="12">
        <f>Z337/'Batt IN'!$E$27/730</f>
        <v>2.4999999999999996E-3</v>
      </c>
      <c r="K337" s="23">
        <f>AA337/'Batt IN'!$E$27/730</f>
        <v>1.6027397260273972E-3</v>
      </c>
      <c r="L337" s="23">
        <f>AB337/'Batt IN'!$E$27/730</f>
        <v>2.0547945205479451E-4</v>
      </c>
      <c r="M337" s="23">
        <f>AC337/'Batt IN'!$E$27/730</f>
        <v>4.7945205479452057E-3</v>
      </c>
      <c r="N337" s="23">
        <f>AD337/'Batt IN'!$E$27/730</f>
        <v>3.4246575342465752E-3</v>
      </c>
      <c r="O337" s="12">
        <f t="shared" si="85"/>
        <v>4.3828767123287697E-2</v>
      </c>
      <c r="P337" s="21">
        <f t="shared" si="86"/>
        <v>729.55865068493154</v>
      </c>
      <c r="Q337" s="2">
        <f>IF('Batt IN'!$E$27*'Batt IN'!$E$24&lt;='Batt IN'!$E$28,(('Batt IN'!$E$23*'Batt IN'!$E$27*'Batt IN'!$E$24)/1000)*P337,(('Batt IN'!$E$23*'Batt IN'!$E$28*'Batt IN'!$E$24)/1000)*P337)</f>
        <v>11672.938410958905</v>
      </c>
      <c r="R337" s="2"/>
      <c r="S337" s="77">
        <f>IF(C337&lt;='Batt IN'!$G$14*12,'Batt IN'!$E$15/12,0)</f>
        <v>0</v>
      </c>
      <c r="T337" s="77"/>
      <c r="U337" s="80">
        <f>'Batt IN'!$E$28*('Batt IN'!$G$24/24)*730*(1-O337)</f>
        <v>81433.916666666657</v>
      </c>
      <c r="V337" s="78">
        <f>U337*'Batt IN'!$F$30</f>
        <v>16286.783333333333</v>
      </c>
      <c r="W337" s="78">
        <f>'Batt IN'!$E$28*'Batt IN'!$G$32*('Batt IN'!$E$32/12)*(1+'Batt IN'!$F$30)</f>
        <v>1750.0000000000002</v>
      </c>
      <c r="X337" s="78">
        <f>'Batt IN'!$E$28*'Batt IN'!$G$13*('Batt IN'!$E$13/12)*(1+'Batt IN'!$F$30)</f>
        <v>3184.9999999999995</v>
      </c>
      <c r="Y337" s="33">
        <f>S337*'Batt IN'!$G$15*'Batt IN'!$E$28*(1+'Batt IN'!$F$30)</f>
        <v>0</v>
      </c>
      <c r="Z337" s="33">
        <f>'Batt IN'!$G$16*365/12*(1+'Batt IN'!$F$30)</f>
        <v>1824.9999999999998</v>
      </c>
      <c r="AA337" s="33">
        <f>'Batt IN'!$G$17*'Batt IN'!$E$18*'Batt IN'!$G$18/12*(1+'Batt IN'!$F$30)</f>
        <v>1170</v>
      </c>
      <c r="AB337" s="33">
        <f>'Batt IN'!$G$19*'Batt IN'!$E$20*'Batt IN'!$G$20/12*(1+'Batt IN'!$F$30)</f>
        <v>150</v>
      </c>
      <c r="AC337" s="33">
        <f>'Batt IN'!$G$21*(1+'Batt IN'!$F$30)/12</f>
        <v>3500</v>
      </c>
      <c r="AD337" s="33">
        <f>'Batt IN'!$G$22*(1+'Batt IN'!$F$30)/12</f>
        <v>2500</v>
      </c>
      <c r="AE337" s="33">
        <f t="shared" si="87"/>
        <v>30366.783333333333</v>
      </c>
      <c r="AF337" s="33">
        <f>IF('PV IN'!$F$4="Battery Only",0,AE337*'Batt IN'!$E$29)</f>
        <v>25811.765833333331</v>
      </c>
      <c r="AG337" s="33">
        <f>PVCalcs!L337</f>
        <v>25811.765833333331</v>
      </c>
      <c r="AH337" s="33">
        <f t="shared" si="88"/>
        <v>4555.0175000000017</v>
      </c>
      <c r="AI337" s="33"/>
      <c r="AJ337" s="2">
        <f>IF(AND('Batt IN'!$D$53="Yes",$AL$1&gt;=1),IF($C337='Batt IN'!$H$54*12,-'Batt IN'!$F$54,0),0)</f>
        <v>0</v>
      </c>
      <c r="AK337" s="2">
        <f>IF(AND('Batt IN'!$D$53="Yes",$AL$1&gt;=2),IF($C337='Batt IN'!$H$55*12,-'Batt IN'!$F$55,0),0)</f>
        <v>0</v>
      </c>
      <c r="AL337" s="2">
        <f>IF(AND('Batt IN'!$D$53="Yes",$AL$1&gt;=3),IF($C337='Batt IN'!$H$56*12,-'Batt IN'!$F$56,0),0)</f>
        <v>0</v>
      </c>
      <c r="AM337" s="2">
        <f>IF(AND('Batt IN'!$D$53="Yes",$AL$1&gt;=4),IF($C337='Batt IN'!$H$57*12,-'Batt IN'!$F$57,0),0)</f>
        <v>0</v>
      </c>
      <c r="AN337" s="2">
        <f>IF(AND('Batt IN'!$D$53="Yes",$AL$1&gt;=5),IF($C337='Batt IN'!$H$58*12,-'Batt IN'!$F$58,0),0)</f>
        <v>0</v>
      </c>
      <c r="AO337" s="10">
        <f>IF(AND('Batt IN'!$D$44="YES",$C337&lt;='Batt IN'!$E$44*12),-'Batt IN'!$E$28*'Batt IN'!$E$42/12,0)</f>
        <v>0</v>
      </c>
      <c r="AP337" s="10">
        <f>IF(AND('Batt IN'!$D$46="YES",$C337&lt;='Batt IN'!$E$46*12),-'Batt IN'!$E$28*'Batt IN'!$E$45/12,0)</f>
        <v>0</v>
      </c>
      <c r="AR337" s="10">
        <f>BattLoan!M364</f>
        <v>0</v>
      </c>
      <c r="AS337" s="10">
        <f>'Batt IN'!$G$16*365/12*'Batt IN'!$E$16</f>
        <v>76.041666666666671</v>
      </c>
      <c r="AT337" s="10">
        <f>IF(AND('Batt IN'!$E$18&gt;0,'Batt IN'!$G$18&gt;0),'Batt IN'!$E$17*'Batt IN'!$G$17,0)</f>
        <v>119.44619999999999</v>
      </c>
      <c r="AU337" s="10">
        <f>IF(AND('Batt IN'!$E$20&gt;0,'Batt IN'!$G$20&gt;0),'Batt IN'!$E$19*'Batt IN'!$G$19,0)</f>
        <v>231</v>
      </c>
      <c r="AV337" s="10"/>
      <c r="AW337" s="10"/>
      <c r="AX337" s="10">
        <f>IF('Batt IN'!$E$11="Non-Taxable",Q337,0)</f>
        <v>11672.938410958905</v>
      </c>
      <c r="AY337" s="10">
        <f>IF('Batt IN'!$E$11="Non-Taxable",'Batt IN'!$E$28/1000*'Batt IN'!$G$13*('Batt IN'!$E$13/12)*'Batt IN'!$E$12,0)</f>
        <v>244.42220833333334</v>
      </c>
      <c r="AZ337" s="10">
        <f>IF('Batt IN'!$E$11="Non-Taxable",$S337*'Batt IN'!$G$15*'Batt IN'!$E$28*'Batt IN'!$E$14/1000,0)</f>
        <v>0</v>
      </c>
      <c r="BA337" s="10">
        <f>IF('Batt IN'!$E$11="Non-Taxable",'Batt IN'!$E$21*'Batt IN'!$G$21/12,0)</f>
        <v>437.5</v>
      </c>
      <c r="BB337" s="10">
        <f>IF('Batt IN'!$E$11="Non-Taxable",'Batt IN'!$E$22*'Batt IN'!$G$22/12,0)</f>
        <v>1145.8333333333335</v>
      </c>
      <c r="BC337" s="10">
        <f>IF('Batt IN'!$E$11="Taxable",Q337,0)</f>
        <v>0</v>
      </c>
      <c r="BD337" s="10">
        <f>IF('Batt IN'!$E$11="Taxable",'Batt IN'!$E$28/1000*'Batt IN'!$G$13*('Batt IN'!$E$13/12)*'Batt IN'!$E$12,0)</f>
        <v>0</v>
      </c>
      <c r="BE337" s="10">
        <f>IF('Batt IN'!$E$11="Taxable",$S337*'Batt IN'!$G$15*'Batt IN'!$E$28*'Batt IN'!$E$14/1000,0)</f>
        <v>0</v>
      </c>
      <c r="BF337" s="10">
        <f>IF('Batt IN'!$E$11="Taxable",'Batt IN'!$E$21*'Batt IN'!$G$21/12,0)</f>
        <v>0</v>
      </c>
      <c r="BG337" s="10">
        <f>IF('Batt IN'!$E$11="Taxable",'Batt IN'!$E$22*'Batt IN'!$G$22/12,0)</f>
        <v>0</v>
      </c>
      <c r="BK337" s="10">
        <f>IF('Batt IN'!$N$18="Yes",-BattLoan!H365,-BattLoan!L365)</f>
        <v>0</v>
      </c>
      <c r="BL337" s="10">
        <f>IF('Batt IN'!$N$18="Yes",-BattLoan!F365,0)</f>
        <v>0</v>
      </c>
      <c r="BM337" s="10">
        <f>IF(AND('Batt IN'!$D$44="YES",$C337&lt;='Batt IN'!$E$44*12),0,-'Batt IN'!$E$28*'Batt IN'!$E$42/12)</f>
        <v>-83.333333333333329</v>
      </c>
      <c r="BN337" s="10">
        <f>IF(AND('Batt IN'!$D$46="YES",$C337&lt;='Batt IN'!$E$46*12),0,-'Batt IN'!$E$28*'Batt IN'!$E$45/12)</f>
        <v>-166.66666666666666</v>
      </c>
      <c r="BO337" s="2">
        <f>IF(AND('Batt IN'!$D$41="YES",BattCalcs!C337=ROUNDUP('Batt IN'!$H$41*12,)),-'Batt IN'!$E$41*'Batt IN'!$E$28,0)</f>
        <v>0</v>
      </c>
      <c r="BP337" s="2">
        <f>IF(AND('Batt IN'!$D$53="Yes",$AL$1&gt;=1),0,IF($C337='Batt IN'!$H$54*12,-'Batt IN'!$F$54,0))</f>
        <v>0</v>
      </c>
      <c r="BQ337" s="2">
        <f>IF(AND('Batt IN'!$D$53="Yes",$AL$1&gt;=2),0,IF($C337='Batt IN'!$H$55*12,-'Batt IN'!$F$55,0))</f>
        <v>0</v>
      </c>
      <c r="BR337" s="2">
        <f>IF(AND('Batt IN'!$D$53="Yes",$AL$1&gt;=3),0,IF($C337='Batt IN'!$H$56*12,-'Batt IN'!$F$56,0))</f>
        <v>0</v>
      </c>
      <c r="BS337" s="2">
        <f>IF(AND('Batt IN'!$D$53="Yes",$AL$1&gt;=4),0,IF($C337='Batt IN'!$H$57*12,-'Batt IN'!$F$57,0))</f>
        <v>0</v>
      </c>
      <c r="BT337" s="2">
        <f>IF(AND('Batt IN'!$D$53="Yes",$AL$1&gt;=5),0,IF($C337='Batt IN'!$H$58*12,-'Batt IN'!$F$58,0))</f>
        <v>0</v>
      </c>
      <c r="BU337" s="2">
        <f>-AH337*PVCalcs!F337</f>
        <v>-364.87346774065543</v>
      </c>
      <c r="BV337" s="2">
        <f>-'Batt IN'!$E$47</f>
        <v>-150</v>
      </c>
      <c r="BW337" s="2">
        <f>-'Batt IN'!$E$49</f>
        <v>-2250</v>
      </c>
      <c r="BX337" s="2">
        <f>IF('Batt IN'!$H$50="No",-(BC337*'Batt IN'!$E$50),-(BC337+BE337)*'Batt IN'!$E$50)</f>
        <v>0</v>
      </c>
      <c r="BY337" s="2">
        <f>IF(C337='Batt IN'!$H$43*12,-'Batt IN'!$E$43,0)</f>
        <v>0</v>
      </c>
      <c r="BZ337" s="38"/>
      <c r="CA337" s="10">
        <f t="shared" si="89"/>
        <v>13927.181819292238</v>
      </c>
      <c r="CB337" s="2">
        <f t="shared" si="94"/>
        <v>-3014.8734677406555</v>
      </c>
      <c r="CC337" s="45">
        <f t="shared" si="90"/>
        <v>10912.308351551583</v>
      </c>
      <c r="CD337" s="43"/>
      <c r="CE337" s="2">
        <f t="shared" si="91"/>
        <v>0</v>
      </c>
      <c r="CF337" s="2">
        <f t="shared" si="95"/>
        <v>-3014.8734677406555</v>
      </c>
      <c r="CG337" s="2"/>
      <c r="CH337" s="2">
        <f t="shared" si="92"/>
        <v>-3014.8734677406555</v>
      </c>
      <c r="CI337" s="45">
        <f>-CH337*'Batt IN'!$E$7</f>
        <v>633.12342822553762</v>
      </c>
      <c r="CJ337" s="48"/>
      <c r="CK337" s="45">
        <f>IF('Batt IN'!$F$4="PV Only",0,IF(C337&gt;'Batt IN'!$H$43*12,0,CC337+CI337))</f>
        <v>0</v>
      </c>
      <c r="CM337" s="10">
        <f t="shared" si="93"/>
        <v>0</v>
      </c>
      <c r="CN337" s="2">
        <f>CK337/(1+('Batt IN'!$G$8))^(C337)</f>
        <v>0</v>
      </c>
      <c r="CO337" s="2" t="e">
        <f>IF(C337&lt;='Batt IN'!$O$30*12,CN337+CO336,NA())</f>
        <v>#N/A</v>
      </c>
      <c r="CQ337" s="2">
        <f>CK337/((1+('Batt IN'!$E$8/12))^BattCalcs!C337)</f>
        <v>0</v>
      </c>
      <c r="CS337" s="10">
        <f t="shared" si="96"/>
        <v>-3014.8734677406555</v>
      </c>
      <c r="CT337" s="10">
        <f t="shared" si="97"/>
        <v>0</v>
      </c>
      <c r="CU337" s="10">
        <f t="shared" si="98"/>
        <v>-3014.8734677406555</v>
      </c>
      <c r="CV337" s="10">
        <f t="shared" si="99"/>
        <v>-3014.8734677406555</v>
      </c>
      <c r="CW337" s="2">
        <f t="shared" si="100"/>
        <v>0</v>
      </c>
      <c r="CX337" s="2">
        <f>-(SUM(CV337:CW337)*'PV IN'!$E$8)</f>
        <v>633.12342822553762</v>
      </c>
      <c r="CY337" s="2">
        <f t="shared" si="101"/>
        <v>-2381.7500395151178</v>
      </c>
      <c r="CZ337" s="2">
        <f>IF(C337&lt;='Batt IN'!$H$43*12,CY337/(1+('PV IN'!$G$9))^(C337),0)</f>
        <v>0</v>
      </c>
      <c r="DA337" s="33">
        <f>IF(C337&lt;='Batt IN'!$H$43*12,AE337,0)</f>
        <v>0</v>
      </c>
    </row>
    <row r="338" spans="1:105" x14ac:dyDescent="0.25">
      <c r="A338" t="str">
        <f>IF(C338&lt;='Batt IN'!$H$43*12,C338,"")</f>
        <v/>
      </c>
      <c r="C338">
        <v>334</v>
      </c>
      <c r="D338" s="21">
        <v>764</v>
      </c>
      <c r="E338" s="1">
        <f>1-'Batt IN'!$E$31</f>
        <v>2.0000000000000018E-2</v>
      </c>
      <c r="F338" s="12">
        <f>('Batt IN'!$E$33*365)/8760</f>
        <v>0</v>
      </c>
      <c r="G338" s="22">
        <f>'Batt IN'!$E$32/8760</f>
        <v>5.7077625570776253E-3</v>
      </c>
      <c r="H338" s="22">
        <f>'Batt IN'!$E$13/8760</f>
        <v>5.5936073059360729E-3</v>
      </c>
      <c r="I338" s="23">
        <f>IF(C338&lt;='Batt IN'!$G$14*12,'Batt IN'!$E$15/8760*'Batt IN'!$G$15,0)</f>
        <v>0</v>
      </c>
      <c r="J338" s="12">
        <f>Z338/'Batt IN'!$E$27/730</f>
        <v>2.4999999999999996E-3</v>
      </c>
      <c r="K338" s="23">
        <f>AA338/'Batt IN'!$E$27/730</f>
        <v>1.6027397260273972E-3</v>
      </c>
      <c r="L338" s="23">
        <f>AB338/'Batt IN'!$E$27/730</f>
        <v>2.0547945205479451E-4</v>
      </c>
      <c r="M338" s="23">
        <f>AC338/'Batt IN'!$E$27/730</f>
        <v>4.7945205479452057E-3</v>
      </c>
      <c r="N338" s="23">
        <f>AD338/'Batt IN'!$E$27/730</f>
        <v>3.4246575342465752E-3</v>
      </c>
      <c r="O338" s="12">
        <f t="shared" si="85"/>
        <v>4.3828767123287697E-2</v>
      </c>
      <c r="P338" s="21">
        <f t="shared" si="86"/>
        <v>730.51482191780826</v>
      </c>
      <c r="Q338" s="2">
        <f>IF('Batt IN'!$E$27*'Batt IN'!$E$24&lt;='Batt IN'!$E$28,(('Batt IN'!$E$23*'Batt IN'!$E$27*'Batt IN'!$E$24)/1000)*P338,(('Batt IN'!$E$23*'Batt IN'!$E$28*'Batt IN'!$E$24)/1000)*P338)</f>
        <v>11688.237150684932</v>
      </c>
      <c r="R338" s="2"/>
      <c r="S338" s="77">
        <f>IF(C338&lt;='Batt IN'!$G$14*12,'Batt IN'!$E$15/12,0)</f>
        <v>0</v>
      </c>
      <c r="T338" s="77"/>
      <c r="U338" s="80">
        <f>'Batt IN'!$E$28*('Batt IN'!$G$24/24)*730*(1-O338)</f>
        <v>81433.916666666657</v>
      </c>
      <c r="V338" s="78">
        <f>U338*'Batt IN'!$F$30</f>
        <v>16286.783333333333</v>
      </c>
      <c r="W338" s="78">
        <f>'Batt IN'!$E$28*'Batt IN'!$G$32*('Batt IN'!$E$32/12)*(1+'Batt IN'!$F$30)</f>
        <v>1750.0000000000002</v>
      </c>
      <c r="X338" s="78">
        <f>'Batt IN'!$E$28*'Batt IN'!$G$13*('Batt IN'!$E$13/12)*(1+'Batt IN'!$F$30)</f>
        <v>3184.9999999999995</v>
      </c>
      <c r="Y338" s="33">
        <f>S338*'Batt IN'!$G$15*'Batt IN'!$E$28*(1+'Batt IN'!$F$30)</f>
        <v>0</v>
      </c>
      <c r="Z338" s="33">
        <f>'Batt IN'!$G$16*365/12*(1+'Batt IN'!$F$30)</f>
        <v>1824.9999999999998</v>
      </c>
      <c r="AA338" s="33">
        <f>'Batt IN'!$G$17*'Batt IN'!$E$18*'Batt IN'!$G$18/12*(1+'Batt IN'!$F$30)</f>
        <v>1170</v>
      </c>
      <c r="AB338" s="33">
        <f>'Batt IN'!$G$19*'Batt IN'!$E$20*'Batt IN'!$G$20/12*(1+'Batt IN'!$F$30)</f>
        <v>150</v>
      </c>
      <c r="AC338" s="33">
        <f>'Batt IN'!$G$21*(1+'Batt IN'!$F$30)/12</f>
        <v>3500</v>
      </c>
      <c r="AD338" s="33">
        <f>'Batt IN'!$G$22*(1+'Batt IN'!$F$30)/12</f>
        <v>2500</v>
      </c>
      <c r="AE338" s="33">
        <f t="shared" si="87"/>
        <v>30366.783333333333</v>
      </c>
      <c r="AF338" s="33">
        <f>IF('PV IN'!$F$4="Battery Only",0,AE338*'Batt IN'!$E$29)</f>
        <v>25811.765833333331</v>
      </c>
      <c r="AG338" s="33">
        <f>PVCalcs!L338</f>
        <v>25811.765833333331</v>
      </c>
      <c r="AH338" s="33">
        <f t="shared" si="88"/>
        <v>4555.0175000000017</v>
      </c>
      <c r="AI338" s="33"/>
      <c r="AJ338" s="2">
        <f>IF(AND('Batt IN'!$D$53="Yes",$AL$1&gt;=1),IF($C338='Batt IN'!$H$54*12,-'Batt IN'!$F$54,0),0)</f>
        <v>0</v>
      </c>
      <c r="AK338" s="2">
        <f>IF(AND('Batt IN'!$D$53="Yes",$AL$1&gt;=2),IF($C338='Batt IN'!$H$55*12,-'Batt IN'!$F$55,0),0)</f>
        <v>0</v>
      </c>
      <c r="AL338" s="2">
        <f>IF(AND('Batt IN'!$D$53="Yes",$AL$1&gt;=3),IF($C338='Batt IN'!$H$56*12,-'Batt IN'!$F$56,0),0)</f>
        <v>0</v>
      </c>
      <c r="AM338" s="2">
        <f>IF(AND('Batt IN'!$D$53="Yes",$AL$1&gt;=4),IF($C338='Batt IN'!$H$57*12,-'Batt IN'!$F$57,0),0)</f>
        <v>0</v>
      </c>
      <c r="AN338" s="2">
        <f>IF(AND('Batt IN'!$D$53="Yes",$AL$1&gt;=5),IF($C338='Batt IN'!$H$58*12,-'Batt IN'!$F$58,0),0)</f>
        <v>0</v>
      </c>
      <c r="AO338" s="10">
        <f>IF(AND('Batt IN'!$D$44="YES",$C338&lt;='Batt IN'!$E$44*12),-'Batt IN'!$E$28*'Batt IN'!$E$42/12,0)</f>
        <v>0</v>
      </c>
      <c r="AP338" s="10">
        <f>IF(AND('Batt IN'!$D$46="YES",$C338&lt;='Batt IN'!$E$46*12),-'Batt IN'!$E$28*'Batt IN'!$E$45/12,0)</f>
        <v>0</v>
      </c>
      <c r="AR338" s="10">
        <f>BattLoan!M365</f>
        <v>0</v>
      </c>
      <c r="AS338" s="10">
        <f>'Batt IN'!$G$16*365/12*'Batt IN'!$E$16</f>
        <v>76.041666666666671</v>
      </c>
      <c r="AT338" s="10">
        <f>IF(AND('Batt IN'!$E$18&gt;0,'Batt IN'!$G$18&gt;0),'Batt IN'!$E$17*'Batt IN'!$G$17,0)</f>
        <v>119.44619999999999</v>
      </c>
      <c r="AU338" s="10">
        <f>IF(AND('Batt IN'!$E$20&gt;0,'Batt IN'!$G$20&gt;0),'Batt IN'!$E$19*'Batt IN'!$G$19,0)</f>
        <v>231</v>
      </c>
      <c r="AV338" s="10"/>
      <c r="AW338" s="10"/>
      <c r="AX338" s="10">
        <f>IF('Batt IN'!$E$11="Non-Taxable",Q338,0)</f>
        <v>11688.237150684932</v>
      </c>
      <c r="AY338" s="10">
        <f>IF('Batt IN'!$E$11="Non-Taxable",'Batt IN'!$E$28/1000*'Batt IN'!$G$13*('Batt IN'!$E$13/12)*'Batt IN'!$E$12,0)</f>
        <v>244.42220833333334</v>
      </c>
      <c r="AZ338" s="10">
        <f>IF('Batt IN'!$E$11="Non-Taxable",$S338*'Batt IN'!$G$15*'Batt IN'!$E$28*'Batt IN'!$E$14/1000,0)</f>
        <v>0</v>
      </c>
      <c r="BA338" s="10">
        <f>IF('Batt IN'!$E$11="Non-Taxable",'Batt IN'!$E$21*'Batt IN'!$G$21/12,0)</f>
        <v>437.5</v>
      </c>
      <c r="BB338" s="10">
        <f>IF('Batt IN'!$E$11="Non-Taxable",'Batt IN'!$E$22*'Batt IN'!$G$22/12,0)</f>
        <v>1145.8333333333335</v>
      </c>
      <c r="BC338" s="10">
        <f>IF('Batt IN'!$E$11="Taxable",Q338,0)</f>
        <v>0</v>
      </c>
      <c r="BD338" s="10">
        <f>IF('Batt IN'!$E$11="Taxable",'Batt IN'!$E$28/1000*'Batt IN'!$G$13*('Batt IN'!$E$13/12)*'Batt IN'!$E$12,0)</f>
        <v>0</v>
      </c>
      <c r="BE338" s="10">
        <f>IF('Batt IN'!$E$11="Taxable",$S338*'Batt IN'!$G$15*'Batt IN'!$E$28*'Batt IN'!$E$14/1000,0)</f>
        <v>0</v>
      </c>
      <c r="BF338" s="10">
        <f>IF('Batt IN'!$E$11="Taxable",'Batt IN'!$E$21*'Batt IN'!$G$21/12,0)</f>
        <v>0</v>
      </c>
      <c r="BG338" s="10">
        <f>IF('Batt IN'!$E$11="Taxable",'Batt IN'!$E$22*'Batt IN'!$G$22/12,0)</f>
        <v>0</v>
      </c>
      <c r="BK338" s="10">
        <f>IF('Batt IN'!$N$18="Yes",-BattLoan!H366,-BattLoan!L366)</f>
        <v>0</v>
      </c>
      <c r="BL338" s="10">
        <f>IF('Batt IN'!$N$18="Yes",-BattLoan!F366,0)</f>
        <v>0</v>
      </c>
      <c r="BM338" s="10">
        <f>IF(AND('Batt IN'!$D$44="YES",$C338&lt;='Batt IN'!$E$44*12),0,-'Batt IN'!$E$28*'Batt IN'!$E$42/12)</f>
        <v>-83.333333333333329</v>
      </c>
      <c r="BN338" s="10">
        <f>IF(AND('Batt IN'!$D$46="YES",$C338&lt;='Batt IN'!$E$46*12),0,-'Batt IN'!$E$28*'Batt IN'!$E$45/12)</f>
        <v>-166.66666666666666</v>
      </c>
      <c r="BO338" s="2">
        <f>IF(AND('Batt IN'!$D$41="YES",BattCalcs!C338=ROUNDUP('Batt IN'!$H$41*12,)),-'Batt IN'!$E$41*'Batt IN'!$E$28,0)</f>
        <v>0</v>
      </c>
      <c r="BP338" s="2">
        <f>IF(AND('Batt IN'!$D$53="Yes",$AL$1&gt;=1),0,IF($C338='Batt IN'!$H$54*12,-'Batt IN'!$F$54,0))</f>
        <v>0</v>
      </c>
      <c r="BQ338" s="2">
        <f>IF(AND('Batt IN'!$D$53="Yes",$AL$1&gt;=2),0,IF($C338='Batt IN'!$H$55*12,-'Batt IN'!$F$55,0))</f>
        <v>0</v>
      </c>
      <c r="BR338" s="2">
        <f>IF(AND('Batt IN'!$D$53="Yes",$AL$1&gt;=3),0,IF($C338='Batt IN'!$H$56*12,-'Batt IN'!$F$56,0))</f>
        <v>0</v>
      </c>
      <c r="BS338" s="2">
        <f>IF(AND('Batt IN'!$D$53="Yes",$AL$1&gt;=4),0,IF($C338='Batt IN'!$H$57*12,-'Batt IN'!$F$57,0))</f>
        <v>0</v>
      </c>
      <c r="BT338" s="2">
        <f>IF(AND('Batt IN'!$D$53="Yes",$AL$1&gt;=5),0,IF($C338='Batt IN'!$H$58*12,-'Batt IN'!$F$58,0))</f>
        <v>0</v>
      </c>
      <c r="BU338" s="2">
        <f>-AH338*PVCalcs!F338</f>
        <v>-364.87346774065543</v>
      </c>
      <c r="BV338" s="2">
        <f>-'Batt IN'!$E$47</f>
        <v>-150</v>
      </c>
      <c r="BW338" s="2">
        <f>-'Batt IN'!$E$49</f>
        <v>-2250</v>
      </c>
      <c r="BX338" s="2">
        <f>IF('Batt IN'!$H$50="No",-(BC338*'Batt IN'!$E$50),-(BC338+BE338)*'Batt IN'!$E$50)</f>
        <v>0</v>
      </c>
      <c r="BY338" s="2">
        <f>IF(C338='Batt IN'!$H$43*12,-'Batt IN'!$E$43,0)</f>
        <v>0</v>
      </c>
      <c r="BZ338" s="38"/>
      <c r="CA338" s="10">
        <f t="shared" si="89"/>
        <v>13942.480559018266</v>
      </c>
      <c r="CB338" s="2">
        <f t="shared" si="94"/>
        <v>-3014.8734677406555</v>
      </c>
      <c r="CC338" s="45">
        <f t="shared" si="90"/>
        <v>10927.60709127761</v>
      </c>
      <c r="CD338" s="43"/>
      <c r="CE338" s="2">
        <f t="shared" si="91"/>
        <v>0</v>
      </c>
      <c r="CF338" s="2">
        <f t="shared" si="95"/>
        <v>-3014.8734677406555</v>
      </c>
      <c r="CG338" s="2"/>
      <c r="CH338" s="2">
        <f t="shared" si="92"/>
        <v>-3014.8734677406555</v>
      </c>
      <c r="CI338" s="45">
        <f>-CH338*'Batt IN'!$E$7</f>
        <v>633.12342822553762</v>
      </c>
      <c r="CJ338" s="48"/>
      <c r="CK338" s="45">
        <f>IF('Batt IN'!$F$4="PV Only",0,IF(C338&gt;'Batt IN'!$H$43*12,0,CC338+CI338))</f>
        <v>0</v>
      </c>
      <c r="CM338" s="10">
        <f t="shared" si="93"/>
        <v>0</v>
      </c>
      <c r="CN338" s="2">
        <f>CK338/(1+('Batt IN'!$G$8))^(C338)</f>
        <v>0</v>
      </c>
      <c r="CO338" s="2" t="e">
        <f>IF(C338&lt;='Batt IN'!$O$30*12,CN338+CO337,NA())</f>
        <v>#N/A</v>
      </c>
      <c r="CQ338" s="2">
        <f>CK338/((1+('Batt IN'!$E$8/12))^BattCalcs!C338)</f>
        <v>0</v>
      </c>
      <c r="CS338" s="10">
        <f t="shared" si="96"/>
        <v>-3014.8734677406555</v>
      </c>
      <c r="CT338" s="10">
        <f t="shared" si="97"/>
        <v>0</v>
      </c>
      <c r="CU338" s="10">
        <f t="shared" si="98"/>
        <v>-3014.8734677406555</v>
      </c>
      <c r="CV338" s="10">
        <f t="shared" si="99"/>
        <v>-3014.8734677406555</v>
      </c>
      <c r="CW338" s="2">
        <f t="shared" si="100"/>
        <v>0</v>
      </c>
      <c r="CX338" s="2">
        <f>-(SUM(CV338:CW338)*'PV IN'!$E$8)</f>
        <v>633.12342822553762</v>
      </c>
      <c r="CY338" s="2">
        <f t="shared" si="101"/>
        <v>-2381.7500395151178</v>
      </c>
      <c r="CZ338" s="2">
        <f>IF(C338&lt;='Batt IN'!$H$43*12,CY338/(1+('PV IN'!$G$9))^(C338),0)</f>
        <v>0</v>
      </c>
      <c r="DA338" s="33">
        <f>IF(C338&lt;='Batt IN'!$H$43*12,AE338,0)</f>
        <v>0</v>
      </c>
    </row>
    <row r="339" spans="1:105" x14ac:dyDescent="0.25">
      <c r="A339" t="str">
        <f>IF(C339&lt;='Batt IN'!$H$43*12,C339,"")</f>
        <v/>
      </c>
      <c r="C339">
        <v>335</v>
      </c>
      <c r="D339" s="21">
        <v>765</v>
      </c>
      <c r="E339" s="1">
        <f>1-'Batt IN'!$E$31</f>
        <v>2.0000000000000018E-2</v>
      </c>
      <c r="F339" s="12">
        <f>('Batt IN'!$E$33*365)/8760</f>
        <v>0</v>
      </c>
      <c r="G339" s="22">
        <f>'Batt IN'!$E$32/8760</f>
        <v>5.7077625570776253E-3</v>
      </c>
      <c r="H339" s="22">
        <f>'Batt IN'!$E$13/8760</f>
        <v>5.5936073059360729E-3</v>
      </c>
      <c r="I339" s="23">
        <f>IF(C339&lt;='Batt IN'!$G$14*12,'Batt IN'!$E$15/8760*'Batt IN'!$G$15,0)</f>
        <v>0</v>
      </c>
      <c r="J339" s="12">
        <f>Z339/'Batt IN'!$E$27/730</f>
        <v>2.4999999999999996E-3</v>
      </c>
      <c r="K339" s="23">
        <f>AA339/'Batt IN'!$E$27/730</f>
        <v>1.6027397260273972E-3</v>
      </c>
      <c r="L339" s="23">
        <f>AB339/'Batt IN'!$E$27/730</f>
        <v>2.0547945205479451E-4</v>
      </c>
      <c r="M339" s="23">
        <f>AC339/'Batt IN'!$E$27/730</f>
        <v>4.7945205479452057E-3</v>
      </c>
      <c r="N339" s="23">
        <f>AD339/'Batt IN'!$E$27/730</f>
        <v>3.4246575342465752E-3</v>
      </c>
      <c r="O339" s="12">
        <f t="shared" si="85"/>
        <v>4.3828767123287697E-2</v>
      </c>
      <c r="P339" s="21">
        <f t="shared" si="86"/>
        <v>731.47099315068499</v>
      </c>
      <c r="Q339" s="2">
        <f>IF('Batt IN'!$E$27*'Batt IN'!$E$24&lt;='Batt IN'!$E$28,(('Batt IN'!$E$23*'Batt IN'!$E$27*'Batt IN'!$E$24)/1000)*P339,(('Batt IN'!$E$23*'Batt IN'!$E$28*'Batt IN'!$E$24)/1000)*P339)</f>
        <v>11703.53589041096</v>
      </c>
      <c r="R339" s="2"/>
      <c r="S339" s="77">
        <f>IF(C339&lt;='Batt IN'!$G$14*12,'Batt IN'!$E$15/12,0)</f>
        <v>0</v>
      </c>
      <c r="T339" s="77"/>
      <c r="U339" s="80">
        <f>'Batt IN'!$E$28*('Batt IN'!$G$24/24)*730*(1-O339)</f>
        <v>81433.916666666657</v>
      </c>
      <c r="V339" s="78">
        <f>U339*'Batt IN'!$F$30</f>
        <v>16286.783333333333</v>
      </c>
      <c r="W339" s="78">
        <f>'Batt IN'!$E$28*'Batt IN'!$G$32*('Batt IN'!$E$32/12)*(1+'Batt IN'!$F$30)</f>
        <v>1750.0000000000002</v>
      </c>
      <c r="X339" s="78">
        <f>'Batt IN'!$E$28*'Batt IN'!$G$13*('Batt IN'!$E$13/12)*(1+'Batt IN'!$F$30)</f>
        <v>3184.9999999999995</v>
      </c>
      <c r="Y339" s="33">
        <f>S339*'Batt IN'!$G$15*'Batt IN'!$E$28*(1+'Batt IN'!$F$30)</f>
        <v>0</v>
      </c>
      <c r="Z339" s="33">
        <f>'Batt IN'!$G$16*365/12*(1+'Batt IN'!$F$30)</f>
        <v>1824.9999999999998</v>
      </c>
      <c r="AA339" s="33">
        <f>'Batt IN'!$G$17*'Batt IN'!$E$18*'Batt IN'!$G$18/12*(1+'Batt IN'!$F$30)</f>
        <v>1170</v>
      </c>
      <c r="AB339" s="33">
        <f>'Batt IN'!$G$19*'Batt IN'!$E$20*'Batt IN'!$G$20/12*(1+'Batt IN'!$F$30)</f>
        <v>150</v>
      </c>
      <c r="AC339" s="33">
        <f>'Batt IN'!$G$21*(1+'Batt IN'!$F$30)/12</f>
        <v>3500</v>
      </c>
      <c r="AD339" s="33">
        <f>'Batt IN'!$G$22*(1+'Batt IN'!$F$30)/12</f>
        <v>2500</v>
      </c>
      <c r="AE339" s="33">
        <f t="shared" si="87"/>
        <v>30366.783333333333</v>
      </c>
      <c r="AF339" s="33">
        <f>IF('PV IN'!$F$4="Battery Only",0,AE339*'Batt IN'!$E$29)</f>
        <v>25811.765833333331</v>
      </c>
      <c r="AG339" s="33">
        <f>PVCalcs!L339</f>
        <v>25811.765833333331</v>
      </c>
      <c r="AH339" s="33">
        <f t="shared" si="88"/>
        <v>4555.0175000000017</v>
      </c>
      <c r="AI339" s="33"/>
      <c r="AJ339" s="2">
        <f>IF(AND('Batt IN'!$D$53="Yes",$AL$1&gt;=1),IF($C339='Batt IN'!$H$54*12,-'Batt IN'!$F$54,0),0)</f>
        <v>0</v>
      </c>
      <c r="AK339" s="2">
        <f>IF(AND('Batt IN'!$D$53="Yes",$AL$1&gt;=2),IF($C339='Batt IN'!$H$55*12,-'Batt IN'!$F$55,0),0)</f>
        <v>0</v>
      </c>
      <c r="AL339" s="2">
        <f>IF(AND('Batt IN'!$D$53="Yes",$AL$1&gt;=3),IF($C339='Batt IN'!$H$56*12,-'Batt IN'!$F$56,0),0)</f>
        <v>0</v>
      </c>
      <c r="AM339" s="2">
        <f>IF(AND('Batt IN'!$D$53="Yes",$AL$1&gt;=4),IF($C339='Batt IN'!$H$57*12,-'Batt IN'!$F$57,0),0)</f>
        <v>0</v>
      </c>
      <c r="AN339" s="2">
        <f>IF(AND('Batt IN'!$D$53="Yes",$AL$1&gt;=5),IF($C339='Batt IN'!$H$58*12,-'Batt IN'!$F$58,0),0)</f>
        <v>0</v>
      </c>
      <c r="AO339" s="10">
        <f>IF(AND('Batt IN'!$D$44="YES",$C339&lt;='Batt IN'!$E$44*12),-'Batt IN'!$E$28*'Batt IN'!$E$42/12,0)</f>
        <v>0</v>
      </c>
      <c r="AP339" s="10">
        <f>IF(AND('Batt IN'!$D$46="YES",$C339&lt;='Batt IN'!$E$46*12),-'Batt IN'!$E$28*'Batt IN'!$E$45/12,0)</f>
        <v>0</v>
      </c>
      <c r="AR339" s="10">
        <f>BattLoan!M366</f>
        <v>0</v>
      </c>
      <c r="AS339" s="10">
        <f>'Batt IN'!$G$16*365/12*'Batt IN'!$E$16</f>
        <v>76.041666666666671</v>
      </c>
      <c r="AT339" s="10">
        <f>IF(AND('Batt IN'!$E$18&gt;0,'Batt IN'!$G$18&gt;0),'Batt IN'!$E$17*'Batt IN'!$G$17,0)</f>
        <v>119.44619999999999</v>
      </c>
      <c r="AU339" s="10">
        <f>IF(AND('Batt IN'!$E$20&gt;0,'Batt IN'!$G$20&gt;0),'Batt IN'!$E$19*'Batt IN'!$G$19,0)</f>
        <v>231</v>
      </c>
      <c r="AV339" s="10"/>
      <c r="AW339" s="10"/>
      <c r="AX339" s="10">
        <f>IF('Batt IN'!$E$11="Non-Taxable",Q339,0)</f>
        <v>11703.53589041096</v>
      </c>
      <c r="AY339" s="10">
        <f>IF('Batt IN'!$E$11="Non-Taxable",'Batt IN'!$E$28/1000*'Batt IN'!$G$13*('Batt IN'!$E$13/12)*'Batt IN'!$E$12,0)</f>
        <v>244.42220833333334</v>
      </c>
      <c r="AZ339" s="10">
        <f>IF('Batt IN'!$E$11="Non-Taxable",$S339*'Batt IN'!$G$15*'Batt IN'!$E$28*'Batt IN'!$E$14/1000,0)</f>
        <v>0</v>
      </c>
      <c r="BA339" s="10">
        <f>IF('Batt IN'!$E$11="Non-Taxable",'Batt IN'!$E$21*'Batt IN'!$G$21/12,0)</f>
        <v>437.5</v>
      </c>
      <c r="BB339" s="10">
        <f>IF('Batt IN'!$E$11="Non-Taxable",'Batt IN'!$E$22*'Batt IN'!$G$22/12,0)</f>
        <v>1145.8333333333335</v>
      </c>
      <c r="BC339" s="10">
        <f>IF('Batt IN'!$E$11="Taxable",Q339,0)</f>
        <v>0</v>
      </c>
      <c r="BD339" s="10">
        <f>IF('Batt IN'!$E$11="Taxable",'Batt IN'!$E$28/1000*'Batt IN'!$G$13*('Batt IN'!$E$13/12)*'Batt IN'!$E$12,0)</f>
        <v>0</v>
      </c>
      <c r="BE339" s="10">
        <f>IF('Batt IN'!$E$11="Taxable",$S339*'Batt IN'!$G$15*'Batt IN'!$E$28*'Batt IN'!$E$14/1000,0)</f>
        <v>0</v>
      </c>
      <c r="BF339" s="10">
        <f>IF('Batt IN'!$E$11="Taxable",'Batt IN'!$E$21*'Batt IN'!$G$21/12,0)</f>
        <v>0</v>
      </c>
      <c r="BG339" s="10">
        <f>IF('Batt IN'!$E$11="Taxable",'Batt IN'!$E$22*'Batt IN'!$G$22/12,0)</f>
        <v>0</v>
      </c>
      <c r="BK339" s="10">
        <f>IF('Batt IN'!$N$18="Yes",-BattLoan!H367,-BattLoan!L367)</f>
        <v>0</v>
      </c>
      <c r="BL339" s="10">
        <f>IF('Batt IN'!$N$18="Yes",-BattLoan!F367,0)</f>
        <v>0</v>
      </c>
      <c r="BM339" s="10">
        <f>IF(AND('Batt IN'!$D$44="YES",$C339&lt;='Batt IN'!$E$44*12),0,-'Batt IN'!$E$28*'Batt IN'!$E$42/12)</f>
        <v>-83.333333333333329</v>
      </c>
      <c r="BN339" s="10">
        <f>IF(AND('Batt IN'!$D$46="YES",$C339&lt;='Batt IN'!$E$46*12),0,-'Batt IN'!$E$28*'Batt IN'!$E$45/12)</f>
        <v>-166.66666666666666</v>
      </c>
      <c r="BO339" s="2">
        <f>IF(AND('Batt IN'!$D$41="YES",BattCalcs!C339=ROUNDUP('Batt IN'!$H$41*12,)),-'Batt IN'!$E$41*'Batt IN'!$E$28,0)</f>
        <v>0</v>
      </c>
      <c r="BP339" s="2">
        <f>IF(AND('Batt IN'!$D$53="Yes",$AL$1&gt;=1),0,IF($C339='Batt IN'!$H$54*12,-'Batt IN'!$F$54,0))</f>
        <v>0</v>
      </c>
      <c r="BQ339" s="2">
        <f>IF(AND('Batt IN'!$D$53="Yes",$AL$1&gt;=2),0,IF($C339='Batt IN'!$H$55*12,-'Batt IN'!$F$55,0))</f>
        <v>0</v>
      </c>
      <c r="BR339" s="2">
        <f>IF(AND('Batt IN'!$D$53="Yes",$AL$1&gt;=3),0,IF($C339='Batt IN'!$H$56*12,-'Batt IN'!$F$56,0))</f>
        <v>0</v>
      </c>
      <c r="BS339" s="2">
        <f>IF(AND('Batt IN'!$D$53="Yes",$AL$1&gt;=4),0,IF($C339='Batt IN'!$H$57*12,-'Batt IN'!$F$57,0))</f>
        <v>0</v>
      </c>
      <c r="BT339" s="2">
        <f>IF(AND('Batt IN'!$D$53="Yes",$AL$1&gt;=5),0,IF($C339='Batt IN'!$H$58*12,-'Batt IN'!$F$58,0))</f>
        <v>0</v>
      </c>
      <c r="BU339" s="2">
        <f>-AH339*PVCalcs!F339</f>
        <v>-364.87346774065543</v>
      </c>
      <c r="BV339" s="2">
        <f>-'Batt IN'!$E$47</f>
        <v>-150</v>
      </c>
      <c r="BW339" s="2">
        <f>-'Batt IN'!$E$49</f>
        <v>-2250</v>
      </c>
      <c r="BX339" s="2">
        <f>IF('Batt IN'!$H$50="No",-(BC339*'Batt IN'!$E$50),-(BC339+BE339)*'Batt IN'!$E$50)</f>
        <v>0</v>
      </c>
      <c r="BY339" s="2">
        <f>IF(C339='Batt IN'!$H$43*12,-'Batt IN'!$E$43,0)</f>
        <v>0</v>
      </c>
      <c r="BZ339" s="38"/>
      <c r="CA339" s="10">
        <f t="shared" si="89"/>
        <v>13957.779298744294</v>
      </c>
      <c r="CB339" s="2">
        <f t="shared" si="94"/>
        <v>-3014.8734677406555</v>
      </c>
      <c r="CC339" s="45">
        <f t="shared" si="90"/>
        <v>10942.905831003638</v>
      </c>
      <c r="CD339" s="43"/>
      <c r="CE339" s="2">
        <f t="shared" si="91"/>
        <v>0</v>
      </c>
      <c r="CF339" s="2">
        <f t="shared" si="95"/>
        <v>-3014.8734677406555</v>
      </c>
      <c r="CG339" s="2"/>
      <c r="CH339" s="2">
        <f t="shared" si="92"/>
        <v>-3014.8734677406555</v>
      </c>
      <c r="CI339" s="45">
        <f>-CH339*'Batt IN'!$E$7</f>
        <v>633.12342822553762</v>
      </c>
      <c r="CJ339" s="48"/>
      <c r="CK339" s="45">
        <f>IF('Batt IN'!$F$4="PV Only",0,IF(C339&gt;'Batt IN'!$H$43*12,0,CC339+CI339))</f>
        <v>0</v>
      </c>
      <c r="CM339" s="10">
        <f t="shared" si="93"/>
        <v>0</v>
      </c>
      <c r="CN339" s="2">
        <f>CK339/(1+('Batt IN'!$G$8))^(C339)</f>
        <v>0</v>
      </c>
      <c r="CO339" s="2" t="e">
        <f>IF(C339&lt;='Batt IN'!$O$30*12,CN339+CO338,NA())</f>
        <v>#N/A</v>
      </c>
      <c r="CQ339" s="2">
        <f>CK339/((1+('Batt IN'!$E$8/12))^BattCalcs!C339)</f>
        <v>0</v>
      </c>
      <c r="CS339" s="10">
        <f t="shared" si="96"/>
        <v>-3014.8734677406555</v>
      </c>
      <c r="CT339" s="10">
        <f t="shared" si="97"/>
        <v>0</v>
      </c>
      <c r="CU339" s="10">
        <f t="shared" si="98"/>
        <v>-3014.8734677406555</v>
      </c>
      <c r="CV339" s="10">
        <f t="shared" si="99"/>
        <v>-3014.8734677406555</v>
      </c>
      <c r="CW339" s="2">
        <f t="shared" si="100"/>
        <v>0</v>
      </c>
      <c r="CX339" s="2">
        <f>-(SUM(CV339:CW339)*'PV IN'!$E$8)</f>
        <v>633.12342822553762</v>
      </c>
      <c r="CY339" s="2">
        <f t="shared" si="101"/>
        <v>-2381.7500395151178</v>
      </c>
      <c r="CZ339" s="2">
        <f>IF(C339&lt;='Batt IN'!$H$43*12,CY339/(1+('PV IN'!$G$9))^(C339),0)</f>
        <v>0</v>
      </c>
      <c r="DA339" s="33">
        <f>IF(C339&lt;='Batt IN'!$H$43*12,AE339,0)</f>
        <v>0</v>
      </c>
    </row>
    <row r="340" spans="1:105" x14ac:dyDescent="0.25">
      <c r="A340" t="str">
        <f>IF(C340&lt;='Batt IN'!$H$43*12,C340,"")</f>
        <v/>
      </c>
      <c r="B340">
        <v>28</v>
      </c>
      <c r="C340">
        <v>336</v>
      </c>
      <c r="D340" s="21">
        <v>766</v>
      </c>
      <c r="E340" s="1">
        <f>1-'Batt IN'!$E$31</f>
        <v>2.0000000000000018E-2</v>
      </c>
      <c r="F340" s="12">
        <f>('Batt IN'!$E$33*365)/8760</f>
        <v>0</v>
      </c>
      <c r="G340" s="22">
        <f>'Batt IN'!$E$32/8760</f>
        <v>5.7077625570776253E-3</v>
      </c>
      <c r="H340" s="22">
        <f>'Batt IN'!$E$13/8760</f>
        <v>5.5936073059360729E-3</v>
      </c>
      <c r="I340" s="23">
        <f>IF(C340&lt;='Batt IN'!$G$14*12,'Batt IN'!$E$15/8760*'Batt IN'!$G$15,0)</f>
        <v>0</v>
      </c>
      <c r="J340" s="12">
        <f>Z340/'Batt IN'!$E$27/730</f>
        <v>2.4999999999999996E-3</v>
      </c>
      <c r="K340" s="23">
        <f>AA340/'Batt IN'!$E$27/730</f>
        <v>1.6027397260273972E-3</v>
      </c>
      <c r="L340" s="23">
        <f>AB340/'Batt IN'!$E$27/730</f>
        <v>2.0547945205479451E-4</v>
      </c>
      <c r="M340" s="23">
        <f>AC340/'Batt IN'!$E$27/730</f>
        <v>4.7945205479452057E-3</v>
      </c>
      <c r="N340" s="23">
        <f>AD340/'Batt IN'!$E$27/730</f>
        <v>3.4246575342465752E-3</v>
      </c>
      <c r="O340" s="12">
        <f t="shared" si="85"/>
        <v>4.3828767123287697E-2</v>
      </c>
      <c r="P340" s="21">
        <f t="shared" si="86"/>
        <v>732.42716438356172</v>
      </c>
      <c r="Q340" s="2">
        <f>IF('Batt IN'!$E$27*'Batt IN'!$E$24&lt;='Batt IN'!$E$28,(('Batt IN'!$E$23*'Batt IN'!$E$27*'Batt IN'!$E$24)/1000)*P340,(('Batt IN'!$E$23*'Batt IN'!$E$28*'Batt IN'!$E$24)/1000)*P340)</f>
        <v>11718.834630136987</v>
      </c>
      <c r="R340" s="2"/>
      <c r="S340" s="77">
        <f>IF(C340&lt;='Batt IN'!$G$14*12,'Batt IN'!$E$15/12,0)</f>
        <v>0</v>
      </c>
      <c r="T340" s="77"/>
      <c r="U340" s="80">
        <f>'Batt IN'!$E$28*('Batt IN'!$G$24/24)*730*(1-O340)</f>
        <v>81433.916666666657</v>
      </c>
      <c r="V340" s="78">
        <f>U340*'Batt IN'!$F$30</f>
        <v>16286.783333333333</v>
      </c>
      <c r="W340" s="78">
        <f>'Batt IN'!$E$28*'Batt IN'!$G$32*('Batt IN'!$E$32/12)*(1+'Batt IN'!$F$30)</f>
        <v>1750.0000000000002</v>
      </c>
      <c r="X340" s="78">
        <f>'Batt IN'!$E$28*'Batt IN'!$G$13*('Batt IN'!$E$13/12)*(1+'Batt IN'!$F$30)</f>
        <v>3184.9999999999995</v>
      </c>
      <c r="Y340" s="33">
        <f>S340*'Batt IN'!$G$15*'Batt IN'!$E$28*(1+'Batt IN'!$F$30)</f>
        <v>0</v>
      </c>
      <c r="Z340" s="33">
        <f>'Batt IN'!$G$16*365/12*(1+'Batt IN'!$F$30)</f>
        <v>1824.9999999999998</v>
      </c>
      <c r="AA340" s="33">
        <f>'Batt IN'!$G$17*'Batt IN'!$E$18*'Batt IN'!$G$18/12*(1+'Batt IN'!$F$30)</f>
        <v>1170</v>
      </c>
      <c r="AB340" s="33">
        <f>'Batt IN'!$G$19*'Batt IN'!$E$20*'Batt IN'!$G$20/12*(1+'Batt IN'!$F$30)</f>
        <v>150</v>
      </c>
      <c r="AC340" s="33">
        <f>'Batt IN'!$G$21*(1+'Batt IN'!$F$30)/12</f>
        <v>3500</v>
      </c>
      <c r="AD340" s="33">
        <f>'Batt IN'!$G$22*(1+'Batt IN'!$F$30)/12</f>
        <v>2500</v>
      </c>
      <c r="AE340" s="33">
        <f t="shared" si="87"/>
        <v>30366.783333333333</v>
      </c>
      <c r="AF340" s="33">
        <f>IF('PV IN'!$F$4="Battery Only",0,AE340*'Batt IN'!$E$29)</f>
        <v>25811.765833333331</v>
      </c>
      <c r="AG340" s="33">
        <f>PVCalcs!L340</f>
        <v>25811.765833333331</v>
      </c>
      <c r="AH340" s="33">
        <f t="shared" si="88"/>
        <v>4555.0175000000017</v>
      </c>
      <c r="AI340" s="33"/>
      <c r="AJ340" s="2">
        <f>IF(AND('Batt IN'!$D$53="Yes",$AL$1&gt;=1),IF($C340='Batt IN'!$H$54*12,-'Batt IN'!$F$54,0),0)</f>
        <v>0</v>
      </c>
      <c r="AK340" s="2">
        <f>IF(AND('Batt IN'!$D$53="Yes",$AL$1&gt;=2),IF($C340='Batt IN'!$H$55*12,-'Batt IN'!$F$55,0),0)</f>
        <v>0</v>
      </c>
      <c r="AL340" s="2">
        <f>IF(AND('Batt IN'!$D$53="Yes",$AL$1&gt;=3),IF($C340='Batt IN'!$H$56*12,-'Batt IN'!$F$56,0),0)</f>
        <v>0</v>
      </c>
      <c r="AM340" s="2">
        <f>IF(AND('Batt IN'!$D$53="Yes",$AL$1&gt;=4),IF($C340='Batt IN'!$H$57*12,-'Batt IN'!$F$57,0),0)</f>
        <v>0</v>
      </c>
      <c r="AN340" s="2">
        <f>IF(AND('Batt IN'!$D$53="Yes",$AL$1&gt;=5),IF($C340='Batt IN'!$H$58*12,-'Batt IN'!$F$58,0),0)</f>
        <v>0</v>
      </c>
      <c r="AO340" s="10">
        <f>IF(AND('Batt IN'!$D$44="YES",$C340&lt;='Batt IN'!$E$44*12),-'Batt IN'!$E$28*'Batt IN'!$E$42/12,0)</f>
        <v>0</v>
      </c>
      <c r="AP340" s="10">
        <f>IF(AND('Batt IN'!$D$46="YES",$C340&lt;='Batt IN'!$E$46*12),-'Batt IN'!$E$28*'Batt IN'!$E$45/12,0)</f>
        <v>0</v>
      </c>
      <c r="AR340" s="10">
        <f>BattLoan!M367</f>
        <v>0</v>
      </c>
      <c r="AS340" s="10">
        <f>'Batt IN'!$G$16*365/12*'Batt IN'!$E$16</f>
        <v>76.041666666666671</v>
      </c>
      <c r="AT340" s="10">
        <f>IF(AND('Batt IN'!$E$18&gt;0,'Batt IN'!$G$18&gt;0),'Batt IN'!$E$17*'Batt IN'!$G$17,0)</f>
        <v>119.44619999999999</v>
      </c>
      <c r="AU340" s="10">
        <f>IF(AND('Batt IN'!$E$20&gt;0,'Batt IN'!$G$20&gt;0),'Batt IN'!$E$19*'Batt IN'!$G$19,0)</f>
        <v>231</v>
      </c>
      <c r="AV340" s="10"/>
      <c r="AW340" s="10"/>
      <c r="AX340" s="10">
        <f>IF('Batt IN'!$E$11="Non-Taxable",Q340,0)</f>
        <v>11718.834630136987</v>
      </c>
      <c r="AY340" s="10">
        <f>IF('Batt IN'!$E$11="Non-Taxable",'Batt IN'!$E$28/1000*'Batt IN'!$G$13*('Batt IN'!$E$13/12)*'Batt IN'!$E$12,0)</f>
        <v>244.42220833333334</v>
      </c>
      <c r="AZ340" s="10">
        <f>IF('Batt IN'!$E$11="Non-Taxable",$S340*'Batt IN'!$G$15*'Batt IN'!$E$28*'Batt IN'!$E$14/1000,0)</f>
        <v>0</v>
      </c>
      <c r="BA340" s="10">
        <f>IF('Batt IN'!$E$11="Non-Taxable",'Batt IN'!$E$21*'Batt IN'!$G$21/12,0)</f>
        <v>437.5</v>
      </c>
      <c r="BB340" s="10">
        <f>IF('Batt IN'!$E$11="Non-Taxable",'Batt IN'!$E$22*'Batt IN'!$G$22/12,0)</f>
        <v>1145.8333333333335</v>
      </c>
      <c r="BC340" s="10">
        <f>IF('Batt IN'!$E$11="Taxable",Q340,0)</f>
        <v>0</v>
      </c>
      <c r="BD340" s="10">
        <f>IF('Batt IN'!$E$11="Taxable",'Batt IN'!$E$28/1000*'Batt IN'!$G$13*('Batt IN'!$E$13/12)*'Batt IN'!$E$12,0)</f>
        <v>0</v>
      </c>
      <c r="BE340" s="10">
        <f>IF('Batt IN'!$E$11="Taxable",$S340*'Batt IN'!$G$15*'Batt IN'!$E$28*'Batt IN'!$E$14/1000,0)</f>
        <v>0</v>
      </c>
      <c r="BF340" s="10">
        <f>IF('Batt IN'!$E$11="Taxable",'Batt IN'!$E$21*'Batt IN'!$G$21/12,0)</f>
        <v>0</v>
      </c>
      <c r="BG340" s="10">
        <f>IF('Batt IN'!$E$11="Taxable",'Batt IN'!$E$22*'Batt IN'!$G$22/12,0)</f>
        <v>0</v>
      </c>
      <c r="BK340" s="10">
        <f>IF('Batt IN'!$N$18="Yes",-BattLoan!H368,-BattLoan!L368)</f>
        <v>0</v>
      </c>
      <c r="BL340" s="10">
        <f>IF('Batt IN'!$N$18="Yes",-BattLoan!F368,0)</f>
        <v>0</v>
      </c>
      <c r="BM340" s="10">
        <f>IF(AND('Batt IN'!$D$44="YES",$C340&lt;='Batt IN'!$E$44*12),0,-'Batt IN'!$E$28*'Batt IN'!$E$42/12)</f>
        <v>-83.333333333333329</v>
      </c>
      <c r="BN340" s="10">
        <f>IF(AND('Batt IN'!$D$46="YES",$C340&lt;='Batt IN'!$E$46*12),0,-'Batt IN'!$E$28*'Batt IN'!$E$45/12)</f>
        <v>-166.66666666666666</v>
      </c>
      <c r="BO340" s="2">
        <f>IF(AND('Batt IN'!$D$41="YES",BattCalcs!C340=ROUNDUP('Batt IN'!$H$41*12,)),-'Batt IN'!$E$41*'Batt IN'!$E$28,0)</f>
        <v>0</v>
      </c>
      <c r="BP340" s="2">
        <f>IF(AND('Batt IN'!$D$53="Yes",$AL$1&gt;=1),0,IF($C340='Batt IN'!$H$54*12,-'Batt IN'!$F$54,0))</f>
        <v>0</v>
      </c>
      <c r="BQ340" s="2">
        <f>IF(AND('Batt IN'!$D$53="Yes",$AL$1&gt;=2),0,IF($C340='Batt IN'!$H$55*12,-'Batt IN'!$F$55,0))</f>
        <v>0</v>
      </c>
      <c r="BR340" s="2">
        <f>IF(AND('Batt IN'!$D$53="Yes",$AL$1&gt;=3),0,IF($C340='Batt IN'!$H$56*12,-'Batt IN'!$F$56,0))</f>
        <v>0</v>
      </c>
      <c r="BS340" s="2">
        <f>IF(AND('Batt IN'!$D$53="Yes",$AL$1&gt;=4),0,IF($C340='Batt IN'!$H$57*12,-'Batt IN'!$F$57,0))</f>
        <v>0</v>
      </c>
      <c r="BT340" s="2">
        <f>IF(AND('Batt IN'!$D$53="Yes",$AL$1&gt;=5),0,IF($C340='Batt IN'!$H$58*12,-'Batt IN'!$F$58,0))</f>
        <v>0</v>
      </c>
      <c r="BU340" s="2">
        <f>-AH340*PVCalcs!F340</f>
        <v>-364.87346774065543</v>
      </c>
      <c r="BV340" s="2">
        <f>-'Batt IN'!$E$47</f>
        <v>-150</v>
      </c>
      <c r="BW340" s="2">
        <f>-'Batt IN'!$E$49</f>
        <v>-2250</v>
      </c>
      <c r="BX340" s="2">
        <f>IF('Batt IN'!$H$50="No",-(BC340*'Batt IN'!$E$50),-(BC340+BE340)*'Batt IN'!$E$50)</f>
        <v>0</v>
      </c>
      <c r="BY340" s="2">
        <f>IF(C340='Batt IN'!$H$43*12,-'Batt IN'!$E$43,0)</f>
        <v>0</v>
      </c>
      <c r="BZ340" s="38"/>
      <c r="CA340" s="10">
        <f t="shared" si="89"/>
        <v>13973.078038470321</v>
      </c>
      <c r="CB340" s="2">
        <f t="shared" si="94"/>
        <v>-3014.8734677406555</v>
      </c>
      <c r="CC340" s="45">
        <f t="shared" si="90"/>
        <v>10958.204570729666</v>
      </c>
      <c r="CD340" s="43"/>
      <c r="CE340" s="2">
        <f t="shared" si="91"/>
        <v>0</v>
      </c>
      <c r="CF340" s="2">
        <f t="shared" si="95"/>
        <v>-3014.8734677406555</v>
      </c>
      <c r="CG340" s="2"/>
      <c r="CH340" s="2">
        <f t="shared" si="92"/>
        <v>-3014.8734677406555</v>
      </c>
      <c r="CI340" s="45">
        <f>-CH340*'Batt IN'!$E$7</f>
        <v>633.12342822553762</v>
      </c>
      <c r="CJ340" s="48"/>
      <c r="CK340" s="45">
        <f>IF('Batt IN'!$F$4="PV Only",0,IF(C340&gt;'Batt IN'!$H$43*12,0,CC340+CI340))</f>
        <v>0</v>
      </c>
      <c r="CM340" s="10">
        <f t="shared" si="93"/>
        <v>0</v>
      </c>
      <c r="CN340" s="2">
        <f>CK340/(1+('Batt IN'!$G$8))^(C340)</f>
        <v>0</v>
      </c>
      <c r="CO340" s="2" t="e">
        <f>IF(C340&lt;='Batt IN'!$O$30*12,CN340+CO339,NA())</f>
        <v>#N/A</v>
      </c>
      <c r="CQ340" s="2">
        <f>CK340/((1+('Batt IN'!$E$8/12))^BattCalcs!C340)</f>
        <v>0</v>
      </c>
      <c r="CS340" s="10">
        <f t="shared" si="96"/>
        <v>-3014.8734677406555</v>
      </c>
      <c r="CT340" s="10">
        <f t="shared" si="97"/>
        <v>0</v>
      </c>
      <c r="CU340" s="10">
        <f t="shared" si="98"/>
        <v>-3014.8734677406555</v>
      </c>
      <c r="CV340" s="10">
        <f t="shared" si="99"/>
        <v>-3014.8734677406555</v>
      </c>
      <c r="CW340" s="2">
        <f t="shared" si="100"/>
        <v>0</v>
      </c>
      <c r="CX340" s="2">
        <f>-(SUM(CV340:CW340)*'PV IN'!$E$8)</f>
        <v>633.12342822553762</v>
      </c>
      <c r="CY340" s="2">
        <f t="shared" si="101"/>
        <v>-2381.7500395151178</v>
      </c>
      <c r="CZ340" s="2">
        <f>IF(C340&lt;='Batt IN'!$H$43*12,CY340/(1+('PV IN'!$G$9))^(C340),0)</f>
        <v>0</v>
      </c>
      <c r="DA340" s="33">
        <f>IF(C340&lt;='Batt IN'!$H$43*12,AE340,0)</f>
        <v>0</v>
      </c>
    </row>
    <row r="341" spans="1:105" x14ac:dyDescent="0.25">
      <c r="A341" t="str">
        <f>IF(C341&lt;='Batt IN'!$H$43*12,C341,"")</f>
        <v/>
      </c>
      <c r="C341">
        <v>337</v>
      </c>
      <c r="D341" s="21">
        <v>767</v>
      </c>
      <c r="E341" s="1">
        <f>1-'Batt IN'!$E$31</f>
        <v>2.0000000000000018E-2</v>
      </c>
      <c r="F341" s="12">
        <f>('Batt IN'!$E$33*365)/8760</f>
        <v>0</v>
      </c>
      <c r="G341" s="22">
        <f>'Batt IN'!$E$32/8760</f>
        <v>5.7077625570776253E-3</v>
      </c>
      <c r="H341" s="22">
        <f>'Batt IN'!$E$13/8760</f>
        <v>5.5936073059360729E-3</v>
      </c>
      <c r="I341" s="23">
        <f>IF(C341&lt;='Batt IN'!$G$14*12,'Batt IN'!$E$15/8760*'Batt IN'!$G$15,0)</f>
        <v>0</v>
      </c>
      <c r="J341" s="12">
        <f>Z341/'Batt IN'!$E$27/730</f>
        <v>2.4999999999999996E-3</v>
      </c>
      <c r="K341" s="23">
        <f>AA341/'Batt IN'!$E$27/730</f>
        <v>1.6027397260273972E-3</v>
      </c>
      <c r="L341" s="23">
        <f>AB341/'Batt IN'!$E$27/730</f>
        <v>2.0547945205479451E-4</v>
      </c>
      <c r="M341" s="23">
        <f>AC341/'Batt IN'!$E$27/730</f>
        <v>4.7945205479452057E-3</v>
      </c>
      <c r="N341" s="23">
        <f>AD341/'Batt IN'!$E$27/730</f>
        <v>3.4246575342465752E-3</v>
      </c>
      <c r="O341" s="12">
        <f t="shared" si="85"/>
        <v>4.3828767123287697E-2</v>
      </c>
      <c r="P341" s="21">
        <f t="shared" si="86"/>
        <v>733.38333561643833</v>
      </c>
      <c r="Q341" s="2">
        <f>IF('Batt IN'!$E$27*'Batt IN'!$E$24&lt;='Batt IN'!$E$28,(('Batt IN'!$E$23*'Batt IN'!$E$27*'Batt IN'!$E$24)/1000)*P341,(('Batt IN'!$E$23*'Batt IN'!$E$28*'Batt IN'!$E$24)/1000)*P341)</f>
        <v>11734.133369863013</v>
      </c>
      <c r="R341" s="2"/>
      <c r="S341" s="77">
        <f>IF(C341&lt;='Batt IN'!$G$14*12,'Batt IN'!$E$15/12,0)</f>
        <v>0</v>
      </c>
      <c r="T341" s="77"/>
      <c r="U341" s="80">
        <f>'Batt IN'!$E$28*('Batt IN'!$G$24/24)*730*(1-O341)</f>
        <v>81433.916666666657</v>
      </c>
      <c r="V341" s="78">
        <f>U341*'Batt IN'!$F$30</f>
        <v>16286.783333333333</v>
      </c>
      <c r="W341" s="78">
        <f>'Batt IN'!$E$28*'Batt IN'!$G$32*('Batt IN'!$E$32/12)*(1+'Batt IN'!$F$30)</f>
        <v>1750.0000000000002</v>
      </c>
      <c r="X341" s="78">
        <f>'Batt IN'!$E$28*'Batt IN'!$G$13*('Batt IN'!$E$13/12)*(1+'Batt IN'!$F$30)</f>
        <v>3184.9999999999995</v>
      </c>
      <c r="Y341" s="33">
        <f>S341*'Batt IN'!$G$15*'Batt IN'!$E$28*(1+'Batt IN'!$F$30)</f>
        <v>0</v>
      </c>
      <c r="Z341" s="33">
        <f>'Batt IN'!$G$16*365/12*(1+'Batt IN'!$F$30)</f>
        <v>1824.9999999999998</v>
      </c>
      <c r="AA341" s="33">
        <f>'Batt IN'!$G$17*'Batt IN'!$E$18*'Batt IN'!$G$18/12*(1+'Batt IN'!$F$30)</f>
        <v>1170</v>
      </c>
      <c r="AB341" s="33">
        <f>'Batt IN'!$G$19*'Batt IN'!$E$20*'Batt IN'!$G$20/12*(1+'Batt IN'!$F$30)</f>
        <v>150</v>
      </c>
      <c r="AC341" s="33">
        <f>'Batt IN'!$G$21*(1+'Batt IN'!$F$30)/12</f>
        <v>3500</v>
      </c>
      <c r="AD341" s="33">
        <f>'Batt IN'!$G$22*(1+'Batt IN'!$F$30)/12</f>
        <v>2500</v>
      </c>
      <c r="AE341" s="33">
        <f t="shared" si="87"/>
        <v>30366.783333333333</v>
      </c>
      <c r="AF341" s="33">
        <f>IF('PV IN'!$F$4="Battery Only",0,AE341*'Batt IN'!$E$29)</f>
        <v>25811.765833333331</v>
      </c>
      <c r="AG341" s="33">
        <f>PVCalcs!L341</f>
        <v>25811.765833333331</v>
      </c>
      <c r="AH341" s="33">
        <f t="shared" si="88"/>
        <v>4555.0175000000017</v>
      </c>
      <c r="AI341" s="33"/>
      <c r="AJ341" s="2">
        <f>IF(AND('Batt IN'!$D$53="Yes",$AL$1&gt;=1),IF($C341='Batt IN'!$H$54*12,-'Batt IN'!$F$54,0),0)</f>
        <v>0</v>
      </c>
      <c r="AK341" s="2">
        <f>IF(AND('Batt IN'!$D$53="Yes",$AL$1&gt;=2),IF($C341='Batt IN'!$H$55*12,-'Batt IN'!$F$55,0),0)</f>
        <v>0</v>
      </c>
      <c r="AL341" s="2">
        <f>IF(AND('Batt IN'!$D$53="Yes",$AL$1&gt;=3),IF($C341='Batt IN'!$H$56*12,-'Batt IN'!$F$56,0),0)</f>
        <v>0</v>
      </c>
      <c r="AM341" s="2">
        <f>IF(AND('Batt IN'!$D$53="Yes",$AL$1&gt;=4),IF($C341='Batt IN'!$H$57*12,-'Batt IN'!$F$57,0),0)</f>
        <v>0</v>
      </c>
      <c r="AN341" s="2">
        <f>IF(AND('Batt IN'!$D$53="Yes",$AL$1&gt;=5),IF($C341='Batt IN'!$H$58*12,-'Batt IN'!$F$58,0),0)</f>
        <v>0</v>
      </c>
      <c r="AO341" s="10">
        <f>IF(AND('Batt IN'!$D$44="YES",$C341&lt;='Batt IN'!$E$44*12),-'Batt IN'!$E$28*'Batt IN'!$E$42/12,0)</f>
        <v>0</v>
      </c>
      <c r="AP341" s="10">
        <f>IF(AND('Batt IN'!$D$46="YES",$C341&lt;='Batt IN'!$E$46*12),-'Batt IN'!$E$28*'Batt IN'!$E$45/12,0)</f>
        <v>0</v>
      </c>
      <c r="AR341" s="10">
        <f>BattLoan!M368</f>
        <v>0</v>
      </c>
      <c r="AS341" s="10">
        <f>'Batt IN'!$G$16*365/12*'Batt IN'!$E$16</f>
        <v>76.041666666666671</v>
      </c>
      <c r="AT341" s="10">
        <f>IF(AND('Batt IN'!$E$18&gt;0,'Batt IN'!$G$18&gt;0),'Batt IN'!$E$17*'Batt IN'!$G$17,0)</f>
        <v>119.44619999999999</v>
      </c>
      <c r="AU341" s="10">
        <f>IF(AND('Batt IN'!$E$20&gt;0,'Batt IN'!$G$20&gt;0),'Batt IN'!$E$19*'Batt IN'!$G$19,0)</f>
        <v>231</v>
      </c>
      <c r="AV341" s="10"/>
      <c r="AW341" s="10"/>
      <c r="AX341" s="10">
        <f>IF('Batt IN'!$E$11="Non-Taxable",Q341,0)</f>
        <v>11734.133369863013</v>
      </c>
      <c r="AY341" s="10">
        <f>IF('Batt IN'!$E$11="Non-Taxable",'Batt IN'!$E$28/1000*'Batt IN'!$G$13*('Batt IN'!$E$13/12)*'Batt IN'!$E$12,0)</f>
        <v>244.42220833333334</v>
      </c>
      <c r="AZ341" s="10">
        <f>IF('Batt IN'!$E$11="Non-Taxable",$S341*'Batt IN'!$G$15*'Batt IN'!$E$28*'Batt IN'!$E$14/1000,0)</f>
        <v>0</v>
      </c>
      <c r="BA341" s="10">
        <f>IF('Batt IN'!$E$11="Non-Taxable",'Batt IN'!$E$21*'Batt IN'!$G$21/12,0)</f>
        <v>437.5</v>
      </c>
      <c r="BB341" s="10">
        <f>IF('Batt IN'!$E$11="Non-Taxable",'Batt IN'!$E$22*'Batt IN'!$G$22/12,0)</f>
        <v>1145.8333333333335</v>
      </c>
      <c r="BC341" s="10">
        <f>IF('Batt IN'!$E$11="Taxable",Q341,0)</f>
        <v>0</v>
      </c>
      <c r="BD341" s="10">
        <f>IF('Batt IN'!$E$11="Taxable",'Batt IN'!$E$28/1000*'Batt IN'!$G$13*('Batt IN'!$E$13/12)*'Batt IN'!$E$12,0)</f>
        <v>0</v>
      </c>
      <c r="BE341" s="10">
        <f>IF('Batt IN'!$E$11="Taxable",$S341*'Batt IN'!$G$15*'Batt IN'!$E$28*'Batt IN'!$E$14/1000,0)</f>
        <v>0</v>
      </c>
      <c r="BF341" s="10">
        <f>IF('Batt IN'!$E$11="Taxable",'Batt IN'!$E$21*'Batt IN'!$G$21/12,0)</f>
        <v>0</v>
      </c>
      <c r="BG341" s="10">
        <f>IF('Batt IN'!$E$11="Taxable",'Batt IN'!$E$22*'Batt IN'!$G$22/12,0)</f>
        <v>0</v>
      </c>
      <c r="BK341" s="10">
        <f>IF('Batt IN'!$N$18="Yes",-BattLoan!H369,-BattLoan!L369)</f>
        <v>0</v>
      </c>
      <c r="BL341" s="10">
        <f>IF('Batt IN'!$N$18="Yes",-BattLoan!F369,0)</f>
        <v>0</v>
      </c>
      <c r="BM341" s="10">
        <f>IF(AND('Batt IN'!$D$44="YES",$C341&lt;='Batt IN'!$E$44*12),0,-'Batt IN'!$E$28*'Batt IN'!$E$42/12)</f>
        <v>-83.333333333333329</v>
      </c>
      <c r="BN341" s="10">
        <f>IF(AND('Batt IN'!$D$46="YES",$C341&lt;='Batt IN'!$E$46*12),0,-'Batt IN'!$E$28*'Batt IN'!$E$45/12)</f>
        <v>-166.66666666666666</v>
      </c>
      <c r="BO341" s="2">
        <f>IF(AND('Batt IN'!$D$41="YES",BattCalcs!C341=ROUNDUP('Batt IN'!$H$41*12,)),-'Batt IN'!$E$41*'Batt IN'!$E$28,0)</f>
        <v>0</v>
      </c>
      <c r="BP341" s="2">
        <f>IF(AND('Batt IN'!$D$53="Yes",$AL$1&gt;=1),0,IF($C341='Batt IN'!$H$54*12,-'Batt IN'!$F$54,0))</f>
        <v>0</v>
      </c>
      <c r="BQ341" s="2">
        <f>IF(AND('Batt IN'!$D$53="Yes",$AL$1&gt;=2),0,IF($C341='Batt IN'!$H$55*12,-'Batt IN'!$F$55,0))</f>
        <v>0</v>
      </c>
      <c r="BR341" s="2">
        <f>IF(AND('Batt IN'!$D$53="Yes",$AL$1&gt;=3),0,IF($C341='Batt IN'!$H$56*12,-'Batt IN'!$F$56,0))</f>
        <v>0</v>
      </c>
      <c r="BS341" s="2">
        <f>IF(AND('Batt IN'!$D$53="Yes",$AL$1&gt;=4),0,IF($C341='Batt IN'!$H$57*12,-'Batt IN'!$F$57,0))</f>
        <v>0</v>
      </c>
      <c r="BT341" s="2">
        <f>IF(AND('Batt IN'!$D$53="Yes",$AL$1&gt;=5),0,IF($C341='Batt IN'!$H$58*12,-'Batt IN'!$F$58,0))</f>
        <v>0</v>
      </c>
      <c r="BU341" s="2">
        <f>-AH341*PVCalcs!F341</f>
        <v>-362.11381975355403</v>
      </c>
      <c r="BV341" s="2">
        <f>-'Batt IN'!$E$47</f>
        <v>-150</v>
      </c>
      <c r="BW341" s="2">
        <f>-'Batt IN'!$E$49</f>
        <v>-2250</v>
      </c>
      <c r="BX341" s="2">
        <f>IF('Batt IN'!$H$50="No",-(BC341*'Batt IN'!$E$50),-(BC341+BE341)*'Batt IN'!$E$50)</f>
        <v>0</v>
      </c>
      <c r="BY341" s="2">
        <f>IF(C341='Batt IN'!$H$43*12,-'Batt IN'!$E$43,0)</f>
        <v>0</v>
      </c>
      <c r="BZ341" s="38"/>
      <c r="CA341" s="10">
        <f t="shared" si="89"/>
        <v>13988.376778196347</v>
      </c>
      <c r="CB341" s="2">
        <f t="shared" si="94"/>
        <v>-3012.1138197535538</v>
      </c>
      <c r="CC341" s="45">
        <f t="shared" si="90"/>
        <v>10976.262958442792</v>
      </c>
      <c r="CD341" s="43"/>
      <c r="CE341" s="2">
        <f t="shared" si="91"/>
        <v>0</v>
      </c>
      <c r="CF341" s="2">
        <f t="shared" si="95"/>
        <v>-3012.1138197535538</v>
      </c>
      <c r="CG341" s="2"/>
      <c r="CH341" s="2">
        <f t="shared" si="92"/>
        <v>-3012.1138197535538</v>
      </c>
      <c r="CI341" s="45">
        <f>-CH341*'Batt IN'!$E$7</f>
        <v>632.54390214824627</v>
      </c>
      <c r="CJ341" s="48"/>
      <c r="CK341" s="45">
        <f>IF('Batt IN'!$F$4="PV Only",0,IF(C341&gt;'Batt IN'!$H$43*12,0,CC341+CI341))</f>
        <v>0</v>
      </c>
      <c r="CM341" s="10">
        <f t="shared" si="93"/>
        <v>0</v>
      </c>
      <c r="CN341" s="2">
        <f>CK341/(1+('Batt IN'!$G$8))^(C341)</f>
        <v>0</v>
      </c>
      <c r="CO341" s="2" t="e">
        <f>IF(C341&lt;='Batt IN'!$O$30*12,CN341+CO340,NA())</f>
        <v>#N/A</v>
      </c>
      <c r="CQ341" s="2">
        <f>CK341/((1+('Batt IN'!$E$8/12))^BattCalcs!C341)</f>
        <v>0</v>
      </c>
      <c r="CS341" s="10">
        <f t="shared" si="96"/>
        <v>-3012.1138197535538</v>
      </c>
      <c r="CT341" s="10">
        <f t="shared" si="97"/>
        <v>0</v>
      </c>
      <c r="CU341" s="10">
        <f t="shared" si="98"/>
        <v>-3012.1138197535538</v>
      </c>
      <c r="CV341" s="10">
        <f t="shared" si="99"/>
        <v>-3012.1138197535538</v>
      </c>
      <c r="CW341" s="2">
        <f t="shared" si="100"/>
        <v>0</v>
      </c>
      <c r="CX341" s="2">
        <f>-(SUM(CV341:CW341)*'PV IN'!$E$8)</f>
        <v>632.54390214824627</v>
      </c>
      <c r="CY341" s="2">
        <f t="shared" si="101"/>
        <v>-2379.5699176053076</v>
      </c>
      <c r="CZ341" s="2">
        <f>IF(C341&lt;='Batt IN'!$H$43*12,CY341/(1+('PV IN'!$G$9))^(C341),0)</f>
        <v>0</v>
      </c>
      <c r="DA341" s="33">
        <f>IF(C341&lt;='Batt IN'!$H$43*12,AE341,0)</f>
        <v>0</v>
      </c>
    </row>
    <row r="342" spans="1:105" x14ac:dyDescent="0.25">
      <c r="A342" t="str">
        <f>IF(C342&lt;='Batt IN'!$H$43*12,C342,"")</f>
        <v/>
      </c>
      <c r="C342">
        <v>338</v>
      </c>
      <c r="D342" s="21">
        <v>768</v>
      </c>
      <c r="E342" s="1">
        <f>1-'Batt IN'!$E$31</f>
        <v>2.0000000000000018E-2</v>
      </c>
      <c r="F342" s="12">
        <f>('Batt IN'!$E$33*365)/8760</f>
        <v>0</v>
      </c>
      <c r="G342" s="22">
        <f>'Batt IN'!$E$32/8760</f>
        <v>5.7077625570776253E-3</v>
      </c>
      <c r="H342" s="22">
        <f>'Batt IN'!$E$13/8760</f>
        <v>5.5936073059360729E-3</v>
      </c>
      <c r="I342" s="23">
        <f>IF(C342&lt;='Batt IN'!$G$14*12,'Batt IN'!$E$15/8760*'Batt IN'!$G$15,0)</f>
        <v>0</v>
      </c>
      <c r="J342" s="12">
        <f>Z342/'Batt IN'!$E$27/730</f>
        <v>2.4999999999999996E-3</v>
      </c>
      <c r="K342" s="23">
        <f>AA342/'Batt IN'!$E$27/730</f>
        <v>1.6027397260273972E-3</v>
      </c>
      <c r="L342" s="23">
        <f>AB342/'Batt IN'!$E$27/730</f>
        <v>2.0547945205479451E-4</v>
      </c>
      <c r="M342" s="23">
        <f>AC342/'Batt IN'!$E$27/730</f>
        <v>4.7945205479452057E-3</v>
      </c>
      <c r="N342" s="23">
        <f>AD342/'Batt IN'!$E$27/730</f>
        <v>3.4246575342465752E-3</v>
      </c>
      <c r="O342" s="12">
        <f t="shared" si="85"/>
        <v>4.3828767123287697E-2</v>
      </c>
      <c r="P342" s="21">
        <f t="shared" si="86"/>
        <v>734.33950684931506</v>
      </c>
      <c r="Q342" s="2">
        <f>IF('Batt IN'!$E$27*'Batt IN'!$E$24&lt;='Batt IN'!$E$28,(('Batt IN'!$E$23*'Batt IN'!$E$27*'Batt IN'!$E$24)/1000)*P342,(('Batt IN'!$E$23*'Batt IN'!$E$28*'Batt IN'!$E$24)/1000)*P342)</f>
        <v>11749.432109589041</v>
      </c>
      <c r="R342" s="2"/>
      <c r="S342" s="77">
        <f>IF(C342&lt;='Batt IN'!$G$14*12,'Batt IN'!$E$15/12,0)</f>
        <v>0</v>
      </c>
      <c r="T342" s="77"/>
      <c r="U342" s="80">
        <f>'Batt IN'!$E$28*('Batt IN'!$G$24/24)*730*(1-O342)</f>
        <v>81433.916666666657</v>
      </c>
      <c r="V342" s="78">
        <f>U342*'Batt IN'!$F$30</f>
        <v>16286.783333333333</v>
      </c>
      <c r="W342" s="78">
        <f>'Batt IN'!$E$28*'Batt IN'!$G$32*('Batt IN'!$E$32/12)*(1+'Batt IN'!$F$30)</f>
        <v>1750.0000000000002</v>
      </c>
      <c r="X342" s="78">
        <f>'Batt IN'!$E$28*'Batt IN'!$G$13*('Batt IN'!$E$13/12)*(1+'Batt IN'!$F$30)</f>
        <v>3184.9999999999995</v>
      </c>
      <c r="Y342" s="33">
        <f>S342*'Batt IN'!$G$15*'Batt IN'!$E$28*(1+'Batt IN'!$F$30)</f>
        <v>0</v>
      </c>
      <c r="Z342" s="33">
        <f>'Batt IN'!$G$16*365/12*(1+'Batt IN'!$F$30)</f>
        <v>1824.9999999999998</v>
      </c>
      <c r="AA342" s="33">
        <f>'Batt IN'!$G$17*'Batt IN'!$E$18*'Batt IN'!$G$18/12*(1+'Batt IN'!$F$30)</f>
        <v>1170</v>
      </c>
      <c r="AB342" s="33">
        <f>'Batt IN'!$G$19*'Batt IN'!$E$20*'Batt IN'!$G$20/12*(1+'Batt IN'!$F$30)</f>
        <v>150</v>
      </c>
      <c r="AC342" s="33">
        <f>'Batt IN'!$G$21*(1+'Batt IN'!$F$30)/12</f>
        <v>3500</v>
      </c>
      <c r="AD342" s="33">
        <f>'Batt IN'!$G$22*(1+'Batt IN'!$F$30)/12</f>
        <v>2500</v>
      </c>
      <c r="AE342" s="33">
        <f t="shared" si="87"/>
        <v>30366.783333333333</v>
      </c>
      <c r="AF342" s="33">
        <f>IF('PV IN'!$F$4="Battery Only",0,AE342*'Batt IN'!$E$29)</f>
        <v>25811.765833333331</v>
      </c>
      <c r="AG342" s="33">
        <f>PVCalcs!L342</f>
        <v>25811.765833333331</v>
      </c>
      <c r="AH342" s="33">
        <f t="shared" si="88"/>
        <v>4555.0175000000017</v>
      </c>
      <c r="AI342" s="33"/>
      <c r="AJ342" s="2">
        <f>IF(AND('Batt IN'!$D$53="Yes",$AL$1&gt;=1),IF($C342='Batt IN'!$H$54*12,-'Batt IN'!$F$54,0),0)</f>
        <v>0</v>
      </c>
      <c r="AK342" s="2">
        <f>IF(AND('Batt IN'!$D$53="Yes",$AL$1&gt;=2),IF($C342='Batt IN'!$H$55*12,-'Batt IN'!$F$55,0),0)</f>
        <v>0</v>
      </c>
      <c r="AL342" s="2">
        <f>IF(AND('Batt IN'!$D$53="Yes",$AL$1&gt;=3),IF($C342='Batt IN'!$H$56*12,-'Batt IN'!$F$56,0),0)</f>
        <v>0</v>
      </c>
      <c r="AM342" s="2">
        <f>IF(AND('Batt IN'!$D$53="Yes",$AL$1&gt;=4),IF($C342='Batt IN'!$H$57*12,-'Batt IN'!$F$57,0),0)</f>
        <v>0</v>
      </c>
      <c r="AN342" s="2">
        <f>IF(AND('Batt IN'!$D$53="Yes",$AL$1&gt;=5),IF($C342='Batt IN'!$H$58*12,-'Batt IN'!$F$58,0),0)</f>
        <v>0</v>
      </c>
      <c r="AO342" s="10">
        <f>IF(AND('Batt IN'!$D$44="YES",$C342&lt;='Batt IN'!$E$44*12),-'Batt IN'!$E$28*'Batt IN'!$E$42/12,0)</f>
        <v>0</v>
      </c>
      <c r="AP342" s="10">
        <f>IF(AND('Batt IN'!$D$46="YES",$C342&lt;='Batt IN'!$E$46*12),-'Batt IN'!$E$28*'Batt IN'!$E$45/12,0)</f>
        <v>0</v>
      </c>
      <c r="AR342" s="10">
        <f>BattLoan!M369</f>
        <v>0</v>
      </c>
      <c r="AS342" s="10">
        <f>'Batt IN'!$G$16*365/12*'Batt IN'!$E$16</f>
        <v>76.041666666666671</v>
      </c>
      <c r="AT342" s="10">
        <f>IF(AND('Batt IN'!$E$18&gt;0,'Batt IN'!$G$18&gt;0),'Batt IN'!$E$17*'Batt IN'!$G$17,0)</f>
        <v>119.44619999999999</v>
      </c>
      <c r="AU342" s="10">
        <f>IF(AND('Batt IN'!$E$20&gt;0,'Batt IN'!$G$20&gt;0),'Batt IN'!$E$19*'Batt IN'!$G$19,0)</f>
        <v>231</v>
      </c>
      <c r="AV342" s="10"/>
      <c r="AW342" s="10"/>
      <c r="AX342" s="10">
        <f>IF('Batt IN'!$E$11="Non-Taxable",Q342,0)</f>
        <v>11749.432109589041</v>
      </c>
      <c r="AY342" s="10">
        <f>IF('Batt IN'!$E$11="Non-Taxable",'Batt IN'!$E$28/1000*'Batt IN'!$G$13*('Batt IN'!$E$13/12)*'Batt IN'!$E$12,0)</f>
        <v>244.42220833333334</v>
      </c>
      <c r="AZ342" s="10">
        <f>IF('Batt IN'!$E$11="Non-Taxable",$S342*'Batt IN'!$G$15*'Batt IN'!$E$28*'Batt IN'!$E$14/1000,0)</f>
        <v>0</v>
      </c>
      <c r="BA342" s="10">
        <f>IF('Batt IN'!$E$11="Non-Taxable",'Batt IN'!$E$21*'Batt IN'!$G$21/12,0)</f>
        <v>437.5</v>
      </c>
      <c r="BB342" s="10">
        <f>IF('Batt IN'!$E$11="Non-Taxable",'Batt IN'!$E$22*'Batt IN'!$G$22/12,0)</f>
        <v>1145.8333333333335</v>
      </c>
      <c r="BC342" s="10">
        <f>IF('Batt IN'!$E$11="Taxable",Q342,0)</f>
        <v>0</v>
      </c>
      <c r="BD342" s="10">
        <f>IF('Batt IN'!$E$11="Taxable",'Batt IN'!$E$28/1000*'Batt IN'!$G$13*('Batt IN'!$E$13/12)*'Batt IN'!$E$12,0)</f>
        <v>0</v>
      </c>
      <c r="BE342" s="10">
        <f>IF('Batt IN'!$E$11="Taxable",$S342*'Batt IN'!$G$15*'Batt IN'!$E$28*'Batt IN'!$E$14/1000,0)</f>
        <v>0</v>
      </c>
      <c r="BF342" s="10">
        <f>IF('Batt IN'!$E$11="Taxable",'Batt IN'!$E$21*'Batt IN'!$G$21/12,0)</f>
        <v>0</v>
      </c>
      <c r="BG342" s="10">
        <f>IF('Batt IN'!$E$11="Taxable",'Batt IN'!$E$22*'Batt IN'!$G$22/12,0)</f>
        <v>0</v>
      </c>
      <c r="BK342" s="10">
        <f>IF('Batt IN'!$N$18="Yes",-BattLoan!H370,-BattLoan!L370)</f>
        <v>0</v>
      </c>
      <c r="BL342" s="10">
        <f>IF('Batt IN'!$N$18="Yes",-BattLoan!F370,0)</f>
        <v>0</v>
      </c>
      <c r="BM342" s="10">
        <f>IF(AND('Batt IN'!$D$44="YES",$C342&lt;='Batt IN'!$E$44*12),0,-'Batt IN'!$E$28*'Batt IN'!$E$42/12)</f>
        <v>-83.333333333333329</v>
      </c>
      <c r="BN342" s="10">
        <f>IF(AND('Batt IN'!$D$46="YES",$C342&lt;='Batt IN'!$E$46*12),0,-'Batt IN'!$E$28*'Batt IN'!$E$45/12)</f>
        <v>-166.66666666666666</v>
      </c>
      <c r="BO342" s="2">
        <f>IF(AND('Batt IN'!$D$41="YES",BattCalcs!C342=ROUNDUP('Batt IN'!$H$41*12,)),-'Batt IN'!$E$41*'Batt IN'!$E$28,0)</f>
        <v>0</v>
      </c>
      <c r="BP342" s="2">
        <f>IF(AND('Batt IN'!$D$53="Yes",$AL$1&gt;=1),0,IF($C342='Batt IN'!$H$54*12,-'Batt IN'!$F$54,0))</f>
        <v>0</v>
      </c>
      <c r="BQ342" s="2">
        <f>IF(AND('Batt IN'!$D$53="Yes",$AL$1&gt;=2),0,IF($C342='Batt IN'!$H$55*12,-'Batt IN'!$F$55,0))</f>
        <v>0</v>
      </c>
      <c r="BR342" s="2">
        <f>IF(AND('Batt IN'!$D$53="Yes",$AL$1&gt;=3),0,IF($C342='Batt IN'!$H$56*12,-'Batt IN'!$F$56,0))</f>
        <v>0</v>
      </c>
      <c r="BS342" s="2">
        <f>IF(AND('Batt IN'!$D$53="Yes",$AL$1&gt;=4),0,IF($C342='Batt IN'!$H$57*12,-'Batt IN'!$F$57,0))</f>
        <v>0</v>
      </c>
      <c r="BT342" s="2">
        <f>IF(AND('Batt IN'!$D$53="Yes",$AL$1&gt;=5),0,IF($C342='Batt IN'!$H$58*12,-'Batt IN'!$F$58,0))</f>
        <v>0</v>
      </c>
      <c r="BU342" s="2">
        <f>-AH342*PVCalcs!F342</f>
        <v>-362.11381975355403</v>
      </c>
      <c r="BV342" s="2">
        <f>-'Batt IN'!$E$47</f>
        <v>-150</v>
      </c>
      <c r="BW342" s="2">
        <f>-'Batt IN'!$E$49</f>
        <v>-2250</v>
      </c>
      <c r="BX342" s="2">
        <f>IF('Batt IN'!$H$50="No",-(BC342*'Batt IN'!$E$50),-(BC342+BE342)*'Batt IN'!$E$50)</f>
        <v>0</v>
      </c>
      <c r="BY342" s="2">
        <f>IF(C342='Batt IN'!$H$43*12,-'Batt IN'!$E$43,0)</f>
        <v>0</v>
      </c>
      <c r="BZ342" s="38"/>
      <c r="CA342" s="10">
        <f t="shared" si="89"/>
        <v>14003.675517922375</v>
      </c>
      <c r="CB342" s="2">
        <f t="shared" si="94"/>
        <v>-3012.1138197535538</v>
      </c>
      <c r="CC342" s="45">
        <f t="shared" si="90"/>
        <v>10991.561698168822</v>
      </c>
      <c r="CD342" s="43"/>
      <c r="CE342" s="2">
        <f t="shared" si="91"/>
        <v>0</v>
      </c>
      <c r="CF342" s="2">
        <f t="shared" si="95"/>
        <v>-3012.1138197535538</v>
      </c>
      <c r="CG342" s="2"/>
      <c r="CH342" s="2">
        <f t="shared" si="92"/>
        <v>-3012.1138197535538</v>
      </c>
      <c r="CI342" s="45">
        <f>-CH342*'Batt IN'!$E$7</f>
        <v>632.54390214824627</v>
      </c>
      <c r="CJ342" s="48"/>
      <c r="CK342" s="45">
        <f>IF('Batt IN'!$F$4="PV Only",0,IF(C342&gt;'Batt IN'!$H$43*12,0,CC342+CI342))</f>
        <v>0</v>
      </c>
      <c r="CM342" s="10">
        <f t="shared" si="93"/>
        <v>0</v>
      </c>
      <c r="CN342" s="2">
        <f>CK342/(1+('Batt IN'!$G$8))^(C342)</f>
        <v>0</v>
      </c>
      <c r="CO342" s="2" t="e">
        <f>IF(C342&lt;='Batt IN'!$O$30*12,CN342+CO341,NA())</f>
        <v>#N/A</v>
      </c>
      <c r="CQ342" s="2">
        <f>CK342/((1+('Batt IN'!$E$8/12))^BattCalcs!C342)</f>
        <v>0</v>
      </c>
      <c r="CS342" s="10">
        <f t="shared" si="96"/>
        <v>-3012.1138197535538</v>
      </c>
      <c r="CT342" s="10">
        <f t="shared" si="97"/>
        <v>0</v>
      </c>
      <c r="CU342" s="10">
        <f t="shared" si="98"/>
        <v>-3012.1138197535538</v>
      </c>
      <c r="CV342" s="10">
        <f t="shared" si="99"/>
        <v>-3012.1138197535538</v>
      </c>
      <c r="CW342" s="2">
        <f t="shared" si="100"/>
        <v>0</v>
      </c>
      <c r="CX342" s="2">
        <f>-(SUM(CV342:CW342)*'PV IN'!$E$8)</f>
        <v>632.54390214824627</v>
      </c>
      <c r="CY342" s="2">
        <f t="shared" si="101"/>
        <v>-2379.5699176053076</v>
      </c>
      <c r="CZ342" s="2">
        <f>IF(C342&lt;='Batt IN'!$H$43*12,CY342/(1+('PV IN'!$G$9))^(C342),0)</f>
        <v>0</v>
      </c>
      <c r="DA342" s="33">
        <f>IF(C342&lt;='Batt IN'!$H$43*12,AE342,0)</f>
        <v>0</v>
      </c>
    </row>
    <row r="343" spans="1:105" x14ac:dyDescent="0.25">
      <c r="A343" t="str">
        <f>IF(C343&lt;='Batt IN'!$H$43*12,C343,"")</f>
        <v/>
      </c>
      <c r="C343">
        <v>339</v>
      </c>
      <c r="D343" s="21">
        <v>769</v>
      </c>
      <c r="E343" s="1">
        <f>1-'Batt IN'!$E$31</f>
        <v>2.0000000000000018E-2</v>
      </c>
      <c r="F343" s="12">
        <f>('Batt IN'!$E$33*365)/8760</f>
        <v>0</v>
      </c>
      <c r="G343" s="22">
        <f>'Batt IN'!$E$32/8760</f>
        <v>5.7077625570776253E-3</v>
      </c>
      <c r="H343" s="22">
        <f>'Batt IN'!$E$13/8760</f>
        <v>5.5936073059360729E-3</v>
      </c>
      <c r="I343" s="23">
        <f>IF(C343&lt;='Batt IN'!$G$14*12,'Batt IN'!$E$15/8760*'Batt IN'!$G$15,0)</f>
        <v>0</v>
      </c>
      <c r="J343" s="12">
        <f>Z343/'Batt IN'!$E$27/730</f>
        <v>2.4999999999999996E-3</v>
      </c>
      <c r="K343" s="23">
        <f>AA343/'Batt IN'!$E$27/730</f>
        <v>1.6027397260273972E-3</v>
      </c>
      <c r="L343" s="23">
        <f>AB343/'Batt IN'!$E$27/730</f>
        <v>2.0547945205479451E-4</v>
      </c>
      <c r="M343" s="23">
        <f>AC343/'Batt IN'!$E$27/730</f>
        <v>4.7945205479452057E-3</v>
      </c>
      <c r="N343" s="23">
        <f>AD343/'Batt IN'!$E$27/730</f>
        <v>3.4246575342465752E-3</v>
      </c>
      <c r="O343" s="12">
        <f t="shared" si="85"/>
        <v>4.3828767123287697E-2</v>
      </c>
      <c r="P343" s="21">
        <f t="shared" si="86"/>
        <v>735.29567808219178</v>
      </c>
      <c r="Q343" s="2">
        <f>IF('Batt IN'!$E$27*'Batt IN'!$E$24&lt;='Batt IN'!$E$28,(('Batt IN'!$E$23*'Batt IN'!$E$27*'Batt IN'!$E$24)/1000)*P343,(('Batt IN'!$E$23*'Batt IN'!$E$28*'Batt IN'!$E$24)/1000)*P343)</f>
        <v>11764.730849315069</v>
      </c>
      <c r="R343" s="2"/>
      <c r="S343" s="77">
        <f>IF(C343&lt;='Batt IN'!$G$14*12,'Batt IN'!$E$15/12,0)</f>
        <v>0</v>
      </c>
      <c r="T343" s="77"/>
      <c r="U343" s="80">
        <f>'Batt IN'!$E$28*('Batt IN'!$G$24/24)*730*(1-O343)</f>
        <v>81433.916666666657</v>
      </c>
      <c r="V343" s="78">
        <f>U343*'Batt IN'!$F$30</f>
        <v>16286.783333333333</v>
      </c>
      <c r="W343" s="78">
        <f>'Batt IN'!$E$28*'Batt IN'!$G$32*('Batt IN'!$E$32/12)*(1+'Batt IN'!$F$30)</f>
        <v>1750.0000000000002</v>
      </c>
      <c r="X343" s="78">
        <f>'Batt IN'!$E$28*'Batt IN'!$G$13*('Batt IN'!$E$13/12)*(1+'Batt IN'!$F$30)</f>
        <v>3184.9999999999995</v>
      </c>
      <c r="Y343" s="33">
        <f>S343*'Batt IN'!$G$15*'Batt IN'!$E$28*(1+'Batt IN'!$F$30)</f>
        <v>0</v>
      </c>
      <c r="Z343" s="33">
        <f>'Batt IN'!$G$16*365/12*(1+'Batt IN'!$F$30)</f>
        <v>1824.9999999999998</v>
      </c>
      <c r="AA343" s="33">
        <f>'Batt IN'!$G$17*'Batt IN'!$E$18*'Batt IN'!$G$18/12*(1+'Batt IN'!$F$30)</f>
        <v>1170</v>
      </c>
      <c r="AB343" s="33">
        <f>'Batt IN'!$G$19*'Batt IN'!$E$20*'Batt IN'!$G$20/12*(1+'Batt IN'!$F$30)</f>
        <v>150</v>
      </c>
      <c r="AC343" s="33">
        <f>'Batt IN'!$G$21*(1+'Batt IN'!$F$30)/12</f>
        <v>3500</v>
      </c>
      <c r="AD343" s="33">
        <f>'Batt IN'!$G$22*(1+'Batt IN'!$F$30)/12</f>
        <v>2500</v>
      </c>
      <c r="AE343" s="33">
        <f t="shared" si="87"/>
        <v>30366.783333333333</v>
      </c>
      <c r="AF343" s="33">
        <f>IF('PV IN'!$F$4="Battery Only",0,AE343*'Batt IN'!$E$29)</f>
        <v>25811.765833333331</v>
      </c>
      <c r="AG343" s="33">
        <f>PVCalcs!L343</f>
        <v>25811.765833333331</v>
      </c>
      <c r="AH343" s="33">
        <f t="shared" si="88"/>
        <v>4555.0175000000017</v>
      </c>
      <c r="AI343" s="33"/>
      <c r="AJ343" s="2">
        <f>IF(AND('Batt IN'!$D$53="Yes",$AL$1&gt;=1),IF($C343='Batt IN'!$H$54*12,-'Batt IN'!$F$54,0),0)</f>
        <v>0</v>
      </c>
      <c r="AK343" s="2">
        <f>IF(AND('Batt IN'!$D$53="Yes",$AL$1&gt;=2),IF($C343='Batt IN'!$H$55*12,-'Batt IN'!$F$55,0),0)</f>
        <v>0</v>
      </c>
      <c r="AL343" s="2">
        <f>IF(AND('Batt IN'!$D$53="Yes",$AL$1&gt;=3),IF($C343='Batt IN'!$H$56*12,-'Batt IN'!$F$56,0),0)</f>
        <v>0</v>
      </c>
      <c r="AM343" s="2">
        <f>IF(AND('Batt IN'!$D$53="Yes",$AL$1&gt;=4),IF($C343='Batt IN'!$H$57*12,-'Batt IN'!$F$57,0),0)</f>
        <v>0</v>
      </c>
      <c r="AN343" s="2">
        <f>IF(AND('Batt IN'!$D$53="Yes",$AL$1&gt;=5),IF($C343='Batt IN'!$H$58*12,-'Batt IN'!$F$58,0),0)</f>
        <v>0</v>
      </c>
      <c r="AO343" s="10">
        <f>IF(AND('Batt IN'!$D$44="YES",$C343&lt;='Batt IN'!$E$44*12),-'Batt IN'!$E$28*'Batt IN'!$E$42/12,0)</f>
        <v>0</v>
      </c>
      <c r="AP343" s="10">
        <f>IF(AND('Batt IN'!$D$46="YES",$C343&lt;='Batt IN'!$E$46*12),-'Batt IN'!$E$28*'Batt IN'!$E$45/12,0)</f>
        <v>0</v>
      </c>
      <c r="AR343" s="10">
        <f>BattLoan!M370</f>
        <v>0</v>
      </c>
      <c r="AS343" s="10">
        <f>'Batt IN'!$G$16*365/12*'Batt IN'!$E$16</f>
        <v>76.041666666666671</v>
      </c>
      <c r="AT343" s="10">
        <f>IF(AND('Batt IN'!$E$18&gt;0,'Batt IN'!$G$18&gt;0),'Batt IN'!$E$17*'Batt IN'!$G$17,0)</f>
        <v>119.44619999999999</v>
      </c>
      <c r="AU343" s="10">
        <f>IF(AND('Batt IN'!$E$20&gt;0,'Batt IN'!$G$20&gt;0),'Batt IN'!$E$19*'Batt IN'!$G$19,0)</f>
        <v>231</v>
      </c>
      <c r="AV343" s="10"/>
      <c r="AW343" s="10"/>
      <c r="AX343" s="10">
        <f>IF('Batt IN'!$E$11="Non-Taxable",Q343,0)</f>
        <v>11764.730849315069</v>
      </c>
      <c r="AY343" s="10">
        <f>IF('Batt IN'!$E$11="Non-Taxable",'Batt IN'!$E$28/1000*'Batt IN'!$G$13*('Batt IN'!$E$13/12)*'Batt IN'!$E$12,0)</f>
        <v>244.42220833333334</v>
      </c>
      <c r="AZ343" s="10">
        <f>IF('Batt IN'!$E$11="Non-Taxable",$S343*'Batt IN'!$G$15*'Batt IN'!$E$28*'Batt IN'!$E$14/1000,0)</f>
        <v>0</v>
      </c>
      <c r="BA343" s="10">
        <f>IF('Batt IN'!$E$11="Non-Taxable",'Batt IN'!$E$21*'Batt IN'!$G$21/12,0)</f>
        <v>437.5</v>
      </c>
      <c r="BB343" s="10">
        <f>IF('Batt IN'!$E$11="Non-Taxable",'Batt IN'!$E$22*'Batt IN'!$G$22/12,0)</f>
        <v>1145.8333333333335</v>
      </c>
      <c r="BC343" s="10">
        <f>IF('Batt IN'!$E$11="Taxable",Q343,0)</f>
        <v>0</v>
      </c>
      <c r="BD343" s="10">
        <f>IF('Batt IN'!$E$11="Taxable",'Batt IN'!$E$28/1000*'Batt IN'!$G$13*('Batt IN'!$E$13/12)*'Batt IN'!$E$12,0)</f>
        <v>0</v>
      </c>
      <c r="BE343" s="10">
        <f>IF('Batt IN'!$E$11="Taxable",$S343*'Batt IN'!$G$15*'Batt IN'!$E$28*'Batt IN'!$E$14/1000,0)</f>
        <v>0</v>
      </c>
      <c r="BF343" s="10">
        <f>IF('Batt IN'!$E$11="Taxable",'Batt IN'!$E$21*'Batt IN'!$G$21/12,0)</f>
        <v>0</v>
      </c>
      <c r="BG343" s="10">
        <f>IF('Batt IN'!$E$11="Taxable",'Batt IN'!$E$22*'Batt IN'!$G$22/12,0)</f>
        <v>0</v>
      </c>
      <c r="BK343" s="10">
        <f>IF('Batt IN'!$N$18="Yes",-BattLoan!H371,-BattLoan!L371)</f>
        <v>0</v>
      </c>
      <c r="BL343" s="10">
        <f>IF('Batt IN'!$N$18="Yes",-BattLoan!F371,0)</f>
        <v>0</v>
      </c>
      <c r="BM343" s="10">
        <f>IF(AND('Batt IN'!$D$44="YES",$C343&lt;='Batt IN'!$E$44*12),0,-'Batt IN'!$E$28*'Batt IN'!$E$42/12)</f>
        <v>-83.333333333333329</v>
      </c>
      <c r="BN343" s="10">
        <f>IF(AND('Batt IN'!$D$46="YES",$C343&lt;='Batt IN'!$E$46*12),0,-'Batt IN'!$E$28*'Batt IN'!$E$45/12)</f>
        <v>-166.66666666666666</v>
      </c>
      <c r="BO343" s="2">
        <f>IF(AND('Batt IN'!$D$41="YES",BattCalcs!C343=ROUNDUP('Batt IN'!$H$41*12,)),-'Batt IN'!$E$41*'Batt IN'!$E$28,0)</f>
        <v>0</v>
      </c>
      <c r="BP343" s="2">
        <f>IF(AND('Batt IN'!$D$53="Yes",$AL$1&gt;=1),0,IF($C343='Batt IN'!$H$54*12,-'Batt IN'!$F$54,0))</f>
        <v>0</v>
      </c>
      <c r="BQ343" s="2">
        <f>IF(AND('Batt IN'!$D$53="Yes",$AL$1&gt;=2),0,IF($C343='Batt IN'!$H$55*12,-'Batt IN'!$F$55,0))</f>
        <v>0</v>
      </c>
      <c r="BR343" s="2">
        <f>IF(AND('Batt IN'!$D$53="Yes",$AL$1&gt;=3),0,IF($C343='Batt IN'!$H$56*12,-'Batt IN'!$F$56,0))</f>
        <v>0</v>
      </c>
      <c r="BS343" s="2">
        <f>IF(AND('Batt IN'!$D$53="Yes",$AL$1&gt;=4),0,IF($C343='Batt IN'!$H$57*12,-'Batt IN'!$F$57,0))</f>
        <v>0</v>
      </c>
      <c r="BT343" s="2">
        <f>IF(AND('Batt IN'!$D$53="Yes",$AL$1&gt;=5),0,IF($C343='Batt IN'!$H$58*12,-'Batt IN'!$F$58,0))</f>
        <v>0</v>
      </c>
      <c r="BU343" s="2">
        <f>-AH343*PVCalcs!F343</f>
        <v>-362.11381975355403</v>
      </c>
      <c r="BV343" s="2">
        <f>-'Batt IN'!$E$47</f>
        <v>-150</v>
      </c>
      <c r="BW343" s="2">
        <f>-'Batt IN'!$E$49</f>
        <v>-2250</v>
      </c>
      <c r="BX343" s="2">
        <f>IF('Batt IN'!$H$50="No",-(BC343*'Batt IN'!$E$50),-(BC343+BE343)*'Batt IN'!$E$50)</f>
        <v>0</v>
      </c>
      <c r="BY343" s="2">
        <f>IF(C343='Batt IN'!$H$43*12,-'Batt IN'!$E$43,0)</f>
        <v>0</v>
      </c>
      <c r="BZ343" s="38"/>
      <c r="CA343" s="10">
        <f t="shared" si="89"/>
        <v>14018.974257648402</v>
      </c>
      <c r="CB343" s="2">
        <f t="shared" si="94"/>
        <v>-3012.1138197535538</v>
      </c>
      <c r="CC343" s="45">
        <f t="shared" si="90"/>
        <v>11006.860437894848</v>
      </c>
      <c r="CD343" s="43"/>
      <c r="CE343" s="2">
        <f t="shared" si="91"/>
        <v>0</v>
      </c>
      <c r="CF343" s="2">
        <f t="shared" si="95"/>
        <v>-3012.1138197535538</v>
      </c>
      <c r="CG343" s="2"/>
      <c r="CH343" s="2">
        <f t="shared" si="92"/>
        <v>-3012.1138197535538</v>
      </c>
      <c r="CI343" s="45">
        <f>-CH343*'Batt IN'!$E$7</f>
        <v>632.54390214824627</v>
      </c>
      <c r="CJ343" s="48"/>
      <c r="CK343" s="45">
        <f>IF('Batt IN'!$F$4="PV Only",0,IF(C343&gt;'Batt IN'!$H$43*12,0,CC343+CI343))</f>
        <v>0</v>
      </c>
      <c r="CM343" s="10">
        <f t="shared" si="93"/>
        <v>0</v>
      </c>
      <c r="CN343" s="2">
        <f>CK343/(1+('Batt IN'!$G$8))^(C343)</f>
        <v>0</v>
      </c>
      <c r="CO343" s="2" t="e">
        <f>IF(C343&lt;='Batt IN'!$O$30*12,CN343+CO342,NA())</f>
        <v>#N/A</v>
      </c>
      <c r="CQ343" s="2">
        <f>CK343/((1+('Batt IN'!$E$8/12))^BattCalcs!C343)</f>
        <v>0</v>
      </c>
      <c r="CS343" s="10">
        <f t="shared" si="96"/>
        <v>-3012.1138197535538</v>
      </c>
      <c r="CT343" s="10">
        <f t="shared" si="97"/>
        <v>0</v>
      </c>
      <c r="CU343" s="10">
        <f t="shared" si="98"/>
        <v>-3012.1138197535538</v>
      </c>
      <c r="CV343" s="10">
        <f t="shared" si="99"/>
        <v>-3012.1138197535538</v>
      </c>
      <c r="CW343" s="2">
        <f t="shared" si="100"/>
        <v>0</v>
      </c>
      <c r="CX343" s="2">
        <f>-(SUM(CV343:CW343)*'PV IN'!$E$8)</f>
        <v>632.54390214824627</v>
      </c>
      <c r="CY343" s="2">
        <f t="shared" si="101"/>
        <v>-2379.5699176053076</v>
      </c>
      <c r="CZ343" s="2">
        <f>IF(C343&lt;='Batt IN'!$H$43*12,CY343/(1+('PV IN'!$G$9))^(C343),0)</f>
        <v>0</v>
      </c>
      <c r="DA343" s="33">
        <f>IF(C343&lt;='Batt IN'!$H$43*12,AE343,0)</f>
        <v>0</v>
      </c>
    </row>
    <row r="344" spans="1:105" x14ac:dyDescent="0.25">
      <c r="A344" t="str">
        <f>IF(C344&lt;='Batt IN'!$H$43*12,C344,"")</f>
        <v/>
      </c>
      <c r="C344">
        <v>340</v>
      </c>
      <c r="D344" s="21">
        <v>770</v>
      </c>
      <c r="E344" s="1">
        <f>1-'Batt IN'!$E$31</f>
        <v>2.0000000000000018E-2</v>
      </c>
      <c r="F344" s="12">
        <f>('Batt IN'!$E$33*365)/8760</f>
        <v>0</v>
      </c>
      <c r="G344" s="22">
        <f>'Batt IN'!$E$32/8760</f>
        <v>5.7077625570776253E-3</v>
      </c>
      <c r="H344" s="22">
        <f>'Batt IN'!$E$13/8760</f>
        <v>5.5936073059360729E-3</v>
      </c>
      <c r="I344" s="23">
        <f>IF(C344&lt;='Batt IN'!$G$14*12,'Batt IN'!$E$15/8760*'Batt IN'!$G$15,0)</f>
        <v>0</v>
      </c>
      <c r="J344" s="12">
        <f>Z344/'Batt IN'!$E$27/730</f>
        <v>2.4999999999999996E-3</v>
      </c>
      <c r="K344" s="23">
        <f>AA344/'Batt IN'!$E$27/730</f>
        <v>1.6027397260273972E-3</v>
      </c>
      <c r="L344" s="23">
        <f>AB344/'Batt IN'!$E$27/730</f>
        <v>2.0547945205479451E-4</v>
      </c>
      <c r="M344" s="23">
        <f>AC344/'Batt IN'!$E$27/730</f>
        <v>4.7945205479452057E-3</v>
      </c>
      <c r="N344" s="23">
        <f>AD344/'Batt IN'!$E$27/730</f>
        <v>3.4246575342465752E-3</v>
      </c>
      <c r="O344" s="12">
        <f t="shared" si="85"/>
        <v>4.3828767123287697E-2</v>
      </c>
      <c r="P344" s="21">
        <f t="shared" si="86"/>
        <v>736.25184931506851</v>
      </c>
      <c r="Q344" s="2">
        <f>IF('Batt IN'!$E$27*'Batt IN'!$E$24&lt;='Batt IN'!$E$28,(('Batt IN'!$E$23*'Batt IN'!$E$27*'Batt IN'!$E$24)/1000)*P344,(('Batt IN'!$E$23*'Batt IN'!$E$28*'Batt IN'!$E$24)/1000)*P344)</f>
        <v>11780.029589041096</v>
      </c>
      <c r="R344" s="2"/>
      <c r="S344" s="77">
        <f>IF(C344&lt;='Batt IN'!$G$14*12,'Batt IN'!$E$15/12,0)</f>
        <v>0</v>
      </c>
      <c r="T344" s="77"/>
      <c r="U344" s="80">
        <f>'Batt IN'!$E$28*('Batt IN'!$G$24/24)*730*(1-O344)</f>
        <v>81433.916666666657</v>
      </c>
      <c r="V344" s="78">
        <f>U344*'Batt IN'!$F$30</f>
        <v>16286.783333333333</v>
      </c>
      <c r="W344" s="78">
        <f>'Batt IN'!$E$28*'Batt IN'!$G$32*('Batt IN'!$E$32/12)*(1+'Batt IN'!$F$30)</f>
        <v>1750.0000000000002</v>
      </c>
      <c r="X344" s="78">
        <f>'Batt IN'!$E$28*'Batt IN'!$G$13*('Batt IN'!$E$13/12)*(1+'Batt IN'!$F$30)</f>
        <v>3184.9999999999995</v>
      </c>
      <c r="Y344" s="33">
        <f>S344*'Batt IN'!$G$15*'Batt IN'!$E$28*(1+'Batt IN'!$F$30)</f>
        <v>0</v>
      </c>
      <c r="Z344" s="33">
        <f>'Batt IN'!$G$16*365/12*(1+'Batt IN'!$F$30)</f>
        <v>1824.9999999999998</v>
      </c>
      <c r="AA344" s="33">
        <f>'Batt IN'!$G$17*'Batt IN'!$E$18*'Batt IN'!$G$18/12*(1+'Batt IN'!$F$30)</f>
        <v>1170</v>
      </c>
      <c r="AB344" s="33">
        <f>'Batt IN'!$G$19*'Batt IN'!$E$20*'Batt IN'!$G$20/12*(1+'Batt IN'!$F$30)</f>
        <v>150</v>
      </c>
      <c r="AC344" s="33">
        <f>'Batt IN'!$G$21*(1+'Batt IN'!$F$30)/12</f>
        <v>3500</v>
      </c>
      <c r="AD344" s="33">
        <f>'Batt IN'!$G$22*(1+'Batt IN'!$F$30)/12</f>
        <v>2500</v>
      </c>
      <c r="AE344" s="33">
        <f t="shared" si="87"/>
        <v>30366.783333333333</v>
      </c>
      <c r="AF344" s="33">
        <f>IF('PV IN'!$F$4="Battery Only",0,AE344*'Batt IN'!$E$29)</f>
        <v>25811.765833333331</v>
      </c>
      <c r="AG344" s="33">
        <f>PVCalcs!L344</f>
        <v>25811.765833333331</v>
      </c>
      <c r="AH344" s="33">
        <f t="shared" si="88"/>
        <v>4555.0175000000017</v>
      </c>
      <c r="AI344" s="33"/>
      <c r="AJ344" s="2">
        <f>IF(AND('Batt IN'!$D$53="Yes",$AL$1&gt;=1),IF($C344='Batt IN'!$H$54*12,-'Batt IN'!$F$54,0),0)</f>
        <v>0</v>
      </c>
      <c r="AK344" s="2">
        <f>IF(AND('Batt IN'!$D$53="Yes",$AL$1&gt;=2),IF($C344='Batt IN'!$H$55*12,-'Batt IN'!$F$55,0),0)</f>
        <v>0</v>
      </c>
      <c r="AL344" s="2">
        <f>IF(AND('Batt IN'!$D$53="Yes",$AL$1&gt;=3),IF($C344='Batt IN'!$H$56*12,-'Batt IN'!$F$56,0),0)</f>
        <v>0</v>
      </c>
      <c r="AM344" s="2">
        <f>IF(AND('Batt IN'!$D$53="Yes",$AL$1&gt;=4),IF($C344='Batt IN'!$H$57*12,-'Batt IN'!$F$57,0),0)</f>
        <v>0</v>
      </c>
      <c r="AN344" s="2">
        <f>IF(AND('Batt IN'!$D$53="Yes",$AL$1&gt;=5),IF($C344='Batt IN'!$H$58*12,-'Batt IN'!$F$58,0),0)</f>
        <v>0</v>
      </c>
      <c r="AO344" s="10">
        <f>IF(AND('Batt IN'!$D$44="YES",$C344&lt;='Batt IN'!$E$44*12),-'Batt IN'!$E$28*'Batt IN'!$E$42/12,0)</f>
        <v>0</v>
      </c>
      <c r="AP344" s="10">
        <f>IF(AND('Batt IN'!$D$46="YES",$C344&lt;='Batt IN'!$E$46*12),-'Batt IN'!$E$28*'Batt IN'!$E$45/12,0)</f>
        <v>0</v>
      </c>
      <c r="AR344" s="10">
        <f>BattLoan!M371</f>
        <v>0</v>
      </c>
      <c r="AS344" s="10">
        <f>'Batt IN'!$G$16*365/12*'Batt IN'!$E$16</f>
        <v>76.041666666666671</v>
      </c>
      <c r="AT344" s="10">
        <f>IF(AND('Batt IN'!$E$18&gt;0,'Batt IN'!$G$18&gt;0),'Batt IN'!$E$17*'Batt IN'!$G$17,0)</f>
        <v>119.44619999999999</v>
      </c>
      <c r="AU344" s="10">
        <f>IF(AND('Batt IN'!$E$20&gt;0,'Batt IN'!$G$20&gt;0),'Batt IN'!$E$19*'Batt IN'!$G$19,0)</f>
        <v>231</v>
      </c>
      <c r="AV344" s="10"/>
      <c r="AW344" s="10"/>
      <c r="AX344" s="10">
        <f>IF('Batt IN'!$E$11="Non-Taxable",Q344,0)</f>
        <v>11780.029589041096</v>
      </c>
      <c r="AY344" s="10">
        <f>IF('Batt IN'!$E$11="Non-Taxable",'Batt IN'!$E$28/1000*'Batt IN'!$G$13*('Batt IN'!$E$13/12)*'Batt IN'!$E$12,0)</f>
        <v>244.42220833333334</v>
      </c>
      <c r="AZ344" s="10">
        <f>IF('Batt IN'!$E$11="Non-Taxable",$S344*'Batt IN'!$G$15*'Batt IN'!$E$28*'Batt IN'!$E$14/1000,0)</f>
        <v>0</v>
      </c>
      <c r="BA344" s="10">
        <f>IF('Batt IN'!$E$11="Non-Taxable",'Batt IN'!$E$21*'Batt IN'!$G$21/12,0)</f>
        <v>437.5</v>
      </c>
      <c r="BB344" s="10">
        <f>IF('Batt IN'!$E$11="Non-Taxable",'Batt IN'!$E$22*'Batt IN'!$G$22/12,0)</f>
        <v>1145.8333333333335</v>
      </c>
      <c r="BC344" s="10">
        <f>IF('Batt IN'!$E$11="Taxable",Q344,0)</f>
        <v>0</v>
      </c>
      <c r="BD344" s="10">
        <f>IF('Batt IN'!$E$11="Taxable",'Batt IN'!$E$28/1000*'Batt IN'!$G$13*('Batt IN'!$E$13/12)*'Batt IN'!$E$12,0)</f>
        <v>0</v>
      </c>
      <c r="BE344" s="10">
        <f>IF('Batt IN'!$E$11="Taxable",$S344*'Batt IN'!$G$15*'Batt IN'!$E$28*'Batt IN'!$E$14/1000,0)</f>
        <v>0</v>
      </c>
      <c r="BF344" s="10">
        <f>IF('Batt IN'!$E$11="Taxable",'Batt IN'!$E$21*'Batt IN'!$G$21/12,0)</f>
        <v>0</v>
      </c>
      <c r="BG344" s="10">
        <f>IF('Batt IN'!$E$11="Taxable",'Batt IN'!$E$22*'Batt IN'!$G$22/12,0)</f>
        <v>0</v>
      </c>
      <c r="BK344" s="10">
        <f>IF('Batt IN'!$N$18="Yes",-BattLoan!H372,-BattLoan!L372)</f>
        <v>0</v>
      </c>
      <c r="BL344" s="10">
        <f>IF('Batt IN'!$N$18="Yes",-BattLoan!F372,0)</f>
        <v>0</v>
      </c>
      <c r="BM344" s="10">
        <f>IF(AND('Batt IN'!$D$44="YES",$C344&lt;='Batt IN'!$E$44*12),0,-'Batt IN'!$E$28*'Batt IN'!$E$42/12)</f>
        <v>-83.333333333333329</v>
      </c>
      <c r="BN344" s="10">
        <f>IF(AND('Batt IN'!$D$46="YES",$C344&lt;='Batt IN'!$E$46*12),0,-'Batt IN'!$E$28*'Batt IN'!$E$45/12)</f>
        <v>-166.66666666666666</v>
      </c>
      <c r="BO344" s="2">
        <f>IF(AND('Batt IN'!$D$41="YES",BattCalcs!C344=ROUNDUP('Batt IN'!$H$41*12,)),-'Batt IN'!$E$41*'Batt IN'!$E$28,0)</f>
        <v>0</v>
      </c>
      <c r="BP344" s="2">
        <f>IF(AND('Batt IN'!$D$53="Yes",$AL$1&gt;=1),0,IF($C344='Batt IN'!$H$54*12,-'Batt IN'!$F$54,0))</f>
        <v>0</v>
      </c>
      <c r="BQ344" s="2">
        <f>IF(AND('Batt IN'!$D$53="Yes",$AL$1&gt;=2),0,IF($C344='Batt IN'!$H$55*12,-'Batt IN'!$F$55,0))</f>
        <v>0</v>
      </c>
      <c r="BR344" s="2">
        <f>IF(AND('Batt IN'!$D$53="Yes",$AL$1&gt;=3),0,IF($C344='Batt IN'!$H$56*12,-'Batt IN'!$F$56,0))</f>
        <v>0</v>
      </c>
      <c r="BS344" s="2">
        <f>IF(AND('Batt IN'!$D$53="Yes",$AL$1&gt;=4),0,IF($C344='Batt IN'!$H$57*12,-'Batt IN'!$F$57,0))</f>
        <v>0</v>
      </c>
      <c r="BT344" s="2">
        <f>IF(AND('Batt IN'!$D$53="Yes",$AL$1&gt;=5),0,IF($C344='Batt IN'!$H$58*12,-'Batt IN'!$F$58,0))</f>
        <v>0</v>
      </c>
      <c r="BU344" s="2">
        <f>-AH344*PVCalcs!F344</f>
        <v>-362.11381975355403</v>
      </c>
      <c r="BV344" s="2">
        <f>-'Batt IN'!$E$47</f>
        <v>-150</v>
      </c>
      <c r="BW344" s="2">
        <f>-'Batt IN'!$E$49</f>
        <v>-2250</v>
      </c>
      <c r="BX344" s="2">
        <f>IF('Batt IN'!$H$50="No",-(BC344*'Batt IN'!$E$50),-(BC344+BE344)*'Batt IN'!$E$50)</f>
        <v>0</v>
      </c>
      <c r="BY344" s="2">
        <f>IF(C344='Batt IN'!$H$43*12,-'Batt IN'!$E$43,0)</f>
        <v>0</v>
      </c>
      <c r="BZ344" s="38"/>
      <c r="CA344" s="10">
        <f t="shared" si="89"/>
        <v>14034.27299737443</v>
      </c>
      <c r="CB344" s="2">
        <f t="shared" si="94"/>
        <v>-3012.1138197535538</v>
      </c>
      <c r="CC344" s="45">
        <f t="shared" si="90"/>
        <v>11022.159177620877</v>
      </c>
      <c r="CD344" s="43"/>
      <c r="CE344" s="2">
        <f t="shared" si="91"/>
        <v>0</v>
      </c>
      <c r="CF344" s="2">
        <f t="shared" si="95"/>
        <v>-3012.1138197535538</v>
      </c>
      <c r="CG344" s="2"/>
      <c r="CH344" s="2">
        <f t="shared" si="92"/>
        <v>-3012.1138197535538</v>
      </c>
      <c r="CI344" s="45">
        <f>-CH344*'Batt IN'!$E$7</f>
        <v>632.54390214824627</v>
      </c>
      <c r="CJ344" s="48"/>
      <c r="CK344" s="45">
        <f>IF('Batt IN'!$F$4="PV Only",0,IF(C344&gt;'Batt IN'!$H$43*12,0,CC344+CI344))</f>
        <v>0</v>
      </c>
      <c r="CM344" s="10">
        <f t="shared" si="93"/>
        <v>0</v>
      </c>
      <c r="CN344" s="2">
        <f>CK344/(1+('Batt IN'!$G$8))^(C344)</f>
        <v>0</v>
      </c>
      <c r="CO344" s="2" t="e">
        <f>IF(C344&lt;='Batt IN'!$O$30*12,CN344+CO343,NA())</f>
        <v>#N/A</v>
      </c>
      <c r="CQ344" s="2">
        <f>CK344/((1+('Batt IN'!$E$8/12))^BattCalcs!C344)</f>
        <v>0</v>
      </c>
      <c r="CS344" s="10">
        <f t="shared" si="96"/>
        <v>-3012.1138197535538</v>
      </c>
      <c r="CT344" s="10">
        <f t="shared" si="97"/>
        <v>0</v>
      </c>
      <c r="CU344" s="10">
        <f t="shared" si="98"/>
        <v>-3012.1138197535538</v>
      </c>
      <c r="CV344" s="10">
        <f t="shared" si="99"/>
        <v>-3012.1138197535538</v>
      </c>
      <c r="CW344" s="2">
        <f t="shared" si="100"/>
        <v>0</v>
      </c>
      <c r="CX344" s="2">
        <f>-(SUM(CV344:CW344)*'PV IN'!$E$8)</f>
        <v>632.54390214824627</v>
      </c>
      <c r="CY344" s="2">
        <f t="shared" si="101"/>
        <v>-2379.5699176053076</v>
      </c>
      <c r="CZ344" s="2">
        <f>IF(C344&lt;='Batt IN'!$H$43*12,CY344/(1+('PV IN'!$G$9))^(C344),0)</f>
        <v>0</v>
      </c>
      <c r="DA344" s="33">
        <f>IF(C344&lt;='Batt IN'!$H$43*12,AE344,0)</f>
        <v>0</v>
      </c>
    </row>
    <row r="345" spans="1:105" x14ac:dyDescent="0.25">
      <c r="A345" t="str">
        <f>IF(C345&lt;='Batt IN'!$H$43*12,C345,"")</f>
        <v/>
      </c>
      <c r="C345">
        <v>341</v>
      </c>
      <c r="D345" s="21">
        <v>771</v>
      </c>
      <c r="E345" s="1">
        <f>1-'Batt IN'!$E$31</f>
        <v>2.0000000000000018E-2</v>
      </c>
      <c r="F345" s="12">
        <f>('Batt IN'!$E$33*365)/8760</f>
        <v>0</v>
      </c>
      <c r="G345" s="22">
        <f>'Batt IN'!$E$32/8760</f>
        <v>5.7077625570776253E-3</v>
      </c>
      <c r="H345" s="22">
        <f>'Batt IN'!$E$13/8760</f>
        <v>5.5936073059360729E-3</v>
      </c>
      <c r="I345" s="23">
        <f>IF(C345&lt;='Batt IN'!$G$14*12,'Batt IN'!$E$15/8760*'Batt IN'!$G$15,0)</f>
        <v>0</v>
      </c>
      <c r="J345" s="12">
        <f>Z345/'Batt IN'!$E$27/730</f>
        <v>2.4999999999999996E-3</v>
      </c>
      <c r="K345" s="23">
        <f>AA345/'Batt IN'!$E$27/730</f>
        <v>1.6027397260273972E-3</v>
      </c>
      <c r="L345" s="23">
        <f>AB345/'Batt IN'!$E$27/730</f>
        <v>2.0547945205479451E-4</v>
      </c>
      <c r="M345" s="23">
        <f>AC345/'Batt IN'!$E$27/730</f>
        <v>4.7945205479452057E-3</v>
      </c>
      <c r="N345" s="23">
        <f>AD345/'Batt IN'!$E$27/730</f>
        <v>3.4246575342465752E-3</v>
      </c>
      <c r="O345" s="12">
        <f t="shared" si="85"/>
        <v>4.3828767123287697E-2</v>
      </c>
      <c r="P345" s="21">
        <f t="shared" si="86"/>
        <v>737.20802054794524</v>
      </c>
      <c r="Q345" s="2">
        <f>IF('Batt IN'!$E$27*'Batt IN'!$E$24&lt;='Batt IN'!$E$28,(('Batt IN'!$E$23*'Batt IN'!$E$27*'Batt IN'!$E$24)/1000)*P345,(('Batt IN'!$E$23*'Batt IN'!$E$28*'Batt IN'!$E$24)/1000)*P345)</f>
        <v>11795.328328767124</v>
      </c>
      <c r="R345" s="2"/>
      <c r="S345" s="77">
        <f>IF(C345&lt;='Batt IN'!$G$14*12,'Batt IN'!$E$15/12,0)</f>
        <v>0</v>
      </c>
      <c r="T345" s="77"/>
      <c r="U345" s="80">
        <f>'Batt IN'!$E$28*('Batt IN'!$G$24/24)*730*(1-O345)</f>
        <v>81433.916666666657</v>
      </c>
      <c r="V345" s="78">
        <f>U345*'Batt IN'!$F$30</f>
        <v>16286.783333333333</v>
      </c>
      <c r="W345" s="78">
        <f>'Batt IN'!$E$28*'Batt IN'!$G$32*('Batt IN'!$E$32/12)*(1+'Batt IN'!$F$30)</f>
        <v>1750.0000000000002</v>
      </c>
      <c r="X345" s="78">
        <f>'Batt IN'!$E$28*'Batt IN'!$G$13*('Batt IN'!$E$13/12)*(1+'Batt IN'!$F$30)</f>
        <v>3184.9999999999995</v>
      </c>
      <c r="Y345" s="33">
        <f>S345*'Batt IN'!$G$15*'Batt IN'!$E$28*(1+'Batt IN'!$F$30)</f>
        <v>0</v>
      </c>
      <c r="Z345" s="33">
        <f>'Batt IN'!$G$16*365/12*(1+'Batt IN'!$F$30)</f>
        <v>1824.9999999999998</v>
      </c>
      <c r="AA345" s="33">
        <f>'Batt IN'!$G$17*'Batt IN'!$E$18*'Batt IN'!$G$18/12*(1+'Batt IN'!$F$30)</f>
        <v>1170</v>
      </c>
      <c r="AB345" s="33">
        <f>'Batt IN'!$G$19*'Batt IN'!$E$20*'Batt IN'!$G$20/12*(1+'Batt IN'!$F$30)</f>
        <v>150</v>
      </c>
      <c r="AC345" s="33">
        <f>'Batt IN'!$G$21*(1+'Batt IN'!$F$30)/12</f>
        <v>3500</v>
      </c>
      <c r="AD345" s="33">
        <f>'Batt IN'!$G$22*(1+'Batt IN'!$F$30)/12</f>
        <v>2500</v>
      </c>
      <c r="AE345" s="33">
        <f t="shared" si="87"/>
        <v>30366.783333333333</v>
      </c>
      <c r="AF345" s="33">
        <f>IF('PV IN'!$F$4="Battery Only",0,AE345*'Batt IN'!$E$29)</f>
        <v>25811.765833333331</v>
      </c>
      <c r="AG345" s="33">
        <f>PVCalcs!L345</f>
        <v>25811.765833333331</v>
      </c>
      <c r="AH345" s="33">
        <f t="shared" si="88"/>
        <v>4555.0175000000017</v>
      </c>
      <c r="AI345" s="33"/>
      <c r="AJ345" s="2">
        <f>IF(AND('Batt IN'!$D$53="Yes",$AL$1&gt;=1),IF($C345='Batt IN'!$H$54*12,-'Batt IN'!$F$54,0),0)</f>
        <v>0</v>
      </c>
      <c r="AK345" s="2">
        <f>IF(AND('Batt IN'!$D$53="Yes",$AL$1&gt;=2),IF($C345='Batt IN'!$H$55*12,-'Batt IN'!$F$55,0),0)</f>
        <v>0</v>
      </c>
      <c r="AL345" s="2">
        <f>IF(AND('Batt IN'!$D$53="Yes",$AL$1&gt;=3),IF($C345='Batt IN'!$H$56*12,-'Batt IN'!$F$56,0),0)</f>
        <v>0</v>
      </c>
      <c r="AM345" s="2">
        <f>IF(AND('Batt IN'!$D$53="Yes",$AL$1&gt;=4),IF($C345='Batt IN'!$H$57*12,-'Batt IN'!$F$57,0),0)</f>
        <v>0</v>
      </c>
      <c r="AN345" s="2">
        <f>IF(AND('Batt IN'!$D$53="Yes",$AL$1&gt;=5),IF($C345='Batt IN'!$H$58*12,-'Batt IN'!$F$58,0),0)</f>
        <v>0</v>
      </c>
      <c r="AO345" s="10">
        <f>IF(AND('Batt IN'!$D$44="YES",$C345&lt;='Batt IN'!$E$44*12),-'Batt IN'!$E$28*'Batt IN'!$E$42/12,0)</f>
        <v>0</v>
      </c>
      <c r="AP345" s="10">
        <f>IF(AND('Batt IN'!$D$46="YES",$C345&lt;='Batt IN'!$E$46*12),-'Batt IN'!$E$28*'Batt IN'!$E$45/12,0)</f>
        <v>0</v>
      </c>
      <c r="AR345" s="10">
        <f>BattLoan!M372</f>
        <v>0</v>
      </c>
      <c r="AS345" s="10">
        <f>'Batt IN'!$G$16*365/12*'Batt IN'!$E$16</f>
        <v>76.041666666666671</v>
      </c>
      <c r="AT345" s="10">
        <f>IF(AND('Batt IN'!$E$18&gt;0,'Batt IN'!$G$18&gt;0),'Batt IN'!$E$17*'Batt IN'!$G$17,0)</f>
        <v>119.44619999999999</v>
      </c>
      <c r="AU345" s="10">
        <f>IF(AND('Batt IN'!$E$20&gt;0,'Batt IN'!$G$20&gt;0),'Batt IN'!$E$19*'Batt IN'!$G$19,0)</f>
        <v>231</v>
      </c>
      <c r="AV345" s="10"/>
      <c r="AW345" s="10"/>
      <c r="AX345" s="10">
        <f>IF('Batt IN'!$E$11="Non-Taxable",Q345,0)</f>
        <v>11795.328328767124</v>
      </c>
      <c r="AY345" s="10">
        <f>IF('Batt IN'!$E$11="Non-Taxable",'Batt IN'!$E$28/1000*'Batt IN'!$G$13*('Batt IN'!$E$13/12)*'Batt IN'!$E$12,0)</f>
        <v>244.42220833333334</v>
      </c>
      <c r="AZ345" s="10">
        <f>IF('Batt IN'!$E$11="Non-Taxable",$S345*'Batt IN'!$G$15*'Batt IN'!$E$28*'Batt IN'!$E$14/1000,0)</f>
        <v>0</v>
      </c>
      <c r="BA345" s="10">
        <f>IF('Batt IN'!$E$11="Non-Taxable",'Batt IN'!$E$21*'Batt IN'!$G$21/12,0)</f>
        <v>437.5</v>
      </c>
      <c r="BB345" s="10">
        <f>IF('Batt IN'!$E$11="Non-Taxable",'Batt IN'!$E$22*'Batt IN'!$G$22/12,0)</f>
        <v>1145.8333333333335</v>
      </c>
      <c r="BC345" s="10">
        <f>IF('Batt IN'!$E$11="Taxable",Q345,0)</f>
        <v>0</v>
      </c>
      <c r="BD345" s="10">
        <f>IF('Batt IN'!$E$11="Taxable",'Batt IN'!$E$28/1000*'Batt IN'!$G$13*('Batt IN'!$E$13/12)*'Batt IN'!$E$12,0)</f>
        <v>0</v>
      </c>
      <c r="BE345" s="10">
        <f>IF('Batt IN'!$E$11="Taxable",$S345*'Batt IN'!$G$15*'Batt IN'!$E$28*'Batt IN'!$E$14/1000,0)</f>
        <v>0</v>
      </c>
      <c r="BF345" s="10">
        <f>IF('Batt IN'!$E$11="Taxable",'Batt IN'!$E$21*'Batt IN'!$G$21/12,0)</f>
        <v>0</v>
      </c>
      <c r="BG345" s="10">
        <f>IF('Batt IN'!$E$11="Taxable",'Batt IN'!$E$22*'Batt IN'!$G$22/12,0)</f>
        <v>0</v>
      </c>
      <c r="BK345" s="10">
        <f>IF('Batt IN'!$N$18="Yes",-BattLoan!H373,-BattLoan!L373)</f>
        <v>0</v>
      </c>
      <c r="BL345" s="10">
        <f>IF('Batt IN'!$N$18="Yes",-BattLoan!F373,0)</f>
        <v>0</v>
      </c>
      <c r="BM345" s="10">
        <f>IF(AND('Batt IN'!$D$44="YES",$C345&lt;='Batt IN'!$E$44*12),0,-'Batt IN'!$E$28*'Batt IN'!$E$42/12)</f>
        <v>-83.333333333333329</v>
      </c>
      <c r="BN345" s="10">
        <f>IF(AND('Batt IN'!$D$46="YES",$C345&lt;='Batt IN'!$E$46*12),0,-'Batt IN'!$E$28*'Batt IN'!$E$45/12)</f>
        <v>-166.66666666666666</v>
      </c>
      <c r="BO345" s="2">
        <f>IF(AND('Batt IN'!$D$41="YES",BattCalcs!C345=ROUNDUP('Batt IN'!$H$41*12,)),-'Batt IN'!$E$41*'Batt IN'!$E$28,0)</f>
        <v>0</v>
      </c>
      <c r="BP345" s="2">
        <f>IF(AND('Batt IN'!$D$53="Yes",$AL$1&gt;=1),0,IF($C345='Batt IN'!$H$54*12,-'Batt IN'!$F$54,0))</f>
        <v>0</v>
      </c>
      <c r="BQ345" s="2">
        <f>IF(AND('Batt IN'!$D$53="Yes",$AL$1&gt;=2),0,IF($C345='Batt IN'!$H$55*12,-'Batt IN'!$F$55,0))</f>
        <v>0</v>
      </c>
      <c r="BR345" s="2">
        <f>IF(AND('Batt IN'!$D$53="Yes",$AL$1&gt;=3),0,IF($C345='Batt IN'!$H$56*12,-'Batt IN'!$F$56,0))</f>
        <v>0</v>
      </c>
      <c r="BS345" s="2">
        <f>IF(AND('Batt IN'!$D$53="Yes",$AL$1&gt;=4),0,IF($C345='Batt IN'!$H$57*12,-'Batt IN'!$F$57,0))</f>
        <v>0</v>
      </c>
      <c r="BT345" s="2">
        <f>IF(AND('Batt IN'!$D$53="Yes",$AL$1&gt;=5),0,IF($C345='Batt IN'!$H$58*12,-'Batt IN'!$F$58,0))</f>
        <v>0</v>
      </c>
      <c r="BU345" s="2">
        <f>-AH345*PVCalcs!F345</f>
        <v>-362.11381975355403</v>
      </c>
      <c r="BV345" s="2">
        <f>-'Batt IN'!$E$47</f>
        <v>-150</v>
      </c>
      <c r="BW345" s="2">
        <f>-'Batt IN'!$E$49</f>
        <v>-2250</v>
      </c>
      <c r="BX345" s="2">
        <f>IF('Batt IN'!$H$50="No",-(BC345*'Batt IN'!$E$50),-(BC345+BE345)*'Batt IN'!$E$50)</f>
        <v>0</v>
      </c>
      <c r="BY345" s="2">
        <f>IF(C345='Batt IN'!$H$43*12,-'Batt IN'!$E$43,0)</f>
        <v>0</v>
      </c>
      <c r="BZ345" s="38"/>
      <c r="CA345" s="10">
        <f t="shared" si="89"/>
        <v>14049.571737100458</v>
      </c>
      <c r="CB345" s="2">
        <f t="shared" si="94"/>
        <v>-3012.1138197535538</v>
      </c>
      <c r="CC345" s="45">
        <f t="shared" si="90"/>
        <v>11037.457917346903</v>
      </c>
      <c r="CD345" s="43"/>
      <c r="CE345" s="2">
        <f t="shared" si="91"/>
        <v>0</v>
      </c>
      <c r="CF345" s="2">
        <f t="shared" si="95"/>
        <v>-3012.1138197535538</v>
      </c>
      <c r="CG345" s="2"/>
      <c r="CH345" s="2">
        <f t="shared" si="92"/>
        <v>-3012.1138197535538</v>
      </c>
      <c r="CI345" s="45">
        <f>-CH345*'Batt IN'!$E$7</f>
        <v>632.54390214824627</v>
      </c>
      <c r="CJ345" s="48"/>
      <c r="CK345" s="45">
        <f>IF('Batt IN'!$F$4="PV Only",0,IF(C345&gt;'Batt IN'!$H$43*12,0,CC345+CI345))</f>
        <v>0</v>
      </c>
      <c r="CM345" s="10">
        <f t="shared" si="93"/>
        <v>0</v>
      </c>
      <c r="CN345" s="2">
        <f>CK345/(1+('Batt IN'!$G$8))^(C345)</f>
        <v>0</v>
      </c>
      <c r="CO345" s="2" t="e">
        <f>IF(C345&lt;='Batt IN'!$O$30*12,CN345+CO344,NA())</f>
        <v>#N/A</v>
      </c>
      <c r="CQ345" s="2">
        <f>CK345/((1+('Batt IN'!$E$8/12))^BattCalcs!C345)</f>
        <v>0</v>
      </c>
      <c r="CS345" s="10">
        <f t="shared" si="96"/>
        <v>-3012.1138197535538</v>
      </c>
      <c r="CT345" s="10">
        <f t="shared" si="97"/>
        <v>0</v>
      </c>
      <c r="CU345" s="10">
        <f t="shared" si="98"/>
        <v>-3012.1138197535538</v>
      </c>
      <c r="CV345" s="10">
        <f t="shared" si="99"/>
        <v>-3012.1138197535538</v>
      </c>
      <c r="CW345" s="2">
        <f t="shared" si="100"/>
        <v>0</v>
      </c>
      <c r="CX345" s="2">
        <f>-(SUM(CV345:CW345)*'PV IN'!$E$8)</f>
        <v>632.54390214824627</v>
      </c>
      <c r="CY345" s="2">
        <f t="shared" si="101"/>
        <v>-2379.5699176053076</v>
      </c>
      <c r="CZ345" s="2">
        <f>IF(C345&lt;='Batt IN'!$H$43*12,CY345/(1+('PV IN'!$G$9))^(C345),0)</f>
        <v>0</v>
      </c>
      <c r="DA345" s="33">
        <f>IF(C345&lt;='Batt IN'!$H$43*12,AE345,0)</f>
        <v>0</v>
      </c>
    </row>
    <row r="346" spans="1:105" x14ac:dyDescent="0.25">
      <c r="A346" t="str">
        <f>IF(C346&lt;='Batt IN'!$H$43*12,C346,"")</f>
        <v/>
      </c>
      <c r="C346">
        <v>342</v>
      </c>
      <c r="D346" s="21">
        <v>772</v>
      </c>
      <c r="E346" s="1">
        <f>1-'Batt IN'!$E$31</f>
        <v>2.0000000000000018E-2</v>
      </c>
      <c r="F346" s="12">
        <f>('Batt IN'!$E$33*365)/8760</f>
        <v>0</v>
      </c>
      <c r="G346" s="22">
        <f>'Batt IN'!$E$32/8760</f>
        <v>5.7077625570776253E-3</v>
      </c>
      <c r="H346" s="22">
        <f>'Batt IN'!$E$13/8760</f>
        <v>5.5936073059360729E-3</v>
      </c>
      <c r="I346" s="23">
        <f>IF(C346&lt;='Batt IN'!$G$14*12,'Batt IN'!$E$15/8760*'Batt IN'!$G$15,0)</f>
        <v>0</v>
      </c>
      <c r="J346" s="12">
        <f>Z346/'Batt IN'!$E$27/730</f>
        <v>2.4999999999999996E-3</v>
      </c>
      <c r="K346" s="23">
        <f>AA346/'Batt IN'!$E$27/730</f>
        <v>1.6027397260273972E-3</v>
      </c>
      <c r="L346" s="23">
        <f>AB346/'Batt IN'!$E$27/730</f>
        <v>2.0547945205479451E-4</v>
      </c>
      <c r="M346" s="23">
        <f>AC346/'Batt IN'!$E$27/730</f>
        <v>4.7945205479452057E-3</v>
      </c>
      <c r="N346" s="23">
        <f>AD346/'Batt IN'!$E$27/730</f>
        <v>3.4246575342465752E-3</v>
      </c>
      <c r="O346" s="12">
        <f t="shared" si="85"/>
        <v>4.3828767123287697E-2</v>
      </c>
      <c r="P346" s="21">
        <f t="shared" si="86"/>
        <v>738.16419178082197</v>
      </c>
      <c r="Q346" s="2">
        <f>IF('Batt IN'!$E$27*'Batt IN'!$E$24&lt;='Batt IN'!$E$28,(('Batt IN'!$E$23*'Batt IN'!$E$27*'Batt IN'!$E$24)/1000)*P346,(('Batt IN'!$E$23*'Batt IN'!$E$28*'Batt IN'!$E$24)/1000)*P346)</f>
        <v>11810.627068493151</v>
      </c>
      <c r="R346" s="2"/>
      <c r="S346" s="77">
        <f>IF(C346&lt;='Batt IN'!$G$14*12,'Batt IN'!$E$15/12,0)</f>
        <v>0</v>
      </c>
      <c r="T346" s="77"/>
      <c r="U346" s="80">
        <f>'Batt IN'!$E$28*('Batt IN'!$G$24/24)*730*(1-O346)</f>
        <v>81433.916666666657</v>
      </c>
      <c r="V346" s="78">
        <f>U346*'Batt IN'!$F$30</f>
        <v>16286.783333333333</v>
      </c>
      <c r="W346" s="78">
        <f>'Batt IN'!$E$28*'Batt IN'!$G$32*('Batt IN'!$E$32/12)*(1+'Batt IN'!$F$30)</f>
        <v>1750.0000000000002</v>
      </c>
      <c r="X346" s="78">
        <f>'Batt IN'!$E$28*'Batt IN'!$G$13*('Batt IN'!$E$13/12)*(1+'Batt IN'!$F$30)</f>
        <v>3184.9999999999995</v>
      </c>
      <c r="Y346" s="33">
        <f>S346*'Batt IN'!$G$15*'Batt IN'!$E$28*(1+'Batt IN'!$F$30)</f>
        <v>0</v>
      </c>
      <c r="Z346" s="33">
        <f>'Batt IN'!$G$16*365/12*(1+'Batt IN'!$F$30)</f>
        <v>1824.9999999999998</v>
      </c>
      <c r="AA346" s="33">
        <f>'Batt IN'!$G$17*'Batt IN'!$E$18*'Batt IN'!$G$18/12*(1+'Batt IN'!$F$30)</f>
        <v>1170</v>
      </c>
      <c r="AB346" s="33">
        <f>'Batt IN'!$G$19*'Batt IN'!$E$20*'Batt IN'!$G$20/12*(1+'Batt IN'!$F$30)</f>
        <v>150</v>
      </c>
      <c r="AC346" s="33">
        <f>'Batt IN'!$G$21*(1+'Batt IN'!$F$30)/12</f>
        <v>3500</v>
      </c>
      <c r="AD346" s="33">
        <f>'Batt IN'!$G$22*(1+'Batt IN'!$F$30)/12</f>
        <v>2500</v>
      </c>
      <c r="AE346" s="33">
        <f t="shared" si="87"/>
        <v>30366.783333333333</v>
      </c>
      <c r="AF346" s="33">
        <f>IF('PV IN'!$F$4="Battery Only",0,AE346*'Batt IN'!$E$29)</f>
        <v>25811.765833333331</v>
      </c>
      <c r="AG346" s="33">
        <f>PVCalcs!L346</f>
        <v>25811.765833333331</v>
      </c>
      <c r="AH346" s="33">
        <f t="shared" si="88"/>
        <v>4555.0175000000017</v>
      </c>
      <c r="AI346" s="33"/>
      <c r="AJ346" s="2">
        <f>IF(AND('Batt IN'!$D$53="Yes",$AL$1&gt;=1),IF($C346='Batt IN'!$H$54*12,-'Batt IN'!$F$54,0),0)</f>
        <v>0</v>
      </c>
      <c r="AK346" s="2">
        <f>IF(AND('Batt IN'!$D$53="Yes",$AL$1&gt;=2),IF($C346='Batt IN'!$H$55*12,-'Batt IN'!$F$55,0),0)</f>
        <v>0</v>
      </c>
      <c r="AL346" s="2">
        <f>IF(AND('Batt IN'!$D$53="Yes",$AL$1&gt;=3),IF($C346='Batt IN'!$H$56*12,-'Batt IN'!$F$56,0),0)</f>
        <v>0</v>
      </c>
      <c r="AM346" s="2">
        <f>IF(AND('Batt IN'!$D$53="Yes",$AL$1&gt;=4),IF($C346='Batt IN'!$H$57*12,-'Batt IN'!$F$57,0),0)</f>
        <v>0</v>
      </c>
      <c r="AN346" s="2">
        <f>IF(AND('Batt IN'!$D$53="Yes",$AL$1&gt;=5),IF($C346='Batt IN'!$H$58*12,-'Batt IN'!$F$58,0),0)</f>
        <v>0</v>
      </c>
      <c r="AO346" s="10">
        <f>IF(AND('Batt IN'!$D$44="YES",$C346&lt;='Batt IN'!$E$44*12),-'Batt IN'!$E$28*'Batt IN'!$E$42/12,0)</f>
        <v>0</v>
      </c>
      <c r="AP346" s="10">
        <f>IF(AND('Batt IN'!$D$46="YES",$C346&lt;='Batt IN'!$E$46*12),-'Batt IN'!$E$28*'Batt IN'!$E$45/12,0)</f>
        <v>0</v>
      </c>
      <c r="AR346" s="10">
        <f>BattLoan!M373</f>
        <v>0</v>
      </c>
      <c r="AS346" s="10">
        <f>'Batt IN'!$G$16*365/12*'Batt IN'!$E$16</f>
        <v>76.041666666666671</v>
      </c>
      <c r="AT346" s="10">
        <f>IF(AND('Batt IN'!$E$18&gt;0,'Batt IN'!$G$18&gt;0),'Batt IN'!$E$17*'Batt IN'!$G$17,0)</f>
        <v>119.44619999999999</v>
      </c>
      <c r="AU346" s="10">
        <f>IF(AND('Batt IN'!$E$20&gt;0,'Batt IN'!$G$20&gt;0),'Batt IN'!$E$19*'Batt IN'!$G$19,0)</f>
        <v>231</v>
      </c>
      <c r="AV346" s="10"/>
      <c r="AW346" s="10"/>
      <c r="AX346" s="10">
        <f>IF('Batt IN'!$E$11="Non-Taxable",Q346,0)</f>
        <v>11810.627068493151</v>
      </c>
      <c r="AY346" s="10">
        <f>IF('Batt IN'!$E$11="Non-Taxable",'Batt IN'!$E$28/1000*'Batt IN'!$G$13*('Batt IN'!$E$13/12)*'Batt IN'!$E$12,0)</f>
        <v>244.42220833333334</v>
      </c>
      <c r="AZ346" s="10">
        <f>IF('Batt IN'!$E$11="Non-Taxable",$S346*'Batt IN'!$G$15*'Batt IN'!$E$28*'Batt IN'!$E$14/1000,0)</f>
        <v>0</v>
      </c>
      <c r="BA346" s="10">
        <f>IF('Batt IN'!$E$11="Non-Taxable",'Batt IN'!$E$21*'Batt IN'!$G$21/12,0)</f>
        <v>437.5</v>
      </c>
      <c r="BB346" s="10">
        <f>IF('Batt IN'!$E$11="Non-Taxable",'Batt IN'!$E$22*'Batt IN'!$G$22/12,0)</f>
        <v>1145.8333333333335</v>
      </c>
      <c r="BC346" s="10">
        <f>IF('Batt IN'!$E$11="Taxable",Q346,0)</f>
        <v>0</v>
      </c>
      <c r="BD346" s="10">
        <f>IF('Batt IN'!$E$11="Taxable",'Batt IN'!$E$28/1000*'Batt IN'!$G$13*('Batt IN'!$E$13/12)*'Batt IN'!$E$12,0)</f>
        <v>0</v>
      </c>
      <c r="BE346" s="10">
        <f>IF('Batt IN'!$E$11="Taxable",$S346*'Batt IN'!$G$15*'Batt IN'!$E$28*'Batt IN'!$E$14/1000,0)</f>
        <v>0</v>
      </c>
      <c r="BF346" s="10">
        <f>IF('Batt IN'!$E$11="Taxable",'Batt IN'!$E$21*'Batt IN'!$G$21/12,0)</f>
        <v>0</v>
      </c>
      <c r="BG346" s="10">
        <f>IF('Batt IN'!$E$11="Taxable",'Batt IN'!$E$22*'Batt IN'!$G$22/12,0)</f>
        <v>0</v>
      </c>
      <c r="BK346" s="10">
        <f>IF('Batt IN'!$N$18="Yes",-BattLoan!H374,-BattLoan!L374)</f>
        <v>0</v>
      </c>
      <c r="BL346" s="10">
        <f>IF('Batt IN'!$N$18="Yes",-BattLoan!F374,0)</f>
        <v>0</v>
      </c>
      <c r="BM346" s="10">
        <f>IF(AND('Batt IN'!$D$44="YES",$C346&lt;='Batt IN'!$E$44*12),0,-'Batt IN'!$E$28*'Batt IN'!$E$42/12)</f>
        <v>-83.333333333333329</v>
      </c>
      <c r="BN346" s="10">
        <f>IF(AND('Batt IN'!$D$46="YES",$C346&lt;='Batt IN'!$E$46*12),0,-'Batt IN'!$E$28*'Batt IN'!$E$45/12)</f>
        <v>-166.66666666666666</v>
      </c>
      <c r="BO346" s="2">
        <f>IF(AND('Batt IN'!$D$41="YES",BattCalcs!C346=ROUNDUP('Batt IN'!$H$41*12,)),-'Batt IN'!$E$41*'Batt IN'!$E$28,0)</f>
        <v>0</v>
      </c>
      <c r="BP346" s="2">
        <f>IF(AND('Batt IN'!$D$53="Yes",$AL$1&gt;=1),0,IF($C346='Batt IN'!$H$54*12,-'Batt IN'!$F$54,0))</f>
        <v>0</v>
      </c>
      <c r="BQ346" s="2">
        <f>IF(AND('Batt IN'!$D$53="Yes",$AL$1&gt;=2),0,IF($C346='Batt IN'!$H$55*12,-'Batt IN'!$F$55,0))</f>
        <v>0</v>
      </c>
      <c r="BR346" s="2">
        <f>IF(AND('Batt IN'!$D$53="Yes",$AL$1&gt;=3),0,IF($C346='Batt IN'!$H$56*12,-'Batt IN'!$F$56,0))</f>
        <v>0</v>
      </c>
      <c r="BS346" s="2">
        <f>IF(AND('Batt IN'!$D$53="Yes",$AL$1&gt;=4),0,IF($C346='Batt IN'!$H$57*12,-'Batt IN'!$F$57,0))</f>
        <v>0</v>
      </c>
      <c r="BT346" s="2">
        <f>IF(AND('Batt IN'!$D$53="Yes",$AL$1&gt;=5),0,IF($C346='Batt IN'!$H$58*12,-'Batt IN'!$F$58,0))</f>
        <v>0</v>
      </c>
      <c r="BU346" s="2">
        <f>-AH346*PVCalcs!F346</f>
        <v>-362.11381975355403</v>
      </c>
      <c r="BV346" s="2">
        <f>-'Batt IN'!$E$47</f>
        <v>-150</v>
      </c>
      <c r="BW346" s="2">
        <f>-'Batt IN'!$E$49</f>
        <v>-2250</v>
      </c>
      <c r="BX346" s="2">
        <f>IF('Batt IN'!$H$50="No",-(BC346*'Batt IN'!$E$50),-(BC346+BE346)*'Batt IN'!$E$50)</f>
        <v>0</v>
      </c>
      <c r="BY346" s="2">
        <f>IF(C346='Batt IN'!$H$43*12,-'Batt IN'!$E$43,0)</f>
        <v>0</v>
      </c>
      <c r="BZ346" s="38"/>
      <c r="CA346" s="10">
        <f t="shared" si="89"/>
        <v>14064.870476826485</v>
      </c>
      <c r="CB346" s="2">
        <f t="shared" si="94"/>
        <v>-3012.1138197535538</v>
      </c>
      <c r="CC346" s="45">
        <f t="shared" si="90"/>
        <v>11052.756657072932</v>
      </c>
      <c r="CD346" s="43"/>
      <c r="CE346" s="2">
        <f t="shared" si="91"/>
        <v>0</v>
      </c>
      <c r="CF346" s="2">
        <f t="shared" si="95"/>
        <v>-3012.1138197535538</v>
      </c>
      <c r="CG346" s="2"/>
      <c r="CH346" s="2">
        <f t="shared" si="92"/>
        <v>-3012.1138197535538</v>
      </c>
      <c r="CI346" s="45">
        <f>-CH346*'Batt IN'!$E$7</f>
        <v>632.54390214824627</v>
      </c>
      <c r="CJ346" s="48"/>
      <c r="CK346" s="45">
        <f>IF('Batt IN'!$F$4="PV Only",0,IF(C346&gt;'Batt IN'!$H$43*12,0,CC346+CI346))</f>
        <v>0</v>
      </c>
      <c r="CM346" s="10">
        <f t="shared" si="93"/>
        <v>0</v>
      </c>
      <c r="CN346" s="2">
        <f>CK346/(1+('Batt IN'!$G$8))^(C346)</f>
        <v>0</v>
      </c>
      <c r="CO346" s="2" t="e">
        <f>IF(C346&lt;='Batt IN'!$O$30*12,CN346+CO345,NA())</f>
        <v>#N/A</v>
      </c>
      <c r="CQ346" s="2">
        <f>CK346/((1+('Batt IN'!$E$8/12))^BattCalcs!C346)</f>
        <v>0</v>
      </c>
      <c r="CS346" s="10">
        <f t="shared" si="96"/>
        <v>-3012.1138197535538</v>
      </c>
      <c r="CT346" s="10">
        <f t="shared" si="97"/>
        <v>0</v>
      </c>
      <c r="CU346" s="10">
        <f t="shared" si="98"/>
        <v>-3012.1138197535538</v>
      </c>
      <c r="CV346" s="10">
        <f t="shared" si="99"/>
        <v>-3012.1138197535538</v>
      </c>
      <c r="CW346" s="2">
        <f t="shared" si="100"/>
        <v>0</v>
      </c>
      <c r="CX346" s="2">
        <f>-(SUM(CV346:CW346)*'PV IN'!$E$8)</f>
        <v>632.54390214824627</v>
      </c>
      <c r="CY346" s="2">
        <f t="shared" si="101"/>
        <v>-2379.5699176053076</v>
      </c>
      <c r="CZ346" s="2">
        <f>IF(C346&lt;='Batt IN'!$H$43*12,CY346/(1+('PV IN'!$G$9))^(C346),0)</f>
        <v>0</v>
      </c>
      <c r="DA346" s="33">
        <f>IF(C346&lt;='Batt IN'!$H$43*12,AE346,0)</f>
        <v>0</v>
      </c>
    </row>
    <row r="347" spans="1:105" x14ac:dyDescent="0.25">
      <c r="A347" t="str">
        <f>IF(C347&lt;='Batt IN'!$H$43*12,C347,"")</f>
        <v/>
      </c>
      <c r="C347">
        <v>343</v>
      </c>
      <c r="D347" s="21">
        <v>773</v>
      </c>
      <c r="E347" s="1">
        <f>1-'Batt IN'!$E$31</f>
        <v>2.0000000000000018E-2</v>
      </c>
      <c r="F347" s="12">
        <f>('Batt IN'!$E$33*365)/8760</f>
        <v>0</v>
      </c>
      <c r="G347" s="22">
        <f>'Batt IN'!$E$32/8760</f>
        <v>5.7077625570776253E-3</v>
      </c>
      <c r="H347" s="22">
        <f>'Batt IN'!$E$13/8760</f>
        <v>5.5936073059360729E-3</v>
      </c>
      <c r="I347" s="23">
        <f>IF(C347&lt;='Batt IN'!$G$14*12,'Batt IN'!$E$15/8760*'Batt IN'!$G$15,0)</f>
        <v>0</v>
      </c>
      <c r="J347" s="12">
        <f>Z347/'Batt IN'!$E$27/730</f>
        <v>2.4999999999999996E-3</v>
      </c>
      <c r="K347" s="23">
        <f>AA347/'Batt IN'!$E$27/730</f>
        <v>1.6027397260273972E-3</v>
      </c>
      <c r="L347" s="23">
        <f>AB347/'Batt IN'!$E$27/730</f>
        <v>2.0547945205479451E-4</v>
      </c>
      <c r="M347" s="23">
        <f>AC347/'Batt IN'!$E$27/730</f>
        <v>4.7945205479452057E-3</v>
      </c>
      <c r="N347" s="23">
        <f>AD347/'Batt IN'!$E$27/730</f>
        <v>3.4246575342465752E-3</v>
      </c>
      <c r="O347" s="12">
        <f t="shared" si="85"/>
        <v>4.3828767123287697E-2</v>
      </c>
      <c r="P347" s="21">
        <f t="shared" si="86"/>
        <v>739.12036301369869</v>
      </c>
      <c r="Q347" s="2">
        <f>IF('Batt IN'!$E$27*'Batt IN'!$E$24&lt;='Batt IN'!$E$28,(('Batt IN'!$E$23*'Batt IN'!$E$27*'Batt IN'!$E$24)/1000)*P347,(('Batt IN'!$E$23*'Batt IN'!$E$28*'Batt IN'!$E$24)/1000)*P347)</f>
        <v>11825.925808219179</v>
      </c>
      <c r="R347" s="2"/>
      <c r="S347" s="77">
        <f>IF(C347&lt;='Batt IN'!$G$14*12,'Batt IN'!$E$15/12,0)</f>
        <v>0</v>
      </c>
      <c r="T347" s="77"/>
      <c r="U347" s="80">
        <f>'Batt IN'!$E$28*('Batt IN'!$G$24/24)*730*(1-O347)</f>
        <v>81433.916666666657</v>
      </c>
      <c r="V347" s="78">
        <f>U347*'Batt IN'!$F$30</f>
        <v>16286.783333333333</v>
      </c>
      <c r="W347" s="78">
        <f>'Batt IN'!$E$28*'Batt IN'!$G$32*('Batt IN'!$E$32/12)*(1+'Batt IN'!$F$30)</f>
        <v>1750.0000000000002</v>
      </c>
      <c r="X347" s="78">
        <f>'Batt IN'!$E$28*'Batt IN'!$G$13*('Batt IN'!$E$13/12)*(1+'Batt IN'!$F$30)</f>
        <v>3184.9999999999995</v>
      </c>
      <c r="Y347" s="33">
        <f>S347*'Batt IN'!$G$15*'Batt IN'!$E$28*(1+'Batt IN'!$F$30)</f>
        <v>0</v>
      </c>
      <c r="Z347" s="33">
        <f>'Batt IN'!$G$16*365/12*(1+'Batt IN'!$F$30)</f>
        <v>1824.9999999999998</v>
      </c>
      <c r="AA347" s="33">
        <f>'Batt IN'!$G$17*'Batt IN'!$E$18*'Batt IN'!$G$18/12*(1+'Batt IN'!$F$30)</f>
        <v>1170</v>
      </c>
      <c r="AB347" s="33">
        <f>'Batt IN'!$G$19*'Batt IN'!$E$20*'Batt IN'!$G$20/12*(1+'Batt IN'!$F$30)</f>
        <v>150</v>
      </c>
      <c r="AC347" s="33">
        <f>'Batt IN'!$G$21*(1+'Batt IN'!$F$30)/12</f>
        <v>3500</v>
      </c>
      <c r="AD347" s="33">
        <f>'Batt IN'!$G$22*(1+'Batt IN'!$F$30)/12</f>
        <v>2500</v>
      </c>
      <c r="AE347" s="33">
        <f t="shared" si="87"/>
        <v>30366.783333333333</v>
      </c>
      <c r="AF347" s="33">
        <f>IF('PV IN'!$F$4="Battery Only",0,AE347*'Batt IN'!$E$29)</f>
        <v>25811.765833333331</v>
      </c>
      <c r="AG347" s="33">
        <f>PVCalcs!L347</f>
        <v>25811.765833333331</v>
      </c>
      <c r="AH347" s="33">
        <f t="shared" si="88"/>
        <v>4555.0175000000017</v>
      </c>
      <c r="AI347" s="33"/>
      <c r="AJ347" s="2">
        <f>IF(AND('Batt IN'!$D$53="Yes",$AL$1&gt;=1),IF($C347='Batt IN'!$H$54*12,-'Batt IN'!$F$54,0),0)</f>
        <v>0</v>
      </c>
      <c r="AK347" s="2">
        <f>IF(AND('Batt IN'!$D$53="Yes",$AL$1&gt;=2),IF($C347='Batt IN'!$H$55*12,-'Batt IN'!$F$55,0),0)</f>
        <v>0</v>
      </c>
      <c r="AL347" s="2">
        <f>IF(AND('Batt IN'!$D$53="Yes",$AL$1&gt;=3),IF($C347='Batt IN'!$H$56*12,-'Batt IN'!$F$56,0),0)</f>
        <v>0</v>
      </c>
      <c r="AM347" s="2">
        <f>IF(AND('Batt IN'!$D$53="Yes",$AL$1&gt;=4),IF($C347='Batt IN'!$H$57*12,-'Batt IN'!$F$57,0),0)</f>
        <v>0</v>
      </c>
      <c r="AN347" s="2">
        <f>IF(AND('Batt IN'!$D$53="Yes",$AL$1&gt;=5),IF($C347='Batt IN'!$H$58*12,-'Batt IN'!$F$58,0),0)</f>
        <v>0</v>
      </c>
      <c r="AO347" s="10">
        <f>IF(AND('Batt IN'!$D$44="YES",$C347&lt;='Batt IN'!$E$44*12),-'Batt IN'!$E$28*'Batt IN'!$E$42/12,0)</f>
        <v>0</v>
      </c>
      <c r="AP347" s="10">
        <f>IF(AND('Batt IN'!$D$46="YES",$C347&lt;='Batt IN'!$E$46*12),-'Batt IN'!$E$28*'Batt IN'!$E$45/12,0)</f>
        <v>0</v>
      </c>
      <c r="AR347" s="10">
        <f>BattLoan!M374</f>
        <v>0</v>
      </c>
      <c r="AS347" s="10">
        <f>'Batt IN'!$G$16*365/12*'Batt IN'!$E$16</f>
        <v>76.041666666666671</v>
      </c>
      <c r="AT347" s="10">
        <f>IF(AND('Batt IN'!$E$18&gt;0,'Batt IN'!$G$18&gt;0),'Batt IN'!$E$17*'Batt IN'!$G$17,0)</f>
        <v>119.44619999999999</v>
      </c>
      <c r="AU347" s="10">
        <f>IF(AND('Batt IN'!$E$20&gt;0,'Batt IN'!$G$20&gt;0),'Batt IN'!$E$19*'Batt IN'!$G$19,0)</f>
        <v>231</v>
      </c>
      <c r="AV347" s="10"/>
      <c r="AW347" s="10"/>
      <c r="AX347" s="10">
        <f>IF('Batt IN'!$E$11="Non-Taxable",Q347,0)</f>
        <v>11825.925808219179</v>
      </c>
      <c r="AY347" s="10">
        <f>IF('Batt IN'!$E$11="Non-Taxable",'Batt IN'!$E$28/1000*'Batt IN'!$G$13*('Batt IN'!$E$13/12)*'Batt IN'!$E$12,0)</f>
        <v>244.42220833333334</v>
      </c>
      <c r="AZ347" s="10">
        <f>IF('Batt IN'!$E$11="Non-Taxable",$S347*'Batt IN'!$G$15*'Batt IN'!$E$28*'Batt IN'!$E$14/1000,0)</f>
        <v>0</v>
      </c>
      <c r="BA347" s="10">
        <f>IF('Batt IN'!$E$11="Non-Taxable",'Batt IN'!$E$21*'Batt IN'!$G$21/12,0)</f>
        <v>437.5</v>
      </c>
      <c r="BB347" s="10">
        <f>IF('Batt IN'!$E$11="Non-Taxable",'Batt IN'!$E$22*'Batt IN'!$G$22/12,0)</f>
        <v>1145.8333333333335</v>
      </c>
      <c r="BC347" s="10">
        <f>IF('Batt IN'!$E$11="Taxable",Q347,0)</f>
        <v>0</v>
      </c>
      <c r="BD347" s="10">
        <f>IF('Batt IN'!$E$11="Taxable",'Batt IN'!$E$28/1000*'Batt IN'!$G$13*('Batt IN'!$E$13/12)*'Batt IN'!$E$12,0)</f>
        <v>0</v>
      </c>
      <c r="BE347" s="10">
        <f>IF('Batt IN'!$E$11="Taxable",$S347*'Batt IN'!$G$15*'Batt IN'!$E$28*'Batt IN'!$E$14/1000,0)</f>
        <v>0</v>
      </c>
      <c r="BF347" s="10">
        <f>IF('Batt IN'!$E$11="Taxable",'Batt IN'!$E$21*'Batt IN'!$G$21/12,0)</f>
        <v>0</v>
      </c>
      <c r="BG347" s="10">
        <f>IF('Batt IN'!$E$11="Taxable",'Batt IN'!$E$22*'Batt IN'!$G$22/12,0)</f>
        <v>0</v>
      </c>
      <c r="BK347" s="10">
        <f>IF('Batt IN'!$N$18="Yes",-BattLoan!H375,-BattLoan!L375)</f>
        <v>0</v>
      </c>
      <c r="BL347" s="10">
        <f>IF('Batt IN'!$N$18="Yes",-BattLoan!F375,0)</f>
        <v>0</v>
      </c>
      <c r="BM347" s="10">
        <f>IF(AND('Batt IN'!$D$44="YES",$C347&lt;='Batt IN'!$E$44*12),0,-'Batt IN'!$E$28*'Batt IN'!$E$42/12)</f>
        <v>-83.333333333333329</v>
      </c>
      <c r="BN347" s="10">
        <f>IF(AND('Batt IN'!$D$46="YES",$C347&lt;='Batt IN'!$E$46*12),0,-'Batt IN'!$E$28*'Batt IN'!$E$45/12)</f>
        <v>-166.66666666666666</v>
      </c>
      <c r="BO347" s="2">
        <f>IF(AND('Batt IN'!$D$41="YES",BattCalcs!C347=ROUNDUP('Batt IN'!$H$41*12,)),-'Batt IN'!$E$41*'Batt IN'!$E$28,0)</f>
        <v>0</v>
      </c>
      <c r="BP347" s="2">
        <f>IF(AND('Batt IN'!$D$53="Yes",$AL$1&gt;=1),0,IF($C347='Batt IN'!$H$54*12,-'Batt IN'!$F$54,0))</f>
        <v>0</v>
      </c>
      <c r="BQ347" s="2">
        <f>IF(AND('Batt IN'!$D$53="Yes",$AL$1&gt;=2),0,IF($C347='Batt IN'!$H$55*12,-'Batt IN'!$F$55,0))</f>
        <v>0</v>
      </c>
      <c r="BR347" s="2">
        <f>IF(AND('Batt IN'!$D$53="Yes",$AL$1&gt;=3),0,IF($C347='Batt IN'!$H$56*12,-'Batt IN'!$F$56,0))</f>
        <v>0</v>
      </c>
      <c r="BS347" s="2">
        <f>IF(AND('Batt IN'!$D$53="Yes",$AL$1&gt;=4),0,IF($C347='Batt IN'!$H$57*12,-'Batt IN'!$F$57,0))</f>
        <v>0</v>
      </c>
      <c r="BT347" s="2">
        <f>IF(AND('Batt IN'!$D$53="Yes",$AL$1&gt;=5),0,IF($C347='Batt IN'!$H$58*12,-'Batt IN'!$F$58,0))</f>
        <v>0</v>
      </c>
      <c r="BU347" s="2">
        <f>-AH347*PVCalcs!F347</f>
        <v>-362.11381975355403</v>
      </c>
      <c r="BV347" s="2">
        <f>-'Batt IN'!$E$47</f>
        <v>-150</v>
      </c>
      <c r="BW347" s="2">
        <f>-'Batt IN'!$E$49</f>
        <v>-2250</v>
      </c>
      <c r="BX347" s="2">
        <f>IF('Batt IN'!$H$50="No",-(BC347*'Batt IN'!$E$50),-(BC347+BE347)*'Batt IN'!$E$50)</f>
        <v>0</v>
      </c>
      <c r="BY347" s="2">
        <f>IF(C347='Batt IN'!$H$43*12,-'Batt IN'!$E$43,0)</f>
        <v>0</v>
      </c>
      <c r="BZ347" s="38"/>
      <c r="CA347" s="10">
        <f t="shared" si="89"/>
        <v>14080.169216552513</v>
      </c>
      <c r="CB347" s="2">
        <f t="shared" si="94"/>
        <v>-3012.1138197535538</v>
      </c>
      <c r="CC347" s="45">
        <f t="shared" si="90"/>
        <v>11068.055396798958</v>
      </c>
      <c r="CD347" s="43"/>
      <c r="CE347" s="2">
        <f t="shared" si="91"/>
        <v>0</v>
      </c>
      <c r="CF347" s="2">
        <f t="shared" si="95"/>
        <v>-3012.1138197535538</v>
      </c>
      <c r="CG347" s="2"/>
      <c r="CH347" s="2">
        <f t="shared" si="92"/>
        <v>-3012.1138197535538</v>
      </c>
      <c r="CI347" s="45">
        <f>-CH347*'Batt IN'!$E$7</f>
        <v>632.54390214824627</v>
      </c>
      <c r="CJ347" s="48"/>
      <c r="CK347" s="45">
        <f>IF('Batt IN'!$F$4="PV Only",0,IF(C347&gt;'Batt IN'!$H$43*12,0,CC347+CI347))</f>
        <v>0</v>
      </c>
      <c r="CM347" s="10">
        <f t="shared" si="93"/>
        <v>0</v>
      </c>
      <c r="CN347" s="2">
        <f>CK347/(1+('Batt IN'!$G$8))^(C347)</f>
        <v>0</v>
      </c>
      <c r="CO347" s="2" t="e">
        <f>IF(C347&lt;='Batt IN'!$O$30*12,CN347+CO346,NA())</f>
        <v>#N/A</v>
      </c>
      <c r="CQ347" s="2">
        <f>CK347/((1+('Batt IN'!$E$8/12))^BattCalcs!C347)</f>
        <v>0</v>
      </c>
      <c r="CS347" s="10">
        <f t="shared" si="96"/>
        <v>-3012.1138197535538</v>
      </c>
      <c r="CT347" s="10">
        <f t="shared" si="97"/>
        <v>0</v>
      </c>
      <c r="CU347" s="10">
        <f t="shared" si="98"/>
        <v>-3012.1138197535538</v>
      </c>
      <c r="CV347" s="10">
        <f t="shared" si="99"/>
        <v>-3012.1138197535538</v>
      </c>
      <c r="CW347" s="2">
        <f t="shared" si="100"/>
        <v>0</v>
      </c>
      <c r="CX347" s="2">
        <f>-(SUM(CV347:CW347)*'PV IN'!$E$8)</f>
        <v>632.54390214824627</v>
      </c>
      <c r="CY347" s="2">
        <f t="shared" si="101"/>
        <v>-2379.5699176053076</v>
      </c>
      <c r="CZ347" s="2">
        <f>IF(C347&lt;='Batt IN'!$H$43*12,CY347/(1+('PV IN'!$G$9))^(C347),0)</f>
        <v>0</v>
      </c>
      <c r="DA347" s="33">
        <f>IF(C347&lt;='Batt IN'!$H$43*12,AE347,0)</f>
        <v>0</v>
      </c>
    </row>
    <row r="348" spans="1:105" x14ac:dyDescent="0.25">
      <c r="A348" t="str">
        <f>IF(C348&lt;='Batt IN'!$H$43*12,C348,"")</f>
        <v/>
      </c>
      <c r="C348">
        <v>344</v>
      </c>
      <c r="D348" s="21">
        <v>774</v>
      </c>
      <c r="E348" s="1">
        <f>1-'Batt IN'!$E$31</f>
        <v>2.0000000000000018E-2</v>
      </c>
      <c r="F348" s="12">
        <f>('Batt IN'!$E$33*365)/8760</f>
        <v>0</v>
      </c>
      <c r="G348" s="22">
        <f>'Batt IN'!$E$32/8760</f>
        <v>5.7077625570776253E-3</v>
      </c>
      <c r="H348" s="22">
        <f>'Batt IN'!$E$13/8760</f>
        <v>5.5936073059360729E-3</v>
      </c>
      <c r="I348" s="23">
        <f>IF(C348&lt;='Batt IN'!$G$14*12,'Batt IN'!$E$15/8760*'Batt IN'!$G$15,0)</f>
        <v>0</v>
      </c>
      <c r="J348" s="12">
        <f>Z348/'Batt IN'!$E$27/730</f>
        <v>2.4999999999999996E-3</v>
      </c>
      <c r="K348" s="23">
        <f>AA348/'Batt IN'!$E$27/730</f>
        <v>1.6027397260273972E-3</v>
      </c>
      <c r="L348" s="23">
        <f>AB348/'Batt IN'!$E$27/730</f>
        <v>2.0547945205479451E-4</v>
      </c>
      <c r="M348" s="23">
        <f>AC348/'Batt IN'!$E$27/730</f>
        <v>4.7945205479452057E-3</v>
      </c>
      <c r="N348" s="23">
        <f>AD348/'Batt IN'!$E$27/730</f>
        <v>3.4246575342465752E-3</v>
      </c>
      <c r="O348" s="12">
        <f t="shared" si="85"/>
        <v>4.3828767123287697E-2</v>
      </c>
      <c r="P348" s="21">
        <f t="shared" si="86"/>
        <v>740.07653424657531</v>
      </c>
      <c r="Q348" s="2">
        <f>IF('Batt IN'!$E$27*'Batt IN'!$E$24&lt;='Batt IN'!$E$28,(('Batt IN'!$E$23*'Batt IN'!$E$27*'Batt IN'!$E$24)/1000)*P348,(('Batt IN'!$E$23*'Batt IN'!$E$28*'Batt IN'!$E$24)/1000)*P348)</f>
        <v>11841.224547945205</v>
      </c>
      <c r="R348" s="2"/>
      <c r="S348" s="77">
        <f>IF(C348&lt;='Batt IN'!$G$14*12,'Batt IN'!$E$15/12,0)</f>
        <v>0</v>
      </c>
      <c r="T348" s="77"/>
      <c r="U348" s="80">
        <f>'Batt IN'!$E$28*('Batt IN'!$G$24/24)*730*(1-O348)</f>
        <v>81433.916666666657</v>
      </c>
      <c r="V348" s="78">
        <f>U348*'Batt IN'!$F$30</f>
        <v>16286.783333333333</v>
      </c>
      <c r="W348" s="78">
        <f>'Batt IN'!$E$28*'Batt IN'!$G$32*('Batt IN'!$E$32/12)*(1+'Batt IN'!$F$30)</f>
        <v>1750.0000000000002</v>
      </c>
      <c r="X348" s="78">
        <f>'Batt IN'!$E$28*'Batt IN'!$G$13*('Batt IN'!$E$13/12)*(1+'Batt IN'!$F$30)</f>
        <v>3184.9999999999995</v>
      </c>
      <c r="Y348" s="33">
        <f>S348*'Batt IN'!$G$15*'Batt IN'!$E$28*(1+'Batt IN'!$F$30)</f>
        <v>0</v>
      </c>
      <c r="Z348" s="33">
        <f>'Batt IN'!$G$16*365/12*(1+'Batt IN'!$F$30)</f>
        <v>1824.9999999999998</v>
      </c>
      <c r="AA348" s="33">
        <f>'Batt IN'!$G$17*'Batt IN'!$E$18*'Batt IN'!$G$18/12*(1+'Batt IN'!$F$30)</f>
        <v>1170</v>
      </c>
      <c r="AB348" s="33">
        <f>'Batt IN'!$G$19*'Batt IN'!$E$20*'Batt IN'!$G$20/12*(1+'Batt IN'!$F$30)</f>
        <v>150</v>
      </c>
      <c r="AC348" s="33">
        <f>'Batt IN'!$G$21*(1+'Batt IN'!$F$30)/12</f>
        <v>3500</v>
      </c>
      <c r="AD348" s="33">
        <f>'Batt IN'!$G$22*(1+'Batt IN'!$F$30)/12</f>
        <v>2500</v>
      </c>
      <c r="AE348" s="33">
        <f t="shared" si="87"/>
        <v>30366.783333333333</v>
      </c>
      <c r="AF348" s="33">
        <f>IF('PV IN'!$F$4="Battery Only",0,AE348*'Batt IN'!$E$29)</f>
        <v>25811.765833333331</v>
      </c>
      <c r="AG348" s="33">
        <f>PVCalcs!L348</f>
        <v>25811.765833333331</v>
      </c>
      <c r="AH348" s="33">
        <f t="shared" si="88"/>
        <v>4555.0175000000017</v>
      </c>
      <c r="AI348" s="33"/>
      <c r="AJ348" s="2">
        <f>IF(AND('Batt IN'!$D$53="Yes",$AL$1&gt;=1),IF($C348='Batt IN'!$H$54*12,-'Batt IN'!$F$54,0),0)</f>
        <v>0</v>
      </c>
      <c r="AK348" s="2">
        <f>IF(AND('Batt IN'!$D$53="Yes",$AL$1&gt;=2),IF($C348='Batt IN'!$H$55*12,-'Batt IN'!$F$55,0),0)</f>
        <v>0</v>
      </c>
      <c r="AL348" s="2">
        <f>IF(AND('Batt IN'!$D$53="Yes",$AL$1&gt;=3),IF($C348='Batt IN'!$H$56*12,-'Batt IN'!$F$56,0),0)</f>
        <v>0</v>
      </c>
      <c r="AM348" s="2">
        <f>IF(AND('Batt IN'!$D$53="Yes",$AL$1&gt;=4),IF($C348='Batt IN'!$H$57*12,-'Batt IN'!$F$57,0),0)</f>
        <v>0</v>
      </c>
      <c r="AN348" s="2">
        <f>IF(AND('Batt IN'!$D$53="Yes",$AL$1&gt;=5),IF($C348='Batt IN'!$H$58*12,-'Batt IN'!$F$58,0),0)</f>
        <v>0</v>
      </c>
      <c r="AO348" s="10">
        <f>IF(AND('Batt IN'!$D$44="YES",$C348&lt;='Batt IN'!$E$44*12),-'Batt IN'!$E$28*'Batt IN'!$E$42/12,0)</f>
        <v>0</v>
      </c>
      <c r="AP348" s="10">
        <f>IF(AND('Batt IN'!$D$46="YES",$C348&lt;='Batt IN'!$E$46*12),-'Batt IN'!$E$28*'Batt IN'!$E$45/12,0)</f>
        <v>0</v>
      </c>
      <c r="AR348" s="10">
        <f>BattLoan!M375</f>
        <v>0</v>
      </c>
      <c r="AS348" s="10">
        <f>'Batt IN'!$G$16*365/12*'Batt IN'!$E$16</f>
        <v>76.041666666666671</v>
      </c>
      <c r="AT348" s="10">
        <f>IF(AND('Batt IN'!$E$18&gt;0,'Batt IN'!$G$18&gt;0),'Batt IN'!$E$17*'Batt IN'!$G$17,0)</f>
        <v>119.44619999999999</v>
      </c>
      <c r="AU348" s="10">
        <f>IF(AND('Batt IN'!$E$20&gt;0,'Batt IN'!$G$20&gt;0),'Batt IN'!$E$19*'Batt IN'!$G$19,0)</f>
        <v>231</v>
      </c>
      <c r="AV348" s="10"/>
      <c r="AW348" s="10"/>
      <c r="AX348" s="10">
        <f>IF('Batt IN'!$E$11="Non-Taxable",Q348,0)</f>
        <v>11841.224547945205</v>
      </c>
      <c r="AY348" s="10">
        <f>IF('Batt IN'!$E$11="Non-Taxable",'Batt IN'!$E$28/1000*'Batt IN'!$G$13*('Batt IN'!$E$13/12)*'Batt IN'!$E$12,0)</f>
        <v>244.42220833333334</v>
      </c>
      <c r="AZ348" s="10">
        <f>IF('Batt IN'!$E$11="Non-Taxable",$S348*'Batt IN'!$G$15*'Batt IN'!$E$28*'Batt IN'!$E$14/1000,0)</f>
        <v>0</v>
      </c>
      <c r="BA348" s="10">
        <f>IF('Batt IN'!$E$11="Non-Taxable",'Batt IN'!$E$21*'Batt IN'!$G$21/12,0)</f>
        <v>437.5</v>
      </c>
      <c r="BB348" s="10">
        <f>IF('Batt IN'!$E$11="Non-Taxable",'Batt IN'!$E$22*'Batt IN'!$G$22/12,0)</f>
        <v>1145.8333333333335</v>
      </c>
      <c r="BC348" s="10">
        <f>IF('Batt IN'!$E$11="Taxable",Q348,0)</f>
        <v>0</v>
      </c>
      <c r="BD348" s="10">
        <f>IF('Batt IN'!$E$11="Taxable",'Batt IN'!$E$28/1000*'Batt IN'!$G$13*('Batt IN'!$E$13/12)*'Batt IN'!$E$12,0)</f>
        <v>0</v>
      </c>
      <c r="BE348" s="10">
        <f>IF('Batt IN'!$E$11="Taxable",$S348*'Batt IN'!$G$15*'Batt IN'!$E$28*'Batt IN'!$E$14/1000,0)</f>
        <v>0</v>
      </c>
      <c r="BF348" s="10">
        <f>IF('Batt IN'!$E$11="Taxable",'Batt IN'!$E$21*'Batt IN'!$G$21/12,0)</f>
        <v>0</v>
      </c>
      <c r="BG348" s="10">
        <f>IF('Batt IN'!$E$11="Taxable",'Batt IN'!$E$22*'Batt IN'!$G$22/12,0)</f>
        <v>0</v>
      </c>
      <c r="BK348" s="10">
        <f>IF('Batt IN'!$N$18="Yes",-BattLoan!H376,-BattLoan!L376)</f>
        <v>0</v>
      </c>
      <c r="BL348" s="10">
        <f>IF('Batt IN'!$N$18="Yes",-BattLoan!F376,0)</f>
        <v>0</v>
      </c>
      <c r="BM348" s="10">
        <f>IF(AND('Batt IN'!$D$44="YES",$C348&lt;='Batt IN'!$E$44*12),0,-'Batt IN'!$E$28*'Batt IN'!$E$42/12)</f>
        <v>-83.333333333333329</v>
      </c>
      <c r="BN348" s="10">
        <f>IF(AND('Batt IN'!$D$46="YES",$C348&lt;='Batt IN'!$E$46*12),0,-'Batt IN'!$E$28*'Batt IN'!$E$45/12)</f>
        <v>-166.66666666666666</v>
      </c>
      <c r="BO348" s="2">
        <f>IF(AND('Batt IN'!$D$41="YES",BattCalcs!C348=ROUNDUP('Batt IN'!$H$41*12,)),-'Batt IN'!$E$41*'Batt IN'!$E$28,0)</f>
        <v>0</v>
      </c>
      <c r="BP348" s="2">
        <f>IF(AND('Batt IN'!$D$53="Yes",$AL$1&gt;=1),0,IF($C348='Batt IN'!$H$54*12,-'Batt IN'!$F$54,0))</f>
        <v>0</v>
      </c>
      <c r="BQ348" s="2">
        <f>IF(AND('Batt IN'!$D$53="Yes",$AL$1&gt;=2),0,IF($C348='Batt IN'!$H$55*12,-'Batt IN'!$F$55,0))</f>
        <v>0</v>
      </c>
      <c r="BR348" s="2">
        <f>IF(AND('Batt IN'!$D$53="Yes",$AL$1&gt;=3),0,IF($C348='Batt IN'!$H$56*12,-'Batt IN'!$F$56,0))</f>
        <v>0</v>
      </c>
      <c r="BS348" s="2">
        <f>IF(AND('Batt IN'!$D$53="Yes",$AL$1&gt;=4),0,IF($C348='Batt IN'!$H$57*12,-'Batt IN'!$F$57,0))</f>
        <v>0</v>
      </c>
      <c r="BT348" s="2">
        <f>IF(AND('Batt IN'!$D$53="Yes",$AL$1&gt;=5),0,IF($C348='Batt IN'!$H$58*12,-'Batt IN'!$F$58,0))</f>
        <v>0</v>
      </c>
      <c r="BU348" s="2">
        <f>-AH348*PVCalcs!F348</f>
        <v>-362.11381975355403</v>
      </c>
      <c r="BV348" s="2">
        <f>-'Batt IN'!$E$47</f>
        <v>-150</v>
      </c>
      <c r="BW348" s="2">
        <f>-'Batt IN'!$E$49</f>
        <v>-2250</v>
      </c>
      <c r="BX348" s="2">
        <f>IF('Batt IN'!$H$50="No",-(BC348*'Batt IN'!$E$50),-(BC348+BE348)*'Batt IN'!$E$50)</f>
        <v>0</v>
      </c>
      <c r="BY348" s="2">
        <f>IF(C348='Batt IN'!$H$43*12,-'Batt IN'!$E$43,0)</f>
        <v>0</v>
      </c>
      <c r="BZ348" s="38"/>
      <c r="CA348" s="10">
        <f t="shared" si="89"/>
        <v>14095.467956278539</v>
      </c>
      <c r="CB348" s="2">
        <f t="shared" si="94"/>
        <v>-3012.1138197535538</v>
      </c>
      <c r="CC348" s="45">
        <f t="shared" si="90"/>
        <v>11083.354136524984</v>
      </c>
      <c r="CD348" s="43"/>
      <c r="CE348" s="2">
        <f t="shared" si="91"/>
        <v>0</v>
      </c>
      <c r="CF348" s="2">
        <f t="shared" si="95"/>
        <v>-3012.1138197535538</v>
      </c>
      <c r="CG348" s="2"/>
      <c r="CH348" s="2">
        <f t="shared" si="92"/>
        <v>-3012.1138197535538</v>
      </c>
      <c r="CI348" s="45">
        <f>-CH348*'Batt IN'!$E$7</f>
        <v>632.54390214824627</v>
      </c>
      <c r="CJ348" s="48"/>
      <c r="CK348" s="45">
        <f>IF('Batt IN'!$F$4="PV Only",0,IF(C348&gt;'Batt IN'!$H$43*12,0,CC348+CI348))</f>
        <v>0</v>
      </c>
      <c r="CM348" s="10">
        <f t="shared" si="93"/>
        <v>0</v>
      </c>
      <c r="CN348" s="2">
        <f>CK348/(1+('Batt IN'!$G$8))^(C348)</f>
        <v>0</v>
      </c>
      <c r="CO348" s="2" t="e">
        <f>IF(C348&lt;='Batt IN'!$O$30*12,CN348+CO347,NA())</f>
        <v>#N/A</v>
      </c>
      <c r="CQ348" s="2">
        <f>CK348/((1+('Batt IN'!$E$8/12))^BattCalcs!C348)</f>
        <v>0</v>
      </c>
      <c r="CS348" s="10">
        <f t="shared" si="96"/>
        <v>-3012.1138197535538</v>
      </c>
      <c r="CT348" s="10">
        <f t="shared" si="97"/>
        <v>0</v>
      </c>
      <c r="CU348" s="10">
        <f t="shared" si="98"/>
        <v>-3012.1138197535538</v>
      </c>
      <c r="CV348" s="10">
        <f t="shared" si="99"/>
        <v>-3012.1138197535538</v>
      </c>
      <c r="CW348" s="2">
        <f t="shared" si="100"/>
        <v>0</v>
      </c>
      <c r="CX348" s="2">
        <f>-(SUM(CV348:CW348)*'PV IN'!$E$8)</f>
        <v>632.54390214824627</v>
      </c>
      <c r="CY348" s="2">
        <f t="shared" si="101"/>
        <v>-2379.5699176053076</v>
      </c>
      <c r="CZ348" s="2">
        <f>IF(C348&lt;='Batt IN'!$H$43*12,CY348/(1+('PV IN'!$G$9))^(C348),0)</f>
        <v>0</v>
      </c>
      <c r="DA348" s="33">
        <f>IF(C348&lt;='Batt IN'!$H$43*12,AE348,0)</f>
        <v>0</v>
      </c>
    </row>
    <row r="349" spans="1:105" x14ac:dyDescent="0.25">
      <c r="A349" t="str">
        <f>IF(C349&lt;='Batt IN'!$H$43*12,C349,"")</f>
        <v/>
      </c>
      <c r="C349">
        <v>345</v>
      </c>
      <c r="D349" s="21">
        <v>775</v>
      </c>
      <c r="E349" s="1">
        <f>1-'Batt IN'!$E$31</f>
        <v>2.0000000000000018E-2</v>
      </c>
      <c r="F349" s="12">
        <f>('Batt IN'!$E$33*365)/8760</f>
        <v>0</v>
      </c>
      <c r="G349" s="22">
        <f>'Batt IN'!$E$32/8760</f>
        <v>5.7077625570776253E-3</v>
      </c>
      <c r="H349" s="22">
        <f>'Batt IN'!$E$13/8760</f>
        <v>5.5936073059360729E-3</v>
      </c>
      <c r="I349" s="23">
        <f>IF(C349&lt;='Batt IN'!$G$14*12,'Batt IN'!$E$15/8760*'Batt IN'!$G$15,0)</f>
        <v>0</v>
      </c>
      <c r="J349" s="12">
        <f>Z349/'Batt IN'!$E$27/730</f>
        <v>2.4999999999999996E-3</v>
      </c>
      <c r="K349" s="23">
        <f>AA349/'Batt IN'!$E$27/730</f>
        <v>1.6027397260273972E-3</v>
      </c>
      <c r="L349" s="23">
        <f>AB349/'Batt IN'!$E$27/730</f>
        <v>2.0547945205479451E-4</v>
      </c>
      <c r="M349" s="23">
        <f>AC349/'Batt IN'!$E$27/730</f>
        <v>4.7945205479452057E-3</v>
      </c>
      <c r="N349" s="23">
        <f>AD349/'Batt IN'!$E$27/730</f>
        <v>3.4246575342465752E-3</v>
      </c>
      <c r="O349" s="12">
        <f t="shared" si="85"/>
        <v>4.3828767123287697E-2</v>
      </c>
      <c r="P349" s="21">
        <f t="shared" si="86"/>
        <v>741.03270547945203</v>
      </c>
      <c r="Q349" s="2">
        <f>IF('Batt IN'!$E$27*'Batt IN'!$E$24&lt;='Batt IN'!$E$28,(('Batt IN'!$E$23*'Batt IN'!$E$27*'Batt IN'!$E$24)/1000)*P349,(('Batt IN'!$E$23*'Batt IN'!$E$28*'Batt IN'!$E$24)/1000)*P349)</f>
        <v>11856.523287671233</v>
      </c>
      <c r="R349" s="2"/>
      <c r="S349" s="77">
        <f>IF(C349&lt;='Batt IN'!$G$14*12,'Batt IN'!$E$15/12,0)</f>
        <v>0</v>
      </c>
      <c r="T349" s="77"/>
      <c r="U349" s="80">
        <f>'Batt IN'!$E$28*('Batt IN'!$G$24/24)*730*(1-O349)</f>
        <v>81433.916666666657</v>
      </c>
      <c r="V349" s="78">
        <f>U349*'Batt IN'!$F$30</f>
        <v>16286.783333333333</v>
      </c>
      <c r="W349" s="78">
        <f>'Batt IN'!$E$28*'Batt IN'!$G$32*('Batt IN'!$E$32/12)*(1+'Batt IN'!$F$30)</f>
        <v>1750.0000000000002</v>
      </c>
      <c r="X349" s="78">
        <f>'Batt IN'!$E$28*'Batt IN'!$G$13*('Batt IN'!$E$13/12)*(1+'Batt IN'!$F$30)</f>
        <v>3184.9999999999995</v>
      </c>
      <c r="Y349" s="33">
        <f>S349*'Batt IN'!$G$15*'Batt IN'!$E$28*(1+'Batt IN'!$F$30)</f>
        <v>0</v>
      </c>
      <c r="Z349" s="33">
        <f>'Batt IN'!$G$16*365/12*(1+'Batt IN'!$F$30)</f>
        <v>1824.9999999999998</v>
      </c>
      <c r="AA349" s="33">
        <f>'Batt IN'!$G$17*'Batt IN'!$E$18*'Batt IN'!$G$18/12*(1+'Batt IN'!$F$30)</f>
        <v>1170</v>
      </c>
      <c r="AB349" s="33">
        <f>'Batt IN'!$G$19*'Batt IN'!$E$20*'Batt IN'!$G$20/12*(1+'Batt IN'!$F$30)</f>
        <v>150</v>
      </c>
      <c r="AC349" s="33">
        <f>'Batt IN'!$G$21*(1+'Batt IN'!$F$30)/12</f>
        <v>3500</v>
      </c>
      <c r="AD349" s="33">
        <f>'Batt IN'!$G$22*(1+'Batt IN'!$F$30)/12</f>
        <v>2500</v>
      </c>
      <c r="AE349" s="33">
        <f t="shared" si="87"/>
        <v>30366.783333333333</v>
      </c>
      <c r="AF349" s="33">
        <f>IF('PV IN'!$F$4="Battery Only",0,AE349*'Batt IN'!$E$29)</f>
        <v>25811.765833333331</v>
      </c>
      <c r="AG349" s="33">
        <f>PVCalcs!L349</f>
        <v>25811.765833333331</v>
      </c>
      <c r="AH349" s="33">
        <f t="shared" si="88"/>
        <v>4555.0175000000017</v>
      </c>
      <c r="AI349" s="33"/>
      <c r="AJ349" s="2">
        <f>IF(AND('Batt IN'!$D$53="Yes",$AL$1&gt;=1),IF($C349='Batt IN'!$H$54*12,-'Batt IN'!$F$54,0),0)</f>
        <v>0</v>
      </c>
      <c r="AK349" s="2">
        <f>IF(AND('Batt IN'!$D$53="Yes",$AL$1&gt;=2),IF($C349='Batt IN'!$H$55*12,-'Batt IN'!$F$55,0),0)</f>
        <v>0</v>
      </c>
      <c r="AL349" s="2">
        <f>IF(AND('Batt IN'!$D$53="Yes",$AL$1&gt;=3),IF($C349='Batt IN'!$H$56*12,-'Batt IN'!$F$56,0),0)</f>
        <v>0</v>
      </c>
      <c r="AM349" s="2">
        <f>IF(AND('Batt IN'!$D$53="Yes",$AL$1&gt;=4),IF($C349='Batt IN'!$H$57*12,-'Batt IN'!$F$57,0),0)</f>
        <v>0</v>
      </c>
      <c r="AN349" s="2">
        <f>IF(AND('Batt IN'!$D$53="Yes",$AL$1&gt;=5),IF($C349='Batt IN'!$H$58*12,-'Batt IN'!$F$58,0),0)</f>
        <v>0</v>
      </c>
      <c r="AO349" s="10">
        <f>IF(AND('Batt IN'!$D$44="YES",$C349&lt;='Batt IN'!$E$44*12),-'Batt IN'!$E$28*'Batt IN'!$E$42/12,0)</f>
        <v>0</v>
      </c>
      <c r="AP349" s="10">
        <f>IF(AND('Batt IN'!$D$46="YES",$C349&lt;='Batt IN'!$E$46*12),-'Batt IN'!$E$28*'Batt IN'!$E$45/12,0)</f>
        <v>0</v>
      </c>
      <c r="AR349" s="10">
        <f>BattLoan!M376</f>
        <v>0</v>
      </c>
      <c r="AS349" s="10">
        <f>'Batt IN'!$G$16*365/12*'Batt IN'!$E$16</f>
        <v>76.041666666666671</v>
      </c>
      <c r="AT349" s="10">
        <f>IF(AND('Batt IN'!$E$18&gt;0,'Batt IN'!$G$18&gt;0),'Batt IN'!$E$17*'Batt IN'!$G$17,0)</f>
        <v>119.44619999999999</v>
      </c>
      <c r="AU349" s="10">
        <f>IF(AND('Batt IN'!$E$20&gt;0,'Batt IN'!$G$20&gt;0),'Batt IN'!$E$19*'Batt IN'!$G$19,0)</f>
        <v>231</v>
      </c>
      <c r="AV349" s="10"/>
      <c r="AW349" s="10"/>
      <c r="AX349" s="10">
        <f>IF('Batt IN'!$E$11="Non-Taxable",Q349,0)</f>
        <v>11856.523287671233</v>
      </c>
      <c r="AY349" s="10">
        <f>IF('Batt IN'!$E$11="Non-Taxable",'Batt IN'!$E$28/1000*'Batt IN'!$G$13*('Batt IN'!$E$13/12)*'Batt IN'!$E$12,0)</f>
        <v>244.42220833333334</v>
      </c>
      <c r="AZ349" s="10">
        <f>IF('Batt IN'!$E$11="Non-Taxable",$S349*'Batt IN'!$G$15*'Batt IN'!$E$28*'Batt IN'!$E$14/1000,0)</f>
        <v>0</v>
      </c>
      <c r="BA349" s="10">
        <f>IF('Batt IN'!$E$11="Non-Taxable",'Batt IN'!$E$21*'Batt IN'!$G$21/12,0)</f>
        <v>437.5</v>
      </c>
      <c r="BB349" s="10">
        <f>IF('Batt IN'!$E$11="Non-Taxable",'Batt IN'!$E$22*'Batt IN'!$G$22/12,0)</f>
        <v>1145.8333333333335</v>
      </c>
      <c r="BC349" s="10">
        <f>IF('Batt IN'!$E$11="Taxable",Q349,0)</f>
        <v>0</v>
      </c>
      <c r="BD349" s="10">
        <f>IF('Batt IN'!$E$11="Taxable",'Batt IN'!$E$28/1000*'Batt IN'!$G$13*('Batt IN'!$E$13/12)*'Batt IN'!$E$12,0)</f>
        <v>0</v>
      </c>
      <c r="BE349" s="10">
        <f>IF('Batt IN'!$E$11="Taxable",$S349*'Batt IN'!$G$15*'Batt IN'!$E$28*'Batt IN'!$E$14/1000,0)</f>
        <v>0</v>
      </c>
      <c r="BF349" s="10">
        <f>IF('Batt IN'!$E$11="Taxable",'Batt IN'!$E$21*'Batt IN'!$G$21/12,0)</f>
        <v>0</v>
      </c>
      <c r="BG349" s="10">
        <f>IF('Batt IN'!$E$11="Taxable",'Batt IN'!$E$22*'Batt IN'!$G$22/12,0)</f>
        <v>0</v>
      </c>
      <c r="BK349" s="10">
        <f>IF('Batt IN'!$N$18="Yes",-BattLoan!H377,-BattLoan!L377)</f>
        <v>0</v>
      </c>
      <c r="BL349" s="10">
        <f>IF('Batt IN'!$N$18="Yes",-BattLoan!F377,0)</f>
        <v>0</v>
      </c>
      <c r="BM349" s="10">
        <f>IF(AND('Batt IN'!$D$44="YES",$C349&lt;='Batt IN'!$E$44*12),0,-'Batt IN'!$E$28*'Batt IN'!$E$42/12)</f>
        <v>-83.333333333333329</v>
      </c>
      <c r="BN349" s="10">
        <f>IF(AND('Batt IN'!$D$46="YES",$C349&lt;='Batt IN'!$E$46*12),0,-'Batt IN'!$E$28*'Batt IN'!$E$45/12)</f>
        <v>-166.66666666666666</v>
      </c>
      <c r="BO349" s="2">
        <f>IF(AND('Batt IN'!$D$41="YES",BattCalcs!C349=ROUNDUP('Batt IN'!$H$41*12,)),-'Batt IN'!$E$41*'Batt IN'!$E$28,0)</f>
        <v>0</v>
      </c>
      <c r="BP349" s="2">
        <f>IF(AND('Batt IN'!$D$53="Yes",$AL$1&gt;=1),0,IF($C349='Batt IN'!$H$54*12,-'Batt IN'!$F$54,0))</f>
        <v>0</v>
      </c>
      <c r="BQ349" s="2">
        <f>IF(AND('Batt IN'!$D$53="Yes",$AL$1&gt;=2),0,IF($C349='Batt IN'!$H$55*12,-'Batt IN'!$F$55,0))</f>
        <v>0</v>
      </c>
      <c r="BR349" s="2">
        <f>IF(AND('Batt IN'!$D$53="Yes",$AL$1&gt;=3),0,IF($C349='Batt IN'!$H$56*12,-'Batt IN'!$F$56,0))</f>
        <v>0</v>
      </c>
      <c r="BS349" s="2">
        <f>IF(AND('Batt IN'!$D$53="Yes",$AL$1&gt;=4),0,IF($C349='Batt IN'!$H$57*12,-'Batt IN'!$F$57,0))</f>
        <v>0</v>
      </c>
      <c r="BT349" s="2">
        <f>IF(AND('Batt IN'!$D$53="Yes",$AL$1&gt;=5),0,IF($C349='Batt IN'!$H$58*12,-'Batt IN'!$F$58,0))</f>
        <v>0</v>
      </c>
      <c r="BU349" s="2">
        <f>-AH349*PVCalcs!F349</f>
        <v>-362.11381975355403</v>
      </c>
      <c r="BV349" s="2">
        <f>-'Batt IN'!$E$47</f>
        <v>-150</v>
      </c>
      <c r="BW349" s="2">
        <f>-'Batt IN'!$E$49</f>
        <v>-2250</v>
      </c>
      <c r="BX349" s="2">
        <f>IF('Batt IN'!$H$50="No",-(BC349*'Batt IN'!$E$50),-(BC349+BE349)*'Batt IN'!$E$50)</f>
        <v>0</v>
      </c>
      <c r="BY349" s="2">
        <f>IF(C349='Batt IN'!$H$43*12,-'Batt IN'!$E$43,0)</f>
        <v>0</v>
      </c>
      <c r="BZ349" s="38"/>
      <c r="CA349" s="10">
        <f t="shared" si="89"/>
        <v>14110.766696004566</v>
      </c>
      <c r="CB349" s="2">
        <f t="shared" si="94"/>
        <v>-3012.1138197535538</v>
      </c>
      <c r="CC349" s="45">
        <f t="shared" si="90"/>
        <v>11098.652876251013</v>
      </c>
      <c r="CD349" s="43"/>
      <c r="CE349" s="2">
        <f t="shared" si="91"/>
        <v>0</v>
      </c>
      <c r="CF349" s="2">
        <f t="shared" si="95"/>
        <v>-3012.1138197535538</v>
      </c>
      <c r="CG349" s="2"/>
      <c r="CH349" s="2">
        <f t="shared" si="92"/>
        <v>-3012.1138197535538</v>
      </c>
      <c r="CI349" s="45">
        <f>-CH349*'Batt IN'!$E$7</f>
        <v>632.54390214824627</v>
      </c>
      <c r="CJ349" s="48"/>
      <c r="CK349" s="45">
        <f>IF('Batt IN'!$F$4="PV Only",0,IF(C349&gt;'Batt IN'!$H$43*12,0,CC349+CI349))</f>
        <v>0</v>
      </c>
      <c r="CM349" s="10">
        <f t="shared" si="93"/>
        <v>0</v>
      </c>
      <c r="CN349" s="2">
        <f>CK349/(1+('Batt IN'!$G$8))^(C349)</f>
        <v>0</v>
      </c>
      <c r="CO349" s="2" t="e">
        <f>IF(C349&lt;='Batt IN'!$O$30*12,CN349+CO348,NA())</f>
        <v>#N/A</v>
      </c>
      <c r="CQ349" s="2">
        <f>CK349/((1+('Batt IN'!$E$8/12))^BattCalcs!C349)</f>
        <v>0</v>
      </c>
      <c r="CS349" s="10">
        <f t="shared" si="96"/>
        <v>-3012.1138197535538</v>
      </c>
      <c r="CT349" s="10">
        <f t="shared" si="97"/>
        <v>0</v>
      </c>
      <c r="CU349" s="10">
        <f t="shared" si="98"/>
        <v>-3012.1138197535538</v>
      </c>
      <c r="CV349" s="10">
        <f t="shared" si="99"/>
        <v>-3012.1138197535538</v>
      </c>
      <c r="CW349" s="2">
        <f t="shared" si="100"/>
        <v>0</v>
      </c>
      <c r="CX349" s="2">
        <f>-(SUM(CV349:CW349)*'PV IN'!$E$8)</f>
        <v>632.54390214824627</v>
      </c>
      <c r="CY349" s="2">
        <f t="shared" si="101"/>
        <v>-2379.5699176053076</v>
      </c>
      <c r="CZ349" s="2">
        <f>IF(C349&lt;='Batt IN'!$H$43*12,CY349/(1+('PV IN'!$G$9))^(C349),0)</f>
        <v>0</v>
      </c>
      <c r="DA349" s="33">
        <f>IF(C349&lt;='Batt IN'!$H$43*12,AE349,0)</f>
        <v>0</v>
      </c>
    </row>
    <row r="350" spans="1:105" x14ac:dyDescent="0.25">
      <c r="A350" t="str">
        <f>IF(C350&lt;='Batt IN'!$H$43*12,C350,"")</f>
        <v/>
      </c>
      <c r="C350">
        <v>346</v>
      </c>
      <c r="D350" s="21">
        <v>776</v>
      </c>
      <c r="E350" s="1">
        <f>1-'Batt IN'!$E$31</f>
        <v>2.0000000000000018E-2</v>
      </c>
      <c r="F350" s="12">
        <f>('Batt IN'!$E$33*365)/8760</f>
        <v>0</v>
      </c>
      <c r="G350" s="22">
        <f>'Batt IN'!$E$32/8760</f>
        <v>5.7077625570776253E-3</v>
      </c>
      <c r="H350" s="22">
        <f>'Batt IN'!$E$13/8760</f>
        <v>5.5936073059360729E-3</v>
      </c>
      <c r="I350" s="23">
        <f>IF(C350&lt;='Batt IN'!$G$14*12,'Batt IN'!$E$15/8760*'Batt IN'!$G$15,0)</f>
        <v>0</v>
      </c>
      <c r="J350" s="12">
        <f>Z350/'Batt IN'!$E$27/730</f>
        <v>2.4999999999999996E-3</v>
      </c>
      <c r="K350" s="23">
        <f>AA350/'Batt IN'!$E$27/730</f>
        <v>1.6027397260273972E-3</v>
      </c>
      <c r="L350" s="23">
        <f>AB350/'Batt IN'!$E$27/730</f>
        <v>2.0547945205479451E-4</v>
      </c>
      <c r="M350" s="23">
        <f>AC350/'Batt IN'!$E$27/730</f>
        <v>4.7945205479452057E-3</v>
      </c>
      <c r="N350" s="23">
        <f>AD350/'Batt IN'!$E$27/730</f>
        <v>3.4246575342465752E-3</v>
      </c>
      <c r="O350" s="12">
        <f t="shared" si="85"/>
        <v>4.3828767123287697E-2</v>
      </c>
      <c r="P350" s="21">
        <f t="shared" si="86"/>
        <v>741.98887671232876</v>
      </c>
      <c r="Q350" s="2">
        <f>IF('Batt IN'!$E$27*'Batt IN'!$E$24&lt;='Batt IN'!$E$28,(('Batt IN'!$E$23*'Batt IN'!$E$27*'Batt IN'!$E$24)/1000)*P350,(('Batt IN'!$E$23*'Batt IN'!$E$28*'Batt IN'!$E$24)/1000)*P350)</f>
        <v>11871.82202739726</v>
      </c>
      <c r="R350" s="2"/>
      <c r="S350" s="77">
        <f>IF(C350&lt;='Batt IN'!$G$14*12,'Batt IN'!$E$15/12,0)</f>
        <v>0</v>
      </c>
      <c r="T350" s="77"/>
      <c r="U350" s="80">
        <f>'Batt IN'!$E$28*('Batt IN'!$G$24/24)*730*(1-O350)</f>
        <v>81433.916666666657</v>
      </c>
      <c r="V350" s="78">
        <f>U350*'Batt IN'!$F$30</f>
        <v>16286.783333333333</v>
      </c>
      <c r="W350" s="78">
        <f>'Batt IN'!$E$28*'Batt IN'!$G$32*('Batt IN'!$E$32/12)*(1+'Batt IN'!$F$30)</f>
        <v>1750.0000000000002</v>
      </c>
      <c r="X350" s="78">
        <f>'Batt IN'!$E$28*'Batt IN'!$G$13*('Batt IN'!$E$13/12)*(1+'Batt IN'!$F$30)</f>
        <v>3184.9999999999995</v>
      </c>
      <c r="Y350" s="33">
        <f>S350*'Batt IN'!$G$15*'Batt IN'!$E$28*(1+'Batt IN'!$F$30)</f>
        <v>0</v>
      </c>
      <c r="Z350" s="33">
        <f>'Batt IN'!$G$16*365/12*(1+'Batt IN'!$F$30)</f>
        <v>1824.9999999999998</v>
      </c>
      <c r="AA350" s="33">
        <f>'Batt IN'!$G$17*'Batt IN'!$E$18*'Batt IN'!$G$18/12*(1+'Batt IN'!$F$30)</f>
        <v>1170</v>
      </c>
      <c r="AB350" s="33">
        <f>'Batt IN'!$G$19*'Batt IN'!$E$20*'Batt IN'!$G$20/12*(1+'Batt IN'!$F$30)</f>
        <v>150</v>
      </c>
      <c r="AC350" s="33">
        <f>'Batt IN'!$G$21*(1+'Batt IN'!$F$30)/12</f>
        <v>3500</v>
      </c>
      <c r="AD350" s="33">
        <f>'Batt IN'!$G$22*(1+'Batt IN'!$F$30)/12</f>
        <v>2500</v>
      </c>
      <c r="AE350" s="33">
        <f t="shared" si="87"/>
        <v>30366.783333333333</v>
      </c>
      <c r="AF350" s="33">
        <f>IF('PV IN'!$F$4="Battery Only",0,AE350*'Batt IN'!$E$29)</f>
        <v>25811.765833333331</v>
      </c>
      <c r="AG350" s="33">
        <f>PVCalcs!L350</f>
        <v>25811.765833333331</v>
      </c>
      <c r="AH350" s="33">
        <f t="shared" si="88"/>
        <v>4555.0175000000017</v>
      </c>
      <c r="AI350" s="33"/>
      <c r="AJ350" s="2">
        <f>IF(AND('Batt IN'!$D$53="Yes",$AL$1&gt;=1),IF($C350='Batt IN'!$H$54*12,-'Batt IN'!$F$54,0),0)</f>
        <v>0</v>
      </c>
      <c r="AK350" s="2">
        <f>IF(AND('Batt IN'!$D$53="Yes",$AL$1&gt;=2),IF($C350='Batt IN'!$H$55*12,-'Batt IN'!$F$55,0),0)</f>
        <v>0</v>
      </c>
      <c r="AL350" s="2">
        <f>IF(AND('Batt IN'!$D$53="Yes",$AL$1&gt;=3),IF($C350='Batt IN'!$H$56*12,-'Batt IN'!$F$56,0),0)</f>
        <v>0</v>
      </c>
      <c r="AM350" s="2">
        <f>IF(AND('Batt IN'!$D$53="Yes",$AL$1&gt;=4),IF($C350='Batt IN'!$H$57*12,-'Batt IN'!$F$57,0),0)</f>
        <v>0</v>
      </c>
      <c r="AN350" s="2">
        <f>IF(AND('Batt IN'!$D$53="Yes",$AL$1&gt;=5),IF($C350='Batt IN'!$H$58*12,-'Batt IN'!$F$58,0),0)</f>
        <v>0</v>
      </c>
      <c r="AO350" s="10">
        <f>IF(AND('Batt IN'!$D$44="YES",$C350&lt;='Batt IN'!$E$44*12),-'Batt IN'!$E$28*'Batt IN'!$E$42/12,0)</f>
        <v>0</v>
      </c>
      <c r="AP350" s="10">
        <f>IF(AND('Batt IN'!$D$46="YES",$C350&lt;='Batt IN'!$E$46*12),-'Batt IN'!$E$28*'Batt IN'!$E$45/12,0)</f>
        <v>0</v>
      </c>
      <c r="AR350" s="10">
        <f>BattLoan!M377</f>
        <v>0</v>
      </c>
      <c r="AS350" s="10">
        <f>'Batt IN'!$G$16*365/12*'Batt IN'!$E$16</f>
        <v>76.041666666666671</v>
      </c>
      <c r="AT350" s="10">
        <f>IF(AND('Batt IN'!$E$18&gt;0,'Batt IN'!$G$18&gt;0),'Batt IN'!$E$17*'Batt IN'!$G$17,0)</f>
        <v>119.44619999999999</v>
      </c>
      <c r="AU350" s="10">
        <f>IF(AND('Batt IN'!$E$20&gt;0,'Batt IN'!$G$20&gt;0),'Batt IN'!$E$19*'Batt IN'!$G$19,0)</f>
        <v>231</v>
      </c>
      <c r="AV350" s="10"/>
      <c r="AW350" s="10"/>
      <c r="AX350" s="10">
        <f>IF('Batt IN'!$E$11="Non-Taxable",Q350,0)</f>
        <v>11871.82202739726</v>
      </c>
      <c r="AY350" s="10">
        <f>IF('Batt IN'!$E$11="Non-Taxable",'Batt IN'!$E$28/1000*'Batt IN'!$G$13*('Batt IN'!$E$13/12)*'Batt IN'!$E$12,0)</f>
        <v>244.42220833333334</v>
      </c>
      <c r="AZ350" s="10">
        <f>IF('Batt IN'!$E$11="Non-Taxable",$S350*'Batt IN'!$G$15*'Batt IN'!$E$28*'Batt IN'!$E$14/1000,0)</f>
        <v>0</v>
      </c>
      <c r="BA350" s="10">
        <f>IF('Batt IN'!$E$11="Non-Taxable",'Batt IN'!$E$21*'Batt IN'!$G$21/12,0)</f>
        <v>437.5</v>
      </c>
      <c r="BB350" s="10">
        <f>IF('Batt IN'!$E$11="Non-Taxable",'Batt IN'!$E$22*'Batt IN'!$G$22/12,0)</f>
        <v>1145.8333333333335</v>
      </c>
      <c r="BC350" s="10">
        <f>IF('Batt IN'!$E$11="Taxable",Q350,0)</f>
        <v>0</v>
      </c>
      <c r="BD350" s="10">
        <f>IF('Batt IN'!$E$11="Taxable",'Batt IN'!$E$28/1000*'Batt IN'!$G$13*('Batt IN'!$E$13/12)*'Batt IN'!$E$12,0)</f>
        <v>0</v>
      </c>
      <c r="BE350" s="10">
        <f>IF('Batt IN'!$E$11="Taxable",$S350*'Batt IN'!$G$15*'Batt IN'!$E$28*'Batt IN'!$E$14/1000,0)</f>
        <v>0</v>
      </c>
      <c r="BF350" s="10">
        <f>IF('Batt IN'!$E$11="Taxable",'Batt IN'!$E$21*'Batt IN'!$G$21/12,0)</f>
        <v>0</v>
      </c>
      <c r="BG350" s="10">
        <f>IF('Batt IN'!$E$11="Taxable",'Batt IN'!$E$22*'Batt IN'!$G$22/12,0)</f>
        <v>0</v>
      </c>
      <c r="BK350" s="10">
        <f>IF('Batt IN'!$N$18="Yes",-BattLoan!H378,-BattLoan!L378)</f>
        <v>0</v>
      </c>
      <c r="BL350" s="10">
        <f>IF('Batt IN'!$N$18="Yes",-BattLoan!F378,0)</f>
        <v>0</v>
      </c>
      <c r="BM350" s="10">
        <f>IF(AND('Batt IN'!$D$44="YES",$C350&lt;='Batt IN'!$E$44*12),0,-'Batt IN'!$E$28*'Batt IN'!$E$42/12)</f>
        <v>-83.333333333333329</v>
      </c>
      <c r="BN350" s="10">
        <f>IF(AND('Batt IN'!$D$46="YES",$C350&lt;='Batt IN'!$E$46*12),0,-'Batt IN'!$E$28*'Batt IN'!$E$45/12)</f>
        <v>-166.66666666666666</v>
      </c>
      <c r="BO350" s="2">
        <f>IF(AND('Batt IN'!$D$41="YES",BattCalcs!C350=ROUNDUP('Batt IN'!$H$41*12,)),-'Batt IN'!$E$41*'Batt IN'!$E$28,0)</f>
        <v>0</v>
      </c>
      <c r="BP350" s="2">
        <f>IF(AND('Batt IN'!$D$53="Yes",$AL$1&gt;=1),0,IF($C350='Batt IN'!$H$54*12,-'Batt IN'!$F$54,0))</f>
        <v>0</v>
      </c>
      <c r="BQ350" s="2">
        <f>IF(AND('Batt IN'!$D$53="Yes",$AL$1&gt;=2),0,IF($C350='Batt IN'!$H$55*12,-'Batt IN'!$F$55,0))</f>
        <v>0</v>
      </c>
      <c r="BR350" s="2">
        <f>IF(AND('Batt IN'!$D$53="Yes",$AL$1&gt;=3),0,IF($C350='Batt IN'!$H$56*12,-'Batt IN'!$F$56,0))</f>
        <v>0</v>
      </c>
      <c r="BS350" s="2">
        <f>IF(AND('Batt IN'!$D$53="Yes",$AL$1&gt;=4),0,IF($C350='Batt IN'!$H$57*12,-'Batt IN'!$F$57,0))</f>
        <v>0</v>
      </c>
      <c r="BT350" s="2">
        <f>IF(AND('Batt IN'!$D$53="Yes",$AL$1&gt;=5),0,IF($C350='Batt IN'!$H$58*12,-'Batt IN'!$F$58,0))</f>
        <v>0</v>
      </c>
      <c r="BU350" s="2">
        <f>-AH350*PVCalcs!F350</f>
        <v>-362.11381975355403</v>
      </c>
      <c r="BV350" s="2">
        <f>-'Batt IN'!$E$47</f>
        <v>-150</v>
      </c>
      <c r="BW350" s="2">
        <f>-'Batt IN'!$E$49</f>
        <v>-2250</v>
      </c>
      <c r="BX350" s="2">
        <f>IF('Batt IN'!$H$50="No",-(BC350*'Batt IN'!$E$50),-(BC350+BE350)*'Batt IN'!$E$50)</f>
        <v>0</v>
      </c>
      <c r="BY350" s="2">
        <f>IF(C350='Batt IN'!$H$43*12,-'Batt IN'!$E$43,0)</f>
        <v>0</v>
      </c>
      <c r="BZ350" s="38"/>
      <c r="CA350" s="10">
        <f t="shared" si="89"/>
        <v>14126.065435730594</v>
      </c>
      <c r="CB350" s="2">
        <f t="shared" si="94"/>
        <v>-3012.1138197535538</v>
      </c>
      <c r="CC350" s="45">
        <f t="shared" si="90"/>
        <v>11113.951615977039</v>
      </c>
      <c r="CD350" s="43"/>
      <c r="CE350" s="2">
        <f t="shared" si="91"/>
        <v>0</v>
      </c>
      <c r="CF350" s="2">
        <f t="shared" si="95"/>
        <v>-3012.1138197535538</v>
      </c>
      <c r="CG350" s="2"/>
      <c r="CH350" s="2">
        <f t="shared" si="92"/>
        <v>-3012.1138197535538</v>
      </c>
      <c r="CI350" s="45">
        <f>-CH350*'Batt IN'!$E$7</f>
        <v>632.54390214824627</v>
      </c>
      <c r="CJ350" s="48"/>
      <c r="CK350" s="45">
        <f>IF('Batt IN'!$F$4="PV Only",0,IF(C350&gt;'Batt IN'!$H$43*12,0,CC350+CI350))</f>
        <v>0</v>
      </c>
      <c r="CM350" s="10">
        <f t="shared" si="93"/>
        <v>0</v>
      </c>
      <c r="CN350" s="2">
        <f>CK350/(1+('Batt IN'!$G$8))^(C350)</f>
        <v>0</v>
      </c>
      <c r="CO350" s="2" t="e">
        <f>IF(C350&lt;='Batt IN'!$O$30*12,CN350+CO349,NA())</f>
        <v>#N/A</v>
      </c>
      <c r="CQ350" s="2">
        <f>CK350/((1+('Batt IN'!$E$8/12))^BattCalcs!C350)</f>
        <v>0</v>
      </c>
      <c r="CS350" s="10">
        <f t="shared" si="96"/>
        <v>-3012.1138197535538</v>
      </c>
      <c r="CT350" s="10">
        <f t="shared" si="97"/>
        <v>0</v>
      </c>
      <c r="CU350" s="10">
        <f t="shared" si="98"/>
        <v>-3012.1138197535538</v>
      </c>
      <c r="CV350" s="10">
        <f t="shared" si="99"/>
        <v>-3012.1138197535538</v>
      </c>
      <c r="CW350" s="2">
        <f t="shared" si="100"/>
        <v>0</v>
      </c>
      <c r="CX350" s="2">
        <f>-(SUM(CV350:CW350)*'PV IN'!$E$8)</f>
        <v>632.54390214824627</v>
      </c>
      <c r="CY350" s="2">
        <f t="shared" si="101"/>
        <v>-2379.5699176053076</v>
      </c>
      <c r="CZ350" s="2">
        <f>IF(C350&lt;='Batt IN'!$H$43*12,CY350/(1+('PV IN'!$G$9))^(C350),0)</f>
        <v>0</v>
      </c>
      <c r="DA350" s="33">
        <f>IF(C350&lt;='Batt IN'!$H$43*12,AE350,0)</f>
        <v>0</v>
      </c>
    </row>
    <row r="351" spans="1:105" x14ac:dyDescent="0.25">
      <c r="A351" t="str">
        <f>IF(C351&lt;='Batt IN'!$H$43*12,C351,"")</f>
        <v/>
      </c>
      <c r="C351">
        <v>347</v>
      </c>
      <c r="D351" s="21">
        <v>777</v>
      </c>
      <c r="E351" s="1">
        <f>1-'Batt IN'!$E$31</f>
        <v>2.0000000000000018E-2</v>
      </c>
      <c r="F351" s="12">
        <f>('Batt IN'!$E$33*365)/8760</f>
        <v>0</v>
      </c>
      <c r="G351" s="22">
        <f>'Batt IN'!$E$32/8760</f>
        <v>5.7077625570776253E-3</v>
      </c>
      <c r="H351" s="22">
        <f>'Batt IN'!$E$13/8760</f>
        <v>5.5936073059360729E-3</v>
      </c>
      <c r="I351" s="23">
        <f>IF(C351&lt;='Batt IN'!$G$14*12,'Batt IN'!$E$15/8760*'Batt IN'!$G$15,0)</f>
        <v>0</v>
      </c>
      <c r="J351" s="12">
        <f>Z351/'Batt IN'!$E$27/730</f>
        <v>2.4999999999999996E-3</v>
      </c>
      <c r="K351" s="23">
        <f>AA351/'Batt IN'!$E$27/730</f>
        <v>1.6027397260273972E-3</v>
      </c>
      <c r="L351" s="23">
        <f>AB351/'Batt IN'!$E$27/730</f>
        <v>2.0547945205479451E-4</v>
      </c>
      <c r="M351" s="23">
        <f>AC351/'Batt IN'!$E$27/730</f>
        <v>4.7945205479452057E-3</v>
      </c>
      <c r="N351" s="23">
        <f>AD351/'Batt IN'!$E$27/730</f>
        <v>3.4246575342465752E-3</v>
      </c>
      <c r="O351" s="12">
        <f t="shared" si="85"/>
        <v>4.3828767123287697E-2</v>
      </c>
      <c r="P351" s="21">
        <f t="shared" si="86"/>
        <v>742.94504794520549</v>
      </c>
      <c r="Q351" s="2">
        <f>IF('Batt IN'!$E$27*'Batt IN'!$E$24&lt;='Batt IN'!$E$28,(('Batt IN'!$E$23*'Batt IN'!$E$27*'Batt IN'!$E$24)/1000)*P351,(('Batt IN'!$E$23*'Batt IN'!$E$28*'Batt IN'!$E$24)/1000)*P351)</f>
        <v>11887.120767123288</v>
      </c>
      <c r="R351" s="2"/>
      <c r="S351" s="77">
        <f>IF(C351&lt;='Batt IN'!$G$14*12,'Batt IN'!$E$15/12,0)</f>
        <v>0</v>
      </c>
      <c r="T351" s="77"/>
      <c r="U351" s="80">
        <f>'Batt IN'!$E$28*('Batt IN'!$G$24/24)*730*(1-O351)</f>
        <v>81433.916666666657</v>
      </c>
      <c r="V351" s="78">
        <f>U351*'Batt IN'!$F$30</f>
        <v>16286.783333333333</v>
      </c>
      <c r="W351" s="78">
        <f>'Batt IN'!$E$28*'Batt IN'!$G$32*('Batt IN'!$E$32/12)*(1+'Batt IN'!$F$30)</f>
        <v>1750.0000000000002</v>
      </c>
      <c r="X351" s="78">
        <f>'Batt IN'!$E$28*'Batt IN'!$G$13*('Batt IN'!$E$13/12)*(1+'Batt IN'!$F$30)</f>
        <v>3184.9999999999995</v>
      </c>
      <c r="Y351" s="33">
        <f>S351*'Batt IN'!$G$15*'Batt IN'!$E$28*(1+'Batt IN'!$F$30)</f>
        <v>0</v>
      </c>
      <c r="Z351" s="33">
        <f>'Batt IN'!$G$16*365/12*(1+'Batt IN'!$F$30)</f>
        <v>1824.9999999999998</v>
      </c>
      <c r="AA351" s="33">
        <f>'Batt IN'!$G$17*'Batt IN'!$E$18*'Batt IN'!$G$18/12*(1+'Batt IN'!$F$30)</f>
        <v>1170</v>
      </c>
      <c r="AB351" s="33">
        <f>'Batt IN'!$G$19*'Batt IN'!$E$20*'Batt IN'!$G$20/12*(1+'Batt IN'!$F$30)</f>
        <v>150</v>
      </c>
      <c r="AC351" s="33">
        <f>'Batt IN'!$G$21*(1+'Batt IN'!$F$30)/12</f>
        <v>3500</v>
      </c>
      <c r="AD351" s="33">
        <f>'Batt IN'!$G$22*(1+'Batt IN'!$F$30)/12</f>
        <v>2500</v>
      </c>
      <c r="AE351" s="33">
        <f t="shared" si="87"/>
        <v>30366.783333333333</v>
      </c>
      <c r="AF351" s="33">
        <f>IF('PV IN'!$F$4="Battery Only",0,AE351*'Batt IN'!$E$29)</f>
        <v>25811.765833333331</v>
      </c>
      <c r="AG351" s="33">
        <f>PVCalcs!L351</f>
        <v>25811.765833333331</v>
      </c>
      <c r="AH351" s="33">
        <f t="shared" si="88"/>
        <v>4555.0175000000017</v>
      </c>
      <c r="AI351" s="33"/>
      <c r="AJ351" s="2">
        <f>IF(AND('Batt IN'!$D$53="Yes",$AL$1&gt;=1),IF($C351='Batt IN'!$H$54*12,-'Batt IN'!$F$54,0),0)</f>
        <v>0</v>
      </c>
      <c r="AK351" s="2">
        <f>IF(AND('Batt IN'!$D$53="Yes",$AL$1&gt;=2),IF($C351='Batt IN'!$H$55*12,-'Batt IN'!$F$55,0),0)</f>
        <v>0</v>
      </c>
      <c r="AL351" s="2">
        <f>IF(AND('Batt IN'!$D$53="Yes",$AL$1&gt;=3),IF($C351='Batt IN'!$H$56*12,-'Batt IN'!$F$56,0),0)</f>
        <v>0</v>
      </c>
      <c r="AM351" s="2">
        <f>IF(AND('Batt IN'!$D$53="Yes",$AL$1&gt;=4),IF($C351='Batt IN'!$H$57*12,-'Batt IN'!$F$57,0),0)</f>
        <v>0</v>
      </c>
      <c r="AN351" s="2">
        <f>IF(AND('Batt IN'!$D$53="Yes",$AL$1&gt;=5),IF($C351='Batt IN'!$H$58*12,-'Batt IN'!$F$58,0),0)</f>
        <v>0</v>
      </c>
      <c r="AO351" s="10">
        <f>IF(AND('Batt IN'!$D$44="YES",$C351&lt;='Batt IN'!$E$44*12),-'Batt IN'!$E$28*'Batt IN'!$E$42/12,0)</f>
        <v>0</v>
      </c>
      <c r="AP351" s="10">
        <f>IF(AND('Batt IN'!$D$46="YES",$C351&lt;='Batt IN'!$E$46*12),-'Batt IN'!$E$28*'Batt IN'!$E$45/12,0)</f>
        <v>0</v>
      </c>
      <c r="AR351" s="10">
        <f>BattLoan!M378</f>
        <v>0</v>
      </c>
      <c r="AS351" s="10">
        <f>'Batt IN'!$G$16*365/12*'Batt IN'!$E$16</f>
        <v>76.041666666666671</v>
      </c>
      <c r="AT351" s="10">
        <f>IF(AND('Batt IN'!$E$18&gt;0,'Batt IN'!$G$18&gt;0),'Batt IN'!$E$17*'Batt IN'!$G$17,0)</f>
        <v>119.44619999999999</v>
      </c>
      <c r="AU351" s="10">
        <f>IF(AND('Batt IN'!$E$20&gt;0,'Batt IN'!$G$20&gt;0),'Batt IN'!$E$19*'Batt IN'!$G$19,0)</f>
        <v>231</v>
      </c>
      <c r="AV351" s="10"/>
      <c r="AW351" s="10"/>
      <c r="AX351" s="10">
        <f>IF('Batt IN'!$E$11="Non-Taxable",Q351,0)</f>
        <v>11887.120767123288</v>
      </c>
      <c r="AY351" s="10">
        <f>IF('Batt IN'!$E$11="Non-Taxable",'Batt IN'!$E$28/1000*'Batt IN'!$G$13*('Batt IN'!$E$13/12)*'Batt IN'!$E$12,0)</f>
        <v>244.42220833333334</v>
      </c>
      <c r="AZ351" s="10">
        <f>IF('Batt IN'!$E$11="Non-Taxable",$S351*'Batt IN'!$G$15*'Batt IN'!$E$28*'Batt IN'!$E$14/1000,0)</f>
        <v>0</v>
      </c>
      <c r="BA351" s="10">
        <f>IF('Batt IN'!$E$11="Non-Taxable",'Batt IN'!$E$21*'Batt IN'!$G$21/12,0)</f>
        <v>437.5</v>
      </c>
      <c r="BB351" s="10">
        <f>IF('Batt IN'!$E$11="Non-Taxable",'Batt IN'!$E$22*'Batt IN'!$G$22/12,0)</f>
        <v>1145.8333333333335</v>
      </c>
      <c r="BC351" s="10">
        <f>IF('Batt IN'!$E$11="Taxable",Q351,0)</f>
        <v>0</v>
      </c>
      <c r="BD351" s="10">
        <f>IF('Batt IN'!$E$11="Taxable",'Batt IN'!$E$28/1000*'Batt IN'!$G$13*('Batt IN'!$E$13/12)*'Batt IN'!$E$12,0)</f>
        <v>0</v>
      </c>
      <c r="BE351" s="10">
        <f>IF('Batt IN'!$E$11="Taxable",$S351*'Batt IN'!$G$15*'Batt IN'!$E$28*'Batt IN'!$E$14/1000,0)</f>
        <v>0</v>
      </c>
      <c r="BF351" s="10">
        <f>IF('Batt IN'!$E$11="Taxable",'Batt IN'!$E$21*'Batt IN'!$G$21/12,0)</f>
        <v>0</v>
      </c>
      <c r="BG351" s="10">
        <f>IF('Batt IN'!$E$11="Taxable",'Batt IN'!$E$22*'Batt IN'!$G$22/12,0)</f>
        <v>0</v>
      </c>
      <c r="BK351" s="10">
        <f>IF('Batt IN'!$N$18="Yes",-BattLoan!H379,-BattLoan!L379)</f>
        <v>0</v>
      </c>
      <c r="BL351" s="10">
        <f>IF('Batt IN'!$N$18="Yes",-BattLoan!F379,0)</f>
        <v>0</v>
      </c>
      <c r="BM351" s="10">
        <f>IF(AND('Batt IN'!$D$44="YES",$C351&lt;='Batt IN'!$E$44*12),0,-'Batt IN'!$E$28*'Batt IN'!$E$42/12)</f>
        <v>-83.333333333333329</v>
      </c>
      <c r="BN351" s="10">
        <f>IF(AND('Batt IN'!$D$46="YES",$C351&lt;='Batt IN'!$E$46*12),0,-'Batt IN'!$E$28*'Batt IN'!$E$45/12)</f>
        <v>-166.66666666666666</v>
      </c>
      <c r="BO351" s="2">
        <f>IF(AND('Batt IN'!$D$41="YES",BattCalcs!C351=ROUNDUP('Batt IN'!$H$41*12,)),-'Batt IN'!$E$41*'Batt IN'!$E$28,0)</f>
        <v>0</v>
      </c>
      <c r="BP351" s="2">
        <f>IF(AND('Batt IN'!$D$53="Yes",$AL$1&gt;=1),0,IF($C351='Batt IN'!$H$54*12,-'Batt IN'!$F$54,0))</f>
        <v>0</v>
      </c>
      <c r="BQ351" s="2">
        <f>IF(AND('Batt IN'!$D$53="Yes",$AL$1&gt;=2),0,IF($C351='Batt IN'!$H$55*12,-'Batt IN'!$F$55,0))</f>
        <v>0</v>
      </c>
      <c r="BR351" s="2">
        <f>IF(AND('Batt IN'!$D$53="Yes",$AL$1&gt;=3),0,IF($C351='Batt IN'!$H$56*12,-'Batt IN'!$F$56,0))</f>
        <v>0</v>
      </c>
      <c r="BS351" s="2">
        <f>IF(AND('Batt IN'!$D$53="Yes",$AL$1&gt;=4),0,IF($C351='Batt IN'!$H$57*12,-'Batt IN'!$F$57,0))</f>
        <v>0</v>
      </c>
      <c r="BT351" s="2">
        <f>IF(AND('Batt IN'!$D$53="Yes",$AL$1&gt;=5),0,IF($C351='Batt IN'!$H$58*12,-'Batt IN'!$F$58,0))</f>
        <v>0</v>
      </c>
      <c r="BU351" s="2">
        <f>-AH351*PVCalcs!F351</f>
        <v>-362.11381975355403</v>
      </c>
      <c r="BV351" s="2">
        <f>-'Batt IN'!$E$47</f>
        <v>-150</v>
      </c>
      <c r="BW351" s="2">
        <f>-'Batt IN'!$E$49</f>
        <v>-2250</v>
      </c>
      <c r="BX351" s="2">
        <f>IF('Batt IN'!$H$50="No",-(BC351*'Batt IN'!$E$50),-(BC351+BE351)*'Batt IN'!$E$50)</f>
        <v>0</v>
      </c>
      <c r="BY351" s="2">
        <f>IF(C351='Batt IN'!$H$43*12,-'Batt IN'!$E$43,0)</f>
        <v>0</v>
      </c>
      <c r="BZ351" s="38"/>
      <c r="CA351" s="10">
        <f t="shared" si="89"/>
        <v>14141.364175456622</v>
      </c>
      <c r="CB351" s="2">
        <f t="shared" si="94"/>
        <v>-3012.1138197535538</v>
      </c>
      <c r="CC351" s="45">
        <f t="shared" si="90"/>
        <v>11129.250355703069</v>
      </c>
      <c r="CD351" s="43"/>
      <c r="CE351" s="2">
        <f t="shared" si="91"/>
        <v>0</v>
      </c>
      <c r="CF351" s="2">
        <f t="shared" si="95"/>
        <v>-3012.1138197535538</v>
      </c>
      <c r="CG351" s="2"/>
      <c r="CH351" s="2">
        <f t="shared" si="92"/>
        <v>-3012.1138197535538</v>
      </c>
      <c r="CI351" s="45">
        <f>-CH351*'Batt IN'!$E$7</f>
        <v>632.54390214824627</v>
      </c>
      <c r="CJ351" s="48"/>
      <c r="CK351" s="45">
        <f>IF('Batt IN'!$F$4="PV Only",0,IF(C351&gt;'Batt IN'!$H$43*12,0,CC351+CI351))</f>
        <v>0</v>
      </c>
      <c r="CM351" s="10">
        <f t="shared" si="93"/>
        <v>0</v>
      </c>
      <c r="CN351" s="2">
        <f>CK351/(1+('Batt IN'!$G$8))^(C351)</f>
        <v>0</v>
      </c>
      <c r="CO351" s="2" t="e">
        <f>IF(C351&lt;='Batt IN'!$O$30*12,CN351+CO350,NA())</f>
        <v>#N/A</v>
      </c>
      <c r="CQ351" s="2">
        <f>CK351/((1+('Batt IN'!$E$8/12))^BattCalcs!C351)</f>
        <v>0</v>
      </c>
      <c r="CS351" s="10">
        <f t="shared" si="96"/>
        <v>-3012.1138197535538</v>
      </c>
      <c r="CT351" s="10">
        <f t="shared" si="97"/>
        <v>0</v>
      </c>
      <c r="CU351" s="10">
        <f t="shared" si="98"/>
        <v>-3012.1138197535538</v>
      </c>
      <c r="CV351" s="10">
        <f t="shared" si="99"/>
        <v>-3012.1138197535538</v>
      </c>
      <c r="CW351" s="2">
        <f t="shared" si="100"/>
        <v>0</v>
      </c>
      <c r="CX351" s="2">
        <f>-(SUM(CV351:CW351)*'PV IN'!$E$8)</f>
        <v>632.54390214824627</v>
      </c>
      <c r="CY351" s="2">
        <f t="shared" si="101"/>
        <v>-2379.5699176053076</v>
      </c>
      <c r="CZ351" s="2">
        <f>IF(C351&lt;='Batt IN'!$H$43*12,CY351/(1+('PV IN'!$G$9))^(C351),0)</f>
        <v>0</v>
      </c>
      <c r="DA351" s="33">
        <f>IF(C351&lt;='Batt IN'!$H$43*12,AE351,0)</f>
        <v>0</v>
      </c>
    </row>
    <row r="352" spans="1:105" x14ac:dyDescent="0.25">
      <c r="A352" t="str">
        <f>IF(C352&lt;='Batt IN'!$H$43*12,C352,"")</f>
        <v/>
      </c>
      <c r="B352">
        <v>29</v>
      </c>
      <c r="C352">
        <v>348</v>
      </c>
      <c r="D352" s="21">
        <v>778</v>
      </c>
      <c r="E352" s="1">
        <f>1-'Batt IN'!$E$31</f>
        <v>2.0000000000000018E-2</v>
      </c>
      <c r="F352" s="12">
        <f>('Batt IN'!$E$33*365)/8760</f>
        <v>0</v>
      </c>
      <c r="G352" s="22">
        <f>'Batt IN'!$E$32/8760</f>
        <v>5.7077625570776253E-3</v>
      </c>
      <c r="H352" s="22">
        <f>'Batt IN'!$E$13/8760</f>
        <v>5.5936073059360729E-3</v>
      </c>
      <c r="I352" s="23">
        <f>IF(C352&lt;='Batt IN'!$G$14*12,'Batt IN'!$E$15/8760*'Batt IN'!$G$15,0)</f>
        <v>0</v>
      </c>
      <c r="J352" s="12">
        <f>Z352/'Batt IN'!$E$27/730</f>
        <v>2.4999999999999996E-3</v>
      </c>
      <c r="K352" s="23">
        <f>AA352/'Batt IN'!$E$27/730</f>
        <v>1.6027397260273972E-3</v>
      </c>
      <c r="L352" s="23">
        <f>AB352/'Batt IN'!$E$27/730</f>
        <v>2.0547945205479451E-4</v>
      </c>
      <c r="M352" s="23">
        <f>AC352/'Batt IN'!$E$27/730</f>
        <v>4.7945205479452057E-3</v>
      </c>
      <c r="N352" s="23">
        <f>AD352/'Batt IN'!$E$27/730</f>
        <v>3.4246575342465752E-3</v>
      </c>
      <c r="O352" s="12">
        <f t="shared" si="85"/>
        <v>4.3828767123287697E-2</v>
      </c>
      <c r="P352" s="21">
        <f t="shared" si="86"/>
        <v>743.90121917808221</v>
      </c>
      <c r="Q352" s="2">
        <f>IF('Batt IN'!$E$27*'Batt IN'!$E$24&lt;='Batt IN'!$E$28,(('Batt IN'!$E$23*'Batt IN'!$E$27*'Batt IN'!$E$24)/1000)*P352,(('Batt IN'!$E$23*'Batt IN'!$E$28*'Batt IN'!$E$24)/1000)*P352)</f>
        <v>11902.419506849315</v>
      </c>
      <c r="R352" s="2"/>
      <c r="S352" s="77">
        <f>IF(C352&lt;='Batt IN'!$G$14*12,'Batt IN'!$E$15/12,0)</f>
        <v>0</v>
      </c>
      <c r="T352" s="77"/>
      <c r="U352" s="80">
        <f>'Batt IN'!$E$28*('Batt IN'!$G$24/24)*730*(1-O352)</f>
        <v>81433.916666666657</v>
      </c>
      <c r="V352" s="78">
        <f>U352*'Batt IN'!$F$30</f>
        <v>16286.783333333333</v>
      </c>
      <c r="W352" s="78">
        <f>'Batt IN'!$E$28*'Batt IN'!$G$32*('Batt IN'!$E$32/12)*(1+'Batt IN'!$F$30)</f>
        <v>1750.0000000000002</v>
      </c>
      <c r="X352" s="78">
        <f>'Batt IN'!$E$28*'Batt IN'!$G$13*('Batt IN'!$E$13/12)*(1+'Batt IN'!$F$30)</f>
        <v>3184.9999999999995</v>
      </c>
      <c r="Y352" s="33">
        <f>S352*'Batt IN'!$G$15*'Batt IN'!$E$28*(1+'Batt IN'!$F$30)</f>
        <v>0</v>
      </c>
      <c r="Z352" s="33">
        <f>'Batt IN'!$G$16*365/12*(1+'Batt IN'!$F$30)</f>
        <v>1824.9999999999998</v>
      </c>
      <c r="AA352" s="33">
        <f>'Batt IN'!$G$17*'Batt IN'!$E$18*'Batt IN'!$G$18/12*(1+'Batt IN'!$F$30)</f>
        <v>1170</v>
      </c>
      <c r="AB352" s="33">
        <f>'Batt IN'!$G$19*'Batt IN'!$E$20*'Batt IN'!$G$20/12*(1+'Batt IN'!$F$30)</f>
        <v>150</v>
      </c>
      <c r="AC352" s="33">
        <f>'Batt IN'!$G$21*(1+'Batt IN'!$F$30)/12</f>
        <v>3500</v>
      </c>
      <c r="AD352" s="33">
        <f>'Batt IN'!$G$22*(1+'Batt IN'!$F$30)/12</f>
        <v>2500</v>
      </c>
      <c r="AE352" s="33">
        <f t="shared" si="87"/>
        <v>30366.783333333333</v>
      </c>
      <c r="AF352" s="33">
        <f>IF('PV IN'!$F$4="Battery Only",0,AE352*'Batt IN'!$E$29)</f>
        <v>25811.765833333331</v>
      </c>
      <c r="AG352" s="33">
        <f>PVCalcs!L352</f>
        <v>25811.765833333331</v>
      </c>
      <c r="AH352" s="33">
        <f t="shared" si="88"/>
        <v>4555.0175000000017</v>
      </c>
      <c r="AI352" s="33"/>
      <c r="AJ352" s="2">
        <f>IF(AND('Batt IN'!$D$53="Yes",$AL$1&gt;=1),IF($C352='Batt IN'!$H$54*12,-'Batt IN'!$F$54,0),0)</f>
        <v>0</v>
      </c>
      <c r="AK352" s="2">
        <f>IF(AND('Batt IN'!$D$53="Yes",$AL$1&gt;=2),IF($C352='Batt IN'!$H$55*12,-'Batt IN'!$F$55,0),0)</f>
        <v>0</v>
      </c>
      <c r="AL352" s="2">
        <f>IF(AND('Batt IN'!$D$53="Yes",$AL$1&gt;=3),IF($C352='Batt IN'!$H$56*12,-'Batt IN'!$F$56,0),0)</f>
        <v>0</v>
      </c>
      <c r="AM352" s="2">
        <f>IF(AND('Batt IN'!$D$53="Yes",$AL$1&gt;=4),IF($C352='Batt IN'!$H$57*12,-'Batt IN'!$F$57,0),0)</f>
        <v>0</v>
      </c>
      <c r="AN352" s="2">
        <f>IF(AND('Batt IN'!$D$53="Yes",$AL$1&gt;=5),IF($C352='Batt IN'!$H$58*12,-'Batt IN'!$F$58,0),0)</f>
        <v>0</v>
      </c>
      <c r="AO352" s="10">
        <f>IF(AND('Batt IN'!$D$44="YES",$C352&lt;='Batt IN'!$E$44*12),-'Batt IN'!$E$28*'Batt IN'!$E$42/12,0)</f>
        <v>0</v>
      </c>
      <c r="AP352" s="10">
        <f>IF(AND('Batt IN'!$D$46="YES",$C352&lt;='Batt IN'!$E$46*12),-'Batt IN'!$E$28*'Batt IN'!$E$45/12,0)</f>
        <v>0</v>
      </c>
      <c r="AR352" s="10">
        <f>BattLoan!M379</f>
        <v>0</v>
      </c>
      <c r="AS352" s="10">
        <f>'Batt IN'!$G$16*365/12*'Batt IN'!$E$16</f>
        <v>76.041666666666671</v>
      </c>
      <c r="AT352" s="10">
        <f>IF(AND('Batt IN'!$E$18&gt;0,'Batt IN'!$G$18&gt;0),'Batt IN'!$E$17*'Batt IN'!$G$17,0)</f>
        <v>119.44619999999999</v>
      </c>
      <c r="AU352" s="10">
        <f>IF(AND('Batt IN'!$E$20&gt;0,'Batt IN'!$G$20&gt;0),'Batt IN'!$E$19*'Batt IN'!$G$19,0)</f>
        <v>231</v>
      </c>
      <c r="AV352" s="10"/>
      <c r="AW352" s="10"/>
      <c r="AX352" s="10">
        <f>IF('Batt IN'!$E$11="Non-Taxable",Q352,0)</f>
        <v>11902.419506849315</v>
      </c>
      <c r="AY352" s="10">
        <f>IF('Batt IN'!$E$11="Non-Taxable",'Batt IN'!$E$28/1000*'Batt IN'!$G$13*('Batt IN'!$E$13/12)*'Batt IN'!$E$12,0)</f>
        <v>244.42220833333334</v>
      </c>
      <c r="AZ352" s="10">
        <f>IF('Batt IN'!$E$11="Non-Taxable",$S352*'Batt IN'!$G$15*'Batt IN'!$E$28*'Batt IN'!$E$14/1000,0)</f>
        <v>0</v>
      </c>
      <c r="BA352" s="10">
        <f>IF('Batt IN'!$E$11="Non-Taxable",'Batt IN'!$E$21*'Batt IN'!$G$21/12,0)</f>
        <v>437.5</v>
      </c>
      <c r="BB352" s="10">
        <f>IF('Batt IN'!$E$11="Non-Taxable",'Batt IN'!$E$22*'Batt IN'!$G$22/12,0)</f>
        <v>1145.8333333333335</v>
      </c>
      <c r="BC352" s="10">
        <f>IF('Batt IN'!$E$11="Taxable",Q352,0)</f>
        <v>0</v>
      </c>
      <c r="BD352" s="10">
        <f>IF('Batt IN'!$E$11="Taxable",'Batt IN'!$E$28/1000*'Batt IN'!$G$13*('Batt IN'!$E$13/12)*'Batt IN'!$E$12,0)</f>
        <v>0</v>
      </c>
      <c r="BE352" s="10">
        <f>IF('Batt IN'!$E$11="Taxable",$S352*'Batt IN'!$G$15*'Batt IN'!$E$28*'Batt IN'!$E$14/1000,0)</f>
        <v>0</v>
      </c>
      <c r="BF352" s="10">
        <f>IF('Batt IN'!$E$11="Taxable",'Batt IN'!$E$21*'Batt IN'!$G$21/12,0)</f>
        <v>0</v>
      </c>
      <c r="BG352" s="10">
        <f>IF('Batt IN'!$E$11="Taxable",'Batt IN'!$E$22*'Batt IN'!$G$22/12,0)</f>
        <v>0</v>
      </c>
      <c r="BK352" s="10">
        <f>IF('Batt IN'!$N$18="Yes",-BattLoan!H380,-BattLoan!L380)</f>
        <v>0</v>
      </c>
      <c r="BL352" s="10">
        <f>IF('Batt IN'!$N$18="Yes",-BattLoan!F380,0)</f>
        <v>0</v>
      </c>
      <c r="BM352" s="10">
        <f>IF(AND('Batt IN'!$D$44="YES",$C352&lt;='Batt IN'!$E$44*12),0,-'Batt IN'!$E$28*'Batt IN'!$E$42/12)</f>
        <v>-83.333333333333329</v>
      </c>
      <c r="BN352" s="10">
        <f>IF(AND('Batt IN'!$D$46="YES",$C352&lt;='Batt IN'!$E$46*12),0,-'Batt IN'!$E$28*'Batt IN'!$E$45/12)</f>
        <v>-166.66666666666666</v>
      </c>
      <c r="BO352" s="2">
        <f>IF(AND('Batt IN'!$D$41="YES",BattCalcs!C352=ROUNDUP('Batt IN'!$H$41*12,)),-'Batt IN'!$E$41*'Batt IN'!$E$28,0)</f>
        <v>0</v>
      </c>
      <c r="BP352" s="2">
        <f>IF(AND('Batt IN'!$D$53="Yes",$AL$1&gt;=1),0,IF($C352='Batt IN'!$H$54*12,-'Batt IN'!$F$54,0))</f>
        <v>0</v>
      </c>
      <c r="BQ352" s="2">
        <f>IF(AND('Batt IN'!$D$53="Yes",$AL$1&gt;=2),0,IF($C352='Batt IN'!$H$55*12,-'Batt IN'!$F$55,0))</f>
        <v>0</v>
      </c>
      <c r="BR352" s="2">
        <f>IF(AND('Batt IN'!$D$53="Yes",$AL$1&gt;=3),0,IF($C352='Batt IN'!$H$56*12,-'Batt IN'!$F$56,0))</f>
        <v>0</v>
      </c>
      <c r="BS352" s="2">
        <f>IF(AND('Batt IN'!$D$53="Yes",$AL$1&gt;=4),0,IF($C352='Batt IN'!$H$57*12,-'Batt IN'!$F$57,0))</f>
        <v>0</v>
      </c>
      <c r="BT352" s="2">
        <f>IF(AND('Batt IN'!$D$53="Yes",$AL$1&gt;=5),0,IF($C352='Batt IN'!$H$58*12,-'Batt IN'!$F$58,0))</f>
        <v>0</v>
      </c>
      <c r="BU352" s="2">
        <f>-AH352*PVCalcs!F352</f>
        <v>-362.11381975355403</v>
      </c>
      <c r="BV352" s="2">
        <f>-'Batt IN'!$E$47</f>
        <v>-150</v>
      </c>
      <c r="BW352" s="2">
        <f>-'Batt IN'!$E$49</f>
        <v>-2250</v>
      </c>
      <c r="BX352" s="2">
        <f>IF('Batt IN'!$H$50="No",-(BC352*'Batt IN'!$E$50),-(BC352+BE352)*'Batt IN'!$E$50)</f>
        <v>0</v>
      </c>
      <c r="BY352" s="2">
        <f>IF(C352='Batt IN'!$H$43*12,-'Batt IN'!$E$43,0)</f>
        <v>0</v>
      </c>
      <c r="BZ352" s="38"/>
      <c r="CA352" s="10">
        <f t="shared" si="89"/>
        <v>14156.662915182649</v>
      </c>
      <c r="CB352" s="2">
        <f t="shared" si="94"/>
        <v>-3012.1138197535538</v>
      </c>
      <c r="CC352" s="45">
        <f t="shared" si="90"/>
        <v>11144.549095429094</v>
      </c>
      <c r="CD352" s="43"/>
      <c r="CE352" s="2">
        <f t="shared" si="91"/>
        <v>0</v>
      </c>
      <c r="CF352" s="2">
        <f t="shared" si="95"/>
        <v>-3012.1138197535538</v>
      </c>
      <c r="CG352" s="2"/>
      <c r="CH352" s="2">
        <f t="shared" si="92"/>
        <v>-3012.1138197535538</v>
      </c>
      <c r="CI352" s="45">
        <f>-CH352*'Batt IN'!$E$7</f>
        <v>632.54390214824627</v>
      </c>
      <c r="CJ352" s="48"/>
      <c r="CK352" s="45">
        <f>IF('Batt IN'!$F$4="PV Only",0,IF(C352&gt;'Batt IN'!$H$43*12,0,CC352+CI352))</f>
        <v>0</v>
      </c>
      <c r="CM352" s="10">
        <f t="shared" si="93"/>
        <v>0</v>
      </c>
      <c r="CN352" s="2">
        <f>CK352/(1+('Batt IN'!$G$8))^(C352)</f>
        <v>0</v>
      </c>
      <c r="CO352" s="2" t="e">
        <f>IF(C352&lt;='Batt IN'!$O$30*12,CN352+CO351,NA())</f>
        <v>#N/A</v>
      </c>
      <c r="CQ352" s="2">
        <f>CK352/((1+('Batt IN'!$E$8/12))^BattCalcs!C352)</f>
        <v>0</v>
      </c>
      <c r="CS352" s="10">
        <f t="shared" si="96"/>
        <v>-3012.1138197535538</v>
      </c>
      <c r="CT352" s="10">
        <f t="shared" si="97"/>
        <v>0</v>
      </c>
      <c r="CU352" s="10">
        <f t="shared" si="98"/>
        <v>-3012.1138197535538</v>
      </c>
      <c r="CV352" s="10">
        <f t="shared" si="99"/>
        <v>-3012.1138197535538</v>
      </c>
      <c r="CW352" s="2">
        <f t="shared" si="100"/>
        <v>0</v>
      </c>
      <c r="CX352" s="2">
        <f>-(SUM(CV352:CW352)*'PV IN'!$E$8)</f>
        <v>632.54390214824627</v>
      </c>
      <c r="CY352" s="2">
        <f t="shared" si="101"/>
        <v>-2379.5699176053076</v>
      </c>
      <c r="CZ352" s="2">
        <f>IF(C352&lt;='Batt IN'!$H$43*12,CY352/(1+('PV IN'!$G$9))^(C352),0)</f>
        <v>0</v>
      </c>
      <c r="DA352" s="33">
        <f>IF(C352&lt;='Batt IN'!$H$43*12,AE352,0)</f>
        <v>0</v>
      </c>
    </row>
    <row r="353" spans="1:105" x14ac:dyDescent="0.25">
      <c r="A353" t="str">
        <f>IF(C353&lt;='Batt IN'!$H$43*12,C353,"")</f>
        <v/>
      </c>
      <c r="C353">
        <v>349</v>
      </c>
      <c r="D353" s="21">
        <v>779</v>
      </c>
      <c r="E353" s="1">
        <f>1-'Batt IN'!$E$31</f>
        <v>2.0000000000000018E-2</v>
      </c>
      <c r="F353" s="12">
        <f>('Batt IN'!$E$33*365)/8760</f>
        <v>0</v>
      </c>
      <c r="G353" s="22">
        <f>'Batt IN'!$E$32/8760</f>
        <v>5.7077625570776253E-3</v>
      </c>
      <c r="H353" s="22">
        <f>'Batt IN'!$E$13/8760</f>
        <v>5.5936073059360729E-3</v>
      </c>
      <c r="I353" s="23">
        <f>IF(C353&lt;='Batt IN'!$G$14*12,'Batt IN'!$E$15/8760*'Batt IN'!$G$15,0)</f>
        <v>0</v>
      </c>
      <c r="J353" s="12">
        <f>Z353/'Batt IN'!$E$27/730</f>
        <v>2.4999999999999996E-3</v>
      </c>
      <c r="K353" s="23">
        <f>AA353/'Batt IN'!$E$27/730</f>
        <v>1.6027397260273972E-3</v>
      </c>
      <c r="L353" s="23">
        <f>AB353/'Batt IN'!$E$27/730</f>
        <v>2.0547945205479451E-4</v>
      </c>
      <c r="M353" s="23">
        <f>AC353/'Batt IN'!$E$27/730</f>
        <v>4.7945205479452057E-3</v>
      </c>
      <c r="N353" s="23">
        <f>AD353/'Batt IN'!$E$27/730</f>
        <v>3.4246575342465752E-3</v>
      </c>
      <c r="O353" s="12">
        <f t="shared" si="85"/>
        <v>4.3828767123287697E-2</v>
      </c>
      <c r="P353" s="21">
        <f t="shared" si="86"/>
        <v>744.85739041095894</v>
      </c>
      <c r="Q353" s="2">
        <f>IF('Batt IN'!$E$27*'Batt IN'!$E$24&lt;='Batt IN'!$E$28,(('Batt IN'!$E$23*'Batt IN'!$E$27*'Batt IN'!$E$24)/1000)*P353,(('Batt IN'!$E$23*'Batt IN'!$E$28*'Batt IN'!$E$24)/1000)*P353)</f>
        <v>11917.718246575343</v>
      </c>
      <c r="R353" s="2"/>
      <c r="S353" s="77">
        <f>IF(C353&lt;='Batt IN'!$G$14*12,'Batt IN'!$E$15/12,0)</f>
        <v>0</v>
      </c>
      <c r="T353" s="77"/>
      <c r="U353" s="80">
        <f>'Batt IN'!$E$28*('Batt IN'!$G$24/24)*730*(1-O353)</f>
        <v>81433.916666666657</v>
      </c>
      <c r="V353" s="78">
        <f>U353*'Batt IN'!$F$30</f>
        <v>16286.783333333333</v>
      </c>
      <c r="W353" s="78">
        <f>'Batt IN'!$E$28*'Batt IN'!$G$32*('Batt IN'!$E$32/12)*(1+'Batt IN'!$F$30)</f>
        <v>1750.0000000000002</v>
      </c>
      <c r="X353" s="78">
        <f>'Batt IN'!$E$28*'Batt IN'!$G$13*('Batt IN'!$E$13/12)*(1+'Batt IN'!$F$30)</f>
        <v>3184.9999999999995</v>
      </c>
      <c r="Y353" s="33">
        <f>S353*'Batt IN'!$G$15*'Batt IN'!$E$28*(1+'Batt IN'!$F$30)</f>
        <v>0</v>
      </c>
      <c r="Z353" s="33">
        <f>'Batt IN'!$G$16*365/12*(1+'Batt IN'!$F$30)</f>
        <v>1824.9999999999998</v>
      </c>
      <c r="AA353" s="33">
        <f>'Batt IN'!$G$17*'Batt IN'!$E$18*'Batt IN'!$G$18/12*(1+'Batt IN'!$F$30)</f>
        <v>1170</v>
      </c>
      <c r="AB353" s="33">
        <f>'Batt IN'!$G$19*'Batt IN'!$E$20*'Batt IN'!$G$20/12*(1+'Batt IN'!$F$30)</f>
        <v>150</v>
      </c>
      <c r="AC353" s="33">
        <f>'Batt IN'!$G$21*(1+'Batt IN'!$F$30)/12</f>
        <v>3500</v>
      </c>
      <c r="AD353" s="33">
        <f>'Batt IN'!$G$22*(1+'Batt IN'!$F$30)/12</f>
        <v>2500</v>
      </c>
      <c r="AE353" s="33">
        <f t="shared" si="87"/>
        <v>30366.783333333333</v>
      </c>
      <c r="AF353" s="33">
        <f>IF('PV IN'!$F$4="Battery Only",0,AE353*'Batt IN'!$E$29)</f>
        <v>25811.765833333331</v>
      </c>
      <c r="AG353" s="33">
        <f>PVCalcs!L353</f>
        <v>25811.765833333331</v>
      </c>
      <c r="AH353" s="33">
        <f t="shared" si="88"/>
        <v>4555.0175000000017</v>
      </c>
      <c r="AI353" s="33"/>
      <c r="AJ353" s="2">
        <f>IF(AND('Batt IN'!$D$53="Yes",$AL$1&gt;=1),IF($C353='Batt IN'!$H$54*12,-'Batt IN'!$F$54,0),0)</f>
        <v>0</v>
      </c>
      <c r="AK353" s="2">
        <f>IF(AND('Batt IN'!$D$53="Yes",$AL$1&gt;=2),IF($C353='Batt IN'!$H$55*12,-'Batt IN'!$F$55,0),0)</f>
        <v>0</v>
      </c>
      <c r="AL353" s="2">
        <f>IF(AND('Batt IN'!$D$53="Yes",$AL$1&gt;=3),IF($C353='Batt IN'!$H$56*12,-'Batt IN'!$F$56,0),0)</f>
        <v>0</v>
      </c>
      <c r="AM353" s="2">
        <f>IF(AND('Batt IN'!$D$53="Yes",$AL$1&gt;=4),IF($C353='Batt IN'!$H$57*12,-'Batt IN'!$F$57,0),0)</f>
        <v>0</v>
      </c>
      <c r="AN353" s="2">
        <f>IF(AND('Batt IN'!$D$53="Yes",$AL$1&gt;=5),IF($C353='Batt IN'!$H$58*12,-'Batt IN'!$F$58,0),0)</f>
        <v>0</v>
      </c>
      <c r="AO353" s="10">
        <f>IF(AND('Batt IN'!$D$44="YES",$C353&lt;='Batt IN'!$E$44*12),-'Batt IN'!$E$28*'Batt IN'!$E$42/12,0)</f>
        <v>0</v>
      </c>
      <c r="AP353" s="10">
        <f>IF(AND('Batt IN'!$D$46="YES",$C353&lt;='Batt IN'!$E$46*12),-'Batt IN'!$E$28*'Batt IN'!$E$45/12,0)</f>
        <v>0</v>
      </c>
      <c r="AR353" s="10">
        <f>BattLoan!M380</f>
        <v>0</v>
      </c>
      <c r="AS353" s="10">
        <f>'Batt IN'!$G$16*365/12*'Batt IN'!$E$16</f>
        <v>76.041666666666671</v>
      </c>
      <c r="AT353" s="10">
        <f>IF(AND('Batt IN'!$E$18&gt;0,'Batt IN'!$G$18&gt;0),'Batt IN'!$E$17*'Batt IN'!$G$17,0)</f>
        <v>119.44619999999999</v>
      </c>
      <c r="AU353" s="10">
        <f>IF(AND('Batt IN'!$E$20&gt;0,'Batt IN'!$G$20&gt;0),'Batt IN'!$E$19*'Batt IN'!$G$19,0)</f>
        <v>231</v>
      </c>
      <c r="AV353" s="10"/>
      <c r="AW353" s="10"/>
      <c r="AX353" s="10">
        <f>IF('Batt IN'!$E$11="Non-Taxable",Q353,0)</f>
        <v>11917.718246575343</v>
      </c>
      <c r="AY353" s="10">
        <f>IF('Batt IN'!$E$11="Non-Taxable",'Batt IN'!$E$28/1000*'Batt IN'!$G$13*('Batt IN'!$E$13/12)*'Batt IN'!$E$12,0)</f>
        <v>244.42220833333334</v>
      </c>
      <c r="AZ353" s="10">
        <f>IF('Batt IN'!$E$11="Non-Taxable",$S353*'Batt IN'!$G$15*'Batt IN'!$E$28*'Batt IN'!$E$14/1000,0)</f>
        <v>0</v>
      </c>
      <c r="BA353" s="10">
        <f>IF('Batt IN'!$E$11="Non-Taxable",'Batt IN'!$E$21*'Batt IN'!$G$21/12,0)</f>
        <v>437.5</v>
      </c>
      <c r="BB353" s="10">
        <f>IF('Batt IN'!$E$11="Non-Taxable",'Batt IN'!$E$22*'Batt IN'!$G$22/12,0)</f>
        <v>1145.8333333333335</v>
      </c>
      <c r="BC353" s="10">
        <f>IF('Batt IN'!$E$11="Taxable",Q353,0)</f>
        <v>0</v>
      </c>
      <c r="BD353" s="10">
        <f>IF('Batt IN'!$E$11="Taxable",'Batt IN'!$E$28/1000*'Batt IN'!$G$13*('Batt IN'!$E$13/12)*'Batt IN'!$E$12,0)</f>
        <v>0</v>
      </c>
      <c r="BE353" s="10">
        <f>IF('Batt IN'!$E$11="Taxable",$S353*'Batt IN'!$G$15*'Batt IN'!$E$28*'Batt IN'!$E$14/1000,0)</f>
        <v>0</v>
      </c>
      <c r="BF353" s="10">
        <f>IF('Batt IN'!$E$11="Taxable",'Batt IN'!$E$21*'Batt IN'!$G$21/12,0)</f>
        <v>0</v>
      </c>
      <c r="BG353" s="10">
        <f>IF('Batt IN'!$E$11="Taxable",'Batt IN'!$E$22*'Batt IN'!$G$22/12,0)</f>
        <v>0</v>
      </c>
      <c r="BK353" s="10">
        <f>IF('Batt IN'!$N$18="Yes",-BattLoan!H381,-BattLoan!L381)</f>
        <v>0</v>
      </c>
      <c r="BL353" s="10">
        <f>IF('Batt IN'!$N$18="Yes",-BattLoan!F381,0)</f>
        <v>0</v>
      </c>
      <c r="BM353" s="10">
        <f>IF(AND('Batt IN'!$D$44="YES",$C353&lt;='Batt IN'!$E$44*12),0,-'Batt IN'!$E$28*'Batt IN'!$E$42/12)</f>
        <v>-83.333333333333329</v>
      </c>
      <c r="BN353" s="10">
        <f>IF(AND('Batt IN'!$D$46="YES",$C353&lt;='Batt IN'!$E$46*12),0,-'Batt IN'!$E$28*'Batt IN'!$E$45/12)</f>
        <v>-166.66666666666666</v>
      </c>
      <c r="BO353" s="2">
        <f>IF(AND('Batt IN'!$D$41="YES",BattCalcs!C353=ROUNDUP('Batt IN'!$H$41*12,)),-'Batt IN'!$E$41*'Batt IN'!$E$28,0)</f>
        <v>0</v>
      </c>
      <c r="BP353" s="2">
        <f>IF(AND('Batt IN'!$D$53="Yes",$AL$1&gt;=1),0,IF($C353='Batt IN'!$H$54*12,-'Batt IN'!$F$54,0))</f>
        <v>0</v>
      </c>
      <c r="BQ353" s="2">
        <f>IF(AND('Batt IN'!$D$53="Yes",$AL$1&gt;=2),0,IF($C353='Batt IN'!$H$55*12,-'Batt IN'!$F$55,0))</f>
        <v>0</v>
      </c>
      <c r="BR353" s="2">
        <f>IF(AND('Batt IN'!$D$53="Yes",$AL$1&gt;=3),0,IF($C353='Batt IN'!$H$56*12,-'Batt IN'!$F$56,0))</f>
        <v>0</v>
      </c>
      <c r="BS353" s="2">
        <f>IF(AND('Batt IN'!$D$53="Yes",$AL$1&gt;=4),0,IF($C353='Batt IN'!$H$57*12,-'Batt IN'!$F$57,0))</f>
        <v>0</v>
      </c>
      <c r="BT353" s="2">
        <f>IF(AND('Batt IN'!$D$53="Yes",$AL$1&gt;=5),0,IF($C353='Batt IN'!$H$58*12,-'Batt IN'!$F$58,0))</f>
        <v>0</v>
      </c>
      <c r="BU353" s="2">
        <f>-AH353*PVCalcs!F353</f>
        <v>-359.37504381576838</v>
      </c>
      <c r="BV353" s="2">
        <f>-'Batt IN'!$E$47</f>
        <v>-150</v>
      </c>
      <c r="BW353" s="2">
        <f>-'Batt IN'!$E$49</f>
        <v>-2250</v>
      </c>
      <c r="BX353" s="2">
        <f>IF('Batt IN'!$H$50="No",-(BC353*'Batt IN'!$E$50),-(BC353+BE353)*'Batt IN'!$E$50)</f>
        <v>0</v>
      </c>
      <c r="BY353" s="2">
        <f>IF(C353='Batt IN'!$H$43*12,-'Batt IN'!$E$43,0)</f>
        <v>0</v>
      </c>
      <c r="BZ353" s="38"/>
      <c r="CA353" s="10">
        <f t="shared" si="89"/>
        <v>14171.961654908677</v>
      </c>
      <c r="CB353" s="2">
        <f t="shared" si="94"/>
        <v>-3009.3750438157685</v>
      </c>
      <c r="CC353" s="45">
        <f t="shared" si="90"/>
        <v>11162.586611092909</v>
      </c>
      <c r="CD353" s="43"/>
      <c r="CE353" s="2">
        <f t="shared" si="91"/>
        <v>0</v>
      </c>
      <c r="CF353" s="2">
        <f t="shared" si="95"/>
        <v>-3009.3750438157685</v>
      </c>
      <c r="CG353" s="2"/>
      <c r="CH353" s="2">
        <f t="shared" si="92"/>
        <v>-3009.3750438157685</v>
      </c>
      <c r="CI353" s="45">
        <f>-CH353*'Batt IN'!$E$7</f>
        <v>631.9687592013114</v>
      </c>
      <c r="CJ353" s="48"/>
      <c r="CK353" s="45">
        <f>IF('Batt IN'!$F$4="PV Only",0,IF(C353&gt;'Batt IN'!$H$43*12,0,CC353+CI353))</f>
        <v>0</v>
      </c>
      <c r="CM353" s="10">
        <f t="shared" si="93"/>
        <v>0</v>
      </c>
      <c r="CN353" s="2">
        <f>CK353/(1+('Batt IN'!$G$8))^(C353)</f>
        <v>0</v>
      </c>
      <c r="CO353" s="2" t="e">
        <f>IF(C353&lt;='Batt IN'!$O$30*12,CN353+CO352,NA())</f>
        <v>#N/A</v>
      </c>
      <c r="CQ353" s="2">
        <f>CK353/((1+('Batt IN'!$E$8/12))^BattCalcs!C353)</f>
        <v>0</v>
      </c>
      <c r="CS353" s="10">
        <f t="shared" si="96"/>
        <v>-3009.3750438157685</v>
      </c>
      <c r="CT353" s="10">
        <f t="shared" si="97"/>
        <v>0</v>
      </c>
      <c r="CU353" s="10">
        <f t="shared" si="98"/>
        <v>-3009.3750438157685</v>
      </c>
      <c r="CV353" s="10">
        <f t="shared" si="99"/>
        <v>-3009.3750438157685</v>
      </c>
      <c r="CW353" s="2">
        <f t="shared" si="100"/>
        <v>0</v>
      </c>
      <c r="CX353" s="2">
        <f>-(SUM(CV353:CW353)*'PV IN'!$E$8)</f>
        <v>631.9687592013114</v>
      </c>
      <c r="CY353" s="2">
        <f t="shared" si="101"/>
        <v>-2377.406284614457</v>
      </c>
      <c r="CZ353" s="2">
        <f>IF(C353&lt;='Batt IN'!$H$43*12,CY353/(1+('PV IN'!$G$9))^(C353),0)</f>
        <v>0</v>
      </c>
      <c r="DA353" s="33">
        <f>IF(C353&lt;='Batt IN'!$H$43*12,AE353,0)</f>
        <v>0</v>
      </c>
    </row>
    <row r="354" spans="1:105" x14ac:dyDescent="0.25">
      <c r="A354" t="str">
        <f>IF(C354&lt;='Batt IN'!$H$43*12,C354,"")</f>
        <v/>
      </c>
      <c r="C354">
        <v>350</v>
      </c>
      <c r="D354" s="21">
        <v>780</v>
      </c>
      <c r="E354" s="1">
        <f>1-'Batt IN'!$E$31</f>
        <v>2.0000000000000018E-2</v>
      </c>
      <c r="F354" s="12">
        <f>('Batt IN'!$E$33*365)/8760</f>
        <v>0</v>
      </c>
      <c r="G354" s="22">
        <f>'Batt IN'!$E$32/8760</f>
        <v>5.7077625570776253E-3</v>
      </c>
      <c r="H354" s="22">
        <f>'Batt IN'!$E$13/8760</f>
        <v>5.5936073059360729E-3</v>
      </c>
      <c r="I354" s="23">
        <f>IF(C354&lt;='Batt IN'!$G$14*12,'Batt IN'!$E$15/8760*'Batt IN'!$G$15,0)</f>
        <v>0</v>
      </c>
      <c r="J354" s="12">
        <f>Z354/'Batt IN'!$E$27/730</f>
        <v>2.4999999999999996E-3</v>
      </c>
      <c r="K354" s="23">
        <f>AA354/'Batt IN'!$E$27/730</f>
        <v>1.6027397260273972E-3</v>
      </c>
      <c r="L354" s="23">
        <f>AB354/'Batt IN'!$E$27/730</f>
        <v>2.0547945205479451E-4</v>
      </c>
      <c r="M354" s="23">
        <f>AC354/'Batt IN'!$E$27/730</f>
        <v>4.7945205479452057E-3</v>
      </c>
      <c r="N354" s="23">
        <f>AD354/'Batt IN'!$E$27/730</f>
        <v>3.4246575342465752E-3</v>
      </c>
      <c r="O354" s="12">
        <f t="shared" si="85"/>
        <v>4.3828767123287697E-2</v>
      </c>
      <c r="P354" s="21">
        <f t="shared" si="86"/>
        <v>745.81356164383567</v>
      </c>
      <c r="Q354" s="2">
        <f>IF('Batt IN'!$E$27*'Batt IN'!$E$24&lt;='Batt IN'!$E$28,(('Batt IN'!$E$23*'Batt IN'!$E$27*'Batt IN'!$E$24)/1000)*P354,(('Batt IN'!$E$23*'Batt IN'!$E$28*'Batt IN'!$E$24)/1000)*P354)</f>
        <v>11933.016986301371</v>
      </c>
      <c r="R354" s="2"/>
      <c r="S354" s="77">
        <f>IF(C354&lt;='Batt IN'!$G$14*12,'Batt IN'!$E$15/12,0)</f>
        <v>0</v>
      </c>
      <c r="T354" s="77"/>
      <c r="U354" s="80">
        <f>'Batt IN'!$E$28*('Batt IN'!$G$24/24)*730*(1-O354)</f>
        <v>81433.916666666657</v>
      </c>
      <c r="V354" s="78">
        <f>U354*'Batt IN'!$F$30</f>
        <v>16286.783333333333</v>
      </c>
      <c r="W354" s="78">
        <f>'Batt IN'!$E$28*'Batt IN'!$G$32*('Batt IN'!$E$32/12)*(1+'Batt IN'!$F$30)</f>
        <v>1750.0000000000002</v>
      </c>
      <c r="X354" s="78">
        <f>'Batt IN'!$E$28*'Batt IN'!$G$13*('Batt IN'!$E$13/12)*(1+'Batt IN'!$F$30)</f>
        <v>3184.9999999999995</v>
      </c>
      <c r="Y354" s="33">
        <f>S354*'Batt IN'!$G$15*'Batt IN'!$E$28*(1+'Batt IN'!$F$30)</f>
        <v>0</v>
      </c>
      <c r="Z354" s="33">
        <f>'Batt IN'!$G$16*365/12*(1+'Batt IN'!$F$30)</f>
        <v>1824.9999999999998</v>
      </c>
      <c r="AA354" s="33">
        <f>'Batt IN'!$G$17*'Batt IN'!$E$18*'Batt IN'!$G$18/12*(1+'Batt IN'!$F$30)</f>
        <v>1170</v>
      </c>
      <c r="AB354" s="33">
        <f>'Batt IN'!$G$19*'Batt IN'!$E$20*'Batt IN'!$G$20/12*(1+'Batt IN'!$F$30)</f>
        <v>150</v>
      </c>
      <c r="AC354" s="33">
        <f>'Batt IN'!$G$21*(1+'Batt IN'!$F$30)/12</f>
        <v>3500</v>
      </c>
      <c r="AD354" s="33">
        <f>'Batt IN'!$G$22*(1+'Batt IN'!$F$30)/12</f>
        <v>2500</v>
      </c>
      <c r="AE354" s="33">
        <f t="shared" si="87"/>
        <v>30366.783333333333</v>
      </c>
      <c r="AF354" s="33">
        <f>IF('PV IN'!$F$4="Battery Only",0,AE354*'Batt IN'!$E$29)</f>
        <v>25811.765833333331</v>
      </c>
      <c r="AG354" s="33">
        <f>PVCalcs!L354</f>
        <v>25811.765833333331</v>
      </c>
      <c r="AH354" s="33">
        <f t="shared" si="88"/>
        <v>4555.0175000000017</v>
      </c>
      <c r="AI354" s="33"/>
      <c r="AJ354" s="2">
        <f>IF(AND('Batt IN'!$D$53="Yes",$AL$1&gt;=1),IF($C354='Batt IN'!$H$54*12,-'Batt IN'!$F$54,0),0)</f>
        <v>0</v>
      </c>
      <c r="AK354" s="2">
        <f>IF(AND('Batt IN'!$D$53="Yes",$AL$1&gt;=2),IF($C354='Batt IN'!$H$55*12,-'Batt IN'!$F$55,0),0)</f>
        <v>0</v>
      </c>
      <c r="AL354" s="2">
        <f>IF(AND('Batt IN'!$D$53="Yes",$AL$1&gt;=3),IF($C354='Batt IN'!$H$56*12,-'Batt IN'!$F$56,0),0)</f>
        <v>0</v>
      </c>
      <c r="AM354" s="2">
        <f>IF(AND('Batt IN'!$D$53="Yes",$AL$1&gt;=4),IF($C354='Batt IN'!$H$57*12,-'Batt IN'!$F$57,0),0)</f>
        <v>0</v>
      </c>
      <c r="AN354" s="2">
        <f>IF(AND('Batt IN'!$D$53="Yes",$AL$1&gt;=5),IF($C354='Batt IN'!$H$58*12,-'Batt IN'!$F$58,0),0)</f>
        <v>0</v>
      </c>
      <c r="AO354" s="10">
        <f>IF(AND('Batt IN'!$D$44="YES",$C354&lt;='Batt IN'!$E$44*12),-'Batt IN'!$E$28*'Batt IN'!$E$42/12,0)</f>
        <v>0</v>
      </c>
      <c r="AP354" s="10">
        <f>IF(AND('Batt IN'!$D$46="YES",$C354&lt;='Batt IN'!$E$46*12),-'Batt IN'!$E$28*'Batt IN'!$E$45/12,0)</f>
        <v>0</v>
      </c>
      <c r="AR354" s="10">
        <f>BattLoan!M381</f>
        <v>0</v>
      </c>
      <c r="AS354" s="10">
        <f>'Batt IN'!$G$16*365/12*'Batt IN'!$E$16</f>
        <v>76.041666666666671</v>
      </c>
      <c r="AT354" s="10">
        <f>IF(AND('Batt IN'!$E$18&gt;0,'Batt IN'!$G$18&gt;0),'Batt IN'!$E$17*'Batt IN'!$G$17,0)</f>
        <v>119.44619999999999</v>
      </c>
      <c r="AU354" s="10">
        <f>IF(AND('Batt IN'!$E$20&gt;0,'Batt IN'!$G$20&gt;0),'Batt IN'!$E$19*'Batt IN'!$G$19,0)</f>
        <v>231</v>
      </c>
      <c r="AV354" s="10"/>
      <c r="AW354" s="10"/>
      <c r="AX354" s="10">
        <f>IF('Batt IN'!$E$11="Non-Taxable",Q354,0)</f>
        <v>11933.016986301371</v>
      </c>
      <c r="AY354" s="10">
        <f>IF('Batt IN'!$E$11="Non-Taxable",'Batt IN'!$E$28/1000*'Batt IN'!$G$13*('Batt IN'!$E$13/12)*'Batt IN'!$E$12,0)</f>
        <v>244.42220833333334</v>
      </c>
      <c r="AZ354" s="10">
        <f>IF('Batt IN'!$E$11="Non-Taxable",$S354*'Batt IN'!$G$15*'Batt IN'!$E$28*'Batt IN'!$E$14/1000,0)</f>
        <v>0</v>
      </c>
      <c r="BA354" s="10">
        <f>IF('Batt IN'!$E$11="Non-Taxable",'Batt IN'!$E$21*'Batt IN'!$G$21/12,0)</f>
        <v>437.5</v>
      </c>
      <c r="BB354" s="10">
        <f>IF('Batt IN'!$E$11="Non-Taxable",'Batt IN'!$E$22*'Batt IN'!$G$22/12,0)</f>
        <v>1145.8333333333335</v>
      </c>
      <c r="BC354" s="10">
        <f>IF('Batt IN'!$E$11="Taxable",Q354,0)</f>
        <v>0</v>
      </c>
      <c r="BD354" s="10">
        <f>IF('Batt IN'!$E$11="Taxable",'Batt IN'!$E$28/1000*'Batt IN'!$G$13*('Batt IN'!$E$13/12)*'Batt IN'!$E$12,0)</f>
        <v>0</v>
      </c>
      <c r="BE354" s="10">
        <f>IF('Batt IN'!$E$11="Taxable",$S354*'Batt IN'!$G$15*'Batt IN'!$E$28*'Batt IN'!$E$14/1000,0)</f>
        <v>0</v>
      </c>
      <c r="BF354" s="10">
        <f>IF('Batt IN'!$E$11="Taxable",'Batt IN'!$E$21*'Batt IN'!$G$21/12,0)</f>
        <v>0</v>
      </c>
      <c r="BG354" s="10">
        <f>IF('Batt IN'!$E$11="Taxable",'Batt IN'!$E$22*'Batt IN'!$G$22/12,0)</f>
        <v>0</v>
      </c>
      <c r="BK354" s="10">
        <f>IF('Batt IN'!$N$18="Yes",-BattLoan!H382,-BattLoan!L382)</f>
        <v>0</v>
      </c>
      <c r="BL354" s="10">
        <f>IF('Batt IN'!$N$18="Yes",-BattLoan!F382,0)</f>
        <v>0</v>
      </c>
      <c r="BM354" s="10">
        <f>IF(AND('Batt IN'!$D$44="YES",$C354&lt;='Batt IN'!$E$44*12),0,-'Batt IN'!$E$28*'Batt IN'!$E$42/12)</f>
        <v>-83.333333333333329</v>
      </c>
      <c r="BN354" s="10">
        <f>IF(AND('Batt IN'!$D$46="YES",$C354&lt;='Batt IN'!$E$46*12),0,-'Batt IN'!$E$28*'Batt IN'!$E$45/12)</f>
        <v>-166.66666666666666</v>
      </c>
      <c r="BO354" s="2">
        <f>IF(AND('Batt IN'!$D$41="YES",BattCalcs!C354=ROUNDUP('Batt IN'!$H$41*12,)),-'Batt IN'!$E$41*'Batt IN'!$E$28,0)</f>
        <v>0</v>
      </c>
      <c r="BP354" s="2">
        <f>IF(AND('Batt IN'!$D$53="Yes",$AL$1&gt;=1),0,IF($C354='Batt IN'!$H$54*12,-'Batt IN'!$F$54,0))</f>
        <v>0</v>
      </c>
      <c r="BQ354" s="2">
        <f>IF(AND('Batt IN'!$D$53="Yes",$AL$1&gt;=2),0,IF($C354='Batt IN'!$H$55*12,-'Batt IN'!$F$55,0))</f>
        <v>0</v>
      </c>
      <c r="BR354" s="2">
        <f>IF(AND('Batt IN'!$D$53="Yes",$AL$1&gt;=3),0,IF($C354='Batt IN'!$H$56*12,-'Batt IN'!$F$56,0))</f>
        <v>0</v>
      </c>
      <c r="BS354" s="2">
        <f>IF(AND('Batt IN'!$D$53="Yes",$AL$1&gt;=4),0,IF($C354='Batt IN'!$H$57*12,-'Batt IN'!$F$57,0))</f>
        <v>0</v>
      </c>
      <c r="BT354" s="2">
        <f>IF(AND('Batt IN'!$D$53="Yes",$AL$1&gt;=5),0,IF($C354='Batt IN'!$H$58*12,-'Batt IN'!$F$58,0))</f>
        <v>0</v>
      </c>
      <c r="BU354" s="2">
        <f>-AH354*PVCalcs!F354</f>
        <v>-359.37504381576838</v>
      </c>
      <c r="BV354" s="2">
        <f>-'Batt IN'!$E$47</f>
        <v>-150</v>
      </c>
      <c r="BW354" s="2">
        <f>-'Batt IN'!$E$49</f>
        <v>-2250</v>
      </c>
      <c r="BX354" s="2">
        <f>IF('Batt IN'!$H$50="No",-(BC354*'Batt IN'!$E$50),-(BC354+BE354)*'Batt IN'!$E$50)</f>
        <v>0</v>
      </c>
      <c r="BY354" s="2">
        <f>IF(C354='Batt IN'!$H$43*12,-'Batt IN'!$E$43,0)</f>
        <v>0</v>
      </c>
      <c r="BZ354" s="38"/>
      <c r="CA354" s="10">
        <f t="shared" si="89"/>
        <v>14187.260394634704</v>
      </c>
      <c r="CB354" s="2">
        <f t="shared" si="94"/>
        <v>-3009.3750438157685</v>
      </c>
      <c r="CC354" s="45">
        <f t="shared" si="90"/>
        <v>11177.885350818935</v>
      </c>
      <c r="CD354" s="43"/>
      <c r="CE354" s="2">
        <f t="shared" si="91"/>
        <v>0</v>
      </c>
      <c r="CF354" s="2">
        <f t="shared" si="95"/>
        <v>-3009.3750438157685</v>
      </c>
      <c r="CG354" s="2"/>
      <c r="CH354" s="2">
        <f t="shared" si="92"/>
        <v>-3009.3750438157685</v>
      </c>
      <c r="CI354" s="45">
        <f>-CH354*'Batt IN'!$E$7</f>
        <v>631.9687592013114</v>
      </c>
      <c r="CJ354" s="48"/>
      <c r="CK354" s="45">
        <f>IF('Batt IN'!$F$4="PV Only",0,IF(C354&gt;'Batt IN'!$H$43*12,0,CC354+CI354))</f>
        <v>0</v>
      </c>
      <c r="CM354" s="10">
        <f t="shared" si="93"/>
        <v>0</v>
      </c>
      <c r="CN354" s="2">
        <f>CK354/(1+('Batt IN'!$G$8))^(C354)</f>
        <v>0</v>
      </c>
      <c r="CO354" s="2" t="e">
        <f>IF(C354&lt;='Batt IN'!$O$30*12,CN354+CO353,NA())</f>
        <v>#N/A</v>
      </c>
      <c r="CQ354" s="2">
        <f>CK354/((1+('Batt IN'!$E$8/12))^BattCalcs!C354)</f>
        <v>0</v>
      </c>
      <c r="CS354" s="10">
        <f t="shared" si="96"/>
        <v>-3009.3750438157685</v>
      </c>
      <c r="CT354" s="10">
        <f t="shared" si="97"/>
        <v>0</v>
      </c>
      <c r="CU354" s="10">
        <f t="shared" si="98"/>
        <v>-3009.3750438157685</v>
      </c>
      <c r="CV354" s="10">
        <f t="shared" si="99"/>
        <v>-3009.3750438157685</v>
      </c>
      <c r="CW354" s="2">
        <f t="shared" si="100"/>
        <v>0</v>
      </c>
      <c r="CX354" s="2">
        <f>-(SUM(CV354:CW354)*'PV IN'!$E$8)</f>
        <v>631.9687592013114</v>
      </c>
      <c r="CY354" s="2">
        <f t="shared" si="101"/>
        <v>-2377.406284614457</v>
      </c>
      <c r="CZ354" s="2">
        <f>IF(C354&lt;='Batt IN'!$H$43*12,CY354/(1+('PV IN'!$G$9))^(C354),0)</f>
        <v>0</v>
      </c>
      <c r="DA354" s="33">
        <f>IF(C354&lt;='Batt IN'!$H$43*12,AE354,0)</f>
        <v>0</v>
      </c>
    </row>
    <row r="355" spans="1:105" x14ac:dyDescent="0.25">
      <c r="A355" t="str">
        <f>IF(C355&lt;='Batt IN'!$H$43*12,C355,"")</f>
        <v/>
      </c>
      <c r="C355">
        <v>351</v>
      </c>
      <c r="D355" s="21">
        <v>781</v>
      </c>
      <c r="E355" s="1">
        <f>1-'Batt IN'!$E$31</f>
        <v>2.0000000000000018E-2</v>
      </c>
      <c r="F355" s="12">
        <f>('Batt IN'!$E$33*365)/8760</f>
        <v>0</v>
      </c>
      <c r="G355" s="22">
        <f>'Batt IN'!$E$32/8760</f>
        <v>5.7077625570776253E-3</v>
      </c>
      <c r="H355" s="22">
        <f>'Batt IN'!$E$13/8760</f>
        <v>5.5936073059360729E-3</v>
      </c>
      <c r="I355" s="23">
        <f>IF(C355&lt;='Batt IN'!$G$14*12,'Batt IN'!$E$15/8760*'Batt IN'!$G$15,0)</f>
        <v>0</v>
      </c>
      <c r="J355" s="12">
        <f>Z355/'Batt IN'!$E$27/730</f>
        <v>2.4999999999999996E-3</v>
      </c>
      <c r="K355" s="23">
        <f>AA355/'Batt IN'!$E$27/730</f>
        <v>1.6027397260273972E-3</v>
      </c>
      <c r="L355" s="23">
        <f>AB355/'Batt IN'!$E$27/730</f>
        <v>2.0547945205479451E-4</v>
      </c>
      <c r="M355" s="23">
        <f>AC355/'Batt IN'!$E$27/730</f>
        <v>4.7945205479452057E-3</v>
      </c>
      <c r="N355" s="23">
        <f>AD355/'Batt IN'!$E$27/730</f>
        <v>3.4246575342465752E-3</v>
      </c>
      <c r="O355" s="12">
        <f t="shared" si="85"/>
        <v>4.3828767123287697E-2</v>
      </c>
      <c r="P355" s="21">
        <f t="shared" si="86"/>
        <v>746.7697328767124</v>
      </c>
      <c r="Q355" s="2">
        <f>IF('Batt IN'!$E$27*'Batt IN'!$E$24&lt;='Batt IN'!$E$28,(('Batt IN'!$E$23*'Batt IN'!$E$27*'Batt IN'!$E$24)/1000)*P355,(('Batt IN'!$E$23*'Batt IN'!$E$28*'Batt IN'!$E$24)/1000)*P355)</f>
        <v>11948.315726027398</v>
      </c>
      <c r="R355" s="2"/>
      <c r="S355" s="77">
        <f>IF(C355&lt;='Batt IN'!$G$14*12,'Batt IN'!$E$15/12,0)</f>
        <v>0</v>
      </c>
      <c r="T355" s="77"/>
      <c r="U355" s="80">
        <f>'Batt IN'!$E$28*('Batt IN'!$G$24/24)*730*(1-O355)</f>
        <v>81433.916666666657</v>
      </c>
      <c r="V355" s="78">
        <f>U355*'Batt IN'!$F$30</f>
        <v>16286.783333333333</v>
      </c>
      <c r="W355" s="78">
        <f>'Batt IN'!$E$28*'Batt IN'!$G$32*('Batt IN'!$E$32/12)*(1+'Batt IN'!$F$30)</f>
        <v>1750.0000000000002</v>
      </c>
      <c r="X355" s="78">
        <f>'Batt IN'!$E$28*'Batt IN'!$G$13*('Batt IN'!$E$13/12)*(1+'Batt IN'!$F$30)</f>
        <v>3184.9999999999995</v>
      </c>
      <c r="Y355" s="33">
        <f>S355*'Batt IN'!$G$15*'Batt IN'!$E$28*(1+'Batt IN'!$F$30)</f>
        <v>0</v>
      </c>
      <c r="Z355" s="33">
        <f>'Batt IN'!$G$16*365/12*(1+'Batt IN'!$F$30)</f>
        <v>1824.9999999999998</v>
      </c>
      <c r="AA355" s="33">
        <f>'Batt IN'!$G$17*'Batt IN'!$E$18*'Batt IN'!$G$18/12*(1+'Batt IN'!$F$30)</f>
        <v>1170</v>
      </c>
      <c r="AB355" s="33">
        <f>'Batt IN'!$G$19*'Batt IN'!$E$20*'Batt IN'!$G$20/12*(1+'Batt IN'!$F$30)</f>
        <v>150</v>
      </c>
      <c r="AC355" s="33">
        <f>'Batt IN'!$G$21*(1+'Batt IN'!$F$30)/12</f>
        <v>3500</v>
      </c>
      <c r="AD355" s="33">
        <f>'Batt IN'!$G$22*(1+'Batt IN'!$F$30)/12</f>
        <v>2500</v>
      </c>
      <c r="AE355" s="33">
        <f t="shared" si="87"/>
        <v>30366.783333333333</v>
      </c>
      <c r="AF355" s="33">
        <f>IF('PV IN'!$F$4="Battery Only",0,AE355*'Batt IN'!$E$29)</f>
        <v>25811.765833333331</v>
      </c>
      <c r="AG355" s="33">
        <f>PVCalcs!L355</f>
        <v>25811.765833333331</v>
      </c>
      <c r="AH355" s="33">
        <f t="shared" si="88"/>
        <v>4555.0175000000017</v>
      </c>
      <c r="AI355" s="33"/>
      <c r="AJ355" s="2">
        <f>IF(AND('Batt IN'!$D$53="Yes",$AL$1&gt;=1),IF($C355='Batt IN'!$H$54*12,-'Batt IN'!$F$54,0),0)</f>
        <v>0</v>
      </c>
      <c r="AK355" s="2">
        <f>IF(AND('Batt IN'!$D$53="Yes",$AL$1&gt;=2),IF($C355='Batt IN'!$H$55*12,-'Batt IN'!$F$55,0),0)</f>
        <v>0</v>
      </c>
      <c r="AL355" s="2">
        <f>IF(AND('Batt IN'!$D$53="Yes",$AL$1&gt;=3),IF($C355='Batt IN'!$H$56*12,-'Batt IN'!$F$56,0),0)</f>
        <v>0</v>
      </c>
      <c r="AM355" s="2">
        <f>IF(AND('Batt IN'!$D$53="Yes",$AL$1&gt;=4),IF($C355='Batt IN'!$H$57*12,-'Batt IN'!$F$57,0),0)</f>
        <v>0</v>
      </c>
      <c r="AN355" s="2">
        <f>IF(AND('Batt IN'!$D$53="Yes",$AL$1&gt;=5),IF($C355='Batt IN'!$H$58*12,-'Batt IN'!$F$58,0),0)</f>
        <v>0</v>
      </c>
      <c r="AO355" s="10">
        <f>IF(AND('Batt IN'!$D$44="YES",$C355&lt;='Batt IN'!$E$44*12),-'Batt IN'!$E$28*'Batt IN'!$E$42/12,0)</f>
        <v>0</v>
      </c>
      <c r="AP355" s="10">
        <f>IF(AND('Batt IN'!$D$46="YES",$C355&lt;='Batt IN'!$E$46*12),-'Batt IN'!$E$28*'Batt IN'!$E$45/12,0)</f>
        <v>0</v>
      </c>
      <c r="AR355" s="10">
        <f>BattLoan!M382</f>
        <v>0</v>
      </c>
      <c r="AS355" s="10">
        <f>'Batt IN'!$G$16*365/12*'Batt IN'!$E$16</f>
        <v>76.041666666666671</v>
      </c>
      <c r="AT355" s="10">
        <f>IF(AND('Batt IN'!$E$18&gt;0,'Batt IN'!$G$18&gt;0),'Batt IN'!$E$17*'Batt IN'!$G$17,0)</f>
        <v>119.44619999999999</v>
      </c>
      <c r="AU355" s="10">
        <f>IF(AND('Batt IN'!$E$20&gt;0,'Batt IN'!$G$20&gt;0),'Batt IN'!$E$19*'Batt IN'!$G$19,0)</f>
        <v>231</v>
      </c>
      <c r="AV355" s="10"/>
      <c r="AW355" s="10"/>
      <c r="AX355" s="10">
        <f>IF('Batt IN'!$E$11="Non-Taxable",Q355,0)</f>
        <v>11948.315726027398</v>
      </c>
      <c r="AY355" s="10">
        <f>IF('Batt IN'!$E$11="Non-Taxable",'Batt IN'!$E$28/1000*'Batt IN'!$G$13*('Batt IN'!$E$13/12)*'Batt IN'!$E$12,0)</f>
        <v>244.42220833333334</v>
      </c>
      <c r="AZ355" s="10">
        <f>IF('Batt IN'!$E$11="Non-Taxable",$S355*'Batt IN'!$G$15*'Batt IN'!$E$28*'Batt IN'!$E$14/1000,0)</f>
        <v>0</v>
      </c>
      <c r="BA355" s="10">
        <f>IF('Batt IN'!$E$11="Non-Taxable",'Batt IN'!$E$21*'Batt IN'!$G$21/12,0)</f>
        <v>437.5</v>
      </c>
      <c r="BB355" s="10">
        <f>IF('Batt IN'!$E$11="Non-Taxable",'Batt IN'!$E$22*'Batt IN'!$G$22/12,0)</f>
        <v>1145.8333333333335</v>
      </c>
      <c r="BC355" s="10">
        <f>IF('Batt IN'!$E$11="Taxable",Q355,0)</f>
        <v>0</v>
      </c>
      <c r="BD355" s="10">
        <f>IF('Batt IN'!$E$11="Taxable",'Batt IN'!$E$28/1000*'Batt IN'!$G$13*('Batt IN'!$E$13/12)*'Batt IN'!$E$12,0)</f>
        <v>0</v>
      </c>
      <c r="BE355" s="10">
        <f>IF('Batt IN'!$E$11="Taxable",$S355*'Batt IN'!$G$15*'Batt IN'!$E$28*'Batt IN'!$E$14/1000,0)</f>
        <v>0</v>
      </c>
      <c r="BF355" s="10">
        <f>IF('Batt IN'!$E$11="Taxable",'Batt IN'!$E$21*'Batt IN'!$G$21/12,0)</f>
        <v>0</v>
      </c>
      <c r="BG355" s="10">
        <f>IF('Batt IN'!$E$11="Taxable",'Batt IN'!$E$22*'Batt IN'!$G$22/12,0)</f>
        <v>0</v>
      </c>
      <c r="BK355" s="10">
        <f>IF('Batt IN'!$N$18="Yes",-BattLoan!H383,-BattLoan!L383)</f>
        <v>0</v>
      </c>
      <c r="BL355" s="10">
        <f>IF('Batt IN'!$N$18="Yes",-BattLoan!F383,0)</f>
        <v>0</v>
      </c>
      <c r="BM355" s="10">
        <f>IF(AND('Batt IN'!$D$44="YES",$C355&lt;='Batt IN'!$E$44*12),0,-'Batt IN'!$E$28*'Batt IN'!$E$42/12)</f>
        <v>-83.333333333333329</v>
      </c>
      <c r="BN355" s="10">
        <f>IF(AND('Batt IN'!$D$46="YES",$C355&lt;='Batt IN'!$E$46*12),0,-'Batt IN'!$E$28*'Batt IN'!$E$45/12)</f>
        <v>-166.66666666666666</v>
      </c>
      <c r="BO355" s="2">
        <f>IF(AND('Batt IN'!$D$41="YES",BattCalcs!C355=ROUNDUP('Batt IN'!$H$41*12,)),-'Batt IN'!$E$41*'Batt IN'!$E$28,0)</f>
        <v>0</v>
      </c>
      <c r="BP355" s="2">
        <f>IF(AND('Batt IN'!$D$53="Yes",$AL$1&gt;=1),0,IF($C355='Batt IN'!$H$54*12,-'Batt IN'!$F$54,0))</f>
        <v>0</v>
      </c>
      <c r="BQ355" s="2">
        <f>IF(AND('Batt IN'!$D$53="Yes",$AL$1&gt;=2),0,IF($C355='Batt IN'!$H$55*12,-'Batt IN'!$F$55,0))</f>
        <v>0</v>
      </c>
      <c r="BR355" s="2">
        <f>IF(AND('Batt IN'!$D$53="Yes",$AL$1&gt;=3),0,IF($C355='Batt IN'!$H$56*12,-'Batt IN'!$F$56,0))</f>
        <v>0</v>
      </c>
      <c r="BS355" s="2">
        <f>IF(AND('Batt IN'!$D$53="Yes",$AL$1&gt;=4),0,IF($C355='Batt IN'!$H$57*12,-'Batt IN'!$F$57,0))</f>
        <v>0</v>
      </c>
      <c r="BT355" s="2">
        <f>IF(AND('Batt IN'!$D$53="Yes",$AL$1&gt;=5),0,IF($C355='Batt IN'!$H$58*12,-'Batt IN'!$F$58,0))</f>
        <v>0</v>
      </c>
      <c r="BU355" s="2">
        <f>-AH355*PVCalcs!F355</f>
        <v>-359.37504381576838</v>
      </c>
      <c r="BV355" s="2">
        <f>-'Batt IN'!$E$47</f>
        <v>-150</v>
      </c>
      <c r="BW355" s="2">
        <f>-'Batt IN'!$E$49</f>
        <v>-2250</v>
      </c>
      <c r="BX355" s="2">
        <f>IF('Batt IN'!$H$50="No",-(BC355*'Batt IN'!$E$50),-(BC355+BE355)*'Batt IN'!$E$50)</f>
        <v>0</v>
      </c>
      <c r="BY355" s="2">
        <f>IF(C355='Batt IN'!$H$43*12,-'Batt IN'!$E$43,0)</f>
        <v>0</v>
      </c>
      <c r="BZ355" s="38"/>
      <c r="CA355" s="10">
        <f t="shared" si="89"/>
        <v>14202.559134360732</v>
      </c>
      <c r="CB355" s="2">
        <f t="shared" si="94"/>
        <v>-3009.3750438157685</v>
      </c>
      <c r="CC355" s="45">
        <f t="shared" si="90"/>
        <v>11193.184090544964</v>
      </c>
      <c r="CD355" s="43"/>
      <c r="CE355" s="2">
        <f t="shared" si="91"/>
        <v>0</v>
      </c>
      <c r="CF355" s="2">
        <f t="shared" si="95"/>
        <v>-3009.3750438157685</v>
      </c>
      <c r="CG355" s="2"/>
      <c r="CH355" s="2">
        <f t="shared" si="92"/>
        <v>-3009.3750438157685</v>
      </c>
      <c r="CI355" s="45">
        <f>-CH355*'Batt IN'!$E$7</f>
        <v>631.9687592013114</v>
      </c>
      <c r="CJ355" s="48"/>
      <c r="CK355" s="45">
        <f>IF('Batt IN'!$F$4="PV Only",0,IF(C355&gt;'Batt IN'!$H$43*12,0,CC355+CI355))</f>
        <v>0</v>
      </c>
      <c r="CM355" s="10">
        <f t="shared" si="93"/>
        <v>0</v>
      </c>
      <c r="CN355" s="2">
        <f>CK355/(1+('Batt IN'!$G$8))^(C355)</f>
        <v>0</v>
      </c>
      <c r="CO355" s="2" t="e">
        <f>IF(C355&lt;='Batt IN'!$O$30*12,CN355+CO354,NA())</f>
        <v>#N/A</v>
      </c>
      <c r="CQ355" s="2">
        <f>CK355/((1+('Batt IN'!$E$8/12))^BattCalcs!C355)</f>
        <v>0</v>
      </c>
      <c r="CS355" s="10">
        <f t="shared" si="96"/>
        <v>-3009.3750438157685</v>
      </c>
      <c r="CT355" s="10">
        <f t="shared" si="97"/>
        <v>0</v>
      </c>
      <c r="CU355" s="10">
        <f t="shared" si="98"/>
        <v>-3009.3750438157685</v>
      </c>
      <c r="CV355" s="10">
        <f t="shared" si="99"/>
        <v>-3009.3750438157685</v>
      </c>
      <c r="CW355" s="2">
        <f t="shared" si="100"/>
        <v>0</v>
      </c>
      <c r="CX355" s="2">
        <f>-(SUM(CV355:CW355)*'PV IN'!$E$8)</f>
        <v>631.9687592013114</v>
      </c>
      <c r="CY355" s="2">
        <f t="shared" si="101"/>
        <v>-2377.406284614457</v>
      </c>
      <c r="CZ355" s="2">
        <f>IF(C355&lt;='Batt IN'!$H$43*12,CY355/(1+('PV IN'!$G$9))^(C355),0)</f>
        <v>0</v>
      </c>
      <c r="DA355" s="33">
        <f>IF(C355&lt;='Batt IN'!$H$43*12,AE355,0)</f>
        <v>0</v>
      </c>
    </row>
    <row r="356" spans="1:105" x14ac:dyDescent="0.25">
      <c r="A356" t="str">
        <f>IF(C356&lt;='Batt IN'!$H$43*12,C356,"")</f>
        <v/>
      </c>
      <c r="C356">
        <v>352</v>
      </c>
      <c r="D356" s="21">
        <v>782</v>
      </c>
      <c r="E356" s="1">
        <f>1-'Batt IN'!$E$31</f>
        <v>2.0000000000000018E-2</v>
      </c>
      <c r="F356" s="12">
        <f>('Batt IN'!$E$33*365)/8760</f>
        <v>0</v>
      </c>
      <c r="G356" s="22">
        <f>'Batt IN'!$E$32/8760</f>
        <v>5.7077625570776253E-3</v>
      </c>
      <c r="H356" s="22">
        <f>'Batt IN'!$E$13/8760</f>
        <v>5.5936073059360729E-3</v>
      </c>
      <c r="I356" s="23">
        <f>IF(C356&lt;='Batt IN'!$G$14*12,'Batt IN'!$E$15/8760*'Batt IN'!$G$15,0)</f>
        <v>0</v>
      </c>
      <c r="J356" s="12">
        <f>Z356/'Batt IN'!$E$27/730</f>
        <v>2.4999999999999996E-3</v>
      </c>
      <c r="K356" s="23">
        <f>AA356/'Batt IN'!$E$27/730</f>
        <v>1.6027397260273972E-3</v>
      </c>
      <c r="L356" s="23">
        <f>AB356/'Batt IN'!$E$27/730</f>
        <v>2.0547945205479451E-4</v>
      </c>
      <c r="M356" s="23">
        <f>AC356/'Batt IN'!$E$27/730</f>
        <v>4.7945205479452057E-3</v>
      </c>
      <c r="N356" s="23">
        <f>AD356/'Batt IN'!$E$27/730</f>
        <v>3.4246575342465752E-3</v>
      </c>
      <c r="O356" s="12">
        <f t="shared" si="85"/>
        <v>4.3828767123287697E-2</v>
      </c>
      <c r="P356" s="21">
        <f t="shared" si="86"/>
        <v>747.72590410958901</v>
      </c>
      <c r="Q356" s="2">
        <f>IF('Batt IN'!$E$27*'Batt IN'!$E$24&lt;='Batt IN'!$E$28,(('Batt IN'!$E$23*'Batt IN'!$E$27*'Batt IN'!$E$24)/1000)*P356,(('Batt IN'!$E$23*'Batt IN'!$E$28*'Batt IN'!$E$24)/1000)*P356)</f>
        <v>11963.614465753424</v>
      </c>
      <c r="R356" s="2"/>
      <c r="S356" s="77">
        <f>IF(C356&lt;='Batt IN'!$G$14*12,'Batt IN'!$E$15/12,0)</f>
        <v>0</v>
      </c>
      <c r="T356" s="77"/>
      <c r="U356" s="80">
        <f>'Batt IN'!$E$28*('Batt IN'!$G$24/24)*730*(1-O356)</f>
        <v>81433.916666666657</v>
      </c>
      <c r="V356" s="78">
        <f>U356*'Batt IN'!$F$30</f>
        <v>16286.783333333333</v>
      </c>
      <c r="W356" s="78">
        <f>'Batt IN'!$E$28*'Batt IN'!$G$32*('Batt IN'!$E$32/12)*(1+'Batt IN'!$F$30)</f>
        <v>1750.0000000000002</v>
      </c>
      <c r="X356" s="78">
        <f>'Batt IN'!$E$28*'Batt IN'!$G$13*('Batt IN'!$E$13/12)*(1+'Batt IN'!$F$30)</f>
        <v>3184.9999999999995</v>
      </c>
      <c r="Y356" s="33">
        <f>S356*'Batt IN'!$G$15*'Batt IN'!$E$28*(1+'Batt IN'!$F$30)</f>
        <v>0</v>
      </c>
      <c r="Z356" s="33">
        <f>'Batt IN'!$G$16*365/12*(1+'Batt IN'!$F$30)</f>
        <v>1824.9999999999998</v>
      </c>
      <c r="AA356" s="33">
        <f>'Batt IN'!$G$17*'Batt IN'!$E$18*'Batt IN'!$G$18/12*(1+'Batt IN'!$F$30)</f>
        <v>1170</v>
      </c>
      <c r="AB356" s="33">
        <f>'Batt IN'!$G$19*'Batt IN'!$E$20*'Batt IN'!$G$20/12*(1+'Batt IN'!$F$30)</f>
        <v>150</v>
      </c>
      <c r="AC356" s="33">
        <f>'Batt IN'!$G$21*(1+'Batt IN'!$F$30)/12</f>
        <v>3500</v>
      </c>
      <c r="AD356" s="33">
        <f>'Batt IN'!$G$22*(1+'Batt IN'!$F$30)/12</f>
        <v>2500</v>
      </c>
      <c r="AE356" s="33">
        <f t="shared" si="87"/>
        <v>30366.783333333333</v>
      </c>
      <c r="AF356" s="33">
        <f>IF('PV IN'!$F$4="Battery Only",0,AE356*'Batt IN'!$E$29)</f>
        <v>25811.765833333331</v>
      </c>
      <c r="AG356" s="33">
        <f>PVCalcs!L356</f>
        <v>25811.765833333331</v>
      </c>
      <c r="AH356" s="33">
        <f t="shared" si="88"/>
        <v>4555.0175000000017</v>
      </c>
      <c r="AI356" s="33"/>
      <c r="AJ356" s="2">
        <f>IF(AND('Batt IN'!$D$53="Yes",$AL$1&gt;=1),IF($C356='Batt IN'!$H$54*12,-'Batt IN'!$F$54,0),0)</f>
        <v>0</v>
      </c>
      <c r="AK356" s="2">
        <f>IF(AND('Batt IN'!$D$53="Yes",$AL$1&gt;=2),IF($C356='Batt IN'!$H$55*12,-'Batt IN'!$F$55,0),0)</f>
        <v>0</v>
      </c>
      <c r="AL356" s="2">
        <f>IF(AND('Batt IN'!$D$53="Yes",$AL$1&gt;=3),IF($C356='Batt IN'!$H$56*12,-'Batt IN'!$F$56,0),0)</f>
        <v>0</v>
      </c>
      <c r="AM356" s="2">
        <f>IF(AND('Batt IN'!$D$53="Yes",$AL$1&gt;=4),IF($C356='Batt IN'!$H$57*12,-'Batt IN'!$F$57,0),0)</f>
        <v>0</v>
      </c>
      <c r="AN356" s="2">
        <f>IF(AND('Batt IN'!$D$53="Yes",$AL$1&gt;=5),IF($C356='Batt IN'!$H$58*12,-'Batt IN'!$F$58,0),0)</f>
        <v>0</v>
      </c>
      <c r="AO356" s="10">
        <f>IF(AND('Batt IN'!$D$44="YES",$C356&lt;='Batt IN'!$E$44*12),-'Batt IN'!$E$28*'Batt IN'!$E$42/12,0)</f>
        <v>0</v>
      </c>
      <c r="AP356" s="10">
        <f>IF(AND('Batt IN'!$D$46="YES",$C356&lt;='Batt IN'!$E$46*12),-'Batt IN'!$E$28*'Batt IN'!$E$45/12,0)</f>
        <v>0</v>
      </c>
      <c r="AR356" s="10">
        <f>BattLoan!M383</f>
        <v>0</v>
      </c>
      <c r="AS356" s="10">
        <f>'Batt IN'!$G$16*365/12*'Batt IN'!$E$16</f>
        <v>76.041666666666671</v>
      </c>
      <c r="AT356" s="10">
        <f>IF(AND('Batt IN'!$E$18&gt;0,'Batt IN'!$G$18&gt;0),'Batt IN'!$E$17*'Batt IN'!$G$17,0)</f>
        <v>119.44619999999999</v>
      </c>
      <c r="AU356" s="10">
        <f>IF(AND('Batt IN'!$E$20&gt;0,'Batt IN'!$G$20&gt;0),'Batt IN'!$E$19*'Batt IN'!$G$19,0)</f>
        <v>231</v>
      </c>
      <c r="AV356" s="10"/>
      <c r="AW356" s="10"/>
      <c r="AX356" s="10">
        <f>IF('Batt IN'!$E$11="Non-Taxable",Q356,0)</f>
        <v>11963.614465753424</v>
      </c>
      <c r="AY356" s="10">
        <f>IF('Batt IN'!$E$11="Non-Taxable",'Batt IN'!$E$28/1000*'Batt IN'!$G$13*('Batt IN'!$E$13/12)*'Batt IN'!$E$12,0)</f>
        <v>244.42220833333334</v>
      </c>
      <c r="AZ356" s="10">
        <f>IF('Batt IN'!$E$11="Non-Taxable",$S356*'Batt IN'!$G$15*'Batt IN'!$E$28*'Batt IN'!$E$14/1000,0)</f>
        <v>0</v>
      </c>
      <c r="BA356" s="10">
        <f>IF('Batt IN'!$E$11="Non-Taxable",'Batt IN'!$E$21*'Batt IN'!$G$21/12,0)</f>
        <v>437.5</v>
      </c>
      <c r="BB356" s="10">
        <f>IF('Batt IN'!$E$11="Non-Taxable",'Batt IN'!$E$22*'Batt IN'!$G$22/12,0)</f>
        <v>1145.8333333333335</v>
      </c>
      <c r="BC356" s="10">
        <f>IF('Batt IN'!$E$11="Taxable",Q356,0)</f>
        <v>0</v>
      </c>
      <c r="BD356" s="10">
        <f>IF('Batt IN'!$E$11="Taxable",'Batt IN'!$E$28/1000*'Batt IN'!$G$13*('Batt IN'!$E$13/12)*'Batt IN'!$E$12,0)</f>
        <v>0</v>
      </c>
      <c r="BE356" s="10">
        <f>IF('Batt IN'!$E$11="Taxable",$S356*'Batt IN'!$G$15*'Batt IN'!$E$28*'Batt IN'!$E$14/1000,0)</f>
        <v>0</v>
      </c>
      <c r="BF356" s="10">
        <f>IF('Batt IN'!$E$11="Taxable",'Batt IN'!$E$21*'Batt IN'!$G$21/12,0)</f>
        <v>0</v>
      </c>
      <c r="BG356" s="10">
        <f>IF('Batt IN'!$E$11="Taxable",'Batt IN'!$E$22*'Batt IN'!$G$22/12,0)</f>
        <v>0</v>
      </c>
      <c r="BK356" s="10">
        <f>IF('Batt IN'!$N$18="Yes",-BattLoan!H384,-BattLoan!L384)</f>
        <v>0</v>
      </c>
      <c r="BL356" s="10">
        <f>IF('Batt IN'!$N$18="Yes",-BattLoan!F384,0)</f>
        <v>0</v>
      </c>
      <c r="BM356" s="10">
        <f>IF(AND('Batt IN'!$D$44="YES",$C356&lt;='Batt IN'!$E$44*12),0,-'Batt IN'!$E$28*'Batt IN'!$E$42/12)</f>
        <v>-83.333333333333329</v>
      </c>
      <c r="BN356" s="10">
        <f>IF(AND('Batt IN'!$D$46="YES",$C356&lt;='Batt IN'!$E$46*12),0,-'Batt IN'!$E$28*'Batt IN'!$E$45/12)</f>
        <v>-166.66666666666666</v>
      </c>
      <c r="BO356" s="2">
        <f>IF(AND('Batt IN'!$D$41="YES",BattCalcs!C356=ROUNDUP('Batt IN'!$H$41*12,)),-'Batt IN'!$E$41*'Batt IN'!$E$28,0)</f>
        <v>0</v>
      </c>
      <c r="BP356" s="2">
        <f>IF(AND('Batt IN'!$D$53="Yes",$AL$1&gt;=1),0,IF($C356='Batt IN'!$H$54*12,-'Batt IN'!$F$54,0))</f>
        <v>0</v>
      </c>
      <c r="BQ356" s="2">
        <f>IF(AND('Batt IN'!$D$53="Yes",$AL$1&gt;=2),0,IF($C356='Batt IN'!$H$55*12,-'Batt IN'!$F$55,0))</f>
        <v>0</v>
      </c>
      <c r="BR356" s="2">
        <f>IF(AND('Batt IN'!$D$53="Yes",$AL$1&gt;=3),0,IF($C356='Batt IN'!$H$56*12,-'Batt IN'!$F$56,0))</f>
        <v>0</v>
      </c>
      <c r="BS356" s="2">
        <f>IF(AND('Batt IN'!$D$53="Yes",$AL$1&gt;=4),0,IF($C356='Batt IN'!$H$57*12,-'Batt IN'!$F$57,0))</f>
        <v>0</v>
      </c>
      <c r="BT356" s="2">
        <f>IF(AND('Batt IN'!$D$53="Yes",$AL$1&gt;=5),0,IF($C356='Batt IN'!$H$58*12,-'Batt IN'!$F$58,0))</f>
        <v>0</v>
      </c>
      <c r="BU356" s="2">
        <f>-AH356*PVCalcs!F356</f>
        <v>-359.37504381576838</v>
      </c>
      <c r="BV356" s="2">
        <f>-'Batt IN'!$E$47</f>
        <v>-150</v>
      </c>
      <c r="BW356" s="2">
        <f>-'Batt IN'!$E$49</f>
        <v>-2250</v>
      </c>
      <c r="BX356" s="2">
        <f>IF('Batt IN'!$H$50="No",-(BC356*'Batt IN'!$E$50),-(BC356+BE356)*'Batt IN'!$E$50)</f>
        <v>0</v>
      </c>
      <c r="BY356" s="2">
        <f>IF(C356='Batt IN'!$H$43*12,-'Batt IN'!$E$43,0)</f>
        <v>0</v>
      </c>
      <c r="BZ356" s="38"/>
      <c r="CA356" s="10">
        <f t="shared" si="89"/>
        <v>14217.857874086758</v>
      </c>
      <c r="CB356" s="2">
        <f t="shared" si="94"/>
        <v>-3009.3750438157685</v>
      </c>
      <c r="CC356" s="45">
        <f t="shared" si="90"/>
        <v>11208.48283027099</v>
      </c>
      <c r="CD356" s="43"/>
      <c r="CE356" s="2">
        <f t="shared" si="91"/>
        <v>0</v>
      </c>
      <c r="CF356" s="2">
        <f t="shared" si="95"/>
        <v>-3009.3750438157685</v>
      </c>
      <c r="CG356" s="2"/>
      <c r="CH356" s="2">
        <f t="shared" si="92"/>
        <v>-3009.3750438157685</v>
      </c>
      <c r="CI356" s="45">
        <f>-CH356*'Batt IN'!$E$7</f>
        <v>631.9687592013114</v>
      </c>
      <c r="CJ356" s="48"/>
      <c r="CK356" s="45">
        <f>IF('Batt IN'!$F$4="PV Only",0,IF(C356&gt;'Batt IN'!$H$43*12,0,CC356+CI356))</f>
        <v>0</v>
      </c>
      <c r="CM356" s="10">
        <f t="shared" si="93"/>
        <v>0</v>
      </c>
      <c r="CN356" s="2">
        <f>CK356/(1+('Batt IN'!$G$8))^(C356)</f>
        <v>0</v>
      </c>
      <c r="CO356" s="2" t="e">
        <f>IF(C356&lt;='Batt IN'!$O$30*12,CN356+CO355,NA())</f>
        <v>#N/A</v>
      </c>
      <c r="CQ356" s="2">
        <f>CK356/((1+('Batt IN'!$E$8/12))^BattCalcs!C356)</f>
        <v>0</v>
      </c>
      <c r="CS356" s="10">
        <f t="shared" si="96"/>
        <v>-3009.3750438157685</v>
      </c>
      <c r="CT356" s="10">
        <f t="shared" si="97"/>
        <v>0</v>
      </c>
      <c r="CU356" s="10">
        <f t="shared" si="98"/>
        <v>-3009.3750438157685</v>
      </c>
      <c r="CV356" s="10">
        <f t="shared" si="99"/>
        <v>-3009.3750438157685</v>
      </c>
      <c r="CW356" s="2">
        <f t="shared" si="100"/>
        <v>0</v>
      </c>
      <c r="CX356" s="2">
        <f>-(SUM(CV356:CW356)*'PV IN'!$E$8)</f>
        <v>631.9687592013114</v>
      </c>
      <c r="CY356" s="2">
        <f t="shared" si="101"/>
        <v>-2377.406284614457</v>
      </c>
      <c r="CZ356" s="2">
        <f>IF(C356&lt;='Batt IN'!$H$43*12,CY356/(1+('PV IN'!$G$9))^(C356),0)</f>
        <v>0</v>
      </c>
      <c r="DA356" s="33">
        <f>IF(C356&lt;='Batt IN'!$H$43*12,AE356,0)</f>
        <v>0</v>
      </c>
    </row>
    <row r="357" spans="1:105" x14ac:dyDescent="0.25">
      <c r="A357" t="str">
        <f>IF(C357&lt;='Batt IN'!$H$43*12,C357,"")</f>
        <v/>
      </c>
      <c r="C357">
        <v>353</v>
      </c>
      <c r="D357" s="21">
        <v>783</v>
      </c>
      <c r="E357" s="1">
        <f>1-'Batt IN'!$E$31</f>
        <v>2.0000000000000018E-2</v>
      </c>
      <c r="F357" s="12">
        <f>('Batt IN'!$E$33*365)/8760</f>
        <v>0</v>
      </c>
      <c r="G357" s="22">
        <f>'Batt IN'!$E$32/8760</f>
        <v>5.7077625570776253E-3</v>
      </c>
      <c r="H357" s="22">
        <f>'Batt IN'!$E$13/8760</f>
        <v>5.5936073059360729E-3</v>
      </c>
      <c r="I357" s="23">
        <f>IF(C357&lt;='Batt IN'!$G$14*12,'Batt IN'!$E$15/8760*'Batt IN'!$G$15,0)</f>
        <v>0</v>
      </c>
      <c r="J357" s="12">
        <f>Z357/'Batt IN'!$E$27/730</f>
        <v>2.4999999999999996E-3</v>
      </c>
      <c r="K357" s="23">
        <f>AA357/'Batt IN'!$E$27/730</f>
        <v>1.6027397260273972E-3</v>
      </c>
      <c r="L357" s="23">
        <f>AB357/'Batt IN'!$E$27/730</f>
        <v>2.0547945205479451E-4</v>
      </c>
      <c r="M357" s="23">
        <f>AC357/'Batt IN'!$E$27/730</f>
        <v>4.7945205479452057E-3</v>
      </c>
      <c r="N357" s="23">
        <f>AD357/'Batt IN'!$E$27/730</f>
        <v>3.4246575342465752E-3</v>
      </c>
      <c r="O357" s="12">
        <f t="shared" si="85"/>
        <v>4.3828767123287697E-2</v>
      </c>
      <c r="P357" s="21">
        <f t="shared" si="86"/>
        <v>748.68207534246574</v>
      </c>
      <c r="Q357" s="2">
        <f>IF('Batt IN'!$E$27*'Batt IN'!$E$24&lt;='Batt IN'!$E$28,(('Batt IN'!$E$23*'Batt IN'!$E$27*'Batt IN'!$E$24)/1000)*P357,(('Batt IN'!$E$23*'Batt IN'!$E$28*'Batt IN'!$E$24)/1000)*P357)</f>
        <v>11978.913205479452</v>
      </c>
      <c r="R357" s="2"/>
      <c r="S357" s="77">
        <f>IF(C357&lt;='Batt IN'!$G$14*12,'Batt IN'!$E$15/12,0)</f>
        <v>0</v>
      </c>
      <c r="T357" s="77"/>
      <c r="U357" s="80">
        <f>'Batt IN'!$E$28*('Batt IN'!$G$24/24)*730*(1-O357)</f>
        <v>81433.916666666657</v>
      </c>
      <c r="V357" s="78">
        <f>U357*'Batt IN'!$F$30</f>
        <v>16286.783333333333</v>
      </c>
      <c r="W357" s="78">
        <f>'Batt IN'!$E$28*'Batt IN'!$G$32*('Batt IN'!$E$32/12)*(1+'Batt IN'!$F$30)</f>
        <v>1750.0000000000002</v>
      </c>
      <c r="X357" s="78">
        <f>'Batt IN'!$E$28*'Batt IN'!$G$13*('Batt IN'!$E$13/12)*(1+'Batt IN'!$F$30)</f>
        <v>3184.9999999999995</v>
      </c>
      <c r="Y357" s="33">
        <f>S357*'Batt IN'!$G$15*'Batt IN'!$E$28*(1+'Batt IN'!$F$30)</f>
        <v>0</v>
      </c>
      <c r="Z357" s="33">
        <f>'Batt IN'!$G$16*365/12*(1+'Batt IN'!$F$30)</f>
        <v>1824.9999999999998</v>
      </c>
      <c r="AA357" s="33">
        <f>'Batt IN'!$G$17*'Batt IN'!$E$18*'Batt IN'!$G$18/12*(1+'Batt IN'!$F$30)</f>
        <v>1170</v>
      </c>
      <c r="AB357" s="33">
        <f>'Batt IN'!$G$19*'Batt IN'!$E$20*'Batt IN'!$G$20/12*(1+'Batt IN'!$F$30)</f>
        <v>150</v>
      </c>
      <c r="AC357" s="33">
        <f>'Batt IN'!$G$21*(1+'Batt IN'!$F$30)/12</f>
        <v>3500</v>
      </c>
      <c r="AD357" s="33">
        <f>'Batt IN'!$G$22*(1+'Batt IN'!$F$30)/12</f>
        <v>2500</v>
      </c>
      <c r="AE357" s="33">
        <f t="shared" si="87"/>
        <v>30366.783333333333</v>
      </c>
      <c r="AF357" s="33">
        <f>IF('PV IN'!$F$4="Battery Only",0,AE357*'Batt IN'!$E$29)</f>
        <v>25811.765833333331</v>
      </c>
      <c r="AG357" s="33">
        <f>PVCalcs!L357</f>
        <v>25811.765833333331</v>
      </c>
      <c r="AH357" s="33">
        <f t="shared" si="88"/>
        <v>4555.0175000000017</v>
      </c>
      <c r="AI357" s="33"/>
      <c r="AJ357" s="2">
        <f>IF(AND('Batt IN'!$D$53="Yes",$AL$1&gt;=1),IF($C357='Batt IN'!$H$54*12,-'Batt IN'!$F$54,0),0)</f>
        <v>0</v>
      </c>
      <c r="AK357" s="2">
        <f>IF(AND('Batt IN'!$D$53="Yes",$AL$1&gt;=2),IF($C357='Batt IN'!$H$55*12,-'Batt IN'!$F$55,0),0)</f>
        <v>0</v>
      </c>
      <c r="AL357" s="2">
        <f>IF(AND('Batt IN'!$D$53="Yes",$AL$1&gt;=3),IF($C357='Batt IN'!$H$56*12,-'Batt IN'!$F$56,0),0)</f>
        <v>0</v>
      </c>
      <c r="AM357" s="2">
        <f>IF(AND('Batt IN'!$D$53="Yes",$AL$1&gt;=4),IF($C357='Batt IN'!$H$57*12,-'Batt IN'!$F$57,0),0)</f>
        <v>0</v>
      </c>
      <c r="AN357" s="2">
        <f>IF(AND('Batt IN'!$D$53="Yes",$AL$1&gt;=5),IF($C357='Batt IN'!$H$58*12,-'Batt IN'!$F$58,0),0)</f>
        <v>0</v>
      </c>
      <c r="AO357" s="10">
        <f>IF(AND('Batt IN'!$D$44="YES",$C357&lt;='Batt IN'!$E$44*12),-'Batt IN'!$E$28*'Batt IN'!$E$42/12,0)</f>
        <v>0</v>
      </c>
      <c r="AP357" s="10">
        <f>IF(AND('Batt IN'!$D$46="YES",$C357&lt;='Batt IN'!$E$46*12),-'Batt IN'!$E$28*'Batt IN'!$E$45/12,0)</f>
        <v>0</v>
      </c>
      <c r="AR357" s="10">
        <f>BattLoan!M384</f>
        <v>0</v>
      </c>
      <c r="AS357" s="10">
        <f>'Batt IN'!$G$16*365/12*'Batt IN'!$E$16</f>
        <v>76.041666666666671</v>
      </c>
      <c r="AT357" s="10">
        <f>IF(AND('Batt IN'!$E$18&gt;0,'Batt IN'!$G$18&gt;0),'Batt IN'!$E$17*'Batt IN'!$G$17,0)</f>
        <v>119.44619999999999</v>
      </c>
      <c r="AU357" s="10">
        <f>IF(AND('Batt IN'!$E$20&gt;0,'Batt IN'!$G$20&gt;0),'Batt IN'!$E$19*'Batt IN'!$G$19,0)</f>
        <v>231</v>
      </c>
      <c r="AV357" s="10"/>
      <c r="AW357" s="10"/>
      <c r="AX357" s="10">
        <f>IF('Batt IN'!$E$11="Non-Taxable",Q357,0)</f>
        <v>11978.913205479452</v>
      </c>
      <c r="AY357" s="10">
        <f>IF('Batt IN'!$E$11="Non-Taxable",'Batt IN'!$E$28/1000*'Batt IN'!$G$13*('Batt IN'!$E$13/12)*'Batt IN'!$E$12,0)</f>
        <v>244.42220833333334</v>
      </c>
      <c r="AZ357" s="10">
        <f>IF('Batt IN'!$E$11="Non-Taxable",$S357*'Batt IN'!$G$15*'Batt IN'!$E$28*'Batt IN'!$E$14/1000,0)</f>
        <v>0</v>
      </c>
      <c r="BA357" s="10">
        <f>IF('Batt IN'!$E$11="Non-Taxable",'Batt IN'!$E$21*'Batt IN'!$G$21/12,0)</f>
        <v>437.5</v>
      </c>
      <c r="BB357" s="10">
        <f>IF('Batt IN'!$E$11="Non-Taxable",'Batt IN'!$E$22*'Batt IN'!$G$22/12,0)</f>
        <v>1145.8333333333335</v>
      </c>
      <c r="BC357" s="10">
        <f>IF('Batt IN'!$E$11="Taxable",Q357,0)</f>
        <v>0</v>
      </c>
      <c r="BD357" s="10">
        <f>IF('Batt IN'!$E$11="Taxable",'Batt IN'!$E$28/1000*'Batt IN'!$G$13*('Batt IN'!$E$13/12)*'Batt IN'!$E$12,0)</f>
        <v>0</v>
      </c>
      <c r="BE357" s="10">
        <f>IF('Batt IN'!$E$11="Taxable",$S357*'Batt IN'!$G$15*'Batt IN'!$E$28*'Batt IN'!$E$14/1000,0)</f>
        <v>0</v>
      </c>
      <c r="BF357" s="10">
        <f>IF('Batt IN'!$E$11="Taxable",'Batt IN'!$E$21*'Batt IN'!$G$21/12,0)</f>
        <v>0</v>
      </c>
      <c r="BG357" s="10">
        <f>IF('Batt IN'!$E$11="Taxable",'Batt IN'!$E$22*'Batt IN'!$G$22/12,0)</f>
        <v>0</v>
      </c>
      <c r="BK357" s="10">
        <f>IF('Batt IN'!$N$18="Yes",-BattLoan!H385,-BattLoan!L385)</f>
        <v>0</v>
      </c>
      <c r="BL357" s="10">
        <f>IF('Batt IN'!$N$18="Yes",-BattLoan!F385,0)</f>
        <v>0</v>
      </c>
      <c r="BM357" s="10">
        <f>IF(AND('Batt IN'!$D$44="YES",$C357&lt;='Batt IN'!$E$44*12),0,-'Batt IN'!$E$28*'Batt IN'!$E$42/12)</f>
        <v>-83.333333333333329</v>
      </c>
      <c r="BN357" s="10">
        <f>IF(AND('Batt IN'!$D$46="YES",$C357&lt;='Batt IN'!$E$46*12),0,-'Batt IN'!$E$28*'Batt IN'!$E$45/12)</f>
        <v>-166.66666666666666</v>
      </c>
      <c r="BO357" s="2">
        <f>IF(AND('Batt IN'!$D$41="YES",BattCalcs!C357=ROUNDUP('Batt IN'!$H$41*12,)),-'Batt IN'!$E$41*'Batt IN'!$E$28,0)</f>
        <v>0</v>
      </c>
      <c r="BP357" s="2">
        <f>IF(AND('Batt IN'!$D$53="Yes",$AL$1&gt;=1),0,IF($C357='Batt IN'!$H$54*12,-'Batt IN'!$F$54,0))</f>
        <v>0</v>
      </c>
      <c r="BQ357" s="2">
        <f>IF(AND('Batt IN'!$D$53="Yes",$AL$1&gt;=2),0,IF($C357='Batt IN'!$H$55*12,-'Batt IN'!$F$55,0))</f>
        <v>0</v>
      </c>
      <c r="BR357" s="2">
        <f>IF(AND('Batt IN'!$D$53="Yes",$AL$1&gt;=3),0,IF($C357='Batt IN'!$H$56*12,-'Batt IN'!$F$56,0))</f>
        <v>0</v>
      </c>
      <c r="BS357" s="2">
        <f>IF(AND('Batt IN'!$D$53="Yes",$AL$1&gt;=4),0,IF($C357='Batt IN'!$H$57*12,-'Batt IN'!$F$57,0))</f>
        <v>0</v>
      </c>
      <c r="BT357" s="2">
        <f>IF(AND('Batt IN'!$D$53="Yes",$AL$1&gt;=5),0,IF($C357='Batt IN'!$H$58*12,-'Batt IN'!$F$58,0))</f>
        <v>0</v>
      </c>
      <c r="BU357" s="2">
        <f>-AH357*PVCalcs!F357</f>
        <v>-359.37504381576838</v>
      </c>
      <c r="BV357" s="2">
        <f>-'Batt IN'!$E$47</f>
        <v>-150</v>
      </c>
      <c r="BW357" s="2">
        <f>-'Batt IN'!$E$49</f>
        <v>-2250</v>
      </c>
      <c r="BX357" s="2">
        <f>IF('Batt IN'!$H$50="No",-(BC357*'Batt IN'!$E$50),-(BC357+BE357)*'Batt IN'!$E$50)</f>
        <v>0</v>
      </c>
      <c r="BY357" s="2">
        <f>IF(C357='Batt IN'!$H$43*12,-'Batt IN'!$E$43,0)</f>
        <v>0</v>
      </c>
      <c r="BZ357" s="38"/>
      <c r="CA357" s="10">
        <f t="shared" si="89"/>
        <v>14233.156613812786</v>
      </c>
      <c r="CB357" s="2">
        <f t="shared" si="94"/>
        <v>-3009.3750438157685</v>
      </c>
      <c r="CC357" s="45">
        <f t="shared" si="90"/>
        <v>11223.781569997016</v>
      </c>
      <c r="CD357" s="43"/>
      <c r="CE357" s="2">
        <f t="shared" si="91"/>
        <v>0</v>
      </c>
      <c r="CF357" s="2">
        <f t="shared" si="95"/>
        <v>-3009.3750438157685</v>
      </c>
      <c r="CG357" s="2"/>
      <c r="CH357" s="2">
        <f t="shared" si="92"/>
        <v>-3009.3750438157685</v>
      </c>
      <c r="CI357" s="45">
        <f>-CH357*'Batt IN'!$E$7</f>
        <v>631.9687592013114</v>
      </c>
      <c r="CJ357" s="48"/>
      <c r="CK357" s="45">
        <f>IF('Batt IN'!$F$4="PV Only",0,IF(C357&gt;'Batt IN'!$H$43*12,0,CC357+CI357))</f>
        <v>0</v>
      </c>
      <c r="CM357" s="10">
        <f t="shared" si="93"/>
        <v>0</v>
      </c>
      <c r="CN357" s="2">
        <f>CK357/(1+('Batt IN'!$G$8))^(C357)</f>
        <v>0</v>
      </c>
      <c r="CO357" s="2" t="e">
        <f>IF(C357&lt;='Batt IN'!$O$30*12,CN357+CO356,NA())</f>
        <v>#N/A</v>
      </c>
      <c r="CQ357" s="2">
        <f>CK357/((1+('Batt IN'!$E$8/12))^BattCalcs!C357)</f>
        <v>0</v>
      </c>
      <c r="CS357" s="10">
        <f t="shared" si="96"/>
        <v>-3009.3750438157685</v>
      </c>
      <c r="CT357" s="10">
        <f t="shared" si="97"/>
        <v>0</v>
      </c>
      <c r="CU357" s="10">
        <f t="shared" si="98"/>
        <v>-3009.3750438157685</v>
      </c>
      <c r="CV357" s="10">
        <f t="shared" si="99"/>
        <v>-3009.3750438157685</v>
      </c>
      <c r="CW357" s="2">
        <f t="shared" si="100"/>
        <v>0</v>
      </c>
      <c r="CX357" s="2">
        <f>-(SUM(CV357:CW357)*'PV IN'!$E$8)</f>
        <v>631.9687592013114</v>
      </c>
      <c r="CY357" s="2">
        <f t="shared" si="101"/>
        <v>-2377.406284614457</v>
      </c>
      <c r="CZ357" s="2">
        <f>IF(C357&lt;='Batt IN'!$H$43*12,CY357/(1+('PV IN'!$G$9))^(C357),0)</f>
        <v>0</v>
      </c>
      <c r="DA357" s="33">
        <f>IF(C357&lt;='Batt IN'!$H$43*12,AE357,0)</f>
        <v>0</v>
      </c>
    </row>
    <row r="358" spans="1:105" x14ac:dyDescent="0.25">
      <c r="A358" t="str">
        <f>IF(C358&lt;='Batt IN'!$H$43*12,C358,"")</f>
        <v/>
      </c>
      <c r="C358">
        <v>354</v>
      </c>
      <c r="D358" s="21">
        <v>784</v>
      </c>
      <c r="E358" s="1">
        <f>1-'Batt IN'!$E$31</f>
        <v>2.0000000000000018E-2</v>
      </c>
      <c r="F358" s="12">
        <f>('Batt IN'!$E$33*365)/8760</f>
        <v>0</v>
      </c>
      <c r="G358" s="22">
        <f>'Batt IN'!$E$32/8760</f>
        <v>5.7077625570776253E-3</v>
      </c>
      <c r="H358" s="22">
        <f>'Batt IN'!$E$13/8760</f>
        <v>5.5936073059360729E-3</v>
      </c>
      <c r="I358" s="23">
        <f>IF(C358&lt;='Batt IN'!$G$14*12,'Batt IN'!$E$15/8760*'Batt IN'!$G$15,0)</f>
        <v>0</v>
      </c>
      <c r="J358" s="12">
        <f>Z358/'Batt IN'!$E$27/730</f>
        <v>2.4999999999999996E-3</v>
      </c>
      <c r="K358" s="23">
        <f>AA358/'Batt IN'!$E$27/730</f>
        <v>1.6027397260273972E-3</v>
      </c>
      <c r="L358" s="23">
        <f>AB358/'Batt IN'!$E$27/730</f>
        <v>2.0547945205479451E-4</v>
      </c>
      <c r="M358" s="23">
        <f>AC358/'Batt IN'!$E$27/730</f>
        <v>4.7945205479452057E-3</v>
      </c>
      <c r="N358" s="23">
        <f>AD358/'Batt IN'!$E$27/730</f>
        <v>3.4246575342465752E-3</v>
      </c>
      <c r="O358" s="12">
        <f t="shared" si="85"/>
        <v>4.3828767123287697E-2</v>
      </c>
      <c r="P358" s="21">
        <f t="shared" si="86"/>
        <v>749.63824657534246</v>
      </c>
      <c r="Q358" s="2">
        <f>IF('Batt IN'!$E$27*'Batt IN'!$E$24&lt;='Batt IN'!$E$28,(('Batt IN'!$E$23*'Batt IN'!$E$27*'Batt IN'!$E$24)/1000)*P358,(('Batt IN'!$E$23*'Batt IN'!$E$28*'Batt IN'!$E$24)/1000)*P358)</f>
        <v>11994.211945205479</v>
      </c>
      <c r="R358" s="2"/>
      <c r="S358" s="77">
        <f>IF(C358&lt;='Batt IN'!$G$14*12,'Batt IN'!$E$15/12,0)</f>
        <v>0</v>
      </c>
      <c r="T358" s="77"/>
      <c r="U358" s="80">
        <f>'Batt IN'!$E$28*('Batt IN'!$G$24/24)*730*(1-O358)</f>
        <v>81433.916666666657</v>
      </c>
      <c r="V358" s="78">
        <f>U358*'Batt IN'!$F$30</f>
        <v>16286.783333333333</v>
      </c>
      <c r="W358" s="78">
        <f>'Batt IN'!$E$28*'Batt IN'!$G$32*('Batt IN'!$E$32/12)*(1+'Batt IN'!$F$30)</f>
        <v>1750.0000000000002</v>
      </c>
      <c r="X358" s="78">
        <f>'Batt IN'!$E$28*'Batt IN'!$G$13*('Batt IN'!$E$13/12)*(1+'Batt IN'!$F$30)</f>
        <v>3184.9999999999995</v>
      </c>
      <c r="Y358" s="33">
        <f>S358*'Batt IN'!$G$15*'Batt IN'!$E$28*(1+'Batt IN'!$F$30)</f>
        <v>0</v>
      </c>
      <c r="Z358" s="33">
        <f>'Batt IN'!$G$16*365/12*(1+'Batt IN'!$F$30)</f>
        <v>1824.9999999999998</v>
      </c>
      <c r="AA358" s="33">
        <f>'Batt IN'!$G$17*'Batt IN'!$E$18*'Batt IN'!$G$18/12*(1+'Batt IN'!$F$30)</f>
        <v>1170</v>
      </c>
      <c r="AB358" s="33">
        <f>'Batt IN'!$G$19*'Batt IN'!$E$20*'Batt IN'!$G$20/12*(1+'Batt IN'!$F$30)</f>
        <v>150</v>
      </c>
      <c r="AC358" s="33">
        <f>'Batt IN'!$G$21*(1+'Batt IN'!$F$30)/12</f>
        <v>3500</v>
      </c>
      <c r="AD358" s="33">
        <f>'Batt IN'!$G$22*(1+'Batt IN'!$F$30)/12</f>
        <v>2500</v>
      </c>
      <c r="AE358" s="33">
        <f t="shared" si="87"/>
        <v>30366.783333333333</v>
      </c>
      <c r="AF358" s="33">
        <f>IF('PV IN'!$F$4="Battery Only",0,AE358*'Batt IN'!$E$29)</f>
        <v>25811.765833333331</v>
      </c>
      <c r="AG358" s="33">
        <f>PVCalcs!L358</f>
        <v>25811.765833333331</v>
      </c>
      <c r="AH358" s="33">
        <f t="shared" si="88"/>
        <v>4555.0175000000017</v>
      </c>
      <c r="AI358" s="33"/>
      <c r="AJ358" s="2">
        <f>IF(AND('Batt IN'!$D$53="Yes",$AL$1&gt;=1),IF($C358='Batt IN'!$H$54*12,-'Batt IN'!$F$54,0),0)</f>
        <v>0</v>
      </c>
      <c r="AK358" s="2">
        <f>IF(AND('Batt IN'!$D$53="Yes",$AL$1&gt;=2),IF($C358='Batt IN'!$H$55*12,-'Batt IN'!$F$55,0),0)</f>
        <v>0</v>
      </c>
      <c r="AL358" s="2">
        <f>IF(AND('Batt IN'!$D$53="Yes",$AL$1&gt;=3),IF($C358='Batt IN'!$H$56*12,-'Batt IN'!$F$56,0),0)</f>
        <v>0</v>
      </c>
      <c r="AM358" s="2">
        <f>IF(AND('Batt IN'!$D$53="Yes",$AL$1&gt;=4),IF($C358='Batt IN'!$H$57*12,-'Batt IN'!$F$57,0),0)</f>
        <v>0</v>
      </c>
      <c r="AN358" s="2">
        <f>IF(AND('Batt IN'!$D$53="Yes",$AL$1&gt;=5),IF($C358='Batt IN'!$H$58*12,-'Batt IN'!$F$58,0),0)</f>
        <v>0</v>
      </c>
      <c r="AO358" s="10">
        <f>IF(AND('Batt IN'!$D$44="YES",$C358&lt;='Batt IN'!$E$44*12),-'Batt IN'!$E$28*'Batt IN'!$E$42/12,0)</f>
        <v>0</v>
      </c>
      <c r="AP358" s="10">
        <f>IF(AND('Batt IN'!$D$46="YES",$C358&lt;='Batt IN'!$E$46*12),-'Batt IN'!$E$28*'Batt IN'!$E$45/12,0)</f>
        <v>0</v>
      </c>
      <c r="AR358" s="10">
        <f>BattLoan!M385</f>
        <v>0</v>
      </c>
      <c r="AS358" s="10">
        <f>'Batt IN'!$G$16*365/12*'Batt IN'!$E$16</f>
        <v>76.041666666666671</v>
      </c>
      <c r="AT358" s="10">
        <f>IF(AND('Batt IN'!$E$18&gt;0,'Batt IN'!$G$18&gt;0),'Batt IN'!$E$17*'Batt IN'!$G$17,0)</f>
        <v>119.44619999999999</v>
      </c>
      <c r="AU358" s="10">
        <f>IF(AND('Batt IN'!$E$20&gt;0,'Batt IN'!$G$20&gt;0),'Batt IN'!$E$19*'Batt IN'!$G$19,0)</f>
        <v>231</v>
      </c>
      <c r="AV358" s="10"/>
      <c r="AW358" s="10"/>
      <c r="AX358" s="10">
        <f>IF('Batt IN'!$E$11="Non-Taxable",Q358,0)</f>
        <v>11994.211945205479</v>
      </c>
      <c r="AY358" s="10">
        <f>IF('Batt IN'!$E$11="Non-Taxable",'Batt IN'!$E$28/1000*'Batt IN'!$G$13*('Batt IN'!$E$13/12)*'Batt IN'!$E$12,0)</f>
        <v>244.42220833333334</v>
      </c>
      <c r="AZ358" s="10">
        <f>IF('Batt IN'!$E$11="Non-Taxable",$S358*'Batt IN'!$G$15*'Batt IN'!$E$28*'Batt IN'!$E$14/1000,0)</f>
        <v>0</v>
      </c>
      <c r="BA358" s="10">
        <f>IF('Batt IN'!$E$11="Non-Taxable",'Batt IN'!$E$21*'Batt IN'!$G$21/12,0)</f>
        <v>437.5</v>
      </c>
      <c r="BB358" s="10">
        <f>IF('Batt IN'!$E$11="Non-Taxable",'Batt IN'!$E$22*'Batt IN'!$G$22/12,0)</f>
        <v>1145.8333333333335</v>
      </c>
      <c r="BC358" s="10">
        <f>IF('Batt IN'!$E$11="Taxable",Q358,0)</f>
        <v>0</v>
      </c>
      <c r="BD358" s="10">
        <f>IF('Batt IN'!$E$11="Taxable",'Batt IN'!$E$28/1000*'Batt IN'!$G$13*('Batt IN'!$E$13/12)*'Batt IN'!$E$12,0)</f>
        <v>0</v>
      </c>
      <c r="BE358" s="10">
        <f>IF('Batt IN'!$E$11="Taxable",$S358*'Batt IN'!$G$15*'Batt IN'!$E$28*'Batt IN'!$E$14/1000,0)</f>
        <v>0</v>
      </c>
      <c r="BF358" s="10">
        <f>IF('Batt IN'!$E$11="Taxable",'Batt IN'!$E$21*'Batt IN'!$G$21/12,0)</f>
        <v>0</v>
      </c>
      <c r="BG358" s="10">
        <f>IF('Batt IN'!$E$11="Taxable",'Batt IN'!$E$22*'Batt IN'!$G$22/12,0)</f>
        <v>0</v>
      </c>
      <c r="BK358" s="10">
        <f>IF('Batt IN'!$N$18="Yes",-BattLoan!H386,-BattLoan!L386)</f>
        <v>0</v>
      </c>
      <c r="BL358" s="10">
        <f>IF('Batt IN'!$N$18="Yes",-BattLoan!F386,0)</f>
        <v>0</v>
      </c>
      <c r="BM358" s="10">
        <f>IF(AND('Batt IN'!$D$44="YES",$C358&lt;='Batt IN'!$E$44*12),0,-'Batt IN'!$E$28*'Batt IN'!$E$42/12)</f>
        <v>-83.333333333333329</v>
      </c>
      <c r="BN358" s="10">
        <f>IF(AND('Batt IN'!$D$46="YES",$C358&lt;='Batt IN'!$E$46*12),0,-'Batt IN'!$E$28*'Batt IN'!$E$45/12)</f>
        <v>-166.66666666666666</v>
      </c>
      <c r="BO358" s="2">
        <f>IF(AND('Batt IN'!$D$41="YES",BattCalcs!C358=ROUNDUP('Batt IN'!$H$41*12,)),-'Batt IN'!$E$41*'Batt IN'!$E$28,0)</f>
        <v>0</v>
      </c>
      <c r="BP358" s="2">
        <f>IF(AND('Batt IN'!$D$53="Yes",$AL$1&gt;=1),0,IF($C358='Batt IN'!$H$54*12,-'Batt IN'!$F$54,0))</f>
        <v>0</v>
      </c>
      <c r="BQ358" s="2">
        <f>IF(AND('Batt IN'!$D$53="Yes",$AL$1&gt;=2),0,IF($C358='Batt IN'!$H$55*12,-'Batt IN'!$F$55,0))</f>
        <v>0</v>
      </c>
      <c r="BR358" s="2">
        <f>IF(AND('Batt IN'!$D$53="Yes",$AL$1&gt;=3),0,IF($C358='Batt IN'!$H$56*12,-'Batt IN'!$F$56,0))</f>
        <v>0</v>
      </c>
      <c r="BS358" s="2">
        <f>IF(AND('Batt IN'!$D$53="Yes",$AL$1&gt;=4),0,IF($C358='Batt IN'!$H$57*12,-'Batt IN'!$F$57,0))</f>
        <v>0</v>
      </c>
      <c r="BT358" s="2">
        <f>IF(AND('Batt IN'!$D$53="Yes",$AL$1&gt;=5),0,IF($C358='Batt IN'!$H$58*12,-'Batt IN'!$F$58,0))</f>
        <v>0</v>
      </c>
      <c r="BU358" s="2">
        <f>-AH358*PVCalcs!F358</f>
        <v>-359.37504381576838</v>
      </c>
      <c r="BV358" s="2">
        <f>-'Batt IN'!$E$47</f>
        <v>-150</v>
      </c>
      <c r="BW358" s="2">
        <f>-'Batt IN'!$E$49</f>
        <v>-2250</v>
      </c>
      <c r="BX358" s="2">
        <f>IF('Batt IN'!$H$50="No",-(BC358*'Batt IN'!$E$50),-(BC358+BE358)*'Batt IN'!$E$50)</f>
        <v>0</v>
      </c>
      <c r="BY358" s="2">
        <f>IF(C358='Batt IN'!$H$43*12,-'Batt IN'!$E$43,0)</f>
        <v>0</v>
      </c>
      <c r="BZ358" s="38"/>
      <c r="CA358" s="10">
        <f t="shared" si="89"/>
        <v>14248.455353538813</v>
      </c>
      <c r="CB358" s="2">
        <f t="shared" si="94"/>
        <v>-3009.3750438157685</v>
      </c>
      <c r="CC358" s="45">
        <f t="shared" si="90"/>
        <v>11239.080309723046</v>
      </c>
      <c r="CD358" s="43"/>
      <c r="CE358" s="2">
        <f t="shared" si="91"/>
        <v>0</v>
      </c>
      <c r="CF358" s="2">
        <f t="shared" si="95"/>
        <v>-3009.3750438157685</v>
      </c>
      <c r="CG358" s="2"/>
      <c r="CH358" s="2">
        <f t="shared" si="92"/>
        <v>-3009.3750438157685</v>
      </c>
      <c r="CI358" s="45">
        <f>-CH358*'Batt IN'!$E$7</f>
        <v>631.9687592013114</v>
      </c>
      <c r="CJ358" s="48"/>
      <c r="CK358" s="45">
        <f>IF('Batt IN'!$F$4="PV Only",0,IF(C358&gt;'Batt IN'!$H$43*12,0,CC358+CI358))</f>
        <v>0</v>
      </c>
      <c r="CM358" s="10">
        <f t="shared" si="93"/>
        <v>0</v>
      </c>
      <c r="CN358" s="2">
        <f>CK358/(1+('Batt IN'!$G$8))^(C358)</f>
        <v>0</v>
      </c>
      <c r="CO358" s="2" t="e">
        <f>IF(C358&lt;='Batt IN'!$O$30*12,CN358+CO357,NA())</f>
        <v>#N/A</v>
      </c>
      <c r="CQ358" s="2">
        <f>CK358/((1+('Batt IN'!$E$8/12))^BattCalcs!C358)</f>
        <v>0</v>
      </c>
      <c r="CS358" s="10">
        <f t="shared" si="96"/>
        <v>-3009.3750438157685</v>
      </c>
      <c r="CT358" s="10">
        <f t="shared" si="97"/>
        <v>0</v>
      </c>
      <c r="CU358" s="10">
        <f t="shared" si="98"/>
        <v>-3009.3750438157685</v>
      </c>
      <c r="CV358" s="10">
        <f t="shared" si="99"/>
        <v>-3009.3750438157685</v>
      </c>
      <c r="CW358" s="2">
        <f t="shared" si="100"/>
        <v>0</v>
      </c>
      <c r="CX358" s="2">
        <f>-(SUM(CV358:CW358)*'PV IN'!$E$8)</f>
        <v>631.9687592013114</v>
      </c>
      <c r="CY358" s="2">
        <f t="shared" si="101"/>
        <v>-2377.406284614457</v>
      </c>
      <c r="CZ358" s="2">
        <f>IF(C358&lt;='Batt IN'!$H$43*12,CY358/(1+('PV IN'!$G$9))^(C358),0)</f>
        <v>0</v>
      </c>
      <c r="DA358" s="33">
        <f>IF(C358&lt;='Batt IN'!$H$43*12,AE358,0)</f>
        <v>0</v>
      </c>
    </row>
    <row r="359" spans="1:105" x14ac:dyDescent="0.25">
      <c r="A359" t="str">
        <f>IF(C359&lt;='Batt IN'!$H$43*12,C359,"")</f>
        <v/>
      </c>
      <c r="C359">
        <v>355</v>
      </c>
      <c r="D359" s="21">
        <v>785</v>
      </c>
      <c r="E359" s="1">
        <f>1-'Batt IN'!$E$31</f>
        <v>2.0000000000000018E-2</v>
      </c>
      <c r="F359" s="12">
        <f>('Batt IN'!$E$33*365)/8760</f>
        <v>0</v>
      </c>
      <c r="G359" s="22">
        <f>'Batt IN'!$E$32/8760</f>
        <v>5.7077625570776253E-3</v>
      </c>
      <c r="H359" s="22">
        <f>'Batt IN'!$E$13/8760</f>
        <v>5.5936073059360729E-3</v>
      </c>
      <c r="I359" s="23">
        <f>IF(C359&lt;='Batt IN'!$G$14*12,'Batt IN'!$E$15/8760*'Batt IN'!$G$15,0)</f>
        <v>0</v>
      </c>
      <c r="J359" s="12">
        <f>Z359/'Batt IN'!$E$27/730</f>
        <v>2.4999999999999996E-3</v>
      </c>
      <c r="K359" s="23">
        <f>AA359/'Batt IN'!$E$27/730</f>
        <v>1.6027397260273972E-3</v>
      </c>
      <c r="L359" s="23">
        <f>AB359/'Batt IN'!$E$27/730</f>
        <v>2.0547945205479451E-4</v>
      </c>
      <c r="M359" s="23">
        <f>AC359/'Batt IN'!$E$27/730</f>
        <v>4.7945205479452057E-3</v>
      </c>
      <c r="N359" s="23">
        <f>AD359/'Batt IN'!$E$27/730</f>
        <v>3.4246575342465752E-3</v>
      </c>
      <c r="O359" s="12">
        <f t="shared" si="85"/>
        <v>4.3828767123287697E-2</v>
      </c>
      <c r="P359" s="21">
        <f t="shared" si="86"/>
        <v>750.59441780821919</v>
      </c>
      <c r="Q359" s="2">
        <f>IF('Batt IN'!$E$27*'Batt IN'!$E$24&lt;='Batt IN'!$E$28,(('Batt IN'!$E$23*'Batt IN'!$E$27*'Batt IN'!$E$24)/1000)*P359,(('Batt IN'!$E$23*'Batt IN'!$E$28*'Batt IN'!$E$24)/1000)*P359)</f>
        <v>12009.510684931507</v>
      </c>
      <c r="R359" s="2"/>
      <c r="S359" s="77">
        <f>IF(C359&lt;='Batt IN'!$G$14*12,'Batt IN'!$E$15/12,0)</f>
        <v>0</v>
      </c>
      <c r="T359" s="77"/>
      <c r="U359" s="80">
        <f>'Batt IN'!$E$28*('Batt IN'!$G$24/24)*730*(1-O359)</f>
        <v>81433.916666666657</v>
      </c>
      <c r="V359" s="78">
        <f>U359*'Batt IN'!$F$30</f>
        <v>16286.783333333333</v>
      </c>
      <c r="W359" s="78">
        <f>'Batt IN'!$E$28*'Batt IN'!$G$32*('Batt IN'!$E$32/12)*(1+'Batt IN'!$F$30)</f>
        <v>1750.0000000000002</v>
      </c>
      <c r="X359" s="78">
        <f>'Batt IN'!$E$28*'Batt IN'!$G$13*('Batt IN'!$E$13/12)*(1+'Batt IN'!$F$30)</f>
        <v>3184.9999999999995</v>
      </c>
      <c r="Y359" s="33">
        <f>S359*'Batt IN'!$G$15*'Batt IN'!$E$28*(1+'Batt IN'!$F$30)</f>
        <v>0</v>
      </c>
      <c r="Z359" s="33">
        <f>'Batt IN'!$G$16*365/12*(1+'Batt IN'!$F$30)</f>
        <v>1824.9999999999998</v>
      </c>
      <c r="AA359" s="33">
        <f>'Batt IN'!$G$17*'Batt IN'!$E$18*'Batt IN'!$G$18/12*(1+'Batt IN'!$F$30)</f>
        <v>1170</v>
      </c>
      <c r="AB359" s="33">
        <f>'Batt IN'!$G$19*'Batt IN'!$E$20*'Batt IN'!$G$20/12*(1+'Batt IN'!$F$30)</f>
        <v>150</v>
      </c>
      <c r="AC359" s="33">
        <f>'Batt IN'!$G$21*(1+'Batt IN'!$F$30)/12</f>
        <v>3500</v>
      </c>
      <c r="AD359" s="33">
        <f>'Batt IN'!$G$22*(1+'Batt IN'!$F$30)/12</f>
        <v>2500</v>
      </c>
      <c r="AE359" s="33">
        <f t="shared" si="87"/>
        <v>30366.783333333333</v>
      </c>
      <c r="AF359" s="33">
        <f>IF('PV IN'!$F$4="Battery Only",0,AE359*'Batt IN'!$E$29)</f>
        <v>25811.765833333331</v>
      </c>
      <c r="AG359" s="33">
        <f>PVCalcs!L359</f>
        <v>25811.765833333331</v>
      </c>
      <c r="AH359" s="33">
        <f t="shared" si="88"/>
        <v>4555.0175000000017</v>
      </c>
      <c r="AI359" s="33"/>
      <c r="AJ359" s="2">
        <f>IF(AND('Batt IN'!$D$53="Yes",$AL$1&gt;=1),IF($C359='Batt IN'!$H$54*12,-'Batt IN'!$F$54,0),0)</f>
        <v>0</v>
      </c>
      <c r="AK359" s="2">
        <f>IF(AND('Batt IN'!$D$53="Yes",$AL$1&gt;=2),IF($C359='Batt IN'!$H$55*12,-'Batt IN'!$F$55,0),0)</f>
        <v>0</v>
      </c>
      <c r="AL359" s="2">
        <f>IF(AND('Batt IN'!$D$53="Yes",$AL$1&gt;=3),IF($C359='Batt IN'!$H$56*12,-'Batt IN'!$F$56,0),0)</f>
        <v>0</v>
      </c>
      <c r="AM359" s="2">
        <f>IF(AND('Batt IN'!$D$53="Yes",$AL$1&gt;=4),IF($C359='Batt IN'!$H$57*12,-'Batt IN'!$F$57,0),0)</f>
        <v>0</v>
      </c>
      <c r="AN359" s="2">
        <f>IF(AND('Batt IN'!$D$53="Yes",$AL$1&gt;=5),IF($C359='Batt IN'!$H$58*12,-'Batt IN'!$F$58,0),0)</f>
        <v>0</v>
      </c>
      <c r="AO359" s="10">
        <f>IF(AND('Batt IN'!$D$44="YES",$C359&lt;='Batt IN'!$E$44*12),-'Batt IN'!$E$28*'Batt IN'!$E$42/12,0)</f>
        <v>0</v>
      </c>
      <c r="AP359" s="10">
        <f>IF(AND('Batt IN'!$D$46="YES",$C359&lt;='Batt IN'!$E$46*12),-'Batt IN'!$E$28*'Batt IN'!$E$45/12,0)</f>
        <v>0</v>
      </c>
      <c r="AR359" s="10">
        <f>BattLoan!M386</f>
        <v>0</v>
      </c>
      <c r="AS359" s="10">
        <f>'Batt IN'!$G$16*365/12*'Batt IN'!$E$16</f>
        <v>76.041666666666671</v>
      </c>
      <c r="AT359" s="10">
        <f>IF(AND('Batt IN'!$E$18&gt;0,'Batt IN'!$G$18&gt;0),'Batt IN'!$E$17*'Batt IN'!$G$17,0)</f>
        <v>119.44619999999999</v>
      </c>
      <c r="AU359" s="10">
        <f>IF(AND('Batt IN'!$E$20&gt;0,'Batt IN'!$G$20&gt;0),'Batt IN'!$E$19*'Batt IN'!$G$19,0)</f>
        <v>231</v>
      </c>
      <c r="AV359" s="10"/>
      <c r="AW359" s="10"/>
      <c r="AX359" s="10">
        <f>IF('Batt IN'!$E$11="Non-Taxable",Q359,0)</f>
        <v>12009.510684931507</v>
      </c>
      <c r="AY359" s="10">
        <f>IF('Batt IN'!$E$11="Non-Taxable",'Batt IN'!$E$28/1000*'Batt IN'!$G$13*('Batt IN'!$E$13/12)*'Batt IN'!$E$12,0)</f>
        <v>244.42220833333334</v>
      </c>
      <c r="AZ359" s="10">
        <f>IF('Batt IN'!$E$11="Non-Taxable",$S359*'Batt IN'!$G$15*'Batt IN'!$E$28*'Batt IN'!$E$14/1000,0)</f>
        <v>0</v>
      </c>
      <c r="BA359" s="10">
        <f>IF('Batt IN'!$E$11="Non-Taxable",'Batt IN'!$E$21*'Batt IN'!$G$21/12,0)</f>
        <v>437.5</v>
      </c>
      <c r="BB359" s="10">
        <f>IF('Batt IN'!$E$11="Non-Taxable",'Batt IN'!$E$22*'Batt IN'!$G$22/12,0)</f>
        <v>1145.8333333333335</v>
      </c>
      <c r="BC359" s="10">
        <f>IF('Batt IN'!$E$11="Taxable",Q359,0)</f>
        <v>0</v>
      </c>
      <c r="BD359" s="10">
        <f>IF('Batt IN'!$E$11="Taxable",'Batt IN'!$E$28/1000*'Batt IN'!$G$13*('Batt IN'!$E$13/12)*'Batt IN'!$E$12,0)</f>
        <v>0</v>
      </c>
      <c r="BE359" s="10">
        <f>IF('Batt IN'!$E$11="Taxable",$S359*'Batt IN'!$G$15*'Batt IN'!$E$28*'Batt IN'!$E$14/1000,0)</f>
        <v>0</v>
      </c>
      <c r="BF359" s="10">
        <f>IF('Batt IN'!$E$11="Taxable",'Batt IN'!$E$21*'Batt IN'!$G$21/12,0)</f>
        <v>0</v>
      </c>
      <c r="BG359" s="10">
        <f>IF('Batt IN'!$E$11="Taxable",'Batt IN'!$E$22*'Batt IN'!$G$22/12,0)</f>
        <v>0</v>
      </c>
      <c r="BK359" s="10">
        <f>IF('Batt IN'!$N$18="Yes",-BattLoan!H387,-BattLoan!L387)</f>
        <v>0</v>
      </c>
      <c r="BL359" s="10">
        <f>IF('Batt IN'!$N$18="Yes",-BattLoan!F387,0)</f>
        <v>0</v>
      </c>
      <c r="BM359" s="10">
        <f>IF(AND('Batt IN'!$D$44="YES",$C359&lt;='Batt IN'!$E$44*12),0,-'Batt IN'!$E$28*'Batt IN'!$E$42/12)</f>
        <v>-83.333333333333329</v>
      </c>
      <c r="BN359" s="10">
        <f>IF(AND('Batt IN'!$D$46="YES",$C359&lt;='Batt IN'!$E$46*12),0,-'Batt IN'!$E$28*'Batt IN'!$E$45/12)</f>
        <v>-166.66666666666666</v>
      </c>
      <c r="BO359" s="2">
        <f>IF(AND('Batt IN'!$D$41="YES",BattCalcs!C359=ROUNDUP('Batt IN'!$H$41*12,)),-'Batt IN'!$E$41*'Batt IN'!$E$28,0)</f>
        <v>0</v>
      </c>
      <c r="BP359" s="2">
        <f>IF(AND('Batt IN'!$D$53="Yes",$AL$1&gt;=1),0,IF($C359='Batt IN'!$H$54*12,-'Batt IN'!$F$54,0))</f>
        <v>0</v>
      </c>
      <c r="BQ359" s="2">
        <f>IF(AND('Batt IN'!$D$53="Yes",$AL$1&gt;=2),0,IF($C359='Batt IN'!$H$55*12,-'Batt IN'!$F$55,0))</f>
        <v>0</v>
      </c>
      <c r="BR359" s="2">
        <f>IF(AND('Batt IN'!$D$53="Yes",$AL$1&gt;=3),0,IF($C359='Batt IN'!$H$56*12,-'Batt IN'!$F$56,0))</f>
        <v>0</v>
      </c>
      <c r="BS359" s="2">
        <f>IF(AND('Batt IN'!$D$53="Yes",$AL$1&gt;=4),0,IF($C359='Batt IN'!$H$57*12,-'Batt IN'!$F$57,0))</f>
        <v>0</v>
      </c>
      <c r="BT359" s="2">
        <f>IF(AND('Batt IN'!$D$53="Yes",$AL$1&gt;=5),0,IF($C359='Batt IN'!$H$58*12,-'Batt IN'!$F$58,0))</f>
        <v>0</v>
      </c>
      <c r="BU359" s="2">
        <f>-AH359*PVCalcs!F359</f>
        <v>-359.37504381576838</v>
      </c>
      <c r="BV359" s="2">
        <f>-'Batt IN'!$E$47</f>
        <v>-150</v>
      </c>
      <c r="BW359" s="2">
        <f>-'Batt IN'!$E$49</f>
        <v>-2250</v>
      </c>
      <c r="BX359" s="2">
        <f>IF('Batt IN'!$H$50="No",-(BC359*'Batt IN'!$E$50),-(BC359+BE359)*'Batt IN'!$E$50)</f>
        <v>0</v>
      </c>
      <c r="BY359" s="2">
        <f>IF(C359='Batt IN'!$H$43*12,-'Batt IN'!$E$43,0)</f>
        <v>0</v>
      </c>
      <c r="BZ359" s="38"/>
      <c r="CA359" s="10">
        <f t="shared" si="89"/>
        <v>14263.754093264841</v>
      </c>
      <c r="CB359" s="2">
        <f t="shared" si="94"/>
        <v>-3009.3750438157685</v>
      </c>
      <c r="CC359" s="45">
        <f t="shared" si="90"/>
        <v>11254.379049449071</v>
      </c>
      <c r="CD359" s="43"/>
      <c r="CE359" s="2">
        <f t="shared" si="91"/>
        <v>0</v>
      </c>
      <c r="CF359" s="2">
        <f t="shared" si="95"/>
        <v>-3009.3750438157685</v>
      </c>
      <c r="CG359" s="2"/>
      <c r="CH359" s="2">
        <f t="shared" si="92"/>
        <v>-3009.3750438157685</v>
      </c>
      <c r="CI359" s="45">
        <f>-CH359*'Batt IN'!$E$7</f>
        <v>631.9687592013114</v>
      </c>
      <c r="CJ359" s="48"/>
      <c r="CK359" s="45">
        <f>IF('Batt IN'!$F$4="PV Only",0,IF(C359&gt;'Batt IN'!$H$43*12,0,CC359+CI359))</f>
        <v>0</v>
      </c>
      <c r="CM359" s="10">
        <f t="shared" si="93"/>
        <v>0</v>
      </c>
      <c r="CN359" s="2">
        <f>CK359/(1+('Batt IN'!$G$8))^(C359)</f>
        <v>0</v>
      </c>
      <c r="CO359" s="2" t="e">
        <f>IF(C359&lt;='Batt IN'!$O$30*12,CN359+CO358,NA())</f>
        <v>#N/A</v>
      </c>
      <c r="CQ359" s="2">
        <f>CK359/((1+('Batt IN'!$E$8/12))^BattCalcs!C359)</f>
        <v>0</v>
      </c>
      <c r="CS359" s="10">
        <f t="shared" si="96"/>
        <v>-3009.3750438157685</v>
      </c>
      <c r="CT359" s="10">
        <f t="shared" si="97"/>
        <v>0</v>
      </c>
      <c r="CU359" s="10">
        <f t="shared" si="98"/>
        <v>-3009.3750438157685</v>
      </c>
      <c r="CV359" s="10">
        <f t="shared" si="99"/>
        <v>-3009.3750438157685</v>
      </c>
      <c r="CW359" s="2">
        <f t="shared" si="100"/>
        <v>0</v>
      </c>
      <c r="CX359" s="2">
        <f>-(SUM(CV359:CW359)*'PV IN'!$E$8)</f>
        <v>631.9687592013114</v>
      </c>
      <c r="CY359" s="2">
        <f t="shared" si="101"/>
        <v>-2377.406284614457</v>
      </c>
      <c r="CZ359" s="2">
        <f>IF(C359&lt;='Batt IN'!$H$43*12,CY359/(1+('PV IN'!$G$9))^(C359),0)</f>
        <v>0</v>
      </c>
      <c r="DA359" s="33">
        <f>IF(C359&lt;='Batt IN'!$H$43*12,AE359,0)</f>
        <v>0</v>
      </c>
    </row>
    <row r="360" spans="1:105" x14ac:dyDescent="0.25">
      <c r="A360" t="str">
        <f>IF(C360&lt;='Batt IN'!$H$43*12,C360,"")</f>
        <v/>
      </c>
      <c r="C360">
        <v>356</v>
      </c>
      <c r="D360" s="21">
        <v>786</v>
      </c>
      <c r="E360" s="1">
        <f>1-'Batt IN'!$E$31</f>
        <v>2.0000000000000018E-2</v>
      </c>
      <c r="F360" s="12">
        <f>('Batt IN'!$E$33*365)/8760</f>
        <v>0</v>
      </c>
      <c r="G360" s="22">
        <f>'Batt IN'!$E$32/8760</f>
        <v>5.7077625570776253E-3</v>
      </c>
      <c r="H360" s="22">
        <f>'Batt IN'!$E$13/8760</f>
        <v>5.5936073059360729E-3</v>
      </c>
      <c r="I360" s="23">
        <f>IF(C360&lt;='Batt IN'!$G$14*12,'Batt IN'!$E$15/8760*'Batt IN'!$G$15,0)</f>
        <v>0</v>
      </c>
      <c r="J360" s="12">
        <f>Z360/'Batt IN'!$E$27/730</f>
        <v>2.4999999999999996E-3</v>
      </c>
      <c r="K360" s="23">
        <f>AA360/'Batt IN'!$E$27/730</f>
        <v>1.6027397260273972E-3</v>
      </c>
      <c r="L360" s="23">
        <f>AB360/'Batt IN'!$E$27/730</f>
        <v>2.0547945205479451E-4</v>
      </c>
      <c r="M360" s="23">
        <f>AC360/'Batt IN'!$E$27/730</f>
        <v>4.7945205479452057E-3</v>
      </c>
      <c r="N360" s="23">
        <f>AD360/'Batt IN'!$E$27/730</f>
        <v>3.4246575342465752E-3</v>
      </c>
      <c r="O360" s="12">
        <f t="shared" si="85"/>
        <v>4.3828767123287697E-2</v>
      </c>
      <c r="P360" s="21">
        <f t="shared" si="86"/>
        <v>751.55058904109592</v>
      </c>
      <c r="Q360" s="2">
        <f>IF('Batt IN'!$E$27*'Batt IN'!$E$24&lt;='Batt IN'!$E$28,(('Batt IN'!$E$23*'Batt IN'!$E$27*'Batt IN'!$E$24)/1000)*P360,(('Batt IN'!$E$23*'Batt IN'!$E$28*'Batt IN'!$E$24)/1000)*P360)</f>
        <v>12024.809424657535</v>
      </c>
      <c r="R360" s="2"/>
      <c r="S360" s="77">
        <f>IF(C360&lt;='Batt IN'!$G$14*12,'Batt IN'!$E$15/12,0)</f>
        <v>0</v>
      </c>
      <c r="T360" s="77"/>
      <c r="U360" s="80">
        <f>'Batt IN'!$E$28*('Batt IN'!$G$24/24)*730*(1-O360)</f>
        <v>81433.916666666657</v>
      </c>
      <c r="V360" s="78">
        <f>U360*'Batt IN'!$F$30</f>
        <v>16286.783333333333</v>
      </c>
      <c r="W360" s="78">
        <f>'Batt IN'!$E$28*'Batt IN'!$G$32*('Batt IN'!$E$32/12)*(1+'Batt IN'!$F$30)</f>
        <v>1750.0000000000002</v>
      </c>
      <c r="X360" s="78">
        <f>'Batt IN'!$E$28*'Batt IN'!$G$13*('Batt IN'!$E$13/12)*(1+'Batt IN'!$F$30)</f>
        <v>3184.9999999999995</v>
      </c>
      <c r="Y360" s="33">
        <f>S360*'Batt IN'!$G$15*'Batt IN'!$E$28*(1+'Batt IN'!$F$30)</f>
        <v>0</v>
      </c>
      <c r="Z360" s="33">
        <f>'Batt IN'!$G$16*365/12*(1+'Batt IN'!$F$30)</f>
        <v>1824.9999999999998</v>
      </c>
      <c r="AA360" s="33">
        <f>'Batt IN'!$G$17*'Batt IN'!$E$18*'Batt IN'!$G$18/12*(1+'Batt IN'!$F$30)</f>
        <v>1170</v>
      </c>
      <c r="AB360" s="33">
        <f>'Batt IN'!$G$19*'Batt IN'!$E$20*'Batt IN'!$G$20/12*(1+'Batt IN'!$F$30)</f>
        <v>150</v>
      </c>
      <c r="AC360" s="33">
        <f>'Batt IN'!$G$21*(1+'Batt IN'!$F$30)/12</f>
        <v>3500</v>
      </c>
      <c r="AD360" s="33">
        <f>'Batt IN'!$G$22*(1+'Batt IN'!$F$30)/12</f>
        <v>2500</v>
      </c>
      <c r="AE360" s="33">
        <f t="shared" si="87"/>
        <v>30366.783333333333</v>
      </c>
      <c r="AF360" s="33">
        <f>IF('PV IN'!$F$4="Battery Only",0,AE360*'Batt IN'!$E$29)</f>
        <v>25811.765833333331</v>
      </c>
      <c r="AG360" s="33">
        <f>PVCalcs!L360</f>
        <v>25811.765833333331</v>
      </c>
      <c r="AH360" s="33">
        <f t="shared" si="88"/>
        <v>4555.0175000000017</v>
      </c>
      <c r="AI360" s="33"/>
      <c r="AJ360" s="2">
        <f>IF(AND('Batt IN'!$D$53="Yes",$AL$1&gt;=1),IF($C360='Batt IN'!$H$54*12,-'Batt IN'!$F$54,0),0)</f>
        <v>0</v>
      </c>
      <c r="AK360" s="2">
        <f>IF(AND('Batt IN'!$D$53="Yes",$AL$1&gt;=2),IF($C360='Batt IN'!$H$55*12,-'Batt IN'!$F$55,0),0)</f>
        <v>0</v>
      </c>
      <c r="AL360" s="2">
        <f>IF(AND('Batt IN'!$D$53="Yes",$AL$1&gt;=3),IF($C360='Batt IN'!$H$56*12,-'Batt IN'!$F$56,0),0)</f>
        <v>0</v>
      </c>
      <c r="AM360" s="2">
        <f>IF(AND('Batt IN'!$D$53="Yes",$AL$1&gt;=4),IF($C360='Batt IN'!$H$57*12,-'Batt IN'!$F$57,0),0)</f>
        <v>0</v>
      </c>
      <c r="AN360" s="2">
        <f>IF(AND('Batt IN'!$D$53="Yes",$AL$1&gt;=5),IF($C360='Batt IN'!$H$58*12,-'Batt IN'!$F$58,0),0)</f>
        <v>0</v>
      </c>
      <c r="AO360" s="10">
        <f>IF(AND('Batt IN'!$D$44="YES",$C360&lt;='Batt IN'!$E$44*12),-'Batt IN'!$E$28*'Batt IN'!$E$42/12,0)</f>
        <v>0</v>
      </c>
      <c r="AP360" s="10">
        <f>IF(AND('Batt IN'!$D$46="YES",$C360&lt;='Batt IN'!$E$46*12),-'Batt IN'!$E$28*'Batt IN'!$E$45/12,0)</f>
        <v>0</v>
      </c>
      <c r="AR360" s="10">
        <f>BattLoan!M387</f>
        <v>0</v>
      </c>
      <c r="AS360" s="10">
        <f>'Batt IN'!$G$16*365/12*'Batt IN'!$E$16</f>
        <v>76.041666666666671</v>
      </c>
      <c r="AT360" s="10">
        <f>IF(AND('Batt IN'!$E$18&gt;0,'Batt IN'!$G$18&gt;0),'Batt IN'!$E$17*'Batt IN'!$G$17,0)</f>
        <v>119.44619999999999</v>
      </c>
      <c r="AU360" s="10">
        <f>IF(AND('Batt IN'!$E$20&gt;0,'Batt IN'!$G$20&gt;0),'Batt IN'!$E$19*'Batt IN'!$G$19,0)</f>
        <v>231</v>
      </c>
      <c r="AV360" s="10"/>
      <c r="AW360" s="10"/>
      <c r="AX360" s="10">
        <f>IF('Batt IN'!$E$11="Non-Taxable",Q360,0)</f>
        <v>12024.809424657535</v>
      </c>
      <c r="AY360" s="10">
        <f>IF('Batt IN'!$E$11="Non-Taxable",'Batt IN'!$E$28/1000*'Batt IN'!$G$13*('Batt IN'!$E$13/12)*'Batt IN'!$E$12,0)</f>
        <v>244.42220833333334</v>
      </c>
      <c r="AZ360" s="10">
        <f>IF('Batt IN'!$E$11="Non-Taxable",$S360*'Batt IN'!$G$15*'Batt IN'!$E$28*'Batt IN'!$E$14/1000,0)</f>
        <v>0</v>
      </c>
      <c r="BA360" s="10">
        <f>IF('Batt IN'!$E$11="Non-Taxable",'Batt IN'!$E$21*'Batt IN'!$G$21/12,0)</f>
        <v>437.5</v>
      </c>
      <c r="BB360" s="10">
        <f>IF('Batt IN'!$E$11="Non-Taxable",'Batt IN'!$E$22*'Batt IN'!$G$22/12,0)</f>
        <v>1145.8333333333335</v>
      </c>
      <c r="BC360" s="10">
        <f>IF('Batt IN'!$E$11="Taxable",Q360,0)</f>
        <v>0</v>
      </c>
      <c r="BD360" s="10">
        <f>IF('Batt IN'!$E$11="Taxable",'Batt IN'!$E$28/1000*'Batt IN'!$G$13*('Batt IN'!$E$13/12)*'Batt IN'!$E$12,0)</f>
        <v>0</v>
      </c>
      <c r="BE360" s="10">
        <f>IF('Batt IN'!$E$11="Taxable",$S360*'Batt IN'!$G$15*'Batt IN'!$E$28*'Batt IN'!$E$14/1000,0)</f>
        <v>0</v>
      </c>
      <c r="BF360" s="10">
        <f>IF('Batt IN'!$E$11="Taxable",'Batt IN'!$E$21*'Batt IN'!$G$21/12,0)</f>
        <v>0</v>
      </c>
      <c r="BG360" s="10">
        <f>IF('Batt IN'!$E$11="Taxable",'Batt IN'!$E$22*'Batt IN'!$G$22/12,0)</f>
        <v>0</v>
      </c>
      <c r="BK360" s="10">
        <f>IF('Batt IN'!$N$18="Yes",-BattLoan!H388,-BattLoan!L388)</f>
        <v>0</v>
      </c>
      <c r="BL360" s="10">
        <f>IF('Batt IN'!$N$18="Yes",-BattLoan!F388,0)</f>
        <v>0</v>
      </c>
      <c r="BM360" s="10">
        <f>IF(AND('Batt IN'!$D$44="YES",$C360&lt;='Batt IN'!$E$44*12),0,-'Batt IN'!$E$28*'Batt IN'!$E$42/12)</f>
        <v>-83.333333333333329</v>
      </c>
      <c r="BN360" s="10">
        <f>IF(AND('Batt IN'!$D$46="YES",$C360&lt;='Batt IN'!$E$46*12),0,-'Batt IN'!$E$28*'Batt IN'!$E$45/12)</f>
        <v>-166.66666666666666</v>
      </c>
      <c r="BO360" s="2">
        <f>IF(AND('Batt IN'!$D$41="YES",BattCalcs!C360=ROUNDUP('Batt IN'!$H$41*12,)),-'Batt IN'!$E$41*'Batt IN'!$E$28,0)</f>
        <v>0</v>
      </c>
      <c r="BP360" s="2">
        <f>IF(AND('Batt IN'!$D$53="Yes",$AL$1&gt;=1),0,IF($C360='Batt IN'!$H$54*12,-'Batt IN'!$F$54,0))</f>
        <v>0</v>
      </c>
      <c r="BQ360" s="2">
        <f>IF(AND('Batt IN'!$D$53="Yes",$AL$1&gt;=2),0,IF($C360='Batt IN'!$H$55*12,-'Batt IN'!$F$55,0))</f>
        <v>0</v>
      </c>
      <c r="BR360" s="2">
        <f>IF(AND('Batt IN'!$D$53="Yes",$AL$1&gt;=3),0,IF($C360='Batt IN'!$H$56*12,-'Batt IN'!$F$56,0))</f>
        <v>0</v>
      </c>
      <c r="BS360" s="2">
        <f>IF(AND('Batt IN'!$D$53="Yes",$AL$1&gt;=4),0,IF($C360='Batt IN'!$H$57*12,-'Batt IN'!$F$57,0))</f>
        <v>0</v>
      </c>
      <c r="BT360" s="2">
        <f>IF(AND('Batt IN'!$D$53="Yes",$AL$1&gt;=5),0,IF($C360='Batt IN'!$H$58*12,-'Batt IN'!$F$58,0))</f>
        <v>0</v>
      </c>
      <c r="BU360" s="2">
        <f>-AH360*PVCalcs!F360</f>
        <v>-359.37504381576838</v>
      </c>
      <c r="BV360" s="2">
        <f>-'Batt IN'!$E$47</f>
        <v>-150</v>
      </c>
      <c r="BW360" s="2">
        <f>-'Batt IN'!$E$49</f>
        <v>-2250</v>
      </c>
      <c r="BX360" s="2">
        <f>IF('Batt IN'!$H$50="No",-(BC360*'Batt IN'!$E$50),-(BC360+BE360)*'Batt IN'!$E$50)</f>
        <v>0</v>
      </c>
      <c r="BY360" s="2">
        <f>IF(C360='Batt IN'!$H$43*12,-'Batt IN'!$E$43,0)</f>
        <v>0</v>
      </c>
      <c r="BZ360" s="38"/>
      <c r="CA360" s="10">
        <f t="shared" si="89"/>
        <v>14279.052832990868</v>
      </c>
      <c r="CB360" s="2">
        <f t="shared" si="94"/>
        <v>-3009.3750438157685</v>
      </c>
      <c r="CC360" s="45">
        <f t="shared" si="90"/>
        <v>11269.677789175101</v>
      </c>
      <c r="CD360" s="43"/>
      <c r="CE360" s="2">
        <f t="shared" si="91"/>
        <v>0</v>
      </c>
      <c r="CF360" s="2">
        <f t="shared" si="95"/>
        <v>-3009.3750438157685</v>
      </c>
      <c r="CG360" s="2"/>
      <c r="CH360" s="2">
        <f t="shared" si="92"/>
        <v>-3009.3750438157685</v>
      </c>
      <c r="CI360" s="45">
        <f>-CH360*'Batt IN'!$E$7</f>
        <v>631.9687592013114</v>
      </c>
      <c r="CJ360" s="48"/>
      <c r="CK360" s="45">
        <f>IF('Batt IN'!$F$4="PV Only",0,IF(C360&gt;'Batt IN'!$H$43*12,0,CC360+CI360))</f>
        <v>0</v>
      </c>
      <c r="CM360" s="10">
        <f t="shared" si="93"/>
        <v>0</v>
      </c>
      <c r="CN360" s="2">
        <f>CK360/(1+('Batt IN'!$G$8))^(C360)</f>
        <v>0</v>
      </c>
      <c r="CO360" s="2" t="e">
        <f>IF(C360&lt;='Batt IN'!$O$30*12,CN360+CO359,NA())</f>
        <v>#N/A</v>
      </c>
      <c r="CQ360" s="2">
        <f>CK360/((1+('Batt IN'!$E$8/12))^BattCalcs!C360)</f>
        <v>0</v>
      </c>
      <c r="CS360" s="10">
        <f t="shared" si="96"/>
        <v>-3009.3750438157685</v>
      </c>
      <c r="CT360" s="10">
        <f t="shared" si="97"/>
        <v>0</v>
      </c>
      <c r="CU360" s="10">
        <f t="shared" si="98"/>
        <v>-3009.3750438157685</v>
      </c>
      <c r="CV360" s="10">
        <f t="shared" si="99"/>
        <v>-3009.3750438157685</v>
      </c>
      <c r="CW360" s="2">
        <f t="shared" si="100"/>
        <v>0</v>
      </c>
      <c r="CX360" s="2">
        <f>-(SUM(CV360:CW360)*'PV IN'!$E$8)</f>
        <v>631.9687592013114</v>
      </c>
      <c r="CY360" s="2">
        <f t="shared" si="101"/>
        <v>-2377.406284614457</v>
      </c>
      <c r="CZ360" s="2">
        <f>IF(C360&lt;='Batt IN'!$H$43*12,CY360/(1+('PV IN'!$G$9))^(C360),0)</f>
        <v>0</v>
      </c>
      <c r="DA360" s="33">
        <f>IF(C360&lt;='Batt IN'!$H$43*12,AE360,0)</f>
        <v>0</v>
      </c>
    </row>
    <row r="361" spans="1:105" x14ac:dyDescent="0.25">
      <c r="A361" t="str">
        <f>IF(C361&lt;='Batt IN'!$H$43*12,C361,"")</f>
        <v/>
      </c>
      <c r="C361">
        <v>357</v>
      </c>
      <c r="D361" s="21">
        <v>787</v>
      </c>
      <c r="E361" s="1">
        <f>1-'Batt IN'!$E$31</f>
        <v>2.0000000000000018E-2</v>
      </c>
      <c r="F361" s="12">
        <f>('Batt IN'!$E$33*365)/8760</f>
        <v>0</v>
      </c>
      <c r="G361" s="22">
        <f>'Batt IN'!$E$32/8760</f>
        <v>5.7077625570776253E-3</v>
      </c>
      <c r="H361" s="22">
        <f>'Batt IN'!$E$13/8760</f>
        <v>5.5936073059360729E-3</v>
      </c>
      <c r="I361" s="23">
        <f>IF(C361&lt;='Batt IN'!$G$14*12,'Batt IN'!$E$15/8760*'Batt IN'!$G$15,0)</f>
        <v>0</v>
      </c>
      <c r="J361" s="12">
        <f>Z361/'Batt IN'!$E$27/730</f>
        <v>2.4999999999999996E-3</v>
      </c>
      <c r="K361" s="23">
        <f>AA361/'Batt IN'!$E$27/730</f>
        <v>1.6027397260273972E-3</v>
      </c>
      <c r="L361" s="23">
        <f>AB361/'Batt IN'!$E$27/730</f>
        <v>2.0547945205479451E-4</v>
      </c>
      <c r="M361" s="23">
        <f>AC361/'Batt IN'!$E$27/730</f>
        <v>4.7945205479452057E-3</v>
      </c>
      <c r="N361" s="23">
        <f>AD361/'Batt IN'!$E$27/730</f>
        <v>3.4246575342465752E-3</v>
      </c>
      <c r="O361" s="12">
        <f t="shared" si="85"/>
        <v>4.3828767123287697E-2</v>
      </c>
      <c r="P361" s="21">
        <f t="shared" si="86"/>
        <v>752.50676027397265</v>
      </c>
      <c r="Q361" s="2">
        <f>IF('Batt IN'!$E$27*'Batt IN'!$E$24&lt;='Batt IN'!$E$28,(('Batt IN'!$E$23*'Batt IN'!$E$27*'Batt IN'!$E$24)/1000)*P361,(('Batt IN'!$E$23*'Batt IN'!$E$28*'Batt IN'!$E$24)/1000)*P361)</f>
        <v>12040.108164383562</v>
      </c>
      <c r="R361" s="2"/>
      <c r="S361" s="77">
        <f>IF(C361&lt;='Batt IN'!$G$14*12,'Batt IN'!$E$15/12,0)</f>
        <v>0</v>
      </c>
      <c r="T361" s="77"/>
      <c r="U361" s="80">
        <f>'Batt IN'!$E$28*('Batt IN'!$G$24/24)*730*(1-O361)</f>
        <v>81433.916666666657</v>
      </c>
      <c r="V361" s="78">
        <f>U361*'Batt IN'!$F$30</f>
        <v>16286.783333333333</v>
      </c>
      <c r="W361" s="78">
        <f>'Batt IN'!$E$28*'Batt IN'!$G$32*('Batt IN'!$E$32/12)*(1+'Batt IN'!$F$30)</f>
        <v>1750.0000000000002</v>
      </c>
      <c r="X361" s="78">
        <f>'Batt IN'!$E$28*'Batt IN'!$G$13*('Batt IN'!$E$13/12)*(1+'Batt IN'!$F$30)</f>
        <v>3184.9999999999995</v>
      </c>
      <c r="Y361" s="33">
        <f>S361*'Batt IN'!$G$15*'Batt IN'!$E$28*(1+'Batt IN'!$F$30)</f>
        <v>0</v>
      </c>
      <c r="Z361" s="33">
        <f>'Batt IN'!$G$16*365/12*(1+'Batt IN'!$F$30)</f>
        <v>1824.9999999999998</v>
      </c>
      <c r="AA361" s="33">
        <f>'Batt IN'!$G$17*'Batt IN'!$E$18*'Batt IN'!$G$18/12*(1+'Batt IN'!$F$30)</f>
        <v>1170</v>
      </c>
      <c r="AB361" s="33">
        <f>'Batt IN'!$G$19*'Batt IN'!$E$20*'Batt IN'!$G$20/12*(1+'Batt IN'!$F$30)</f>
        <v>150</v>
      </c>
      <c r="AC361" s="33">
        <f>'Batt IN'!$G$21*(1+'Batt IN'!$F$30)/12</f>
        <v>3500</v>
      </c>
      <c r="AD361" s="33">
        <f>'Batt IN'!$G$22*(1+'Batt IN'!$F$30)/12</f>
        <v>2500</v>
      </c>
      <c r="AE361" s="33">
        <f t="shared" si="87"/>
        <v>30366.783333333333</v>
      </c>
      <c r="AF361" s="33">
        <f>IF('PV IN'!$F$4="Battery Only",0,AE361*'Batt IN'!$E$29)</f>
        <v>25811.765833333331</v>
      </c>
      <c r="AG361" s="33">
        <f>PVCalcs!L361</f>
        <v>25811.765833333331</v>
      </c>
      <c r="AH361" s="33">
        <f t="shared" si="88"/>
        <v>4555.0175000000017</v>
      </c>
      <c r="AI361" s="33"/>
      <c r="AJ361" s="2">
        <f>IF(AND('Batt IN'!$D$53="Yes",$AL$1&gt;=1),IF($C361='Batt IN'!$H$54*12,-'Batt IN'!$F$54,0),0)</f>
        <v>0</v>
      </c>
      <c r="AK361" s="2">
        <f>IF(AND('Batt IN'!$D$53="Yes",$AL$1&gt;=2),IF($C361='Batt IN'!$H$55*12,-'Batt IN'!$F$55,0),0)</f>
        <v>0</v>
      </c>
      <c r="AL361" s="2">
        <f>IF(AND('Batt IN'!$D$53="Yes",$AL$1&gt;=3),IF($C361='Batt IN'!$H$56*12,-'Batt IN'!$F$56,0),0)</f>
        <v>0</v>
      </c>
      <c r="AM361" s="2">
        <f>IF(AND('Batt IN'!$D$53="Yes",$AL$1&gt;=4),IF($C361='Batt IN'!$H$57*12,-'Batt IN'!$F$57,0),0)</f>
        <v>0</v>
      </c>
      <c r="AN361" s="2">
        <f>IF(AND('Batt IN'!$D$53="Yes",$AL$1&gt;=5),IF($C361='Batt IN'!$H$58*12,-'Batt IN'!$F$58,0),0)</f>
        <v>0</v>
      </c>
      <c r="AO361" s="10">
        <f>IF(AND('Batt IN'!$D$44="YES",$C361&lt;='Batt IN'!$E$44*12),-'Batt IN'!$E$28*'Batt IN'!$E$42/12,0)</f>
        <v>0</v>
      </c>
      <c r="AP361" s="10">
        <f>IF(AND('Batt IN'!$D$46="YES",$C361&lt;='Batt IN'!$E$46*12),-'Batt IN'!$E$28*'Batt IN'!$E$45/12,0)</f>
        <v>0</v>
      </c>
      <c r="AR361" s="10">
        <f>BattLoan!M388</f>
        <v>0</v>
      </c>
      <c r="AS361" s="10">
        <f>'Batt IN'!$G$16*365/12*'Batt IN'!$E$16</f>
        <v>76.041666666666671</v>
      </c>
      <c r="AT361" s="10">
        <f>IF(AND('Batt IN'!$E$18&gt;0,'Batt IN'!$G$18&gt;0),'Batt IN'!$E$17*'Batt IN'!$G$17,0)</f>
        <v>119.44619999999999</v>
      </c>
      <c r="AU361" s="10">
        <f>IF(AND('Batt IN'!$E$20&gt;0,'Batt IN'!$G$20&gt;0),'Batt IN'!$E$19*'Batt IN'!$G$19,0)</f>
        <v>231</v>
      </c>
      <c r="AV361" s="10"/>
      <c r="AW361" s="10"/>
      <c r="AX361" s="10">
        <f>IF('Batt IN'!$E$11="Non-Taxable",Q361,0)</f>
        <v>12040.108164383562</v>
      </c>
      <c r="AY361" s="10">
        <f>IF('Batt IN'!$E$11="Non-Taxable",'Batt IN'!$E$28/1000*'Batt IN'!$G$13*('Batt IN'!$E$13/12)*'Batt IN'!$E$12,0)</f>
        <v>244.42220833333334</v>
      </c>
      <c r="AZ361" s="10">
        <f>IF('Batt IN'!$E$11="Non-Taxable",$S361*'Batt IN'!$G$15*'Batt IN'!$E$28*'Batt IN'!$E$14/1000,0)</f>
        <v>0</v>
      </c>
      <c r="BA361" s="10">
        <f>IF('Batt IN'!$E$11="Non-Taxable",'Batt IN'!$E$21*'Batt IN'!$G$21/12,0)</f>
        <v>437.5</v>
      </c>
      <c r="BB361" s="10">
        <f>IF('Batt IN'!$E$11="Non-Taxable",'Batt IN'!$E$22*'Batt IN'!$G$22/12,0)</f>
        <v>1145.8333333333335</v>
      </c>
      <c r="BC361" s="10">
        <f>IF('Batt IN'!$E$11="Taxable",Q361,0)</f>
        <v>0</v>
      </c>
      <c r="BD361" s="10">
        <f>IF('Batt IN'!$E$11="Taxable",'Batt IN'!$E$28/1000*'Batt IN'!$G$13*('Batt IN'!$E$13/12)*'Batt IN'!$E$12,0)</f>
        <v>0</v>
      </c>
      <c r="BE361" s="10">
        <f>IF('Batt IN'!$E$11="Taxable",$S361*'Batt IN'!$G$15*'Batt IN'!$E$28*'Batt IN'!$E$14/1000,0)</f>
        <v>0</v>
      </c>
      <c r="BF361" s="10">
        <f>IF('Batt IN'!$E$11="Taxable",'Batt IN'!$E$21*'Batt IN'!$G$21/12,0)</f>
        <v>0</v>
      </c>
      <c r="BG361" s="10">
        <f>IF('Batt IN'!$E$11="Taxable",'Batt IN'!$E$22*'Batt IN'!$G$22/12,0)</f>
        <v>0</v>
      </c>
      <c r="BK361" s="10">
        <f>IF('Batt IN'!$N$18="Yes",-BattLoan!H389,-BattLoan!L389)</f>
        <v>0</v>
      </c>
      <c r="BL361" s="10">
        <f>IF('Batt IN'!$N$18="Yes",-BattLoan!F389,0)</f>
        <v>0</v>
      </c>
      <c r="BM361" s="10">
        <f>IF(AND('Batt IN'!$D$44="YES",$C361&lt;='Batt IN'!$E$44*12),0,-'Batt IN'!$E$28*'Batt IN'!$E$42/12)</f>
        <v>-83.333333333333329</v>
      </c>
      <c r="BN361" s="10">
        <f>IF(AND('Batt IN'!$D$46="YES",$C361&lt;='Batt IN'!$E$46*12),0,-'Batt IN'!$E$28*'Batt IN'!$E$45/12)</f>
        <v>-166.66666666666666</v>
      </c>
      <c r="BO361" s="2">
        <f>IF(AND('Batt IN'!$D$41="YES",BattCalcs!C361=ROUNDUP('Batt IN'!$H$41*12,)),-'Batt IN'!$E$41*'Batt IN'!$E$28,0)</f>
        <v>0</v>
      </c>
      <c r="BP361" s="2">
        <f>IF(AND('Batt IN'!$D$53="Yes",$AL$1&gt;=1),0,IF($C361='Batt IN'!$H$54*12,-'Batt IN'!$F$54,0))</f>
        <v>0</v>
      </c>
      <c r="BQ361" s="2">
        <f>IF(AND('Batt IN'!$D$53="Yes",$AL$1&gt;=2),0,IF($C361='Batt IN'!$H$55*12,-'Batt IN'!$F$55,0))</f>
        <v>0</v>
      </c>
      <c r="BR361" s="2">
        <f>IF(AND('Batt IN'!$D$53="Yes",$AL$1&gt;=3),0,IF($C361='Batt IN'!$H$56*12,-'Batt IN'!$F$56,0))</f>
        <v>0</v>
      </c>
      <c r="BS361" s="2">
        <f>IF(AND('Batt IN'!$D$53="Yes",$AL$1&gt;=4),0,IF($C361='Batt IN'!$H$57*12,-'Batt IN'!$F$57,0))</f>
        <v>0</v>
      </c>
      <c r="BT361" s="2">
        <f>IF(AND('Batt IN'!$D$53="Yes",$AL$1&gt;=5),0,IF($C361='Batt IN'!$H$58*12,-'Batt IN'!$F$58,0))</f>
        <v>0</v>
      </c>
      <c r="BU361" s="2">
        <f>-AH361*PVCalcs!F361</f>
        <v>-359.37504381576838</v>
      </c>
      <c r="BV361" s="2">
        <f>-'Batt IN'!$E$47</f>
        <v>-150</v>
      </c>
      <c r="BW361" s="2">
        <f>-'Batt IN'!$E$49</f>
        <v>-2250</v>
      </c>
      <c r="BX361" s="2">
        <f>IF('Batt IN'!$H$50="No",-(BC361*'Batt IN'!$E$50),-(BC361+BE361)*'Batt IN'!$E$50)</f>
        <v>0</v>
      </c>
      <c r="BY361" s="2">
        <f>IF(C361='Batt IN'!$H$43*12,-'Batt IN'!$E$43,0)</f>
        <v>0</v>
      </c>
      <c r="BZ361" s="38"/>
      <c r="CA361" s="10">
        <f t="shared" si="89"/>
        <v>14294.351572716896</v>
      </c>
      <c r="CB361" s="2">
        <f t="shared" si="94"/>
        <v>-3009.3750438157685</v>
      </c>
      <c r="CC361" s="45">
        <f t="shared" si="90"/>
        <v>11284.976528901127</v>
      </c>
      <c r="CD361" s="43"/>
      <c r="CE361" s="2">
        <f t="shared" si="91"/>
        <v>0</v>
      </c>
      <c r="CF361" s="2">
        <f t="shared" si="95"/>
        <v>-3009.3750438157685</v>
      </c>
      <c r="CG361" s="2"/>
      <c r="CH361" s="2">
        <f t="shared" si="92"/>
        <v>-3009.3750438157685</v>
      </c>
      <c r="CI361" s="45">
        <f>-CH361*'Batt IN'!$E$7</f>
        <v>631.9687592013114</v>
      </c>
      <c r="CJ361" s="48"/>
      <c r="CK361" s="45">
        <f>IF('Batt IN'!$F$4="PV Only",0,IF(C361&gt;'Batt IN'!$H$43*12,0,CC361+CI361))</f>
        <v>0</v>
      </c>
      <c r="CM361" s="10">
        <f t="shared" si="93"/>
        <v>0</v>
      </c>
      <c r="CN361" s="2">
        <f>CK361/(1+('Batt IN'!$G$8))^(C361)</f>
        <v>0</v>
      </c>
      <c r="CO361" s="2" t="e">
        <f>IF(C361&lt;='Batt IN'!$O$30*12,CN361+CO360,NA())</f>
        <v>#N/A</v>
      </c>
      <c r="CQ361" s="2">
        <f>CK361/((1+('Batt IN'!$E$8/12))^BattCalcs!C361)</f>
        <v>0</v>
      </c>
      <c r="CS361" s="10">
        <f t="shared" si="96"/>
        <v>-3009.3750438157685</v>
      </c>
      <c r="CT361" s="10">
        <f t="shared" si="97"/>
        <v>0</v>
      </c>
      <c r="CU361" s="10">
        <f t="shared" si="98"/>
        <v>-3009.3750438157685</v>
      </c>
      <c r="CV361" s="10">
        <f t="shared" si="99"/>
        <v>-3009.3750438157685</v>
      </c>
      <c r="CW361" s="2">
        <f t="shared" si="100"/>
        <v>0</v>
      </c>
      <c r="CX361" s="2">
        <f>-(SUM(CV361:CW361)*'PV IN'!$E$8)</f>
        <v>631.9687592013114</v>
      </c>
      <c r="CY361" s="2">
        <f t="shared" si="101"/>
        <v>-2377.406284614457</v>
      </c>
      <c r="CZ361" s="2">
        <f>IF(C361&lt;='Batt IN'!$H$43*12,CY361/(1+('PV IN'!$G$9))^(C361),0)</f>
        <v>0</v>
      </c>
      <c r="DA361" s="33">
        <f>IF(C361&lt;='Batt IN'!$H$43*12,AE361,0)</f>
        <v>0</v>
      </c>
    </row>
    <row r="362" spans="1:105" x14ac:dyDescent="0.25">
      <c r="A362" t="str">
        <f>IF(C362&lt;='Batt IN'!$H$43*12,C362,"")</f>
        <v/>
      </c>
      <c r="C362">
        <v>358</v>
      </c>
      <c r="D362" s="21">
        <v>788</v>
      </c>
      <c r="E362" s="1">
        <f>1-'Batt IN'!$E$31</f>
        <v>2.0000000000000018E-2</v>
      </c>
      <c r="F362" s="12">
        <f>('Batt IN'!$E$33*365)/8760</f>
        <v>0</v>
      </c>
      <c r="G362" s="22">
        <f>'Batt IN'!$E$32/8760</f>
        <v>5.7077625570776253E-3</v>
      </c>
      <c r="H362" s="22">
        <f>'Batt IN'!$E$13/8760</f>
        <v>5.5936073059360729E-3</v>
      </c>
      <c r="I362" s="23">
        <f>IF(C362&lt;='Batt IN'!$G$14*12,'Batt IN'!$E$15/8760*'Batt IN'!$G$15,0)</f>
        <v>0</v>
      </c>
      <c r="J362" s="12">
        <f>Z362/'Batt IN'!$E$27/730</f>
        <v>2.4999999999999996E-3</v>
      </c>
      <c r="K362" s="23">
        <f>AA362/'Batt IN'!$E$27/730</f>
        <v>1.6027397260273972E-3</v>
      </c>
      <c r="L362" s="23">
        <f>AB362/'Batt IN'!$E$27/730</f>
        <v>2.0547945205479451E-4</v>
      </c>
      <c r="M362" s="23">
        <f>AC362/'Batt IN'!$E$27/730</f>
        <v>4.7945205479452057E-3</v>
      </c>
      <c r="N362" s="23">
        <f>AD362/'Batt IN'!$E$27/730</f>
        <v>3.4246575342465752E-3</v>
      </c>
      <c r="O362" s="12">
        <f t="shared" si="85"/>
        <v>4.3828767123287697E-2</v>
      </c>
      <c r="P362" s="21">
        <f t="shared" si="86"/>
        <v>753.46293150684937</v>
      </c>
      <c r="Q362" s="2">
        <f>IF('Batt IN'!$E$27*'Batt IN'!$E$24&lt;='Batt IN'!$E$28,(('Batt IN'!$E$23*'Batt IN'!$E$27*'Batt IN'!$E$24)/1000)*P362,(('Batt IN'!$E$23*'Batt IN'!$E$28*'Batt IN'!$E$24)/1000)*P362)</f>
        <v>12055.40690410959</v>
      </c>
      <c r="R362" s="2"/>
      <c r="S362" s="77">
        <f>IF(C362&lt;='Batt IN'!$G$14*12,'Batt IN'!$E$15/12,0)</f>
        <v>0</v>
      </c>
      <c r="T362" s="77"/>
      <c r="U362" s="80">
        <f>'Batt IN'!$E$28*('Batt IN'!$G$24/24)*730*(1-O362)</f>
        <v>81433.916666666657</v>
      </c>
      <c r="V362" s="78">
        <f>U362*'Batt IN'!$F$30</f>
        <v>16286.783333333333</v>
      </c>
      <c r="W362" s="78">
        <f>'Batt IN'!$E$28*'Batt IN'!$G$32*('Batt IN'!$E$32/12)*(1+'Batt IN'!$F$30)</f>
        <v>1750.0000000000002</v>
      </c>
      <c r="X362" s="78">
        <f>'Batt IN'!$E$28*'Batt IN'!$G$13*('Batt IN'!$E$13/12)*(1+'Batt IN'!$F$30)</f>
        <v>3184.9999999999995</v>
      </c>
      <c r="Y362" s="33">
        <f>S362*'Batt IN'!$G$15*'Batt IN'!$E$28*(1+'Batt IN'!$F$30)</f>
        <v>0</v>
      </c>
      <c r="Z362" s="33">
        <f>'Batt IN'!$G$16*365/12*(1+'Batt IN'!$F$30)</f>
        <v>1824.9999999999998</v>
      </c>
      <c r="AA362" s="33">
        <f>'Batt IN'!$G$17*'Batt IN'!$E$18*'Batt IN'!$G$18/12*(1+'Batt IN'!$F$30)</f>
        <v>1170</v>
      </c>
      <c r="AB362" s="33">
        <f>'Batt IN'!$G$19*'Batt IN'!$E$20*'Batt IN'!$G$20/12*(1+'Batt IN'!$F$30)</f>
        <v>150</v>
      </c>
      <c r="AC362" s="33">
        <f>'Batt IN'!$G$21*(1+'Batt IN'!$F$30)/12</f>
        <v>3500</v>
      </c>
      <c r="AD362" s="33">
        <f>'Batt IN'!$G$22*(1+'Batt IN'!$F$30)/12</f>
        <v>2500</v>
      </c>
      <c r="AE362" s="33">
        <f t="shared" si="87"/>
        <v>30366.783333333333</v>
      </c>
      <c r="AF362" s="33">
        <f>IF('PV IN'!$F$4="Battery Only",0,AE362*'Batt IN'!$E$29)</f>
        <v>25811.765833333331</v>
      </c>
      <c r="AG362" s="33">
        <f>PVCalcs!L362</f>
        <v>25811.765833333331</v>
      </c>
      <c r="AH362" s="33">
        <f t="shared" si="88"/>
        <v>4555.0175000000017</v>
      </c>
      <c r="AI362" s="33"/>
      <c r="AJ362" s="2">
        <f>IF(AND('Batt IN'!$D$53="Yes",$AL$1&gt;=1),IF($C362='Batt IN'!$H$54*12,-'Batt IN'!$F$54,0),0)</f>
        <v>0</v>
      </c>
      <c r="AK362" s="2">
        <f>IF(AND('Batt IN'!$D$53="Yes",$AL$1&gt;=2),IF($C362='Batt IN'!$H$55*12,-'Batt IN'!$F$55,0),0)</f>
        <v>0</v>
      </c>
      <c r="AL362" s="2">
        <f>IF(AND('Batt IN'!$D$53="Yes",$AL$1&gt;=3),IF($C362='Batt IN'!$H$56*12,-'Batt IN'!$F$56,0),0)</f>
        <v>0</v>
      </c>
      <c r="AM362" s="2">
        <f>IF(AND('Batt IN'!$D$53="Yes",$AL$1&gt;=4),IF($C362='Batt IN'!$H$57*12,-'Batt IN'!$F$57,0),0)</f>
        <v>0</v>
      </c>
      <c r="AN362" s="2">
        <f>IF(AND('Batt IN'!$D$53="Yes",$AL$1&gt;=5),IF($C362='Batt IN'!$H$58*12,-'Batt IN'!$F$58,0),0)</f>
        <v>0</v>
      </c>
      <c r="AO362" s="10">
        <f>IF(AND('Batt IN'!$D$44="YES",$C362&lt;='Batt IN'!$E$44*12),-'Batt IN'!$E$28*'Batt IN'!$E$42/12,0)</f>
        <v>0</v>
      </c>
      <c r="AP362" s="10">
        <f>IF(AND('Batt IN'!$D$46="YES",$C362&lt;='Batt IN'!$E$46*12),-'Batt IN'!$E$28*'Batt IN'!$E$45/12,0)</f>
        <v>0</v>
      </c>
      <c r="AR362" s="10">
        <f>BattLoan!M389</f>
        <v>0</v>
      </c>
      <c r="AS362" s="10">
        <f>'Batt IN'!$G$16*365/12*'Batt IN'!$E$16</f>
        <v>76.041666666666671</v>
      </c>
      <c r="AT362" s="10">
        <f>IF(AND('Batt IN'!$E$18&gt;0,'Batt IN'!$G$18&gt;0),'Batt IN'!$E$17*'Batt IN'!$G$17,0)</f>
        <v>119.44619999999999</v>
      </c>
      <c r="AU362" s="10">
        <f>IF(AND('Batt IN'!$E$20&gt;0,'Batt IN'!$G$20&gt;0),'Batt IN'!$E$19*'Batt IN'!$G$19,0)</f>
        <v>231</v>
      </c>
      <c r="AV362" s="10"/>
      <c r="AW362" s="10"/>
      <c r="AX362" s="10">
        <f>IF('Batt IN'!$E$11="Non-Taxable",Q362,0)</f>
        <v>12055.40690410959</v>
      </c>
      <c r="AY362" s="10">
        <f>IF('Batt IN'!$E$11="Non-Taxable",'Batt IN'!$E$28/1000*'Batt IN'!$G$13*('Batt IN'!$E$13/12)*'Batt IN'!$E$12,0)</f>
        <v>244.42220833333334</v>
      </c>
      <c r="AZ362" s="10">
        <f>IF('Batt IN'!$E$11="Non-Taxable",$S362*'Batt IN'!$G$15*'Batt IN'!$E$28*'Batt IN'!$E$14/1000,0)</f>
        <v>0</v>
      </c>
      <c r="BA362" s="10">
        <f>IF('Batt IN'!$E$11="Non-Taxable",'Batt IN'!$E$21*'Batt IN'!$G$21/12,0)</f>
        <v>437.5</v>
      </c>
      <c r="BB362" s="10">
        <f>IF('Batt IN'!$E$11="Non-Taxable",'Batt IN'!$E$22*'Batt IN'!$G$22/12,0)</f>
        <v>1145.8333333333335</v>
      </c>
      <c r="BC362" s="10">
        <f>IF('Batt IN'!$E$11="Taxable",Q362,0)</f>
        <v>0</v>
      </c>
      <c r="BD362" s="10">
        <f>IF('Batt IN'!$E$11="Taxable",'Batt IN'!$E$28/1000*'Batt IN'!$G$13*('Batt IN'!$E$13/12)*'Batt IN'!$E$12,0)</f>
        <v>0</v>
      </c>
      <c r="BE362" s="10">
        <f>IF('Batt IN'!$E$11="Taxable",$S362*'Batt IN'!$G$15*'Batt IN'!$E$28*'Batt IN'!$E$14/1000,0)</f>
        <v>0</v>
      </c>
      <c r="BF362" s="10">
        <f>IF('Batt IN'!$E$11="Taxable",'Batt IN'!$E$21*'Batt IN'!$G$21/12,0)</f>
        <v>0</v>
      </c>
      <c r="BG362" s="10">
        <f>IF('Batt IN'!$E$11="Taxable",'Batt IN'!$E$22*'Batt IN'!$G$22/12,0)</f>
        <v>0</v>
      </c>
      <c r="BK362" s="10">
        <f>IF('Batt IN'!$N$18="Yes",-BattLoan!H390,-BattLoan!L390)</f>
        <v>0</v>
      </c>
      <c r="BL362" s="10">
        <f>IF('Batt IN'!$N$18="Yes",-BattLoan!F390,0)</f>
        <v>0</v>
      </c>
      <c r="BM362" s="10">
        <f>IF(AND('Batt IN'!$D$44="YES",$C362&lt;='Batt IN'!$E$44*12),0,-'Batt IN'!$E$28*'Batt IN'!$E$42/12)</f>
        <v>-83.333333333333329</v>
      </c>
      <c r="BN362" s="10">
        <f>IF(AND('Batt IN'!$D$46="YES",$C362&lt;='Batt IN'!$E$46*12),0,-'Batt IN'!$E$28*'Batt IN'!$E$45/12)</f>
        <v>-166.66666666666666</v>
      </c>
      <c r="BO362" s="2">
        <f>IF(AND('Batt IN'!$D$41="YES",BattCalcs!C362=ROUNDUP('Batt IN'!$H$41*12,)),-'Batt IN'!$E$41*'Batt IN'!$E$28,0)</f>
        <v>0</v>
      </c>
      <c r="BP362" s="2">
        <f>IF(AND('Batt IN'!$D$53="Yes",$AL$1&gt;=1),0,IF($C362='Batt IN'!$H$54*12,-'Batt IN'!$F$54,0))</f>
        <v>0</v>
      </c>
      <c r="BQ362" s="2">
        <f>IF(AND('Batt IN'!$D$53="Yes",$AL$1&gt;=2),0,IF($C362='Batt IN'!$H$55*12,-'Batt IN'!$F$55,0))</f>
        <v>0</v>
      </c>
      <c r="BR362" s="2">
        <f>IF(AND('Batt IN'!$D$53="Yes",$AL$1&gt;=3),0,IF($C362='Batt IN'!$H$56*12,-'Batt IN'!$F$56,0))</f>
        <v>0</v>
      </c>
      <c r="BS362" s="2">
        <f>IF(AND('Batt IN'!$D$53="Yes",$AL$1&gt;=4),0,IF($C362='Batt IN'!$H$57*12,-'Batt IN'!$F$57,0))</f>
        <v>0</v>
      </c>
      <c r="BT362" s="2">
        <f>IF(AND('Batt IN'!$D$53="Yes",$AL$1&gt;=5),0,IF($C362='Batt IN'!$H$58*12,-'Batt IN'!$F$58,0))</f>
        <v>0</v>
      </c>
      <c r="BU362" s="2">
        <f>-AH362*PVCalcs!F362</f>
        <v>-359.37504381576838</v>
      </c>
      <c r="BV362" s="2">
        <f>-'Batt IN'!$E$47</f>
        <v>-150</v>
      </c>
      <c r="BW362" s="2">
        <f>-'Batt IN'!$E$49</f>
        <v>-2250</v>
      </c>
      <c r="BX362" s="2">
        <f>IF('Batt IN'!$H$50="No",-(BC362*'Batt IN'!$E$50),-(BC362+BE362)*'Batt IN'!$E$50)</f>
        <v>0</v>
      </c>
      <c r="BY362" s="2">
        <f>IF(C362='Batt IN'!$H$43*12,-'Batt IN'!$E$43,0)</f>
        <v>0</v>
      </c>
      <c r="BZ362" s="38"/>
      <c r="CA362" s="10">
        <f t="shared" si="89"/>
        <v>14309.650312442924</v>
      </c>
      <c r="CB362" s="2">
        <f t="shared" si="94"/>
        <v>-3009.3750438157685</v>
      </c>
      <c r="CC362" s="45">
        <f t="shared" si="90"/>
        <v>11300.275268627156</v>
      </c>
      <c r="CD362" s="43"/>
      <c r="CE362" s="2">
        <f t="shared" si="91"/>
        <v>0</v>
      </c>
      <c r="CF362" s="2">
        <f t="shared" si="95"/>
        <v>-3009.3750438157685</v>
      </c>
      <c r="CG362" s="2"/>
      <c r="CH362" s="2">
        <f t="shared" si="92"/>
        <v>-3009.3750438157685</v>
      </c>
      <c r="CI362" s="45">
        <f>-CH362*'Batt IN'!$E$7</f>
        <v>631.9687592013114</v>
      </c>
      <c r="CJ362" s="48"/>
      <c r="CK362" s="45">
        <f>IF('Batt IN'!$F$4="PV Only",0,IF(C362&gt;'Batt IN'!$H$43*12,0,CC362+CI362))</f>
        <v>0</v>
      </c>
      <c r="CM362" s="10">
        <f t="shared" si="93"/>
        <v>0</v>
      </c>
      <c r="CN362" s="2">
        <f>CK362/(1+('Batt IN'!$G$8))^(C362)</f>
        <v>0</v>
      </c>
      <c r="CO362" s="2" t="e">
        <f>IF(C362&lt;='Batt IN'!$O$30*12,CN362+CO361,NA())</f>
        <v>#N/A</v>
      </c>
      <c r="CQ362" s="2">
        <f>CK362/((1+('Batt IN'!$E$8/12))^BattCalcs!C362)</f>
        <v>0</v>
      </c>
      <c r="CS362" s="10">
        <f t="shared" si="96"/>
        <v>-3009.3750438157685</v>
      </c>
      <c r="CT362" s="10">
        <f t="shared" si="97"/>
        <v>0</v>
      </c>
      <c r="CU362" s="10">
        <f t="shared" si="98"/>
        <v>-3009.3750438157685</v>
      </c>
      <c r="CV362" s="10">
        <f t="shared" si="99"/>
        <v>-3009.3750438157685</v>
      </c>
      <c r="CW362" s="2">
        <f t="shared" si="100"/>
        <v>0</v>
      </c>
      <c r="CX362" s="2">
        <f>-(SUM(CV362:CW362)*'PV IN'!$E$8)</f>
        <v>631.9687592013114</v>
      </c>
      <c r="CY362" s="2">
        <f t="shared" si="101"/>
        <v>-2377.406284614457</v>
      </c>
      <c r="CZ362" s="2">
        <f>IF(C362&lt;='Batt IN'!$H$43*12,CY362/(1+('PV IN'!$G$9))^(C362),0)</f>
        <v>0</v>
      </c>
      <c r="DA362" s="33">
        <f>IF(C362&lt;='Batt IN'!$H$43*12,AE362,0)</f>
        <v>0</v>
      </c>
    </row>
    <row r="363" spans="1:105" x14ac:dyDescent="0.25">
      <c r="A363" t="str">
        <f>IF(C363&lt;='Batt IN'!$H$43*12,C363,"")</f>
        <v/>
      </c>
      <c r="C363">
        <v>359</v>
      </c>
      <c r="D363" s="21">
        <v>789</v>
      </c>
      <c r="E363" s="1">
        <f>1-'Batt IN'!$E$31</f>
        <v>2.0000000000000018E-2</v>
      </c>
      <c r="F363" s="12">
        <f>('Batt IN'!$E$33*365)/8760</f>
        <v>0</v>
      </c>
      <c r="G363" s="22">
        <f>'Batt IN'!$E$32/8760</f>
        <v>5.7077625570776253E-3</v>
      </c>
      <c r="H363" s="22">
        <f>'Batt IN'!$E$13/8760</f>
        <v>5.5936073059360729E-3</v>
      </c>
      <c r="I363" s="23">
        <f>IF(C363&lt;='Batt IN'!$G$14*12,'Batt IN'!$E$15/8760*'Batt IN'!$G$15,0)</f>
        <v>0</v>
      </c>
      <c r="J363" s="12">
        <f>Z363/'Batt IN'!$E$27/730</f>
        <v>2.4999999999999996E-3</v>
      </c>
      <c r="K363" s="23">
        <f>AA363/'Batt IN'!$E$27/730</f>
        <v>1.6027397260273972E-3</v>
      </c>
      <c r="L363" s="23">
        <f>AB363/'Batt IN'!$E$27/730</f>
        <v>2.0547945205479451E-4</v>
      </c>
      <c r="M363" s="23">
        <f>AC363/'Batt IN'!$E$27/730</f>
        <v>4.7945205479452057E-3</v>
      </c>
      <c r="N363" s="23">
        <f>AD363/'Batt IN'!$E$27/730</f>
        <v>3.4246575342465752E-3</v>
      </c>
      <c r="O363" s="12">
        <f t="shared" si="85"/>
        <v>4.3828767123287697E-2</v>
      </c>
      <c r="P363" s="21">
        <f t="shared" si="86"/>
        <v>754.4191027397261</v>
      </c>
      <c r="Q363" s="2">
        <f>IF('Batt IN'!$E$27*'Batt IN'!$E$24&lt;='Batt IN'!$E$28,(('Batt IN'!$E$23*'Batt IN'!$E$27*'Batt IN'!$E$24)/1000)*P363,(('Batt IN'!$E$23*'Batt IN'!$E$28*'Batt IN'!$E$24)/1000)*P363)</f>
        <v>12070.705643835618</v>
      </c>
      <c r="R363" s="2"/>
      <c r="S363" s="77">
        <f>IF(C363&lt;='Batt IN'!$G$14*12,'Batt IN'!$E$15/12,0)</f>
        <v>0</v>
      </c>
      <c r="T363" s="77"/>
      <c r="U363" s="80">
        <f>'Batt IN'!$E$28*('Batt IN'!$G$24/24)*730*(1-O363)</f>
        <v>81433.916666666657</v>
      </c>
      <c r="V363" s="78">
        <f>U363*'Batt IN'!$F$30</f>
        <v>16286.783333333333</v>
      </c>
      <c r="W363" s="78">
        <f>'Batt IN'!$E$28*'Batt IN'!$G$32*('Batt IN'!$E$32/12)*(1+'Batt IN'!$F$30)</f>
        <v>1750.0000000000002</v>
      </c>
      <c r="X363" s="78">
        <f>'Batt IN'!$E$28*'Batt IN'!$G$13*('Batt IN'!$E$13/12)*(1+'Batt IN'!$F$30)</f>
        <v>3184.9999999999995</v>
      </c>
      <c r="Y363" s="33">
        <f>S363*'Batt IN'!$G$15*'Batt IN'!$E$28*(1+'Batt IN'!$F$30)</f>
        <v>0</v>
      </c>
      <c r="Z363" s="33">
        <f>'Batt IN'!$G$16*365/12*(1+'Batt IN'!$F$30)</f>
        <v>1824.9999999999998</v>
      </c>
      <c r="AA363" s="33">
        <f>'Batt IN'!$G$17*'Batt IN'!$E$18*'Batt IN'!$G$18/12*(1+'Batt IN'!$F$30)</f>
        <v>1170</v>
      </c>
      <c r="AB363" s="33">
        <f>'Batt IN'!$G$19*'Batt IN'!$E$20*'Batt IN'!$G$20/12*(1+'Batt IN'!$F$30)</f>
        <v>150</v>
      </c>
      <c r="AC363" s="33">
        <f>'Batt IN'!$G$21*(1+'Batt IN'!$F$30)/12</f>
        <v>3500</v>
      </c>
      <c r="AD363" s="33">
        <f>'Batt IN'!$G$22*(1+'Batt IN'!$F$30)/12</f>
        <v>2500</v>
      </c>
      <c r="AE363" s="33">
        <f t="shared" si="87"/>
        <v>30366.783333333333</v>
      </c>
      <c r="AF363" s="33">
        <f>IF('PV IN'!$F$4="Battery Only",0,AE363*'Batt IN'!$E$29)</f>
        <v>25811.765833333331</v>
      </c>
      <c r="AG363" s="33">
        <f>PVCalcs!L363</f>
        <v>25811.765833333331</v>
      </c>
      <c r="AH363" s="33">
        <f t="shared" si="88"/>
        <v>4555.0175000000017</v>
      </c>
      <c r="AI363" s="33"/>
      <c r="AJ363" s="2">
        <f>IF(AND('Batt IN'!$D$53="Yes",$AL$1&gt;=1),IF($C363='Batt IN'!$H$54*12,-'Batt IN'!$F$54,0),0)</f>
        <v>0</v>
      </c>
      <c r="AK363" s="2">
        <f>IF(AND('Batt IN'!$D$53="Yes",$AL$1&gt;=2),IF($C363='Batt IN'!$H$55*12,-'Batt IN'!$F$55,0),0)</f>
        <v>0</v>
      </c>
      <c r="AL363" s="2">
        <f>IF(AND('Batt IN'!$D$53="Yes",$AL$1&gt;=3),IF($C363='Batt IN'!$H$56*12,-'Batt IN'!$F$56,0),0)</f>
        <v>0</v>
      </c>
      <c r="AM363" s="2">
        <f>IF(AND('Batt IN'!$D$53="Yes",$AL$1&gt;=4),IF($C363='Batt IN'!$H$57*12,-'Batt IN'!$F$57,0),0)</f>
        <v>0</v>
      </c>
      <c r="AN363" s="2">
        <f>IF(AND('Batt IN'!$D$53="Yes",$AL$1&gt;=5),IF($C363='Batt IN'!$H$58*12,-'Batt IN'!$F$58,0),0)</f>
        <v>0</v>
      </c>
      <c r="AO363" s="10">
        <f>IF(AND('Batt IN'!$D$44="YES",$C363&lt;='Batt IN'!$E$44*12),-'Batt IN'!$E$28*'Batt IN'!$E$42/12,0)</f>
        <v>0</v>
      </c>
      <c r="AP363" s="10">
        <f>IF(AND('Batt IN'!$D$46="YES",$C363&lt;='Batt IN'!$E$46*12),-'Batt IN'!$E$28*'Batt IN'!$E$45/12,0)</f>
        <v>0</v>
      </c>
      <c r="AR363" s="10">
        <f>BattLoan!M390</f>
        <v>0</v>
      </c>
      <c r="AS363" s="10">
        <f>'Batt IN'!$G$16*365/12*'Batt IN'!$E$16</f>
        <v>76.041666666666671</v>
      </c>
      <c r="AT363" s="10">
        <f>IF(AND('Batt IN'!$E$18&gt;0,'Batt IN'!$G$18&gt;0),'Batt IN'!$E$17*'Batt IN'!$G$17,0)</f>
        <v>119.44619999999999</v>
      </c>
      <c r="AU363" s="10">
        <f>IF(AND('Batt IN'!$E$20&gt;0,'Batt IN'!$G$20&gt;0),'Batt IN'!$E$19*'Batt IN'!$G$19,0)</f>
        <v>231</v>
      </c>
      <c r="AV363" s="10"/>
      <c r="AW363" s="10"/>
      <c r="AX363" s="10">
        <f>IF('Batt IN'!$E$11="Non-Taxable",Q363,0)</f>
        <v>12070.705643835618</v>
      </c>
      <c r="AY363" s="10">
        <f>IF('Batt IN'!$E$11="Non-Taxable",'Batt IN'!$E$28/1000*'Batt IN'!$G$13*('Batt IN'!$E$13/12)*'Batt IN'!$E$12,0)</f>
        <v>244.42220833333334</v>
      </c>
      <c r="AZ363" s="10">
        <f>IF('Batt IN'!$E$11="Non-Taxable",$S363*'Batt IN'!$G$15*'Batt IN'!$E$28*'Batt IN'!$E$14/1000,0)</f>
        <v>0</v>
      </c>
      <c r="BA363" s="10">
        <f>IF('Batt IN'!$E$11="Non-Taxable",'Batt IN'!$E$21*'Batt IN'!$G$21/12,0)</f>
        <v>437.5</v>
      </c>
      <c r="BB363" s="10">
        <f>IF('Batt IN'!$E$11="Non-Taxable",'Batt IN'!$E$22*'Batt IN'!$G$22/12,0)</f>
        <v>1145.8333333333335</v>
      </c>
      <c r="BC363" s="10">
        <f>IF('Batt IN'!$E$11="Taxable",Q363,0)</f>
        <v>0</v>
      </c>
      <c r="BD363" s="10">
        <f>IF('Batt IN'!$E$11="Taxable",'Batt IN'!$E$28/1000*'Batt IN'!$G$13*('Batt IN'!$E$13/12)*'Batt IN'!$E$12,0)</f>
        <v>0</v>
      </c>
      <c r="BE363" s="10">
        <f>IF('Batt IN'!$E$11="Taxable",$S363*'Batt IN'!$G$15*'Batt IN'!$E$28*'Batt IN'!$E$14/1000,0)</f>
        <v>0</v>
      </c>
      <c r="BF363" s="10">
        <f>IF('Batt IN'!$E$11="Taxable",'Batt IN'!$E$21*'Batt IN'!$G$21/12,0)</f>
        <v>0</v>
      </c>
      <c r="BG363" s="10">
        <f>IF('Batt IN'!$E$11="Taxable",'Batt IN'!$E$22*'Batt IN'!$G$22/12,0)</f>
        <v>0</v>
      </c>
      <c r="BK363" s="10">
        <f>IF('Batt IN'!$N$18="Yes",-BattLoan!H391,-BattLoan!L391)</f>
        <v>0</v>
      </c>
      <c r="BL363" s="10">
        <f>IF('Batt IN'!$N$18="Yes",-BattLoan!F391,0)</f>
        <v>0</v>
      </c>
      <c r="BM363" s="10">
        <f>IF(AND('Batt IN'!$D$44="YES",$C363&lt;='Batt IN'!$E$44*12),0,-'Batt IN'!$E$28*'Batt IN'!$E$42/12)</f>
        <v>-83.333333333333329</v>
      </c>
      <c r="BN363" s="10">
        <f>IF(AND('Batt IN'!$D$46="YES",$C363&lt;='Batt IN'!$E$46*12),0,-'Batt IN'!$E$28*'Batt IN'!$E$45/12)</f>
        <v>-166.66666666666666</v>
      </c>
      <c r="BO363" s="2">
        <f>IF(AND('Batt IN'!$D$41="YES",BattCalcs!C363=ROUNDUP('Batt IN'!$H$41*12,)),-'Batt IN'!$E$41*'Batt IN'!$E$28,0)</f>
        <v>0</v>
      </c>
      <c r="BP363" s="2">
        <f>IF(AND('Batt IN'!$D$53="Yes",$AL$1&gt;=1),0,IF($C363='Batt IN'!$H$54*12,-'Batt IN'!$F$54,0))</f>
        <v>0</v>
      </c>
      <c r="BQ363" s="2">
        <f>IF(AND('Batt IN'!$D$53="Yes",$AL$1&gt;=2),0,IF($C363='Batt IN'!$H$55*12,-'Batt IN'!$F$55,0))</f>
        <v>0</v>
      </c>
      <c r="BR363" s="2">
        <f>IF(AND('Batt IN'!$D$53="Yes",$AL$1&gt;=3),0,IF($C363='Batt IN'!$H$56*12,-'Batt IN'!$F$56,0))</f>
        <v>0</v>
      </c>
      <c r="BS363" s="2">
        <f>IF(AND('Batt IN'!$D$53="Yes",$AL$1&gt;=4),0,IF($C363='Batt IN'!$H$57*12,-'Batt IN'!$F$57,0))</f>
        <v>0</v>
      </c>
      <c r="BT363" s="2">
        <f>IF(AND('Batt IN'!$D$53="Yes",$AL$1&gt;=5),0,IF($C363='Batt IN'!$H$58*12,-'Batt IN'!$F$58,0))</f>
        <v>0</v>
      </c>
      <c r="BU363" s="2">
        <f>-AH363*PVCalcs!F363</f>
        <v>-359.37504381576838</v>
      </c>
      <c r="BV363" s="2">
        <f>-'Batt IN'!$E$47</f>
        <v>-150</v>
      </c>
      <c r="BW363" s="2">
        <f>-'Batt IN'!$E$49</f>
        <v>-2250</v>
      </c>
      <c r="BX363" s="2">
        <f>IF('Batt IN'!$H$50="No",-(BC363*'Batt IN'!$E$50),-(BC363+BE363)*'Batt IN'!$E$50)</f>
        <v>0</v>
      </c>
      <c r="BY363" s="2">
        <f>IF(C363='Batt IN'!$H$43*12,-'Batt IN'!$E$43,0)</f>
        <v>0</v>
      </c>
      <c r="BZ363" s="38"/>
      <c r="CA363" s="10">
        <f t="shared" si="89"/>
        <v>14324.949052168951</v>
      </c>
      <c r="CB363" s="2">
        <f t="shared" si="94"/>
        <v>-3009.3750438157685</v>
      </c>
      <c r="CC363" s="45">
        <f t="shared" si="90"/>
        <v>11315.574008353182</v>
      </c>
      <c r="CD363" s="43"/>
      <c r="CE363" s="2">
        <f t="shared" si="91"/>
        <v>0</v>
      </c>
      <c r="CF363" s="2">
        <f t="shared" si="95"/>
        <v>-3009.3750438157685</v>
      </c>
      <c r="CG363" s="2"/>
      <c r="CH363" s="2">
        <f t="shared" si="92"/>
        <v>-3009.3750438157685</v>
      </c>
      <c r="CI363" s="45">
        <f>-CH363*'Batt IN'!$E$7</f>
        <v>631.9687592013114</v>
      </c>
      <c r="CJ363" s="48"/>
      <c r="CK363" s="45">
        <f>IF('Batt IN'!$F$4="PV Only",0,IF(C363&gt;'Batt IN'!$H$43*12,0,CC363+CI363))</f>
        <v>0</v>
      </c>
      <c r="CM363" s="10">
        <f t="shared" si="93"/>
        <v>0</v>
      </c>
      <c r="CN363" s="2">
        <f>CK363/(1+('Batt IN'!$G$8))^(C363)</f>
        <v>0</v>
      </c>
      <c r="CO363" s="2" t="e">
        <f>IF(C363&lt;='Batt IN'!$O$30*12,CN363+CO362,NA())</f>
        <v>#N/A</v>
      </c>
      <c r="CQ363" s="2">
        <f>CK363/((1+('Batt IN'!$E$8/12))^BattCalcs!C363)</f>
        <v>0</v>
      </c>
      <c r="CS363" s="10">
        <f t="shared" si="96"/>
        <v>-3009.3750438157685</v>
      </c>
      <c r="CT363" s="10">
        <f t="shared" si="97"/>
        <v>0</v>
      </c>
      <c r="CU363" s="10">
        <f t="shared" si="98"/>
        <v>-3009.3750438157685</v>
      </c>
      <c r="CV363" s="10">
        <f t="shared" si="99"/>
        <v>-3009.3750438157685</v>
      </c>
      <c r="CW363" s="2">
        <f t="shared" si="100"/>
        <v>0</v>
      </c>
      <c r="CX363" s="2">
        <f>-(SUM(CV363:CW363)*'PV IN'!$E$8)</f>
        <v>631.9687592013114</v>
      </c>
      <c r="CY363" s="2">
        <f t="shared" si="101"/>
        <v>-2377.406284614457</v>
      </c>
      <c r="CZ363" s="2">
        <f>IF(C363&lt;='Batt IN'!$H$43*12,CY363/(1+('PV IN'!$G$9))^(C363),0)</f>
        <v>0</v>
      </c>
      <c r="DA363" s="33">
        <f>IF(C363&lt;='Batt IN'!$H$43*12,AE363,0)</f>
        <v>0</v>
      </c>
    </row>
    <row r="364" spans="1:105" x14ac:dyDescent="0.25">
      <c r="A364" t="str">
        <f>IF(C364&lt;='Batt IN'!$H$43*12,C364,"")</f>
        <v/>
      </c>
      <c r="B364">
        <v>30</v>
      </c>
      <c r="C364">
        <v>360</v>
      </c>
      <c r="D364" s="21">
        <v>790</v>
      </c>
      <c r="E364" s="1">
        <f>1-'Batt IN'!$E$31</f>
        <v>2.0000000000000018E-2</v>
      </c>
      <c r="F364" s="12">
        <f>('Batt IN'!$E$33*365)/8760</f>
        <v>0</v>
      </c>
      <c r="G364" s="22">
        <f>'Batt IN'!$E$32/8760</f>
        <v>5.7077625570776253E-3</v>
      </c>
      <c r="H364" s="22">
        <f>'Batt IN'!$E$13/8760</f>
        <v>5.5936073059360729E-3</v>
      </c>
      <c r="I364" s="23">
        <f>IF(C364&lt;='Batt IN'!$G$14*12,'Batt IN'!$E$15/8760*'Batt IN'!$G$15,0)</f>
        <v>0</v>
      </c>
      <c r="J364" s="12">
        <f>Z364/'Batt IN'!$E$27/730</f>
        <v>2.4999999999999996E-3</v>
      </c>
      <c r="K364" s="23">
        <f>AA364/'Batt IN'!$E$27/730</f>
        <v>1.6027397260273972E-3</v>
      </c>
      <c r="L364" s="23">
        <f>AB364/'Batt IN'!$E$27/730</f>
        <v>2.0547945205479451E-4</v>
      </c>
      <c r="M364" s="23">
        <f>AC364/'Batt IN'!$E$27/730</f>
        <v>4.7945205479452057E-3</v>
      </c>
      <c r="N364" s="23">
        <f>AD364/'Batt IN'!$E$27/730</f>
        <v>3.4246575342465752E-3</v>
      </c>
      <c r="O364" s="12">
        <f t="shared" si="85"/>
        <v>4.3828767123287697E-2</v>
      </c>
      <c r="P364" s="21">
        <f t="shared" si="86"/>
        <v>755.37527397260271</v>
      </c>
      <c r="Q364" s="2">
        <f>IF('Batt IN'!$E$27*'Batt IN'!$E$24&lt;='Batt IN'!$E$28,(('Batt IN'!$E$23*'Batt IN'!$E$27*'Batt IN'!$E$24)/1000)*P364,(('Batt IN'!$E$23*'Batt IN'!$E$28*'Batt IN'!$E$24)/1000)*P364)</f>
        <v>12086.004383561643</v>
      </c>
      <c r="R364" s="2"/>
      <c r="S364" s="77">
        <f>IF(C364&lt;='Batt IN'!$G$14*12,'Batt IN'!$E$15/12,0)</f>
        <v>0</v>
      </c>
      <c r="T364" s="77"/>
      <c r="U364" s="80">
        <f>'Batt IN'!$E$28*('Batt IN'!$G$24/24)*730*(1-O364)</f>
        <v>81433.916666666657</v>
      </c>
      <c r="V364" s="78">
        <f>U364*'Batt IN'!$F$30</f>
        <v>16286.783333333333</v>
      </c>
      <c r="W364" s="78">
        <f>'Batt IN'!$E$28*'Batt IN'!$G$32*('Batt IN'!$E$32/12)*(1+'Batt IN'!$F$30)</f>
        <v>1750.0000000000002</v>
      </c>
      <c r="X364" s="78">
        <f>'Batt IN'!$E$28*'Batt IN'!$G$13*('Batt IN'!$E$13/12)*(1+'Batt IN'!$F$30)</f>
        <v>3184.9999999999995</v>
      </c>
      <c r="Y364" s="33">
        <f>S364*'Batt IN'!$G$15*'Batt IN'!$E$28*(1+'Batt IN'!$F$30)</f>
        <v>0</v>
      </c>
      <c r="Z364" s="33">
        <f>'Batt IN'!$G$16*365/12*(1+'Batt IN'!$F$30)</f>
        <v>1824.9999999999998</v>
      </c>
      <c r="AA364" s="33">
        <f>'Batt IN'!$G$17*'Batt IN'!$E$18*'Batt IN'!$G$18/12*(1+'Batt IN'!$F$30)</f>
        <v>1170</v>
      </c>
      <c r="AB364" s="33">
        <f>'Batt IN'!$G$19*'Batt IN'!$E$20*'Batt IN'!$G$20/12*(1+'Batt IN'!$F$30)</f>
        <v>150</v>
      </c>
      <c r="AC364" s="33">
        <f>'Batt IN'!$G$21*(1+'Batt IN'!$F$30)/12</f>
        <v>3500</v>
      </c>
      <c r="AD364" s="33">
        <f>'Batt IN'!$G$22*(1+'Batt IN'!$F$30)/12</f>
        <v>2500</v>
      </c>
      <c r="AE364" s="33">
        <f t="shared" si="87"/>
        <v>30366.783333333333</v>
      </c>
      <c r="AF364" s="33">
        <f>IF('PV IN'!$F$4="Battery Only",0,AE364*'Batt IN'!$E$29)</f>
        <v>25811.765833333331</v>
      </c>
      <c r="AG364" s="33">
        <f>PVCalcs!L364</f>
        <v>25811.765833333331</v>
      </c>
      <c r="AH364" s="33">
        <f t="shared" si="88"/>
        <v>4555.0175000000017</v>
      </c>
      <c r="AI364" s="33"/>
      <c r="AJ364" s="2">
        <f>IF(AND('Batt IN'!$D$53="Yes",$AL$1&gt;=1),IF($C364='Batt IN'!$H$54*12,-'Batt IN'!$F$54,0),0)</f>
        <v>0</v>
      </c>
      <c r="AK364" s="2">
        <f>IF(AND('Batt IN'!$D$53="Yes",$AL$1&gt;=2),IF($C364='Batt IN'!$H$55*12,-'Batt IN'!$F$55,0),0)</f>
        <v>0</v>
      </c>
      <c r="AL364" s="2">
        <f>IF(AND('Batt IN'!$D$53="Yes",$AL$1&gt;=3),IF($C364='Batt IN'!$H$56*12,-'Batt IN'!$F$56,0),0)</f>
        <v>0</v>
      </c>
      <c r="AM364" s="2">
        <f>IF(AND('Batt IN'!$D$53="Yes",$AL$1&gt;=4),IF($C364='Batt IN'!$H$57*12,-'Batt IN'!$F$57,0),0)</f>
        <v>0</v>
      </c>
      <c r="AN364" s="2">
        <f>IF(AND('Batt IN'!$D$53="Yes",$AL$1&gt;=5),IF($C364='Batt IN'!$H$58*12,-'Batt IN'!$F$58,0),0)</f>
        <v>0</v>
      </c>
      <c r="AO364" s="10">
        <f>IF(AND('Batt IN'!$D$44="YES",$C364&lt;='Batt IN'!$E$44*12),-'Batt IN'!$E$28*'Batt IN'!$E$42/12,0)</f>
        <v>0</v>
      </c>
      <c r="AP364" s="10">
        <f>IF(AND('Batt IN'!$D$46="YES",$C364&lt;='Batt IN'!$E$46*12),-'Batt IN'!$E$28*'Batt IN'!$E$45/12,0)</f>
        <v>0</v>
      </c>
      <c r="AR364" s="10">
        <f>BattLoan!M391</f>
        <v>0</v>
      </c>
      <c r="AS364" s="10">
        <f>'Batt IN'!$G$16*365/12*'Batt IN'!$E$16</f>
        <v>76.041666666666671</v>
      </c>
      <c r="AT364" s="10">
        <f>IF(AND('Batt IN'!$E$18&gt;0,'Batt IN'!$G$18&gt;0),'Batt IN'!$E$17*'Batt IN'!$G$17,0)</f>
        <v>119.44619999999999</v>
      </c>
      <c r="AU364" s="10">
        <f>IF(AND('Batt IN'!$E$20&gt;0,'Batt IN'!$G$20&gt;0),'Batt IN'!$E$19*'Batt IN'!$G$19,0)</f>
        <v>231</v>
      </c>
      <c r="AV364" s="10"/>
      <c r="AW364" s="10"/>
      <c r="AX364" s="10">
        <f>IF('Batt IN'!$E$11="Non-Taxable",Q364,0)</f>
        <v>12086.004383561643</v>
      </c>
      <c r="AY364" s="10">
        <f>IF('Batt IN'!$E$11="Non-Taxable",'Batt IN'!$E$28/1000*'Batt IN'!$G$13*('Batt IN'!$E$13/12)*'Batt IN'!$E$12,0)</f>
        <v>244.42220833333334</v>
      </c>
      <c r="AZ364" s="10">
        <f>IF('Batt IN'!$E$11="Non-Taxable",$S364*'Batt IN'!$G$15*'Batt IN'!$E$28*'Batt IN'!$E$14/1000,0)</f>
        <v>0</v>
      </c>
      <c r="BA364" s="10">
        <f>IF('Batt IN'!$E$11="Non-Taxable",'Batt IN'!$E$21*'Batt IN'!$G$21/12,0)</f>
        <v>437.5</v>
      </c>
      <c r="BB364" s="10">
        <f>IF('Batt IN'!$E$11="Non-Taxable",'Batt IN'!$E$22*'Batt IN'!$G$22/12,0)</f>
        <v>1145.8333333333335</v>
      </c>
      <c r="BC364" s="10">
        <f>IF('Batt IN'!$E$11="Taxable",Q364,0)</f>
        <v>0</v>
      </c>
      <c r="BD364" s="10">
        <f>IF('Batt IN'!$E$11="Taxable",'Batt IN'!$E$28/1000*'Batt IN'!$G$13*('Batt IN'!$E$13/12)*'Batt IN'!$E$12,0)</f>
        <v>0</v>
      </c>
      <c r="BE364" s="10">
        <f>IF('Batt IN'!$E$11="Taxable",$S364*'Batt IN'!$G$15*'Batt IN'!$E$28*'Batt IN'!$E$14/1000,0)</f>
        <v>0</v>
      </c>
      <c r="BF364" s="10">
        <f>IF('Batt IN'!$E$11="Taxable",'Batt IN'!$E$21*'Batt IN'!$G$21/12,0)</f>
        <v>0</v>
      </c>
      <c r="BG364" s="10">
        <f>IF('Batt IN'!$E$11="Taxable",'Batt IN'!$E$22*'Batt IN'!$G$22/12,0)</f>
        <v>0</v>
      </c>
      <c r="BK364" s="10">
        <f>IF('Batt IN'!$N$18="Yes",-BattLoan!H392,-BattLoan!L392)</f>
        <v>0</v>
      </c>
      <c r="BL364" s="10">
        <f>IF('Batt IN'!$N$18="Yes",-BattLoan!F392,0)</f>
        <v>0</v>
      </c>
      <c r="BM364" s="10">
        <f>IF(AND('Batt IN'!$D$44="YES",$C364&lt;='Batt IN'!$E$44*12),0,-'Batt IN'!$E$28*'Batt IN'!$E$42/12)</f>
        <v>-83.333333333333329</v>
      </c>
      <c r="BN364" s="10">
        <f>IF(AND('Batt IN'!$D$46="YES",$C364&lt;='Batt IN'!$E$46*12),0,-'Batt IN'!$E$28*'Batt IN'!$E$45/12)</f>
        <v>-166.66666666666666</v>
      </c>
      <c r="BO364" s="2">
        <f>IF(AND('Batt IN'!$D$41="YES",BattCalcs!C364=ROUNDUP('Batt IN'!$H$41*12,)),-'Batt IN'!$E$41*'Batt IN'!$E$28,0)</f>
        <v>0</v>
      </c>
      <c r="BP364" s="2">
        <f>IF(AND('Batt IN'!$D$53="Yes",$AL$1&gt;=1),0,IF($C364='Batt IN'!$H$54*12,-'Batt IN'!$F$54,0))</f>
        <v>0</v>
      </c>
      <c r="BQ364" s="2">
        <f>IF(AND('Batt IN'!$D$53="Yes",$AL$1&gt;=2),0,IF($C364='Batt IN'!$H$55*12,-'Batt IN'!$F$55,0))</f>
        <v>0</v>
      </c>
      <c r="BR364" s="2">
        <f>IF(AND('Batt IN'!$D$53="Yes",$AL$1&gt;=3),0,IF($C364='Batt IN'!$H$56*12,-'Batt IN'!$F$56,0))</f>
        <v>0</v>
      </c>
      <c r="BS364" s="2">
        <f>IF(AND('Batt IN'!$D$53="Yes",$AL$1&gt;=4),0,IF($C364='Batt IN'!$H$57*12,-'Batt IN'!$F$57,0))</f>
        <v>0</v>
      </c>
      <c r="BT364" s="2">
        <f>IF(AND('Batt IN'!$D$53="Yes",$AL$1&gt;=5),0,IF($C364='Batt IN'!$H$58*12,-'Batt IN'!$F$58,0))</f>
        <v>0</v>
      </c>
      <c r="BU364" s="2">
        <f>-AH364*PVCalcs!F364</f>
        <v>-359.37504381576838</v>
      </c>
      <c r="BV364" s="2">
        <f>-'Batt IN'!$E$47</f>
        <v>-150</v>
      </c>
      <c r="BW364" s="2">
        <f>-'Batt IN'!$E$49</f>
        <v>-2250</v>
      </c>
      <c r="BX364" s="2">
        <f>IF('Batt IN'!$H$50="No",-(BC364*'Batt IN'!$E$50),-(BC364+BE364)*'Batt IN'!$E$50)</f>
        <v>0</v>
      </c>
      <c r="BY364" s="2">
        <f>IF(C364='Batt IN'!$H$43*12,-'Batt IN'!$E$43,0)</f>
        <v>0</v>
      </c>
      <c r="BZ364" s="38"/>
      <c r="CA364" s="10">
        <f t="shared" si="89"/>
        <v>14340.247791894977</v>
      </c>
      <c r="CB364" s="2">
        <f t="shared" si="94"/>
        <v>-3009.3750438157685</v>
      </c>
      <c r="CC364" s="45">
        <f t="shared" si="90"/>
        <v>11330.872748079208</v>
      </c>
      <c r="CD364" s="43"/>
      <c r="CE364" s="2">
        <f t="shared" si="91"/>
        <v>0</v>
      </c>
      <c r="CF364" s="2">
        <f t="shared" si="95"/>
        <v>-3009.3750438157685</v>
      </c>
      <c r="CG364" s="2"/>
      <c r="CH364" s="2">
        <f t="shared" si="92"/>
        <v>-3009.3750438157685</v>
      </c>
      <c r="CI364" s="45">
        <f>-CH364*'Batt IN'!$E$7</f>
        <v>631.9687592013114</v>
      </c>
      <c r="CJ364" s="48"/>
      <c r="CK364" s="45">
        <f>IF('Batt IN'!$F$4="PV Only",0,IF(C364&gt;'Batt IN'!$H$43*12,0,CC364+CI364))</f>
        <v>0</v>
      </c>
      <c r="CM364" s="10">
        <f t="shared" si="93"/>
        <v>0</v>
      </c>
      <c r="CN364" s="2">
        <f>CK364/(1+('Batt IN'!$G$8))^(C364)</f>
        <v>0</v>
      </c>
      <c r="CO364" s="2" t="e">
        <f>IF(C364&lt;='Batt IN'!$O$30*12,CN364+CO363,NA())</f>
        <v>#N/A</v>
      </c>
      <c r="CQ364" s="2">
        <f>CK364/((1+('Batt IN'!$E$8/12))^BattCalcs!C364)</f>
        <v>0</v>
      </c>
      <c r="CS364" s="10">
        <f t="shared" si="96"/>
        <v>-3009.3750438157685</v>
      </c>
      <c r="CT364" s="10">
        <f t="shared" si="97"/>
        <v>0</v>
      </c>
      <c r="CU364" s="10">
        <f t="shared" si="98"/>
        <v>-3009.3750438157685</v>
      </c>
      <c r="CV364" s="10">
        <f t="shared" si="99"/>
        <v>-3009.3750438157685</v>
      </c>
      <c r="CW364" s="2">
        <f t="shared" si="100"/>
        <v>0</v>
      </c>
      <c r="CX364" s="2">
        <f>-(SUM(CV364:CW364)*'PV IN'!$E$8)</f>
        <v>631.9687592013114</v>
      </c>
      <c r="CY364" s="2">
        <f t="shared" si="101"/>
        <v>-2377.406284614457</v>
      </c>
      <c r="CZ364" s="2">
        <f>IF(C364&lt;='Batt IN'!$H$43*12,CY364/(1+('PV IN'!$G$9))^(C364),0)</f>
        <v>0</v>
      </c>
      <c r="DA364" s="33">
        <f>IF(C364&lt;='Batt IN'!$H$43*12,AE364,0)</f>
        <v>0</v>
      </c>
    </row>
    <row r="365" spans="1:105" x14ac:dyDescent="0.25">
      <c r="A365" t="str">
        <f>IF(C365&lt;='Batt IN'!$H$43*12,C365,"")</f>
        <v/>
      </c>
      <c r="C365">
        <v>361</v>
      </c>
      <c r="D365" s="21">
        <v>791</v>
      </c>
      <c r="E365" s="1">
        <f>1-'Batt IN'!$E$31</f>
        <v>2.0000000000000018E-2</v>
      </c>
      <c r="F365" s="12">
        <f>('Batt IN'!$E$33*365)/8760</f>
        <v>0</v>
      </c>
      <c r="G365" s="22">
        <f>'Batt IN'!$E$32/8760</f>
        <v>5.7077625570776253E-3</v>
      </c>
      <c r="H365" s="22">
        <f>'Batt IN'!$E$13/8760</f>
        <v>5.5936073059360729E-3</v>
      </c>
      <c r="I365" s="23">
        <f>IF(C365&lt;='Batt IN'!$G$14*12,'Batt IN'!$E$15/8760*'Batt IN'!$G$15,0)</f>
        <v>0</v>
      </c>
      <c r="J365" s="12">
        <f>Z365/'Batt IN'!$E$27/730</f>
        <v>2.4999999999999996E-3</v>
      </c>
      <c r="K365" s="23">
        <f>AA365/'Batt IN'!$E$27/730</f>
        <v>1.6027397260273972E-3</v>
      </c>
      <c r="L365" s="23">
        <f>AB365/'Batt IN'!$E$27/730</f>
        <v>2.0547945205479451E-4</v>
      </c>
      <c r="M365" s="23">
        <f>AC365/'Batt IN'!$E$27/730</f>
        <v>4.7945205479452057E-3</v>
      </c>
      <c r="N365" s="23">
        <f>AD365/'Batt IN'!$E$27/730</f>
        <v>3.4246575342465752E-3</v>
      </c>
      <c r="O365" s="12">
        <f t="shared" ref="O365:O428" si="102">SUM(E365:N365)</f>
        <v>4.3828767123287697E-2</v>
      </c>
      <c r="P365" s="21">
        <f t="shared" ref="P365:P428" si="103">D365*(1-O365)</f>
        <v>756.33144520547944</v>
      </c>
      <c r="Q365" s="2">
        <f>IF('Batt IN'!$E$27*'Batt IN'!$E$24&lt;='Batt IN'!$E$28,(('Batt IN'!$E$23*'Batt IN'!$E$27*'Batt IN'!$E$24)/1000)*P365,(('Batt IN'!$E$23*'Batt IN'!$E$28*'Batt IN'!$E$24)/1000)*P365)</f>
        <v>12101.303123287671</v>
      </c>
      <c r="R365" s="2"/>
      <c r="S365" s="77">
        <f>IF(C365&lt;='Batt IN'!$G$14*12,'Batt IN'!$E$15/12,0)</f>
        <v>0</v>
      </c>
      <c r="T365" s="77"/>
      <c r="U365" s="80">
        <f>'Batt IN'!$E$28*('Batt IN'!$G$24/24)*730*(1-O365)</f>
        <v>81433.916666666657</v>
      </c>
      <c r="V365" s="78">
        <f>U365*'Batt IN'!$F$30</f>
        <v>16286.783333333333</v>
      </c>
      <c r="W365" s="78">
        <f>'Batt IN'!$E$28*'Batt IN'!$G$32*('Batt IN'!$E$32/12)*(1+'Batt IN'!$F$30)</f>
        <v>1750.0000000000002</v>
      </c>
      <c r="X365" s="78">
        <f>'Batt IN'!$E$28*'Batt IN'!$G$13*('Batt IN'!$E$13/12)*(1+'Batt IN'!$F$30)</f>
        <v>3184.9999999999995</v>
      </c>
      <c r="Y365" s="33">
        <f>S365*'Batt IN'!$G$15*'Batt IN'!$E$28*(1+'Batt IN'!$F$30)</f>
        <v>0</v>
      </c>
      <c r="Z365" s="33">
        <f>'Batt IN'!$G$16*365/12*(1+'Batt IN'!$F$30)</f>
        <v>1824.9999999999998</v>
      </c>
      <c r="AA365" s="33">
        <f>'Batt IN'!$G$17*'Batt IN'!$E$18*'Batt IN'!$G$18/12*(1+'Batt IN'!$F$30)</f>
        <v>1170</v>
      </c>
      <c r="AB365" s="33">
        <f>'Batt IN'!$G$19*'Batt IN'!$E$20*'Batt IN'!$G$20/12*(1+'Batt IN'!$F$30)</f>
        <v>150</v>
      </c>
      <c r="AC365" s="33">
        <f>'Batt IN'!$G$21*(1+'Batt IN'!$F$30)/12</f>
        <v>3500</v>
      </c>
      <c r="AD365" s="33">
        <f>'Batt IN'!$G$22*(1+'Batt IN'!$F$30)/12</f>
        <v>2500</v>
      </c>
      <c r="AE365" s="33">
        <f t="shared" ref="AE365:AE428" si="104">SUM(V365:AD365)</f>
        <v>30366.783333333333</v>
      </c>
      <c r="AF365" s="33">
        <f>IF('PV IN'!$F$4="Battery Only",0,AE365*'Batt IN'!$E$29)</f>
        <v>25811.765833333331</v>
      </c>
      <c r="AG365" s="33">
        <f>PVCalcs!L365</f>
        <v>25811.765833333331</v>
      </c>
      <c r="AH365" s="33">
        <f t="shared" ref="AH365:AH428" si="105">AE365-AG365</f>
        <v>4555.0175000000017</v>
      </c>
      <c r="AI365" s="33"/>
      <c r="AJ365" s="2">
        <f>IF(AND('Batt IN'!$D$53="Yes",$AL$1&gt;=1),IF($C365='Batt IN'!$H$54*12,-'Batt IN'!$F$54,0),0)</f>
        <v>0</v>
      </c>
      <c r="AK365" s="2">
        <f>IF(AND('Batt IN'!$D$53="Yes",$AL$1&gt;=2),IF($C365='Batt IN'!$H$55*12,-'Batt IN'!$F$55,0),0)</f>
        <v>0</v>
      </c>
      <c r="AL365" s="2">
        <f>IF(AND('Batt IN'!$D$53="Yes",$AL$1&gt;=3),IF($C365='Batt IN'!$H$56*12,-'Batt IN'!$F$56,0),0)</f>
        <v>0</v>
      </c>
      <c r="AM365" s="2">
        <f>IF(AND('Batt IN'!$D$53="Yes",$AL$1&gt;=4),IF($C365='Batt IN'!$H$57*12,-'Batt IN'!$F$57,0),0)</f>
        <v>0</v>
      </c>
      <c r="AN365" s="2">
        <f>IF(AND('Batt IN'!$D$53="Yes",$AL$1&gt;=5),IF($C365='Batt IN'!$H$58*12,-'Batt IN'!$F$58,0),0)</f>
        <v>0</v>
      </c>
      <c r="AO365" s="10">
        <f>IF(AND('Batt IN'!$D$44="YES",$C365&lt;='Batt IN'!$E$44*12),-'Batt IN'!$E$28*'Batt IN'!$E$42/12,0)</f>
        <v>0</v>
      </c>
      <c r="AP365" s="10">
        <f>IF(AND('Batt IN'!$D$46="YES",$C365&lt;='Batt IN'!$E$46*12),-'Batt IN'!$E$28*'Batt IN'!$E$45/12,0)</f>
        <v>0</v>
      </c>
      <c r="AR365" s="10">
        <f>BattLoan!M392</f>
        <v>0</v>
      </c>
      <c r="AS365" s="10">
        <f>'Batt IN'!$G$16*365/12*'Batt IN'!$E$16</f>
        <v>76.041666666666671</v>
      </c>
      <c r="AT365" s="10">
        <f>IF(AND('Batt IN'!$E$18&gt;0,'Batt IN'!$G$18&gt;0),'Batt IN'!$E$17*'Batt IN'!$G$17,0)</f>
        <v>119.44619999999999</v>
      </c>
      <c r="AU365" s="10">
        <f>IF(AND('Batt IN'!$E$20&gt;0,'Batt IN'!$G$20&gt;0),'Batt IN'!$E$19*'Batt IN'!$G$19,0)</f>
        <v>231</v>
      </c>
      <c r="AV365" s="10"/>
      <c r="AW365" s="10"/>
      <c r="AX365" s="10">
        <f>IF('Batt IN'!$E$11="Non-Taxable",Q365,0)</f>
        <v>12101.303123287671</v>
      </c>
      <c r="AY365" s="10">
        <f>IF('Batt IN'!$E$11="Non-Taxable",'Batt IN'!$E$28/1000*'Batt IN'!$G$13*('Batt IN'!$E$13/12)*'Batt IN'!$E$12,0)</f>
        <v>244.42220833333334</v>
      </c>
      <c r="AZ365" s="10">
        <f>IF('Batt IN'!$E$11="Non-Taxable",$S365*'Batt IN'!$G$15*'Batt IN'!$E$28*'Batt IN'!$E$14/1000,0)</f>
        <v>0</v>
      </c>
      <c r="BA365" s="10">
        <f>IF('Batt IN'!$E$11="Non-Taxable",'Batt IN'!$E$21*'Batt IN'!$G$21/12,0)</f>
        <v>437.5</v>
      </c>
      <c r="BB365" s="10">
        <f>IF('Batt IN'!$E$11="Non-Taxable",'Batt IN'!$E$22*'Batt IN'!$G$22/12,0)</f>
        <v>1145.8333333333335</v>
      </c>
      <c r="BC365" s="10">
        <f>IF('Batt IN'!$E$11="Taxable",Q365,0)</f>
        <v>0</v>
      </c>
      <c r="BD365" s="10">
        <f>IF('Batt IN'!$E$11="Taxable",'Batt IN'!$E$28/1000*'Batt IN'!$G$13*('Batt IN'!$E$13/12)*'Batt IN'!$E$12,0)</f>
        <v>0</v>
      </c>
      <c r="BE365" s="10">
        <f>IF('Batt IN'!$E$11="Taxable",$S365*'Batt IN'!$G$15*'Batt IN'!$E$28*'Batt IN'!$E$14/1000,0)</f>
        <v>0</v>
      </c>
      <c r="BF365" s="10">
        <f>IF('Batt IN'!$E$11="Taxable",'Batt IN'!$E$21*'Batt IN'!$G$21/12,0)</f>
        <v>0</v>
      </c>
      <c r="BG365" s="10">
        <f>IF('Batt IN'!$E$11="Taxable",'Batt IN'!$E$22*'Batt IN'!$G$22/12,0)</f>
        <v>0</v>
      </c>
      <c r="BK365" s="10">
        <f>IF('Batt IN'!$N$18="Yes",-BattLoan!H393,-BattLoan!L393)</f>
        <v>0</v>
      </c>
      <c r="BL365" s="10">
        <f>IF('Batt IN'!$N$18="Yes",-BattLoan!F393,0)</f>
        <v>0</v>
      </c>
      <c r="BM365" s="10">
        <f>IF(AND('Batt IN'!$D$44="YES",$C365&lt;='Batt IN'!$E$44*12),0,-'Batt IN'!$E$28*'Batt IN'!$E$42/12)</f>
        <v>-83.333333333333329</v>
      </c>
      <c r="BN365" s="10">
        <f>IF(AND('Batt IN'!$D$46="YES",$C365&lt;='Batt IN'!$E$46*12),0,-'Batt IN'!$E$28*'Batt IN'!$E$45/12)</f>
        <v>-166.66666666666666</v>
      </c>
      <c r="BO365" s="2">
        <f>IF(AND('Batt IN'!$D$41="YES",BattCalcs!C365=ROUNDUP('Batt IN'!$H$41*12,)),-'Batt IN'!$E$41*'Batt IN'!$E$28,0)</f>
        <v>0</v>
      </c>
      <c r="BP365" s="2">
        <f>IF(AND('Batt IN'!$D$53="Yes",$AL$1&gt;=1),0,IF($C365='Batt IN'!$H$54*12,-'Batt IN'!$F$54,0))</f>
        <v>0</v>
      </c>
      <c r="BQ365" s="2">
        <f>IF(AND('Batt IN'!$D$53="Yes",$AL$1&gt;=2),0,IF($C365='Batt IN'!$H$55*12,-'Batt IN'!$F$55,0))</f>
        <v>0</v>
      </c>
      <c r="BR365" s="2">
        <f>IF(AND('Batt IN'!$D$53="Yes",$AL$1&gt;=3),0,IF($C365='Batt IN'!$H$56*12,-'Batt IN'!$F$56,0))</f>
        <v>0</v>
      </c>
      <c r="BS365" s="2">
        <f>IF(AND('Batt IN'!$D$53="Yes",$AL$1&gt;=4),0,IF($C365='Batt IN'!$H$57*12,-'Batt IN'!$F$57,0))</f>
        <v>0</v>
      </c>
      <c r="BT365" s="2">
        <f>IF(AND('Batt IN'!$D$53="Yes",$AL$1&gt;=5),0,IF($C365='Batt IN'!$H$58*12,-'Batt IN'!$F$58,0))</f>
        <v>0</v>
      </c>
      <c r="BU365" s="2">
        <f>-AH365*PVCalcs!F365</f>
        <v>-359.37504381576838</v>
      </c>
      <c r="BV365" s="2">
        <f>-'Batt IN'!$E$47</f>
        <v>-150</v>
      </c>
      <c r="BW365" s="2">
        <f>-'Batt IN'!$E$49</f>
        <v>-2250</v>
      </c>
      <c r="BX365" s="2">
        <f>IF('Batt IN'!$H$50="No",-(BC365*'Batt IN'!$E$50),-(BC365+BE365)*'Batt IN'!$E$50)</f>
        <v>0</v>
      </c>
      <c r="BY365" s="2">
        <f>IF(C365='Batt IN'!$H$43*12,-'Batt IN'!$E$43,0)</f>
        <v>0</v>
      </c>
      <c r="BZ365" s="38"/>
      <c r="CA365" s="10">
        <f t="shared" ref="CA365:CA428" si="106">SUM(AR365:BH365)</f>
        <v>14355.546531621005</v>
      </c>
      <c r="CB365" s="2">
        <f t="shared" si="94"/>
        <v>-3009.3750438157685</v>
      </c>
      <c r="CC365" s="45">
        <f t="shared" ref="CC365:CC428" si="107">SUM(CA365:CB365)</f>
        <v>11346.171487805237</v>
      </c>
      <c r="CD365" s="43"/>
      <c r="CE365" s="2">
        <f t="shared" ref="CE365:CE428" si="108">SUM(BC365:BH365)</f>
        <v>0</v>
      </c>
      <c r="CF365" s="2">
        <f t="shared" si="95"/>
        <v>-3009.3750438157685</v>
      </c>
      <c r="CG365" s="2"/>
      <c r="CH365" s="2">
        <f t="shared" ref="CH365:CH428" si="109">SUM(CE365:CG365)</f>
        <v>-3009.3750438157685</v>
      </c>
      <c r="CI365" s="45">
        <f>-CH365*'Batt IN'!$E$7</f>
        <v>631.9687592013114</v>
      </c>
      <c r="CJ365" s="48"/>
      <c r="CK365" s="45">
        <f>IF('Batt IN'!$F$4="PV Only",0,IF(C365&gt;'Batt IN'!$H$43*12,0,CC365+CI365))</f>
        <v>0</v>
      </c>
      <c r="CM365" s="10">
        <f t="shared" ref="CM365:CM428" si="110">CM364+CK365</f>
        <v>0</v>
      </c>
      <c r="CN365" s="2">
        <f>CK365/(1+('Batt IN'!$G$8))^(C365)</f>
        <v>0</v>
      </c>
      <c r="CO365" s="2" t="e">
        <f>IF(C365&lt;='Batt IN'!$O$30*12,CN365+CO364,NA())</f>
        <v>#N/A</v>
      </c>
      <c r="CQ365" s="2">
        <f>CK365/((1+('Batt IN'!$E$8/12))^BattCalcs!C365)</f>
        <v>0</v>
      </c>
      <c r="CS365" s="10">
        <f t="shared" si="96"/>
        <v>-3009.3750438157685</v>
      </c>
      <c r="CT365" s="10">
        <f t="shared" si="97"/>
        <v>0</v>
      </c>
      <c r="CU365" s="10">
        <f t="shared" si="98"/>
        <v>-3009.3750438157685</v>
      </c>
      <c r="CV365" s="10">
        <f t="shared" si="99"/>
        <v>-3009.3750438157685</v>
      </c>
      <c r="CW365" s="2">
        <f t="shared" si="100"/>
        <v>0</v>
      </c>
      <c r="CX365" s="2">
        <f>-(SUM(CV365:CW365)*'PV IN'!$E$8)</f>
        <v>631.9687592013114</v>
      </c>
      <c r="CY365" s="2">
        <f t="shared" si="101"/>
        <v>-2377.406284614457</v>
      </c>
      <c r="CZ365" s="2">
        <f>IF(C365&lt;='Batt IN'!$H$43*12,CY365/(1+('PV IN'!$G$9))^(C365),0)</f>
        <v>0</v>
      </c>
      <c r="DA365" s="33">
        <f>IF(C365&lt;='Batt IN'!$H$43*12,AE365,0)</f>
        <v>0</v>
      </c>
    </row>
    <row r="366" spans="1:105" x14ac:dyDescent="0.25">
      <c r="A366" t="str">
        <f>IF(C366&lt;='Batt IN'!$H$43*12,C366,"")</f>
        <v/>
      </c>
      <c r="C366">
        <v>362</v>
      </c>
      <c r="D366" s="21">
        <v>792</v>
      </c>
      <c r="E366" s="1">
        <f>1-'Batt IN'!$E$31</f>
        <v>2.0000000000000018E-2</v>
      </c>
      <c r="F366" s="12">
        <f>('Batt IN'!$E$33*365)/8760</f>
        <v>0</v>
      </c>
      <c r="G366" s="22">
        <f>'Batt IN'!$E$32/8760</f>
        <v>5.7077625570776253E-3</v>
      </c>
      <c r="H366" s="22">
        <f>'Batt IN'!$E$13/8760</f>
        <v>5.5936073059360729E-3</v>
      </c>
      <c r="I366" s="23">
        <f>IF(C366&lt;='Batt IN'!$G$14*12,'Batt IN'!$E$15/8760*'Batt IN'!$G$15,0)</f>
        <v>0</v>
      </c>
      <c r="J366" s="12">
        <f>Z366/'Batt IN'!$E$27/730</f>
        <v>2.4999999999999996E-3</v>
      </c>
      <c r="K366" s="23">
        <f>AA366/'Batt IN'!$E$27/730</f>
        <v>1.6027397260273972E-3</v>
      </c>
      <c r="L366" s="23">
        <f>AB366/'Batt IN'!$E$27/730</f>
        <v>2.0547945205479451E-4</v>
      </c>
      <c r="M366" s="23">
        <f>AC366/'Batt IN'!$E$27/730</f>
        <v>4.7945205479452057E-3</v>
      </c>
      <c r="N366" s="23">
        <f>AD366/'Batt IN'!$E$27/730</f>
        <v>3.4246575342465752E-3</v>
      </c>
      <c r="O366" s="12">
        <f t="shared" si="102"/>
        <v>4.3828767123287697E-2</v>
      </c>
      <c r="P366" s="21">
        <f t="shared" si="103"/>
        <v>757.28761643835617</v>
      </c>
      <c r="Q366" s="2">
        <f>IF('Batt IN'!$E$27*'Batt IN'!$E$24&lt;='Batt IN'!$E$28,(('Batt IN'!$E$23*'Batt IN'!$E$27*'Batt IN'!$E$24)/1000)*P366,(('Batt IN'!$E$23*'Batt IN'!$E$28*'Batt IN'!$E$24)/1000)*P366)</f>
        <v>12116.601863013699</v>
      </c>
      <c r="R366" s="2"/>
      <c r="S366" s="77">
        <f>IF(C366&lt;='Batt IN'!$G$14*12,'Batt IN'!$E$15/12,0)</f>
        <v>0</v>
      </c>
      <c r="T366" s="77"/>
      <c r="U366" s="80">
        <f>'Batt IN'!$E$28*('Batt IN'!$G$24/24)*730*(1-O366)</f>
        <v>81433.916666666657</v>
      </c>
      <c r="V366" s="78">
        <f>U366*'Batt IN'!$F$30</f>
        <v>16286.783333333333</v>
      </c>
      <c r="W366" s="78">
        <f>'Batt IN'!$E$28*'Batt IN'!$G$32*('Batt IN'!$E$32/12)*(1+'Batt IN'!$F$30)</f>
        <v>1750.0000000000002</v>
      </c>
      <c r="X366" s="78">
        <f>'Batt IN'!$E$28*'Batt IN'!$G$13*('Batt IN'!$E$13/12)*(1+'Batt IN'!$F$30)</f>
        <v>3184.9999999999995</v>
      </c>
      <c r="Y366" s="33">
        <f>S366*'Batt IN'!$G$15*'Batt IN'!$E$28*(1+'Batt IN'!$F$30)</f>
        <v>0</v>
      </c>
      <c r="Z366" s="33">
        <f>'Batt IN'!$G$16*365/12*(1+'Batt IN'!$F$30)</f>
        <v>1824.9999999999998</v>
      </c>
      <c r="AA366" s="33">
        <f>'Batt IN'!$G$17*'Batt IN'!$E$18*'Batt IN'!$G$18/12*(1+'Batt IN'!$F$30)</f>
        <v>1170</v>
      </c>
      <c r="AB366" s="33">
        <f>'Batt IN'!$G$19*'Batt IN'!$E$20*'Batt IN'!$G$20/12*(1+'Batt IN'!$F$30)</f>
        <v>150</v>
      </c>
      <c r="AC366" s="33">
        <f>'Batt IN'!$G$21*(1+'Batt IN'!$F$30)/12</f>
        <v>3500</v>
      </c>
      <c r="AD366" s="33">
        <f>'Batt IN'!$G$22*(1+'Batt IN'!$F$30)/12</f>
        <v>2500</v>
      </c>
      <c r="AE366" s="33">
        <f t="shared" si="104"/>
        <v>30366.783333333333</v>
      </c>
      <c r="AF366" s="33">
        <f>IF('PV IN'!$F$4="Battery Only",0,AE366*'Batt IN'!$E$29)</f>
        <v>25811.765833333331</v>
      </c>
      <c r="AG366" s="33">
        <f>PVCalcs!L366</f>
        <v>0</v>
      </c>
      <c r="AH366" s="33">
        <f t="shared" si="105"/>
        <v>30366.783333333333</v>
      </c>
      <c r="AI366" s="33"/>
      <c r="AJ366" s="2">
        <f>IF(AND('Batt IN'!$D$53="Yes",$AL$1&gt;=1),IF($C366='Batt IN'!$H$54*12,-'Batt IN'!$F$54,0),0)</f>
        <v>0</v>
      </c>
      <c r="AK366" s="2">
        <f>IF(AND('Batt IN'!$D$53="Yes",$AL$1&gt;=2),IF($C366='Batt IN'!$H$55*12,-'Batt IN'!$F$55,0),0)</f>
        <v>0</v>
      </c>
      <c r="AL366" s="2">
        <f>IF(AND('Batt IN'!$D$53="Yes",$AL$1&gt;=3),IF($C366='Batt IN'!$H$56*12,-'Batt IN'!$F$56,0),0)</f>
        <v>0</v>
      </c>
      <c r="AM366" s="2">
        <f>IF(AND('Batt IN'!$D$53="Yes",$AL$1&gt;=4),IF($C366='Batt IN'!$H$57*12,-'Batt IN'!$F$57,0),0)</f>
        <v>0</v>
      </c>
      <c r="AN366" s="2">
        <f>IF(AND('Batt IN'!$D$53="Yes",$AL$1&gt;=5),IF($C366='Batt IN'!$H$58*12,-'Batt IN'!$F$58,0),0)</f>
        <v>0</v>
      </c>
      <c r="AO366" s="10">
        <f>IF(AND('Batt IN'!$D$44="YES",$C366&lt;='Batt IN'!$E$44*12),-'Batt IN'!$E$28*'Batt IN'!$E$42/12,0)</f>
        <v>0</v>
      </c>
      <c r="AP366" s="10">
        <f>IF(AND('Batt IN'!$D$46="YES",$C366&lt;='Batt IN'!$E$46*12),-'Batt IN'!$E$28*'Batt IN'!$E$45/12,0)</f>
        <v>0</v>
      </c>
      <c r="AR366" s="10">
        <f>BattLoan!M393</f>
        <v>0</v>
      </c>
      <c r="AS366" s="10">
        <f>'Batt IN'!$G$16*365/12*'Batt IN'!$E$16</f>
        <v>76.041666666666671</v>
      </c>
      <c r="AT366" s="10">
        <f>IF(AND('Batt IN'!$E$18&gt;0,'Batt IN'!$G$18&gt;0),'Batt IN'!$E$17*'Batt IN'!$G$17,0)</f>
        <v>119.44619999999999</v>
      </c>
      <c r="AU366" s="10">
        <f>IF(AND('Batt IN'!$E$20&gt;0,'Batt IN'!$G$20&gt;0),'Batt IN'!$E$19*'Batt IN'!$G$19,0)</f>
        <v>231</v>
      </c>
      <c r="AV366" s="10"/>
      <c r="AW366" s="10"/>
      <c r="AX366" s="10">
        <f>IF('Batt IN'!$E$11="Non-Taxable",Q366,0)</f>
        <v>12116.601863013699</v>
      </c>
      <c r="AY366" s="10">
        <f>IF('Batt IN'!$E$11="Non-Taxable",'Batt IN'!$E$28/1000*'Batt IN'!$G$13*('Batt IN'!$E$13/12)*'Batt IN'!$E$12,0)</f>
        <v>244.42220833333334</v>
      </c>
      <c r="AZ366" s="10">
        <f>IF('Batt IN'!$E$11="Non-Taxable",$S366*'Batt IN'!$G$15*'Batt IN'!$E$28*'Batt IN'!$E$14/1000,0)</f>
        <v>0</v>
      </c>
      <c r="BA366" s="10">
        <f>IF('Batt IN'!$E$11="Non-Taxable",'Batt IN'!$E$21*'Batt IN'!$G$21/12,0)</f>
        <v>437.5</v>
      </c>
      <c r="BB366" s="10">
        <f>IF('Batt IN'!$E$11="Non-Taxable",'Batt IN'!$E$22*'Batt IN'!$G$22/12,0)</f>
        <v>1145.8333333333335</v>
      </c>
      <c r="BC366" s="10">
        <f>IF('Batt IN'!$E$11="Taxable",Q366,0)</f>
        <v>0</v>
      </c>
      <c r="BD366" s="10">
        <f>IF('Batt IN'!$E$11="Taxable",'Batt IN'!$E$28/1000*'Batt IN'!$G$13*('Batt IN'!$E$13/12)*'Batt IN'!$E$12,0)</f>
        <v>0</v>
      </c>
      <c r="BE366" s="10">
        <f>IF('Batt IN'!$E$11="Taxable",$S366*'Batt IN'!$G$15*'Batt IN'!$E$28*'Batt IN'!$E$14/1000,0)</f>
        <v>0</v>
      </c>
      <c r="BF366" s="10">
        <f>IF('Batt IN'!$E$11="Taxable",'Batt IN'!$E$21*'Batt IN'!$G$21/12,0)</f>
        <v>0</v>
      </c>
      <c r="BG366" s="10">
        <f>IF('Batt IN'!$E$11="Taxable",'Batt IN'!$E$22*'Batt IN'!$G$22/12,0)</f>
        <v>0</v>
      </c>
      <c r="BK366" s="10">
        <f>IF('Batt IN'!$N$18="Yes",-BattLoan!H394,-BattLoan!L394)</f>
        <v>0</v>
      </c>
      <c r="BL366" s="10">
        <f>IF('Batt IN'!$N$18="Yes",-BattLoan!F394,0)</f>
        <v>0</v>
      </c>
      <c r="BM366" s="10">
        <f>IF(AND('Batt IN'!$D$44="YES",$C366&lt;='Batt IN'!$E$44*12),0,-'Batt IN'!$E$28*'Batt IN'!$E$42/12)</f>
        <v>-83.333333333333329</v>
      </c>
      <c r="BN366" s="10">
        <f>IF(AND('Batt IN'!$D$46="YES",$C366&lt;='Batt IN'!$E$46*12),0,-'Batt IN'!$E$28*'Batt IN'!$E$45/12)</f>
        <v>-166.66666666666666</v>
      </c>
      <c r="BO366" s="2">
        <f>IF(AND('Batt IN'!$D$41="YES",BattCalcs!C366=ROUNDUP('Batt IN'!$H$41*12,)),-'Batt IN'!$E$41*'Batt IN'!$E$28,0)</f>
        <v>0</v>
      </c>
      <c r="BP366" s="2">
        <f>IF(AND('Batt IN'!$D$53="Yes",$AL$1&gt;=1),0,IF($C366='Batt IN'!$H$54*12,-'Batt IN'!$F$54,0))</f>
        <v>0</v>
      </c>
      <c r="BQ366" s="2">
        <f>IF(AND('Batt IN'!$D$53="Yes",$AL$1&gt;=2),0,IF($C366='Batt IN'!$H$55*12,-'Batt IN'!$F$55,0))</f>
        <v>0</v>
      </c>
      <c r="BR366" s="2">
        <f>IF(AND('Batt IN'!$D$53="Yes",$AL$1&gt;=3),0,IF($C366='Batt IN'!$H$56*12,-'Batt IN'!$F$56,0))</f>
        <v>0</v>
      </c>
      <c r="BS366" s="2">
        <f>IF(AND('Batt IN'!$D$53="Yes",$AL$1&gt;=4),0,IF($C366='Batt IN'!$H$57*12,-'Batt IN'!$F$57,0))</f>
        <v>0</v>
      </c>
      <c r="BT366" s="2">
        <f>IF(AND('Batt IN'!$D$53="Yes",$AL$1&gt;=5),0,IF($C366='Batt IN'!$H$58*12,-'Batt IN'!$F$58,0))</f>
        <v>0</v>
      </c>
      <c r="BU366" s="2">
        <f>-AH366*PVCalcs!F366</f>
        <v>-2395.8336254384549</v>
      </c>
      <c r="BV366" s="2">
        <f>-'Batt IN'!$E$47</f>
        <v>-150</v>
      </c>
      <c r="BW366" s="2">
        <f>-'Batt IN'!$E$49</f>
        <v>-2250</v>
      </c>
      <c r="BX366" s="2">
        <f>IF('Batt IN'!$H$50="No",-(BC366*'Batt IN'!$E$50),-(BC366+BE366)*'Batt IN'!$E$50)</f>
        <v>0</v>
      </c>
      <c r="BY366" s="2">
        <f>IF(C366='Batt IN'!$H$43*12,-'Batt IN'!$E$43,0)</f>
        <v>0</v>
      </c>
      <c r="BZ366" s="38"/>
      <c r="CA366" s="10">
        <f t="shared" si="106"/>
        <v>14370.845271347032</v>
      </c>
      <c r="CB366" s="2">
        <f t="shared" si="94"/>
        <v>-5045.8336254384549</v>
      </c>
      <c r="CC366" s="45">
        <f t="shared" si="107"/>
        <v>9325.0116459085766</v>
      </c>
      <c r="CD366" s="43"/>
      <c r="CE366" s="2">
        <f t="shared" si="108"/>
        <v>0</v>
      </c>
      <c r="CF366" s="2">
        <f t="shared" si="95"/>
        <v>-5045.8336254384549</v>
      </c>
      <c r="CG366" s="2"/>
      <c r="CH366" s="2">
        <f t="shared" si="109"/>
        <v>-5045.8336254384549</v>
      </c>
      <c r="CI366" s="45">
        <f>-CH366*'Batt IN'!$E$7</f>
        <v>1059.6250613420755</v>
      </c>
      <c r="CJ366" s="48"/>
      <c r="CK366" s="45">
        <f>IF('Batt IN'!$F$4="PV Only",0,IF(C366&gt;'Batt IN'!$H$43*12,0,CC366+CI366))</f>
        <v>0</v>
      </c>
      <c r="CM366" s="10">
        <f t="shared" si="110"/>
        <v>0</v>
      </c>
      <c r="CN366" s="2">
        <f>CK366/(1+('Batt IN'!$G$8))^(C366)</f>
        <v>0</v>
      </c>
      <c r="CO366" s="2" t="e">
        <f>IF(C366&lt;='Batt IN'!$O$30*12,CN366+CO365,NA())</f>
        <v>#N/A</v>
      </c>
      <c r="CQ366" s="2">
        <f>CK366/((1+('Batt IN'!$E$8/12))^BattCalcs!C366)</f>
        <v>0</v>
      </c>
      <c r="CS366" s="10">
        <f t="shared" si="96"/>
        <v>-5045.8336254384549</v>
      </c>
      <c r="CT366" s="10">
        <f t="shared" si="97"/>
        <v>0</v>
      </c>
      <c r="CU366" s="10">
        <f t="shared" si="98"/>
        <v>-5045.8336254384549</v>
      </c>
      <c r="CV366" s="10">
        <f t="shared" si="99"/>
        <v>-5045.8336254384549</v>
      </c>
      <c r="CW366" s="2">
        <f t="shared" si="100"/>
        <v>0</v>
      </c>
      <c r="CX366" s="2">
        <f>-(SUM(CV366:CW366)*'PV IN'!$E$8)</f>
        <v>1059.6250613420755</v>
      </c>
      <c r="CY366" s="2">
        <f t="shared" si="101"/>
        <v>-3986.2085640963796</v>
      </c>
      <c r="CZ366" s="2">
        <f>IF(C366&lt;='Batt IN'!$H$43*12,CY366/(1+('PV IN'!$G$9))^(C366),0)</f>
        <v>0</v>
      </c>
      <c r="DA366" s="33">
        <f>IF(C366&lt;='Batt IN'!$H$43*12,AE366,0)</f>
        <v>0</v>
      </c>
    </row>
    <row r="367" spans="1:105" x14ac:dyDescent="0.25">
      <c r="A367" t="str">
        <f>IF(C367&lt;='Batt IN'!$H$43*12,C367,"")</f>
        <v/>
      </c>
      <c r="C367">
        <v>363</v>
      </c>
      <c r="D367" s="21">
        <v>793</v>
      </c>
      <c r="E367" s="1">
        <f>1-'Batt IN'!$E$31</f>
        <v>2.0000000000000018E-2</v>
      </c>
      <c r="F367" s="12">
        <f>('Batt IN'!$E$33*365)/8760</f>
        <v>0</v>
      </c>
      <c r="G367" s="22">
        <f>'Batt IN'!$E$32/8760</f>
        <v>5.7077625570776253E-3</v>
      </c>
      <c r="H367" s="22">
        <f>'Batt IN'!$E$13/8760</f>
        <v>5.5936073059360729E-3</v>
      </c>
      <c r="I367" s="23">
        <f>IF(C367&lt;='Batt IN'!$G$14*12,'Batt IN'!$E$15/8760*'Batt IN'!$G$15,0)</f>
        <v>0</v>
      </c>
      <c r="J367" s="12">
        <f>Z367/'Batt IN'!$E$27/730</f>
        <v>2.4999999999999996E-3</v>
      </c>
      <c r="K367" s="23">
        <f>AA367/'Batt IN'!$E$27/730</f>
        <v>1.6027397260273972E-3</v>
      </c>
      <c r="L367" s="23">
        <f>AB367/'Batt IN'!$E$27/730</f>
        <v>2.0547945205479451E-4</v>
      </c>
      <c r="M367" s="23">
        <f>AC367/'Batt IN'!$E$27/730</f>
        <v>4.7945205479452057E-3</v>
      </c>
      <c r="N367" s="23">
        <f>AD367/'Batt IN'!$E$27/730</f>
        <v>3.4246575342465752E-3</v>
      </c>
      <c r="O367" s="12">
        <f t="shared" si="102"/>
        <v>4.3828767123287697E-2</v>
      </c>
      <c r="P367" s="21">
        <f t="shared" si="103"/>
        <v>758.24378767123289</v>
      </c>
      <c r="Q367" s="2">
        <f>IF('Batt IN'!$E$27*'Batt IN'!$E$24&lt;='Batt IN'!$E$28,(('Batt IN'!$E$23*'Batt IN'!$E$27*'Batt IN'!$E$24)/1000)*P367,(('Batt IN'!$E$23*'Batt IN'!$E$28*'Batt IN'!$E$24)/1000)*P367)</f>
        <v>12131.900602739726</v>
      </c>
      <c r="R367" s="2"/>
      <c r="S367" s="77">
        <f>IF(C367&lt;='Batt IN'!$G$14*12,'Batt IN'!$E$15/12,0)</f>
        <v>0</v>
      </c>
      <c r="T367" s="77"/>
      <c r="U367" s="80">
        <f>'Batt IN'!$E$28*('Batt IN'!$G$24/24)*730*(1-O367)</f>
        <v>81433.916666666657</v>
      </c>
      <c r="V367" s="78">
        <f>U367*'Batt IN'!$F$30</f>
        <v>16286.783333333333</v>
      </c>
      <c r="W367" s="78">
        <f>'Batt IN'!$E$28*'Batt IN'!$G$32*('Batt IN'!$E$32/12)*(1+'Batt IN'!$F$30)</f>
        <v>1750.0000000000002</v>
      </c>
      <c r="X367" s="78">
        <f>'Batt IN'!$E$28*'Batt IN'!$G$13*('Batt IN'!$E$13/12)*(1+'Batt IN'!$F$30)</f>
        <v>3184.9999999999995</v>
      </c>
      <c r="Y367" s="33">
        <f>S367*'Batt IN'!$G$15*'Batt IN'!$E$28*(1+'Batt IN'!$F$30)</f>
        <v>0</v>
      </c>
      <c r="Z367" s="33">
        <f>'Batt IN'!$G$16*365/12*(1+'Batt IN'!$F$30)</f>
        <v>1824.9999999999998</v>
      </c>
      <c r="AA367" s="33">
        <f>'Batt IN'!$G$17*'Batt IN'!$E$18*'Batt IN'!$G$18/12*(1+'Batt IN'!$F$30)</f>
        <v>1170</v>
      </c>
      <c r="AB367" s="33">
        <f>'Batt IN'!$G$19*'Batt IN'!$E$20*'Batt IN'!$G$20/12*(1+'Batt IN'!$F$30)</f>
        <v>150</v>
      </c>
      <c r="AC367" s="33">
        <f>'Batt IN'!$G$21*(1+'Batt IN'!$F$30)/12</f>
        <v>3500</v>
      </c>
      <c r="AD367" s="33">
        <f>'Batt IN'!$G$22*(1+'Batt IN'!$F$30)/12</f>
        <v>2500</v>
      </c>
      <c r="AE367" s="33">
        <f t="shared" si="104"/>
        <v>30366.783333333333</v>
      </c>
      <c r="AF367" s="33">
        <f>IF('PV IN'!$F$4="Battery Only",0,AE367*'Batt IN'!$E$29)</f>
        <v>25811.765833333331</v>
      </c>
      <c r="AG367" s="33">
        <f>PVCalcs!L367</f>
        <v>25811.765833333331</v>
      </c>
      <c r="AH367" s="33">
        <f t="shared" si="105"/>
        <v>4555.0175000000017</v>
      </c>
      <c r="AI367" s="33"/>
      <c r="AJ367" s="2">
        <f>IF(AND('Batt IN'!$D$53="Yes",$AL$1&gt;=1),IF($C367='Batt IN'!$H$54*12,-'Batt IN'!$F$54,0),0)</f>
        <v>0</v>
      </c>
      <c r="AK367" s="2">
        <f>IF(AND('Batt IN'!$D$53="Yes",$AL$1&gt;=2),IF($C367='Batt IN'!$H$55*12,-'Batt IN'!$F$55,0),0)</f>
        <v>0</v>
      </c>
      <c r="AL367" s="2">
        <f>IF(AND('Batt IN'!$D$53="Yes",$AL$1&gt;=3),IF($C367='Batt IN'!$H$56*12,-'Batt IN'!$F$56,0),0)</f>
        <v>0</v>
      </c>
      <c r="AM367" s="2">
        <f>IF(AND('Batt IN'!$D$53="Yes",$AL$1&gt;=4),IF($C367='Batt IN'!$H$57*12,-'Batt IN'!$F$57,0),0)</f>
        <v>0</v>
      </c>
      <c r="AN367" s="2">
        <f>IF(AND('Batt IN'!$D$53="Yes",$AL$1&gt;=5),IF($C367='Batt IN'!$H$58*12,-'Batt IN'!$F$58,0),0)</f>
        <v>0</v>
      </c>
      <c r="AO367" s="10">
        <f>IF(AND('Batt IN'!$D$44="YES",$C367&lt;='Batt IN'!$E$44*12),-'Batt IN'!$E$28*'Batt IN'!$E$42/12,0)</f>
        <v>0</v>
      </c>
      <c r="AP367" s="10">
        <f>IF(AND('Batt IN'!$D$46="YES",$C367&lt;='Batt IN'!$E$46*12),-'Batt IN'!$E$28*'Batt IN'!$E$45/12,0)</f>
        <v>0</v>
      </c>
      <c r="AR367" s="10">
        <f>BattLoan!M394</f>
        <v>0</v>
      </c>
      <c r="AS367" s="10">
        <f>'Batt IN'!$G$16*365/12*'Batt IN'!$E$16</f>
        <v>76.041666666666671</v>
      </c>
      <c r="AT367" s="10">
        <f>IF(AND('Batt IN'!$E$18&gt;0,'Batt IN'!$G$18&gt;0),'Batt IN'!$E$17*'Batt IN'!$G$17,0)</f>
        <v>119.44619999999999</v>
      </c>
      <c r="AU367" s="10">
        <f>IF(AND('Batt IN'!$E$20&gt;0,'Batt IN'!$G$20&gt;0),'Batt IN'!$E$19*'Batt IN'!$G$19,0)</f>
        <v>231</v>
      </c>
      <c r="AV367" s="10"/>
      <c r="AW367" s="10"/>
      <c r="AX367" s="10">
        <f>IF('Batt IN'!$E$11="Non-Taxable",Q367,0)</f>
        <v>12131.900602739726</v>
      </c>
      <c r="AY367" s="10">
        <f>IF('Batt IN'!$E$11="Non-Taxable",'Batt IN'!$E$28/1000*'Batt IN'!$G$13*('Batt IN'!$E$13/12)*'Batt IN'!$E$12,0)</f>
        <v>244.42220833333334</v>
      </c>
      <c r="AZ367" s="10">
        <f>IF('Batt IN'!$E$11="Non-Taxable",$S367*'Batt IN'!$G$15*'Batt IN'!$E$28*'Batt IN'!$E$14/1000,0)</f>
        <v>0</v>
      </c>
      <c r="BA367" s="10">
        <f>IF('Batt IN'!$E$11="Non-Taxable",'Batt IN'!$E$21*'Batt IN'!$G$21/12,0)</f>
        <v>437.5</v>
      </c>
      <c r="BB367" s="10">
        <f>IF('Batt IN'!$E$11="Non-Taxable",'Batt IN'!$E$22*'Batt IN'!$G$22/12,0)</f>
        <v>1145.8333333333335</v>
      </c>
      <c r="BC367" s="10">
        <f>IF('Batt IN'!$E$11="Taxable",Q367,0)</f>
        <v>0</v>
      </c>
      <c r="BD367" s="10">
        <f>IF('Batt IN'!$E$11="Taxable",'Batt IN'!$E$28/1000*'Batt IN'!$G$13*('Batt IN'!$E$13/12)*'Batt IN'!$E$12,0)</f>
        <v>0</v>
      </c>
      <c r="BE367" s="10">
        <f>IF('Batt IN'!$E$11="Taxable",$S367*'Batt IN'!$G$15*'Batt IN'!$E$28*'Batt IN'!$E$14/1000,0)</f>
        <v>0</v>
      </c>
      <c r="BF367" s="10">
        <f>IF('Batt IN'!$E$11="Taxable",'Batt IN'!$E$21*'Batt IN'!$G$21/12,0)</f>
        <v>0</v>
      </c>
      <c r="BG367" s="10">
        <f>IF('Batt IN'!$E$11="Taxable",'Batt IN'!$E$22*'Batt IN'!$G$22/12,0)</f>
        <v>0</v>
      </c>
      <c r="BK367" s="10">
        <f>IF('Batt IN'!$N$18="Yes",-BattLoan!H395,-BattLoan!L395)</f>
        <v>0</v>
      </c>
      <c r="BL367" s="10">
        <f>IF('Batt IN'!$N$18="Yes",-BattLoan!F395,0)</f>
        <v>0</v>
      </c>
      <c r="BM367" s="10">
        <f>IF(AND('Batt IN'!$D$44="YES",$C367&lt;='Batt IN'!$E$44*12),0,-'Batt IN'!$E$28*'Batt IN'!$E$42/12)</f>
        <v>-83.333333333333329</v>
      </c>
      <c r="BN367" s="10">
        <f>IF(AND('Batt IN'!$D$46="YES",$C367&lt;='Batt IN'!$E$46*12),0,-'Batt IN'!$E$28*'Batt IN'!$E$45/12)</f>
        <v>-166.66666666666666</v>
      </c>
      <c r="BO367" s="2">
        <f>IF(AND('Batt IN'!$D$41="YES",BattCalcs!C367=ROUNDUP('Batt IN'!$H$41*12,)),-'Batt IN'!$E$41*'Batt IN'!$E$28,0)</f>
        <v>0</v>
      </c>
      <c r="BP367" s="2">
        <f>IF(AND('Batt IN'!$D$53="Yes",$AL$1&gt;=1),0,IF($C367='Batt IN'!$H$54*12,-'Batt IN'!$F$54,0))</f>
        <v>0</v>
      </c>
      <c r="BQ367" s="2">
        <f>IF(AND('Batt IN'!$D$53="Yes",$AL$1&gt;=2),0,IF($C367='Batt IN'!$H$55*12,-'Batt IN'!$F$55,0))</f>
        <v>0</v>
      </c>
      <c r="BR367" s="2">
        <f>IF(AND('Batt IN'!$D$53="Yes",$AL$1&gt;=3),0,IF($C367='Batt IN'!$H$56*12,-'Batt IN'!$F$56,0))</f>
        <v>0</v>
      </c>
      <c r="BS367" s="2">
        <f>IF(AND('Batt IN'!$D$53="Yes",$AL$1&gt;=4),0,IF($C367='Batt IN'!$H$57*12,-'Batt IN'!$F$57,0))</f>
        <v>0</v>
      </c>
      <c r="BT367" s="2">
        <f>IF(AND('Batt IN'!$D$53="Yes",$AL$1&gt;=5),0,IF($C367='Batt IN'!$H$58*12,-'Batt IN'!$F$58,0))</f>
        <v>0</v>
      </c>
      <c r="BU367" s="2">
        <f>-AH367*PVCalcs!F367</f>
        <v>-359.37504381576838</v>
      </c>
      <c r="BV367" s="2">
        <f>-'Batt IN'!$E$47</f>
        <v>-150</v>
      </c>
      <c r="BW367" s="2">
        <f>-'Batt IN'!$E$49</f>
        <v>-2250</v>
      </c>
      <c r="BX367" s="2">
        <f>IF('Batt IN'!$H$50="No",-(BC367*'Batt IN'!$E$50),-(BC367+BE367)*'Batt IN'!$E$50)</f>
        <v>0</v>
      </c>
      <c r="BY367" s="2">
        <f>IF(C367='Batt IN'!$H$43*12,-'Batt IN'!$E$43,0)</f>
        <v>0</v>
      </c>
      <c r="BZ367" s="38"/>
      <c r="CA367" s="10">
        <f t="shared" si="106"/>
        <v>14386.14401107306</v>
      </c>
      <c r="CB367" s="2">
        <f t="shared" si="94"/>
        <v>-3009.3750438157685</v>
      </c>
      <c r="CC367" s="45">
        <f t="shared" si="107"/>
        <v>11376.768967257292</v>
      </c>
      <c r="CD367" s="43"/>
      <c r="CE367" s="2">
        <f t="shared" si="108"/>
        <v>0</v>
      </c>
      <c r="CF367" s="2">
        <f t="shared" si="95"/>
        <v>-3009.3750438157685</v>
      </c>
      <c r="CG367" s="2"/>
      <c r="CH367" s="2">
        <f t="shared" si="109"/>
        <v>-3009.3750438157685</v>
      </c>
      <c r="CI367" s="45">
        <f>-CH367*'Batt IN'!$E$7</f>
        <v>631.9687592013114</v>
      </c>
      <c r="CJ367" s="48"/>
      <c r="CK367" s="45">
        <f>IF('Batt IN'!$F$4="PV Only",0,IF(C367&gt;'Batt IN'!$H$43*12,0,CC367+CI367))</f>
        <v>0</v>
      </c>
      <c r="CM367" s="10">
        <f t="shared" si="110"/>
        <v>0</v>
      </c>
      <c r="CN367" s="2">
        <f>CK367/(1+('Batt IN'!$G$8))^(C367)</f>
        <v>0</v>
      </c>
      <c r="CO367" s="2" t="e">
        <f>IF(C367&lt;='Batt IN'!$O$30*12,CN367+CO366,NA())</f>
        <v>#N/A</v>
      </c>
      <c r="CQ367" s="2">
        <f>CK367/((1+('Batt IN'!$E$8/12))^BattCalcs!C367)</f>
        <v>0</v>
      </c>
      <c r="CS367" s="10">
        <f t="shared" si="96"/>
        <v>-3009.3750438157685</v>
      </c>
      <c r="CT367" s="10">
        <f t="shared" si="97"/>
        <v>0</v>
      </c>
      <c r="CU367" s="10">
        <f t="shared" si="98"/>
        <v>-3009.3750438157685</v>
      </c>
      <c r="CV367" s="10">
        <f t="shared" si="99"/>
        <v>-3009.3750438157685</v>
      </c>
      <c r="CW367" s="2">
        <f t="shared" si="100"/>
        <v>0</v>
      </c>
      <c r="CX367" s="2">
        <f>-(SUM(CV367:CW367)*'PV IN'!$E$8)</f>
        <v>631.9687592013114</v>
      </c>
      <c r="CY367" s="2">
        <f t="shared" si="101"/>
        <v>-2377.406284614457</v>
      </c>
      <c r="CZ367" s="2">
        <f>IF(C367&lt;='Batt IN'!$H$43*12,CY367/(1+('PV IN'!$G$9))^(C367),0)</f>
        <v>0</v>
      </c>
      <c r="DA367" s="33">
        <f>IF(C367&lt;='Batt IN'!$H$43*12,AE367,0)</f>
        <v>0</v>
      </c>
    </row>
    <row r="368" spans="1:105" x14ac:dyDescent="0.25">
      <c r="A368" t="str">
        <f>IF(C368&lt;='Batt IN'!$H$43*12,C368,"")</f>
        <v/>
      </c>
      <c r="C368">
        <v>364</v>
      </c>
      <c r="D368" s="21">
        <v>794</v>
      </c>
      <c r="E368" s="1">
        <f>1-'Batt IN'!$E$31</f>
        <v>2.0000000000000018E-2</v>
      </c>
      <c r="F368" s="12">
        <f>('Batt IN'!$E$33*365)/8760</f>
        <v>0</v>
      </c>
      <c r="G368" s="22">
        <f>'Batt IN'!$E$32/8760</f>
        <v>5.7077625570776253E-3</v>
      </c>
      <c r="H368" s="22">
        <f>'Batt IN'!$E$13/8760</f>
        <v>5.5936073059360729E-3</v>
      </c>
      <c r="I368" s="23">
        <f>IF(C368&lt;='Batt IN'!$G$14*12,'Batt IN'!$E$15/8760*'Batt IN'!$G$15,0)</f>
        <v>0</v>
      </c>
      <c r="J368" s="12">
        <f>Z368/'Batt IN'!$E$27/730</f>
        <v>2.4999999999999996E-3</v>
      </c>
      <c r="K368" s="23">
        <f>AA368/'Batt IN'!$E$27/730</f>
        <v>1.6027397260273972E-3</v>
      </c>
      <c r="L368" s="23">
        <f>AB368/'Batt IN'!$E$27/730</f>
        <v>2.0547945205479451E-4</v>
      </c>
      <c r="M368" s="23">
        <f>AC368/'Batt IN'!$E$27/730</f>
        <v>4.7945205479452057E-3</v>
      </c>
      <c r="N368" s="23">
        <f>AD368/'Batt IN'!$E$27/730</f>
        <v>3.4246575342465752E-3</v>
      </c>
      <c r="O368" s="12">
        <f t="shared" si="102"/>
        <v>4.3828767123287697E-2</v>
      </c>
      <c r="P368" s="21">
        <f t="shared" si="103"/>
        <v>759.19995890410962</v>
      </c>
      <c r="Q368" s="2">
        <f>IF('Batt IN'!$E$27*'Batt IN'!$E$24&lt;='Batt IN'!$E$28,(('Batt IN'!$E$23*'Batt IN'!$E$27*'Batt IN'!$E$24)/1000)*P368,(('Batt IN'!$E$23*'Batt IN'!$E$28*'Batt IN'!$E$24)/1000)*P368)</f>
        <v>12147.199342465754</v>
      </c>
      <c r="R368" s="2"/>
      <c r="S368" s="77">
        <f>IF(C368&lt;='Batt IN'!$G$14*12,'Batt IN'!$E$15/12,0)</f>
        <v>0</v>
      </c>
      <c r="T368" s="77"/>
      <c r="U368" s="80">
        <f>'Batt IN'!$E$28*('Batt IN'!$G$24/24)*730*(1-O368)</f>
        <v>81433.916666666657</v>
      </c>
      <c r="V368" s="78">
        <f>U368*'Batt IN'!$F$30</f>
        <v>16286.783333333333</v>
      </c>
      <c r="W368" s="78">
        <f>'Batt IN'!$E$28*'Batt IN'!$G$32*('Batt IN'!$E$32/12)*(1+'Batt IN'!$F$30)</f>
        <v>1750.0000000000002</v>
      </c>
      <c r="X368" s="78">
        <f>'Batt IN'!$E$28*'Batt IN'!$G$13*('Batt IN'!$E$13/12)*(1+'Batt IN'!$F$30)</f>
        <v>3184.9999999999995</v>
      </c>
      <c r="Y368" s="33">
        <f>S368*'Batt IN'!$G$15*'Batt IN'!$E$28*(1+'Batt IN'!$F$30)</f>
        <v>0</v>
      </c>
      <c r="Z368" s="33">
        <f>'Batt IN'!$G$16*365/12*(1+'Batt IN'!$F$30)</f>
        <v>1824.9999999999998</v>
      </c>
      <c r="AA368" s="33">
        <f>'Batt IN'!$G$17*'Batt IN'!$E$18*'Batt IN'!$G$18/12*(1+'Batt IN'!$F$30)</f>
        <v>1170</v>
      </c>
      <c r="AB368" s="33">
        <f>'Batt IN'!$G$19*'Batt IN'!$E$20*'Batt IN'!$G$20/12*(1+'Batt IN'!$F$30)</f>
        <v>150</v>
      </c>
      <c r="AC368" s="33">
        <f>'Batt IN'!$G$21*(1+'Batt IN'!$F$30)/12</f>
        <v>3500</v>
      </c>
      <c r="AD368" s="33">
        <f>'Batt IN'!$G$22*(1+'Batt IN'!$F$30)/12</f>
        <v>2500</v>
      </c>
      <c r="AE368" s="33">
        <f t="shared" si="104"/>
        <v>30366.783333333333</v>
      </c>
      <c r="AF368" s="33">
        <f>IF('PV IN'!$F$4="Battery Only",0,AE368*'Batt IN'!$E$29)</f>
        <v>25811.765833333331</v>
      </c>
      <c r="AG368" s="33">
        <f>PVCalcs!L368</f>
        <v>25811.765833333331</v>
      </c>
      <c r="AH368" s="33">
        <f t="shared" si="105"/>
        <v>4555.0175000000017</v>
      </c>
      <c r="AI368" s="33"/>
      <c r="AJ368" s="2">
        <f>IF(AND('Batt IN'!$D$53="Yes",$AL$1&gt;=1),IF($C368='Batt IN'!$H$54*12,-'Batt IN'!$F$54,0),0)</f>
        <v>0</v>
      </c>
      <c r="AK368" s="2">
        <f>IF(AND('Batt IN'!$D$53="Yes",$AL$1&gt;=2),IF($C368='Batt IN'!$H$55*12,-'Batt IN'!$F$55,0),0)</f>
        <v>0</v>
      </c>
      <c r="AL368" s="2">
        <f>IF(AND('Batt IN'!$D$53="Yes",$AL$1&gt;=3),IF($C368='Batt IN'!$H$56*12,-'Batt IN'!$F$56,0),0)</f>
        <v>0</v>
      </c>
      <c r="AM368" s="2">
        <f>IF(AND('Batt IN'!$D$53="Yes",$AL$1&gt;=4),IF($C368='Batt IN'!$H$57*12,-'Batt IN'!$F$57,0),0)</f>
        <v>0</v>
      </c>
      <c r="AN368" s="2">
        <f>IF(AND('Batt IN'!$D$53="Yes",$AL$1&gt;=5),IF($C368='Batt IN'!$H$58*12,-'Batt IN'!$F$58,0),0)</f>
        <v>0</v>
      </c>
      <c r="AO368" s="10">
        <f>IF(AND('Batt IN'!$D$44="YES",$C368&lt;='Batt IN'!$E$44*12),-'Batt IN'!$E$28*'Batt IN'!$E$42/12,0)</f>
        <v>0</v>
      </c>
      <c r="AP368" s="10">
        <f>IF(AND('Batt IN'!$D$46="YES",$C368&lt;='Batt IN'!$E$46*12),-'Batt IN'!$E$28*'Batt IN'!$E$45/12,0)</f>
        <v>0</v>
      </c>
      <c r="AR368" s="10">
        <f>BattLoan!M395</f>
        <v>0</v>
      </c>
      <c r="AS368" s="10">
        <f>'Batt IN'!$G$16*365/12*'Batt IN'!$E$16</f>
        <v>76.041666666666671</v>
      </c>
      <c r="AT368" s="10">
        <f>IF(AND('Batt IN'!$E$18&gt;0,'Batt IN'!$G$18&gt;0),'Batt IN'!$E$17*'Batt IN'!$G$17,0)</f>
        <v>119.44619999999999</v>
      </c>
      <c r="AU368" s="10">
        <f>IF(AND('Batt IN'!$E$20&gt;0,'Batt IN'!$G$20&gt;0),'Batt IN'!$E$19*'Batt IN'!$G$19,0)</f>
        <v>231</v>
      </c>
      <c r="AV368" s="10"/>
      <c r="AW368" s="10"/>
      <c r="AX368" s="10">
        <f>IF('Batt IN'!$E$11="Non-Taxable",Q368,0)</f>
        <v>12147.199342465754</v>
      </c>
      <c r="AY368" s="10">
        <f>IF('Batt IN'!$E$11="Non-Taxable",'Batt IN'!$E$28/1000*'Batt IN'!$G$13*('Batt IN'!$E$13/12)*'Batt IN'!$E$12,0)</f>
        <v>244.42220833333334</v>
      </c>
      <c r="AZ368" s="10">
        <f>IF('Batt IN'!$E$11="Non-Taxable",$S368*'Batt IN'!$G$15*'Batt IN'!$E$28*'Batt IN'!$E$14/1000,0)</f>
        <v>0</v>
      </c>
      <c r="BA368" s="10">
        <f>IF('Batt IN'!$E$11="Non-Taxable",'Batt IN'!$E$21*'Batt IN'!$G$21/12,0)</f>
        <v>437.5</v>
      </c>
      <c r="BB368" s="10">
        <f>IF('Batt IN'!$E$11="Non-Taxable",'Batt IN'!$E$22*'Batt IN'!$G$22/12,0)</f>
        <v>1145.8333333333335</v>
      </c>
      <c r="BC368" s="10">
        <f>IF('Batt IN'!$E$11="Taxable",Q368,0)</f>
        <v>0</v>
      </c>
      <c r="BD368" s="10">
        <f>IF('Batt IN'!$E$11="Taxable",'Batt IN'!$E$28/1000*'Batt IN'!$G$13*('Batt IN'!$E$13/12)*'Batt IN'!$E$12,0)</f>
        <v>0</v>
      </c>
      <c r="BE368" s="10">
        <f>IF('Batt IN'!$E$11="Taxable",$S368*'Batt IN'!$G$15*'Batt IN'!$E$28*'Batt IN'!$E$14/1000,0)</f>
        <v>0</v>
      </c>
      <c r="BF368" s="10">
        <f>IF('Batt IN'!$E$11="Taxable",'Batt IN'!$E$21*'Batt IN'!$G$21/12,0)</f>
        <v>0</v>
      </c>
      <c r="BG368" s="10">
        <f>IF('Batt IN'!$E$11="Taxable",'Batt IN'!$E$22*'Batt IN'!$G$22/12,0)</f>
        <v>0</v>
      </c>
      <c r="BK368" s="10">
        <f>IF('Batt IN'!$N$18="Yes",-BattLoan!H396,-BattLoan!L396)</f>
        <v>0</v>
      </c>
      <c r="BL368" s="10">
        <f>IF('Batt IN'!$N$18="Yes",-BattLoan!F396,0)</f>
        <v>0</v>
      </c>
      <c r="BM368" s="10">
        <f>IF(AND('Batt IN'!$D$44="YES",$C368&lt;='Batt IN'!$E$44*12),0,-'Batt IN'!$E$28*'Batt IN'!$E$42/12)</f>
        <v>-83.333333333333329</v>
      </c>
      <c r="BN368" s="10">
        <f>IF(AND('Batt IN'!$D$46="YES",$C368&lt;='Batt IN'!$E$46*12),0,-'Batt IN'!$E$28*'Batt IN'!$E$45/12)</f>
        <v>-166.66666666666666</v>
      </c>
      <c r="BO368" s="2">
        <f>IF(AND('Batt IN'!$D$41="YES",BattCalcs!C368=ROUNDUP('Batt IN'!$H$41*12,)),-'Batt IN'!$E$41*'Batt IN'!$E$28,0)</f>
        <v>0</v>
      </c>
      <c r="BP368" s="2">
        <f>IF(AND('Batt IN'!$D$53="Yes",$AL$1&gt;=1),0,IF($C368='Batt IN'!$H$54*12,-'Batt IN'!$F$54,0))</f>
        <v>0</v>
      </c>
      <c r="BQ368" s="2">
        <f>IF(AND('Batt IN'!$D$53="Yes",$AL$1&gt;=2),0,IF($C368='Batt IN'!$H$55*12,-'Batt IN'!$F$55,0))</f>
        <v>0</v>
      </c>
      <c r="BR368" s="2">
        <f>IF(AND('Batt IN'!$D$53="Yes",$AL$1&gt;=3),0,IF($C368='Batt IN'!$H$56*12,-'Batt IN'!$F$56,0))</f>
        <v>0</v>
      </c>
      <c r="BS368" s="2">
        <f>IF(AND('Batt IN'!$D$53="Yes",$AL$1&gt;=4),0,IF($C368='Batt IN'!$H$57*12,-'Batt IN'!$F$57,0))</f>
        <v>0</v>
      </c>
      <c r="BT368" s="2">
        <f>IF(AND('Batt IN'!$D$53="Yes",$AL$1&gt;=5),0,IF($C368='Batt IN'!$H$58*12,-'Batt IN'!$F$58,0))</f>
        <v>0</v>
      </c>
      <c r="BU368" s="2">
        <f>-AH368*PVCalcs!F368</f>
        <v>-359.37504381576838</v>
      </c>
      <c r="BV368" s="2">
        <f>-'Batt IN'!$E$47</f>
        <v>-150</v>
      </c>
      <c r="BW368" s="2">
        <f>-'Batt IN'!$E$49</f>
        <v>-2250</v>
      </c>
      <c r="BX368" s="2">
        <f>IF('Batt IN'!$H$50="No",-(BC368*'Batt IN'!$E$50),-(BC368+BE368)*'Batt IN'!$E$50)</f>
        <v>0</v>
      </c>
      <c r="BY368" s="2">
        <f>IF(C368='Batt IN'!$H$43*12,-'Batt IN'!$E$43,0)</f>
        <v>0</v>
      </c>
      <c r="BZ368" s="38"/>
      <c r="CA368" s="10">
        <f t="shared" si="106"/>
        <v>14401.442750799088</v>
      </c>
      <c r="CB368" s="2">
        <f t="shared" si="94"/>
        <v>-3009.3750438157685</v>
      </c>
      <c r="CC368" s="45">
        <f t="shared" si="107"/>
        <v>11392.067706983318</v>
      </c>
      <c r="CD368" s="43"/>
      <c r="CE368" s="2">
        <f t="shared" si="108"/>
        <v>0</v>
      </c>
      <c r="CF368" s="2">
        <f t="shared" si="95"/>
        <v>-3009.3750438157685</v>
      </c>
      <c r="CG368" s="2"/>
      <c r="CH368" s="2">
        <f t="shared" si="109"/>
        <v>-3009.3750438157685</v>
      </c>
      <c r="CI368" s="45">
        <f>-CH368*'Batt IN'!$E$7</f>
        <v>631.9687592013114</v>
      </c>
      <c r="CJ368" s="48"/>
      <c r="CK368" s="45">
        <f>IF('Batt IN'!$F$4="PV Only",0,IF(C368&gt;'Batt IN'!$H$43*12,0,CC368+CI368))</f>
        <v>0</v>
      </c>
      <c r="CM368" s="10">
        <f t="shared" si="110"/>
        <v>0</v>
      </c>
      <c r="CN368" s="2">
        <f>CK368/(1+('Batt IN'!$G$8))^(C368)</f>
        <v>0</v>
      </c>
      <c r="CO368" s="2" t="e">
        <f>IF(C368&lt;='Batt IN'!$O$30*12,CN368+CO367,NA())</f>
        <v>#N/A</v>
      </c>
      <c r="CQ368" s="2">
        <f>CK368/((1+('Batt IN'!$E$8/12))^BattCalcs!C368)</f>
        <v>0</v>
      </c>
      <c r="CS368" s="10">
        <f t="shared" si="96"/>
        <v>-3009.3750438157685</v>
      </c>
      <c r="CT368" s="10">
        <f t="shared" si="97"/>
        <v>0</v>
      </c>
      <c r="CU368" s="10">
        <f t="shared" si="98"/>
        <v>-3009.3750438157685</v>
      </c>
      <c r="CV368" s="10">
        <f t="shared" si="99"/>
        <v>-3009.3750438157685</v>
      </c>
      <c r="CW368" s="2">
        <f t="shared" si="100"/>
        <v>0</v>
      </c>
      <c r="CX368" s="2">
        <f>-(SUM(CV368:CW368)*'PV IN'!$E$8)</f>
        <v>631.9687592013114</v>
      </c>
      <c r="CY368" s="2">
        <f t="shared" si="101"/>
        <v>-2377.406284614457</v>
      </c>
      <c r="CZ368" s="2">
        <f>IF(C368&lt;='Batt IN'!$H$43*12,CY368/(1+('PV IN'!$G$9))^(C368),0)</f>
        <v>0</v>
      </c>
      <c r="DA368" s="33">
        <f>IF(C368&lt;='Batt IN'!$H$43*12,AE368,0)</f>
        <v>0</v>
      </c>
    </row>
    <row r="369" spans="1:105" x14ac:dyDescent="0.25">
      <c r="A369" t="str">
        <f>IF(C369&lt;='Batt IN'!$H$43*12,C369,"")</f>
        <v/>
      </c>
      <c r="C369">
        <v>365</v>
      </c>
      <c r="D369" s="21">
        <v>795</v>
      </c>
      <c r="E369" s="1">
        <f>1-'Batt IN'!$E$31</f>
        <v>2.0000000000000018E-2</v>
      </c>
      <c r="F369" s="12">
        <f>('Batt IN'!$E$33*365)/8760</f>
        <v>0</v>
      </c>
      <c r="G369" s="22">
        <f>'Batt IN'!$E$32/8760</f>
        <v>5.7077625570776253E-3</v>
      </c>
      <c r="H369" s="22">
        <f>'Batt IN'!$E$13/8760</f>
        <v>5.5936073059360729E-3</v>
      </c>
      <c r="I369" s="23">
        <f>IF(C369&lt;='Batt IN'!$G$14*12,'Batt IN'!$E$15/8760*'Batt IN'!$G$15,0)</f>
        <v>0</v>
      </c>
      <c r="J369" s="12">
        <f>Z369/'Batt IN'!$E$27/730</f>
        <v>2.4999999999999996E-3</v>
      </c>
      <c r="K369" s="23">
        <f>AA369/'Batt IN'!$E$27/730</f>
        <v>1.6027397260273972E-3</v>
      </c>
      <c r="L369" s="23">
        <f>AB369/'Batt IN'!$E$27/730</f>
        <v>2.0547945205479451E-4</v>
      </c>
      <c r="M369" s="23">
        <f>AC369/'Batt IN'!$E$27/730</f>
        <v>4.7945205479452057E-3</v>
      </c>
      <c r="N369" s="23">
        <f>AD369/'Batt IN'!$E$27/730</f>
        <v>3.4246575342465752E-3</v>
      </c>
      <c r="O369" s="12">
        <f t="shared" si="102"/>
        <v>4.3828767123287697E-2</v>
      </c>
      <c r="P369" s="21">
        <f t="shared" si="103"/>
        <v>760.15613013698635</v>
      </c>
      <c r="Q369" s="2">
        <f>IF('Batt IN'!$E$27*'Batt IN'!$E$24&lt;='Batt IN'!$E$28,(('Batt IN'!$E$23*'Batt IN'!$E$27*'Batt IN'!$E$24)/1000)*P369,(('Batt IN'!$E$23*'Batt IN'!$E$28*'Batt IN'!$E$24)/1000)*P369)</f>
        <v>12162.498082191782</v>
      </c>
      <c r="R369" s="2"/>
      <c r="S369" s="77">
        <f>IF(C369&lt;='Batt IN'!$G$14*12,'Batt IN'!$E$15/12,0)</f>
        <v>0</v>
      </c>
      <c r="T369" s="77"/>
      <c r="U369" s="80">
        <f>'Batt IN'!$E$28*('Batt IN'!$G$24/24)*730*(1-O369)</f>
        <v>81433.916666666657</v>
      </c>
      <c r="V369" s="78">
        <f>U369*'Batt IN'!$F$30</f>
        <v>16286.783333333333</v>
      </c>
      <c r="W369" s="78">
        <f>'Batt IN'!$E$28*'Batt IN'!$G$32*('Batt IN'!$E$32/12)*(1+'Batt IN'!$F$30)</f>
        <v>1750.0000000000002</v>
      </c>
      <c r="X369" s="78">
        <f>'Batt IN'!$E$28*'Batt IN'!$G$13*('Batt IN'!$E$13/12)*(1+'Batt IN'!$F$30)</f>
        <v>3184.9999999999995</v>
      </c>
      <c r="Y369" s="33">
        <f>S369*'Batt IN'!$G$15*'Batt IN'!$E$28*(1+'Batt IN'!$F$30)</f>
        <v>0</v>
      </c>
      <c r="Z369" s="33">
        <f>'Batt IN'!$G$16*365/12*(1+'Batt IN'!$F$30)</f>
        <v>1824.9999999999998</v>
      </c>
      <c r="AA369" s="33">
        <f>'Batt IN'!$G$17*'Batt IN'!$E$18*'Batt IN'!$G$18/12*(1+'Batt IN'!$F$30)</f>
        <v>1170</v>
      </c>
      <c r="AB369" s="33">
        <f>'Batt IN'!$G$19*'Batt IN'!$E$20*'Batt IN'!$G$20/12*(1+'Batt IN'!$F$30)</f>
        <v>150</v>
      </c>
      <c r="AC369" s="33">
        <f>'Batt IN'!$G$21*(1+'Batt IN'!$F$30)/12</f>
        <v>3500</v>
      </c>
      <c r="AD369" s="33">
        <f>'Batt IN'!$G$22*(1+'Batt IN'!$F$30)/12</f>
        <v>2500</v>
      </c>
      <c r="AE369" s="33">
        <f t="shared" si="104"/>
        <v>30366.783333333333</v>
      </c>
      <c r="AF369" s="33">
        <f>IF('PV IN'!$F$4="Battery Only",0,AE369*'Batt IN'!$E$29)</f>
        <v>25811.765833333331</v>
      </c>
      <c r="AG369" s="33">
        <f>PVCalcs!L369</f>
        <v>25811.765833333331</v>
      </c>
      <c r="AH369" s="33">
        <f t="shared" si="105"/>
        <v>4555.0175000000017</v>
      </c>
      <c r="AI369" s="33"/>
      <c r="AJ369" s="2">
        <f>IF(AND('Batt IN'!$D$53="Yes",$AL$1&gt;=1),IF($C369='Batt IN'!$H$54*12,-'Batt IN'!$F$54,0),0)</f>
        <v>0</v>
      </c>
      <c r="AK369" s="2">
        <f>IF(AND('Batt IN'!$D$53="Yes",$AL$1&gt;=2),IF($C369='Batt IN'!$H$55*12,-'Batt IN'!$F$55,0),0)</f>
        <v>0</v>
      </c>
      <c r="AL369" s="2">
        <f>IF(AND('Batt IN'!$D$53="Yes",$AL$1&gt;=3),IF($C369='Batt IN'!$H$56*12,-'Batt IN'!$F$56,0),0)</f>
        <v>0</v>
      </c>
      <c r="AM369" s="2">
        <f>IF(AND('Batt IN'!$D$53="Yes",$AL$1&gt;=4),IF($C369='Batt IN'!$H$57*12,-'Batt IN'!$F$57,0),0)</f>
        <v>0</v>
      </c>
      <c r="AN369" s="2">
        <f>IF(AND('Batt IN'!$D$53="Yes",$AL$1&gt;=5),IF($C369='Batt IN'!$H$58*12,-'Batt IN'!$F$58,0),0)</f>
        <v>0</v>
      </c>
      <c r="AO369" s="10">
        <f>IF(AND('Batt IN'!$D$44="YES",$C369&lt;='Batt IN'!$E$44*12),-'Batt IN'!$E$28*'Batt IN'!$E$42/12,0)</f>
        <v>0</v>
      </c>
      <c r="AP369" s="10">
        <f>IF(AND('Batt IN'!$D$46="YES",$C369&lt;='Batt IN'!$E$46*12),-'Batt IN'!$E$28*'Batt IN'!$E$45/12,0)</f>
        <v>0</v>
      </c>
      <c r="AR369" s="10">
        <f>BattLoan!M396</f>
        <v>0</v>
      </c>
      <c r="AS369" s="10">
        <f>'Batt IN'!$G$16*365/12*'Batt IN'!$E$16</f>
        <v>76.041666666666671</v>
      </c>
      <c r="AT369" s="10">
        <f>IF(AND('Batt IN'!$E$18&gt;0,'Batt IN'!$G$18&gt;0),'Batt IN'!$E$17*'Batt IN'!$G$17,0)</f>
        <v>119.44619999999999</v>
      </c>
      <c r="AU369" s="10">
        <f>IF(AND('Batt IN'!$E$20&gt;0,'Batt IN'!$G$20&gt;0),'Batt IN'!$E$19*'Batt IN'!$G$19,0)</f>
        <v>231</v>
      </c>
      <c r="AV369" s="10"/>
      <c r="AW369" s="10"/>
      <c r="AX369" s="10">
        <f>IF('Batt IN'!$E$11="Non-Taxable",Q369,0)</f>
        <v>12162.498082191782</v>
      </c>
      <c r="AY369" s="10">
        <f>IF('Batt IN'!$E$11="Non-Taxable",'Batt IN'!$E$28/1000*'Batt IN'!$G$13*('Batt IN'!$E$13/12)*'Batt IN'!$E$12,0)</f>
        <v>244.42220833333334</v>
      </c>
      <c r="AZ369" s="10">
        <f>IF('Batt IN'!$E$11="Non-Taxable",$S369*'Batt IN'!$G$15*'Batt IN'!$E$28*'Batt IN'!$E$14/1000,0)</f>
        <v>0</v>
      </c>
      <c r="BA369" s="10">
        <f>IF('Batt IN'!$E$11="Non-Taxable",'Batt IN'!$E$21*'Batt IN'!$G$21/12,0)</f>
        <v>437.5</v>
      </c>
      <c r="BB369" s="10">
        <f>IF('Batt IN'!$E$11="Non-Taxable",'Batt IN'!$E$22*'Batt IN'!$G$22/12,0)</f>
        <v>1145.8333333333335</v>
      </c>
      <c r="BC369" s="10">
        <f>IF('Batt IN'!$E$11="Taxable",Q369,0)</f>
        <v>0</v>
      </c>
      <c r="BD369" s="10">
        <f>IF('Batt IN'!$E$11="Taxable",'Batt IN'!$E$28/1000*'Batt IN'!$G$13*('Batt IN'!$E$13/12)*'Batt IN'!$E$12,0)</f>
        <v>0</v>
      </c>
      <c r="BE369" s="10">
        <f>IF('Batt IN'!$E$11="Taxable",$S369*'Batt IN'!$G$15*'Batt IN'!$E$28*'Batt IN'!$E$14/1000,0)</f>
        <v>0</v>
      </c>
      <c r="BF369" s="10">
        <f>IF('Batt IN'!$E$11="Taxable",'Batt IN'!$E$21*'Batt IN'!$G$21/12,0)</f>
        <v>0</v>
      </c>
      <c r="BG369" s="10">
        <f>IF('Batt IN'!$E$11="Taxable",'Batt IN'!$E$22*'Batt IN'!$G$22/12,0)</f>
        <v>0</v>
      </c>
      <c r="BK369" s="10">
        <f>IF('Batt IN'!$N$18="Yes",-BattLoan!H397,-BattLoan!L397)</f>
        <v>0</v>
      </c>
      <c r="BL369" s="10">
        <f>IF('Batt IN'!$N$18="Yes",-BattLoan!F397,0)</f>
        <v>0</v>
      </c>
      <c r="BM369" s="10">
        <f>IF(AND('Batt IN'!$D$44="YES",$C369&lt;='Batt IN'!$E$44*12),0,-'Batt IN'!$E$28*'Batt IN'!$E$42/12)</f>
        <v>-83.333333333333329</v>
      </c>
      <c r="BN369" s="10">
        <f>IF(AND('Batt IN'!$D$46="YES",$C369&lt;='Batt IN'!$E$46*12),0,-'Batt IN'!$E$28*'Batt IN'!$E$45/12)</f>
        <v>-166.66666666666666</v>
      </c>
      <c r="BO369" s="2">
        <f>IF(AND('Batt IN'!$D$41="YES",BattCalcs!C369=ROUNDUP('Batt IN'!$H$41*12,)),-'Batt IN'!$E$41*'Batt IN'!$E$28,0)</f>
        <v>0</v>
      </c>
      <c r="BP369" s="2">
        <f>IF(AND('Batt IN'!$D$53="Yes",$AL$1&gt;=1),0,IF($C369='Batt IN'!$H$54*12,-'Batt IN'!$F$54,0))</f>
        <v>0</v>
      </c>
      <c r="BQ369" s="2">
        <f>IF(AND('Batt IN'!$D$53="Yes",$AL$1&gt;=2),0,IF($C369='Batt IN'!$H$55*12,-'Batt IN'!$F$55,0))</f>
        <v>0</v>
      </c>
      <c r="BR369" s="2">
        <f>IF(AND('Batt IN'!$D$53="Yes",$AL$1&gt;=3),0,IF($C369='Batt IN'!$H$56*12,-'Batt IN'!$F$56,0))</f>
        <v>0</v>
      </c>
      <c r="BS369" s="2">
        <f>IF(AND('Batt IN'!$D$53="Yes",$AL$1&gt;=4),0,IF($C369='Batt IN'!$H$57*12,-'Batt IN'!$F$57,0))</f>
        <v>0</v>
      </c>
      <c r="BT369" s="2">
        <f>IF(AND('Batt IN'!$D$53="Yes",$AL$1&gt;=5),0,IF($C369='Batt IN'!$H$58*12,-'Batt IN'!$F$58,0))</f>
        <v>0</v>
      </c>
      <c r="BU369" s="2">
        <f>-AH369*PVCalcs!F369</f>
        <v>-359.37504381576838</v>
      </c>
      <c r="BV369" s="2">
        <f>-'Batt IN'!$E$47</f>
        <v>-150</v>
      </c>
      <c r="BW369" s="2">
        <f>-'Batt IN'!$E$49</f>
        <v>-2250</v>
      </c>
      <c r="BX369" s="2">
        <f>IF('Batt IN'!$H$50="No",-(BC369*'Batt IN'!$E$50),-(BC369+BE369)*'Batt IN'!$E$50)</f>
        <v>0</v>
      </c>
      <c r="BY369" s="2">
        <f>IF(C369='Batt IN'!$H$43*12,-'Batt IN'!$E$43,0)</f>
        <v>0</v>
      </c>
      <c r="BZ369" s="38"/>
      <c r="CA369" s="10">
        <f t="shared" si="106"/>
        <v>14416.741490525115</v>
      </c>
      <c r="CB369" s="2">
        <f t="shared" si="94"/>
        <v>-3009.3750438157685</v>
      </c>
      <c r="CC369" s="45">
        <f t="shared" si="107"/>
        <v>11407.366446709348</v>
      </c>
      <c r="CD369" s="43"/>
      <c r="CE369" s="2">
        <f t="shared" si="108"/>
        <v>0</v>
      </c>
      <c r="CF369" s="2">
        <f t="shared" si="95"/>
        <v>-3009.3750438157685</v>
      </c>
      <c r="CG369" s="2"/>
      <c r="CH369" s="2">
        <f t="shared" si="109"/>
        <v>-3009.3750438157685</v>
      </c>
      <c r="CI369" s="45">
        <f>-CH369*'Batt IN'!$E$7</f>
        <v>631.9687592013114</v>
      </c>
      <c r="CJ369" s="48"/>
      <c r="CK369" s="45">
        <f>IF('Batt IN'!$F$4="PV Only",0,IF(C369&gt;'Batt IN'!$H$43*12,0,CC369+CI369))</f>
        <v>0</v>
      </c>
      <c r="CM369" s="10">
        <f t="shared" si="110"/>
        <v>0</v>
      </c>
      <c r="CN369" s="2">
        <f>CK369/(1+('Batt IN'!$G$8))^(C369)</f>
        <v>0</v>
      </c>
      <c r="CO369" s="2" t="e">
        <f>IF(C369&lt;='Batt IN'!$O$30*12,CN369+CO368,NA())</f>
        <v>#N/A</v>
      </c>
      <c r="CQ369" s="2">
        <f>CK369/((1+('Batt IN'!$E$8/12))^BattCalcs!C369)</f>
        <v>0</v>
      </c>
      <c r="CS369" s="10">
        <f t="shared" si="96"/>
        <v>-3009.3750438157685</v>
      </c>
      <c r="CT369" s="10">
        <f t="shared" si="97"/>
        <v>0</v>
      </c>
      <c r="CU369" s="10">
        <f t="shared" si="98"/>
        <v>-3009.3750438157685</v>
      </c>
      <c r="CV369" s="10">
        <f t="shared" si="99"/>
        <v>-3009.3750438157685</v>
      </c>
      <c r="CW369" s="2">
        <f t="shared" si="100"/>
        <v>0</v>
      </c>
      <c r="CX369" s="2">
        <f>-(SUM(CV369:CW369)*'PV IN'!$E$8)</f>
        <v>631.9687592013114</v>
      </c>
      <c r="CY369" s="2">
        <f t="shared" si="101"/>
        <v>-2377.406284614457</v>
      </c>
      <c r="CZ369" s="2">
        <f>IF(C369&lt;='Batt IN'!$H$43*12,CY369/(1+('PV IN'!$G$9))^(C369),0)</f>
        <v>0</v>
      </c>
      <c r="DA369" s="33">
        <f>IF(C369&lt;='Batt IN'!$H$43*12,AE369,0)</f>
        <v>0</v>
      </c>
    </row>
    <row r="370" spans="1:105" x14ac:dyDescent="0.25">
      <c r="A370" t="str">
        <f>IF(C370&lt;='Batt IN'!$H$43*12,C370,"")</f>
        <v/>
      </c>
      <c r="C370">
        <v>366</v>
      </c>
      <c r="D370" s="21">
        <v>796</v>
      </c>
      <c r="E370" s="1">
        <f>1-'Batt IN'!$E$31</f>
        <v>2.0000000000000018E-2</v>
      </c>
      <c r="F370" s="12">
        <f>('Batt IN'!$E$33*365)/8760</f>
        <v>0</v>
      </c>
      <c r="G370" s="22">
        <f>'Batt IN'!$E$32/8760</f>
        <v>5.7077625570776253E-3</v>
      </c>
      <c r="H370" s="22">
        <f>'Batt IN'!$E$13/8760</f>
        <v>5.5936073059360729E-3</v>
      </c>
      <c r="I370" s="23">
        <f>IF(C370&lt;='Batt IN'!$G$14*12,'Batt IN'!$E$15/8760*'Batt IN'!$G$15,0)</f>
        <v>0</v>
      </c>
      <c r="J370" s="12">
        <f>Z370/'Batt IN'!$E$27/730</f>
        <v>2.4999999999999996E-3</v>
      </c>
      <c r="K370" s="23">
        <f>AA370/'Batt IN'!$E$27/730</f>
        <v>1.6027397260273972E-3</v>
      </c>
      <c r="L370" s="23">
        <f>AB370/'Batt IN'!$E$27/730</f>
        <v>2.0547945205479451E-4</v>
      </c>
      <c r="M370" s="23">
        <f>AC370/'Batt IN'!$E$27/730</f>
        <v>4.7945205479452057E-3</v>
      </c>
      <c r="N370" s="23">
        <f>AD370/'Batt IN'!$E$27/730</f>
        <v>3.4246575342465752E-3</v>
      </c>
      <c r="O370" s="12">
        <f t="shared" si="102"/>
        <v>4.3828767123287697E-2</v>
      </c>
      <c r="P370" s="21">
        <f t="shared" si="103"/>
        <v>761.11230136986308</v>
      </c>
      <c r="Q370" s="2">
        <f>IF('Batt IN'!$E$27*'Batt IN'!$E$24&lt;='Batt IN'!$E$28,(('Batt IN'!$E$23*'Batt IN'!$E$27*'Batt IN'!$E$24)/1000)*P370,(('Batt IN'!$E$23*'Batt IN'!$E$28*'Batt IN'!$E$24)/1000)*P370)</f>
        <v>12177.796821917809</v>
      </c>
      <c r="R370" s="2"/>
      <c r="S370" s="77">
        <f>IF(C370&lt;='Batt IN'!$G$14*12,'Batt IN'!$E$15/12,0)</f>
        <v>0</v>
      </c>
      <c r="T370" s="77"/>
      <c r="U370" s="80">
        <f>'Batt IN'!$E$28*('Batt IN'!$G$24/24)*730*(1-O370)</f>
        <v>81433.916666666657</v>
      </c>
      <c r="V370" s="78">
        <f>U370*'Batt IN'!$F$30</f>
        <v>16286.783333333333</v>
      </c>
      <c r="W370" s="78">
        <f>'Batt IN'!$E$28*'Batt IN'!$G$32*('Batt IN'!$E$32/12)*(1+'Batt IN'!$F$30)</f>
        <v>1750.0000000000002</v>
      </c>
      <c r="X370" s="78">
        <f>'Batt IN'!$E$28*'Batt IN'!$G$13*('Batt IN'!$E$13/12)*(1+'Batt IN'!$F$30)</f>
        <v>3184.9999999999995</v>
      </c>
      <c r="Y370" s="33">
        <f>S370*'Batt IN'!$G$15*'Batt IN'!$E$28*(1+'Batt IN'!$F$30)</f>
        <v>0</v>
      </c>
      <c r="Z370" s="33">
        <f>'Batt IN'!$G$16*365/12*(1+'Batt IN'!$F$30)</f>
        <v>1824.9999999999998</v>
      </c>
      <c r="AA370" s="33">
        <f>'Batt IN'!$G$17*'Batt IN'!$E$18*'Batt IN'!$G$18/12*(1+'Batt IN'!$F$30)</f>
        <v>1170</v>
      </c>
      <c r="AB370" s="33">
        <f>'Batt IN'!$G$19*'Batt IN'!$E$20*'Batt IN'!$G$20/12*(1+'Batt IN'!$F$30)</f>
        <v>150</v>
      </c>
      <c r="AC370" s="33">
        <f>'Batt IN'!$G$21*(1+'Batt IN'!$F$30)/12</f>
        <v>3500</v>
      </c>
      <c r="AD370" s="33">
        <f>'Batt IN'!$G$22*(1+'Batt IN'!$F$30)/12</f>
        <v>2500</v>
      </c>
      <c r="AE370" s="33">
        <f t="shared" si="104"/>
        <v>30366.783333333333</v>
      </c>
      <c r="AF370" s="33">
        <f>IF('PV IN'!$F$4="Battery Only",0,AE370*'Batt IN'!$E$29)</f>
        <v>25811.765833333331</v>
      </c>
      <c r="AG370" s="33">
        <f>PVCalcs!L370</f>
        <v>25811.765833333331</v>
      </c>
      <c r="AH370" s="33">
        <f t="shared" si="105"/>
        <v>4555.0175000000017</v>
      </c>
      <c r="AI370" s="33"/>
      <c r="AJ370" s="2">
        <f>IF(AND('Batt IN'!$D$53="Yes",$AL$1&gt;=1),IF($C370='Batt IN'!$H$54*12,-'Batt IN'!$F$54,0),0)</f>
        <v>0</v>
      </c>
      <c r="AK370" s="2">
        <f>IF(AND('Batt IN'!$D$53="Yes",$AL$1&gt;=2),IF($C370='Batt IN'!$H$55*12,-'Batt IN'!$F$55,0),0)</f>
        <v>0</v>
      </c>
      <c r="AL370" s="2">
        <f>IF(AND('Batt IN'!$D$53="Yes",$AL$1&gt;=3),IF($C370='Batt IN'!$H$56*12,-'Batt IN'!$F$56,0),0)</f>
        <v>0</v>
      </c>
      <c r="AM370" s="2">
        <f>IF(AND('Batt IN'!$D$53="Yes",$AL$1&gt;=4),IF($C370='Batt IN'!$H$57*12,-'Batt IN'!$F$57,0),0)</f>
        <v>0</v>
      </c>
      <c r="AN370" s="2">
        <f>IF(AND('Batt IN'!$D$53="Yes",$AL$1&gt;=5),IF($C370='Batt IN'!$H$58*12,-'Batt IN'!$F$58,0),0)</f>
        <v>0</v>
      </c>
      <c r="AO370" s="10">
        <f>IF(AND('Batt IN'!$D$44="YES",$C370&lt;='Batt IN'!$E$44*12),-'Batt IN'!$E$28*'Batt IN'!$E$42/12,0)</f>
        <v>0</v>
      </c>
      <c r="AP370" s="10">
        <f>IF(AND('Batt IN'!$D$46="YES",$C370&lt;='Batt IN'!$E$46*12),-'Batt IN'!$E$28*'Batt IN'!$E$45/12,0)</f>
        <v>0</v>
      </c>
      <c r="AR370" s="10">
        <f>BattLoan!M397</f>
        <v>0</v>
      </c>
      <c r="AS370" s="10">
        <f>'Batt IN'!$G$16*365/12*'Batt IN'!$E$16</f>
        <v>76.041666666666671</v>
      </c>
      <c r="AT370" s="10">
        <f>IF(AND('Batt IN'!$E$18&gt;0,'Batt IN'!$G$18&gt;0),'Batt IN'!$E$17*'Batt IN'!$G$17,0)</f>
        <v>119.44619999999999</v>
      </c>
      <c r="AU370" s="10">
        <f>IF(AND('Batt IN'!$E$20&gt;0,'Batt IN'!$G$20&gt;0),'Batt IN'!$E$19*'Batt IN'!$G$19,0)</f>
        <v>231</v>
      </c>
      <c r="AV370" s="10"/>
      <c r="AW370" s="10"/>
      <c r="AX370" s="10">
        <f>IF('Batt IN'!$E$11="Non-Taxable",Q370,0)</f>
        <v>12177.796821917809</v>
      </c>
      <c r="AY370" s="10">
        <f>IF('Batt IN'!$E$11="Non-Taxable",'Batt IN'!$E$28/1000*'Batt IN'!$G$13*('Batt IN'!$E$13/12)*'Batt IN'!$E$12,0)</f>
        <v>244.42220833333334</v>
      </c>
      <c r="AZ370" s="10">
        <f>IF('Batt IN'!$E$11="Non-Taxable",$S370*'Batt IN'!$G$15*'Batt IN'!$E$28*'Batt IN'!$E$14/1000,0)</f>
        <v>0</v>
      </c>
      <c r="BA370" s="10">
        <f>IF('Batt IN'!$E$11="Non-Taxable",'Batt IN'!$E$21*'Batt IN'!$G$21/12,0)</f>
        <v>437.5</v>
      </c>
      <c r="BB370" s="10">
        <f>IF('Batt IN'!$E$11="Non-Taxable",'Batt IN'!$E$22*'Batt IN'!$G$22/12,0)</f>
        <v>1145.8333333333335</v>
      </c>
      <c r="BC370" s="10">
        <f>IF('Batt IN'!$E$11="Taxable",Q370,0)</f>
        <v>0</v>
      </c>
      <c r="BD370" s="10">
        <f>IF('Batt IN'!$E$11="Taxable",'Batt IN'!$E$28/1000*'Batt IN'!$G$13*('Batt IN'!$E$13/12)*'Batt IN'!$E$12,0)</f>
        <v>0</v>
      </c>
      <c r="BE370" s="10">
        <f>IF('Batt IN'!$E$11="Taxable",$S370*'Batt IN'!$G$15*'Batt IN'!$E$28*'Batt IN'!$E$14/1000,0)</f>
        <v>0</v>
      </c>
      <c r="BF370" s="10">
        <f>IF('Batt IN'!$E$11="Taxable",'Batt IN'!$E$21*'Batt IN'!$G$21/12,0)</f>
        <v>0</v>
      </c>
      <c r="BG370" s="10">
        <f>IF('Batt IN'!$E$11="Taxable",'Batt IN'!$E$22*'Batt IN'!$G$22/12,0)</f>
        <v>0</v>
      </c>
      <c r="BK370" s="10">
        <f>IF('Batt IN'!$N$18="Yes",-BattLoan!H398,-BattLoan!L398)</f>
        <v>0</v>
      </c>
      <c r="BL370" s="10">
        <f>IF('Batt IN'!$N$18="Yes",-BattLoan!F398,0)</f>
        <v>0</v>
      </c>
      <c r="BM370" s="10">
        <f>IF(AND('Batt IN'!$D$44="YES",$C370&lt;='Batt IN'!$E$44*12),0,-'Batt IN'!$E$28*'Batt IN'!$E$42/12)</f>
        <v>-83.333333333333329</v>
      </c>
      <c r="BN370" s="10">
        <f>IF(AND('Batt IN'!$D$46="YES",$C370&lt;='Batt IN'!$E$46*12),0,-'Batt IN'!$E$28*'Batt IN'!$E$45/12)</f>
        <v>-166.66666666666666</v>
      </c>
      <c r="BO370" s="2">
        <f>IF(AND('Batt IN'!$D$41="YES",BattCalcs!C370=ROUNDUP('Batt IN'!$H$41*12,)),-'Batt IN'!$E$41*'Batt IN'!$E$28,0)</f>
        <v>0</v>
      </c>
      <c r="BP370" s="2">
        <f>IF(AND('Batt IN'!$D$53="Yes",$AL$1&gt;=1),0,IF($C370='Batt IN'!$H$54*12,-'Batt IN'!$F$54,0))</f>
        <v>0</v>
      </c>
      <c r="BQ370" s="2">
        <f>IF(AND('Batt IN'!$D$53="Yes",$AL$1&gt;=2),0,IF($C370='Batt IN'!$H$55*12,-'Batt IN'!$F$55,0))</f>
        <v>0</v>
      </c>
      <c r="BR370" s="2">
        <f>IF(AND('Batt IN'!$D$53="Yes",$AL$1&gt;=3),0,IF($C370='Batt IN'!$H$56*12,-'Batt IN'!$F$56,0))</f>
        <v>0</v>
      </c>
      <c r="BS370" s="2">
        <f>IF(AND('Batt IN'!$D$53="Yes",$AL$1&gt;=4),0,IF($C370='Batt IN'!$H$57*12,-'Batt IN'!$F$57,0))</f>
        <v>0</v>
      </c>
      <c r="BT370" s="2">
        <f>IF(AND('Batt IN'!$D$53="Yes",$AL$1&gt;=5),0,IF($C370='Batt IN'!$H$58*12,-'Batt IN'!$F$58,0))</f>
        <v>0</v>
      </c>
      <c r="BU370" s="2">
        <f>-AH370*PVCalcs!F370</f>
        <v>-359.37504381576838</v>
      </c>
      <c r="BV370" s="2">
        <f>-'Batt IN'!$E$47</f>
        <v>-150</v>
      </c>
      <c r="BW370" s="2">
        <f>-'Batt IN'!$E$49</f>
        <v>-2250</v>
      </c>
      <c r="BX370" s="2">
        <f>IF('Batt IN'!$H$50="No",-(BC370*'Batt IN'!$E$50),-(BC370+BE370)*'Batt IN'!$E$50)</f>
        <v>0</v>
      </c>
      <c r="BY370" s="2">
        <f>IF(C370='Batt IN'!$H$43*12,-'Batt IN'!$E$43,0)</f>
        <v>0</v>
      </c>
      <c r="BZ370" s="38"/>
      <c r="CA370" s="10">
        <f t="shared" si="106"/>
        <v>14432.040230251143</v>
      </c>
      <c r="CB370" s="2">
        <f t="shared" si="94"/>
        <v>-3009.3750438157685</v>
      </c>
      <c r="CC370" s="45">
        <f t="shared" si="107"/>
        <v>11422.665186435373</v>
      </c>
      <c r="CD370" s="43"/>
      <c r="CE370" s="2">
        <f t="shared" si="108"/>
        <v>0</v>
      </c>
      <c r="CF370" s="2">
        <f t="shared" si="95"/>
        <v>-3009.3750438157685</v>
      </c>
      <c r="CG370" s="2"/>
      <c r="CH370" s="2">
        <f t="shared" si="109"/>
        <v>-3009.3750438157685</v>
      </c>
      <c r="CI370" s="45">
        <f>-CH370*'Batt IN'!$E$7</f>
        <v>631.9687592013114</v>
      </c>
      <c r="CJ370" s="48"/>
      <c r="CK370" s="45">
        <f>IF('Batt IN'!$F$4="PV Only",0,IF(C370&gt;'Batt IN'!$H$43*12,0,CC370+CI370))</f>
        <v>0</v>
      </c>
      <c r="CM370" s="10">
        <f t="shared" si="110"/>
        <v>0</v>
      </c>
      <c r="CN370" s="2">
        <f>CK370/(1+('Batt IN'!$G$8))^(C370)</f>
        <v>0</v>
      </c>
      <c r="CO370" s="2" t="e">
        <f>IF(C370&lt;='Batt IN'!$O$30*12,CN370+CO369,NA())</f>
        <v>#N/A</v>
      </c>
      <c r="CQ370" s="2">
        <f>CK370/((1+('Batt IN'!$E$8/12))^BattCalcs!C370)</f>
        <v>0</v>
      </c>
      <c r="CS370" s="10">
        <f t="shared" si="96"/>
        <v>-3009.3750438157685</v>
      </c>
      <c r="CT370" s="10">
        <f t="shared" si="97"/>
        <v>0</v>
      </c>
      <c r="CU370" s="10">
        <f t="shared" si="98"/>
        <v>-3009.3750438157685</v>
      </c>
      <c r="CV370" s="10">
        <f t="shared" si="99"/>
        <v>-3009.3750438157685</v>
      </c>
      <c r="CW370" s="2">
        <f t="shared" si="100"/>
        <v>0</v>
      </c>
      <c r="CX370" s="2">
        <f>-(SUM(CV370:CW370)*'PV IN'!$E$8)</f>
        <v>631.9687592013114</v>
      </c>
      <c r="CY370" s="2">
        <f t="shared" si="101"/>
        <v>-2377.406284614457</v>
      </c>
      <c r="CZ370" s="2">
        <f>IF(C370&lt;='Batt IN'!$H$43*12,CY370/(1+('PV IN'!$G$9))^(C370),0)</f>
        <v>0</v>
      </c>
      <c r="DA370" s="33">
        <f>IF(C370&lt;='Batt IN'!$H$43*12,AE370,0)</f>
        <v>0</v>
      </c>
    </row>
    <row r="371" spans="1:105" x14ac:dyDescent="0.25">
      <c r="A371" t="str">
        <f>IF(C371&lt;='Batt IN'!$H$43*12,C371,"")</f>
        <v/>
      </c>
      <c r="C371">
        <v>367</v>
      </c>
      <c r="D371" s="21">
        <v>797</v>
      </c>
      <c r="E371" s="1">
        <f>1-'Batt IN'!$E$31</f>
        <v>2.0000000000000018E-2</v>
      </c>
      <c r="F371" s="12">
        <f>('Batt IN'!$E$33*365)/8760</f>
        <v>0</v>
      </c>
      <c r="G371" s="22">
        <f>'Batt IN'!$E$32/8760</f>
        <v>5.7077625570776253E-3</v>
      </c>
      <c r="H371" s="22">
        <f>'Batt IN'!$E$13/8760</f>
        <v>5.5936073059360729E-3</v>
      </c>
      <c r="I371" s="23">
        <f>IF(C371&lt;='Batt IN'!$G$14*12,'Batt IN'!$E$15/8760*'Batt IN'!$G$15,0)</f>
        <v>0</v>
      </c>
      <c r="J371" s="12">
        <f>Z371/'Batt IN'!$E$27/730</f>
        <v>2.4999999999999996E-3</v>
      </c>
      <c r="K371" s="23">
        <f>AA371/'Batt IN'!$E$27/730</f>
        <v>1.6027397260273972E-3</v>
      </c>
      <c r="L371" s="23">
        <f>AB371/'Batt IN'!$E$27/730</f>
        <v>2.0547945205479451E-4</v>
      </c>
      <c r="M371" s="23">
        <f>AC371/'Batt IN'!$E$27/730</f>
        <v>4.7945205479452057E-3</v>
      </c>
      <c r="N371" s="23">
        <f>AD371/'Batt IN'!$E$27/730</f>
        <v>3.4246575342465752E-3</v>
      </c>
      <c r="O371" s="12">
        <f t="shared" si="102"/>
        <v>4.3828767123287697E-2</v>
      </c>
      <c r="P371" s="21">
        <f t="shared" si="103"/>
        <v>762.06847260273969</v>
      </c>
      <c r="Q371" s="2">
        <f>IF('Batt IN'!$E$27*'Batt IN'!$E$24&lt;='Batt IN'!$E$28,(('Batt IN'!$E$23*'Batt IN'!$E$27*'Batt IN'!$E$24)/1000)*P371,(('Batt IN'!$E$23*'Batt IN'!$E$28*'Batt IN'!$E$24)/1000)*P371)</f>
        <v>12193.095561643835</v>
      </c>
      <c r="R371" s="2"/>
      <c r="S371" s="77">
        <f>IF(C371&lt;='Batt IN'!$G$14*12,'Batt IN'!$E$15/12,0)</f>
        <v>0</v>
      </c>
      <c r="T371" s="77"/>
      <c r="U371" s="80">
        <f>'Batt IN'!$E$28*('Batt IN'!$G$24/24)*730*(1-O371)</f>
        <v>81433.916666666657</v>
      </c>
      <c r="V371" s="78">
        <f>U371*'Batt IN'!$F$30</f>
        <v>16286.783333333333</v>
      </c>
      <c r="W371" s="78">
        <f>'Batt IN'!$E$28*'Batt IN'!$G$32*('Batt IN'!$E$32/12)*(1+'Batt IN'!$F$30)</f>
        <v>1750.0000000000002</v>
      </c>
      <c r="X371" s="78">
        <f>'Batt IN'!$E$28*'Batt IN'!$G$13*('Batt IN'!$E$13/12)*(1+'Batt IN'!$F$30)</f>
        <v>3184.9999999999995</v>
      </c>
      <c r="Y371" s="33">
        <f>S371*'Batt IN'!$G$15*'Batt IN'!$E$28*(1+'Batt IN'!$F$30)</f>
        <v>0</v>
      </c>
      <c r="Z371" s="33">
        <f>'Batt IN'!$G$16*365/12*(1+'Batt IN'!$F$30)</f>
        <v>1824.9999999999998</v>
      </c>
      <c r="AA371" s="33">
        <f>'Batt IN'!$G$17*'Batt IN'!$E$18*'Batt IN'!$G$18/12*(1+'Batt IN'!$F$30)</f>
        <v>1170</v>
      </c>
      <c r="AB371" s="33">
        <f>'Batt IN'!$G$19*'Batt IN'!$E$20*'Batt IN'!$G$20/12*(1+'Batt IN'!$F$30)</f>
        <v>150</v>
      </c>
      <c r="AC371" s="33">
        <f>'Batt IN'!$G$21*(1+'Batt IN'!$F$30)/12</f>
        <v>3500</v>
      </c>
      <c r="AD371" s="33">
        <f>'Batt IN'!$G$22*(1+'Batt IN'!$F$30)/12</f>
        <v>2500</v>
      </c>
      <c r="AE371" s="33">
        <f t="shared" si="104"/>
        <v>30366.783333333333</v>
      </c>
      <c r="AF371" s="33">
        <f>IF('PV IN'!$F$4="Battery Only",0,AE371*'Batt IN'!$E$29)</f>
        <v>25811.765833333331</v>
      </c>
      <c r="AG371" s="33">
        <f>PVCalcs!L371</f>
        <v>25811.765833333331</v>
      </c>
      <c r="AH371" s="33">
        <f t="shared" si="105"/>
        <v>4555.0175000000017</v>
      </c>
      <c r="AI371" s="33"/>
      <c r="AJ371" s="2">
        <f>IF(AND('Batt IN'!$D$53="Yes",$AL$1&gt;=1),IF($C371='Batt IN'!$H$54*12,-'Batt IN'!$F$54,0),0)</f>
        <v>0</v>
      </c>
      <c r="AK371" s="2">
        <f>IF(AND('Batt IN'!$D$53="Yes",$AL$1&gt;=2),IF($C371='Batt IN'!$H$55*12,-'Batt IN'!$F$55,0),0)</f>
        <v>0</v>
      </c>
      <c r="AL371" s="2">
        <f>IF(AND('Batt IN'!$D$53="Yes",$AL$1&gt;=3),IF($C371='Batt IN'!$H$56*12,-'Batt IN'!$F$56,0),0)</f>
        <v>0</v>
      </c>
      <c r="AM371" s="2">
        <f>IF(AND('Batt IN'!$D$53="Yes",$AL$1&gt;=4),IF($C371='Batt IN'!$H$57*12,-'Batt IN'!$F$57,0),0)</f>
        <v>0</v>
      </c>
      <c r="AN371" s="2">
        <f>IF(AND('Batt IN'!$D$53="Yes",$AL$1&gt;=5),IF($C371='Batt IN'!$H$58*12,-'Batt IN'!$F$58,0),0)</f>
        <v>0</v>
      </c>
      <c r="AO371" s="10">
        <f>IF(AND('Batt IN'!$D$44="YES",$C371&lt;='Batt IN'!$E$44*12),-'Batt IN'!$E$28*'Batt IN'!$E$42/12,0)</f>
        <v>0</v>
      </c>
      <c r="AP371" s="10">
        <f>IF(AND('Batt IN'!$D$46="YES",$C371&lt;='Batt IN'!$E$46*12),-'Batt IN'!$E$28*'Batt IN'!$E$45/12,0)</f>
        <v>0</v>
      </c>
      <c r="AR371" s="10">
        <f>BattLoan!M398</f>
        <v>0</v>
      </c>
      <c r="AS371" s="10">
        <f>'Batt IN'!$G$16*365/12*'Batt IN'!$E$16</f>
        <v>76.041666666666671</v>
      </c>
      <c r="AT371" s="10">
        <f>IF(AND('Batt IN'!$E$18&gt;0,'Batt IN'!$G$18&gt;0),'Batt IN'!$E$17*'Batt IN'!$G$17,0)</f>
        <v>119.44619999999999</v>
      </c>
      <c r="AU371" s="10">
        <f>IF(AND('Batt IN'!$E$20&gt;0,'Batt IN'!$G$20&gt;0),'Batt IN'!$E$19*'Batt IN'!$G$19,0)</f>
        <v>231</v>
      </c>
      <c r="AV371" s="10"/>
      <c r="AW371" s="10"/>
      <c r="AX371" s="10">
        <f>IF('Batt IN'!$E$11="Non-Taxable",Q371,0)</f>
        <v>12193.095561643835</v>
      </c>
      <c r="AY371" s="10">
        <f>IF('Batt IN'!$E$11="Non-Taxable",'Batt IN'!$E$28/1000*'Batt IN'!$G$13*('Batt IN'!$E$13/12)*'Batt IN'!$E$12,0)</f>
        <v>244.42220833333334</v>
      </c>
      <c r="AZ371" s="10">
        <f>IF('Batt IN'!$E$11="Non-Taxable",$S371*'Batt IN'!$G$15*'Batt IN'!$E$28*'Batt IN'!$E$14/1000,0)</f>
        <v>0</v>
      </c>
      <c r="BA371" s="10">
        <f>IF('Batt IN'!$E$11="Non-Taxable",'Batt IN'!$E$21*'Batt IN'!$G$21/12,0)</f>
        <v>437.5</v>
      </c>
      <c r="BB371" s="10">
        <f>IF('Batt IN'!$E$11="Non-Taxable",'Batt IN'!$E$22*'Batt IN'!$G$22/12,0)</f>
        <v>1145.8333333333335</v>
      </c>
      <c r="BC371" s="10">
        <f>IF('Batt IN'!$E$11="Taxable",Q371,0)</f>
        <v>0</v>
      </c>
      <c r="BD371" s="10">
        <f>IF('Batt IN'!$E$11="Taxable",'Batt IN'!$E$28/1000*'Batt IN'!$G$13*('Batt IN'!$E$13/12)*'Batt IN'!$E$12,0)</f>
        <v>0</v>
      </c>
      <c r="BE371" s="10">
        <f>IF('Batt IN'!$E$11="Taxable",$S371*'Batt IN'!$G$15*'Batt IN'!$E$28*'Batt IN'!$E$14/1000,0)</f>
        <v>0</v>
      </c>
      <c r="BF371" s="10">
        <f>IF('Batt IN'!$E$11="Taxable",'Batt IN'!$E$21*'Batt IN'!$G$21/12,0)</f>
        <v>0</v>
      </c>
      <c r="BG371" s="10">
        <f>IF('Batt IN'!$E$11="Taxable",'Batt IN'!$E$22*'Batt IN'!$G$22/12,0)</f>
        <v>0</v>
      </c>
      <c r="BK371" s="10">
        <f>IF('Batt IN'!$N$18="Yes",-BattLoan!H399,-BattLoan!L399)</f>
        <v>0</v>
      </c>
      <c r="BL371" s="10">
        <f>IF('Batt IN'!$N$18="Yes",-BattLoan!F399,0)</f>
        <v>0</v>
      </c>
      <c r="BM371" s="10">
        <f>IF(AND('Batt IN'!$D$44="YES",$C371&lt;='Batt IN'!$E$44*12),0,-'Batt IN'!$E$28*'Batt IN'!$E$42/12)</f>
        <v>-83.333333333333329</v>
      </c>
      <c r="BN371" s="10">
        <f>IF(AND('Batt IN'!$D$46="YES",$C371&lt;='Batt IN'!$E$46*12),0,-'Batt IN'!$E$28*'Batt IN'!$E$45/12)</f>
        <v>-166.66666666666666</v>
      </c>
      <c r="BO371" s="2">
        <f>IF(AND('Batt IN'!$D$41="YES",BattCalcs!C371=ROUNDUP('Batt IN'!$H$41*12,)),-'Batt IN'!$E$41*'Batt IN'!$E$28,0)</f>
        <v>0</v>
      </c>
      <c r="BP371" s="2">
        <f>IF(AND('Batt IN'!$D$53="Yes",$AL$1&gt;=1),0,IF($C371='Batt IN'!$H$54*12,-'Batt IN'!$F$54,0))</f>
        <v>0</v>
      </c>
      <c r="BQ371" s="2">
        <f>IF(AND('Batt IN'!$D$53="Yes",$AL$1&gt;=2),0,IF($C371='Batt IN'!$H$55*12,-'Batt IN'!$F$55,0))</f>
        <v>0</v>
      </c>
      <c r="BR371" s="2">
        <f>IF(AND('Batt IN'!$D$53="Yes",$AL$1&gt;=3),0,IF($C371='Batt IN'!$H$56*12,-'Batt IN'!$F$56,0))</f>
        <v>0</v>
      </c>
      <c r="BS371" s="2">
        <f>IF(AND('Batt IN'!$D$53="Yes",$AL$1&gt;=4),0,IF($C371='Batt IN'!$H$57*12,-'Batt IN'!$F$57,0))</f>
        <v>0</v>
      </c>
      <c r="BT371" s="2">
        <f>IF(AND('Batt IN'!$D$53="Yes",$AL$1&gt;=5),0,IF($C371='Batt IN'!$H$58*12,-'Batt IN'!$F$58,0))</f>
        <v>0</v>
      </c>
      <c r="BU371" s="2">
        <f>-AH371*PVCalcs!F371</f>
        <v>-359.37504381576838</v>
      </c>
      <c r="BV371" s="2">
        <f>-'Batt IN'!$E$47</f>
        <v>-150</v>
      </c>
      <c r="BW371" s="2">
        <f>-'Batt IN'!$E$49</f>
        <v>-2250</v>
      </c>
      <c r="BX371" s="2">
        <f>IF('Batt IN'!$H$50="No",-(BC371*'Batt IN'!$E$50),-(BC371+BE371)*'Batt IN'!$E$50)</f>
        <v>0</v>
      </c>
      <c r="BY371" s="2">
        <f>IF(C371='Batt IN'!$H$43*12,-'Batt IN'!$E$43,0)</f>
        <v>0</v>
      </c>
      <c r="BZ371" s="38"/>
      <c r="CA371" s="10">
        <f t="shared" si="106"/>
        <v>14447.338969977169</v>
      </c>
      <c r="CB371" s="2">
        <f t="shared" si="94"/>
        <v>-3009.3750438157685</v>
      </c>
      <c r="CC371" s="45">
        <f t="shared" si="107"/>
        <v>11437.963926161399</v>
      </c>
      <c r="CD371" s="43"/>
      <c r="CE371" s="2">
        <f t="shared" si="108"/>
        <v>0</v>
      </c>
      <c r="CF371" s="2">
        <f t="shared" si="95"/>
        <v>-3009.3750438157685</v>
      </c>
      <c r="CG371" s="2"/>
      <c r="CH371" s="2">
        <f t="shared" si="109"/>
        <v>-3009.3750438157685</v>
      </c>
      <c r="CI371" s="45">
        <f>-CH371*'Batt IN'!$E$7</f>
        <v>631.9687592013114</v>
      </c>
      <c r="CJ371" s="48"/>
      <c r="CK371" s="45">
        <f>IF('Batt IN'!$F$4="PV Only",0,IF(C371&gt;'Batt IN'!$H$43*12,0,CC371+CI371))</f>
        <v>0</v>
      </c>
      <c r="CM371" s="10">
        <f t="shared" si="110"/>
        <v>0</v>
      </c>
      <c r="CN371" s="2">
        <f>CK371/(1+('Batt IN'!$G$8))^(C371)</f>
        <v>0</v>
      </c>
      <c r="CO371" s="2" t="e">
        <f>IF(C371&lt;='Batt IN'!$O$30*12,CN371+CO370,NA())</f>
        <v>#N/A</v>
      </c>
      <c r="CQ371" s="2">
        <f>CK371/((1+('Batt IN'!$E$8/12))^BattCalcs!C371)</f>
        <v>0</v>
      </c>
      <c r="CS371" s="10">
        <f t="shared" si="96"/>
        <v>-3009.3750438157685</v>
      </c>
      <c r="CT371" s="10">
        <f t="shared" si="97"/>
        <v>0</v>
      </c>
      <c r="CU371" s="10">
        <f t="shared" si="98"/>
        <v>-3009.3750438157685</v>
      </c>
      <c r="CV371" s="10">
        <f t="shared" si="99"/>
        <v>-3009.3750438157685</v>
      </c>
      <c r="CW371" s="2">
        <f t="shared" si="100"/>
        <v>0</v>
      </c>
      <c r="CX371" s="2">
        <f>-(SUM(CV371:CW371)*'PV IN'!$E$8)</f>
        <v>631.9687592013114</v>
      </c>
      <c r="CY371" s="2">
        <f t="shared" si="101"/>
        <v>-2377.406284614457</v>
      </c>
      <c r="CZ371" s="2">
        <f>IF(C371&lt;='Batt IN'!$H$43*12,CY371/(1+('PV IN'!$G$9))^(C371),0)</f>
        <v>0</v>
      </c>
      <c r="DA371" s="33">
        <f>IF(C371&lt;='Batt IN'!$H$43*12,AE371,0)</f>
        <v>0</v>
      </c>
    </row>
    <row r="372" spans="1:105" x14ac:dyDescent="0.25">
      <c r="A372" t="str">
        <f>IF(C372&lt;='Batt IN'!$H$43*12,C372,"")</f>
        <v/>
      </c>
      <c r="C372">
        <v>368</v>
      </c>
      <c r="D372" s="21">
        <v>798</v>
      </c>
      <c r="E372" s="1">
        <f>1-'Batt IN'!$E$31</f>
        <v>2.0000000000000018E-2</v>
      </c>
      <c r="F372" s="12">
        <f>('Batt IN'!$E$33*365)/8760</f>
        <v>0</v>
      </c>
      <c r="G372" s="22">
        <f>'Batt IN'!$E$32/8760</f>
        <v>5.7077625570776253E-3</v>
      </c>
      <c r="H372" s="22">
        <f>'Batt IN'!$E$13/8760</f>
        <v>5.5936073059360729E-3</v>
      </c>
      <c r="I372" s="23">
        <f>IF(C372&lt;='Batt IN'!$G$14*12,'Batt IN'!$E$15/8760*'Batt IN'!$G$15,0)</f>
        <v>0</v>
      </c>
      <c r="J372" s="12">
        <f>Z372/'Batt IN'!$E$27/730</f>
        <v>2.4999999999999996E-3</v>
      </c>
      <c r="K372" s="23">
        <f>AA372/'Batt IN'!$E$27/730</f>
        <v>1.6027397260273972E-3</v>
      </c>
      <c r="L372" s="23">
        <f>AB372/'Batt IN'!$E$27/730</f>
        <v>2.0547945205479451E-4</v>
      </c>
      <c r="M372" s="23">
        <f>AC372/'Batt IN'!$E$27/730</f>
        <v>4.7945205479452057E-3</v>
      </c>
      <c r="N372" s="23">
        <f>AD372/'Batt IN'!$E$27/730</f>
        <v>3.4246575342465752E-3</v>
      </c>
      <c r="O372" s="12">
        <f t="shared" si="102"/>
        <v>4.3828767123287697E-2</v>
      </c>
      <c r="P372" s="21">
        <f t="shared" si="103"/>
        <v>763.02464383561642</v>
      </c>
      <c r="Q372" s="2">
        <f>IF('Batt IN'!$E$27*'Batt IN'!$E$24&lt;='Batt IN'!$E$28,(('Batt IN'!$E$23*'Batt IN'!$E$27*'Batt IN'!$E$24)/1000)*P372,(('Batt IN'!$E$23*'Batt IN'!$E$28*'Batt IN'!$E$24)/1000)*P372)</f>
        <v>12208.394301369863</v>
      </c>
      <c r="R372" s="2"/>
      <c r="S372" s="77">
        <f>IF(C372&lt;='Batt IN'!$G$14*12,'Batt IN'!$E$15/12,0)</f>
        <v>0</v>
      </c>
      <c r="T372" s="77"/>
      <c r="U372" s="80">
        <f>'Batt IN'!$E$28*('Batt IN'!$G$24/24)*730*(1-O372)</f>
        <v>81433.916666666657</v>
      </c>
      <c r="V372" s="78">
        <f>U372*'Batt IN'!$F$30</f>
        <v>16286.783333333333</v>
      </c>
      <c r="W372" s="78">
        <f>'Batt IN'!$E$28*'Batt IN'!$G$32*('Batt IN'!$E$32/12)*(1+'Batt IN'!$F$30)</f>
        <v>1750.0000000000002</v>
      </c>
      <c r="X372" s="78">
        <f>'Batt IN'!$E$28*'Batt IN'!$G$13*('Batt IN'!$E$13/12)*(1+'Batt IN'!$F$30)</f>
        <v>3184.9999999999995</v>
      </c>
      <c r="Y372" s="33">
        <f>S372*'Batt IN'!$G$15*'Batt IN'!$E$28*(1+'Batt IN'!$F$30)</f>
        <v>0</v>
      </c>
      <c r="Z372" s="33">
        <f>'Batt IN'!$G$16*365/12*(1+'Batt IN'!$F$30)</f>
        <v>1824.9999999999998</v>
      </c>
      <c r="AA372" s="33">
        <f>'Batt IN'!$G$17*'Batt IN'!$E$18*'Batt IN'!$G$18/12*(1+'Batt IN'!$F$30)</f>
        <v>1170</v>
      </c>
      <c r="AB372" s="33">
        <f>'Batt IN'!$G$19*'Batt IN'!$E$20*'Batt IN'!$G$20/12*(1+'Batt IN'!$F$30)</f>
        <v>150</v>
      </c>
      <c r="AC372" s="33">
        <f>'Batt IN'!$G$21*(1+'Batt IN'!$F$30)/12</f>
        <v>3500</v>
      </c>
      <c r="AD372" s="33">
        <f>'Batt IN'!$G$22*(1+'Batt IN'!$F$30)/12</f>
        <v>2500</v>
      </c>
      <c r="AE372" s="33">
        <f t="shared" si="104"/>
        <v>30366.783333333333</v>
      </c>
      <c r="AF372" s="33">
        <f>IF('PV IN'!$F$4="Battery Only",0,AE372*'Batt IN'!$E$29)</f>
        <v>25811.765833333331</v>
      </c>
      <c r="AG372" s="33">
        <f>PVCalcs!L372</f>
        <v>25811.765833333331</v>
      </c>
      <c r="AH372" s="33">
        <f t="shared" si="105"/>
        <v>4555.0175000000017</v>
      </c>
      <c r="AI372" s="33"/>
      <c r="AJ372" s="2">
        <f>IF(AND('Batt IN'!$D$53="Yes",$AL$1&gt;=1),IF($C372='Batt IN'!$H$54*12,-'Batt IN'!$F$54,0),0)</f>
        <v>0</v>
      </c>
      <c r="AK372" s="2">
        <f>IF(AND('Batt IN'!$D$53="Yes",$AL$1&gt;=2),IF($C372='Batt IN'!$H$55*12,-'Batt IN'!$F$55,0),0)</f>
        <v>0</v>
      </c>
      <c r="AL372" s="2">
        <f>IF(AND('Batt IN'!$D$53="Yes",$AL$1&gt;=3),IF($C372='Batt IN'!$H$56*12,-'Batt IN'!$F$56,0),0)</f>
        <v>0</v>
      </c>
      <c r="AM372" s="2">
        <f>IF(AND('Batt IN'!$D$53="Yes",$AL$1&gt;=4),IF($C372='Batt IN'!$H$57*12,-'Batt IN'!$F$57,0),0)</f>
        <v>0</v>
      </c>
      <c r="AN372" s="2">
        <f>IF(AND('Batt IN'!$D$53="Yes",$AL$1&gt;=5),IF($C372='Batt IN'!$H$58*12,-'Batt IN'!$F$58,0),0)</f>
        <v>0</v>
      </c>
      <c r="AO372" s="10">
        <f>IF(AND('Batt IN'!$D$44="YES",$C372&lt;='Batt IN'!$E$44*12),-'Batt IN'!$E$28*'Batt IN'!$E$42/12,0)</f>
        <v>0</v>
      </c>
      <c r="AP372" s="10">
        <f>IF(AND('Batt IN'!$D$46="YES",$C372&lt;='Batt IN'!$E$46*12),-'Batt IN'!$E$28*'Batt IN'!$E$45/12,0)</f>
        <v>0</v>
      </c>
      <c r="AR372" s="10">
        <f>BattLoan!M399</f>
        <v>0</v>
      </c>
      <c r="AS372" s="10">
        <f>'Batt IN'!$G$16*365/12*'Batt IN'!$E$16</f>
        <v>76.041666666666671</v>
      </c>
      <c r="AT372" s="10">
        <f>IF(AND('Batt IN'!$E$18&gt;0,'Batt IN'!$G$18&gt;0),'Batt IN'!$E$17*'Batt IN'!$G$17,0)</f>
        <v>119.44619999999999</v>
      </c>
      <c r="AU372" s="10">
        <f>IF(AND('Batt IN'!$E$20&gt;0,'Batt IN'!$G$20&gt;0),'Batt IN'!$E$19*'Batt IN'!$G$19,0)</f>
        <v>231</v>
      </c>
      <c r="AV372" s="10"/>
      <c r="AW372" s="10"/>
      <c r="AX372" s="10">
        <f>IF('Batt IN'!$E$11="Non-Taxable",Q372,0)</f>
        <v>12208.394301369863</v>
      </c>
      <c r="AY372" s="10">
        <f>IF('Batt IN'!$E$11="Non-Taxable",'Batt IN'!$E$28/1000*'Batt IN'!$G$13*('Batt IN'!$E$13/12)*'Batt IN'!$E$12,0)</f>
        <v>244.42220833333334</v>
      </c>
      <c r="AZ372" s="10">
        <f>IF('Batt IN'!$E$11="Non-Taxable",$S372*'Batt IN'!$G$15*'Batt IN'!$E$28*'Batt IN'!$E$14/1000,0)</f>
        <v>0</v>
      </c>
      <c r="BA372" s="10">
        <f>IF('Batt IN'!$E$11="Non-Taxable",'Batt IN'!$E$21*'Batt IN'!$G$21/12,0)</f>
        <v>437.5</v>
      </c>
      <c r="BB372" s="10">
        <f>IF('Batt IN'!$E$11="Non-Taxable",'Batt IN'!$E$22*'Batt IN'!$G$22/12,0)</f>
        <v>1145.8333333333335</v>
      </c>
      <c r="BC372" s="10">
        <f>IF('Batt IN'!$E$11="Taxable",Q372,0)</f>
        <v>0</v>
      </c>
      <c r="BD372" s="10">
        <f>IF('Batt IN'!$E$11="Taxable",'Batt IN'!$E$28/1000*'Batt IN'!$G$13*('Batt IN'!$E$13/12)*'Batt IN'!$E$12,0)</f>
        <v>0</v>
      </c>
      <c r="BE372" s="10">
        <f>IF('Batt IN'!$E$11="Taxable",$S372*'Batt IN'!$G$15*'Batt IN'!$E$28*'Batt IN'!$E$14/1000,0)</f>
        <v>0</v>
      </c>
      <c r="BF372" s="10">
        <f>IF('Batt IN'!$E$11="Taxable",'Batt IN'!$E$21*'Batt IN'!$G$21/12,0)</f>
        <v>0</v>
      </c>
      <c r="BG372" s="10">
        <f>IF('Batt IN'!$E$11="Taxable",'Batt IN'!$E$22*'Batt IN'!$G$22/12,0)</f>
        <v>0</v>
      </c>
      <c r="BK372" s="10">
        <f>IF('Batt IN'!$N$18="Yes",-BattLoan!H400,-BattLoan!L400)</f>
        <v>0</v>
      </c>
      <c r="BL372" s="10">
        <f>IF('Batt IN'!$N$18="Yes",-BattLoan!F400,0)</f>
        <v>0</v>
      </c>
      <c r="BM372" s="10">
        <f>IF(AND('Batt IN'!$D$44="YES",$C372&lt;='Batt IN'!$E$44*12),0,-'Batt IN'!$E$28*'Batt IN'!$E$42/12)</f>
        <v>-83.333333333333329</v>
      </c>
      <c r="BN372" s="10">
        <f>IF(AND('Batt IN'!$D$46="YES",$C372&lt;='Batt IN'!$E$46*12),0,-'Batt IN'!$E$28*'Batt IN'!$E$45/12)</f>
        <v>-166.66666666666666</v>
      </c>
      <c r="BO372" s="2">
        <f>IF(AND('Batt IN'!$D$41="YES",BattCalcs!C372=ROUNDUP('Batt IN'!$H$41*12,)),-'Batt IN'!$E$41*'Batt IN'!$E$28,0)</f>
        <v>0</v>
      </c>
      <c r="BP372" s="2">
        <f>IF(AND('Batt IN'!$D$53="Yes",$AL$1&gt;=1),0,IF($C372='Batt IN'!$H$54*12,-'Batt IN'!$F$54,0))</f>
        <v>0</v>
      </c>
      <c r="BQ372" s="2">
        <f>IF(AND('Batt IN'!$D$53="Yes",$AL$1&gt;=2),0,IF($C372='Batt IN'!$H$55*12,-'Batt IN'!$F$55,0))</f>
        <v>0</v>
      </c>
      <c r="BR372" s="2">
        <f>IF(AND('Batt IN'!$D$53="Yes",$AL$1&gt;=3),0,IF($C372='Batt IN'!$H$56*12,-'Batt IN'!$F$56,0))</f>
        <v>0</v>
      </c>
      <c r="BS372" s="2">
        <f>IF(AND('Batt IN'!$D$53="Yes",$AL$1&gt;=4),0,IF($C372='Batt IN'!$H$57*12,-'Batt IN'!$F$57,0))</f>
        <v>0</v>
      </c>
      <c r="BT372" s="2">
        <f>IF(AND('Batt IN'!$D$53="Yes",$AL$1&gt;=5),0,IF($C372='Batt IN'!$H$58*12,-'Batt IN'!$F$58,0))</f>
        <v>0</v>
      </c>
      <c r="BU372" s="2">
        <f>-AH372*PVCalcs!F372</f>
        <v>-359.37504381576838</v>
      </c>
      <c r="BV372" s="2">
        <f>-'Batt IN'!$E$47</f>
        <v>-150</v>
      </c>
      <c r="BW372" s="2">
        <f>-'Batt IN'!$E$49</f>
        <v>-2250</v>
      </c>
      <c r="BX372" s="2">
        <f>IF('Batt IN'!$H$50="No",-(BC372*'Batt IN'!$E$50),-(BC372+BE372)*'Batt IN'!$E$50)</f>
        <v>0</v>
      </c>
      <c r="BY372" s="2">
        <f>IF(C372='Batt IN'!$H$43*12,-'Batt IN'!$E$43,0)</f>
        <v>0</v>
      </c>
      <c r="BZ372" s="38"/>
      <c r="CA372" s="10">
        <f t="shared" si="106"/>
        <v>14462.637709703196</v>
      </c>
      <c r="CB372" s="2">
        <f t="shared" si="94"/>
        <v>-3009.3750438157685</v>
      </c>
      <c r="CC372" s="45">
        <f t="shared" si="107"/>
        <v>11453.262665887429</v>
      </c>
      <c r="CD372" s="43"/>
      <c r="CE372" s="2">
        <f t="shared" si="108"/>
        <v>0</v>
      </c>
      <c r="CF372" s="2">
        <f t="shared" si="95"/>
        <v>-3009.3750438157685</v>
      </c>
      <c r="CG372" s="2"/>
      <c r="CH372" s="2">
        <f t="shared" si="109"/>
        <v>-3009.3750438157685</v>
      </c>
      <c r="CI372" s="45">
        <f>-CH372*'Batt IN'!$E$7</f>
        <v>631.9687592013114</v>
      </c>
      <c r="CJ372" s="48"/>
      <c r="CK372" s="45">
        <f>IF('Batt IN'!$F$4="PV Only",0,IF(C372&gt;'Batt IN'!$H$43*12,0,CC372+CI372))</f>
        <v>0</v>
      </c>
      <c r="CM372" s="10">
        <f t="shared" si="110"/>
        <v>0</v>
      </c>
      <c r="CN372" s="2">
        <f>CK372/(1+('Batt IN'!$G$8))^(C372)</f>
        <v>0</v>
      </c>
      <c r="CO372" s="2" t="e">
        <f>IF(C372&lt;='Batt IN'!$O$30*12,CN372+CO371,NA())</f>
        <v>#N/A</v>
      </c>
      <c r="CQ372" s="2">
        <f>CK372/((1+('Batt IN'!$E$8/12))^BattCalcs!C372)</f>
        <v>0</v>
      </c>
      <c r="CS372" s="10">
        <f t="shared" si="96"/>
        <v>-3009.3750438157685</v>
      </c>
      <c r="CT372" s="10">
        <f t="shared" si="97"/>
        <v>0</v>
      </c>
      <c r="CU372" s="10">
        <f t="shared" si="98"/>
        <v>-3009.3750438157685</v>
      </c>
      <c r="CV372" s="10">
        <f t="shared" si="99"/>
        <v>-3009.3750438157685</v>
      </c>
      <c r="CW372" s="2">
        <f t="shared" si="100"/>
        <v>0</v>
      </c>
      <c r="CX372" s="2">
        <f>-(SUM(CV372:CW372)*'PV IN'!$E$8)</f>
        <v>631.9687592013114</v>
      </c>
      <c r="CY372" s="2">
        <f t="shared" si="101"/>
        <v>-2377.406284614457</v>
      </c>
      <c r="CZ372" s="2">
        <f>IF(C372&lt;='Batt IN'!$H$43*12,CY372/(1+('PV IN'!$G$9))^(C372),0)</f>
        <v>0</v>
      </c>
      <c r="DA372" s="33">
        <f>IF(C372&lt;='Batt IN'!$H$43*12,AE372,0)</f>
        <v>0</v>
      </c>
    </row>
    <row r="373" spans="1:105" x14ac:dyDescent="0.25">
      <c r="A373" t="str">
        <f>IF(C373&lt;='Batt IN'!$H$43*12,C373,"")</f>
        <v/>
      </c>
      <c r="C373">
        <v>369</v>
      </c>
      <c r="D373" s="21">
        <v>799</v>
      </c>
      <c r="E373" s="1">
        <f>1-'Batt IN'!$E$31</f>
        <v>2.0000000000000018E-2</v>
      </c>
      <c r="F373" s="12">
        <f>('Batt IN'!$E$33*365)/8760</f>
        <v>0</v>
      </c>
      <c r="G373" s="22">
        <f>'Batt IN'!$E$32/8760</f>
        <v>5.7077625570776253E-3</v>
      </c>
      <c r="H373" s="22">
        <f>'Batt IN'!$E$13/8760</f>
        <v>5.5936073059360729E-3</v>
      </c>
      <c r="I373" s="23">
        <f>IF(C373&lt;='Batt IN'!$G$14*12,'Batt IN'!$E$15/8760*'Batt IN'!$G$15,0)</f>
        <v>0</v>
      </c>
      <c r="J373" s="12">
        <f>Z373/'Batt IN'!$E$27/730</f>
        <v>2.4999999999999996E-3</v>
      </c>
      <c r="K373" s="23">
        <f>AA373/'Batt IN'!$E$27/730</f>
        <v>1.6027397260273972E-3</v>
      </c>
      <c r="L373" s="23">
        <f>AB373/'Batt IN'!$E$27/730</f>
        <v>2.0547945205479451E-4</v>
      </c>
      <c r="M373" s="23">
        <f>AC373/'Batt IN'!$E$27/730</f>
        <v>4.7945205479452057E-3</v>
      </c>
      <c r="N373" s="23">
        <f>AD373/'Batt IN'!$E$27/730</f>
        <v>3.4246575342465752E-3</v>
      </c>
      <c r="O373" s="12">
        <f t="shared" si="102"/>
        <v>4.3828767123287697E-2</v>
      </c>
      <c r="P373" s="21">
        <f t="shared" si="103"/>
        <v>763.98081506849314</v>
      </c>
      <c r="Q373" s="2">
        <f>IF('Batt IN'!$E$27*'Batt IN'!$E$24&lt;='Batt IN'!$E$28,(('Batt IN'!$E$23*'Batt IN'!$E$27*'Batt IN'!$E$24)/1000)*P373,(('Batt IN'!$E$23*'Batt IN'!$E$28*'Batt IN'!$E$24)/1000)*P373)</f>
        <v>12223.69304109589</v>
      </c>
      <c r="R373" s="2"/>
      <c r="S373" s="77">
        <f>IF(C373&lt;='Batt IN'!$G$14*12,'Batt IN'!$E$15/12,0)</f>
        <v>0</v>
      </c>
      <c r="T373" s="77"/>
      <c r="U373" s="80">
        <f>'Batt IN'!$E$28*('Batt IN'!$G$24/24)*730*(1-O373)</f>
        <v>81433.916666666657</v>
      </c>
      <c r="V373" s="78">
        <f>U373*'Batt IN'!$F$30</f>
        <v>16286.783333333333</v>
      </c>
      <c r="W373" s="78">
        <f>'Batt IN'!$E$28*'Batt IN'!$G$32*('Batt IN'!$E$32/12)*(1+'Batt IN'!$F$30)</f>
        <v>1750.0000000000002</v>
      </c>
      <c r="X373" s="78">
        <f>'Batt IN'!$E$28*'Batt IN'!$G$13*('Batt IN'!$E$13/12)*(1+'Batt IN'!$F$30)</f>
        <v>3184.9999999999995</v>
      </c>
      <c r="Y373" s="33">
        <f>S373*'Batt IN'!$G$15*'Batt IN'!$E$28*(1+'Batt IN'!$F$30)</f>
        <v>0</v>
      </c>
      <c r="Z373" s="33">
        <f>'Batt IN'!$G$16*365/12*(1+'Batt IN'!$F$30)</f>
        <v>1824.9999999999998</v>
      </c>
      <c r="AA373" s="33">
        <f>'Batt IN'!$G$17*'Batt IN'!$E$18*'Batt IN'!$G$18/12*(1+'Batt IN'!$F$30)</f>
        <v>1170</v>
      </c>
      <c r="AB373" s="33">
        <f>'Batt IN'!$G$19*'Batt IN'!$E$20*'Batt IN'!$G$20/12*(1+'Batt IN'!$F$30)</f>
        <v>150</v>
      </c>
      <c r="AC373" s="33">
        <f>'Batt IN'!$G$21*(1+'Batt IN'!$F$30)/12</f>
        <v>3500</v>
      </c>
      <c r="AD373" s="33">
        <f>'Batt IN'!$G$22*(1+'Batt IN'!$F$30)/12</f>
        <v>2500</v>
      </c>
      <c r="AE373" s="33">
        <f t="shared" si="104"/>
        <v>30366.783333333333</v>
      </c>
      <c r="AF373" s="33">
        <f>IF('PV IN'!$F$4="Battery Only",0,AE373*'Batt IN'!$E$29)</f>
        <v>25811.765833333331</v>
      </c>
      <c r="AG373" s="33">
        <f>PVCalcs!L373</f>
        <v>25811.765833333331</v>
      </c>
      <c r="AH373" s="33">
        <f t="shared" si="105"/>
        <v>4555.0175000000017</v>
      </c>
      <c r="AI373" s="33"/>
      <c r="AJ373" s="2">
        <f>IF(AND('Batt IN'!$D$53="Yes",$AL$1&gt;=1),IF($C373='Batt IN'!$H$54*12,-'Batt IN'!$F$54,0),0)</f>
        <v>0</v>
      </c>
      <c r="AK373" s="2">
        <f>IF(AND('Batt IN'!$D$53="Yes",$AL$1&gt;=2),IF($C373='Batt IN'!$H$55*12,-'Batt IN'!$F$55,0),0)</f>
        <v>0</v>
      </c>
      <c r="AL373" s="2">
        <f>IF(AND('Batt IN'!$D$53="Yes",$AL$1&gt;=3),IF($C373='Batt IN'!$H$56*12,-'Batt IN'!$F$56,0),0)</f>
        <v>0</v>
      </c>
      <c r="AM373" s="2">
        <f>IF(AND('Batt IN'!$D$53="Yes",$AL$1&gt;=4),IF($C373='Batt IN'!$H$57*12,-'Batt IN'!$F$57,0),0)</f>
        <v>0</v>
      </c>
      <c r="AN373" s="2">
        <f>IF(AND('Batt IN'!$D$53="Yes",$AL$1&gt;=5),IF($C373='Batt IN'!$H$58*12,-'Batt IN'!$F$58,0),0)</f>
        <v>0</v>
      </c>
      <c r="AO373" s="10">
        <f>IF(AND('Batt IN'!$D$44="YES",$C373&lt;='Batt IN'!$E$44*12),-'Batt IN'!$E$28*'Batt IN'!$E$42/12,0)</f>
        <v>0</v>
      </c>
      <c r="AP373" s="10">
        <f>IF(AND('Batt IN'!$D$46="YES",$C373&lt;='Batt IN'!$E$46*12),-'Batt IN'!$E$28*'Batt IN'!$E$45/12,0)</f>
        <v>0</v>
      </c>
      <c r="AR373" s="10">
        <f>BattLoan!M400</f>
        <v>0</v>
      </c>
      <c r="AS373" s="10">
        <f>'Batt IN'!$G$16*365/12*'Batt IN'!$E$16</f>
        <v>76.041666666666671</v>
      </c>
      <c r="AT373" s="10">
        <f>IF(AND('Batt IN'!$E$18&gt;0,'Batt IN'!$G$18&gt;0),'Batt IN'!$E$17*'Batt IN'!$G$17,0)</f>
        <v>119.44619999999999</v>
      </c>
      <c r="AU373" s="10">
        <f>IF(AND('Batt IN'!$E$20&gt;0,'Batt IN'!$G$20&gt;0),'Batt IN'!$E$19*'Batt IN'!$G$19,0)</f>
        <v>231</v>
      </c>
      <c r="AV373" s="10"/>
      <c r="AW373" s="10"/>
      <c r="AX373" s="10">
        <f>IF('Batt IN'!$E$11="Non-Taxable",Q373,0)</f>
        <v>12223.69304109589</v>
      </c>
      <c r="AY373" s="10">
        <f>IF('Batt IN'!$E$11="Non-Taxable",'Batt IN'!$E$28/1000*'Batt IN'!$G$13*('Batt IN'!$E$13/12)*'Batt IN'!$E$12,0)</f>
        <v>244.42220833333334</v>
      </c>
      <c r="AZ373" s="10">
        <f>IF('Batt IN'!$E$11="Non-Taxable",$S373*'Batt IN'!$G$15*'Batt IN'!$E$28*'Batt IN'!$E$14/1000,0)</f>
        <v>0</v>
      </c>
      <c r="BA373" s="10">
        <f>IF('Batt IN'!$E$11="Non-Taxable",'Batt IN'!$E$21*'Batt IN'!$G$21/12,0)</f>
        <v>437.5</v>
      </c>
      <c r="BB373" s="10">
        <f>IF('Batt IN'!$E$11="Non-Taxable",'Batt IN'!$E$22*'Batt IN'!$G$22/12,0)</f>
        <v>1145.8333333333335</v>
      </c>
      <c r="BC373" s="10">
        <f>IF('Batt IN'!$E$11="Taxable",Q373,0)</f>
        <v>0</v>
      </c>
      <c r="BD373" s="10">
        <f>IF('Batt IN'!$E$11="Taxable",'Batt IN'!$E$28/1000*'Batt IN'!$G$13*('Batt IN'!$E$13/12)*'Batt IN'!$E$12,0)</f>
        <v>0</v>
      </c>
      <c r="BE373" s="10">
        <f>IF('Batt IN'!$E$11="Taxable",$S373*'Batt IN'!$G$15*'Batt IN'!$E$28*'Batt IN'!$E$14/1000,0)</f>
        <v>0</v>
      </c>
      <c r="BF373" s="10">
        <f>IF('Batt IN'!$E$11="Taxable",'Batt IN'!$E$21*'Batt IN'!$G$21/12,0)</f>
        <v>0</v>
      </c>
      <c r="BG373" s="10">
        <f>IF('Batt IN'!$E$11="Taxable",'Batt IN'!$E$22*'Batt IN'!$G$22/12,0)</f>
        <v>0</v>
      </c>
      <c r="BK373" s="10">
        <f>IF('Batt IN'!$N$18="Yes",-BattLoan!H401,-BattLoan!L401)</f>
        <v>0</v>
      </c>
      <c r="BL373" s="10">
        <f>IF('Batt IN'!$N$18="Yes",-BattLoan!F401,0)</f>
        <v>0</v>
      </c>
      <c r="BM373" s="10">
        <f>IF(AND('Batt IN'!$D$44="YES",$C373&lt;='Batt IN'!$E$44*12),0,-'Batt IN'!$E$28*'Batt IN'!$E$42/12)</f>
        <v>-83.333333333333329</v>
      </c>
      <c r="BN373" s="10">
        <f>IF(AND('Batt IN'!$D$46="YES",$C373&lt;='Batt IN'!$E$46*12),0,-'Batt IN'!$E$28*'Batt IN'!$E$45/12)</f>
        <v>-166.66666666666666</v>
      </c>
      <c r="BO373" s="2">
        <f>IF(AND('Batt IN'!$D$41="YES",BattCalcs!C373=ROUNDUP('Batt IN'!$H$41*12,)),-'Batt IN'!$E$41*'Batt IN'!$E$28,0)</f>
        <v>0</v>
      </c>
      <c r="BP373" s="2">
        <f>IF(AND('Batt IN'!$D$53="Yes",$AL$1&gt;=1),0,IF($C373='Batt IN'!$H$54*12,-'Batt IN'!$F$54,0))</f>
        <v>0</v>
      </c>
      <c r="BQ373" s="2">
        <f>IF(AND('Batt IN'!$D$53="Yes",$AL$1&gt;=2),0,IF($C373='Batt IN'!$H$55*12,-'Batt IN'!$F$55,0))</f>
        <v>0</v>
      </c>
      <c r="BR373" s="2">
        <f>IF(AND('Batt IN'!$D$53="Yes",$AL$1&gt;=3),0,IF($C373='Batt IN'!$H$56*12,-'Batt IN'!$F$56,0))</f>
        <v>0</v>
      </c>
      <c r="BS373" s="2">
        <f>IF(AND('Batt IN'!$D$53="Yes",$AL$1&gt;=4),0,IF($C373='Batt IN'!$H$57*12,-'Batt IN'!$F$57,0))</f>
        <v>0</v>
      </c>
      <c r="BT373" s="2">
        <f>IF(AND('Batt IN'!$D$53="Yes",$AL$1&gt;=5),0,IF($C373='Batt IN'!$H$58*12,-'Batt IN'!$F$58,0))</f>
        <v>0</v>
      </c>
      <c r="BU373" s="2">
        <f>-AH373*PVCalcs!F373</f>
        <v>-359.37504381576838</v>
      </c>
      <c r="BV373" s="2">
        <f>-'Batt IN'!$E$47</f>
        <v>-150</v>
      </c>
      <c r="BW373" s="2">
        <f>-'Batt IN'!$E$49</f>
        <v>-2250</v>
      </c>
      <c r="BX373" s="2">
        <f>IF('Batt IN'!$H$50="No",-(BC373*'Batt IN'!$E$50),-(BC373+BE373)*'Batt IN'!$E$50)</f>
        <v>0</v>
      </c>
      <c r="BY373" s="2">
        <f>IF(C373='Batt IN'!$H$43*12,-'Batt IN'!$E$43,0)</f>
        <v>0</v>
      </c>
      <c r="BZ373" s="38"/>
      <c r="CA373" s="10">
        <f t="shared" si="106"/>
        <v>14477.936449429224</v>
      </c>
      <c r="CB373" s="2">
        <f t="shared" si="94"/>
        <v>-3009.3750438157685</v>
      </c>
      <c r="CC373" s="45">
        <f t="shared" si="107"/>
        <v>11468.561405613455</v>
      </c>
      <c r="CD373" s="43"/>
      <c r="CE373" s="2">
        <f t="shared" si="108"/>
        <v>0</v>
      </c>
      <c r="CF373" s="2">
        <f t="shared" si="95"/>
        <v>-3009.3750438157685</v>
      </c>
      <c r="CG373" s="2"/>
      <c r="CH373" s="2">
        <f t="shared" si="109"/>
        <v>-3009.3750438157685</v>
      </c>
      <c r="CI373" s="45">
        <f>-CH373*'Batt IN'!$E$7</f>
        <v>631.9687592013114</v>
      </c>
      <c r="CJ373" s="48"/>
      <c r="CK373" s="45">
        <f>IF('Batt IN'!$F$4="PV Only",0,IF(C373&gt;'Batt IN'!$H$43*12,0,CC373+CI373))</f>
        <v>0</v>
      </c>
      <c r="CM373" s="10">
        <f t="shared" si="110"/>
        <v>0</v>
      </c>
      <c r="CN373" s="2">
        <f>CK373/(1+('Batt IN'!$G$8))^(C373)</f>
        <v>0</v>
      </c>
      <c r="CO373" s="2" t="e">
        <f>IF(C373&lt;='Batt IN'!$O$30*12,CN373+CO372,NA())</f>
        <v>#N/A</v>
      </c>
      <c r="CQ373" s="2">
        <f>CK373/((1+('Batt IN'!$E$8/12))^BattCalcs!C373)</f>
        <v>0</v>
      </c>
      <c r="CS373" s="10">
        <f t="shared" si="96"/>
        <v>-3009.3750438157685</v>
      </c>
      <c r="CT373" s="10">
        <f t="shared" si="97"/>
        <v>0</v>
      </c>
      <c r="CU373" s="10">
        <f t="shared" si="98"/>
        <v>-3009.3750438157685</v>
      </c>
      <c r="CV373" s="10">
        <f t="shared" si="99"/>
        <v>-3009.3750438157685</v>
      </c>
      <c r="CW373" s="2">
        <f t="shared" si="100"/>
        <v>0</v>
      </c>
      <c r="CX373" s="2">
        <f>-(SUM(CV373:CW373)*'PV IN'!$E$8)</f>
        <v>631.9687592013114</v>
      </c>
      <c r="CY373" s="2">
        <f t="shared" si="101"/>
        <v>-2377.406284614457</v>
      </c>
      <c r="CZ373" s="2">
        <f>IF(C373&lt;='Batt IN'!$H$43*12,CY373/(1+('PV IN'!$G$9))^(C373),0)</f>
        <v>0</v>
      </c>
      <c r="DA373" s="33">
        <f>IF(C373&lt;='Batt IN'!$H$43*12,AE373,0)</f>
        <v>0</v>
      </c>
    </row>
    <row r="374" spans="1:105" x14ac:dyDescent="0.25">
      <c r="A374" t="str">
        <f>IF(C374&lt;='Batt IN'!$H$43*12,C374,"")</f>
        <v/>
      </c>
      <c r="C374">
        <v>370</v>
      </c>
      <c r="D374" s="21">
        <v>800</v>
      </c>
      <c r="E374" s="1">
        <f>1-'Batt IN'!$E$31</f>
        <v>2.0000000000000018E-2</v>
      </c>
      <c r="F374" s="12">
        <f>('Batt IN'!$E$33*365)/8760</f>
        <v>0</v>
      </c>
      <c r="G374" s="22">
        <f>'Batt IN'!$E$32/8760</f>
        <v>5.7077625570776253E-3</v>
      </c>
      <c r="H374" s="22">
        <f>'Batt IN'!$E$13/8760</f>
        <v>5.5936073059360729E-3</v>
      </c>
      <c r="I374" s="23">
        <f>IF(C374&lt;='Batt IN'!$G$14*12,'Batt IN'!$E$15/8760*'Batt IN'!$G$15,0)</f>
        <v>0</v>
      </c>
      <c r="J374" s="12">
        <f>Z374/'Batt IN'!$E$27/730</f>
        <v>2.4999999999999996E-3</v>
      </c>
      <c r="K374" s="23">
        <f>AA374/'Batt IN'!$E$27/730</f>
        <v>1.6027397260273972E-3</v>
      </c>
      <c r="L374" s="23">
        <f>AB374/'Batt IN'!$E$27/730</f>
        <v>2.0547945205479451E-4</v>
      </c>
      <c r="M374" s="23">
        <f>AC374/'Batt IN'!$E$27/730</f>
        <v>4.7945205479452057E-3</v>
      </c>
      <c r="N374" s="23">
        <f>AD374/'Batt IN'!$E$27/730</f>
        <v>3.4246575342465752E-3</v>
      </c>
      <c r="O374" s="12">
        <f t="shared" si="102"/>
        <v>4.3828767123287697E-2</v>
      </c>
      <c r="P374" s="21">
        <f t="shared" si="103"/>
        <v>764.93698630136987</v>
      </c>
      <c r="Q374" s="2">
        <f>IF('Batt IN'!$E$27*'Batt IN'!$E$24&lt;='Batt IN'!$E$28,(('Batt IN'!$E$23*'Batt IN'!$E$27*'Batt IN'!$E$24)/1000)*P374,(('Batt IN'!$E$23*'Batt IN'!$E$28*'Batt IN'!$E$24)/1000)*P374)</f>
        <v>12238.991780821918</v>
      </c>
      <c r="R374" s="2"/>
      <c r="S374" s="77">
        <f>IF(C374&lt;='Batt IN'!$G$14*12,'Batt IN'!$E$15/12,0)</f>
        <v>0</v>
      </c>
      <c r="T374" s="77"/>
      <c r="U374" s="80">
        <f>'Batt IN'!$E$28*('Batt IN'!$G$24/24)*730*(1-O374)</f>
        <v>81433.916666666657</v>
      </c>
      <c r="V374" s="78">
        <f>U374*'Batt IN'!$F$30</f>
        <v>16286.783333333333</v>
      </c>
      <c r="W374" s="78">
        <f>'Batt IN'!$E$28*'Batt IN'!$G$32*('Batt IN'!$E$32/12)*(1+'Batt IN'!$F$30)</f>
        <v>1750.0000000000002</v>
      </c>
      <c r="X374" s="78">
        <f>'Batt IN'!$E$28*'Batt IN'!$G$13*('Batt IN'!$E$13/12)*(1+'Batt IN'!$F$30)</f>
        <v>3184.9999999999995</v>
      </c>
      <c r="Y374" s="33">
        <f>S374*'Batt IN'!$G$15*'Batt IN'!$E$28*(1+'Batt IN'!$F$30)</f>
        <v>0</v>
      </c>
      <c r="Z374" s="33">
        <f>'Batt IN'!$G$16*365/12*(1+'Batt IN'!$F$30)</f>
        <v>1824.9999999999998</v>
      </c>
      <c r="AA374" s="33">
        <f>'Batt IN'!$G$17*'Batt IN'!$E$18*'Batt IN'!$G$18/12*(1+'Batt IN'!$F$30)</f>
        <v>1170</v>
      </c>
      <c r="AB374" s="33">
        <f>'Batt IN'!$G$19*'Batt IN'!$E$20*'Batt IN'!$G$20/12*(1+'Batt IN'!$F$30)</f>
        <v>150</v>
      </c>
      <c r="AC374" s="33">
        <f>'Batt IN'!$G$21*(1+'Batt IN'!$F$30)/12</f>
        <v>3500</v>
      </c>
      <c r="AD374" s="33">
        <f>'Batt IN'!$G$22*(1+'Batt IN'!$F$30)/12</f>
        <v>2500</v>
      </c>
      <c r="AE374" s="33">
        <f t="shared" si="104"/>
        <v>30366.783333333333</v>
      </c>
      <c r="AF374" s="33">
        <f>IF('PV IN'!$F$4="Battery Only",0,AE374*'Batt IN'!$E$29)</f>
        <v>25811.765833333331</v>
      </c>
      <c r="AG374" s="33">
        <f>PVCalcs!L374</f>
        <v>25811.765833333331</v>
      </c>
      <c r="AH374" s="33">
        <f t="shared" si="105"/>
        <v>4555.0175000000017</v>
      </c>
      <c r="AI374" s="33"/>
      <c r="AJ374" s="2">
        <f>IF(AND('Batt IN'!$D$53="Yes",$AL$1&gt;=1),IF($C374='Batt IN'!$H$54*12,-'Batt IN'!$F$54,0),0)</f>
        <v>0</v>
      </c>
      <c r="AK374" s="2">
        <f>IF(AND('Batt IN'!$D$53="Yes",$AL$1&gt;=2),IF($C374='Batt IN'!$H$55*12,-'Batt IN'!$F$55,0),0)</f>
        <v>0</v>
      </c>
      <c r="AL374" s="2">
        <f>IF(AND('Batt IN'!$D$53="Yes",$AL$1&gt;=3),IF($C374='Batt IN'!$H$56*12,-'Batt IN'!$F$56,0),0)</f>
        <v>0</v>
      </c>
      <c r="AM374" s="2">
        <f>IF(AND('Batt IN'!$D$53="Yes",$AL$1&gt;=4),IF($C374='Batt IN'!$H$57*12,-'Batt IN'!$F$57,0),0)</f>
        <v>0</v>
      </c>
      <c r="AN374" s="2">
        <f>IF(AND('Batt IN'!$D$53="Yes",$AL$1&gt;=5),IF($C374='Batt IN'!$H$58*12,-'Batt IN'!$F$58,0),0)</f>
        <v>0</v>
      </c>
      <c r="AO374" s="10">
        <f>IF(AND('Batt IN'!$D$44="YES",$C374&lt;='Batt IN'!$E$44*12),-'Batt IN'!$E$28*'Batt IN'!$E$42/12,0)</f>
        <v>0</v>
      </c>
      <c r="AP374" s="10">
        <f>IF(AND('Batt IN'!$D$46="YES",$C374&lt;='Batt IN'!$E$46*12),-'Batt IN'!$E$28*'Batt IN'!$E$45/12,0)</f>
        <v>0</v>
      </c>
      <c r="AR374" s="10">
        <f>BattLoan!M401</f>
        <v>0</v>
      </c>
      <c r="AS374" s="10">
        <f>'Batt IN'!$G$16*365/12*'Batt IN'!$E$16</f>
        <v>76.041666666666671</v>
      </c>
      <c r="AT374" s="10">
        <f>IF(AND('Batt IN'!$E$18&gt;0,'Batt IN'!$G$18&gt;0),'Batt IN'!$E$17*'Batt IN'!$G$17,0)</f>
        <v>119.44619999999999</v>
      </c>
      <c r="AU374" s="10">
        <f>IF(AND('Batt IN'!$E$20&gt;0,'Batt IN'!$G$20&gt;0),'Batt IN'!$E$19*'Batt IN'!$G$19,0)</f>
        <v>231</v>
      </c>
      <c r="AV374" s="10"/>
      <c r="AW374" s="10"/>
      <c r="AX374" s="10">
        <f>IF('Batt IN'!$E$11="Non-Taxable",Q374,0)</f>
        <v>12238.991780821918</v>
      </c>
      <c r="AY374" s="10">
        <f>IF('Batt IN'!$E$11="Non-Taxable",'Batt IN'!$E$28/1000*'Batt IN'!$G$13*('Batt IN'!$E$13/12)*'Batt IN'!$E$12,0)</f>
        <v>244.42220833333334</v>
      </c>
      <c r="AZ374" s="10">
        <f>IF('Batt IN'!$E$11="Non-Taxable",$S374*'Batt IN'!$G$15*'Batt IN'!$E$28*'Batt IN'!$E$14/1000,0)</f>
        <v>0</v>
      </c>
      <c r="BA374" s="10">
        <f>IF('Batt IN'!$E$11="Non-Taxable",'Batt IN'!$E$21*'Batt IN'!$G$21/12,0)</f>
        <v>437.5</v>
      </c>
      <c r="BB374" s="10">
        <f>IF('Batt IN'!$E$11="Non-Taxable",'Batt IN'!$E$22*'Batt IN'!$G$22/12,0)</f>
        <v>1145.8333333333335</v>
      </c>
      <c r="BC374" s="10">
        <f>IF('Batt IN'!$E$11="Taxable",Q374,0)</f>
        <v>0</v>
      </c>
      <c r="BD374" s="10">
        <f>IF('Batt IN'!$E$11="Taxable",'Batt IN'!$E$28/1000*'Batt IN'!$G$13*('Batt IN'!$E$13/12)*'Batt IN'!$E$12,0)</f>
        <v>0</v>
      </c>
      <c r="BE374" s="10">
        <f>IF('Batt IN'!$E$11="Taxable",$S374*'Batt IN'!$G$15*'Batt IN'!$E$28*'Batt IN'!$E$14/1000,0)</f>
        <v>0</v>
      </c>
      <c r="BF374" s="10">
        <f>IF('Batt IN'!$E$11="Taxable",'Batt IN'!$E$21*'Batt IN'!$G$21/12,0)</f>
        <v>0</v>
      </c>
      <c r="BG374" s="10">
        <f>IF('Batt IN'!$E$11="Taxable",'Batt IN'!$E$22*'Batt IN'!$G$22/12,0)</f>
        <v>0</v>
      </c>
      <c r="BK374" s="10">
        <f>IF('Batt IN'!$N$18="Yes",-BattLoan!H402,-BattLoan!L402)</f>
        <v>0</v>
      </c>
      <c r="BL374" s="10">
        <f>IF('Batt IN'!$N$18="Yes",-BattLoan!F402,0)</f>
        <v>0</v>
      </c>
      <c r="BM374" s="10">
        <f>IF(AND('Batt IN'!$D$44="YES",$C374&lt;='Batt IN'!$E$44*12),0,-'Batt IN'!$E$28*'Batt IN'!$E$42/12)</f>
        <v>-83.333333333333329</v>
      </c>
      <c r="BN374" s="10">
        <f>IF(AND('Batt IN'!$D$46="YES",$C374&lt;='Batt IN'!$E$46*12),0,-'Batt IN'!$E$28*'Batt IN'!$E$45/12)</f>
        <v>-166.66666666666666</v>
      </c>
      <c r="BO374" s="2">
        <f>IF(AND('Batt IN'!$D$41="YES",BattCalcs!C374=ROUNDUP('Batt IN'!$H$41*12,)),-'Batt IN'!$E$41*'Batt IN'!$E$28,0)</f>
        <v>0</v>
      </c>
      <c r="BP374" s="2">
        <f>IF(AND('Batt IN'!$D$53="Yes",$AL$1&gt;=1),0,IF($C374='Batt IN'!$H$54*12,-'Batt IN'!$F$54,0))</f>
        <v>0</v>
      </c>
      <c r="BQ374" s="2">
        <f>IF(AND('Batt IN'!$D$53="Yes",$AL$1&gt;=2),0,IF($C374='Batt IN'!$H$55*12,-'Batt IN'!$F$55,0))</f>
        <v>0</v>
      </c>
      <c r="BR374" s="2">
        <f>IF(AND('Batt IN'!$D$53="Yes",$AL$1&gt;=3),0,IF($C374='Batt IN'!$H$56*12,-'Batt IN'!$F$56,0))</f>
        <v>0</v>
      </c>
      <c r="BS374" s="2">
        <f>IF(AND('Batt IN'!$D$53="Yes",$AL$1&gt;=4),0,IF($C374='Batt IN'!$H$57*12,-'Batt IN'!$F$57,0))</f>
        <v>0</v>
      </c>
      <c r="BT374" s="2">
        <f>IF(AND('Batt IN'!$D$53="Yes",$AL$1&gt;=5),0,IF($C374='Batt IN'!$H$58*12,-'Batt IN'!$F$58,0))</f>
        <v>0</v>
      </c>
      <c r="BU374" s="2">
        <f>-AH374*PVCalcs!F374</f>
        <v>-359.37504381576838</v>
      </c>
      <c r="BV374" s="2">
        <f>-'Batt IN'!$E$47</f>
        <v>-150</v>
      </c>
      <c r="BW374" s="2">
        <f>-'Batt IN'!$E$49</f>
        <v>-2250</v>
      </c>
      <c r="BX374" s="2">
        <f>IF('Batt IN'!$H$50="No",-(BC374*'Batt IN'!$E$50),-(BC374+BE374)*'Batt IN'!$E$50)</f>
        <v>0</v>
      </c>
      <c r="BY374" s="2">
        <f>IF(C374='Batt IN'!$H$43*12,-'Batt IN'!$E$43,0)</f>
        <v>0</v>
      </c>
      <c r="BZ374" s="38"/>
      <c r="CA374" s="10">
        <f t="shared" si="106"/>
        <v>14493.235189155252</v>
      </c>
      <c r="CB374" s="2">
        <f t="shared" si="94"/>
        <v>-3009.3750438157685</v>
      </c>
      <c r="CC374" s="45">
        <f t="shared" si="107"/>
        <v>11483.860145339484</v>
      </c>
      <c r="CD374" s="43"/>
      <c r="CE374" s="2">
        <f t="shared" si="108"/>
        <v>0</v>
      </c>
      <c r="CF374" s="2">
        <f t="shared" si="95"/>
        <v>-3009.3750438157685</v>
      </c>
      <c r="CG374" s="2"/>
      <c r="CH374" s="2">
        <f t="shared" si="109"/>
        <v>-3009.3750438157685</v>
      </c>
      <c r="CI374" s="45">
        <f>-CH374*'Batt IN'!$E$7</f>
        <v>631.9687592013114</v>
      </c>
      <c r="CJ374" s="48"/>
      <c r="CK374" s="45">
        <f>IF('Batt IN'!$F$4="PV Only",0,IF(C374&gt;'Batt IN'!$H$43*12,0,CC374+CI374))</f>
        <v>0</v>
      </c>
      <c r="CM374" s="10">
        <f t="shared" si="110"/>
        <v>0</v>
      </c>
      <c r="CN374" s="2">
        <f>CK374/(1+('Batt IN'!$G$8))^(C374)</f>
        <v>0</v>
      </c>
      <c r="CO374" s="2" t="e">
        <f>IF(C374&lt;='Batt IN'!$O$30*12,CN374+CO373,NA())</f>
        <v>#N/A</v>
      </c>
      <c r="CQ374" s="2">
        <f>CK374/((1+('Batt IN'!$E$8/12))^BattCalcs!C374)</f>
        <v>0</v>
      </c>
      <c r="CS374" s="10">
        <f t="shared" si="96"/>
        <v>-3009.3750438157685</v>
      </c>
      <c r="CT374" s="10">
        <f t="shared" si="97"/>
        <v>0</v>
      </c>
      <c r="CU374" s="10">
        <f t="shared" si="98"/>
        <v>-3009.3750438157685</v>
      </c>
      <c r="CV374" s="10">
        <f t="shared" si="99"/>
        <v>-3009.3750438157685</v>
      </c>
      <c r="CW374" s="2">
        <f t="shared" si="100"/>
        <v>0</v>
      </c>
      <c r="CX374" s="2">
        <f>-(SUM(CV374:CW374)*'PV IN'!$E$8)</f>
        <v>631.9687592013114</v>
      </c>
      <c r="CY374" s="2">
        <f t="shared" si="101"/>
        <v>-2377.406284614457</v>
      </c>
      <c r="CZ374" s="2">
        <f>IF(C374&lt;='Batt IN'!$H$43*12,CY374/(1+('PV IN'!$G$9))^(C374),0)</f>
        <v>0</v>
      </c>
      <c r="DA374" s="33">
        <f>IF(C374&lt;='Batt IN'!$H$43*12,AE374,0)</f>
        <v>0</v>
      </c>
    </row>
    <row r="375" spans="1:105" x14ac:dyDescent="0.25">
      <c r="A375" t="str">
        <f>IF(C375&lt;='Batt IN'!$H$43*12,C375,"")</f>
        <v/>
      </c>
      <c r="C375">
        <v>371</v>
      </c>
      <c r="D375" s="21">
        <v>801</v>
      </c>
      <c r="E375" s="1">
        <f>1-'Batt IN'!$E$31</f>
        <v>2.0000000000000018E-2</v>
      </c>
      <c r="F375" s="12">
        <f>('Batt IN'!$E$33*365)/8760</f>
        <v>0</v>
      </c>
      <c r="G375" s="22">
        <f>'Batt IN'!$E$32/8760</f>
        <v>5.7077625570776253E-3</v>
      </c>
      <c r="H375" s="22">
        <f>'Batt IN'!$E$13/8760</f>
        <v>5.5936073059360729E-3</v>
      </c>
      <c r="I375" s="23">
        <f>IF(C375&lt;='Batt IN'!$G$14*12,'Batt IN'!$E$15/8760*'Batt IN'!$G$15,0)</f>
        <v>0</v>
      </c>
      <c r="J375" s="12">
        <f>Z375/'Batt IN'!$E$27/730</f>
        <v>2.4999999999999996E-3</v>
      </c>
      <c r="K375" s="23">
        <f>AA375/'Batt IN'!$E$27/730</f>
        <v>1.6027397260273972E-3</v>
      </c>
      <c r="L375" s="23">
        <f>AB375/'Batt IN'!$E$27/730</f>
        <v>2.0547945205479451E-4</v>
      </c>
      <c r="M375" s="23">
        <f>AC375/'Batt IN'!$E$27/730</f>
        <v>4.7945205479452057E-3</v>
      </c>
      <c r="N375" s="23">
        <f>AD375/'Batt IN'!$E$27/730</f>
        <v>3.4246575342465752E-3</v>
      </c>
      <c r="O375" s="12">
        <f t="shared" si="102"/>
        <v>4.3828767123287697E-2</v>
      </c>
      <c r="P375" s="21">
        <f t="shared" si="103"/>
        <v>765.8931575342466</v>
      </c>
      <c r="Q375" s="2">
        <f>IF('Batt IN'!$E$27*'Batt IN'!$E$24&lt;='Batt IN'!$E$28,(('Batt IN'!$E$23*'Batt IN'!$E$27*'Batt IN'!$E$24)/1000)*P375,(('Batt IN'!$E$23*'Batt IN'!$E$28*'Batt IN'!$E$24)/1000)*P375)</f>
        <v>12254.290520547946</v>
      </c>
      <c r="R375" s="2"/>
      <c r="S375" s="77">
        <f>IF(C375&lt;='Batt IN'!$G$14*12,'Batt IN'!$E$15/12,0)</f>
        <v>0</v>
      </c>
      <c r="T375" s="77"/>
      <c r="U375" s="80">
        <f>'Batt IN'!$E$28*('Batt IN'!$G$24/24)*730*(1-O375)</f>
        <v>81433.916666666657</v>
      </c>
      <c r="V375" s="78">
        <f>U375*'Batt IN'!$F$30</f>
        <v>16286.783333333333</v>
      </c>
      <c r="W375" s="78">
        <f>'Batt IN'!$E$28*'Batt IN'!$G$32*('Batt IN'!$E$32/12)*(1+'Batt IN'!$F$30)</f>
        <v>1750.0000000000002</v>
      </c>
      <c r="X375" s="78">
        <f>'Batt IN'!$E$28*'Batt IN'!$G$13*('Batt IN'!$E$13/12)*(1+'Batt IN'!$F$30)</f>
        <v>3184.9999999999995</v>
      </c>
      <c r="Y375" s="33">
        <f>S375*'Batt IN'!$G$15*'Batt IN'!$E$28*(1+'Batt IN'!$F$30)</f>
        <v>0</v>
      </c>
      <c r="Z375" s="33">
        <f>'Batt IN'!$G$16*365/12*(1+'Batt IN'!$F$30)</f>
        <v>1824.9999999999998</v>
      </c>
      <c r="AA375" s="33">
        <f>'Batt IN'!$G$17*'Batt IN'!$E$18*'Batt IN'!$G$18/12*(1+'Batt IN'!$F$30)</f>
        <v>1170</v>
      </c>
      <c r="AB375" s="33">
        <f>'Batt IN'!$G$19*'Batt IN'!$E$20*'Batt IN'!$G$20/12*(1+'Batt IN'!$F$30)</f>
        <v>150</v>
      </c>
      <c r="AC375" s="33">
        <f>'Batt IN'!$G$21*(1+'Batt IN'!$F$30)/12</f>
        <v>3500</v>
      </c>
      <c r="AD375" s="33">
        <f>'Batt IN'!$G$22*(1+'Batt IN'!$F$30)/12</f>
        <v>2500</v>
      </c>
      <c r="AE375" s="33">
        <f t="shared" si="104"/>
        <v>30366.783333333333</v>
      </c>
      <c r="AF375" s="33">
        <f>IF('PV IN'!$F$4="Battery Only",0,AE375*'Batt IN'!$E$29)</f>
        <v>25811.765833333331</v>
      </c>
      <c r="AG375" s="33">
        <f>PVCalcs!L375</f>
        <v>25811.765833333331</v>
      </c>
      <c r="AH375" s="33">
        <f t="shared" si="105"/>
        <v>4555.0175000000017</v>
      </c>
      <c r="AI375" s="33"/>
      <c r="AJ375" s="2">
        <f>IF(AND('Batt IN'!$D$53="Yes",$AL$1&gt;=1),IF($C375='Batt IN'!$H$54*12,-'Batt IN'!$F$54,0),0)</f>
        <v>0</v>
      </c>
      <c r="AK375" s="2">
        <f>IF(AND('Batt IN'!$D$53="Yes",$AL$1&gt;=2),IF($C375='Batt IN'!$H$55*12,-'Batt IN'!$F$55,0),0)</f>
        <v>0</v>
      </c>
      <c r="AL375" s="2">
        <f>IF(AND('Batt IN'!$D$53="Yes",$AL$1&gt;=3),IF($C375='Batt IN'!$H$56*12,-'Batt IN'!$F$56,0),0)</f>
        <v>0</v>
      </c>
      <c r="AM375" s="2">
        <f>IF(AND('Batt IN'!$D$53="Yes",$AL$1&gt;=4),IF($C375='Batt IN'!$H$57*12,-'Batt IN'!$F$57,0),0)</f>
        <v>0</v>
      </c>
      <c r="AN375" s="2">
        <f>IF(AND('Batt IN'!$D$53="Yes",$AL$1&gt;=5),IF($C375='Batt IN'!$H$58*12,-'Batt IN'!$F$58,0),0)</f>
        <v>0</v>
      </c>
      <c r="AO375" s="10">
        <f>IF(AND('Batt IN'!$D$44="YES",$C375&lt;='Batt IN'!$E$44*12),-'Batt IN'!$E$28*'Batt IN'!$E$42/12,0)</f>
        <v>0</v>
      </c>
      <c r="AP375" s="10">
        <f>IF(AND('Batt IN'!$D$46="YES",$C375&lt;='Batt IN'!$E$46*12),-'Batt IN'!$E$28*'Batt IN'!$E$45/12,0)</f>
        <v>0</v>
      </c>
      <c r="AR375" s="10">
        <f>BattLoan!M402</f>
        <v>0</v>
      </c>
      <c r="AS375" s="10">
        <f>'Batt IN'!$G$16*365/12*'Batt IN'!$E$16</f>
        <v>76.041666666666671</v>
      </c>
      <c r="AT375" s="10">
        <f>IF(AND('Batt IN'!$E$18&gt;0,'Batt IN'!$G$18&gt;0),'Batt IN'!$E$17*'Batt IN'!$G$17,0)</f>
        <v>119.44619999999999</v>
      </c>
      <c r="AU375" s="10">
        <f>IF(AND('Batt IN'!$E$20&gt;0,'Batt IN'!$G$20&gt;0),'Batt IN'!$E$19*'Batt IN'!$G$19,0)</f>
        <v>231</v>
      </c>
      <c r="AV375" s="10"/>
      <c r="AW375" s="10"/>
      <c r="AX375" s="10">
        <f>IF('Batt IN'!$E$11="Non-Taxable",Q375,0)</f>
        <v>12254.290520547946</v>
      </c>
      <c r="AY375" s="10">
        <f>IF('Batt IN'!$E$11="Non-Taxable",'Batt IN'!$E$28/1000*'Batt IN'!$G$13*('Batt IN'!$E$13/12)*'Batt IN'!$E$12,0)</f>
        <v>244.42220833333334</v>
      </c>
      <c r="AZ375" s="10">
        <f>IF('Batt IN'!$E$11="Non-Taxable",$S375*'Batt IN'!$G$15*'Batt IN'!$E$28*'Batt IN'!$E$14/1000,0)</f>
        <v>0</v>
      </c>
      <c r="BA375" s="10">
        <f>IF('Batt IN'!$E$11="Non-Taxable",'Batt IN'!$E$21*'Batt IN'!$G$21/12,0)</f>
        <v>437.5</v>
      </c>
      <c r="BB375" s="10">
        <f>IF('Batt IN'!$E$11="Non-Taxable",'Batt IN'!$E$22*'Batt IN'!$G$22/12,0)</f>
        <v>1145.8333333333335</v>
      </c>
      <c r="BC375" s="10">
        <f>IF('Batt IN'!$E$11="Taxable",Q375,0)</f>
        <v>0</v>
      </c>
      <c r="BD375" s="10">
        <f>IF('Batt IN'!$E$11="Taxable",'Batt IN'!$E$28/1000*'Batt IN'!$G$13*('Batt IN'!$E$13/12)*'Batt IN'!$E$12,0)</f>
        <v>0</v>
      </c>
      <c r="BE375" s="10">
        <f>IF('Batt IN'!$E$11="Taxable",$S375*'Batt IN'!$G$15*'Batt IN'!$E$28*'Batt IN'!$E$14/1000,0)</f>
        <v>0</v>
      </c>
      <c r="BF375" s="10">
        <f>IF('Batt IN'!$E$11="Taxable",'Batt IN'!$E$21*'Batt IN'!$G$21/12,0)</f>
        <v>0</v>
      </c>
      <c r="BG375" s="10">
        <f>IF('Batt IN'!$E$11="Taxable",'Batt IN'!$E$22*'Batt IN'!$G$22/12,0)</f>
        <v>0</v>
      </c>
      <c r="BK375" s="10">
        <f>IF('Batt IN'!$N$18="Yes",-BattLoan!H403,-BattLoan!L403)</f>
        <v>0</v>
      </c>
      <c r="BL375" s="10">
        <f>IF('Batt IN'!$N$18="Yes",-BattLoan!F403,0)</f>
        <v>0</v>
      </c>
      <c r="BM375" s="10">
        <f>IF(AND('Batt IN'!$D$44="YES",$C375&lt;='Batt IN'!$E$44*12),0,-'Batt IN'!$E$28*'Batt IN'!$E$42/12)</f>
        <v>-83.333333333333329</v>
      </c>
      <c r="BN375" s="10">
        <f>IF(AND('Batt IN'!$D$46="YES",$C375&lt;='Batt IN'!$E$46*12),0,-'Batt IN'!$E$28*'Batt IN'!$E$45/12)</f>
        <v>-166.66666666666666</v>
      </c>
      <c r="BO375" s="2">
        <f>IF(AND('Batt IN'!$D$41="YES",BattCalcs!C375=ROUNDUP('Batt IN'!$H$41*12,)),-'Batt IN'!$E$41*'Batt IN'!$E$28,0)</f>
        <v>0</v>
      </c>
      <c r="BP375" s="2">
        <f>IF(AND('Batt IN'!$D$53="Yes",$AL$1&gt;=1),0,IF($C375='Batt IN'!$H$54*12,-'Batt IN'!$F$54,0))</f>
        <v>0</v>
      </c>
      <c r="BQ375" s="2">
        <f>IF(AND('Batt IN'!$D$53="Yes",$AL$1&gt;=2),0,IF($C375='Batt IN'!$H$55*12,-'Batt IN'!$F$55,0))</f>
        <v>0</v>
      </c>
      <c r="BR375" s="2">
        <f>IF(AND('Batt IN'!$D$53="Yes",$AL$1&gt;=3),0,IF($C375='Batt IN'!$H$56*12,-'Batt IN'!$F$56,0))</f>
        <v>0</v>
      </c>
      <c r="BS375" s="2">
        <f>IF(AND('Batt IN'!$D$53="Yes",$AL$1&gt;=4),0,IF($C375='Batt IN'!$H$57*12,-'Batt IN'!$F$57,0))</f>
        <v>0</v>
      </c>
      <c r="BT375" s="2">
        <f>IF(AND('Batt IN'!$D$53="Yes",$AL$1&gt;=5),0,IF($C375='Batt IN'!$H$58*12,-'Batt IN'!$F$58,0))</f>
        <v>0</v>
      </c>
      <c r="BU375" s="2">
        <f>-AH375*PVCalcs!F375</f>
        <v>-359.37504381576838</v>
      </c>
      <c r="BV375" s="2">
        <f>-'Batt IN'!$E$47</f>
        <v>-150</v>
      </c>
      <c r="BW375" s="2">
        <f>-'Batt IN'!$E$49</f>
        <v>-2250</v>
      </c>
      <c r="BX375" s="2">
        <f>IF('Batt IN'!$H$50="No",-(BC375*'Batt IN'!$E$50),-(BC375+BE375)*'Batt IN'!$E$50)</f>
        <v>0</v>
      </c>
      <c r="BY375" s="2">
        <f>IF(C375='Batt IN'!$H$43*12,-'Batt IN'!$E$43,0)</f>
        <v>0</v>
      </c>
      <c r="BZ375" s="38"/>
      <c r="CA375" s="10">
        <f t="shared" si="106"/>
        <v>14508.533928881279</v>
      </c>
      <c r="CB375" s="2">
        <f t="shared" si="94"/>
        <v>-3009.3750438157685</v>
      </c>
      <c r="CC375" s="45">
        <f t="shared" si="107"/>
        <v>11499.15888506551</v>
      </c>
      <c r="CD375" s="43"/>
      <c r="CE375" s="2">
        <f t="shared" si="108"/>
        <v>0</v>
      </c>
      <c r="CF375" s="2">
        <f t="shared" si="95"/>
        <v>-3009.3750438157685</v>
      </c>
      <c r="CG375" s="2"/>
      <c r="CH375" s="2">
        <f t="shared" si="109"/>
        <v>-3009.3750438157685</v>
      </c>
      <c r="CI375" s="45">
        <f>-CH375*'Batt IN'!$E$7</f>
        <v>631.9687592013114</v>
      </c>
      <c r="CJ375" s="48"/>
      <c r="CK375" s="45">
        <f>IF('Batt IN'!$F$4="PV Only",0,IF(C375&gt;'Batt IN'!$H$43*12,0,CC375+CI375))</f>
        <v>0</v>
      </c>
      <c r="CM375" s="10">
        <f t="shared" si="110"/>
        <v>0</v>
      </c>
      <c r="CN375" s="2">
        <f>CK375/(1+('Batt IN'!$G$8))^(C375)</f>
        <v>0</v>
      </c>
      <c r="CO375" s="2" t="e">
        <f>IF(C375&lt;='Batt IN'!$O$30*12,CN375+CO374,NA())</f>
        <v>#N/A</v>
      </c>
      <c r="CQ375" s="2">
        <f>CK375/((1+('Batt IN'!$E$8/12))^BattCalcs!C375)</f>
        <v>0</v>
      </c>
      <c r="CS375" s="10">
        <f t="shared" si="96"/>
        <v>-3009.3750438157685</v>
      </c>
      <c r="CT375" s="10">
        <f t="shared" si="97"/>
        <v>0</v>
      </c>
      <c r="CU375" s="10">
        <f t="shared" si="98"/>
        <v>-3009.3750438157685</v>
      </c>
      <c r="CV375" s="10">
        <f t="shared" si="99"/>
        <v>-3009.3750438157685</v>
      </c>
      <c r="CW375" s="2">
        <f t="shared" si="100"/>
        <v>0</v>
      </c>
      <c r="CX375" s="2">
        <f>-(SUM(CV375:CW375)*'PV IN'!$E$8)</f>
        <v>631.9687592013114</v>
      </c>
      <c r="CY375" s="2">
        <f t="shared" si="101"/>
        <v>-2377.406284614457</v>
      </c>
      <c r="CZ375" s="2">
        <f>IF(C375&lt;='Batt IN'!$H$43*12,CY375/(1+('PV IN'!$G$9))^(C375),0)</f>
        <v>0</v>
      </c>
      <c r="DA375" s="33">
        <f>IF(C375&lt;='Batt IN'!$H$43*12,AE375,0)</f>
        <v>0</v>
      </c>
    </row>
    <row r="376" spans="1:105" x14ac:dyDescent="0.25">
      <c r="A376" t="str">
        <f>IF(C376&lt;='Batt IN'!$H$43*12,C376,"")</f>
        <v/>
      </c>
      <c r="B376">
        <v>31</v>
      </c>
      <c r="C376">
        <v>372</v>
      </c>
      <c r="D376" s="21">
        <v>802</v>
      </c>
      <c r="E376" s="1">
        <f>1-'Batt IN'!$E$31</f>
        <v>2.0000000000000018E-2</v>
      </c>
      <c r="F376" s="12">
        <f>('Batt IN'!$E$33*365)/8760</f>
        <v>0</v>
      </c>
      <c r="G376" s="22">
        <f>'Batt IN'!$E$32/8760</f>
        <v>5.7077625570776253E-3</v>
      </c>
      <c r="H376" s="22">
        <f>'Batt IN'!$E$13/8760</f>
        <v>5.5936073059360729E-3</v>
      </c>
      <c r="I376" s="23">
        <f>IF(C376&lt;='Batt IN'!$G$14*12,'Batt IN'!$E$15/8760*'Batt IN'!$G$15,0)</f>
        <v>0</v>
      </c>
      <c r="J376" s="12">
        <f>Z376/'Batt IN'!$E$27/730</f>
        <v>2.4999999999999996E-3</v>
      </c>
      <c r="K376" s="23">
        <f>AA376/'Batt IN'!$E$27/730</f>
        <v>1.6027397260273972E-3</v>
      </c>
      <c r="L376" s="23">
        <f>AB376/'Batt IN'!$E$27/730</f>
        <v>2.0547945205479451E-4</v>
      </c>
      <c r="M376" s="23">
        <f>AC376/'Batt IN'!$E$27/730</f>
        <v>4.7945205479452057E-3</v>
      </c>
      <c r="N376" s="23">
        <f>AD376/'Batt IN'!$E$27/730</f>
        <v>3.4246575342465752E-3</v>
      </c>
      <c r="O376" s="12">
        <f t="shared" si="102"/>
        <v>4.3828767123287697E-2</v>
      </c>
      <c r="P376" s="21">
        <f t="shared" si="103"/>
        <v>766.84932876712332</v>
      </c>
      <c r="Q376" s="2">
        <f>IF('Batt IN'!$E$27*'Batt IN'!$E$24&lt;='Batt IN'!$E$28,(('Batt IN'!$E$23*'Batt IN'!$E$27*'Batt IN'!$E$24)/1000)*P376,(('Batt IN'!$E$23*'Batt IN'!$E$28*'Batt IN'!$E$24)/1000)*P376)</f>
        <v>12269.589260273973</v>
      </c>
      <c r="R376" s="2"/>
      <c r="S376" s="77">
        <f>IF(C376&lt;='Batt IN'!$G$14*12,'Batt IN'!$E$15/12,0)</f>
        <v>0</v>
      </c>
      <c r="T376" s="77"/>
      <c r="U376" s="80">
        <f>'Batt IN'!$E$28*('Batt IN'!$G$24/24)*730*(1-O376)</f>
        <v>81433.916666666657</v>
      </c>
      <c r="V376" s="78">
        <f>U376*'Batt IN'!$F$30</f>
        <v>16286.783333333333</v>
      </c>
      <c r="W376" s="78">
        <f>'Batt IN'!$E$28*'Batt IN'!$G$32*('Batt IN'!$E$32/12)*(1+'Batt IN'!$F$30)</f>
        <v>1750.0000000000002</v>
      </c>
      <c r="X376" s="78">
        <f>'Batt IN'!$E$28*'Batt IN'!$G$13*('Batt IN'!$E$13/12)*(1+'Batt IN'!$F$30)</f>
        <v>3184.9999999999995</v>
      </c>
      <c r="Y376" s="33">
        <f>S376*'Batt IN'!$G$15*'Batt IN'!$E$28*(1+'Batt IN'!$F$30)</f>
        <v>0</v>
      </c>
      <c r="Z376" s="33">
        <f>'Batt IN'!$G$16*365/12*(1+'Batt IN'!$F$30)</f>
        <v>1824.9999999999998</v>
      </c>
      <c r="AA376" s="33">
        <f>'Batt IN'!$G$17*'Batt IN'!$E$18*'Batt IN'!$G$18/12*(1+'Batt IN'!$F$30)</f>
        <v>1170</v>
      </c>
      <c r="AB376" s="33">
        <f>'Batt IN'!$G$19*'Batt IN'!$E$20*'Batt IN'!$G$20/12*(1+'Batt IN'!$F$30)</f>
        <v>150</v>
      </c>
      <c r="AC376" s="33">
        <f>'Batt IN'!$G$21*(1+'Batt IN'!$F$30)/12</f>
        <v>3500</v>
      </c>
      <c r="AD376" s="33">
        <f>'Batt IN'!$G$22*(1+'Batt IN'!$F$30)/12</f>
        <v>2500</v>
      </c>
      <c r="AE376" s="33">
        <f t="shared" si="104"/>
        <v>30366.783333333333</v>
      </c>
      <c r="AF376" s="33">
        <f>IF('PV IN'!$F$4="Battery Only",0,AE376*'Batt IN'!$E$29)</f>
        <v>25811.765833333331</v>
      </c>
      <c r="AG376" s="33">
        <f>PVCalcs!L376</f>
        <v>25811.765833333331</v>
      </c>
      <c r="AH376" s="33">
        <f t="shared" si="105"/>
        <v>4555.0175000000017</v>
      </c>
      <c r="AI376" s="33"/>
      <c r="AJ376" s="2">
        <f>IF(AND('Batt IN'!$D$53="Yes",$AL$1&gt;=1),IF($C376='Batt IN'!$H$54*12,-'Batt IN'!$F$54,0),0)</f>
        <v>0</v>
      </c>
      <c r="AK376" s="2">
        <f>IF(AND('Batt IN'!$D$53="Yes",$AL$1&gt;=2),IF($C376='Batt IN'!$H$55*12,-'Batt IN'!$F$55,0),0)</f>
        <v>0</v>
      </c>
      <c r="AL376" s="2">
        <f>IF(AND('Batt IN'!$D$53="Yes",$AL$1&gt;=3),IF($C376='Batt IN'!$H$56*12,-'Batt IN'!$F$56,0),0)</f>
        <v>0</v>
      </c>
      <c r="AM376" s="2">
        <f>IF(AND('Batt IN'!$D$53="Yes",$AL$1&gt;=4),IF($C376='Batt IN'!$H$57*12,-'Batt IN'!$F$57,0),0)</f>
        <v>0</v>
      </c>
      <c r="AN376" s="2">
        <f>IF(AND('Batt IN'!$D$53="Yes",$AL$1&gt;=5),IF($C376='Batt IN'!$H$58*12,-'Batt IN'!$F$58,0),0)</f>
        <v>0</v>
      </c>
      <c r="AO376" s="10">
        <f>IF(AND('Batt IN'!$D$44="YES",$C376&lt;='Batt IN'!$E$44*12),-'Batt IN'!$E$28*'Batt IN'!$E$42/12,0)</f>
        <v>0</v>
      </c>
      <c r="AP376" s="10">
        <f>IF(AND('Batt IN'!$D$46="YES",$C376&lt;='Batt IN'!$E$46*12),-'Batt IN'!$E$28*'Batt IN'!$E$45/12,0)</f>
        <v>0</v>
      </c>
      <c r="AR376" s="10">
        <f>BattLoan!M403</f>
        <v>0</v>
      </c>
      <c r="AS376" s="10">
        <f>'Batt IN'!$G$16*365/12*'Batt IN'!$E$16</f>
        <v>76.041666666666671</v>
      </c>
      <c r="AT376" s="10">
        <f>IF(AND('Batt IN'!$E$18&gt;0,'Batt IN'!$G$18&gt;0),'Batt IN'!$E$17*'Batt IN'!$G$17,0)</f>
        <v>119.44619999999999</v>
      </c>
      <c r="AU376" s="10">
        <f>IF(AND('Batt IN'!$E$20&gt;0,'Batt IN'!$G$20&gt;0),'Batt IN'!$E$19*'Batt IN'!$G$19,0)</f>
        <v>231</v>
      </c>
      <c r="AV376" s="10"/>
      <c r="AW376" s="10"/>
      <c r="AX376" s="10">
        <f>IF('Batt IN'!$E$11="Non-Taxable",Q376,0)</f>
        <v>12269.589260273973</v>
      </c>
      <c r="AY376" s="10">
        <f>IF('Batt IN'!$E$11="Non-Taxable",'Batt IN'!$E$28/1000*'Batt IN'!$G$13*('Batt IN'!$E$13/12)*'Batt IN'!$E$12,0)</f>
        <v>244.42220833333334</v>
      </c>
      <c r="AZ376" s="10">
        <f>IF('Batt IN'!$E$11="Non-Taxable",$S376*'Batt IN'!$G$15*'Batt IN'!$E$28*'Batt IN'!$E$14/1000,0)</f>
        <v>0</v>
      </c>
      <c r="BA376" s="10">
        <f>IF('Batt IN'!$E$11="Non-Taxable",'Batt IN'!$E$21*'Batt IN'!$G$21/12,0)</f>
        <v>437.5</v>
      </c>
      <c r="BB376" s="10">
        <f>IF('Batt IN'!$E$11="Non-Taxable",'Batt IN'!$E$22*'Batt IN'!$G$22/12,0)</f>
        <v>1145.8333333333335</v>
      </c>
      <c r="BC376" s="10">
        <f>IF('Batt IN'!$E$11="Taxable",Q376,0)</f>
        <v>0</v>
      </c>
      <c r="BD376" s="10">
        <f>IF('Batt IN'!$E$11="Taxable",'Batt IN'!$E$28/1000*'Batt IN'!$G$13*('Batt IN'!$E$13/12)*'Batt IN'!$E$12,0)</f>
        <v>0</v>
      </c>
      <c r="BE376" s="10">
        <f>IF('Batt IN'!$E$11="Taxable",$S376*'Batt IN'!$G$15*'Batt IN'!$E$28*'Batt IN'!$E$14/1000,0)</f>
        <v>0</v>
      </c>
      <c r="BF376" s="10">
        <f>IF('Batt IN'!$E$11="Taxable",'Batt IN'!$E$21*'Batt IN'!$G$21/12,0)</f>
        <v>0</v>
      </c>
      <c r="BG376" s="10">
        <f>IF('Batt IN'!$E$11="Taxable",'Batt IN'!$E$22*'Batt IN'!$G$22/12,0)</f>
        <v>0</v>
      </c>
      <c r="BK376" s="10">
        <f>IF('Batt IN'!$N$18="Yes",-BattLoan!H404,-BattLoan!L404)</f>
        <v>0</v>
      </c>
      <c r="BL376" s="10">
        <f>IF('Batt IN'!$N$18="Yes",-BattLoan!F404,0)</f>
        <v>0</v>
      </c>
      <c r="BM376" s="10">
        <f>IF(AND('Batt IN'!$D$44="YES",$C376&lt;='Batt IN'!$E$44*12),0,-'Batt IN'!$E$28*'Batt IN'!$E$42/12)</f>
        <v>-83.333333333333329</v>
      </c>
      <c r="BN376" s="10">
        <f>IF(AND('Batt IN'!$D$46="YES",$C376&lt;='Batt IN'!$E$46*12),0,-'Batt IN'!$E$28*'Batt IN'!$E$45/12)</f>
        <v>-166.66666666666666</v>
      </c>
      <c r="BO376" s="2">
        <f>IF(AND('Batt IN'!$D$41="YES",BattCalcs!C376=ROUNDUP('Batt IN'!$H$41*12,)),-'Batt IN'!$E$41*'Batt IN'!$E$28,0)</f>
        <v>0</v>
      </c>
      <c r="BP376" s="2">
        <f>IF(AND('Batt IN'!$D$53="Yes",$AL$1&gt;=1),0,IF($C376='Batt IN'!$H$54*12,-'Batt IN'!$F$54,0))</f>
        <v>0</v>
      </c>
      <c r="BQ376" s="2">
        <f>IF(AND('Batt IN'!$D$53="Yes",$AL$1&gt;=2),0,IF($C376='Batt IN'!$H$55*12,-'Batt IN'!$F$55,0))</f>
        <v>0</v>
      </c>
      <c r="BR376" s="2">
        <f>IF(AND('Batt IN'!$D$53="Yes",$AL$1&gt;=3),0,IF($C376='Batt IN'!$H$56*12,-'Batt IN'!$F$56,0))</f>
        <v>0</v>
      </c>
      <c r="BS376" s="2">
        <f>IF(AND('Batt IN'!$D$53="Yes",$AL$1&gt;=4),0,IF($C376='Batt IN'!$H$57*12,-'Batt IN'!$F$57,0))</f>
        <v>0</v>
      </c>
      <c r="BT376" s="2">
        <f>IF(AND('Batt IN'!$D$53="Yes",$AL$1&gt;=5),0,IF($C376='Batt IN'!$H$58*12,-'Batt IN'!$F$58,0))</f>
        <v>0</v>
      </c>
      <c r="BU376" s="2">
        <f>-AH376*PVCalcs!F376</f>
        <v>-359.37504381576838</v>
      </c>
      <c r="BV376" s="2">
        <f>-'Batt IN'!$E$47</f>
        <v>-150</v>
      </c>
      <c r="BW376" s="2">
        <f>-'Batt IN'!$E$49</f>
        <v>-2250</v>
      </c>
      <c r="BX376" s="2">
        <f>IF('Batt IN'!$H$50="No",-(BC376*'Batt IN'!$E$50),-(BC376+BE376)*'Batt IN'!$E$50)</f>
        <v>0</v>
      </c>
      <c r="BY376" s="2">
        <f>IF(C376='Batt IN'!$H$43*12,-'Batt IN'!$E$43,0)</f>
        <v>0</v>
      </c>
      <c r="BZ376" s="38"/>
      <c r="CA376" s="10">
        <f t="shared" si="106"/>
        <v>14523.832668607307</v>
      </c>
      <c r="CB376" s="2">
        <f t="shared" si="94"/>
        <v>-3009.3750438157685</v>
      </c>
      <c r="CC376" s="45">
        <f t="shared" si="107"/>
        <v>11514.457624791539</v>
      </c>
      <c r="CD376" s="43"/>
      <c r="CE376" s="2">
        <f t="shared" si="108"/>
        <v>0</v>
      </c>
      <c r="CF376" s="2">
        <f t="shared" si="95"/>
        <v>-3009.3750438157685</v>
      </c>
      <c r="CG376" s="2"/>
      <c r="CH376" s="2">
        <f t="shared" si="109"/>
        <v>-3009.3750438157685</v>
      </c>
      <c r="CI376" s="45">
        <f>-CH376*'Batt IN'!$E$7</f>
        <v>631.9687592013114</v>
      </c>
      <c r="CJ376" s="48"/>
      <c r="CK376" s="45">
        <f>IF('Batt IN'!$F$4="PV Only",0,IF(C376&gt;'Batt IN'!$H$43*12,0,CC376+CI376))</f>
        <v>0</v>
      </c>
      <c r="CM376" s="10">
        <f t="shared" si="110"/>
        <v>0</v>
      </c>
      <c r="CN376" s="2">
        <f>CK376/(1+('Batt IN'!$G$8))^(C376)</f>
        <v>0</v>
      </c>
      <c r="CO376" s="2" t="e">
        <f>IF(C376&lt;='Batt IN'!$O$30*12,CN376+CO375,NA())</f>
        <v>#N/A</v>
      </c>
      <c r="CQ376" s="2">
        <f>CK376/((1+('Batt IN'!$E$8/12))^BattCalcs!C376)</f>
        <v>0</v>
      </c>
      <c r="CS376" s="10">
        <f t="shared" si="96"/>
        <v>-3009.3750438157685</v>
      </c>
      <c r="CT376" s="10">
        <f t="shared" si="97"/>
        <v>0</v>
      </c>
      <c r="CU376" s="10">
        <f t="shared" si="98"/>
        <v>-3009.3750438157685</v>
      </c>
      <c r="CV376" s="10">
        <f t="shared" si="99"/>
        <v>-3009.3750438157685</v>
      </c>
      <c r="CW376" s="2">
        <f t="shared" si="100"/>
        <v>0</v>
      </c>
      <c r="CX376" s="2">
        <f>-(SUM(CV376:CW376)*'PV IN'!$E$8)</f>
        <v>631.9687592013114</v>
      </c>
      <c r="CY376" s="2">
        <f t="shared" si="101"/>
        <v>-2377.406284614457</v>
      </c>
      <c r="CZ376" s="2">
        <f>IF(C376&lt;='Batt IN'!$H$43*12,CY376/(1+('PV IN'!$G$9))^(C376),0)</f>
        <v>0</v>
      </c>
      <c r="DA376" s="33">
        <f>IF(C376&lt;='Batt IN'!$H$43*12,AE376,0)</f>
        <v>0</v>
      </c>
    </row>
    <row r="377" spans="1:105" x14ac:dyDescent="0.25">
      <c r="A377" t="str">
        <f>IF(C377&lt;='Batt IN'!$H$43*12,C377,"")</f>
        <v/>
      </c>
      <c r="C377">
        <v>373</v>
      </c>
      <c r="D377" s="21">
        <v>803</v>
      </c>
      <c r="E377" s="1">
        <f>1-'Batt IN'!$E$31</f>
        <v>2.0000000000000018E-2</v>
      </c>
      <c r="F377" s="12">
        <f>('Batt IN'!$E$33*365)/8760</f>
        <v>0</v>
      </c>
      <c r="G377" s="22">
        <f>'Batt IN'!$E$32/8760</f>
        <v>5.7077625570776253E-3</v>
      </c>
      <c r="H377" s="22">
        <f>'Batt IN'!$E$13/8760</f>
        <v>5.5936073059360729E-3</v>
      </c>
      <c r="I377" s="23">
        <f>IF(C377&lt;='Batt IN'!$G$14*12,'Batt IN'!$E$15/8760*'Batt IN'!$G$15,0)</f>
        <v>0</v>
      </c>
      <c r="J377" s="12">
        <f>Z377/'Batt IN'!$E$27/730</f>
        <v>2.4999999999999996E-3</v>
      </c>
      <c r="K377" s="23">
        <f>AA377/'Batt IN'!$E$27/730</f>
        <v>1.6027397260273972E-3</v>
      </c>
      <c r="L377" s="23">
        <f>AB377/'Batt IN'!$E$27/730</f>
        <v>2.0547945205479451E-4</v>
      </c>
      <c r="M377" s="23">
        <f>AC377/'Batt IN'!$E$27/730</f>
        <v>4.7945205479452057E-3</v>
      </c>
      <c r="N377" s="23">
        <f>AD377/'Batt IN'!$E$27/730</f>
        <v>3.4246575342465752E-3</v>
      </c>
      <c r="O377" s="12">
        <f t="shared" si="102"/>
        <v>4.3828767123287697E-2</v>
      </c>
      <c r="P377" s="21">
        <f t="shared" si="103"/>
        <v>767.80550000000005</v>
      </c>
      <c r="Q377" s="2">
        <f>IF('Batt IN'!$E$27*'Batt IN'!$E$24&lt;='Batt IN'!$E$28,(('Batt IN'!$E$23*'Batt IN'!$E$27*'Batt IN'!$E$24)/1000)*P377,(('Batt IN'!$E$23*'Batt IN'!$E$28*'Batt IN'!$E$24)/1000)*P377)</f>
        <v>12284.888000000001</v>
      </c>
      <c r="R377" s="2"/>
      <c r="S377" s="77">
        <f>IF(C377&lt;='Batt IN'!$G$14*12,'Batt IN'!$E$15/12,0)</f>
        <v>0</v>
      </c>
      <c r="T377" s="77"/>
      <c r="U377" s="80">
        <f>'Batt IN'!$E$28*('Batt IN'!$G$24/24)*730*(1-O377)</f>
        <v>81433.916666666657</v>
      </c>
      <c r="V377" s="78">
        <f>U377*'Batt IN'!$F$30</f>
        <v>16286.783333333333</v>
      </c>
      <c r="W377" s="78">
        <f>'Batt IN'!$E$28*'Batt IN'!$G$32*('Batt IN'!$E$32/12)*(1+'Batt IN'!$F$30)</f>
        <v>1750.0000000000002</v>
      </c>
      <c r="X377" s="78">
        <f>'Batt IN'!$E$28*'Batt IN'!$G$13*('Batt IN'!$E$13/12)*(1+'Batt IN'!$F$30)</f>
        <v>3184.9999999999995</v>
      </c>
      <c r="Y377" s="33">
        <f>S377*'Batt IN'!$G$15*'Batt IN'!$E$28*(1+'Batt IN'!$F$30)</f>
        <v>0</v>
      </c>
      <c r="Z377" s="33">
        <f>'Batt IN'!$G$16*365/12*(1+'Batt IN'!$F$30)</f>
        <v>1824.9999999999998</v>
      </c>
      <c r="AA377" s="33">
        <f>'Batt IN'!$G$17*'Batt IN'!$E$18*'Batt IN'!$G$18/12*(1+'Batt IN'!$F$30)</f>
        <v>1170</v>
      </c>
      <c r="AB377" s="33">
        <f>'Batt IN'!$G$19*'Batt IN'!$E$20*'Batt IN'!$G$20/12*(1+'Batt IN'!$F$30)</f>
        <v>150</v>
      </c>
      <c r="AC377" s="33">
        <f>'Batt IN'!$G$21*(1+'Batt IN'!$F$30)/12</f>
        <v>3500</v>
      </c>
      <c r="AD377" s="33">
        <f>'Batt IN'!$G$22*(1+'Batt IN'!$F$30)/12</f>
        <v>2500</v>
      </c>
      <c r="AE377" s="33">
        <f t="shared" si="104"/>
        <v>30366.783333333333</v>
      </c>
      <c r="AF377" s="33">
        <f>IF('PV IN'!$F$4="Battery Only",0,AE377*'Batt IN'!$E$29)</f>
        <v>25811.765833333331</v>
      </c>
      <c r="AG377" s="33">
        <f>PVCalcs!L377</f>
        <v>25811.765833333331</v>
      </c>
      <c r="AH377" s="33">
        <f t="shared" si="105"/>
        <v>4555.0175000000017</v>
      </c>
      <c r="AI377" s="33"/>
      <c r="AJ377" s="2">
        <f>IF(AND('Batt IN'!$D$53="Yes",$AL$1&gt;=1),IF($C377='Batt IN'!$H$54*12,-'Batt IN'!$F$54,0),0)</f>
        <v>0</v>
      </c>
      <c r="AK377" s="2">
        <f>IF(AND('Batt IN'!$D$53="Yes",$AL$1&gt;=2),IF($C377='Batt IN'!$H$55*12,-'Batt IN'!$F$55,0),0)</f>
        <v>0</v>
      </c>
      <c r="AL377" s="2">
        <f>IF(AND('Batt IN'!$D$53="Yes",$AL$1&gt;=3),IF($C377='Batt IN'!$H$56*12,-'Batt IN'!$F$56,0),0)</f>
        <v>0</v>
      </c>
      <c r="AM377" s="2">
        <f>IF(AND('Batt IN'!$D$53="Yes",$AL$1&gt;=4),IF($C377='Batt IN'!$H$57*12,-'Batt IN'!$F$57,0),0)</f>
        <v>0</v>
      </c>
      <c r="AN377" s="2">
        <f>IF(AND('Batt IN'!$D$53="Yes",$AL$1&gt;=5),IF($C377='Batt IN'!$H$58*12,-'Batt IN'!$F$58,0),0)</f>
        <v>0</v>
      </c>
      <c r="AO377" s="10">
        <f>IF(AND('Batt IN'!$D$44="YES",$C377&lt;='Batt IN'!$E$44*12),-'Batt IN'!$E$28*'Batt IN'!$E$42/12,0)</f>
        <v>0</v>
      </c>
      <c r="AP377" s="10">
        <f>IF(AND('Batt IN'!$D$46="YES",$C377&lt;='Batt IN'!$E$46*12),-'Batt IN'!$E$28*'Batt IN'!$E$45/12,0)</f>
        <v>0</v>
      </c>
      <c r="AR377" s="10">
        <f>BattLoan!M404</f>
        <v>0</v>
      </c>
      <c r="AS377" s="10">
        <f>'Batt IN'!$G$16*365/12*'Batt IN'!$E$16</f>
        <v>76.041666666666671</v>
      </c>
      <c r="AT377" s="10">
        <f>IF(AND('Batt IN'!$E$18&gt;0,'Batt IN'!$G$18&gt;0),'Batt IN'!$E$17*'Batt IN'!$G$17,0)</f>
        <v>119.44619999999999</v>
      </c>
      <c r="AU377" s="10">
        <f>IF(AND('Batt IN'!$E$20&gt;0,'Batt IN'!$G$20&gt;0),'Batt IN'!$E$19*'Batt IN'!$G$19,0)</f>
        <v>231</v>
      </c>
      <c r="AV377" s="10"/>
      <c r="AW377" s="10"/>
      <c r="AX377" s="10">
        <f>IF('Batt IN'!$E$11="Non-Taxable",Q377,0)</f>
        <v>12284.888000000001</v>
      </c>
      <c r="AY377" s="10">
        <f>IF('Batt IN'!$E$11="Non-Taxable",'Batt IN'!$E$28/1000*'Batt IN'!$G$13*('Batt IN'!$E$13/12)*'Batt IN'!$E$12,0)</f>
        <v>244.42220833333334</v>
      </c>
      <c r="AZ377" s="10">
        <f>IF('Batt IN'!$E$11="Non-Taxable",$S377*'Batt IN'!$G$15*'Batt IN'!$E$28*'Batt IN'!$E$14/1000,0)</f>
        <v>0</v>
      </c>
      <c r="BA377" s="10">
        <f>IF('Batt IN'!$E$11="Non-Taxable",'Batt IN'!$E$21*'Batt IN'!$G$21/12,0)</f>
        <v>437.5</v>
      </c>
      <c r="BB377" s="10">
        <f>IF('Batt IN'!$E$11="Non-Taxable",'Batt IN'!$E$22*'Batt IN'!$G$22/12,0)</f>
        <v>1145.8333333333335</v>
      </c>
      <c r="BC377" s="10">
        <f>IF('Batt IN'!$E$11="Taxable",Q377,0)</f>
        <v>0</v>
      </c>
      <c r="BD377" s="10">
        <f>IF('Batt IN'!$E$11="Taxable",'Batt IN'!$E$28/1000*'Batt IN'!$G$13*('Batt IN'!$E$13/12)*'Batt IN'!$E$12,0)</f>
        <v>0</v>
      </c>
      <c r="BE377" s="10">
        <f>IF('Batt IN'!$E$11="Taxable",$S377*'Batt IN'!$G$15*'Batt IN'!$E$28*'Batt IN'!$E$14/1000,0)</f>
        <v>0</v>
      </c>
      <c r="BF377" s="10">
        <f>IF('Batt IN'!$E$11="Taxable",'Batt IN'!$E$21*'Batt IN'!$G$21/12,0)</f>
        <v>0</v>
      </c>
      <c r="BG377" s="10">
        <f>IF('Batt IN'!$E$11="Taxable",'Batt IN'!$E$22*'Batt IN'!$G$22/12,0)</f>
        <v>0</v>
      </c>
      <c r="BK377" s="10">
        <f>IF('Batt IN'!$N$18="Yes",-BattLoan!H405,-BattLoan!L405)</f>
        <v>0</v>
      </c>
      <c r="BL377" s="10">
        <f>IF('Batt IN'!$N$18="Yes",-BattLoan!F405,0)</f>
        <v>0</v>
      </c>
      <c r="BM377" s="10">
        <f>IF(AND('Batt IN'!$D$44="YES",$C377&lt;='Batt IN'!$E$44*12),0,-'Batt IN'!$E$28*'Batt IN'!$E$42/12)</f>
        <v>-83.333333333333329</v>
      </c>
      <c r="BN377" s="10">
        <f>IF(AND('Batt IN'!$D$46="YES",$C377&lt;='Batt IN'!$E$46*12),0,-'Batt IN'!$E$28*'Batt IN'!$E$45/12)</f>
        <v>-166.66666666666666</v>
      </c>
      <c r="BO377" s="2">
        <f>IF(AND('Batt IN'!$D$41="YES",BattCalcs!C377=ROUNDUP('Batt IN'!$H$41*12,)),-'Batt IN'!$E$41*'Batt IN'!$E$28,0)</f>
        <v>0</v>
      </c>
      <c r="BP377" s="2">
        <f>IF(AND('Batt IN'!$D$53="Yes",$AL$1&gt;=1),0,IF($C377='Batt IN'!$H$54*12,-'Batt IN'!$F$54,0))</f>
        <v>0</v>
      </c>
      <c r="BQ377" s="2">
        <f>IF(AND('Batt IN'!$D$53="Yes",$AL$1&gt;=2),0,IF($C377='Batt IN'!$H$55*12,-'Batt IN'!$F$55,0))</f>
        <v>0</v>
      </c>
      <c r="BR377" s="2">
        <f>IF(AND('Batt IN'!$D$53="Yes",$AL$1&gt;=3),0,IF($C377='Batt IN'!$H$56*12,-'Batt IN'!$F$56,0))</f>
        <v>0</v>
      </c>
      <c r="BS377" s="2">
        <f>IF(AND('Batt IN'!$D$53="Yes",$AL$1&gt;=4),0,IF($C377='Batt IN'!$H$57*12,-'Batt IN'!$F$57,0))</f>
        <v>0</v>
      </c>
      <c r="BT377" s="2">
        <f>IF(AND('Batt IN'!$D$53="Yes",$AL$1&gt;=5),0,IF($C377='Batt IN'!$H$58*12,-'Batt IN'!$F$58,0))</f>
        <v>0</v>
      </c>
      <c r="BU377" s="2">
        <f>-AH377*PVCalcs!F377</f>
        <v>-359.37504381576838</v>
      </c>
      <c r="BV377" s="2">
        <f>-'Batt IN'!$E$47</f>
        <v>-150</v>
      </c>
      <c r="BW377" s="2">
        <f>-'Batt IN'!$E$49</f>
        <v>-2250</v>
      </c>
      <c r="BX377" s="2">
        <f>IF('Batt IN'!$H$50="No",-(BC377*'Batt IN'!$E$50),-(BC377+BE377)*'Batt IN'!$E$50)</f>
        <v>0</v>
      </c>
      <c r="BY377" s="2">
        <f>IF(C377='Batt IN'!$H$43*12,-'Batt IN'!$E$43,0)</f>
        <v>0</v>
      </c>
      <c r="BZ377" s="38"/>
      <c r="CA377" s="10">
        <f t="shared" si="106"/>
        <v>14539.131408333335</v>
      </c>
      <c r="CB377" s="2">
        <f t="shared" si="94"/>
        <v>-3009.3750438157685</v>
      </c>
      <c r="CC377" s="45">
        <f t="shared" si="107"/>
        <v>11529.756364517565</v>
      </c>
      <c r="CD377" s="43"/>
      <c r="CE377" s="2">
        <f t="shared" si="108"/>
        <v>0</v>
      </c>
      <c r="CF377" s="2">
        <f t="shared" si="95"/>
        <v>-3009.3750438157685</v>
      </c>
      <c r="CG377" s="2"/>
      <c r="CH377" s="2">
        <f t="shared" si="109"/>
        <v>-3009.3750438157685</v>
      </c>
      <c r="CI377" s="45">
        <f>-CH377*'Batt IN'!$E$7</f>
        <v>631.9687592013114</v>
      </c>
      <c r="CJ377" s="48"/>
      <c r="CK377" s="45">
        <f>IF('Batt IN'!$F$4="PV Only",0,IF(C377&gt;'Batt IN'!$H$43*12,0,CC377+CI377))</f>
        <v>0</v>
      </c>
      <c r="CM377" s="10">
        <f t="shared" si="110"/>
        <v>0</v>
      </c>
      <c r="CN377" s="2">
        <f>CK377/(1+('Batt IN'!$G$8))^(C377)</f>
        <v>0</v>
      </c>
      <c r="CO377" s="2" t="e">
        <f>IF(C377&lt;='Batt IN'!$O$30*12,CN377+CO376,NA())</f>
        <v>#N/A</v>
      </c>
      <c r="CQ377" s="2">
        <f>CK377/((1+('Batt IN'!$E$8/12))^BattCalcs!C377)</f>
        <v>0</v>
      </c>
      <c r="CS377" s="10">
        <f t="shared" si="96"/>
        <v>-3009.3750438157685</v>
      </c>
      <c r="CT377" s="10">
        <f t="shared" si="97"/>
        <v>0</v>
      </c>
      <c r="CU377" s="10">
        <f t="shared" si="98"/>
        <v>-3009.3750438157685</v>
      </c>
      <c r="CV377" s="10">
        <f t="shared" si="99"/>
        <v>-3009.3750438157685</v>
      </c>
      <c r="CW377" s="2">
        <f t="shared" si="100"/>
        <v>0</v>
      </c>
      <c r="CX377" s="2">
        <f>-(SUM(CV377:CW377)*'PV IN'!$E$8)</f>
        <v>631.9687592013114</v>
      </c>
      <c r="CY377" s="2">
        <f t="shared" si="101"/>
        <v>-2377.406284614457</v>
      </c>
      <c r="CZ377" s="2">
        <f>IF(C377&lt;='Batt IN'!$H$43*12,CY377/(1+('PV IN'!$G$9))^(C377),0)</f>
        <v>0</v>
      </c>
      <c r="DA377" s="33">
        <f>IF(C377&lt;='Batt IN'!$H$43*12,AE377,0)</f>
        <v>0</v>
      </c>
    </row>
    <row r="378" spans="1:105" x14ac:dyDescent="0.25">
      <c r="A378" t="str">
        <f>IF(C378&lt;='Batt IN'!$H$43*12,C378,"")</f>
        <v/>
      </c>
      <c r="C378">
        <v>374</v>
      </c>
      <c r="D378" s="21">
        <v>804</v>
      </c>
      <c r="E378" s="1">
        <f>1-'Batt IN'!$E$31</f>
        <v>2.0000000000000018E-2</v>
      </c>
      <c r="F378" s="12">
        <f>('Batt IN'!$E$33*365)/8760</f>
        <v>0</v>
      </c>
      <c r="G378" s="22">
        <f>'Batt IN'!$E$32/8760</f>
        <v>5.7077625570776253E-3</v>
      </c>
      <c r="H378" s="22">
        <f>'Batt IN'!$E$13/8760</f>
        <v>5.5936073059360729E-3</v>
      </c>
      <c r="I378" s="23">
        <f>IF(C378&lt;='Batt IN'!$G$14*12,'Batt IN'!$E$15/8760*'Batt IN'!$G$15,0)</f>
        <v>0</v>
      </c>
      <c r="J378" s="12">
        <f>Z378/'Batt IN'!$E$27/730</f>
        <v>2.4999999999999996E-3</v>
      </c>
      <c r="K378" s="23">
        <f>AA378/'Batt IN'!$E$27/730</f>
        <v>1.6027397260273972E-3</v>
      </c>
      <c r="L378" s="23">
        <f>AB378/'Batt IN'!$E$27/730</f>
        <v>2.0547945205479451E-4</v>
      </c>
      <c r="M378" s="23">
        <f>AC378/'Batt IN'!$E$27/730</f>
        <v>4.7945205479452057E-3</v>
      </c>
      <c r="N378" s="23">
        <f>AD378/'Batt IN'!$E$27/730</f>
        <v>3.4246575342465752E-3</v>
      </c>
      <c r="O378" s="12">
        <f t="shared" si="102"/>
        <v>4.3828767123287697E-2</v>
      </c>
      <c r="P378" s="21">
        <f t="shared" si="103"/>
        <v>768.76167123287678</v>
      </c>
      <c r="Q378" s="2">
        <f>IF('Batt IN'!$E$27*'Batt IN'!$E$24&lt;='Batt IN'!$E$28,(('Batt IN'!$E$23*'Batt IN'!$E$27*'Batt IN'!$E$24)/1000)*P378,(('Batt IN'!$E$23*'Batt IN'!$E$28*'Batt IN'!$E$24)/1000)*P378)</f>
        <v>12300.186739726028</v>
      </c>
      <c r="R378" s="2"/>
      <c r="S378" s="77">
        <f>IF(C378&lt;='Batt IN'!$G$14*12,'Batt IN'!$E$15/12,0)</f>
        <v>0</v>
      </c>
      <c r="T378" s="77"/>
      <c r="U378" s="80">
        <f>'Batt IN'!$E$28*('Batt IN'!$G$24/24)*730*(1-O378)</f>
        <v>81433.916666666657</v>
      </c>
      <c r="V378" s="78">
        <f>U378*'Batt IN'!$F$30</f>
        <v>16286.783333333333</v>
      </c>
      <c r="W378" s="78">
        <f>'Batt IN'!$E$28*'Batt IN'!$G$32*('Batt IN'!$E$32/12)*(1+'Batt IN'!$F$30)</f>
        <v>1750.0000000000002</v>
      </c>
      <c r="X378" s="78">
        <f>'Batt IN'!$E$28*'Batt IN'!$G$13*('Batt IN'!$E$13/12)*(1+'Batt IN'!$F$30)</f>
        <v>3184.9999999999995</v>
      </c>
      <c r="Y378" s="33">
        <f>S378*'Batt IN'!$G$15*'Batt IN'!$E$28*(1+'Batt IN'!$F$30)</f>
        <v>0</v>
      </c>
      <c r="Z378" s="33">
        <f>'Batt IN'!$G$16*365/12*(1+'Batt IN'!$F$30)</f>
        <v>1824.9999999999998</v>
      </c>
      <c r="AA378" s="33">
        <f>'Batt IN'!$G$17*'Batt IN'!$E$18*'Batt IN'!$G$18/12*(1+'Batt IN'!$F$30)</f>
        <v>1170</v>
      </c>
      <c r="AB378" s="33">
        <f>'Batt IN'!$G$19*'Batt IN'!$E$20*'Batt IN'!$G$20/12*(1+'Batt IN'!$F$30)</f>
        <v>150</v>
      </c>
      <c r="AC378" s="33">
        <f>'Batt IN'!$G$21*(1+'Batt IN'!$F$30)/12</f>
        <v>3500</v>
      </c>
      <c r="AD378" s="33">
        <f>'Batt IN'!$G$22*(1+'Batt IN'!$F$30)/12</f>
        <v>2500</v>
      </c>
      <c r="AE378" s="33">
        <f t="shared" si="104"/>
        <v>30366.783333333333</v>
      </c>
      <c r="AF378" s="33">
        <f>IF('PV IN'!$F$4="Battery Only",0,AE378*'Batt IN'!$E$29)</f>
        <v>25811.765833333331</v>
      </c>
      <c r="AG378" s="33">
        <f>PVCalcs!L378</f>
        <v>25811.765833333331</v>
      </c>
      <c r="AH378" s="33">
        <f t="shared" si="105"/>
        <v>4555.0175000000017</v>
      </c>
      <c r="AI378" s="33"/>
      <c r="AJ378" s="2">
        <f>IF(AND('Batt IN'!$D$53="Yes",$AL$1&gt;=1),IF($C378='Batt IN'!$H$54*12,-'Batt IN'!$F$54,0),0)</f>
        <v>0</v>
      </c>
      <c r="AK378" s="2">
        <f>IF(AND('Batt IN'!$D$53="Yes",$AL$1&gt;=2),IF($C378='Batt IN'!$H$55*12,-'Batt IN'!$F$55,0),0)</f>
        <v>0</v>
      </c>
      <c r="AL378" s="2">
        <f>IF(AND('Batt IN'!$D$53="Yes",$AL$1&gt;=3),IF($C378='Batt IN'!$H$56*12,-'Batt IN'!$F$56,0),0)</f>
        <v>0</v>
      </c>
      <c r="AM378" s="2">
        <f>IF(AND('Batt IN'!$D$53="Yes",$AL$1&gt;=4),IF($C378='Batt IN'!$H$57*12,-'Batt IN'!$F$57,0),0)</f>
        <v>0</v>
      </c>
      <c r="AN378" s="2">
        <f>IF(AND('Batt IN'!$D$53="Yes",$AL$1&gt;=5),IF($C378='Batt IN'!$H$58*12,-'Batt IN'!$F$58,0),0)</f>
        <v>0</v>
      </c>
      <c r="AO378" s="10">
        <f>IF(AND('Batt IN'!$D$44="YES",$C378&lt;='Batt IN'!$E$44*12),-'Batt IN'!$E$28*'Batt IN'!$E$42/12,0)</f>
        <v>0</v>
      </c>
      <c r="AP378" s="10">
        <f>IF(AND('Batt IN'!$D$46="YES",$C378&lt;='Batt IN'!$E$46*12),-'Batt IN'!$E$28*'Batt IN'!$E$45/12,0)</f>
        <v>0</v>
      </c>
      <c r="AR378" s="10">
        <f>BattLoan!M405</f>
        <v>0</v>
      </c>
      <c r="AS378" s="10">
        <f>'Batt IN'!$G$16*365/12*'Batt IN'!$E$16</f>
        <v>76.041666666666671</v>
      </c>
      <c r="AT378" s="10">
        <f>IF(AND('Batt IN'!$E$18&gt;0,'Batt IN'!$G$18&gt;0),'Batt IN'!$E$17*'Batt IN'!$G$17,0)</f>
        <v>119.44619999999999</v>
      </c>
      <c r="AU378" s="10">
        <f>IF(AND('Batt IN'!$E$20&gt;0,'Batt IN'!$G$20&gt;0),'Batt IN'!$E$19*'Batt IN'!$G$19,0)</f>
        <v>231</v>
      </c>
      <c r="AV378" s="10"/>
      <c r="AW378" s="10"/>
      <c r="AX378" s="10">
        <f>IF('Batt IN'!$E$11="Non-Taxable",Q378,0)</f>
        <v>12300.186739726028</v>
      </c>
      <c r="AY378" s="10">
        <f>IF('Batt IN'!$E$11="Non-Taxable",'Batt IN'!$E$28/1000*'Batt IN'!$G$13*('Batt IN'!$E$13/12)*'Batt IN'!$E$12,0)</f>
        <v>244.42220833333334</v>
      </c>
      <c r="AZ378" s="10">
        <f>IF('Batt IN'!$E$11="Non-Taxable",$S378*'Batt IN'!$G$15*'Batt IN'!$E$28*'Batt IN'!$E$14/1000,0)</f>
        <v>0</v>
      </c>
      <c r="BA378" s="10">
        <f>IF('Batt IN'!$E$11="Non-Taxable",'Batt IN'!$E$21*'Batt IN'!$G$21/12,0)</f>
        <v>437.5</v>
      </c>
      <c r="BB378" s="10">
        <f>IF('Batt IN'!$E$11="Non-Taxable",'Batt IN'!$E$22*'Batt IN'!$G$22/12,0)</f>
        <v>1145.8333333333335</v>
      </c>
      <c r="BC378" s="10">
        <f>IF('Batt IN'!$E$11="Taxable",Q378,0)</f>
        <v>0</v>
      </c>
      <c r="BD378" s="10">
        <f>IF('Batt IN'!$E$11="Taxable",'Batt IN'!$E$28/1000*'Batt IN'!$G$13*('Batt IN'!$E$13/12)*'Batt IN'!$E$12,0)</f>
        <v>0</v>
      </c>
      <c r="BE378" s="10">
        <f>IF('Batt IN'!$E$11="Taxable",$S378*'Batt IN'!$G$15*'Batt IN'!$E$28*'Batt IN'!$E$14/1000,0)</f>
        <v>0</v>
      </c>
      <c r="BF378" s="10">
        <f>IF('Batt IN'!$E$11="Taxable",'Batt IN'!$E$21*'Batt IN'!$G$21/12,0)</f>
        <v>0</v>
      </c>
      <c r="BG378" s="10">
        <f>IF('Batt IN'!$E$11="Taxable",'Batt IN'!$E$22*'Batt IN'!$G$22/12,0)</f>
        <v>0</v>
      </c>
      <c r="BK378" s="10">
        <f>IF('Batt IN'!$N$18="Yes",-BattLoan!H406,-BattLoan!L406)</f>
        <v>0</v>
      </c>
      <c r="BL378" s="10">
        <f>IF('Batt IN'!$N$18="Yes",-BattLoan!F406,0)</f>
        <v>0</v>
      </c>
      <c r="BM378" s="10">
        <f>IF(AND('Batt IN'!$D$44="YES",$C378&lt;='Batt IN'!$E$44*12),0,-'Batt IN'!$E$28*'Batt IN'!$E$42/12)</f>
        <v>-83.333333333333329</v>
      </c>
      <c r="BN378" s="10">
        <f>IF(AND('Batt IN'!$D$46="YES",$C378&lt;='Batt IN'!$E$46*12),0,-'Batt IN'!$E$28*'Batt IN'!$E$45/12)</f>
        <v>-166.66666666666666</v>
      </c>
      <c r="BO378" s="2">
        <f>IF(AND('Batt IN'!$D$41="YES",BattCalcs!C378=ROUNDUP('Batt IN'!$H$41*12,)),-'Batt IN'!$E$41*'Batt IN'!$E$28,0)</f>
        <v>0</v>
      </c>
      <c r="BP378" s="2">
        <f>IF(AND('Batt IN'!$D$53="Yes",$AL$1&gt;=1),0,IF($C378='Batt IN'!$H$54*12,-'Batt IN'!$F$54,0))</f>
        <v>0</v>
      </c>
      <c r="BQ378" s="2">
        <f>IF(AND('Batt IN'!$D$53="Yes",$AL$1&gt;=2),0,IF($C378='Batt IN'!$H$55*12,-'Batt IN'!$F$55,0))</f>
        <v>0</v>
      </c>
      <c r="BR378" s="2">
        <f>IF(AND('Batt IN'!$D$53="Yes",$AL$1&gt;=3),0,IF($C378='Batt IN'!$H$56*12,-'Batt IN'!$F$56,0))</f>
        <v>0</v>
      </c>
      <c r="BS378" s="2">
        <f>IF(AND('Batt IN'!$D$53="Yes",$AL$1&gt;=4),0,IF($C378='Batt IN'!$H$57*12,-'Batt IN'!$F$57,0))</f>
        <v>0</v>
      </c>
      <c r="BT378" s="2">
        <f>IF(AND('Batt IN'!$D$53="Yes",$AL$1&gt;=5),0,IF($C378='Batt IN'!$H$58*12,-'Batt IN'!$F$58,0))</f>
        <v>0</v>
      </c>
      <c r="BU378" s="2">
        <f>-AH378*PVCalcs!F378</f>
        <v>-359.37504381576838</v>
      </c>
      <c r="BV378" s="2">
        <f>-'Batt IN'!$E$47</f>
        <v>-150</v>
      </c>
      <c r="BW378" s="2">
        <f>-'Batt IN'!$E$49</f>
        <v>-2250</v>
      </c>
      <c r="BX378" s="2">
        <f>IF('Batt IN'!$H$50="No",-(BC378*'Batt IN'!$E$50),-(BC378+BE378)*'Batt IN'!$E$50)</f>
        <v>0</v>
      </c>
      <c r="BY378" s="2">
        <f>IF(C378='Batt IN'!$H$43*12,-'Batt IN'!$E$43,0)</f>
        <v>0</v>
      </c>
      <c r="BZ378" s="38"/>
      <c r="CA378" s="10">
        <f t="shared" si="106"/>
        <v>14554.430148059362</v>
      </c>
      <c r="CB378" s="2">
        <f t="shared" si="94"/>
        <v>-3009.3750438157685</v>
      </c>
      <c r="CC378" s="45">
        <f t="shared" si="107"/>
        <v>11545.055104243595</v>
      </c>
      <c r="CD378" s="43"/>
      <c r="CE378" s="2">
        <f t="shared" si="108"/>
        <v>0</v>
      </c>
      <c r="CF378" s="2">
        <f t="shared" si="95"/>
        <v>-3009.3750438157685</v>
      </c>
      <c r="CG378" s="2"/>
      <c r="CH378" s="2">
        <f t="shared" si="109"/>
        <v>-3009.3750438157685</v>
      </c>
      <c r="CI378" s="45">
        <f>-CH378*'Batt IN'!$E$7</f>
        <v>631.9687592013114</v>
      </c>
      <c r="CJ378" s="48"/>
      <c r="CK378" s="45">
        <f>IF('Batt IN'!$F$4="PV Only",0,IF(C378&gt;'Batt IN'!$H$43*12,0,CC378+CI378))</f>
        <v>0</v>
      </c>
      <c r="CM378" s="10">
        <f t="shared" si="110"/>
        <v>0</v>
      </c>
      <c r="CN378" s="2">
        <f>CK378/(1+('Batt IN'!$G$8))^(C378)</f>
        <v>0</v>
      </c>
      <c r="CO378" s="2" t="e">
        <f>IF(C378&lt;='Batt IN'!$O$30*12,CN378+CO377,NA())</f>
        <v>#N/A</v>
      </c>
      <c r="CQ378" s="2">
        <f>CK378/((1+('Batt IN'!$E$8/12))^BattCalcs!C378)</f>
        <v>0</v>
      </c>
      <c r="CS378" s="10">
        <f t="shared" si="96"/>
        <v>-3009.3750438157685</v>
      </c>
      <c r="CT378" s="10">
        <f t="shared" si="97"/>
        <v>0</v>
      </c>
      <c r="CU378" s="10">
        <f t="shared" si="98"/>
        <v>-3009.3750438157685</v>
      </c>
      <c r="CV378" s="10">
        <f t="shared" si="99"/>
        <v>-3009.3750438157685</v>
      </c>
      <c r="CW378" s="2">
        <f t="shared" si="100"/>
        <v>0</v>
      </c>
      <c r="CX378" s="2">
        <f>-(SUM(CV378:CW378)*'PV IN'!$E$8)</f>
        <v>631.9687592013114</v>
      </c>
      <c r="CY378" s="2">
        <f t="shared" si="101"/>
        <v>-2377.406284614457</v>
      </c>
      <c r="CZ378" s="2">
        <f>IF(C378&lt;='Batt IN'!$H$43*12,CY378/(1+('PV IN'!$G$9))^(C378),0)</f>
        <v>0</v>
      </c>
      <c r="DA378" s="33">
        <f>IF(C378&lt;='Batt IN'!$H$43*12,AE378,0)</f>
        <v>0</v>
      </c>
    </row>
    <row r="379" spans="1:105" x14ac:dyDescent="0.25">
      <c r="A379" t="str">
        <f>IF(C379&lt;='Batt IN'!$H$43*12,C379,"")</f>
        <v/>
      </c>
      <c r="C379">
        <v>375</v>
      </c>
      <c r="D379" s="21">
        <v>805</v>
      </c>
      <c r="E379" s="1">
        <f>1-'Batt IN'!$E$31</f>
        <v>2.0000000000000018E-2</v>
      </c>
      <c r="F379" s="12">
        <f>('Batt IN'!$E$33*365)/8760</f>
        <v>0</v>
      </c>
      <c r="G379" s="22">
        <f>'Batt IN'!$E$32/8760</f>
        <v>5.7077625570776253E-3</v>
      </c>
      <c r="H379" s="22">
        <f>'Batt IN'!$E$13/8760</f>
        <v>5.5936073059360729E-3</v>
      </c>
      <c r="I379" s="23">
        <f>IF(C379&lt;='Batt IN'!$G$14*12,'Batt IN'!$E$15/8760*'Batt IN'!$G$15,0)</f>
        <v>0</v>
      </c>
      <c r="J379" s="12">
        <f>Z379/'Batt IN'!$E$27/730</f>
        <v>2.4999999999999996E-3</v>
      </c>
      <c r="K379" s="23">
        <f>AA379/'Batt IN'!$E$27/730</f>
        <v>1.6027397260273972E-3</v>
      </c>
      <c r="L379" s="23">
        <f>AB379/'Batt IN'!$E$27/730</f>
        <v>2.0547945205479451E-4</v>
      </c>
      <c r="M379" s="23">
        <f>AC379/'Batt IN'!$E$27/730</f>
        <v>4.7945205479452057E-3</v>
      </c>
      <c r="N379" s="23">
        <f>AD379/'Batt IN'!$E$27/730</f>
        <v>3.4246575342465752E-3</v>
      </c>
      <c r="O379" s="12">
        <f t="shared" si="102"/>
        <v>4.3828767123287697E-2</v>
      </c>
      <c r="P379" s="21">
        <f t="shared" si="103"/>
        <v>769.71784246575339</v>
      </c>
      <c r="Q379" s="2">
        <f>IF('Batt IN'!$E$27*'Batt IN'!$E$24&lt;='Batt IN'!$E$28,(('Batt IN'!$E$23*'Batt IN'!$E$27*'Batt IN'!$E$24)/1000)*P379,(('Batt IN'!$E$23*'Batt IN'!$E$28*'Batt IN'!$E$24)/1000)*P379)</f>
        <v>12315.485479452054</v>
      </c>
      <c r="R379" s="2"/>
      <c r="S379" s="77">
        <f>IF(C379&lt;='Batt IN'!$G$14*12,'Batt IN'!$E$15/12,0)</f>
        <v>0</v>
      </c>
      <c r="T379" s="77"/>
      <c r="U379" s="80">
        <f>'Batt IN'!$E$28*('Batt IN'!$G$24/24)*730*(1-O379)</f>
        <v>81433.916666666657</v>
      </c>
      <c r="V379" s="78">
        <f>U379*'Batt IN'!$F$30</f>
        <v>16286.783333333333</v>
      </c>
      <c r="W379" s="78">
        <f>'Batt IN'!$E$28*'Batt IN'!$G$32*('Batt IN'!$E$32/12)*(1+'Batt IN'!$F$30)</f>
        <v>1750.0000000000002</v>
      </c>
      <c r="X379" s="78">
        <f>'Batt IN'!$E$28*'Batt IN'!$G$13*('Batt IN'!$E$13/12)*(1+'Batt IN'!$F$30)</f>
        <v>3184.9999999999995</v>
      </c>
      <c r="Y379" s="33">
        <f>S379*'Batt IN'!$G$15*'Batt IN'!$E$28*(1+'Batt IN'!$F$30)</f>
        <v>0</v>
      </c>
      <c r="Z379" s="33">
        <f>'Batt IN'!$G$16*365/12*(1+'Batt IN'!$F$30)</f>
        <v>1824.9999999999998</v>
      </c>
      <c r="AA379" s="33">
        <f>'Batt IN'!$G$17*'Batt IN'!$E$18*'Batt IN'!$G$18/12*(1+'Batt IN'!$F$30)</f>
        <v>1170</v>
      </c>
      <c r="AB379" s="33">
        <f>'Batt IN'!$G$19*'Batt IN'!$E$20*'Batt IN'!$G$20/12*(1+'Batt IN'!$F$30)</f>
        <v>150</v>
      </c>
      <c r="AC379" s="33">
        <f>'Batt IN'!$G$21*(1+'Batt IN'!$F$30)/12</f>
        <v>3500</v>
      </c>
      <c r="AD379" s="33">
        <f>'Batt IN'!$G$22*(1+'Batt IN'!$F$30)/12</f>
        <v>2500</v>
      </c>
      <c r="AE379" s="33">
        <f t="shared" si="104"/>
        <v>30366.783333333333</v>
      </c>
      <c r="AF379" s="33">
        <f>IF('PV IN'!$F$4="Battery Only",0,AE379*'Batt IN'!$E$29)</f>
        <v>25811.765833333331</v>
      </c>
      <c r="AG379" s="33">
        <f>PVCalcs!L379</f>
        <v>25811.765833333331</v>
      </c>
      <c r="AH379" s="33">
        <f t="shared" si="105"/>
        <v>4555.0175000000017</v>
      </c>
      <c r="AI379" s="33"/>
      <c r="AJ379" s="2">
        <f>IF(AND('Batt IN'!$D$53="Yes",$AL$1&gt;=1),IF($C379='Batt IN'!$H$54*12,-'Batt IN'!$F$54,0),0)</f>
        <v>0</v>
      </c>
      <c r="AK379" s="2">
        <f>IF(AND('Batt IN'!$D$53="Yes",$AL$1&gt;=2),IF($C379='Batt IN'!$H$55*12,-'Batt IN'!$F$55,0),0)</f>
        <v>0</v>
      </c>
      <c r="AL379" s="2">
        <f>IF(AND('Batt IN'!$D$53="Yes",$AL$1&gt;=3),IF($C379='Batt IN'!$H$56*12,-'Batt IN'!$F$56,0),0)</f>
        <v>0</v>
      </c>
      <c r="AM379" s="2">
        <f>IF(AND('Batt IN'!$D$53="Yes",$AL$1&gt;=4),IF($C379='Batt IN'!$H$57*12,-'Batt IN'!$F$57,0),0)</f>
        <v>0</v>
      </c>
      <c r="AN379" s="2">
        <f>IF(AND('Batt IN'!$D$53="Yes",$AL$1&gt;=5),IF($C379='Batt IN'!$H$58*12,-'Batt IN'!$F$58,0),0)</f>
        <v>0</v>
      </c>
      <c r="AO379" s="10">
        <f>IF(AND('Batt IN'!$D$44="YES",$C379&lt;='Batt IN'!$E$44*12),-'Batt IN'!$E$28*'Batt IN'!$E$42/12,0)</f>
        <v>0</v>
      </c>
      <c r="AP379" s="10">
        <f>IF(AND('Batt IN'!$D$46="YES",$C379&lt;='Batt IN'!$E$46*12),-'Batt IN'!$E$28*'Batt IN'!$E$45/12,0)</f>
        <v>0</v>
      </c>
      <c r="AR379" s="10">
        <f>BattLoan!M406</f>
        <v>0</v>
      </c>
      <c r="AS379" s="10">
        <f>'Batt IN'!$G$16*365/12*'Batt IN'!$E$16</f>
        <v>76.041666666666671</v>
      </c>
      <c r="AT379" s="10">
        <f>IF(AND('Batt IN'!$E$18&gt;0,'Batt IN'!$G$18&gt;0),'Batt IN'!$E$17*'Batt IN'!$G$17,0)</f>
        <v>119.44619999999999</v>
      </c>
      <c r="AU379" s="10">
        <f>IF(AND('Batt IN'!$E$20&gt;0,'Batt IN'!$G$20&gt;0),'Batt IN'!$E$19*'Batt IN'!$G$19,0)</f>
        <v>231</v>
      </c>
      <c r="AV379" s="10"/>
      <c r="AW379" s="10"/>
      <c r="AX379" s="10">
        <f>IF('Batt IN'!$E$11="Non-Taxable",Q379,0)</f>
        <v>12315.485479452054</v>
      </c>
      <c r="AY379" s="10">
        <f>IF('Batt IN'!$E$11="Non-Taxable",'Batt IN'!$E$28/1000*'Batt IN'!$G$13*('Batt IN'!$E$13/12)*'Batt IN'!$E$12,0)</f>
        <v>244.42220833333334</v>
      </c>
      <c r="AZ379" s="10">
        <f>IF('Batt IN'!$E$11="Non-Taxable",$S379*'Batt IN'!$G$15*'Batt IN'!$E$28*'Batt IN'!$E$14/1000,0)</f>
        <v>0</v>
      </c>
      <c r="BA379" s="10">
        <f>IF('Batt IN'!$E$11="Non-Taxable",'Batt IN'!$E$21*'Batt IN'!$G$21/12,0)</f>
        <v>437.5</v>
      </c>
      <c r="BB379" s="10">
        <f>IF('Batt IN'!$E$11="Non-Taxable",'Batt IN'!$E$22*'Batt IN'!$G$22/12,0)</f>
        <v>1145.8333333333335</v>
      </c>
      <c r="BC379" s="10">
        <f>IF('Batt IN'!$E$11="Taxable",Q379,0)</f>
        <v>0</v>
      </c>
      <c r="BD379" s="10">
        <f>IF('Batt IN'!$E$11="Taxable",'Batt IN'!$E$28/1000*'Batt IN'!$G$13*('Batt IN'!$E$13/12)*'Batt IN'!$E$12,0)</f>
        <v>0</v>
      </c>
      <c r="BE379" s="10">
        <f>IF('Batt IN'!$E$11="Taxable",$S379*'Batt IN'!$G$15*'Batt IN'!$E$28*'Batt IN'!$E$14/1000,0)</f>
        <v>0</v>
      </c>
      <c r="BF379" s="10">
        <f>IF('Batt IN'!$E$11="Taxable",'Batt IN'!$E$21*'Batt IN'!$G$21/12,0)</f>
        <v>0</v>
      </c>
      <c r="BG379" s="10">
        <f>IF('Batt IN'!$E$11="Taxable",'Batt IN'!$E$22*'Batt IN'!$G$22/12,0)</f>
        <v>0</v>
      </c>
      <c r="BK379" s="10">
        <f>IF('Batt IN'!$N$18="Yes",-BattLoan!H407,-BattLoan!L407)</f>
        <v>0</v>
      </c>
      <c r="BL379" s="10">
        <f>IF('Batt IN'!$N$18="Yes",-BattLoan!F407,0)</f>
        <v>0</v>
      </c>
      <c r="BM379" s="10">
        <f>IF(AND('Batt IN'!$D$44="YES",$C379&lt;='Batt IN'!$E$44*12),0,-'Batt IN'!$E$28*'Batt IN'!$E$42/12)</f>
        <v>-83.333333333333329</v>
      </c>
      <c r="BN379" s="10">
        <f>IF(AND('Batt IN'!$D$46="YES",$C379&lt;='Batt IN'!$E$46*12),0,-'Batt IN'!$E$28*'Batt IN'!$E$45/12)</f>
        <v>-166.66666666666666</v>
      </c>
      <c r="BO379" s="2">
        <f>IF(AND('Batt IN'!$D$41="YES",BattCalcs!C379=ROUNDUP('Batt IN'!$H$41*12,)),-'Batt IN'!$E$41*'Batt IN'!$E$28,0)</f>
        <v>0</v>
      </c>
      <c r="BP379" s="2">
        <f>IF(AND('Batt IN'!$D$53="Yes",$AL$1&gt;=1),0,IF($C379='Batt IN'!$H$54*12,-'Batt IN'!$F$54,0))</f>
        <v>0</v>
      </c>
      <c r="BQ379" s="2">
        <f>IF(AND('Batt IN'!$D$53="Yes",$AL$1&gt;=2),0,IF($C379='Batt IN'!$H$55*12,-'Batt IN'!$F$55,0))</f>
        <v>0</v>
      </c>
      <c r="BR379" s="2">
        <f>IF(AND('Batt IN'!$D$53="Yes",$AL$1&gt;=3),0,IF($C379='Batt IN'!$H$56*12,-'Batt IN'!$F$56,0))</f>
        <v>0</v>
      </c>
      <c r="BS379" s="2">
        <f>IF(AND('Batt IN'!$D$53="Yes",$AL$1&gt;=4),0,IF($C379='Batt IN'!$H$57*12,-'Batt IN'!$F$57,0))</f>
        <v>0</v>
      </c>
      <c r="BT379" s="2">
        <f>IF(AND('Batt IN'!$D$53="Yes",$AL$1&gt;=5),0,IF($C379='Batt IN'!$H$58*12,-'Batt IN'!$F$58,0))</f>
        <v>0</v>
      </c>
      <c r="BU379" s="2">
        <f>-AH379*PVCalcs!F379</f>
        <v>-359.37504381576838</v>
      </c>
      <c r="BV379" s="2">
        <f>-'Batt IN'!$E$47</f>
        <v>-150</v>
      </c>
      <c r="BW379" s="2">
        <f>-'Batt IN'!$E$49</f>
        <v>-2250</v>
      </c>
      <c r="BX379" s="2">
        <f>IF('Batt IN'!$H$50="No",-(BC379*'Batt IN'!$E$50),-(BC379+BE379)*'Batt IN'!$E$50)</f>
        <v>0</v>
      </c>
      <c r="BY379" s="2">
        <f>IF(C379='Batt IN'!$H$43*12,-'Batt IN'!$E$43,0)</f>
        <v>0</v>
      </c>
      <c r="BZ379" s="38"/>
      <c r="CA379" s="10">
        <f t="shared" si="106"/>
        <v>14569.728887785388</v>
      </c>
      <c r="CB379" s="2">
        <f t="shared" si="94"/>
        <v>-3009.3750438157685</v>
      </c>
      <c r="CC379" s="45">
        <f t="shared" si="107"/>
        <v>11560.35384396962</v>
      </c>
      <c r="CD379" s="43"/>
      <c r="CE379" s="2">
        <f t="shared" si="108"/>
        <v>0</v>
      </c>
      <c r="CF379" s="2">
        <f t="shared" si="95"/>
        <v>-3009.3750438157685</v>
      </c>
      <c r="CG379" s="2"/>
      <c r="CH379" s="2">
        <f t="shared" si="109"/>
        <v>-3009.3750438157685</v>
      </c>
      <c r="CI379" s="45">
        <f>-CH379*'Batt IN'!$E$7</f>
        <v>631.9687592013114</v>
      </c>
      <c r="CJ379" s="48"/>
      <c r="CK379" s="45">
        <f>IF('Batt IN'!$F$4="PV Only",0,IF(C379&gt;'Batt IN'!$H$43*12,0,CC379+CI379))</f>
        <v>0</v>
      </c>
      <c r="CM379" s="10">
        <f t="shared" si="110"/>
        <v>0</v>
      </c>
      <c r="CN379" s="2">
        <f>CK379/(1+('Batt IN'!$G$8))^(C379)</f>
        <v>0</v>
      </c>
      <c r="CO379" s="2" t="e">
        <f>IF(C379&lt;='Batt IN'!$O$30*12,CN379+CO378,NA())</f>
        <v>#N/A</v>
      </c>
      <c r="CQ379" s="2">
        <f>CK379/((1+('Batt IN'!$E$8/12))^BattCalcs!C379)</f>
        <v>0</v>
      </c>
      <c r="CS379" s="10">
        <f t="shared" si="96"/>
        <v>-3009.3750438157685</v>
      </c>
      <c r="CT379" s="10">
        <f t="shared" si="97"/>
        <v>0</v>
      </c>
      <c r="CU379" s="10">
        <f t="shared" si="98"/>
        <v>-3009.3750438157685</v>
      </c>
      <c r="CV379" s="10">
        <f t="shared" si="99"/>
        <v>-3009.3750438157685</v>
      </c>
      <c r="CW379" s="2">
        <f t="shared" si="100"/>
        <v>0</v>
      </c>
      <c r="CX379" s="2">
        <f>-(SUM(CV379:CW379)*'PV IN'!$E$8)</f>
        <v>631.9687592013114</v>
      </c>
      <c r="CY379" s="2">
        <f t="shared" si="101"/>
        <v>-2377.406284614457</v>
      </c>
      <c r="CZ379" s="2">
        <f>IF(C379&lt;='Batt IN'!$H$43*12,CY379/(1+('PV IN'!$G$9))^(C379),0)</f>
        <v>0</v>
      </c>
      <c r="DA379" s="33">
        <f>IF(C379&lt;='Batt IN'!$H$43*12,AE379,0)</f>
        <v>0</v>
      </c>
    </row>
    <row r="380" spans="1:105" x14ac:dyDescent="0.25">
      <c r="A380" t="str">
        <f>IF(C380&lt;='Batt IN'!$H$43*12,C380,"")</f>
        <v/>
      </c>
      <c r="C380">
        <v>376</v>
      </c>
      <c r="D380" s="21">
        <v>806</v>
      </c>
      <c r="E380" s="1">
        <f>1-'Batt IN'!$E$31</f>
        <v>2.0000000000000018E-2</v>
      </c>
      <c r="F380" s="12">
        <f>('Batt IN'!$E$33*365)/8760</f>
        <v>0</v>
      </c>
      <c r="G380" s="22">
        <f>'Batt IN'!$E$32/8760</f>
        <v>5.7077625570776253E-3</v>
      </c>
      <c r="H380" s="22">
        <f>'Batt IN'!$E$13/8760</f>
        <v>5.5936073059360729E-3</v>
      </c>
      <c r="I380" s="23">
        <f>IF(C380&lt;='Batt IN'!$G$14*12,'Batt IN'!$E$15/8760*'Batt IN'!$G$15,0)</f>
        <v>0</v>
      </c>
      <c r="J380" s="12">
        <f>Z380/'Batt IN'!$E$27/730</f>
        <v>2.4999999999999996E-3</v>
      </c>
      <c r="K380" s="23">
        <f>AA380/'Batt IN'!$E$27/730</f>
        <v>1.6027397260273972E-3</v>
      </c>
      <c r="L380" s="23">
        <f>AB380/'Batt IN'!$E$27/730</f>
        <v>2.0547945205479451E-4</v>
      </c>
      <c r="M380" s="23">
        <f>AC380/'Batt IN'!$E$27/730</f>
        <v>4.7945205479452057E-3</v>
      </c>
      <c r="N380" s="23">
        <f>AD380/'Batt IN'!$E$27/730</f>
        <v>3.4246575342465752E-3</v>
      </c>
      <c r="O380" s="12">
        <f t="shared" si="102"/>
        <v>4.3828767123287697E-2</v>
      </c>
      <c r="P380" s="21">
        <f t="shared" si="103"/>
        <v>770.67401369863012</v>
      </c>
      <c r="Q380" s="2">
        <f>IF('Batt IN'!$E$27*'Batt IN'!$E$24&lt;='Batt IN'!$E$28,(('Batt IN'!$E$23*'Batt IN'!$E$27*'Batt IN'!$E$24)/1000)*P380,(('Batt IN'!$E$23*'Batt IN'!$E$28*'Batt IN'!$E$24)/1000)*P380)</f>
        <v>12330.784219178082</v>
      </c>
      <c r="R380" s="2"/>
      <c r="S380" s="77">
        <f>IF(C380&lt;='Batt IN'!$G$14*12,'Batt IN'!$E$15/12,0)</f>
        <v>0</v>
      </c>
      <c r="T380" s="77"/>
      <c r="U380" s="80">
        <f>'Batt IN'!$E$28*('Batt IN'!$G$24/24)*730*(1-O380)</f>
        <v>81433.916666666657</v>
      </c>
      <c r="V380" s="78">
        <f>U380*'Batt IN'!$F$30</f>
        <v>16286.783333333333</v>
      </c>
      <c r="W380" s="78">
        <f>'Batt IN'!$E$28*'Batt IN'!$G$32*('Batt IN'!$E$32/12)*(1+'Batt IN'!$F$30)</f>
        <v>1750.0000000000002</v>
      </c>
      <c r="X380" s="78">
        <f>'Batt IN'!$E$28*'Batt IN'!$G$13*('Batt IN'!$E$13/12)*(1+'Batt IN'!$F$30)</f>
        <v>3184.9999999999995</v>
      </c>
      <c r="Y380" s="33">
        <f>S380*'Batt IN'!$G$15*'Batt IN'!$E$28*(1+'Batt IN'!$F$30)</f>
        <v>0</v>
      </c>
      <c r="Z380" s="33">
        <f>'Batt IN'!$G$16*365/12*(1+'Batt IN'!$F$30)</f>
        <v>1824.9999999999998</v>
      </c>
      <c r="AA380" s="33">
        <f>'Batt IN'!$G$17*'Batt IN'!$E$18*'Batt IN'!$G$18/12*(1+'Batt IN'!$F$30)</f>
        <v>1170</v>
      </c>
      <c r="AB380" s="33">
        <f>'Batt IN'!$G$19*'Batt IN'!$E$20*'Batt IN'!$G$20/12*(1+'Batt IN'!$F$30)</f>
        <v>150</v>
      </c>
      <c r="AC380" s="33">
        <f>'Batt IN'!$G$21*(1+'Batt IN'!$F$30)/12</f>
        <v>3500</v>
      </c>
      <c r="AD380" s="33">
        <f>'Batt IN'!$G$22*(1+'Batt IN'!$F$30)/12</f>
        <v>2500</v>
      </c>
      <c r="AE380" s="33">
        <f t="shared" si="104"/>
        <v>30366.783333333333</v>
      </c>
      <c r="AF380" s="33">
        <f>IF('PV IN'!$F$4="Battery Only",0,AE380*'Batt IN'!$E$29)</f>
        <v>25811.765833333331</v>
      </c>
      <c r="AG380" s="33">
        <f>PVCalcs!L380</f>
        <v>25811.765833333331</v>
      </c>
      <c r="AH380" s="33">
        <f t="shared" si="105"/>
        <v>4555.0175000000017</v>
      </c>
      <c r="AI380" s="33"/>
      <c r="AJ380" s="2">
        <f>IF(AND('Batt IN'!$D$53="Yes",$AL$1&gt;=1),IF($C380='Batt IN'!$H$54*12,-'Batt IN'!$F$54,0),0)</f>
        <v>0</v>
      </c>
      <c r="AK380" s="2">
        <f>IF(AND('Batt IN'!$D$53="Yes",$AL$1&gt;=2),IF($C380='Batt IN'!$H$55*12,-'Batt IN'!$F$55,0),0)</f>
        <v>0</v>
      </c>
      <c r="AL380" s="2">
        <f>IF(AND('Batt IN'!$D$53="Yes",$AL$1&gt;=3),IF($C380='Batt IN'!$H$56*12,-'Batt IN'!$F$56,0),0)</f>
        <v>0</v>
      </c>
      <c r="AM380" s="2">
        <f>IF(AND('Batt IN'!$D$53="Yes",$AL$1&gt;=4),IF($C380='Batt IN'!$H$57*12,-'Batt IN'!$F$57,0),0)</f>
        <v>0</v>
      </c>
      <c r="AN380" s="2">
        <f>IF(AND('Batt IN'!$D$53="Yes",$AL$1&gt;=5),IF($C380='Batt IN'!$H$58*12,-'Batt IN'!$F$58,0),0)</f>
        <v>0</v>
      </c>
      <c r="AO380" s="10">
        <f>IF(AND('Batt IN'!$D$44="YES",$C380&lt;='Batt IN'!$E$44*12),-'Batt IN'!$E$28*'Batt IN'!$E$42/12,0)</f>
        <v>0</v>
      </c>
      <c r="AP380" s="10">
        <f>IF(AND('Batt IN'!$D$46="YES",$C380&lt;='Batt IN'!$E$46*12),-'Batt IN'!$E$28*'Batt IN'!$E$45/12,0)</f>
        <v>0</v>
      </c>
      <c r="AR380" s="10">
        <f>BattLoan!M407</f>
        <v>0</v>
      </c>
      <c r="AS380" s="10">
        <f>'Batt IN'!$G$16*365/12*'Batt IN'!$E$16</f>
        <v>76.041666666666671</v>
      </c>
      <c r="AT380" s="10">
        <f>IF(AND('Batt IN'!$E$18&gt;0,'Batt IN'!$G$18&gt;0),'Batt IN'!$E$17*'Batt IN'!$G$17,0)</f>
        <v>119.44619999999999</v>
      </c>
      <c r="AU380" s="10">
        <f>IF(AND('Batt IN'!$E$20&gt;0,'Batt IN'!$G$20&gt;0),'Batt IN'!$E$19*'Batt IN'!$G$19,0)</f>
        <v>231</v>
      </c>
      <c r="AV380" s="10"/>
      <c r="AW380" s="10"/>
      <c r="AX380" s="10">
        <f>IF('Batt IN'!$E$11="Non-Taxable",Q380,0)</f>
        <v>12330.784219178082</v>
      </c>
      <c r="AY380" s="10">
        <f>IF('Batt IN'!$E$11="Non-Taxable",'Batt IN'!$E$28/1000*'Batt IN'!$G$13*('Batt IN'!$E$13/12)*'Batt IN'!$E$12,0)</f>
        <v>244.42220833333334</v>
      </c>
      <c r="AZ380" s="10">
        <f>IF('Batt IN'!$E$11="Non-Taxable",$S380*'Batt IN'!$G$15*'Batt IN'!$E$28*'Batt IN'!$E$14/1000,0)</f>
        <v>0</v>
      </c>
      <c r="BA380" s="10">
        <f>IF('Batt IN'!$E$11="Non-Taxable",'Batt IN'!$E$21*'Batt IN'!$G$21/12,0)</f>
        <v>437.5</v>
      </c>
      <c r="BB380" s="10">
        <f>IF('Batt IN'!$E$11="Non-Taxable",'Batt IN'!$E$22*'Batt IN'!$G$22/12,0)</f>
        <v>1145.8333333333335</v>
      </c>
      <c r="BC380" s="10">
        <f>IF('Batt IN'!$E$11="Taxable",Q380,0)</f>
        <v>0</v>
      </c>
      <c r="BD380" s="10">
        <f>IF('Batt IN'!$E$11="Taxable",'Batt IN'!$E$28/1000*'Batt IN'!$G$13*('Batt IN'!$E$13/12)*'Batt IN'!$E$12,0)</f>
        <v>0</v>
      </c>
      <c r="BE380" s="10">
        <f>IF('Batt IN'!$E$11="Taxable",$S380*'Batt IN'!$G$15*'Batt IN'!$E$28*'Batt IN'!$E$14/1000,0)</f>
        <v>0</v>
      </c>
      <c r="BF380" s="10">
        <f>IF('Batt IN'!$E$11="Taxable",'Batt IN'!$E$21*'Batt IN'!$G$21/12,0)</f>
        <v>0</v>
      </c>
      <c r="BG380" s="10">
        <f>IF('Batt IN'!$E$11="Taxable",'Batt IN'!$E$22*'Batt IN'!$G$22/12,0)</f>
        <v>0</v>
      </c>
      <c r="BK380" s="10">
        <f>IF('Batt IN'!$N$18="Yes",-BattLoan!H408,-BattLoan!L408)</f>
        <v>0</v>
      </c>
      <c r="BL380" s="10">
        <f>IF('Batt IN'!$N$18="Yes",-BattLoan!F408,0)</f>
        <v>0</v>
      </c>
      <c r="BM380" s="10">
        <f>IF(AND('Batt IN'!$D$44="YES",$C380&lt;='Batt IN'!$E$44*12),0,-'Batt IN'!$E$28*'Batt IN'!$E$42/12)</f>
        <v>-83.333333333333329</v>
      </c>
      <c r="BN380" s="10">
        <f>IF(AND('Batt IN'!$D$46="YES",$C380&lt;='Batt IN'!$E$46*12),0,-'Batt IN'!$E$28*'Batt IN'!$E$45/12)</f>
        <v>-166.66666666666666</v>
      </c>
      <c r="BO380" s="2">
        <f>IF(AND('Batt IN'!$D$41="YES",BattCalcs!C380=ROUNDUP('Batt IN'!$H$41*12,)),-'Batt IN'!$E$41*'Batt IN'!$E$28,0)</f>
        <v>0</v>
      </c>
      <c r="BP380" s="2">
        <f>IF(AND('Batt IN'!$D$53="Yes",$AL$1&gt;=1),0,IF($C380='Batt IN'!$H$54*12,-'Batt IN'!$F$54,0))</f>
        <v>0</v>
      </c>
      <c r="BQ380" s="2">
        <f>IF(AND('Batt IN'!$D$53="Yes",$AL$1&gt;=2),0,IF($C380='Batt IN'!$H$55*12,-'Batt IN'!$F$55,0))</f>
        <v>0</v>
      </c>
      <c r="BR380" s="2">
        <f>IF(AND('Batt IN'!$D$53="Yes",$AL$1&gt;=3),0,IF($C380='Batt IN'!$H$56*12,-'Batt IN'!$F$56,0))</f>
        <v>0</v>
      </c>
      <c r="BS380" s="2">
        <f>IF(AND('Batt IN'!$D$53="Yes",$AL$1&gt;=4),0,IF($C380='Batt IN'!$H$57*12,-'Batt IN'!$F$57,0))</f>
        <v>0</v>
      </c>
      <c r="BT380" s="2">
        <f>IF(AND('Batt IN'!$D$53="Yes",$AL$1&gt;=5),0,IF($C380='Batt IN'!$H$58*12,-'Batt IN'!$F$58,0))</f>
        <v>0</v>
      </c>
      <c r="BU380" s="2">
        <f>-AH380*PVCalcs!F380</f>
        <v>-359.37504381576838</v>
      </c>
      <c r="BV380" s="2">
        <f>-'Batt IN'!$E$47</f>
        <v>-150</v>
      </c>
      <c r="BW380" s="2">
        <f>-'Batt IN'!$E$49</f>
        <v>-2250</v>
      </c>
      <c r="BX380" s="2">
        <f>IF('Batt IN'!$H$50="No",-(BC380*'Batt IN'!$E$50),-(BC380+BE380)*'Batt IN'!$E$50)</f>
        <v>0</v>
      </c>
      <c r="BY380" s="2">
        <f>IF(C380='Batt IN'!$H$43*12,-'Batt IN'!$E$43,0)</f>
        <v>0</v>
      </c>
      <c r="BZ380" s="38"/>
      <c r="CA380" s="10">
        <f t="shared" si="106"/>
        <v>14585.027627511416</v>
      </c>
      <c r="CB380" s="2">
        <f t="shared" si="94"/>
        <v>-3009.3750438157685</v>
      </c>
      <c r="CC380" s="45">
        <f t="shared" si="107"/>
        <v>11575.652583695646</v>
      </c>
      <c r="CD380" s="43"/>
      <c r="CE380" s="2">
        <f t="shared" si="108"/>
        <v>0</v>
      </c>
      <c r="CF380" s="2">
        <f t="shared" si="95"/>
        <v>-3009.3750438157685</v>
      </c>
      <c r="CG380" s="2"/>
      <c r="CH380" s="2">
        <f t="shared" si="109"/>
        <v>-3009.3750438157685</v>
      </c>
      <c r="CI380" s="45">
        <f>-CH380*'Batt IN'!$E$7</f>
        <v>631.9687592013114</v>
      </c>
      <c r="CJ380" s="48"/>
      <c r="CK380" s="45">
        <f>IF('Batt IN'!$F$4="PV Only",0,IF(C380&gt;'Batt IN'!$H$43*12,0,CC380+CI380))</f>
        <v>0</v>
      </c>
      <c r="CM380" s="10">
        <f t="shared" si="110"/>
        <v>0</v>
      </c>
      <c r="CN380" s="2">
        <f>CK380/(1+('Batt IN'!$G$8))^(C380)</f>
        <v>0</v>
      </c>
      <c r="CO380" s="2" t="e">
        <f>IF(C380&lt;='Batt IN'!$O$30*12,CN380+CO379,NA())</f>
        <v>#N/A</v>
      </c>
      <c r="CQ380" s="2">
        <f>CK380/((1+('Batt IN'!$E$8/12))^BattCalcs!C380)</f>
        <v>0</v>
      </c>
      <c r="CS380" s="10">
        <f t="shared" si="96"/>
        <v>-3009.3750438157685</v>
      </c>
      <c r="CT380" s="10">
        <f t="shared" si="97"/>
        <v>0</v>
      </c>
      <c r="CU380" s="10">
        <f t="shared" si="98"/>
        <v>-3009.3750438157685</v>
      </c>
      <c r="CV380" s="10">
        <f t="shared" si="99"/>
        <v>-3009.3750438157685</v>
      </c>
      <c r="CW380" s="2">
        <f t="shared" si="100"/>
        <v>0</v>
      </c>
      <c r="CX380" s="2">
        <f>-(SUM(CV380:CW380)*'PV IN'!$E$8)</f>
        <v>631.9687592013114</v>
      </c>
      <c r="CY380" s="2">
        <f t="shared" si="101"/>
        <v>-2377.406284614457</v>
      </c>
      <c r="CZ380" s="2">
        <f>IF(C380&lt;='Batt IN'!$H$43*12,CY380/(1+('PV IN'!$G$9))^(C380),0)</f>
        <v>0</v>
      </c>
      <c r="DA380" s="33">
        <f>IF(C380&lt;='Batt IN'!$H$43*12,AE380,0)</f>
        <v>0</v>
      </c>
    </row>
    <row r="381" spans="1:105" x14ac:dyDescent="0.25">
      <c r="A381" t="str">
        <f>IF(C381&lt;='Batt IN'!$H$43*12,C381,"")</f>
        <v/>
      </c>
      <c r="C381">
        <v>377</v>
      </c>
      <c r="D381" s="21">
        <v>807</v>
      </c>
      <c r="E381" s="1">
        <f>1-'Batt IN'!$E$31</f>
        <v>2.0000000000000018E-2</v>
      </c>
      <c r="F381" s="12">
        <f>('Batt IN'!$E$33*365)/8760</f>
        <v>0</v>
      </c>
      <c r="G381" s="22">
        <f>'Batt IN'!$E$32/8760</f>
        <v>5.7077625570776253E-3</v>
      </c>
      <c r="H381" s="22">
        <f>'Batt IN'!$E$13/8760</f>
        <v>5.5936073059360729E-3</v>
      </c>
      <c r="I381" s="23">
        <f>IF(C381&lt;='Batt IN'!$G$14*12,'Batt IN'!$E$15/8760*'Batt IN'!$G$15,0)</f>
        <v>0</v>
      </c>
      <c r="J381" s="12">
        <f>Z381/'Batt IN'!$E$27/730</f>
        <v>2.4999999999999996E-3</v>
      </c>
      <c r="K381" s="23">
        <f>AA381/'Batt IN'!$E$27/730</f>
        <v>1.6027397260273972E-3</v>
      </c>
      <c r="L381" s="23">
        <f>AB381/'Batt IN'!$E$27/730</f>
        <v>2.0547945205479451E-4</v>
      </c>
      <c r="M381" s="23">
        <f>AC381/'Batt IN'!$E$27/730</f>
        <v>4.7945205479452057E-3</v>
      </c>
      <c r="N381" s="23">
        <f>AD381/'Batt IN'!$E$27/730</f>
        <v>3.4246575342465752E-3</v>
      </c>
      <c r="O381" s="12">
        <f t="shared" si="102"/>
        <v>4.3828767123287697E-2</v>
      </c>
      <c r="P381" s="21">
        <f t="shared" si="103"/>
        <v>771.63018493150685</v>
      </c>
      <c r="Q381" s="2">
        <f>IF('Batt IN'!$E$27*'Batt IN'!$E$24&lt;='Batt IN'!$E$28,(('Batt IN'!$E$23*'Batt IN'!$E$27*'Batt IN'!$E$24)/1000)*P381,(('Batt IN'!$E$23*'Batt IN'!$E$28*'Batt IN'!$E$24)/1000)*P381)</f>
        <v>12346.08295890411</v>
      </c>
      <c r="R381" s="2"/>
      <c r="S381" s="77">
        <f>IF(C381&lt;='Batt IN'!$G$14*12,'Batt IN'!$E$15/12,0)</f>
        <v>0</v>
      </c>
      <c r="T381" s="77"/>
      <c r="U381" s="80">
        <f>'Batt IN'!$E$28*('Batt IN'!$G$24/24)*730*(1-O381)</f>
        <v>81433.916666666657</v>
      </c>
      <c r="V381" s="78">
        <f>U381*'Batt IN'!$F$30</f>
        <v>16286.783333333333</v>
      </c>
      <c r="W381" s="78">
        <f>'Batt IN'!$E$28*'Batt IN'!$G$32*('Batt IN'!$E$32/12)*(1+'Batt IN'!$F$30)</f>
        <v>1750.0000000000002</v>
      </c>
      <c r="X381" s="78">
        <f>'Batt IN'!$E$28*'Batt IN'!$G$13*('Batt IN'!$E$13/12)*(1+'Batt IN'!$F$30)</f>
        <v>3184.9999999999995</v>
      </c>
      <c r="Y381" s="33">
        <f>S381*'Batt IN'!$G$15*'Batt IN'!$E$28*(1+'Batt IN'!$F$30)</f>
        <v>0</v>
      </c>
      <c r="Z381" s="33">
        <f>'Batt IN'!$G$16*365/12*(1+'Batt IN'!$F$30)</f>
        <v>1824.9999999999998</v>
      </c>
      <c r="AA381" s="33">
        <f>'Batt IN'!$G$17*'Batt IN'!$E$18*'Batt IN'!$G$18/12*(1+'Batt IN'!$F$30)</f>
        <v>1170</v>
      </c>
      <c r="AB381" s="33">
        <f>'Batt IN'!$G$19*'Batt IN'!$E$20*'Batt IN'!$G$20/12*(1+'Batt IN'!$F$30)</f>
        <v>150</v>
      </c>
      <c r="AC381" s="33">
        <f>'Batt IN'!$G$21*(1+'Batt IN'!$F$30)/12</f>
        <v>3500</v>
      </c>
      <c r="AD381" s="33">
        <f>'Batt IN'!$G$22*(1+'Batt IN'!$F$30)/12</f>
        <v>2500</v>
      </c>
      <c r="AE381" s="33">
        <f t="shared" si="104"/>
        <v>30366.783333333333</v>
      </c>
      <c r="AF381" s="33">
        <f>IF('PV IN'!$F$4="Battery Only",0,AE381*'Batt IN'!$E$29)</f>
        <v>25811.765833333331</v>
      </c>
      <c r="AG381" s="33">
        <f>PVCalcs!L381</f>
        <v>25811.765833333331</v>
      </c>
      <c r="AH381" s="33">
        <f t="shared" si="105"/>
        <v>4555.0175000000017</v>
      </c>
      <c r="AI381" s="33"/>
      <c r="AJ381" s="2">
        <f>IF(AND('Batt IN'!$D$53="Yes",$AL$1&gt;=1),IF($C381='Batt IN'!$H$54*12,-'Batt IN'!$F$54,0),0)</f>
        <v>0</v>
      </c>
      <c r="AK381" s="2">
        <f>IF(AND('Batt IN'!$D$53="Yes",$AL$1&gt;=2),IF($C381='Batt IN'!$H$55*12,-'Batt IN'!$F$55,0),0)</f>
        <v>0</v>
      </c>
      <c r="AL381" s="2">
        <f>IF(AND('Batt IN'!$D$53="Yes",$AL$1&gt;=3),IF($C381='Batt IN'!$H$56*12,-'Batt IN'!$F$56,0),0)</f>
        <v>0</v>
      </c>
      <c r="AM381" s="2">
        <f>IF(AND('Batt IN'!$D$53="Yes",$AL$1&gt;=4),IF($C381='Batt IN'!$H$57*12,-'Batt IN'!$F$57,0),0)</f>
        <v>0</v>
      </c>
      <c r="AN381" s="2">
        <f>IF(AND('Batt IN'!$D$53="Yes",$AL$1&gt;=5),IF($C381='Batt IN'!$H$58*12,-'Batt IN'!$F$58,0),0)</f>
        <v>0</v>
      </c>
      <c r="AO381" s="10">
        <f>IF(AND('Batt IN'!$D$44="YES",$C381&lt;='Batt IN'!$E$44*12),-'Batt IN'!$E$28*'Batt IN'!$E$42/12,0)</f>
        <v>0</v>
      </c>
      <c r="AP381" s="10">
        <f>IF(AND('Batt IN'!$D$46="YES",$C381&lt;='Batt IN'!$E$46*12),-'Batt IN'!$E$28*'Batt IN'!$E$45/12,0)</f>
        <v>0</v>
      </c>
      <c r="AR381" s="10">
        <f>BattLoan!M408</f>
        <v>0</v>
      </c>
      <c r="AS381" s="10">
        <f>'Batt IN'!$G$16*365/12*'Batt IN'!$E$16</f>
        <v>76.041666666666671</v>
      </c>
      <c r="AT381" s="10">
        <f>IF(AND('Batt IN'!$E$18&gt;0,'Batt IN'!$G$18&gt;0),'Batt IN'!$E$17*'Batt IN'!$G$17,0)</f>
        <v>119.44619999999999</v>
      </c>
      <c r="AU381" s="10">
        <f>IF(AND('Batt IN'!$E$20&gt;0,'Batt IN'!$G$20&gt;0),'Batt IN'!$E$19*'Batt IN'!$G$19,0)</f>
        <v>231</v>
      </c>
      <c r="AV381" s="10"/>
      <c r="AW381" s="10"/>
      <c r="AX381" s="10">
        <f>IF('Batt IN'!$E$11="Non-Taxable",Q381,0)</f>
        <v>12346.08295890411</v>
      </c>
      <c r="AY381" s="10">
        <f>IF('Batt IN'!$E$11="Non-Taxable",'Batt IN'!$E$28/1000*'Batt IN'!$G$13*('Batt IN'!$E$13/12)*'Batt IN'!$E$12,0)</f>
        <v>244.42220833333334</v>
      </c>
      <c r="AZ381" s="10">
        <f>IF('Batt IN'!$E$11="Non-Taxable",$S381*'Batt IN'!$G$15*'Batt IN'!$E$28*'Batt IN'!$E$14/1000,0)</f>
        <v>0</v>
      </c>
      <c r="BA381" s="10">
        <f>IF('Batt IN'!$E$11="Non-Taxable",'Batt IN'!$E$21*'Batt IN'!$G$21/12,0)</f>
        <v>437.5</v>
      </c>
      <c r="BB381" s="10">
        <f>IF('Batt IN'!$E$11="Non-Taxable",'Batt IN'!$E$22*'Batt IN'!$G$22/12,0)</f>
        <v>1145.8333333333335</v>
      </c>
      <c r="BC381" s="10">
        <f>IF('Batt IN'!$E$11="Taxable",Q381,0)</f>
        <v>0</v>
      </c>
      <c r="BD381" s="10">
        <f>IF('Batt IN'!$E$11="Taxable",'Batt IN'!$E$28/1000*'Batt IN'!$G$13*('Batt IN'!$E$13/12)*'Batt IN'!$E$12,0)</f>
        <v>0</v>
      </c>
      <c r="BE381" s="10">
        <f>IF('Batt IN'!$E$11="Taxable",$S381*'Batt IN'!$G$15*'Batt IN'!$E$28*'Batt IN'!$E$14/1000,0)</f>
        <v>0</v>
      </c>
      <c r="BF381" s="10">
        <f>IF('Batt IN'!$E$11="Taxable",'Batt IN'!$E$21*'Batt IN'!$G$21/12,0)</f>
        <v>0</v>
      </c>
      <c r="BG381" s="10">
        <f>IF('Batt IN'!$E$11="Taxable",'Batt IN'!$E$22*'Batt IN'!$G$22/12,0)</f>
        <v>0</v>
      </c>
      <c r="BK381" s="10">
        <f>IF('Batt IN'!$N$18="Yes",-BattLoan!H409,-BattLoan!L409)</f>
        <v>0</v>
      </c>
      <c r="BL381" s="10">
        <f>IF('Batt IN'!$N$18="Yes",-BattLoan!F409,0)</f>
        <v>0</v>
      </c>
      <c r="BM381" s="10">
        <f>IF(AND('Batt IN'!$D$44="YES",$C381&lt;='Batt IN'!$E$44*12),0,-'Batt IN'!$E$28*'Batt IN'!$E$42/12)</f>
        <v>-83.333333333333329</v>
      </c>
      <c r="BN381" s="10">
        <f>IF(AND('Batt IN'!$D$46="YES",$C381&lt;='Batt IN'!$E$46*12),0,-'Batt IN'!$E$28*'Batt IN'!$E$45/12)</f>
        <v>-166.66666666666666</v>
      </c>
      <c r="BO381" s="2">
        <f>IF(AND('Batt IN'!$D$41="YES",BattCalcs!C381=ROUNDUP('Batt IN'!$H$41*12,)),-'Batt IN'!$E$41*'Batt IN'!$E$28,0)</f>
        <v>0</v>
      </c>
      <c r="BP381" s="2">
        <f>IF(AND('Batt IN'!$D$53="Yes",$AL$1&gt;=1),0,IF($C381='Batt IN'!$H$54*12,-'Batt IN'!$F$54,0))</f>
        <v>0</v>
      </c>
      <c r="BQ381" s="2">
        <f>IF(AND('Batt IN'!$D$53="Yes",$AL$1&gt;=2),0,IF($C381='Batt IN'!$H$55*12,-'Batt IN'!$F$55,0))</f>
        <v>0</v>
      </c>
      <c r="BR381" s="2">
        <f>IF(AND('Batt IN'!$D$53="Yes",$AL$1&gt;=3),0,IF($C381='Batt IN'!$H$56*12,-'Batt IN'!$F$56,0))</f>
        <v>0</v>
      </c>
      <c r="BS381" s="2">
        <f>IF(AND('Batt IN'!$D$53="Yes",$AL$1&gt;=4),0,IF($C381='Batt IN'!$H$57*12,-'Batt IN'!$F$57,0))</f>
        <v>0</v>
      </c>
      <c r="BT381" s="2">
        <f>IF(AND('Batt IN'!$D$53="Yes",$AL$1&gt;=5),0,IF($C381='Batt IN'!$H$58*12,-'Batt IN'!$F$58,0))</f>
        <v>0</v>
      </c>
      <c r="BU381" s="2">
        <f>-AH381*PVCalcs!F381</f>
        <v>-359.37504381576838</v>
      </c>
      <c r="BV381" s="2">
        <f>-'Batt IN'!$E$47</f>
        <v>-150</v>
      </c>
      <c r="BW381" s="2">
        <f>-'Batt IN'!$E$49</f>
        <v>-2250</v>
      </c>
      <c r="BX381" s="2">
        <f>IF('Batt IN'!$H$50="No",-(BC381*'Batt IN'!$E$50),-(BC381+BE381)*'Batt IN'!$E$50)</f>
        <v>0</v>
      </c>
      <c r="BY381" s="2">
        <f>IF(C381='Batt IN'!$H$43*12,-'Batt IN'!$E$43,0)</f>
        <v>0</v>
      </c>
      <c r="BZ381" s="38"/>
      <c r="CA381" s="10">
        <f t="shared" si="106"/>
        <v>14600.326367237443</v>
      </c>
      <c r="CB381" s="2">
        <f t="shared" si="94"/>
        <v>-3009.3750438157685</v>
      </c>
      <c r="CC381" s="45">
        <f t="shared" si="107"/>
        <v>11590.951323421676</v>
      </c>
      <c r="CD381" s="43"/>
      <c r="CE381" s="2">
        <f t="shared" si="108"/>
        <v>0</v>
      </c>
      <c r="CF381" s="2">
        <f t="shared" si="95"/>
        <v>-3009.3750438157685</v>
      </c>
      <c r="CG381" s="2"/>
      <c r="CH381" s="2">
        <f t="shared" si="109"/>
        <v>-3009.3750438157685</v>
      </c>
      <c r="CI381" s="45">
        <f>-CH381*'Batt IN'!$E$7</f>
        <v>631.9687592013114</v>
      </c>
      <c r="CJ381" s="48"/>
      <c r="CK381" s="45">
        <f>IF('Batt IN'!$F$4="PV Only",0,IF(C381&gt;'Batt IN'!$H$43*12,0,CC381+CI381))</f>
        <v>0</v>
      </c>
      <c r="CM381" s="10">
        <f t="shared" si="110"/>
        <v>0</v>
      </c>
      <c r="CN381" s="2">
        <f>CK381/(1+('Batt IN'!$G$8))^(C381)</f>
        <v>0</v>
      </c>
      <c r="CO381" s="2" t="e">
        <f>IF(C381&lt;='Batt IN'!$O$30*12,CN381+CO380,NA())</f>
        <v>#N/A</v>
      </c>
      <c r="CQ381" s="2">
        <f>CK381/((1+('Batt IN'!$E$8/12))^BattCalcs!C381)</f>
        <v>0</v>
      </c>
      <c r="CS381" s="10">
        <f t="shared" si="96"/>
        <v>-3009.3750438157685</v>
      </c>
      <c r="CT381" s="10">
        <f t="shared" si="97"/>
        <v>0</v>
      </c>
      <c r="CU381" s="10">
        <f t="shared" si="98"/>
        <v>-3009.3750438157685</v>
      </c>
      <c r="CV381" s="10">
        <f t="shared" si="99"/>
        <v>-3009.3750438157685</v>
      </c>
      <c r="CW381" s="2">
        <f t="shared" si="100"/>
        <v>0</v>
      </c>
      <c r="CX381" s="2">
        <f>-(SUM(CV381:CW381)*'PV IN'!$E$8)</f>
        <v>631.9687592013114</v>
      </c>
      <c r="CY381" s="2">
        <f t="shared" si="101"/>
        <v>-2377.406284614457</v>
      </c>
      <c r="CZ381" s="2">
        <f>IF(C381&lt;='Batt IN'!$H$43*12,CY381/(1+('PV IN'!$G$9))^(C381),0)</f>
        <v>0</v>
      </c>
      <c r="DA381" s="33">
        <f>IF(C381&lt;='Batt IN'!$H$43*12,AE381,0)</f>
        <v>0</v>
      </c>
    </row>
    <row r="382" spans="1:105" x14ac:dyDescent="0.25">
      <c r="A382" t="str">
        <f>IF(C382&lt;='Batt IN'!$H$43*12,C382,"")</f>
        <v/>
      </c>
      <c r="C382">
        <v>378</v>
      </c>
      <c r="D382" s="21">
        <v>808</v>
      </c>
      <c r="E382" s="1">
        <f>1-'Batt IN'!$E$31</f>
        <v>2.0000000000000018E-2</v>
      </c>
      <c r="F382" s="12">
        <f>('Batt IN'!$E$33*365)/8760</f>
        <v>0</v>
      </c>
      <c r="G382" s="22">
        <f>'Batt IN'!$E$32/8760</f>
        <v>5.7077625570776253E-3</v>
      </c>
      <c r="H382" s="22">
        <f>'Batt IN'!$E$13/8760</f>
        <v>5.5936073059360729E-3</v>
      </c>
      <c r="I382" s="23">
        <f>IF(C382&lt;='Batt IN'!$G$14*12,'Batt IN'!$E$15/8760*'Batt IN'!$G$15,0)</f>
        <v>0</v>
      </c>
      <c r="J382" s="12">
        <f>Z382/'Batt IN'!$E$27/730</f>
        <v>2.4999999999999996E-3</v>
      </c>
      <c r="K382" s="23">
        <f>AA382/'Batt IN'!$E$27/730</f>
        <v>1.6027397260273972E-3</v>
      </c>
      <c r="L382" s="23">
        <f>AB382/'Batt IN'!$E$27/730</f>
        <v>2.0547945205479451E-4</v>
      </c>
      <c r="M382" s="23">
        <f>AC382/'Batt IN'!$E$27/730</f>
        <v>4.7945205479452057E-3</v>
      </c>
      <c r="N382" s="23">
        <f>AD382/'Batt IN'!$E$27/730</f>
        <v>3.4246575342465752E-3</v>
      </c>
      <c r="O382" s="12">
        <f t="shared" si="102"/>
        <v>4.3828767123287697E-2</v>
      </c>
      <c r="P382" s="21">
        <f t="shared" si="103"/>
        <v>772.58635616438357</v>
      </c>
      <c r="Q382" s="2">
        <f>IF('Batt IN'!$E$27*'Batt IN'!$E$24&lt;='Batt IN'!$E$28,(('Batt IN'!$E$23*'Batt IN'!$E$27*'Batt IN'!$E$24)/1000)*P382,(('Batt IN'!$E$23*'Batt IN'!$E$28*'Batt IN'!$E$24)/1000)*P382)</f>
        <v>12361.381698630137</v>
      </c>
      <c r="R382" s="2"/>
      <c r="S382" s="77">
        <f>IF(C382&lt;='Batt IN'!$G$14*12,'Batt IN'!$E$15/12,0)</f>
        <v>0</v>
      </c>
      <c r="T382" s="77"/>
      <c r="U382" s="80">
        <f>'Batt IN'!$E$28*('Batt IN'!$G$24/24)*730*(1-O382)</f>
        <v>81433.916666666657</v>
      </c>
      <c r="V382" s="78">
        <f>U382*'Batt IN'!$F$30</f>
        <v>16286.783333333333</v>
      </c>
      <c r="W382" s="78">
        <f>'Batt IN'!$E$28*'Batt IN'!$G$32*('Batt IN'!$E$32/12)*(1+'Batt IN'!$F$30)</f>
        <v>1750.0000000000002</v>
      </c>
      <c r="X382" s="78">
        <f>'Batt IN'!$E$28*'Batt IN'!$G$13*('Batt IN'!$E$13/12)*(1+'Batt IN'!$F$30)</f>
        <v>3184.9999999999995</v>
      </c>
      <c r="Y382" s="33">
        <f>S382*'Batt IN'!$G$15*'Batt IN'!$E$28*(1+'Batt IN'!$F$30)</f>
        <v>0</v>
      </c>
      <c r="Z382" s="33">
        <f>'Batt IN'!$G$16*365/12*(1+'Batt IN'!$F$30)</f>
        <v>1824.9999999999998</v>
      </c>
      <c r="AA382" s="33">
        <f>'Batt IN'!$G$17*'Batt IN'!$E$18*'Batt IN'!$G$18/12*(1+'Batt IN'!$F$30)</f>
        <v>1170</v>
      </c>
      <c r="AB382" s="33">
        <f>'Batt IN'!$G$19*'Batt IN'!$E$20*'Batt IN'!$G$20/12*(1+'Batt IN'!$F$30)</f>
        <v>150</v>
      </c>
      <c r="AC382" s="33">
        <f>'Batt IN'!$G$21*(1+'Batt IN'!$F$30)/12</f>
        <v>3500</v>
      </c>
      <c r="AD382" s="33">
        <f>'Batt IN'!$G$22*(1+'Batt IN'!$F$30)/12</f>
        <v>2500</v>
      </c>
      <c r="AE382" s="33">
        <f t="shared" si="104"/>
        <v>30366.783333333333</v>
      </c>
      <c r="AF382" s="33">
        <f>IF('PV IN'!$F$4="Battery Only",0,AE382*'Batt IN'!$E$29)</f>
        <v>25811.765833333331</v>
      </c>
      <c r="AG382" s="33">
        <f>PVCalcs!L382</f>
        <v>25811.765833333331</v>
      </c>
      <c r="AH382" s="33">
        <f t="shared" si="105"/>
        <v>4555.0175000000017</v>
      </c>
      <c r="AI382" s="33"/>
      <c r="AJ382" s="2">
        <f>IF(AND('Batt IN'!$D$53="Yes",$AL$1&gt;=1),IF($C382='Batt IN'!$H$54*12,-'Batt IN'!$F$54,0),0)</f>
        <v>0</v>
      </c>
      <c r="AK382" s="2">
        <f>IF(AND('Batt IN'!$D$53="Yes",$AL$1&gt;=2),IF($C382='Batt IN'!$H$55*12,-'Batt IN'!$F$55,0),0)</f>
        <v>0</v>
      </c>
      <c r="AL382" s="2">
        <f>IF(AND('Batt IN'!$D$53="Yes",$AL$1&gt;=3),IF($C382='Batt IN'!$H$56*12,-'Batt IN'!$F$56,0),0)</f>
        <v>0</v>
      </c>
      <c r="AM382" s="2">
        <f>IF(AND('Batt IN'!$D$53="Yes",$AL$1&gt;=4),IF($C382='Batt IN'!$H$57*12,-'Batt IN'!$F$57,0),0)</f>
        <v>0</v>
      </c>
      <c r="AN382" s="2">
        <f>IF(AND('Batt IN'!$D$53="Yes",$AL$1&gt;=5),IF($C382='Batt IN'!$H$58*12,-'Batt IN'!$F$58,0),0)</f>
        <v>0</v>
      </c>
      <c r="AO382" s="10">
        <f>IF(AND('Batt IN'!$D$44="YES",$C382&lt;='Batt IN'!$E$44*12),-'Batt IN'!$E$28*'Batt IN'!$E$42/12,0)</f>
        <v>0</v>
      </c>
      <c r="AP382" s="10">
        <f>IF(AND('Batt IN'!$D$46="YES",$C382&lt;='Batt IN'!$E$46*12),-'Batt IN'!$E$28*'Batt IN'!$E$45/12,0)</f>
        <v>0</v>
      </c>
      <c r="AR382" s="10">
        <f>BattLoan!M409</f>
        <v>0</v>
      </c>
      <c r="AS382" s="10">
        <f>'Batt IN'!$G$16*365/12*'Batt IN'!$E$16</f>
        <v>76.041666666666671</v>
      </c>
      <c r="AT382" s="10">
        <f>IF(AND('Batt IN'!$E$18&gt;0,'Batt IN'!$G$18&gt;0),'Batt IN'!$E$17*'Batt IN'!$G$17,0)</f>
        <v>119.44619999999999</v>
      </c>
      <c r="AU382" s="10">
        <f>IF(AND('Batt IN'!$E$20&gt;0,'Batt IN'!$G$20&gt;0),'Batt IN'!$E$19*'Batt IN'!$G$19,0)</f>
        <v>231</v>
      </c>
      <c r="AV382" s="10"/>
      <c r="AW382" s="10"/>
      <c r="AX382" s="10">
        <f>IF('Batt IN'!$E$11="Non-Taxable",Q382,0)</f>
        <v>12361.381698630137</v>
      </c>
      <c r="AY382" s="10">
        <f>IF('Batt IN'!$E$11="Non-Taxable",'Batt IN'!$E$28/1000*'Batt IN'!$G$13*('Batt IN'!$E$13/12)*'Batt IN'!$E$12,0)</f>
        <v>244.42220833333334</v>
      </c>
      <c r="AZ382" s="10">
        <f>IF('Batt IN'!$E$11="Non-Taxable",$S382*'Batt IN'!$G$15*'Batt IN'!$E$28*'Batt IN'!$E$14/1000,0)</f>
        <v>0</v>
      </c>
      <c r="BA382" s="10">
        <f>IF('Batt IN'!$E$11="Non-Taxable",'Batt IN'!$E$21*'Batt IN'!$G$21/12,0)</f>
        <v>437.5</v>
      </c>
      <c r="BB382" s="10">
        <f>IF('Batt IN'!$E$11="Non-Taxable",'Batt IN'!$E$22*'Batt IN'!$G$22/12,0)</f>
        <v>1145.8333333333335</v>
      </c>
      <c r="BC382" s="10">
        <f>IF('Batt IN'!$E$11="Taxable",Q382,0)</f>
        <v>0</v>
      </c>
      <c r="BD382" s="10">
        <f>IF('Batt IN'!$E$11="Taxable",'Batt IN'!$E$28/1000*'Batt IN'!$G$13*('Batt IN'!$E$13/12)*'Batt IN'!$E$12,0)</f>
        <v>0</v>
      </c>
      <c r="BE382" s="10">
        <f>IF('Batt IN'!$E$11="Taxable",$S382*'Batt IN'!$G$15*'Batt IN'!$E$28*'Batt IN'!$E$14/1000,0)</f>
        <v>0</v>
      </c>
      <c r="BF382" s="10">
        <f>IF('Batt IN'!$E$11="Taxable",'Batt IN'!$E$21*'Batt IN'!$G$21/12,0)</f>
        <v>0</v>
      </c>
      <c r="BG382" s="10">
        <f>IF('Batt IN'!$E$11="Taxable",'Batt IN'!$E$22*'Batt IN'!$G$22/12,0)</f>
        <v>0</v>
      </c>
      <c r="BK382" s="10">
        <f>IF('Batt IN'!$N$18="Yes",-BattLoan!H410,-BattLoan!L410)</f>
        <v>0</v>
      </c>
      <c r="BL382" s="10">
        <f>IF('Batt IN'!$N$18="Yes",-BattLoan!F410,0)</f>
        <v>0</v>
      </c>
      <c r="BM382" s="10">
        <f>IF(AND('Batt IN'!$D$44="YES",$C382&lt;='Batt IN'!$E$44*12),0,-'Batt IN'!$E$28*'Batt IN'!$E$42/12)</f>
        <v>-83.333333333333329</v>
      </c>
      <c r="BN382" s="10">
        <f>IF(AND('Batt IN'!$D$46="YES",$C382&lt;='Batt IN'!$E$46*12),0,-'Batt IN'!$E$28*'Batt IN'!$E$45/12)</f>
        <v>-166.66666666666666</v>
      </c>
      <c r="BO382" s="2">
        <f>IF(AND('Batt IN'!$D$41="YES",BattCalcs!C382=ROUNDUP('Batt IN'!$H$41*12,)),-'Batt IN'!$E$41*'Batt IN'!$E$28,0)</f>
        <v>0</v>
      </c>
      <c r="BP382" s="2">
        <f>IF(AND('Batt IN'!$D$53="Yes",$AL$1&gt;=1),0,IF($C382='Batt IN'!$H$54*12,-'Batt IN'!$F$54,0))</f>
        <v>0</v>
      </c>
      <c r="BQ382" s="2">
        <f>IF(AND('Batt IN'!$D$53="Yes",$AL$1&gt;=2),0,IF($C382='Batt IN'!$H$55*12,-'Batt IN'!$F$55,0))</f>
        <v>0</v>
      </c>
      <c r="BR382" s="2">
        <f>IF(AND('Batt IN'!$D$53="Yes",$AL$1&gt;=3),0,IF($C382='Batt IN'!$H$56*12,-'Batt IN'!$F$56,0))</f>
        <v>0</v>
      </c>
      <c r="BS382" s="2">
        <f>IF(AND('Batt IN'!$D$53="Yes",$AL$1&gt;=4),0,IF($C382='Batt IN'!$H$57*12,-'Batt IN'!$F$57,0))</f>
        <v>0</v>
      </c>
      <c r="BT382" s="2">
        <f>IF(AND('Batt IN'!$D$53="Yes",$AL$1&gt;=5),0,IF($C382='Batt IN'!$H$58*12,-'Batt IN'!$F$58,0))</f>
        <v>0</v>
      </c>
      <c r="BU382" s="2">
        <f>-AH382*PVCalcs!F382</f>
        <v>-359.37504381576838</v>
      </c>
      <c r="BV382" s="2">
        <f>-'Batt IN'!$E$47</f>
        <v>-150</v>
      </c>
      <c r="BW382" s="2">
        <f>-'Batt IN'!$E$49</f>
        <v>-2250</v>
      </c>
      <c r="BX382" s="2">
        <f>IF('Batt IN'!$H$50="No",-(BC382*'Batt IN'!$E$50),-(BC382+BE382)*'Batt IN'!$E$50)</f>
        <v>0</v>
      </c>
      <c r="BY382" s="2">
        <f>IF(C382='Batt IN'!$H$43*12,-'Batt IN'!$E$43,0)</f>
        <v>0</v>
      </c>
      <c r="BZ382" s="38"/>
      <c r="CA382" s="10">
        <f t="shared" si="106"/>
        <v>14615.625106963471</v>
      </c>
      <c r="CB382" s="2">
        <f t="shared" si="94"/>
        <v>-3009.3750438157685</v>
      </c>
      <c r="CC382" s="45">
        <f t="shared" si="107"/>
        <v>11606.250063147701</v>
      </c>
      <c r="CD382" s="43"/>
      <c r="CE382" s="2">
        <f t="shared" si="108"/>
        <v>0</v>
      </c>
      <c r="CF382" s="2">
        <f t="shared" si="95"/>
        <v>-3009.3750438157685</v>
      </c>
      <c r="CG382" s="2"/>
      <c r="CH382" s="2">
        <f t="shared" si="109"/>
        <v>-3009.3750438157685</v>
      </c>
      <c r="CI382" s="45">
        <f>-CH382*'Batt IN'!$E$7</f>
        <v>631.9687592013114</v>
      </c>
      <c r="CJ382" s="48"/>
      <c r="CK382" s="45">
        <f>IF('Batt IN'!$F$4="PV Only",0,IF(C382&gt;'Batt IN'!$H$43*12,0,CC382+CI382))</f>
        <v>0</v>
      </c>
      <c r="CM382" s="10">
        <f t="shared" si="110"/>
        <v>0</v>
      </c>
      <c r="CN382" s="2">
        <f>CK382/(1+('Batt IN'!$G$8))^(C382)</f>
        <v>0</v>
      </c>
      <c r="CO382" s="2" t="e">
        <f>IF(C382&lt;='Batt IN'!$O$30*12,CN382+CO381,NA())</f>
        <v>#N/A</v>
      </c>
      <c r="CQ382" s="2">
        <f>CK382/((1+('Batt IN'!$E$8/12))^BattCalcs!C382)</f>
        <v>0</v>
      </c>
      <c r="CS382" s="10">
        <f t="shared" si="96"/>
        <v>-3009.3750438157685</v>
      </c>
      <c r="CT382" s="10">
        <f t="shared" si="97"/>
        <v>0</v>
      </c>
      <c r="CU382" s="10">
        <f t="shared" si="98"/>
        <v>-3009.3750438157685</v>
      </c>
      <c r="CV382" s="10">
        <f t="shared" si="99"/>
        <v>-3009.3750438157685</v>
      </c>
      <c r="CW382" s="2">
        <f t="shared" si="100"/>
        <v>0</v>
      </c>
      <c r="CX382" s="2">
        <f>-(SUM(CV382:CW382)*'PV IN'!$E$8)</f>
        <v>631.9687592013114</v>
      </c>
      <c r="CY382" s="2">
        <f t="shared" si="101"/>
        <v>-2377.406284614457</v>
      </c>
      <c r="CZ382" s="2">
        <f>IF(C382&lt;='Batt IN'!$H$43*12,CY382/(1+('PV IN'!$G$9))^(C382),0)</f>
        <v>0</v>
      </c>
      <c r="DA382" s="33">
        <f>IF(C382&lt;='Batt IN'!$H$43*12,AE382,0)</f>
        <v>0</v>
      </c>
    </row>
    <row r="383" spans="1:105" x14ac:dyDescent="0.25">
      <c r="A383" t="str">
        <f>IF(C383&lt;='Batt IN'!$H$43*12,C383,"")</f>
        <v/>
      </c>
      <c r="C383">
        <v>379</v>
      </c>
      <c r="D383" s="21">
        <v>809</v>
      </c>
      <c r="E383" s="1">
        <f>1-'Batt IN'!$E$31</f>
        <v>2.0000000000000018E-2</v>
      </c>
      <c r="F383" s="12">
        <f>('Batt IN'!$E$33*365)/8760</f>
        <v>0</v>
      </c>
      <c r="G383" s="22">
        <f>'Batt IN'!$E$32/8760</f>
        <v>5.7077625570776253E-3</v>
      </c>
      <c r="H383" s="22">
        <f>'Batt IN'!$E$13/8760</f>
        <v>5.5936073059360729E-3</v>
      </c>
      <c r="I383" s="23">
        <f>IF(C383&lt;='Batt IN'!$G$14*12,'Batt IN'!$E$15/8760*'Batt IN'!$G$15,0)</f>
        <v>0</v>
      </c>
      <c r="J383" s="12">
        <f>Z383/'Batt IN'!$E$27/730</f>
        <v>2.4999999999999996E-3</v>
      </c>
      <c r="K383" s="23">
        <f>AA383/'Batt IN'!$E$27/730</f>
        <v>1.6027397260273972E-3</v>
      </c>
      <c r="L383" s="23">
        <f>AB383/'Batt IN'!$E$27/730</f>
        <v>2.0547945205479451E-4</v>
      </c>
      <c r="M383" s="23">
        <f>AC383/'Batt IN'!$E$27/730</f>
        <v>4.7945205479452057E-3</v>
      </c>
      <c r="N383" s="23">
        <f>AD383/'Batt IN'!$E$27/730</f>
        <v>3.4246575342465752E-3</v>
      </c>
      <c r="O383" s="12">
        <f t="shared" si="102"/>
        <v>4.3828767123287697E-2</v>
      </c>
      <c r="P383" s="21">
        <f t="shared" si="103"/>
        <v>773.5425273972603</v>
      </c>
      <c r="Q383" s="2">
        <f>IF('Batt IN'!$E$27*'Batt IN'!$E$24&lt;='Batt IN'!$E$28,(('Batt IN'!$E$23*'Batt IN'!$E$27*'Batt IN'!$E$24)/1000)*P383,(('Batt IN'!$E$23*'Batt IN'!$E$28*'Batt IN'!$E$24)/1000)*P383)</f>
        <v>12376.680438356165</v>
      </c>
      <c r="R383" s="2"/>
      <c r="S383" s="77">
        <f>IF(C383&lt;='Batt IN'!$G$14*12,'Batt IN'!$E$15/12,0)</f>
        <v>0</v>
      </c>
      <c r="T383" s="77"/>
      <c r="U383" s="80">
        <f>'Batt IN'!$E$28*('Batt IN'!$G$24/24)*730*(1-O383)</f>
        <v>81433.916666666657</v>
      </c>
      <c r="V383" s="78">
        <f>U383*'Batt IN'!$F$30</f>
        <v>16286.783333333333</v>
      </c>
      <c r="W383" s="78">
        <f>'Batt IN'!$E$28*'Batt IN'!$G$32*('Batt IN'!$E$32/12)*(1+'Batt IN'!$F$30)</f>
        <v>1750.0000000000002</v>
      </c>
      <c r="X383" s="78">
        <f>'Batt IN'!$E$28*'Batt IN'!$G$13*('Batt IN'!$E$13/12)*(1+'Batt IN'!$F$30)</f>
        <v>3184.9999999999995</v>
      </c>
      <c r="Y383" s="33">
        <f>S383*'Batt IN'!$G$15*'Batt IN'!$E$28*(1+'Batt IN'!$F$30)</f>
        <v>0</v>
      </c>
      <c r="Z383" s="33">
        <f>'Batt IN'!$G$16*365/12*(1+'Batt IN'!$F$30)</f>
        <v>1824.9999999999998</v>
      </c>
      <c r="AA383" s="33">
        <f>'Batt IN'!$G$17*'Batt IN'!$E$18*'Batt IN'!$G$18/12*(1+'Batt IN'!$F$30)</f>
        <v>1170</v>
      </c>
      <c r="AB383" s="33">
        <f>'Batt IN'!$G$19*'Batt IN'!$E$20*'Batt IN'!$G$20/12*(1+'Batt IN'!$F$30)</f>
        <v>150</v>
      </c>
      <c r="AC383" s="33">
        <f>'Batt IN'!$G$21*(1+'Batt IN'!$F$30)/12</f>
        <v>3500</v>
      </c>
      <c r="AD383" s="33">
        <f>'Batt IN'!$G$22*(1+'Batt IN'!$F$30)/12</f>
        <v>2500</v>
      </c>
      <c r="AE383" s="33">
        <f t="shared" si="104"/>
        <v>30366.783333333333</v>
      </c>
      <c r="AF383" s="33">
        <f>IF('PV IN'!$F$4="Battery Only",0,AE383*'Batt IN'!$E$29)</f>
        <v>25811.765833333331</v>
      </c>
      <c r="AG383" s="33">
        <f>PVCalcs!L383</f>
        <v>25811.765833333331</v>
      </c>
      <c r="AH383" s="33">
        <f t="shared" si="105"/>
        <v>4555.0175000000017</v>
      </c>
      <c r="AI383" s="33"/>
      <c r="AJ383" s="2">
        <f>IF(AND('Batt IN'!$D$53="Yes",$AL$1&gt;=1),IF($C383='Batt IN'!$H$54*12,-'Batt IN'!$F$54,0),0)</f>
        <v>0</v>
      </c>
      <c r="AK383" s="2">
        <f>IF(AND('Batt IN'!$D$53="Yes",$AL$1&gt;=2),IF($C383='Batt IN'!$H$55*12,-'Batt IN'!$F$55,0),0)</f>
        <v>0</v>
      </c>
      <c r="AL383" s="2">
        <f>IF(AND('Batt IN'!$D$53="Yes",$AL$1&gt;=3),IF($C383='Batt IN'!$H$56*12,-'Batt IN'!$F$56,0),0)</f>
        <v>0</v>
      </c>
      <c r="AM383" s="2">
        <f>IF(AND('Batt IN'!$D$53="Yes",$AL$1&gt;=4),IF($C383='Batt IN'!$H$57*12,-'Batt IN'!$F$57,0),0)</f>
        <v>0</v>
      </c>
      <c r="AN383" s="2">
        <f>IF(AND('Batt IN'!$D$53="Yes",$AL$1&gt;=5),IF($C383='Batt IN'!$H$58*12,-'Batt IN'!$F$58,0),0)</f>
        <v>0</v>
      </c>
      <c r="AO383" s="10">
        <f>IF(AND('Batt IN'!$D$44="YES",$C383&lt;='Batt IN'!$E$44*12),-'Batt IN'!$E$28*'Batt IN'!$E$42/12,0)</f>
        <v>0</v>
      </c>
      <c r="AP383" s="10">
        <f>IF(AND('Batt IN'!$D$46="YES",$C383&lt;='Batt IN'!$E$46*12),-'Batt IN'!$E$28*'Batt IN'!$E$45/12,0)</f>
        <v>0</v>
      </c>
      <c r="AR383" s="10">
        <f>BattLoan!M410</f>
        <v>0</v>
      </c>
      <c r="AS383" s="10">
        <f>'Batt IN'!$G$16*365/12*'Batt IN'!$E$16</f>
        <v>76.041666666666671</v>
      </c>
      <c r="AT383" s="10">
        <f>IF(AND('Batt IN'!$E$18&gt;0,'Batt IN'!$G$18&gt;0),'Batt IN'!$E$17*'Batt IN'!$G$17,0)</f>
        <v>119.44619999999999</v>
      </c>
      <c r="AU383" s="10">
        <f>IF(AND('Batt IN'!$E$20&gt;0,'Batt IN'!$G$20&gt;0),'Batt IN'!$E$19*'Batt IN'!$G$19,0)</f>
        <v>231</v>
      </c>
      <c r="AV383" s="10"/>
      <c r="AW383" s="10"/>
      <c r="AX383" s="10">
        <f>IF('Batt IN'!$E$11="Non-Taxable",Q383,0)</f>
        <v>12376.680438356165</v>
      </c>
      <c r="AY383" s="10">
        <f>IF('Batt IN'!$E$11="Non-Taxable",'Batt IN'!$E$28/1000*'Batt IN'!$G$13*('Batt IN'!$E$13/12)*'Batt IN'!$E$12,0)</f>
        <v>244.42220833333334</v>
      </c>
      <c r="AZ383" s="10">
        <f>IF('Batt IN'!$E$11="Non-Taxable",$S383*'Batt IN'!$G$15*'Batt IN'!$E$28*'Batt IN'!$E$14/1000,0)</f>
        <v>0</v>
      </c>
      <c r="BA383" s="10">
        <f>IF('Batt IN'!$E$11="Non-Taxable",'Batt IN'!$E$21*'Batt IN'!$G$21/12,0)</f>
        <v>437.5</v>
      </c>
      <c r="BB383" s="10">
        <f>IF('Batt IN'!$E$11="Non-Taxable",'Batt IN'!$E$22*'Batt IN'!$G$22/12,0)</f>
        <v>1145.8333333333335</v>
      </c>
      <c r="BC383" s="10">
        <f>IF('Batt IN'!$E$11="Taxable",Q383,0)</f>
        <v>0</v>
      </c>
      <c r="BD383" s="10">
        <f>IF('Batt IN'!$E$11="Taxable",'Batt IN'!$E$28/1000*'Batt IN'!$G$13*('Batt IN'!$E$13/12)*'Batt IN'!$E$12,0)</f>
        <v>0</v>
      </c>
      <c r="BE383" s="10">
        <f>IF('Batt IN'!$E$11="Taxable",$S383*'Batt IN'!$G$15*'Batt IN'!$E$28*'Batt IN'!$E$14/1000,0)</f>
        <v>0</v>
      </c>
      <c r="BF383" s="10">
        <f>IF('Batt IN'!$E$11="Taxable",'Batt IN'!$E$21*'Batt IN'!$G$21/12,0)</f>
        <v>0</v>
      </c>
      <c r="BG383" s="10">
        <f>IF('Batt IN'!$E$11="Taxable",'Batt IN'!$E$22*'Batt IN'!$G$22/12,0)</f>
        <v>0</v>
      </c>
      <c r="BK383" s="10">
        <f>IF('Batt IN'!$N$18="Yes",-BattLoan!H411,-BattLoan!L411)</f>
        <v>0</v>
      </c>
      <c r="BL383" s="10">
        <f>IF('Batt IN'!$N$18="Yes",-BattLoan!F411,0)</f>
        <v>0</v>
      </c>
      <c r="BM383" s="10">
        <f>IF(AND('Batt IN'!$D$44="YES",$C383&lt;='Batt IN'!$E$44*12),0,-'Batt IN'!$E$28*'Batt IN'!$E$42/12)</f>
        <v>-83.333333333333329</v>
      </c>
      <c r="BN383" s="10">
        <f>IF(AND('Batt IN'!$D$46="YES",$C383&lt;='Batt IN'!$E$46*12),0,-'Batt IN'!$E$28*'Batt IN'!$E$45/12)</f>
        <v>-166.66666666666666</v>
      </c>
      <c r="BO383" s="2">
        <f>IF(AND('Batt IN'!$D$41="YES",BattCalcs!C383=ROUNDUP('Batt IN'!$H$41*12,)),-'Batt IN'!$E$41*'Batt IN'!$E$28,0)</f>
        <v>0</v>
      </c>
      <c r="BP383" s="2">
        <f>IF(AND('Batt IN'!$D$53="Yes",$AL$1&gt;=1),0,IF($C383='Batt IN'!$H$54*12,-'Batt IN'!$F$54,0))</f>
        <v>0</v>
      </c>
      <c r="BQ383" s="2">
        <f>IF(AND('Batt IN'!$D$53="Yes",$AL$1&gt;=2),0,IF($C383='Batt IN'!$H$55*12,-'Batt IN'!$F$55,0))</f>
        <v>0</v>
      </c>
      <c r="BR383" s="2">
        <f>IF(AND('Batt IN'!$D$53="Yes",$AL$1&gt;=3),0,IF($C383='Batt IN'!$H$56*12,-'Batt IN'!$F$56,0))</f>
        <v>0</v>
      </c>
      <c r="BS383" s="2">
        <f>IF(AND('Batt IN'!$D$53="Yes",$AL$1&gt;=4),0,IF($C383='Batt IN'!$H$57*12,-'Batt IN'!$F$57,0))</f>
        <v>0</v>
      </c>
      <c r="BT383" s="2">
        <f>IF(AND('Batt IN'!$D$53="Yes",$AL$1&gt;=5),0,IF($C383='Batt IN'!$H$58*12,-'Batt IN'!$F$58,0))</f>
        <v>0</v>
      </c>
      <c r="BU383" s="2">
        <f>-AH383*PVCalcs!F383</f>
        <v>-359.37504381576838</v>
      </c>
      <c r="BV383" s="2">
        <f>-'Batt IN'!$E$47</f>
        <v>-150</v>
      </c>
      <c r="BW383" s="2">
        <f>-'Batt IN'!$E$49</f>
        <v>-2250</v>
      </c>
      <c r="BX383" s="2">
        <f>IF('Batt IN'!$H$50="No",-(BC383*'Batt IN'!$E$50),-(BC383+BE383)*'Batt IN'!$E$50)</f>
        <v>0</v>
      </c>
      <c r="BY383" s="2">
        <f>IF(C383='Batt IN'!$H$43*12,-'Batt IN'!$E$43,0)</f>
        <v>0</v>
      </c>
      <c r="BZ383" s="38"/>
      <c r="CA383" s="10">
        <f t="shared" si="106"/>
        <v>14630.923846689499</v>
      </c>
      <c r="CB383" s="2">
        <f t="shared" si="94"/>
        <v>-3009.3750438157685</v>
      </c>
      <c r="CC383" s="45">
        <f t="shared" si="107"/>
        <v>11621.548802873731</v>
      </c>
      <c r="CD383" s="43"/>
      <c r="CE383" s="2">
        <f t="shared" si="108"/>
        <v>0</v>
      </c>
      <c r="CF383" s="2">
        <f t="shared" si="95"/>
        <v>-3009.3750438157685</v>
      </c>
      <c r="CG383" s="2"/>
      <c r="CH383" s="2">
        <f t="shared" si="109"/>
        <v>-3009.3750438157685</v>
      </c>
      <c r="CI383" s="45">
        <f>-CH383*'Batt IN'!$E$7</f>
        <v>631.9687592013114</v>
      </c>
      <c r="CJ383" s="48"/>
      <c r="CK383" s="45">
        <f>IF('Batt IN'!$F$4="PV Only",0,IF(C383&gt;'Batt IN'!$H$43*12,0,CC383+CI383))</f>
        <v>0</v>
      </c>
      <c r="CM383" s="10">
        <f t="shared" si="110"/>
        <v>0</v>
      </c>
      <c r="CN383" s="2">
        <f>CK383/(1+('Batt IN'!$G$8))^(C383)</f>
        <v>0</v>
      </c>
      <c r="CO383" s="2" t="e">
        <f>IF(C383&lt;='Batt IN'!$O$30*12,CN383+CO382,NA())</f>
        <v>#N/A</v>
      </c>
      <c r="CQ383" s="2">
        <f>CK383/((1+('Batt IN'!$E$8/12))^BattCalcs!C383)</f>
        <v>0</v>
      </c>
      <c r="CS383" s="10">
        <f t="shared" si="96"/>
        <v>-3009.3750438157685</v>
      </c>
      <c r="CT383" s="10">
        <f t="shared" si="97"/>
        <v>0</v>
      </c>
      <c r="CU383" s="10">
        <f t="shared" si="98"/>
        <v>-3009.3750438157685</v>
      </c>
      <c r="CV383" s="10">
        <f t="shared" si="99"/>
        <v>-3009.3750438157685</v>
      </c>
      <c r="CW383" s="2">
        <f t="shared" si="100"/>
        <v>0</v>
      </c>
      <c r="CX383" s="2">
        <f>-(SUM(CV383:CW383)*'PV IN'!$E$8)</f>
        <v>631.9687592013114</v>
      </c>
      <c r="CY383" s="2">
        <f t="shared" si="101"/>
        <v>-2377.406284614457</v>
      </c>
      <c r="CZ383" s="2">
        <f>IF(C383&lt;='Batt IN'!$H$43*12,CY383/(1+('PV IN'!$G$9))^(C383),0)</f>
        <v>0</v>
      </c>
      <c r="DA383" s="33">
        <f>IF(C383&lt;='Batt IN'!$H$43*12,AE383,0)</f>
        <v>0</v>
      </c>
    </row>
    <row r="384" spans="1:105" x14ac:dyDescent="0.25">
      <c r="A384" t="str">
        <f>IF(C384&lt;='Batt IN'!$H$43*12,C384,"")</f>
        <v/>
      </c>
      <c r="C384">
        <v>380</v>
      </c>
      <c r="D384" s="21">
        <v>810</v>
      </c>
      <c r="E384" s="1">
        <f>1-'Batt IN'!$E$31</f>
        <v>2.0000000000000018E-2</v>
      </c>
      <c r="F384" s="12">
        <f>('Batt IN'!$E$33*365)/8760</f>
        <v>0</v>
      </c>
      <c r="G384" s="22">
        <f>'Batt IN'!$E$32/8760</f>
        <v>5.7077625570776253E-3</v>
      </c>
      <c r="H384" s="22">
        <f>'Batt IN'!$E$13/8760</f>
        <v>5.5936073059360729E-3</v>
      </c>
      <c r="I384" s="23">
        <f>IF(C384&lt;='Batt IN'!$G$14*12,'Batt IN'!$E$15/8760*'Batt IN'!$G$15,0)</f>
        <v>0</v>
      </c>
      <c r="J384" s="12">
        <f>Z384/'Batt IN'!$E$27/730</f>
        <v>2.4999999999999996E-3</v>
      </c>
      <c r="K384" s="23">
        <f>AA384/'Batt IN'!$E$27/730</f>
        <v>1.6027397260273972E-3</v>
      </c>
      <c r="L384" s="23">
        <f>AB384/'Batt IN'!$E$27/730</f>
        <v>2.0547945205479451E-4</v>
      </c>
      <c r="M384" s="23">
        <f>AC384/'Batt IN'!$E$27/730</f>
        <v>4.7945205479452057E-3</v>
      </c>
      <c r="N384" s="23">
        <f>AD384/'Batt IN'!$E$27/730</f>
        <v>3.4246575342465752E-3</v>
      </c>
      <c r="O384" s="12">
        <f t="shared" si="102"/>
        <v>4.3828767123287697E-2</v>
      </c>
      <c r="P384" s="21">
        <f t="shared" si="103"/>
        <v>774.49869863013703</v>
      </c>
      <c r="Q384" s="2">
        <f>IF('Batt IN'!$E$27*'Batt IN'!$E$24&lt;='Batt IN'!$E$28,(('Batt IN'!$E$23*'Batt IN'!$E$27*'Batt IN'!$E$24)/1000)*P384,(('Batt IN'!$E$23*'Batt IN'!$E$28*'Batt IN'!$E$24)/1000)*P384)</f>
        <v>12391.979178082192</v>
      </c>
      <c r="R384" s="2"/>
      <c r="S384" s="77">
        <f>IF(C384&lt;='Batt IN'!$G$14*12,'Batt IN'!$E$15/12,0)</f>
        <v>0</v>
      </c>
      <c r="T384" s="77"/>
      <c r="U384" s="80">
        <f>'Batt IN'!$E$28*('Batt IN'!$G$24/24)*730*(1-O384)</f>
        <v>81433.916666666657</v>
      </c>
      <c r="V384" s="78">
        <f>U384*'Batt IN'!$F$30</f>
        <v>16286.783333333333</v>
      </c>
      <c r="W384" s="78">
        <f>'Batt IN'!$E$28*'Batt IN'!$G$32*('Batt IN'!$E$32/12)*(1+'Batt IN'!$F$30)</f>
        <v>1750.0000000000002</v>
      </c>
      <c r="X384" s="78">
        <f>'Batt IN'!$E$28*'Batt IN'!$G$13*('Batt IN'!$E$13/12)*(1+'Batt IN'!$F$30)</f>
        <v>3184.9999999999995</v>
      </c>
      <c r="Y384" s="33">
        <f>S384*'Batt IN'!$G$15*'Batt IN'!$E$28*(1+'Batt IN'!$F$30)</f>
        <v>0</v>
      </c>
      <c r="Z384" s="33">
        <f>'Batt IN'!$G$16*365/12*(1+'Batt IN'!$F$30)</f>
        <v>1824.9999999999998</v>
      </c>
      <c r="AA384" s="33">
        <f>'Batt IN'!$G$17*'Batt IN'!$E$18*'Batt IN'!$G$18/12*(1+'Batt IN'!$F$30)</f>
        <v>1170</v>
      </c>
      <c r="AB384" s="33">
        <f>'Batt IN'!$G$19*'Batt IN'!$E$20*'Batt IN'!$G$20/12*(1+'Batt IN'!$F$30)</f>
        <v>150</v>
      </c>
      <c r="AC384" s="33">
        <f>'Batt IN'!$G$21*(1+'Batt IN'!$F$30)/12</f>
        <v>3500</v>
      </c>
      <c r="AD384" s="33">
        <f>'Batt IN'!$G$22*(1+'Batt IN'!$F$30)/12</f>
        <v>2500</v>
      </c>
      <c r="AE384" s="33">
        <f t="shared" si="104"/>
        <v>30366.783333333333</v>
      </c>
      <c r="AF384" s="33">
        <f>IF('PV IN'!$F$4="Battery Only",0,AE384*'Batt IN'!$E$29)</f>
        <v>25811.765833333331</v>
      </c>
      <c r="AG384" s="33">
        <f>PVCalcs!L384</f>
        <v>25811.765833333331</v>
      </c>
      <c r="AH384" s="33">
        <f t="shared" si="105"/>
        <v>4555.0175000000017</v>
      </c>
      <c r="AI384" s="33"/>
      <c r="AJ384" s="2">
        <f>IF(AND('Batt IN'!$D$53="Yes",$AL$1&gt;=1),IF($C384='Batt IN'!$H$54*12,-'Batt IN'!$F$54,0),0)</f>
        <v>0</v>
      </c>
      <c r="AK384" s="2">
        <f>IF(AND('Batt IN'!$D$53="Yes",$AL$1&gt;=2),IF($C384='Batt IN'!$H$55*12,-'Batt IN'!$F$55,0),0)</f>
        <v>0</v>
      </c>
      <c r="AL384" s="2">
        <f>IF(AND('Batt IN'!$D$53="Yes",$AL$1&gt;=3),IF($C384='Batt IN'!$H$56*12,-'Batt IN'!$F$56,0),0)</f>
        <v>0</v>
      </c>
      <c r="AM384" s="2">
        <f>IF(AND('Batt IN'!$D$53="Yes",$AL$1&gt;=4),IF($C384='Batt IN'!$H$57*12,-'Batt IN'!$F$57,0),0)</f>
        <v>0</v>
      </c>
      <c r="AN384" s="2">
        <f>IF(AND('Batt IN'!$D$53="Yes",$AL$1&gt;=5),IF($C384='Batt IN'!$H$58*12,-'Batt IN'!$F$58,0),0)</f>
        <v>0</v>
      </c>
      <c r="AO384" s="10">
        <f>IF(AND('Batt IN'!$D$44="YES",$C384&lt;='Batt IN'!$E$44*12),-'Batt IN'!$E$28*'Batt IN'!$E$42/12,0)</f>
        <v>0</v>
      </c>
      <c r="AP384" s="10">
        <f>IF(AND('Batt IN'!$D$46="YES",$C384&lt;='Batt IN'!$E$46*12),-'Batt IN'!$E$28*'Batt IN'!$E$45/12,0)</f>
        <v>0</v>
      </c>
      <c r="AR384" s="10">
        <f>BattLoan!M411</f>
        <v>0</v>
      </c>
      <c r="AS384" s="10">
        <f>'Batt IN'!$G$16*365/12*'Batt IN'!$E$16</f>
        <v>76.041666666666671</v>
      </c>
      <c r="AT384" s="10">
        <f>IF(AND('Batt IN'!$E$18&gt;0,'Batt IN'!$G$18&gt;0),'Batt IN'!$E$17*'Batt IN'!$G$17,0)</f>
        <v>119.44619999999999</v>
      </c>
      <c r="AU384" s="10">
        <f>IF(AND('Batt IN'!$E$20&gt;0,'Batt IN'!$G$20&gt;0),'Batt IN'!$E$19*'Batt IN'!$G$19,0)</f>
        <v>231</v>
      </c>
      <c r="AV384" s="10"/>
      <c r="AW384" s="10"/>
      <c r="AX384" s="10">
        <f>IF('Batt IN'!$E$11="Non-Taxable",Q384,0)</f>
        <v>12391.979178082192</v>
      </c>
      <c r="AY384" s="10">
        <f>IF('Batt IN'!$E$11="Non-Taxable",'Batt IN'!$E$28/1000*'Batt IN'!$G$13*('Batt IN'!$E$13/12)*'Batt IN'!$E$12,0)</f>
        <v>244.42220833333334</v>
      </c>
      <c r="AZ384" s="10">
        <f>IF('Batt IN'!$E$11="Non-Taxable",$S384*'Batt IN'!$G$15*'Batt IN'!$E$28*'Batt IN'!$E$14/1000,0)</f>
        <v>0</v>
      </c>
      <c r="BA384" s="10">
        <f>IF('Batt IN'!$E$11="Non-Taxable",'Batt IN'!$E$21*'Batt IN'!$G$21/12,0)</f>
        <v>437.5</v>
      </c>
      <c r="BB384" s="10">
        <f>IF('Batt IN'!$E$11="Non-Taxable",'Batt IN'!$E$22*'Batt IN'!$G$22/12,0)</f>
        <v>1145.8333333333335</v>
      </c>
      <c r="BC384" s="10">
        <f>IF('Batt IN'!$E$11="Taxable",Q384,0)</f>
        <v>0</v>
      </c>
      <c r="BD384" s="10">
        <f>IF('Batt IN'!$E$11="Taxable",'Batt IN'!$E$28/1000*'Batt IN'!$G$13*('Batt IN'!$E$13/12)*'Batt IN'!$E$12,0)</f>
        <v>0</v>
      </c>
      <c r="BE384" s="10">
        <f>IF('Batt IN'!$E$11="Taxable",$S384*'Batt IN'!$G$15*'Batt IN'!$E$28*'Batt IN'!$E$14/1000,0)</f>
        <v>0</v>
      </c>
      <c r="BF384" s="10">
        <f>IF('Batt IN'!$E$11="Taxable",'Batt IN'!$E$21*'Batt IN'!$G$21/12,0)</f>
        <v>0</v>
      </c>
      <c r="BG384" s="10">
        <f>IF('Batt IN'!$E$11="Taxable",'Batt IN'!$E$22*'Batt IN'!$G$22/12,0)</f>
        <v>0</v>
      </c>
      <c r="BK384" s="10">
        <f>IF('Batt IN'!$N$18="Yes",-BattLoan!H412,-BattLoan!L412)</f>
        <v>0</v>
      </c>
      <c r="BL384" s="10">
        <f>IF('Batt IN'!$N$18="Yes",-BattLoan!F412,0)</f>
        <v>0</v>
      </c>
      <c r="BM384" s="10">
        <f>IF(AND('Batt IN'!$D$44="YES",$C384&lt;='Batt IN'!$E$44*12),0,-'Batt IN'!$E$28*'Batt IN'!$E$42/12)</f>
        <v>-83.333333333333329</v>
      </c>
      <c r="BN384" s="10">
        <f>IF(AND('Batt IN'!$D$46="YES",$C384&lt;='Batt IN'!$E$46*12),0,-'Batt IN'!$E$28*'Batt IN'!$E$45/12)</f>
        <v>-166.66666666666666</v>
      </c>
      <c r="BO384" s="2">
        <f>IF(AND('Batt IN'!$D$41="YES",BattCalcs!C384=ROUNDUP('Batt IN'!$H$41*12,)),-'Batt IN'!$E$41*'Batt IN'!$E$28,0)</f>
        <v>0</v>
      </c>
      <c r="BP384" s="2">
        <f>IF(AND('Batt IN'!$D$53="Yes",$AL$1&gt;=1),0,IF($C384='Batt IN'!$H$54*12,-'Batt IN'!$F$54,0))</f>
        <v>0</v>
      </c>
      <c r="BQ384" s="2">
        <f>IF(AND('Batt IN'!$D$53="Yes",$AL$1&gt;=2),0,IF($C384='Batt IN'!$H$55*12,-'Batt IN'!$F$55,0))</f>
        <v>0</v>
      </c>
      <c r="BR384" s="2">
        <f>IF(AND('Batt IN'!$D$53="Yes",$AL$1&gt;=3),0,IF($C384='Batt IN'!$H$56*12,-'Batt IN'!$F$56,0))</f>
        <v>0</v>
      </c>
      <c r="BS384" s="2">
        <f>IF(AND('Batt IN'!$D$53="Yes",$AL$1&gt;=4),0,IF($C384='Batt IN'!$H$57*12,-'Batt IN'!$F$57,0))</f>
        <v>0</v>
      </c>
      <c r="BT384" s="2">
        <f>IF(AND('Batt IN'!$D$53="Yes",$AL$1&gt;=5),0,IF($C384='Batt IN'!$H$58*12,-'Batt IN'!$F$58,0))</f>
        <v>0</v>
      </c>
      <c r="BU384" s="2">
        <f>-AH384*PVCalcs!F384</f>
        <v>-359.37504381576838</v>
      </c>
      <c r="BV384" s="2">
        <f>-'Batt IN'!$E$47</f>
        <v>-150</v>
      </c>
      <c r="BW384" s="2">
        <f>-'Batt IN'!$E$49</f>
        <v>-2250</v>
      </c>
      <c r="BX384" s="2">
        <f>IF('Batt IN'!$H$50="No",-(BC384*'Batt IN'!$E$50),-(BC384+BE384)*'Batt IN'!$E$50)</f>
        <v>0</v>
      </c>
      <c r="BY384" s="2">
        <f>IF(C384='Batt IN'!$H$43*12,-'Batt IN'!$E$43,0)</f>
        <v>0</v>
      </c>
      <c r="BZ384" s="38"/>
      <c r="CA384" s="10">
        <f t="shared" si="106"/>
        <v>14646.222586415526</v>
      </c>
      <c r="CB384" s="2">
        <f t="shared" si="94"/>
        <v>-3009.3750438157685</v>
      </c>
      <c r="CC384" s="45">
        <f t="shared" si="107"/>
        <v>11636.847542599757</v>
      </c>
      <c r="CD384" s="43"/>
      <c r="CE384" s="2">
        <f t="shared" si="108"/>
        <v>0</v>
      </c>
      <c r="CF384" s="2">
        <f t="shared" si="95"/>
        <v>-3009.3750438157685</v>
      </c>
      <c r="CG384" s="2"/>
      <c r="CH384" s="2">
        <f t="shared" si="109"/>
        <v>-3009.3750438157685</v>
      </c>
      <c r="CI384" s="45">
        <f>-CH384*'Batt IN'!$E$7</f>
        <v>631.9687592013114</v>
      </c>
      <c r="CJ384" s="48"/>
      <c r="CK384" s="45">
        <f>IF('Batt IN'!$F$4="PV Only",0,IF(C384&gt;'Batt IN'!$H$43*12,0,CC384+CI384))</f>
        <v>0</v>
      </c>
      <c r="CM384" s="10">
        <f t="shared" si="110"/>
        <v>0</v>
      </c>
      <c r="CN384" s="2">
        <f>CK384/(1+('Batt IN'!$G$8))^(C384)</f>
        <v>0</v>
      </c>
      <c r="CO384" s="2" t="e">
        <f>IF(C384&lt;='Batt IN'!$O$30*12,CN384+CO383,NA())</f>
        <v>#N/A</v>
      </c>
      <c r="CQ384" s="2">
        <f>CK384/((1+('Batt IN'!$E$8/12))^BattCalcs!C384)</f>
        <v>0</v>
      </c>
      <c r="CS384" s="10">
        <f t="shared" si="96"/>
        <v>-3009.3750438157685</v>
      </c>
      <c r="CT384" s="10">
        <f t="shared" si="97"/>
        <v>0</v>
      </c>
      <c r="CU384" s="10">
        <f t="shared" si="98"/>
        <v>-3009.3750438157685</v>
      </c>
      <c r="CV384" s="10">
        <f t="shared" si="99"/>
        <v>-3009.3750438157685</v>
      </c>
      <c r="CW384" s="2">
        <f t="shared" si="100"/>
        <v>0</v>
      </c>
      <c r="CX384" s="2">
        <f>-(SUM(CV384:CW384)*'PV IN'!$E$8)</f>
        <v>631.9687592013114</v>
      </c>
      <c r="CY384" s="2">
        <f t="shared" si="101"/>
        <v>-2377.406284614457</v>
      </c>
      <c r="CZ384" s="2">
        <f>IF(C384&lt;='Batt IN'!$H$43*12,CY384/(1+('PV IN'!$G$9))^(C384),0)</f>
        <v>0</v>
      </c>
      <c r="DA384" s="33">
        <f>IF(C384&lt;='Batt IN'!$H$43*12,AE384,0)</f>
        <v>0</v>
      </c>
    </row>
    <row r="385" spans="1:105" x14ac:dyDescent="0.25">
      <c r="A385" t="str">
        <f>IF(C385&lt;='Batt IN'!$H$43*12,C385,"")</f>
        <v/>
      </c>
      <c r="C385">
        <v>381</v>
      </c>
      <c r="D385" s="21">
        <v>811</v>
      </c>
      <c r="E385" s="1">
        <f>1-'Batt IN'!$E$31</f>
        <v>2.0000000000000018E-2</v>
      </c>
      <c r="F385" s="12">
        <f>('Batt IN'!$E$33*365)/8760</f>
        <v>0</v>
      </c>
      <c r="G385" s="22">
        <f>'Batt IN'!$E$32/8760</f>
        <v>5.7077625570776253E-3</v>
      </c>
      <c r="H385" s="22">
        <f>'Batt IN'!$E$13/8760</f>
        <v>5.5936073059360729E-3</v>
      </c>
      <c r="I385" s="23">
        <f>IF(C385&lt;='Batt IN'!$G$14*12,'Batt IN'!$E$15/8760*'Batt IN'!$G$15,0)</f>
        <v>0</v>
      </c>
      <c r="J385" s="12">
        <f>Z385/'Batt IN'!$E$27/730</f>
        <v>2.4999999999999996E-3</v>
      </c>
      <c r="K385" s="23">
        <f>AA385/'Batt IN'!$E$27/730</f>
        <v>1.6027397260273972E-3</v>
      </c>
      <c r="L385" s="23">
        <f>AB385/'Batt IN'!$E$27/730</f>
        <v>2.0547945205479451E-4</v>
      </c>
      <c r="M385" s="23">
        <f>AC385/'Batt IN'!$E$27/730</f>
        <v>4.7945205479452057E-3</v>
      </c>
      <c r="N385" s="23">
        <f>AD385/'Batt IN'!$E$27/730</f>
        <v>3.4246575342465752E-3</v>
      </c>
      <c r="O385" s="12">
        <f t="shared" si="102"/>
        <v>4.3828767123287697E-2</v>
      </c>
      <c r="P385" s="21">
        <f t="shared" si="103"/>
        <v>775.45486986301376</v>
      </c>
      <c r="Q385" s="2">
        <f>IF('Batt IN'!$E$27*'Batt IN'!$E$24&lt;='Batt IN'!$E$28,(('Batt IN'!$E$23*'Batt IN'!$E$27*'Batt IN'!$E$24)/1000)*P385,(('Batt IN'!$E$23*'Batt IN'!$E$28*'Batt IN'!$E$24)/1000)*P385)</f>
        <v>12407.27791780822</v>
      </c>
      <c r="R385" s="2"/>
      <c r="S385" s="77">
        <f>IF(C385&lt;='Batt IN'!$G$14*12,'Batt IN'!$E$15/12,0)</f>
        <v>0</v>
      </c>
      <c r="T385" s="77"/>
      <c r="U385" s="80">
        <f>'Batt IN'!$E$28*('Batt IN'!$G$24/24)*730*(1-O385)</f>
        <v>81433.916666666657</v>
      </c>
      <c r="V385" s="78">
        <f>U385*'Batt IN'!$F$30</f>
        <v>16286.783333333333</v>
      </c>
      <c r="W385" s="78">
        <f>'Batt IN'!$E$28*'Batt IN'!$G$32*('Batt IN'!$E$32/12)*(1+'Batt IN'!$F$30)</f>
        <v>1750.0000000000002</v>
      </c>
      <c r="X385" s="78">
        <f>'Batt IN'!$E$28*'Batt IN'!$G$13*('Batt IN'!$E$13/12)*(1+'Batt IN'!$F$30)</f>
        <v>3184.9999999999995</v>
      </c>
      <c r="Y385" s="33">
        <f>S385*'Batt IN'!$G$15*'Batt IN'!$E$28*(1+'Batt IN'!$F$30)</f>
        <v>0</v>
      </c>
      <c r="Z385" s="33">
        <f>'Batt IN'!$G$16*365/12*(1+'Batt IN'!$F$30)</f>
        <v>1824.9999999999998</v>
      </c>
      <c r="AA385" s="33">
        <f>'Batt IN'!$G$17*'Batt IN'!$E$18*'Batt IN'!$G$18/12*(1+'Batt IN'!$F$30)</f>
        <v>1170</v>
      </c>
      <c r="AB385" s="33">
        <f>'Batt IN'!$G$19*'Batt IN'!$E$20*'Batt IN'!$G$20/12*(1+'Batt IN'!$F$30)</f>
        <v>150</v>
      </c>
      <c r="AC385" s="33">
        <f>'Batt IN'!$G$21*(1+'Batt IN'!$F$30)/12</f>
        <v>3500</v>
      </c>
      <c r="AD385" s="33">
        <f>'Batt IN'!$G$22*(1+'Batt IN'!$F$30)/12</f>
        <v>2500</v>
      </c>
      <c r="AE385" s="33">
        <f t="shared" si="104"/>
        <v>30366.783333333333</v>
      </c>
      <c r="AF385" s="33">
        <f>IF('PV IN'!$F$4="Battery Only",0,AE385*'Batt IN'!$E$29)</f>
        <v>25811.765833333331</v>
      </c>
      <c r="AG385" s="33">
        <f>PVCalcs!L385</f>
        <v>25811.765833333331</v>
      </c>
      <c r="AH385" s="33">
        <f t="shared" si="105"/>
        <v>4555.0175000000017</v>
      </c>
      <c r="AI385" s="33"/>
      <c r="AJ385" s="2">
        <f>IF(AND('Batt IN'!$D$53="Yes",$AL$1&gt;=1),IF($C385='Batt IN'!$H$54*12,-'Batt IN'!$F$54,0),0)</f>
        <v>0</v>
      </c>
      <c r="AK385" s="2">
        <f>IF(AND('Batt IN'!$D$53="Yes",$AL$1&gt;=2),IF($C385='Batt IN'!$H$55*12,-'Batt IN'!$F$55,0),0)</f>
        <v>0</v>
      </c>
      <c r="AL385" s="2">
        <f>IF(AND('Batt IN'!$D$53="Yes",$AL$1&gt;=3),IF($C385='Batt IN'!$H$56*12,-'Batt IN'!$F$56,0),0)</f>
        <v>0</v>
      </c>
      <c r="AM385" s="2">
        <f>IF(AND('Batt IN'!$D$53="Yes",$AL$1&gt;=4),IF($C385='Batt IN'!$H$57*12,-'Batt IN'!$F$57,0),0)</f>
        <v>0</v>
      </c>
      <c r="AN385" s="2">
        <f>IF(AND('Batt IN'!$D$53="Yes",$AL$1&gt;=5),IF($C385='Batt IN'!$H$58*12,-'Batt IN'!$F$58,0),0)</f>
        <v>0</v>
      </c>
      <c r="AO385" s="10">
        <f>IF(AND('Batt IN'!$D$44="YES",$C385&lt;='Batt IN'!$E$44*12),-'Batt IN'!$E$28*'Batt IN'!$E$42/12,0)</f>
        <v>0</v>
      </c>
      <c r="AP385" s="10">
        <f>IF(AND('Batt IN'!$D$46="YES",$C385&lt;='Batt IN'!$E$46*12),-'Batt IN'!$E$28*'Batt IN'!$E$45/12,0)</f>
        <v>0</v>
      </c>
      <c r="AR385" s="10">
        <f>BattLoan!M412</f>
        <v>0</v>
      </c>
      <c r="AS385" s="10">
        <f>'Batt IN'!$G$16*365/12*'Batt IN'!$E$16</f>
        <v>76.041666666666671</v>
      </c>
      <c r="AT385" s="10">
        <f>IF(AND('Batt IN'!$E$18&gt;0,'Batt IN'!$G$18&gt;0),'Batt IN'!$E$17*'Batt IN'!$G$17,0)</f>
        <v>119.44619999999999</v>
      </c>
      <c r="AU385" s="10">
        <f>IF(AND('Batt IN'!$E$20&gt;0,'Batt IN'!$G$20&gt;0),'Batt IN'!$E$19*'Batt IN'!$G$19,0)</f>
        <v>231</v>
      </c>
      <c r="AV385" s="10"/>
      <c r="AW385" s="10"/>
      <c r="AX385" s="10">
        <f>IF('Batt IN'!$E$11="Non-Taxable",Q385,0)</f>
        <v>12407.27791780822</v>
      </c>
      <c r="AY385" s="10">
        <f>IF('Batt IN'!$E$11="Non-Taxable",'Batt IN'!$E$28/1000*'Batt IN'!$G$13*('Batt IN'!$E$13/12)*'Batt IN'!$E$12,0)</f>
        <v>244.42220833333334</v>
      </c>
      <c r="AZ385" s="10">
        <f>IF('Batt IN'!$E$11="Non-Taxable",$S385*'Batt IN'!$G$15*'Batt IN'!$E$28*'Batt IN'!$E$14/1000,0)</f>
        <v>0</v>
      </c>
      <c r="BA385" s="10">
        <f>IF('Batt IN'!$E$11="Non-Taxable",'Batt IN'!$E$21*'Batt IN'!$G$21/12,0)</f>
        <v>437.5</v>
      </c>
      <c r="BB385" s="10">
        <f>IF('Batt IN'!$E$11="Non-Taxable",'Batt IN'!$E$22*'Batt IN'!$G$22/12,0)</f>
        <v>1145.8333333333335</v>
      </c>
      <c r="BC385" s="10">
        <f>IF('Batt IN'!$E$11="Taxable",Q385,0)</f>
        <v>0</v>
      </c>
      <c r="BD385" s="10">
        <f>IF('Batt IN'!$E$11="Taxable",'Batt IN'!$E$28/1000*'Batt IN'!$G$13*('Batt IN'!$E$13/12)*'Batt IN'!$E$12,0)</f>
        <v>0</v>
      </c>
      <c r="BE385" s="10">
        <f>IF('Batt IN'!$E$11="Taxable",$S385*'Batt IN'!$G$15*'Batt IN'!$E$28*'Batt IN'!$E$14/1000,0)</f>
        <v>0</v>
      </c>
      <c r="BF385" s="10">
        <f>IF('Batt IN'!$E$11="Taxable",'Batt IN'!$E$21*'Batt IN'!$G$21/12,0)</f>
        <v>0</v>
      </c>
      <c r="BG385" s="10">
        <f>IF('Batt IN'!$E$11="Taxable",'Batt IN'!$E$22*'Batt IN'!$G$22/12,0)</f>
        <v>0</v>
      </c>
      <c r="BK385" s="10">
        <f>IF('Batt IN'!$N$18="Yes",-BattLoan!H413,-BattLoan!L413)</f>
        <v>0</v>
      </c>
      <c r="BL385" s="10">
        <f>IF('Batt IN'!$N$18="Yes",-BattLoan!F413,0)</f>
        <v>0</v>
      </c>
      <c r="BM385" s="10">
        <f>IF(AND('Batt IN'!$D$44="YES",$C385&lt;='Batt IN'!$E$44*12),0,-'Batt IN'!$E$28*'Batt IN'!$E$42/12)</f>
        <v>-83.333333333333329</v>
      </c>
      <c r="BN385" s="10">
        <f>IF(AND('Batt IN'!$D$46="YES",$C385&lt;='Batt IN'!$E$46*12),0,-'Batt IN'!$E$28*'Batt IN'!$E$45/12)</f>
        <v>-166.66666666666666</v>
      </c>
      <c r="BO385" s="2">
        <f>IF(AND('Batt IN'!$D$41="YES",BattCalcs!C385=ROUNDUP('Batt IN'!$H$41*12,)),-'Batt IN'!$E$41*'Batt IN'!$E$28,0)</f>
        <v>0</v>
      </c>
      <c r="BP385" s="2">
        <f>IF(AND('Batt IN'!$D$53="Yes",$AL$1&gt;=1),0,IF($C385='Batt IN'!$H$54*12,-'Batt IN'!$F$54,0))</f>
        <v>0</v>
      </c>
      <c r="BQ385" s="2">
        <f>IF(AND('Batt IN'!$D$53="Yes",$AL$1&gt;=2),0,IF($C385='Batt IN'!$H$55*12,-'Batt IN'!$F$55,0))</f>
        <v>0</v>
      </c>
      <c r="BR385" s="2">
        <f>IF(AND('Batt IN'!$D$53="Yes",$AL$1&gt;=3),0,IF($C385='Batt IN'!$H$56*12,-'Batt IN'!$F$56,0))</f>
        <v>0</v>
      </c>
      <c r="BS385" s="2">
        <f>IF(AND('Batt IN'!$D$53="Yes",$AL$1&gt;=4),0,IF($C385='Batt IN'!$H$57*12,-'Batt IN'!$F$57,0))</f>
        <v>0</v>
      </c>
      <c r="BT385" s="2">
        <f>IF(AND('Batt IN'!$D$53="Yes",$AL$1&gt;=5),0,IF($C385='Batt IN'!$H$58*12,-'Batt IN'!$F$58,0))</f>
        <v>0</v>
      </c>
      <c r="BU385" s="2">
        <f>-AH385*PVCalcs!F385</f>
        <v>-359.37504381576838</v>
      </c>
      <c r="BV385" s="2">
        <f>-'Batt IN'!$E$47</f>
        <v>-150</v>
      </c>
      <c r="BW385" s="2">
        <f>-'Batt IN'!$E$49</f>
        <v>-2250</v>
      </c>
      <c r="BX385" s="2">
        <f>IF('Batt IN'!$H$50="No",-(BC385*'Batt IN'!$E$50),-(BC385+BE385)*'Batt IN'!$E$50)</f>
        <v>0</v>
      </c>
      <c r="BY385" s="2">
        <f>IF(C385='Batt IN'!$H$43*12,-'Batt IN'!$E$43,0)</f>
        <v>0</v>
      </c>
      <c r="BZ385" s="38"/>
      <c r="CA385" s="10">
        <f t="shared" si="106"/>
        <v>14661.521326141554</v>
      </c>
      <c r="CB385" s="2">
        <f t="shared" si="94"/>
        <v>-3009.3750438157685</v>
      </c>
      <c r="CC385" s="45">
        <f t="shared" si="107"/>
        <v>11652.146282325786</v>
      </c>
      <c r="CD385" s="43"/>
      <c r="CE385" s="2">
        <f t="shared" si="108"/>
        <v>0</v>
      </c>
      <c r="CF385" s="2">
        <f t="shared" si="95"/>
        <v>-3009.3750438157685</v>
      </c>
      <c r="CG385" s="2"/>
      <c r="CH385" s="2">
        <f t="shared" si="109"/>
        <v>-3009.3750438157685</v>
      </c>
      <c r="CI385" s="45">
        <f>-CH385*'Batt IN'!$E$7</f>
        <v>631.9687592013114</v>
      </c>
      <c r="CJ385" s="48"/>
      <c r="CK385" s="45">
        <f>IF('Batt IN'!$F$4="PV Only",0,IF(C385&gt;'Batt IN'!$H$43*12,0,CC385+CI385))</f>
        <v>0</v>
      </c>
      <c r="CM385" s="10">
        <f t="shared" si="110"/>
        <v>0</v>
      </c>
      <c r="CN385" s="2">
        <f>CK385/(1+('Batt IN'!$G$8))^(C385)</f>
        <v>0</v>
      </c>
      <c r="CO385" s="2" t="e">
        <f>IF(C385&lt;='Batt IN'!$O$30*12,CN385+CO384,NA())</f>
        <v>#N/A</v>
      </c>
      <c r="CQ385" s="2">
        <f>CK385/((1+('Batt IN'!$E$8/12))^BattCalcs!C385)</f>
        <v>0</v>
      </c>
      <c r="CS385" s="10">
        <f t="shared" si="96"/>
        <v>-3009.3750438157685</v>
      </c>
      <c r="CT385" s="10">
        <f t="shared" si="97"/>
        <v>0</v>
      </c>
      <c r="CU385" s="10">
        <f t="shared" si="98"/>
        <v>-3009.3750438157685</v>
      </c>
      <c r="CV385" s="10">
        <f t="shared" si="99"/>
        <v>-3009.3750438157685</v>
      </c>
      <c r="CW385" s="2">
        <f t="shared" si="100"/>
        <v>0</v>
      </c>
      <c r="CX385" s="2">
        <f>-(SUM(CV385:CW385)*'PV IN'!$E$8)</f>
        <v>631.9687592013114</v>
      </c>
      <c r="CY385" s="2">
        <f t="shared" si="101"/>
        <v>-2377.406284614457</v>
      </c>
      <c r="CZ385" s="2">
        <f>IF(C385&lt;='Batt IN'!$H$43*12,CY385/(1+('PV IN'!$G$9))^(C385),0)</f>
        <v>0</v>
      </c>
      <c r="DA385" s="33">
        <f>IF(C385&lt;='Batt IN'!$H$43*12,AE385,0)</f>
        <v>0</v>
      </c>
    </row>
    <row r="386" spans="1:105" x14ac:dyDescent="0.25">
      <c r="A386" t="str">
        <f>IF(C386&lt;='Batt IN'!$H$43*12,C386,"")</f>
        <v/>
      </c>
      <c r="C386">
        <v>382</v>
      </c>
      <c r="D386" s="21">
        <v>812</v>
      </c>
      <c r="E386" s="1">
        <f>1-'Batt IN'!$E$31</f>
        <v>2.0000000000000018E-2</v>
      </c>
      <c r="F386" s="12">
        <f>('Batt IN'!$E$33*365)/8760</f>
        <v>0</v>
      </c>
      <c r="G386" s="22">
        <f>'Batt IN'!$E$32/8760</f>
        <v>5.7077625570776253E-3</v>
      </c>
      <c r="H386" s="22">
        <f>'Batt IN'!$E$13/8760</f>
        <v>5.5936073059360729E-3</v>
      </c>
      <c r="I386" s="23">
        <f>IF(C386&lt;='Batt IN'!$G$14*12,'Batt IN'!$E$15/8760*'Batt IN'!$G$15,0)</f>
        <v>0</v>
      </c>
      <c r="J386" s="12">
        <f>Z386/'Batt IN'!$E$27/730</f>
        <v>2.4999999999999996E-3</v>
      </c>
      <c r="K386" s="23">
        <f>AA386/'Batt IN'!$E$27/730</f>
        <v>1.6027397260273972E-3</v>
      </c>
      <c r="L386" s="23">
        <f>AB386/'Batt IN'!$E$27/730</f>
        <v>2.0547945205479451E-4</v>
      </c>
      <c r="M386" s="23">
        <f>AC386/'Batt IN'!$E$27/730</f>
        <v>4.7945205479452057E-3</v>
      </c>
      <c r="N386" s="23">
        <f>AD386/'Batt IN'!$E$27/730</f>
        <v>3.4246575342465752E-3</v>
      </c>
      <c r="O386" s="12">
        <f t="shared" si="102"/>
        <v>4.3828767123287697E-2</v>
      </c>
      <c r="P386" s="21">
        <f t="shared" si="103"/>
        <v>776.41104109589048</v>
      </c>
      <c r="Q386" s="2">
        <f>IF('Batt IN'!$E$27*'Batt IN'!$E$24&lt;='Batt IN'!$E$28,(('Batt IN'!$E$23*'Batt IN'!$E$27*'Batt IN'!$E$24)/1000)*P386,(('Batt IN'!$E$23*'Batt IN'!$E$28*'Batt IN'!$E$24)/1000)*P386)</f>
        <v>12422.576657534248</v>
      </c>
      <c r="R386" s="2"/>
      <c r="S386" s="77">
        <f>IF(C386&lt;='Batt IN'!$G$14*12,'Batt IN'!$E$15/12,0)</f>
        <v>0</v>
      </c>
      <c r="T386" s="77"/>
      <c r="U386" s="80">
        <f>'Batt IN'!$E$28*('Batt IN'!$G$24/24)*730*(1-O386)</f>
        <v>81433.916666666657</v>
      </c>
      <c r="V386" s="78">
        <f>U386*'Batt IN'!$F$30</f>
        <v>16286.783333333333</v>
      </c>
      <c r="W386" s="78">
        <f>'Batt IN'!$E$28*'Batt IN'!$G$32*('Batt IN'!$E$32/12)*(1+'Batt IN'!$F$30)</f>
        <v>1750.0000000000002</v>
      </c>
      <c r="X386" s="78">
        <f>'Batt IN'!$E$28*'Batt IN'!$G$13*('Batt IN'!$E$13/12)*(1+'Batt IN'!$F$30)</f>
        <v>3184.9999999999995</v>
      </c>
      <c r="Y386" s="33">
        <f>S386*'Batt IN'!$G$15*'Batt IN'!$E$28*(1+'Batt IN'!$F$30)</f>
        <v>0</v>
      </c>
      <c r="Z386" s="33">
        <f>'Batt IN'!$G$16*365/12*(1+'Batt IN'!$F$30)</f>
        <v>1824.9999999999998</v>
      </c>
      <c r="AA386" s="33">
        <f>'Batt IN'!$G$17*'Batt IN'!$E$18*'Batt IN'!$G$18/12*(1+'Batt IN'!$F$30)</f>
        <v>1170</v>
      </c>
      <c r="AB386" s="33">
        <f>'Batt IN'!$G$19*'Batt IN'!$E$20*'Batt IN'!$G$20/12*(1+'Batt IN'!$F$30)</f>
        <v>150</v>
      </c>
      <c r="AC386" s="33">
        <f>'Batt IN'!$G$21*(1+'Batt IN'!$F$30)/12</f>
        <v>3500</v>
      </c>
      <c r="AD386" s="33">
        <f>'Batt IN'!$G$22*(1+'Batt IN'!$F$30)/12</f>
        <v>2500</v>
      </c>
      <c r="AE386" s="33">
        <f t="shared" si="104"/>
        <v>30366.783333333333</v>
      </c>
      <c r="AF386" s="33">
        <f>IF('PV IN'!$F$4="Battery Only",0,AE386*'Batt IN'!$E$29)</f>
        <v>25811.765833333331</v>
      </c>
      <c r="AG386" s="33">
        <f>PVCalcs!L386</f>
        <v>25811.765833333331</v>
      </c>
      <c r="AH386" s="33">
        <f t="shared" si="105"/>
        <v>4555.0175000000017</v>
      </c>
      <c r="AI386" s="33"/>
      <c r="AJ386" s="2">
        <f>IF(AND('Batt IN'!$D$53="Yes",$AL$1&gt;=1),IF($C386='Batt IN'!$H$54*12,-'Batt IN'!$F$54,0),0)</f>
        <v>0</v>
      </c>
      <c r="AK386" s="2">
        <f>IF(AND('Batt IN'!$D$53="Yes",$AL$1&gt;=2),IF($C386='Batt IN'!$H$55*12,-'Batt IN'!$F$55,0),0)</f>
        <v>0</v>
      </c>
      <c r="AL386" s="2">
        <f>IF(AND('Batt IN'!$D$53="Yes",$AL$1&gt;=3),IF($C386='Batt IN'!$H$56*12,-'Batt IN'!$F$56,0),0)</f>
        <v>0</v>
      </c>
      <c r="AM386" s="2">
        <f>IF(AND('Batt IN'!$D$53="Yes",$AL$1&gt;=4),IF($C386='Batt IN'!$H$57*12,-'Batt IN'!$F$57,0),0)</f>
        <v>0</v>
      </c>
      <c r="AN386" s="2">
        <f>IF(AND('Batt IN'!$D$53="Yes",$AL$1&gt;=5),IF($C386='Batt IN'!$H$58*12,-'Batt IN'!$F$58,0),0)</f>
        <v>0</v>
      </c>
      <c r="AO386" s="10">
        <f>IF(AND('Batt IN'!$D$44="YES",$C386&lt;='Batt IN'!$E$44*12),-'Batt IN'!$E$28*'Batt IN'!$E$42/12,0)</f>
        <v>0</v>
      </c>
      <c r="AP386" s="10">
        <f>IF(AND('Batt IN'!$D$46="YES",$C386&lt;='Batt IN'!$E$46*12),-'Batt IN'!$E$28*'Batt IN'!$E$45/12,0)</f>
        <v>0</v>
      </c>
      <c r="AR386" s="10">
        <f>BattLoan!M413</f>
        <v>0</v>
      </c>
      <c r="AS386" s="10">
        <f>'Batt IN'!$G$16*365/12*'Batt IN'!$E$16</f>
        <v>76.041666666666671</v>
      </c>
      <c r="AT386" s="10">
        <f>IF(AND('Batt IN'!$E$18&gt;0,'Batt IN'!$G$18&gt;0),'Batt IN'!$E$17*'Batt IN'!$G$17,0)</f>
        <v>119.44619999999999</v>
      </c>
      <c r="AU386" s="10">
        <f>IF(AND('Batt IN'!$E$20&gt;0,'Batt IN'!$G$20&gt;0),'Batt IN'!$E$19*'Batt IN'!$G$19,0)</f>
        <v>231</v>
      </c>
      <c r="AV386" s="10"/>
      <c r="AW386" s="10"/>
      <c r="AX386" s="10">
        <f>IF('Batt IN'!$E$11="Non-Taxable",Q386,0)</f>
        <v>12422.576657534248</v>
      </c>
      <c r="AY386" s="10">
        <f>IF('Batt IN'!$E$11="Non-Taxable",'Batt IN'!$E$28/1000*'Batt IN'!$G$13*('Batt IN'!$E$13/12)*'Batt IN'!$E$12,0)</f>
        <v>244.42220833333334</v>
      </c>
      <c r="AZ386" s="10">
        <f>IF('Batt IN'!$E$11="Non-Taxable",$S386*'Batt IN'!$G$15*'Batt IN'!$E$28*'Batt IN'!$E$14/1000,0)</f>
        <v>0</v>
      </c>
      <c r="BA386" s="10">
        <f>IF('Batt IN'!$E$11="Non-Taxable",'Batt IN'!$E$21*'Batt IN'!$G$21/12,0)</f>
        <v>437.5</v>
      </c>
      <c r="BB386" s="10">
        <f>IF('Batt IN'!$E$11="Non-Taxable",'Batt IN'!$E$22*'Batt IN'!$G$22/12,0)</f>
        <v>1145.8333333333335</v>
      </c>
      <c r="BC386" s="10">
        <f>IF('Batt IN'!$E$11="Taxable",Q386,0)</f>
        <v>0</v>
      </c>
      <c r="BD386" s="10">
        <f>IF('Batt IN'!$E$11="Taxable",'Batt IN'!$E$28/1000*'Batt IN'!$G$13*('Batt IN'!$E$13/12)*'Batt IN'!$E$12,0)</f>
        <v>0</v>
      </c>
      <c r="BE386" s="10">
        <f>IF('Batt IN'!$E$11="Taxable",$S386*'Batt IN'!$G$15*'Batt IN'!$E$28*'Batt IN'!$E$14/1000,0)</f>
        <v>0</v>
      </c>
      <c r="BF386" s="10">
        <f>IF('Batt IN'!$E$11="Taxable",'Batt IN'!$E$21*'Batt IN'!$G$21/12,0)</f>
        <v>0</v>
      </c>
      <c r="BG386" s="10">
        <f>IF('Batt IN'!$E$11="Taxable",'Batt IN'!$E$22*'Batt IN'!$G$22/12,0)</f>
        <v>0</v>
      </c>
      <c r="BK386" s="10">
        <f>IF('Batt IN'!$N$18="Yes",-BattLoan!H414,-BattLoan!L414)</f>
        <v>0</v>
      </c>
      <c r="BL386" s="10">
        <f>IF('Batt IN'!$N$18="Yes",-BattLoan!F414,0)</f>
        <v>0</v>
      </c>
      <c r="BM386" s="10">
        <f>IF(AND('Batt IN'!$D$44="YES",$C386&lt;='Batt IN'!$E$44*12),0,-'Batt IN'!$E$28*'Batt IN'!$E$42/12)</f>
        <v>-83.333333333333329</v>
      </c>
      <c r="BN386" s="10">
        <f>IF(AND('Batt IN'!$D$46="YES",$C386&lt;='Batt IN'!$E$46*12),0,-'Batt IN'!$E$28*'Batt IN'!$E$45/12)</f>
        <v>-166.66666666666666</v>
      </c>
      <c r="BO386" s="2">
        <f>IF(AND('Batt IN'!$D$41="YES",BattCalcs!C386=ROUNDUP('Batt IN'!$H$41*12,)),-'Batt IN'!$E$41*'Batt IN'!$E$28,0)</f>
        <v>0</v>
      </c>
      <c r="BP386" s="2">
        <f>IF(AND('Batt IN'!$D$53="Yes",$AL$1&gt;=1),0,IF($C386='Batt IN'!$H$54*12,-'Batt IN'!$F$54,0))</f>
        <v>0</v>
      </c>
      <c r="BQ386" s="2">
        <f>IF(AND('Batt IN'!$D$53="Yes",$AL$1&gt;=2),0,IF($C386='Batt IN'!$H$55*12,-'Batt IN'!$F$55,0))</f>
        <v>0</v>
      </c>
      <c r="BR386" s="2">
        <f>IF(AND('Batt IN'!$D$53="Yes",$AL$1&gt;=3),0,IF($C386='Batt IN'!$H$56*12,-'Batt IN'!$F$56,0))</f>
        <v>0</v>
      </c>
      <c r="BS386" s="2">
        <f>IF(AND('Batt IN'!$D$53="Yes",$AL$1&gt;=4),0,IF($C386='Batt IN'!$H$57*12,-'Batt IN'!$F$57,0))</f>
        <v>0</v>
      </c>
      <c r="BT386" s="2">
        <f>IF(AND('Batt IN'!$D$53="Yes",$AL$1&gt;=5),0,IF($C386='Batt IN'!$H$58*12,-'Batt IN'!$F$58,0))</f>
        <v>0</v>
      </c>
      <c r="BU386" s="2">
        <f>-AH386*PVCalcs!F386</f>
        <v>-359.37504381576838</v>
      </c>
      <c r="BV386" s="2">
        <f>-'Batt IN'!$E$47</f>
        <v>-150</v>
      </c>
      <c r="BW386" s="2">
        <f>-'Batt IN'!$E$49</f>
        <v>-2250</v>
      </c>
      <c r="BX386" s="2">
        <f>IF('Batt IN'!$H$50="No",-(BC386*'Batt IN'!$E$50),-(BC386+BE386)*'Batt IN'!$E$50)</f>
        <v>0</v>
      </c>
      <c r="BY386" s="2">
        <f>IF(C386='Batt IN'!$H$43*12,-'Batt IN'!$E$43,0)</f>
        <v>0</v>
      </c>
      <c r="BZ386" s="38"/>
      <c r="CA386" s="10">
        <f t="shared" si="106"/>
        <v>14676.820065867581</v>
      </c>
      <c r="CB386" s="2">
        <f t="shared" si="94"/>
        <v>-3009.3750438157685</v>
      </c>
      <c r="CC386" s="45">
        <f t="shared" si="107"/>
        <v>11667.445022051812</v>
      </c>
      <c r="CD386" s="43"/>
      <c r="CE386" s="2">
        <f t="shared" si="108"/>
        <v>0</v>
      </c>
      <c r="CF386" s="2">
        <f t="shared" si="95"/>
        <v>-3009.3750438157685</v>
      </c>
      <c r="CG386" s="2"/>
      <c r="CH386" s="2">
        <f t="shared" si="109"/>
        <v>-3009.3750438157685</v>
      </c>
      <c r="CI386" s="45">
        <f>-CH386*'Batt IN'!$E$7</f>
        <v>631.9687592013114</v>
      </c>
      <c r="CJ386" s="48"/>
      <c r="CK386" s="45">
        <f>IF('Batt IN'!$F$4="PV Only",0,IF(C386&gt;'Batt IN'!$H$43*12,0,CC386+CI386))</f>
        <v>0</v>
      </c>
      <c r="CM386" s="10">
        <f t="shared" si="110"/>
        <v>0</v>
      </c>
      <c r="CN386" s="2">
        <f>CK386/(1+('Batt IN'!$G$8))^(C386)</f>
        <v>0</v>
      </c>
      <c r="CO386" s="2" t="e">
        <f>IF(C386&lt;='Batt IN'!$O$30*12,CN386+CO385,NA())</f>
        <v>#N/A</v>
      </c>
      <c r="CQ386" s="2">
        <f>CK386/((1+('Batt IN'!$E$8/12))^BattCalcs!C386)</f>
        <v>0</v>
      </c>
      <c r="CS386" s="10">
        <f t="shared" si="96"/>
        <v>-3009.3750438157685</v>
      </c>
      <c r="CT386" s="10">
        <f t="shared" si="97"/>
        <v>0</v>
      </c>
      <c r="CU386" s="10">
        <f t="shared" si="98"/>
        <v>-3009.3750438157685</v>
      </c>
      <c r="CV386" s="10">
        <f t="shared" si="99"/>
        <v>-3009.3750438157685</v>
      </c>
      <c r="CW386" s="2">
        <f t="shared" si="100"/>
        <v>0</v>
      </c>
      <c r="CX386" s="2">
        <f>-(SUM(CV386:CW386)*'PV IN'!$E$8)</f>
        <v>631.9687592013114</v>
      </c>
      <c r="CY386" s="2">
        <f t="shared" si="101"/>
        <v>-2377.406284614457</v>
      </c>
      <c r="CZ386" s="2">
        <f>IF(C386&lt;='Batt IN'!$H$43*12,CY386/(1+('PV IN'!$G$9))^(C386),0)</f>
        <v>0</v>
      </c>
      <c r="DA386" s="33">
        <f>IF(C386&lt;='Batt IN'!$H$43*12,AE386,0)</f>
        <v>0</v>
      </c>
    </row>
    <row r="387" spans="1:105" x14ac:dyDescent="0.25">
      <c r="A387" t="str">
        <f>IF(C387&lt;='Batt IN'!$H$43*12,C387,"")</f>
        <v/>
      </c>
      <c r="C387">
        <v>383</v>
      </c>
      <c r="D387" s="21">
        <v>813</v>
      </c>
      <c r="E387" s="1">
        <f>1-'Batt IN'!$E$31</f>
        <v>2.0000000000000018E-2</v>
      </c>
      <c r="F387" s="12">
        <f>('Batt IN'!$E$33*365)/8760</f>
        <v>0</v>
      </c>
      <c r="G387" s="22">
        <f>'Batt IN'!$E$32/8760</f>
        <v>5.7077625570776253E-3</v>
      </c>
      <c r="H387" s="22">
        <f>'Batt IN'!$E$13/8760</f>
        <v>5.5936073059360729E-3</v>
      </c>
      <c r="I387" s="23">
        <f>IF(C387&lt;='Batt IN'!$G$14*12,'Batt IN'!$E$15/8760*'Batt IN'!$G$15,0)</f>
        <v>0</v>
      </c>
      <c r="J387" s="12">
        <f>Z387/'Batt IN'!$E$27/730</f>
        <v>2.4999999999999996E-3</v>
      </c>
      <c r="K387" s="23">
        <f>AA387/'Batt IN'!$E$27/730</f>
        <v>1.6027397260273972E-3</v>
      </c>
      <c r="L387" s="23">
        <f>AB387/'Batt IN'!$E$27/730</f>
        <v>2.0547945205479451E-4</v>
      </c>
      <c r="M387" s="23">
        <f>AC387/'Batt IN'!$E$27/730</f>
        <v>4.7945205479452057E-3</v>
      </c>
      <c r="N387" s="23">
        <f>AD387/'Batt IN'!$E$27/730</f>
        <v>3.4246575342465752E-3</v>
      </c>
      <c r="O387" s="12">
        <f t="shared" si="102"/>
        <v>4.3828767123287697E-2</v>
      </c>
      <c r="P387" s="21">
        <f t="shared" si="103"/>
        <v>777.3672123287671</v>
      </c>
      <c r="Q387" s="2">
        <f>IF('Batt IN'!$E$27*'Batt IN'!$E$24&lt;='Batt IN'!$E$28,(('Batt IN'!$E$23*'Batt IN'!$E$27*'Batt IN'!$E$24)/1000)*P387,(('Batt IN'!$E$23*'Batt IN'!$E$28*'Batt IN'!$E$24)/1000)*P387)</f>
        <v>12437.875397260274</v>
      </c>
      <c r="R387" s="2"/>
      <c r="S387" s="77">
        <f>IF(C387&lt;='Batt IN'!$G$14*12,'Batt IN'!$E$15/12,0)</f>
        <v>0</v>
      </c>
      <c r="T387" s="77"/>
      <c r="U387" s="80">
        <f>'Batt IN'!$E$28*('Batt IN'!$G$24/24)*730*(1-O387)</f>
        <v>81433.916666666657</v>
      </c>
      <c r="V387" s="78">
        <f>U387*'Batt IN'!$F$30</f>
        <v>16286.783333333333</v>
      </c>
      <c r="W387" s="78">
        <f>'Batt IN'!$E$28*'Batt IN'!$G$32*('Batt IN'!$E$32/12)*(1+'Batt IN'!$F$30)</f>
        <v>1750.0000000000002</v>
      </c>
      <c r="X387" s="78">
        <f>'Batt IN'!$E$28*'Batt IN'!$G$13*('Batt IN'!$E$13/12)*(1+'Batt IN'!$F$30)</f>
        <v>3184.9999999999995</v>
      </c>
      <c r="Y387" s="33">
        <f>S387*'Batt IN'!$G$15*'Batt IN'!$E$28*(1+'Batt IN'!$F$30)</f>
        <v>0</v>
      </c>
      <c r="Z387" s="33">
        <f>'Batt IN'!$G$16*365/12*(1+'Batt IN'!$F$30)</f>
        <v>1824.9999999999998</v>
      </c>
      <c r="AA387" s="33">
        <f>'Batt IN'!$G$17*'Batt IN'!$E$18*'Batt IN'!$G$18/12*(1+'Batt IN'!$F$30)</f>
        <v>1170</v>
      </c>
      <c r="AB387" s="33">
        <f>'Batt IN'!$G$19*'Batt IN'!$E$20*'Batt IN'!$G$20/12*(1+'Batt IN'!$F$30)</f>
        <v>150</v>
      </c>
      <c r="AC387" s="33">
        <f>'Batt IN'!$G$21*(1+'Batt IN'!$F$30)/12</f>
        <v>3500</v>
      </c>
      <c r="AD387" s="33">
        <f>'Batt IN'!$G$22*(1+'Batt IN'!$F$30)/12</f>
        <v>2500</v>
      </c>
      <c r="AE387" s="33">
        <f t="shared" si="104"/>
        <v>30366.783333333333</v>
      </c>
      <c r="AF387" s="33">
        <f>IF('PV IN'!$F$4="Battery Only",0,AE387*'Batt IN'!$E$29)</f>
        <v>25811.765833333331</v>
      </c>
      <c r="AG387" s="33">
        <f>PVCalcs!L387</f>
        <v>25811.765833333331</v>
      </c>
      <c r="AH387" s="33">
        <f t="shared" si="105"/>
        <v>4555.0175000000017</v>
      </c>
      <c r="AI387" s="33"/>
      <c r="AJ387" s="2">
        <f>IF(AND('Batt IN'!$D$53="Yes",$AL$1&gt;=1),IF($C387='Batt IN'!$H$54*12,-'Batt IN'!$F$54,0),0)</f>
        <v>0</v>
      </c>
      <c r="AK387" s="2">
        <f>IF(AND('Batt IN'!$D$53="Yes",$AL$1&gt;=2),IF($C387='Batt IN'!$H$55*12,-'Batt IN'!$F$55,0),0)</f>
        <v>0</v>
      </c>
      <c r="AL387" s="2">
        <f>IF(AND('Batt IN'!$D$53="Yes",$AL$1&gt;=3),IF($C387='Batt IN'!$H$56*12,-'Batt IN'!$F$56,0),0)</f>
        <v>0</v>
      </c>
      <c r="AM387" s="2">
        <f>IF(AND('Batt IN'!$D$53="Yes",$AL$1&gt;=4),IF($C387='Batt IN'!$H$57*12,-'Batt IN'!$F$57,0),0)</f>
        <v>0</v>
      </c>
      <c r="AN387" s="2">
        <f>IF(AND('Batt IN'!$D$53="Yes",$AL$1&gt;=5),IF($C387='Batt IN'!$H$58*12,-'Batt IN'!$F$58,0),0)</f>
        <v>0</v>
      </c>
      <c r="AO387" s="10">
        <f>IF(AND('Batt IN'!$D$44="YES",$C387&lt;='Batt IN'!$E$44*12),-'Batt IN'!$E$28*'Batt IN'!$E$42/12,0)</f>
        <v>0</v>
      </c>
      <c r="AP387" s="10">
        <f>IF(AND('Batt IN'!$D$46="YES",$C387&lt;='Batt IN'!$E$46*12),-'Batt IN'!$E$28*'Batt IN'!$E$45/12,0)</f>
        <v>0</v>
      </c>
      <c r="AR387" s="10">
        <f>BattLoan!M414</f>
        <v>0</v>
      </c>
      <c r="AS387" s="10">
        <f>'Batt IN'!$G$16*365/12*'Batt IN'!$E$16</f>
        <v>76.041666666666671</v>
      </c>
      <c r="AT387" s="10">
        <f>IF(AND('Batt IN'!$E$18&gt;0,'Batt IN'!$G$18&gt;0),'Batt IN'!$E$17*'Batt IN'!$G$17,0)</f>
        <v>119.44619999999999</v>
      </c>
      <c r="AU387" s="10">
        <f>IF(AND('Batt IN'!$E$20&gt;0,'Batt IN'!$G$20&gt;0),'Batt IN'!$E$19*'Batt IN'!$G$19,0)</f>
        <v>231</v>
      </c>
      <c r="AV387" s="10"/>
      <c r="AW387" s="10"/>
      <c r="AX387" s="10">
        <f>IF('Batt IN'!$E$11="Non-Taxable",Q387,0)</f>
        <v>12437.875397260274</v>
      </c>
      <c r="AY387" s="10">
        <f>IF('Batt IN'!$E$11="Non-Taxable",'Batt IN'!$E$28/1000*'Batt IN'!$G$13*('Batt IN'!$E$13/12)*'Batt IN'!$E$12,0)</f>
        <v>244.42220833333334</v>
      </c>
      <c r="AZ387" s="10">
        <f>IF('Batt IN'!$E$11="Non-Taxable",$S387*'Batt IN'!$G$15*'Batt IN'!$E$28*'Batt IN'!$E$14/1000,0)</f>
        <v>0</v>
      </c>
      <c r="BA387" s="10">
        <f>IF('Batt IN'!$E$11="Non-Taxable",'Batt IN'!$E$21*'Batt IN'!$G$21/12,0)</f>
        <v>437.5</v>
      </c>
      <c r="BB387" s="10">
        <f>IF('Batt IN'!$E$11="Non-Taxable",'Batt IN'!$E$22*'Batt IN'!$G$22/12,0)</f>
        <v>1145.8333333333335</v>
      </c>
      <c r="BC387" s="10">
        <f>IF('Batt IN'!$E$11="Taxable",Q387,0)</f>
        <v>0</v>
      </c>
      <c r="BD387" s="10">
        <f>IF('Batt IN'!$E$11="Taxable",'Batt IN'!$E$28/1000*'Batt IN'!$G$13*('Batt IN'!$E$13/12)*'Batt IN'!$E$12,0)</f>
        <v>0</v>
      </c>
      <c r="BE387" s="10">
        <f>IF('Batt IN'!$E$11="Taxable",$S387*'Batt IN'!$G$15*'Batt IN'!$E$28*'Batt IN'!$E$14/1000,0)</f>
        <v>0</v>
      </c>
      <c r="BF387" s="10">
        <f>IF('Batt IN'!$E$11="Taxable",'Batt IN'!$E$21*'Batt IN'!$G$21/12,0)</f>
        <v>0</v>
      </c>
      <c r="BG387" s="10">
        <f>IF('Batt IN'!$E$11="Taxable",'Batt IN'!$E$22*'Batt IN'!$G$22/12,0)</f>
        <v>0</v>
      </c>
      <c r="BK387" s="10">
        <f>IF('Batt IN'!$N$18="Yes",-BattLoan!H415,-BattLoan!L415)</f>
        <v>0</v>
      </c>
      <c r="BL387" s="10">
        <f>IF('Batt IN'!$N$18="Yes",-BattLoan!F415,0)</f>
        <v>0</v>
      </c>
      <c r="BM387" s="10">
        <f>IF(AND('Batt IN'!$D$44="YES",$C387&lt;='Batt IN'!$E$44*12),0,-'Batt IN'!$E$28*'Batt IN'!$E$42/12)</f>
        <v>-83.333333333333329</v>
      </c>
      <c r="BN387" s="10">
        <f>IF(AND('Batt IN'!$D$46="YES",$C387&lt;='Batt IN'!$E$46*12),0,-'Batt IN'!$E$28*'Batt IN'!$E$45/12)</f>
        <v>-166.66666666666666</v>
      </c>
      <c r="BO387" s="2">
        <f>IF(AND('Batt IN'!$D$41="YES",BattCalcs!C387=ROUNDUP('Batt IN'!$H$41*12,)),-'Batt IN'!$E$41*'Batt IN'!$E$28,0)</f>
        <v>0</v>
      </c>
      <c r="BP387" s="2">
        <f>IF(AND('Batt IN'!$D$53="Yes",$AL$1&gt;=1),0,IF($C387='Batt IN'!$H$54*12,-'Batt IN'!$F$54,0))</f>
        <v>0</v>
      </c>
      <c r="BQ387" s="2">
        <f>IF(AND('Batt IN'!$D$53="Yes",$AL$1&gt;=2),0,IF($C387='Batt IN'!$H$55*12,-'Batt IN'!$F$55,0))</f>
        <v>0</v>
      </c>
      <c r="BR387" s="2">
        <f>IF(AND('Batt IN'!$D$53="Yes",$AL$1&gt;=3),0,IF($C387='Batt IN'!$H$56*12,-'Batt IN'!$F$56,0))</f>
        <v>0</v>
      </c>
      <c r="BS387" s="2">
        <f>IF(AND('Batt IN'!$D$53="Yes",$AL$1&gt;=4),0,IF($C387='Batt IN'!$H$57*12,-'Batt IN'!$F$57,0))</f>
        <v>0</v>
      </c>
      <c r="BT387" s="2">
        <f>IF(AND('Batt IN'!$D$53="Yes",$AL$1&gt;=5),0,IF($C387='Batt IN'!$H$58*12,-'Batt IN'!$F$58,0))</f>
        <v>0</v>
      </c>
      <c r="BU387" s="2">
        <f>-AH387*PVCalcs!F387</f>
        <v>-359.37504381576838</v>
      </c>
      <c r="BV387" s="2">
        <f>-'Batt IN'!$E$47</f>
        <v>-150</v>
      </c>
      <c r="BW387" s="2">
        <f>-'Batt IN'!$E$49</f>
        <v>-2250</v>
      </c>
      <c r="BX387" s="2">
        <f>IF('Batt IN'!$H$50="No",-(BC387*'Batt IN'!$E$50),-(BC387+BE387)*'Batt IN'!$E$50)</f>
        <v>0</v>
      </c>
      <c r="BY387" s="2">
        <f>IF(C387='Batt IN'!$H$43*12,-'Batt IN'!$E$43,0)</f>
        <v>0</v>
      </c>
      <c r="BZ387" s="38"/>
      <c r="CA387" s="10">
        <f t="shared" si="106"/>
        <v>14692.118805593607</v>
      </c>
      <c r="CB387" s="2">
        <f t="shared" si="94"/>
        <v>-3009.3750438157685</v>
      </c>
      <c r="CC387" s="45">
        <f t="shared" si="107"/>
        <v>11682.743761777838</v>
      </c>
      <c r="CD387" s="43"/>
      <c r="CE387" s="2">
        <f t="shared" si="108"/>
        <v>0</v>
      </c>
      <c r="CF387" s="2">
        <f t="shared" si="95"/>
        <v>-3009.3750438157685</v>
      </c>
      <c r="CG387" s="2"/>
      <c r="CH387" s="2">
        <f t="shared" si="109"/>
        <v>-3009.3750438157685</v>
      </c>
      <c r="CI387" s="45">
        <f>-CH387*'Batt IN'!$E$7</f>
        <v>631.9687592013114</v>
      </c>
      <c r="CJ387" s="48"/>
      <c r="CK387" s="45">
        <f>IF('Batt IN'!$F$4="PV Only",0,IF(C387&gt;'Batt IN'!$H$43*12,0,CC387+CI387))</f>
        <v>0</v>
      </c>
      <c r="CM387" s="10">
        <f t="shared" si="110"/>
        <v>0</v>
      </c>
      <c r="CN387" s="2">
        <f>CK387/(1+('Batt IN'!$G$8))^(C387)</f>
        <v>0</v>
      </c>
      <c r="CO387" s="2" t="e">
        <f>IF(C387&lt;='Batt IN'!$O$30*12,CN387+CO386,NA())</f>
        <v>#N/A</v>
      </c>
      <c r="CQ387" s="2">
        <f>CK387/((1+('Batt IN'!$E$8/12))^BattCalcs!C387)</f>
        <v>0</v>
      </c>
      <c r="CS387" s="10">
        <f t="shared" si="96"/>
        <v>-3009.3750438157685</v>
      </c>
      <c r="CT387" s="10">
        <f t="shared" si="97"/>
        <v>0</v>
      </c>
      <c r="CU387" s="10">
        <f t="shared" si="98"/>
        <v>-3009.3750438157685</v>
      </c>
      <c r="CV387" s="10">
        <f t="shared" si="99"/>
        <v>-3009.3750438157685</v>
      </c>
      <c r="CW387" s="2">
        <f t="shared" si="100"/>
        <v>0</v>
      </c>
      <c r="CX387" s="2">
        <f>-(SUM(CV387:CW387)*'PV IN'!$E$8)</f>
        <v>631.9687592013114</v>
      </c>
      <c r="CY387" s="2">
        <f t="shared" si="101"/>
        <v>-2377.406284614457</v>
      </c>
      <c r="CZ387" s="2">
        <f>IF(C387&lt;='Batt IN'!$H$43*12,CY387/(1+('PV IN'!$G$9))^(C387),0)</f>
        <v>0</v>
      </c>
      <c r="DA387" s="33">
        <f>IF(C387&lt;='Batt IN'!$H$43*12,AE387,0)</f>
        <v>0</v>
      </c>
    </row>
    <row r="388" spans="1:105" x14ac:dyDescent="0.25">
      <c r="A388" t="str">
        <f>IF(C388&lt;='Batt IN'!$H$43*12,C388,"")</f>
        <v/>
      </c>
      <c r="B388">
        <v>32</v>
      </c>
      <c r="C388">
        <v>384</v>
      </c>
      <c r="D388" s="21">
        <v>814</v>
      </c>
      <c r="E388" s="1">
        <f>1-'Batt IN'!$E$31</f>
        <v>2.0000000000000018E-2</v>
      </c>
      <c r="F388" s="12">
        <f>('Batt IN'!$E$33*365)/8760</f>
        <v>0</v>
      </c>
      <c r="G388" s="22">
        <f>'Batt IN'!$E$32/8760</f>
        <v>5.7077625570776253E-3</v>
      </c>
      <c r="H388" s="22">
        <f>'Batt IN'!$E$13/8760</f>
        <v>5.5936073059360729E-3</v>
      </c>
      <c r="I388" s="23">
        <f>IF(C388&lt;='Batt IN'!$G$14*12,'Batt IN'!$E$15/8760*'Batt IN'!$G$15,0)</f>
        <v>0</v>
      </c>
      <c r="J388" s="12">
        <f>Z388/'Batt IN'!$E$27/730</f>
        <v>2.4999999999999996E-3</v>
      </c>
      <c r="K388" s="23">
        <f>AA388/'Batt IN'!$E$27/730</f>
        <v>1.6027397260273972E-3</v>
      </c>
      <c r="L388" s="23">
        <f>AB388/'Batt IN'!$E$27/730</f>
        <v>2.0547945205479451E-4</v>
      </c>
      <c r="M388" s="23">
        <f>AC388/'Batt IN'!$E$27/730</f>
        <v>4.7945205479452057E-3</v>
      </c>
      <c r="N388" s="23">
        <f>AD388/'Batt IN'!$E$27/730</f>
        <v>3.4246575342465752E-3</v>
      </c>
      <c r="O388" s="12">
        <f t="shared" si="102"/>
        <v>4.3828767123287697E-2</v>
      </c>
      <c r="P388" s="21">
        <f t="shared" si="103"/>
        <v>778.32338356164382</v>
      </c>
      <c r="Q388" s="2">
        <f>IF('Batt IN'!$E$27*'Batt IN'!$E$24&lt;='Batt IN'!$E$28,(('Batt IN'!$E$23*'Batt IN'!$E$27*'Batt IN'!$E$24)/1000)*P388,(('Batt IN'!$E$23*'Batt IN'!$E$28*'Batt IN'!$E$24)/1000)*P388)</f>
        <v>12453.174136986301</v>
      </c>
      <c r="R388" s="2"/>
      <c r="S388" s="77">
        <f>IF(C388&lt;='Batt IN'!$G$14*12,'Batt IN'!$E$15/12,0)</f>
        <v>0</v>
      </c>
      <c r="T388" s="77"/>
      <c r="U388" s="80">
        <f>'Batt IN'!$E$28*('Batt IN'!$G$24/24)*730*(1-O388)</f>
        <v>81433.916666666657</v>
      </c>
      <c r="V388" s="78">
        <f>U388*'Batt IN'!$F$30</f>
        <v>16286.783333333333</v>
      </c>
      <c r="W388" s="78">
        <f>'Batt IN'!$E$28*'Batt IN'!$G$32*('Batt IN'!$E$32/12)*(1+'Batt IN'!$F$30)</f>
        <v>1750.0000000000002</v>
      </c>
      <c r="X388" s="78">
        <f>'Batt IN'!$E$28*'Batt IN'!$G$13*('Batt IN'!$E$13/12)*(1+'Batt IN'!$F$30)</f>
        <v>3184.9999999999995</v>
      </c>
      <c r="Y388" s="33">
        <f>S388*'Batt IN'!$G$15*'Batt IN'!$E$28*(1+'Batt IN'!$F$30)</f>
        <v>0</v>
      </c>
      <c r="Z388" s="33">
        <f>'Batt IN'!$G$16*365/12*(1+'Batt IN'!$F$30)</f>
        <v>1824.9999999999998</v>
      </c>
      <c r="AA388" s="33">
        <f>'Batt IN'!$G$17*'Batt IN'!$E$18*'Batt IN'!$G$18/12*(1+'Batt IN'!$F$30)</f>
        <v>1170</v>
      </c>
      <c r="AB388" s="33">
        <f>'Batt IN'!$G$19*'Batt IN'!$E$20*'Batt IN'!$G$20/12*(1+'Batt IN'!$F$30)</f>
        <v>150</v>
      </c>
      <c r="AC388" s="33">
        <f>'Batt IN'!$G$21*(1+'Batt IN'!$F$30)/12</f>
        <v>3500</v>
      </c>
      <c r="AD388" s="33">
        <f>'Batt IN'!$G$22*(1+'Batt IN'!$F$30)/12</f>
        <v>2500</v>
      </c>
      <c r="AE388" s="33">
        <f t="shared" si="104"/>
        <v>30366.783333333333</v>
      </c>
      <c r="AF388" s="33">
        <f>IF('PV IN'!$F$4="Battery Only",0,AE388*'Batt IN'!$E$29)</f>
        <v>25811.765833333331</v>
      </c>
      <c r="AG388" s="33">
        <f>PVCalcs!L388</f>
        <v>25811.765833333331</v>
      </c>
      <c r="AH388" s="33">
        <f t="shared" si="105"/>
        <v>4555.0175000000017</v>
      </c>
      <c r="AI388" s="33"/>
      <c r="AJ388" s="2">
        <f>IF(AND('Batt IN'!$D$53="Yes",$AL$1&gt;=1),IF($C388='Batt IN'!$H$54*12,-'Batt IN'!$F$54,0),0)</f>
        <v>0</v>
      </c>
      <c r="AK388" s="2">
        <f>IF(AND('Batt IN'!$D$53="Yes",$AL$1&gt;=2),IF($C388='Batt IN'!$H$55*12,-'Batt IN'!$F$55,0),0)</f>
        <v>0</v>
      </c>
      <c r="AL388" s="2">
        <f>IF(AND('Batt IN'!$D$53="Yes",$AL$1&gt;=3),IF($C388='Batt IN'!$H$56*12,-'Batt IN'!$F$56,0),0)</f>
        <v>0</v>
      </c>
      <c r="AM388" s="2">
        <f>IF(AND('Batt IN'!$D$53="Yes",$AL$1&gt;=4),IF($C388='Batt IN'!$H$57*12,-'Batt IN'!$F$57,0),0)</f>
        <v>0</v>
      </c>
      <c r="AN388" s="2">
        <f>IF(AND('Batt IN'!$D$53="Yes",$AL$1&gt;=5),IF($C388='Batt IN'!$H$58*12,-'Batt IN'!$F$58,0),0)</f>
        <v>0</v>
      </c>
      <c r="AO388" s="10">
        <f>IF(AND('Batt IN'!$D$44="YES",$C388&lt;='Batt IN'!$E$44*12),-'Batt IN'!$E$28*'Batt IN'!$E$42/12,0)</f>
        <v>0</v>
      </c>
      <c r="AP388" s="10">
        <f>IF(AND('Batt IN'!$D$46="YES",$C388&lt;='Batt IN'!$E$46*12),-'Batt IN'!$E$28*'Batt IN'!$E$45/12,0)</f>
        <v>0</v>
      </c>
      <c r="AR388" s="10">
        <f>BattLoan!M415</f>
        <v>0</v>
      </c>
      <c r="AS388" s="10">
        <f>'Batt IN'!$G$16*365/12*'Batt IN'!$E$16</f>
        <v>76.041666666666671</v>
      </c>
      <c r="AT388" s="10">
        <f>IF(AND('Batt IN'!$E$18&gt;0,'Batt IN'!$G$18&gt;0),'Batt IN'!$E$17*'Batt IN'!$G$17,0)</f>
        <v>119.44619999999999</v>
      </c>
      <c r="AU388" s="10">
        <f>IF(AND('Batt IN'!$E$20&gt;0,'Batt IN'!$G$20&gt;0),'Batt IN'!$E$19*'Batt IN'!$G$19,0)</f>
        <v>231</v>
      </c>
      <c r="AV388" s="10"/>
      <c r="AW388" s="10"/>
      <c r="AX388" s="10">
        <f>IF('Batt IN'!$E$11="Non-Taxable",Q388,0)</f>
        <v>12453.174136986301</v>
      </c>
      <c r="AY388" s="10">
        <f>IF('Batt IN'!$E$11="Non-Taxable",'Batt IN'!$E$28/1000*'Batt IN'!$G$13*('Batt IN'!$E$13/12)*'Batt IN'!$E$12,0)</f>
        <v>244.42220833333334</v>
      </c>
      <c r="AZ388" s="10">
        <f>IF('Batt IN'!$E$11="Non-Taxable",$S388*'Batt IN'!$G$15*'Batt IN'!$E$28*'Batt IN'!$E$14/1000,0)</f>
        <v>0</v>
      </c>
      <c r="BA388" s="10">
        <f>IF('Batt IN'!$E$11="Non-Taxable",'Batt IN'!$E$21*'Batt IN'!$G$21/12,0)</f>
        <v>437.5</v>
      </c>
      <c r="BB388" s="10">
        <f>IF('Batt IN'!$E$11="Non-Taxable",'Batt IN'!$E$22*'Batt IN'!$G$22/12,0)</f>
        <v>1145.8333333333335</v>
      </c>
      <c r="BC388" s="10">
        <f>IF('Batt IN'!$E$11="Taxable",Q388,0)</f>
        <v>0</v>
      </c>
      <c r="BD388" s="10">
        <f>IF('Batt IN'!$E$11="Taxable",'Batt IN'!$E$28/1000*'Batt IN'!$G$13*('Batt IN'!$E$13/12)*'Batt IN'!$E$12,0)</f>
        <v>0</v>
      </c>
      <c r="BE388" s="10">
        <f>IF('Batt IN'!$E$11="Taxable",$S388*'Batt IN'!$G$15*'Batt IN'!$E$28*'Batt IN'!$E$14/1000,0)</f>
        <v>0</v>
      </c>
      <c r="BF388" s="10">
        <f>IF('Batt IN'!$E$11="Taxable",'Batt IN'!$E$21*'Batt IN'!$G$21/12,0)</f>
        <v>0</v>
      </c>
      <c r="BG388" s="10">
        <f>IF('Batt IN'!$E$11="Taxable",'Batt IN'!$E$22*'Batt IN'!$G$22/12,0)</f>
        <v>0</v>
      </c>
      <c r="BK388" s="10">
        <f>IF('Batt IN'!$N$18="Yes",-BattLoan!H416,-BattLoan!L416)</f>
        <v>0</v>
      </c>
      <c r="BL388" s="10">
        <f>IF('Batt IN'!$N$18="Yes",-BattLoan!F416,0)</f>
        <v>0</v>
      </c>
      <c r="BM388" s="10">
        <f>IF(AND('Batt IN'!$D$44="YES",$C388&lt;='Batt IN'!$E$44*12),0,-'Batt IN'!$E$28*'Batt IN'!$E$42/12)</f>
        <v>-83.333333333333329</v>
      </c>
      <c r="BN388" s="10">
        <f>IF(AND('Batt IN'!$D$46="YES",$C388&lt;='Batt IN'!$E$46*12),0,-'Batt IN'!$E$28*'Batt IN'!$E$45/12)</f>
        <v>-166.66666666666666</v>
      </c>
      <c r="BO388" s="2">
        <f>IF(AND('Batt IN'!$D$41="YES",BattCalcs!C388=ROUNDUP('Batt IN'!$H$41*12,)),-'Batt IN'!$E$41*'Batt IN'!$E$28,0)</f>
        <v>0</v>
      </c>
      <c r="BP388" s="2">
        <f>IF(AND('Batt IN'!$D$53="Yes",$AL$1&gt;=1),0,IF($C388='Batt IN'!$H$54*12,-'Batt IN'!$F$54,0))</f>
        <v>0</v>
      </c>
      <c r="BQ388" s="2">
        <f>IF(AND('Batt IN'!$D$53="Yes",$AL$1&gt;=2),0,IF($C388='Batt IN'!$H$55*12,-'Batt IN'!$F$55,0))</f>
        <v>0</v>
      </c>
      <c r="BR388" s="2">
        <f>IF(AND('Batt IN'!$D$53="Yes",$AL$1&gt;=3),0,IF($C388='Batt IN'!$H$56*12,-'Batt IN'!$F$56,0))</f>
        <v>0</v>
      </c>
      <c r="BS388" s="2">
        <f>IF(AND('Batt IN'!$D$53="Yes",$AL$1&gt;=4),0,IF($C388='Batt IN'!$H$57*12,-'Batt IN'!$F$57,0))</f>
        <v>0</v>
      </c>
      <c r="BT388" s="2">
        <f>IF(AND('Batt IN'!$D$53="Yes",$AL$1&gt;=5),0,IF($C388='Batt IN'!$H$58*12,-'Batt IN'!$F$58,0))</f>
        <v>0</v>
      </c>
      <c r="BU388" s="2">
        <f>-AH388*PVCalcs!F388</f>
        <v>-359.37504381576838</v>
      </c>
      <c r="BV388" s="2">
        <f>-'Batt IN'!$E$47</f>
        <v>-150</v>
      </c>
      <c r="BW388" s="2">
        <f>-'Batt IN'!$E$49</f>
        <v>-2250</v>
      </c>
      <c r="BX388" s="2">
        <f>IF('Batt IN'!$H$50="No",-(BC388*'Batt IN'!$E$50),-(BC388+BE388)*'Batt IN'!$E$50)</f>
        <v>0</v>
      </c>
      <c r="BY388" s="2">
        <f>IF(C388='Batt IN'!$H$43*12,-'Batt IN'!$E$43,0)</f>
        <v>0</v>
      </c>
      <c r="BZ388" s="38"/>
      <c r="CA388" s="10">
        <f t="shared" si="106"/>
        <v>14707.417545319635</v>
      </c>
      <c r="CB388" s="2">
        <f t="shared" si="94"/>
        <v>-3009.3750438157685</v>
      </c>
      <c r="CC388" s="45">
        <f t="shared" si="107"/>
        <v>11698.042501503867</v>
      </c>
      <c r="CD388" s="43"/>
      <c r="CE388" s="2">
        <f t="shared" si="108"/>
        <v>0</v>
      </c>
      <c r="CF388" s="2">
        <f t="shared" si="95"/>
        <v>-3009.3750438157685</v>
      </c>
      <c r="CG388" s="2"/>
      <c r="CH388" s="2">
        <f t="shared" si="109"/>
        <v>-3009.3750438157685</v>
      </c>
      <c r="CI388" s="45">
        <f>-CH388*'Batt IN'!$E$7</f>
        <v>631.9687592013114</v>
      </c>
      <c r="CJ388" s="48"/>
      <c r="CK388" s="45">
        <f>IF('Batt IN'!$F$4="PV Only",0,IF(C388&gt;'Batt IN'!$H$43*12,0,CC388+CI388))</f>
        <v>0</v>
      </c>
      <c r="CM388" s="10">
        <f t="shared" si="110"/>
        <v>0</v>
      </c>
      <c r="CN388" s="2">
        <f>CK388/(1+('Batt IN'!$G$8))^(C388)</f>
        <v>0</v>
      </c>
      <c r="CO388" s="2" t="e">
        <f>IF(C388&lt;='Batt IN'!$O$30*12,CN388+CO387,NA())</f>
        <v>#N/A</v>
      </c>
      <c r="CQ388" s="2">
        <f>CK388/((1+('Batt IN'!$E$8/12))^BattCalcs!C388)</f>
        <v>0</v>
      </c>
      <c r="CS388" s="10">
        <f t="shared" si="96"/>
        <v>-3009.3750438157685</v>
      </c>
      <c r="CT388" s="10">
        <f t="shared" si="97"/>
        <v>0</v>
      </c>
      <c r="CU388" s="10">
        <f t="shared" si="98"/>
        <v>-3009.3750438157685</v>
      </c>
      <c r="CV388" s="10">
        <f t="shared" si="99"/>
        <v>-3009.3750438157685</v>
      </c>
      <c r="CW388" s="2">
        <f t="shared" si="100"/>
        <v>0</v>
      </c>
      <c r="CX388" s="2">
        <f>-(SUM(CV388:CW388)*'PV IN'!$E$8)</f>
        <v>631.9687592013114</v>
      </c>
      <c r="CY388" s="2">
        <f t="shared" si="101"/>
        <v>-2377.406284614457</v>
      </c>
      <c r="CZ388" s="2">
        <f>IF(C388&lt;='Batt IN'!$H$43*12,CY388/(1+('PV IN'!$G$9))^(C388),0)</f>
        <v>0</v>
      </c>
      <c r="DA388" s="33">
        <f>IF(C388&lt;='Batt IN'!$H$43*12,AE388,0)</f>
        <v>0</v>
      </c>
    </row>
    <row r="389" spans="1:105" x14ac:dyDescent="0.25">
      <c r="A389" t="str">
        <f>IF(C389&lt;='Batt IN'!$H$43*12,C389,"")</f>
        <v/>
      </c>
      <c r="C389">
        <v>385</v>
      </c>
      <c r="D389" s="21">
        <v>815</v>
      </c>
      <c r="E389" s="1">
        <f>1-'Batt IN'!$E$31</f>
        <v>2.0000000000000018E-2</v>
      </c>
      <c r="F389" s="12">
        <f>('Batt IN'!$E$33*365)/8760</f>
        <v>0</v>
      </c>
      <c r="G389" s="22">
        <f>'Batt IN'!$E$32/8760</f>
        <v>5.7077625570776253E-3</v>
      </c>
      <c r="H389" s="22">
        <f>'Batt IN'!$E$13/8760</f>
        <v>5.5936073059360729E-3</v>
      </c>
      <c r="I389" s="23">
        <f>IF(C389&lt;='Batt IN'!$G$14*12,'Batt IN'!$E$15/8760*'Batt IN'!$G$15,0)</f>
        <v>0</v>
      </c>
      <c r="J389" s="12">
        <f>Z389/'Batt IN'!$E$27/730</f>
        <v>2.4999999999999996E-3</v>
      </c>
      <c r="K389" s="23">
        <f>AA389/'Batt IN'!$E$27/730</f>
        <v>1.6027397260273972E-3</v>
      </c>
      <c r="L389" s="23">
        <f>AB389/'Batt IN'!$E$27/730</f>
        <v>2.0547945205479451E-4</v>
      </c>
      <c r="M389" s="23">
        <f>AC389/'Batt IN'!$E$27/730</f>
        <v>4.7945205479452057E-3</v>
      </c>
      <c r="N389" s="23">
        <f>AD389/'Batt IN'!$E$27/730</f>
        <v>3.4246575342465752E-3</v>
      </c>
      <c r="O389" s="12">
        <f t="shared" si="102"/>
        <v>4.3828767123287697E-2</v>
      </c>
      <c r="P389" s="21">
        <f t="shared" si="103"/>
        <v>779.27955479452055</v>
      </c>
      <c r="Q389" s="2">
        <f>IF('Batt IN'!$E$27*'Batt IN'!$E$24&lt;='Batt IN'!$E$28,(('Batt IN'!$E$23*'Batt IN'!$E$27*'Batt IN'!$E$24)/1000)*P389,(('Batt IN'!$E$23*'Batt IN'!$E$28*'Batt IN'!$E$24)/1000)*P389)</f>
        <v>12468.472876712329</v>
      </c>
      <c r="R389" s="2"/>
      <c r="S389" s="77">
        <f>IF(C389&lt;='Batt IN'!$G$14*12,'Batt IN'!$E$15/12,0)</f>
        <v>0</v>
      </c>
      <c r="T389" s="77"/>
      <c r="U389" s="80">
        <f>'Batt IN'!$E$28*('Batt IN'!$G$24/24)*730*(1-O389)</f>
        <v>81433.916666666657</v>
      </c>
      <c r="V389" s="78">
        <f>U389*'Batt IN'!$F$30</f>
        <v>16286.783333333333</v>
      </c>
      <c r="W389" s="78">
        <f>'Batt IN'!$E$28*'Batt IN'!$G$32*('Batt IN'!$E$32/12)*(1+'Batt IN'!$F$30)</f>
        <v>1750.0000000000002</v>
      </c>
      <c r="X389" s="78">
        <f>'Batt IN'!$E$28*'Batt IN'!$G$13*('Batt IN'!$E$13/12)*(1+'Batt IN'!$F$30)</f>
        <v>3184.9999999999995</v>
      </c>
      <c r="Y389" s="33">
        <f>S389*'Batt IN'!$G$15*'Batt IN'!$E$28*(1+'Batt IN'!$F$30)</f>
        <v>0</v>
      </c>
      <c r="Z389" s="33">
        <f>'Batt IN'!$G$16*365/12*(1+'Batt IN'!$F$30)</f>
        <v>1824.9999999999998</v>
      </c>
      <c r="AA389" s="33">
        <f>'Batt IN'!$G$17*'Batt IN'!$E$18*'Batt IN'!$G$18/12*(1+'Batt IN'!$F$30)</f>
        <v>1170</v>
      </c>
      <c r="AB389" s="33">
        <f>'Batt IN'!$G$19*'Batt IN'!$E$20*'Batt IN'!$G$20/12*(1+'Batt IN'!$F$30)</f>
        <v>150</v>
      </c>
      <c r="AC389" s="33">
        <f>'Batt IN'!$G$21*(1+'Batt IN'!$F$30)/12</f>
        <v>3500</v>
      </c>
      <c r="AD389" s="33">
        <f>'Batt IN'!$G$22*(1+'Batt IN'!$F$30)/12</f>
        <v>2500</v>
      </c>
      <c r="AE389" s="33">
        <f t="shared" si="104"/>
        <v>30366.783333333333</v>
      </c>
      <c r="AF389" s="33">
        <f>IF('PV IN'!$F$4="Battery Only",0,AE389*'Batt IN'!$E$29)</f>
        <v>25811.765833333331</v>
      </c>
      <c r="AG389" s="33">
        <f>PVCalcs!L389</f>
        <v>25811.765833333331</v>
      </c>
      <c r="AH389" s="33">
        <f t="shared" si="105"/>
        <v>4555.0175000000017</v>
      </c>
      <c r="AI389" s="33"/>
      <c r="AJ389" s="2">
        <f>IF(AND('Batt IN'!$D$53="Yes",$AL$1&gt;=1),IF($C389='Batt IN'!$H$54*12,-'Batt IN'!$F$54,0),0)</f>
        <v>0</v>
      </c>
      <c r="AK389" s="2">
        <f>IF(AND('Batt IN'!$D$53="Yes",$AL$1&gt;=2),IF($C389='Batt IN'!$H$55*12,-'Batt IN'!$F$55,0),0)</f>
        <v>0</v>
      </c>
      <c r="AL389" s="2">
        <f>IF(AND('Batt IN'!$D$53="Yes",$AL$1&gt;=3),IF($C389='Batt IN'!$H$56*12,-'Batt IN'!$F$56,0),0)</f>
        <v>0</v>
      </c>
      <c r="AM389" s="2">
        <f>IF(AND('Batt IN'!$D$53="Yes",$AL$1&gt;=4),IF($C389='Batt IN'!$H$57*12,-'Batt IN'!$F$57,0),0)</f>
        <v>0</v>
      </c>
      <c r="AN389" s="2">
        <f>IF(AND('Batt IN'!$D$53="Yes",$AL$1&gt;=5),IF($C389='Batt IN'!$H$58*12,-'Batt IN'!$F$58,0),0)</f>
        <v>0</v>
      </c>
      <c r="AO389" s="10">
        <f>IF(AND('Batt IN'!$D$44="YES",$C389&lt;='Batt IN'!$E$44*12),-'Batt IN'!$E$28*'Batt IN'!$E$42/12,0)</f>
        <v>0</v>
      </c>
      <c r="AP389" s="10">
        <f>IF(AND('Batt IN'!$D$46="YES",$C389&lt;='Batt IN'!$E$46*12),-'Batt IN'!$E$28*'Batt IN'!$E$45/12,0)</f>
        <v>0</v>
      </c>
      <c r="AR389" s="10">
        <f>BattLoan!M416</f>
        <v>0</v>
      </c>
      <c r="AS389" s="10">
        <f>'Batt IN'!$G$16*365/12*'Batt IN'!$E$16</f>
        <v>76.041666666666671</v>
      </c>
      <c r="AT389" s="10">
        <f>IF(AND('Batt IN'!$E$18&gt;0,'Batt IN'!$G$18&gt;0),'Batt IN'!$E$17*'Batt IN'!$G$17,0)</f>
        <v>119.44619999999999</v>
      </c>
      <c r="AU389" s="10">
        <f>IF(AND('Batt IN'!$E$20&gt;0,'Batt IN'!$G$20&gt;0),'Batt IN'!$E$19*'Batt IN'!$G$19,0)</f>
        <v>231</v>
      </c>
      <c r="AV389" s="10"/>
      <c r="AW389" s="10"/>
      <c r="AX389" s="10">
        <f>IF('Batt IN'!$E$11="Non-Taxable",Q389,0)</f>
        <v>12468.472876712329</v>
      </c>
      <c r="AY389" s="10">
        <f>IF('Batt IN'!$E$11="Non-Taxable",'Batt IN'!$E$28/1000*'Batt IN'!$G$13*('Batt IN'!$E$13/12)*'Batt IN'!$E$12,0)</f>
        <v>244.42220833333334</v>
      </c>
      <c r="AZ389" s="10">
        <f>IF('Batt IN'!$E$11="Non-Taxable",$S389*'Batt IN'!$G$15*'Batt IN'!$E$28*'Batt IN'!$E$14/1000,0)</f>
        <v>0</v>
      </c>
      <c r="BA389" s="10">
        <f>IF('Batt IN'!$E$11="Non-Taxable",'Batt IN'!$E$21*'Batt IN'!$G$21/12,0)</f>
        <v>437.5</v>
      </c>
      <c r="BB389" s="10">
        <f>IF('Batt IN'!$E$11="Non-Taxable",'Batt IN'!$E$22*'Batt IN'!$G$22/12,0)</f>
        <v>1145.8333333333335</v>
      </c>
      <c r="BC389" s="10">
        <f>IF('Batt IN'!$E$11="Taxable",Q389,0)</f>
        <v>0</v>
      </c>
      <c r="BD389" s="10">
        <f>IF('Batt IN'!$E$11="Taxable",'Batt IN'!$E$28/1000*'Batt IN'!$G$13*('Batt IN'!$E$13/12)*'Batt IN'!$E$12,0)</f>
        <v>0</v>
      </c>
      <c r="BE389" s="10">
        <f>IF('Batt IN'!$E$11="Taxable",$S389*'Batt IN'!$G$15*'Batt IN'!$E$28*'Batt IN'!$E$14/1000,0)</f>
        <v>0</v>
      </c>
      <c r="BF389" s="10">
        <f>IF('Batt IN'!$E$11="Taxable",'Batt IN'!$E$21*'Batt IN'!$G$21/12,0)</f>
        <v>0</v>
      </c>
      <c r="BG389" s="10">
        <f>IF('Batt IN'!$E$11="Taxable",'Batt IN'!$E$22*'Batt IN'!$G$22/12,0)</f>
        <v>0</v>
      </c>
      <c r="BK389" s="10">
        <f>IF('Batt IN'!$N$18="Yes",-BattLoan!H417,-BattLoan!L417)</f>
        <v>0</v>
      </c>
      <c r="BL389" s="10">
        <f>IF('Batt IN'!$N$18="Yes",-BattLoan!F417,0)</f>
        <v>0</v>
      </c>
      <c r="BM389" s="10">
        <f>IF(AND('Batt IN'!$D$44="YES",$C389&lt;='Batt IN'!$E$44*12),0,-'Batt IN'!$E$28*'Batt IN'!$E$42/12)</f>
        <v>-83.333333333333329</v>
      </c>
      <c r="BN389" s="10">
        <f>IF(AND('Batt IN'!$D$46="YES",$C389&lt;='Batt IN'!$E$46*12),0,-'Batt IN'!$E$28*'Batt IN'!$E$45/12)</f>
        <v>-166.66666666666666</v>
      </c>
      <c r="BO389" s="2">
        <f>IF(AND('Batt IN'!$D$41="YES",BattCalcs!C389=ROUNDUP('Batt IN'!$H$41*12,)),-'Batt IN'!$E$41*'Batt IN'!$E$28,0)</f>
        <v>0</v>
      </c>
      <c r="BP389" s="2">
        <f>IF(AND('Batt IN'!$D$53="Yes",$AL$1&gt;=1),0,IF($C389='Batt IN'!$H$54*12,-'Batt IN'!$F$54,0))</f>
        <v>0</v>
      </c>
      <c r="BQ389" s="2">
        <f>IF(AND('Batt IN'!$D$53="Yes",$AL$1&gt;=2),0,IF($C389='Batt IN'!$H$55*12,-'Batt IN'!$F$55,0))</f>
        <v>0</v>
      </c>
      <c r="BR389" s="2">
        <f>IF(AND('Batt IN'!$D$53="Yes",$AL$1&gt;=3),0,IF($C389='Batt IN'!$H$56*12,-'Batt IN'!$F$56,0))</f>
        <v>0</v>
      </c>
      <c r="BS389" s="2">
        <f>IF(AND('Batt IN'!$D$53="Yes",$AL$1&gt;=4),0,IF($C389='Batt IN'!$H$57*12,-'Batt IN'!$F$57,0))</f>
        <v>0</v>
      </c>
      <c r="BT389" s="2">
        <f>IF(AND('Batt IN'!$D$53="Yes",$AL$1&gt;=5),0,IF($C389='Batt IN'!$H$58*12,-'Batt IN'!$F$58,0))</f>
        <v>0</v>
      </c>
      <c r="BU389" s="2">
        <f>-AH389*PVCalcs!F389</f>
        <v>-359.37504381576838</v>
      </c>
      <c r="BV389" s="2">
        <f>-'Batt IN'!$E$47</f>
        <v>-150</v>
      </c>
      <c r="BW389" s="2">
        <f>-'Batt IN'!$E$49</f>
        <v>-2250</v>
      </c>
      <c r="BX389" s="2">
        <f>IF('Batt IN'!$H$50="No",-(BC389*'Batt IN'!$E$50),-(BC389+BE389)*'Batt IN'!$E$50)</f>
        <v>0</v>
      </c>
      <c r="BY389" s="2">
        <f>IF(C389='Batt IN'!$H$43*12,-'Batt IN'!$E$43,0)</f>
        <v>0</v>
      </c>
      <c r="BZ389" s="38"/>
      <c r="CA389" s="10">
        <f t="shared" si="106"/>
        <v>14722.716285045663</v>
      </c>
      <c r="CB389" s="2">
        <f t="shared" ref="CB389:CB452" si="111">SUM(BJ389:BY389)</f>
        <v>-3009.3750438157685</v>
      </c>
      <c r="CC389" s="45">
        <f t="shared" si="107"/>
        <v>11713.341241229893</v>
      </c>
      <c r="CD389" s="43"/>
      <c r="CE389" s="2">
        <f t="shared" si="108"/>
        <v>0</v>
      </c>
      <c r="CF389" s="2">
        <f t="shared" ref="CF389:CF452" si="112">SUM(BL389:BY389)</f>
        <v>-3009.3750438157685</v>
      </c>
      <c r="CG389" s="2"/>
      <c r="CH389" s="2">
        <f t="shared" si="109"/>
        <v>-3009.3750438157685</v>
      </c>
      <c r="CI389" s="45">
        <f>-CH389*'Batt IN'!$E$7</f>
        <v>631.9687592013114</v>
      </c>
      <c r="CJ389" s="48"/>
      <c r="CK389" s="45">
        <f>IF('Batt IN'!$F$4="PV Only",0,IF(C389&gt;'Batt IN'!$H$43*12,0,CC389+CI389))</f>
        <v>0</v>
      </c>
      <c r="CM389" s="10">
        <f t="shared" si="110"/>
        <v>0</v>
      </c>
      <c r="CN389" s="2">
        <f>CK389/(1+('Batt IN'!$G$8))^(C389)</f>
        <v>0</v>
      </c>
      <c r="CO389" s="2" t="e">
        <f>IF(C389&lt;='Batt IN'!$O$30*12,CN389+CO388,NA())</f>
        <v>#N/A</v>
      </c>
      <c r="CQ389" s="2">
        <f>CK389/((1+('Batt IN'!$E$8/12))^BattCalcs!C389)</f>
        <v>0</v>
      </c>
      <c r="CS389" s="10">
        <f t="shared" ref="CS389:CS452" si="113">CB389</f>
        <v>-3009.3750438157685</v>
      </c>
      <c r="CT389" s="10">
        <f t="shared" ref="CT389:CT452" si="114">AV389+BH389</f>
        <v>0</v>
      </c>
      <c r="CU389" s="10">
        <f t="shared" ref="CU389:CU452" si="115">CS389+CT389</f>
        <v>-3009.3750438157685</v>
      </c>
      <c r="CV389" s="10">
        <f t="shared" ref="CV389:CV452" si="116">SUM(BL389:BX389)</f>
        <v>-3009.3750438157685</v>
      </c>
      <c r="CW389" s="2">
        <f t="shared" ref="CW389:CW452" si="117">CG389</f>
        <v>0</v>
      </c>
      <c r="CX389" s="2">
        <f>-(SUM(CV389:CW389)*'PV IN'!$E$8)</f>
        <v>631.9687592013114</v>
      </c>
      <c r="CY389" s="2">
        <f t="shared" ref="CY389:CY452" si="118">CU389+CX389</f>
        <v>-2377.406284614457</v>
      </c>
      <c r="CZ389" s="2">
        <f>IF(C389&lt;='Batt IN'!$H$43*12,CY389/(1+('PV IN'!$G$9))^(C389),0)</f>
        <v>0</v>
      </c>
      <c r="DA389" s="33">
        <f>IF(C389&lt;='Batt IN'!$H$43*12,AE389,0)</f>
        <v>0</v>
      </c>
    </row>
    <row r="390" spans="1:105" x14ac:dyDescent="0.25">
      <c r="A390" t="str">
        <f>IF(C390&lt;='Batt IN'!$H$43*12,C390,"")</f>
        <v/>
      </c>
      <c r="C390">
        <v>386</v>
      </c>
      <c r="D390" s="21">
        <v>816</v>
      </c>
      <c r="E390" s="1">
        <f>1-'Batt IN'!$E$31</f>
        <v>2.0000000000000018E-2</v>
      </c>
      <c r="F390" s="12">
        <f>('Batt IN'!$E$33*365)/8760</f>
        <v>0</v>
      </c>
      <c r="G390" s="22">
        <f>'Batt IN'!$E$32/8760</f>
        <v>5.7077625570776253E-3</v>
      </c>
      <c r="H390" s="22">
        <f>'Batt IN'!$E$13/8760</f>
        <v>5.5936073059360729E-3</v>
      </c>
      <c r="I390" s="23">
        <f>IF(C390&lt;='Batt IN'!$G$14*12,'Batt IN'!$E$15/8760*'Batt IN'!$G$15,0)</f>
        <v>0</v>
      </c>
      <c r="J390" s="12">
        <f>Z390/'Batt IN'!$E$27/730</f>
        <v>2.4999999999999996E-3</v>
      </c>
      <c r="K390" s="23">
        <f>AA390/'Batt IN'!$E$27/730</f>
        <v>1.6027397260273972E-3</v>
      </c>
      <c r="L390" s="23">
        <f>AB390/'Batt IN'!$E$27/730</f>
        <v>2.0547945205479451E-4</v>
      </c>
      <c r="M390" s="23">
        <f>AC390/'Batt IN'!$E$27/730</f>
        <v>4.7945205479452057E-3</v>
      </c>
      <c r="N390" s="23">
        <f>AD390/'Batt IN'!$E$27/730</f>
        <v>3.4246575342465752E-3</v>
      </c>
      <c r="O390" s="12">
        <f t="shared" si="102"/>
        <v>4.3828767123287697E-2</v>
      </c>
      <c r="P390" s="21">
        <f t="shared" si="103"/>
        <v>780.23572602739728</v>
      </c>
      <c r="Q390" s="2">
        <f>IF('Batt IN'!$E$27*'Batt IN'!$E$24&lt;='Batt IN'!$E$28,(('Batt IN'!$E$23*'Batt IN'!$E$27*'Batt IN'!$E$24)/1000)*P390,(('Batt IN'!$E$23*'Batt IN'!$E$28*'Batt IN'!$E$24)/1000)*P390)</f>
        <v>12483.771616438356</v>
      </c>
      <c r="R390" s="2"/>
      <c r="S390" s="77">
        <f>IF(C390&lt;='Batt IN'!$G$14*12,'Batt IN'!$E$15/12,0)</f>
        <v>0</v>
      </c>
      <c r="T390" s="77"/>
      <c r="U390" s="80">
        <f>'Batt IN'!$E$28*('Batt IN'!$G$24/24)*730*(1-O390)</f>
        <v>81433.916666666657</v>
      </c>
      <c r="V390" s="78">
        <f>U390*'Batt IN'!$F$30</f>
        <v>16286.783333333333</v>
      </c>
      <c r="W390" s="78">
        <f>'Batt IN'!$E$28*'Batt IN'!$G$32*('Batt IN'!$E$32/12)*(1+'Batt IN'!$F$30)</f>
        <v>1750.0000000000002</v>
      </c>
      <c r="X390" s="78">
        <f>'Batt IN'!$E$28*'Batt IN'!$G$13*('Batt IN'!$E$13/12)*(1+'Batt IN'!$F$30)</f>
        <v>3184.9999999999995</v>
      </c>
      <c r="Y390" s="33">
        <f>S390*'Batt IN'!$G$15*'Batt IN'!$E$28*(1+'Batt IN'!$F$30)</f>
        <v>0</v>
      </c>
      <c r="Z390" s="33">
        <f>'Batt IN'!$G$16*365/12*(1+'Batt IN'!$F$30)</f>
        <v>1824.9999999999998</v>
      </c>
      <c r="AA390" s="33">
        <f>'Batt IN'!$G$17*'Batt IN'!$E$18*'Batt IN'!$G$18/12*(1+'Batt IN'!$F$30)</f>
        <v>1170</v>
      </c>
      <c r="AB390" s="33">
        <f>'Batt IN'!$G$19*'Batt IN'!$E$20*'Batt IN'!$G$20/12*(1+'Batt IN'!$F$30)</f>
        <v>150</v>
      </c>
      <c r="AC390" s="33">
        <f>'Batt IN'!$G$21*(1+'Batt IN'!$F$30)/12</f>
        <v>3500</v>
      </c>
      <c r="AD390" s="33">
        <f>'Batt IN'!$G$22*(1+'Batt IN'!$F$30)/12</f>
        <v>2500</v>
      </c>
      <c r="AE390" s="33">
        <f t="shared" si="104"/>
        <v>30366.783333333333</v>
      </c>
      <c r="AF390" s="33">
        <f>IF('PV IN'!$F$4="Battery Only",0,AE390*'Batt IN'!$E$29)</f>
        <v>25811.765833333331</v>
      </c>
      <c r="AG390" s="33">
        <f>PVCalcs!L390</f>
        <v>25811.765833333331</v>
      </c>
      <c r="AH390" s="33">
        <f t="shared" si="105"/>
        <v>4555.0175000000017</v>
      </c>
      <c r="AI390" s="33"/>
      <c r="AJ390" s="2">
        <f>IF(AND('Batt IN'!$D$53="Yes",$AL$1&gt;=1),IF($C390='Batt IN'!$H$54*12,-'Batt IN'!$F$54,0),0)</f>
        <v>0</v>
      </c>
      <c r="AK390" s="2">
        <f>IF(AND('Batt IN'!$D$53="Yes",$AL$1&gt;=2),IF($C390='Batt IN'!$H$55*12,-'Batt IN'!$F$55,0),0)</f>
        <v>0</v>
      </c>
      <c r="AL390" s="2">
        <f>IF(AND('Batt IN'!$D$53="Yes",$AL$1&gt;=3),IF($C390='Batt IN'!$H$56*12,-'Batt IN'!$F$56,0),0)</f>
        <v>0</v>
      </c>
      <c r="AM390" s="2">
        <f>IF(AND('Batt IN'!$D$53="Yes",$AL$1&gt;=4),IF($C390='Batt IN'!$H$57*12,-'Batt IN'!$F$57,0),0)</f>
        <v>0</v>
      </c>
      <c r="AN390" s="2">
        <f>IF(AND('Batt IN'!$D$53="Yes",$AL$1&gt;=5),IF($C390='Batt IN'!$H$58*12,-'Batt IN'!$F$58,0),0)</f>
        <v>0</v>
      </c>
      <c r="AO390" s="10">
        <f>IF(AND('Batt IN'!$D$44="YES",$C390&lt;='Batt IN'!$E$44*12),-'Batt IN'!$E$28*'Batt IN'!$E$42/12,0)</f>
        <v>0</v>
      </c>
      <c r="AP390" s="10">
        <f>IF(AND('Batt IN'!$D$46="YES",$C390&lt;='Batt IN'!$E$46*12),-'Batt IN'!$E$28*'Batt IN'!$E$45/12,0)</f>
        <v>0</v>
      </c>
      <c r="AR390" s="10">
        <f>BattLoan!M417</f>
        <v>0</v>
      </c>
      <c r="AS390" s="10">
        <f>'Batt IN'!$G$16*365/12*'Batt IN'!$E$16</f>
        <v>76.041666666666671</v>
      </c>
      <c r="AT390" s="10">
        <f>IF(AND('Batt IN'!$E$18&gt;0,'Batt IN'!$G$18&gt;0),'Batt IN'!$E$17*'Batt IN'!$G$17,0)</f>
        <v>119.44619999999999</v>
      </c>
      <c r="AU390" s="10">
        <f>IF(AND('Batt IN'!$E$20&gt;0,'Batt IN'!$G$20&gt;0),'Batt IN'!$E$19*'Batt IN'!$G$19,0)</f>
        <v>231</v>
      </c>
      <c r="AV390" s="10"/>
      <c r="AW390" s="10"/>
      <c r="AX390" s="10">
        <f>IF('Batt IN'!$E$11="Non-Taxable",Q390,0)</f>
        <v>12483.771616438356</v>
      </c>
      <c r="AY390" s="10">
        <f>IF('Batt IN'!$E$11="Non-Taxable",'Batt IN'!$E$28/1000*'Batt IN'!$G$13*('Batt IN'!$E$13/12)*'Batt IN'!$E$12,0)</f>
        <v>244.42220833333334</v>
      </c>
      <c r="AZ390" s="10">
        <f>IF('Batt IN'!$E$11="Non-Taxable",$S390*'Batt IN'!$G$15*'Batt IN'!$E$28*'Batt IN'!$E$14/1000,0)</f>
        <v>0</v>
      </c>
      <c r="BA390" s="10">
        <f>IF('Batt IN'!$E$11="Non-Taxable",'Batt IN'!$E$21*'Batt IN'!$G$21/12,0)</f>
        <v>437.5</v>
      </c>
      <c r="BB390" s="10">
        <f>IF('Batt IN'!$E$11="Non-Taxable",'Batt IN'!$E$22*'Batt IN'!$G$22/12,0)</f>
        <v>1145.8333333333335</v>
      </c>
      <c r="BC390" s="10">
        <f>IF('Batt IN'!$E$11="Taxable",Q390,0)</f>
        <v>0</v>
      </c>
      <c r="BD390" s="10">
        <f>IF('Batt IN'!$E$11="Taxable",'Batt IN'!$E$28/1000*'Batt IN'!$G$13*('Batt IN'!$E$13/12)*'Batt IN'!$E$12,0)</f>
        <v>0</v>
      </c>
      <c r="BE390" s="10">
        <f>IF('Batt IN'!$E$11="Taxable",$S390*'Batt IN'!$G$15*'Batt IN'!$E$28*'Batt IN'!$E$14/1000,0)</f>
        <v>0</v>
      </c>
      <c r="BF390" s="10">
        <f>IF('Batt IN'!$E$11="Taxable",'Batt IN'!$E$21*'Batt IN'!$G$21/12,0)</f>
        <v>0</v>
      </c>
      <c r="BG390" s="10">
        <f>IF('Batt IN'!$E$11="Taxable",'Batt IN'!$E$22*'Batt IN'!$G$22/12,0)</f>
        <v>0</v>
      </c>
      <c r="BK390" s="10">
        <f>IF('Batt IN'!$N$18="Yes",-BattLoan!H418,-BattLoan!L418)</f>
        <v>0</v>
      </c>
      <c r="BL390" s="10">
        <f>IF('Batt IN'!$N$18="Yes",-BattLoan!F418,0)</f>
        <v>0</v>
      </c>
      <c r="BM390" s="10">
        <f>IF(AND('Batt IN'!$D$44="YES",$C390&lt;='Batt IN'!$E$44*12),0,-'Batt IN'!$E$28*'Batt IN'!$E$42/12)</f>
        <v>-83.333333333333329</v>
      </c>
      <c r="BN390" s="10">
        <f>IF(AND('Batt IN'!$D$46="YES",$C390&lt;='Batt IN'!$E$46*12),0,-'Batt IN'!$E$28*'Batt IN'!$E$45/12)</f>
        <v>-166.66666666666666</v>
      </c>
      <c r="BO390" s="2">
        <f>IF(AND('Batt IN'!$D$41="YES",BattCalcs!C390=ROUNDUP('Batt IN'!$H$41*12,)),-'Batt IN'!$E$41*'Batt IN'!$E$28,0)</f>
        <v>0</v>
      </c>
      <c r="BP390" s="2">
        <f>IF(AND('Batt IN'!$D$53="Yes",$AL$1&gt;=1),0,IF($C390='Batt IN'!$H$54*12,-'Batt IN'!$F$54,0))</f>
        <v>0</v>
      </c>
      <c r="BQ390" s="2">
        <f>IF(AND('Batt IN'!$D$53="Yes",$AL$1&gt;=2),0,IF($C390='Batt IN'!$H$55*12,-'Batt IN'!$F$55,0))</f>
        <v>0</v>
      </c>
      <c r="BR390" s="2">
        <f>IF(AND('Batt IN'!$D$53="Yes",$AL$1&gt;=3),0,IF($C390='Batt IN'!$H$56*12,-'Batt IN'!$F$56,0))</f>
        <v>0</v>
      </c>
      <c r="BS390" s="2">
        <f>IF(AND('Batt IN'!$D$53="Yes",$AL$1&gt;=4),0,IF($C390='Batt IN'!$H$57*12,-'Batt IN'!$F$57,0))</f>
        <v>0</v>
      </c>
      <c r="BT390" s="2">
        <f>IF(AND('Batt IN'!$D$53="Yes",$AL$1&gt;=5),0,IF($C390='Batt IN'!$H$58*12,-'Batt IN'!$F$58,0))</f>
        <v>0</v>
      </c>
      <c r="BU390" s="2">
        <f>-AH390*PVCalcs!F390</f>
        <v>-359.37504381576838</v>
      </c>
      <c r="BV390" s="2">
        <f>-'Batt IN'!$E$47</f>
        <v>-150</v>
      </c>
      <c r="BW390" s="2">
        <f>-'Batt IN'!$E$49</f>
        <v>-2250</v>
      </c>
      <c r="BX390" s="2">
        <f>IF('Batt IN'!$H$50="No",-(BC390*'Batt IN'!$E$50),-(BC390+BE390)*'Batt IN'!$E$50)</f>
        <v>0</v>
      </c>
      <c r="BY390" s="2">
        <f>IF(C390='Batt IN'!$H$43*12,-'Batt IN'!$E$43,0)</f>
        <v>0</v>
      </c>
      <c r="BZ390" s="38"/>
      <c r="CA390" s="10">
        <f t="shared" si="106"/>
        <v>14738.01502477169</v>
      </c>
      <c r="CB390" s="2">
        <f t="shared" si="111"/>
        <v>-3009.3750438157685</v>
      </c>
      <c r="CC390" s="45">
        <f t="shared" si="107"/>
        <v>11728.639980955923</v>
      </c>
      <c r="CD390" s="43"/>
      <c r="CE390" s="2">
        <f t="shared" si="108"/>
        <v>0</v>
      </c>
      <c r="CF390" s="2">
        <f t="shared" si="112"/>
        <v>-3009.3750438157685</v>
      </c>
      <c r="CG390" s="2"/>
      <c r="CH390" s="2">
        <f t="shared" si="109"/>
        <v>-3009.3750438157685</v>
      </c>
      <c r="CI390" s="45">
        <f>-CH390*'Batt IN'!$E$7</f>
        <v>631.9687592013114</v>
      </c>
      <c r="CJ390" s="48"/>
      <c r="CK390" s="45">
        <f>IF('Batt IN'!$F$4="PV Only",0,IF(C390&gt;'Batt IN'!$H$43*12,0,CC390+CI390))</f>
        <v>0</v>
      </c>
      <c r="CM390" s="10">
        <f t="shared" si="110"/>
        <v>0</v>
      </c>
      <c r="CN390" s="2">
        <f>CK390/(1+('Batt IN'!$G$8))^(C390)</f>
        <v>0</v>
      </c>
      <c r="CO390" s="2" t="e">
        <f>IF(C390&lt;='Batt IN'!$O$30*12,CN390+CO389,NA())</f>
        <v>#N/A</v>
      </c>
      <c r="CQ390" s="2">
        <f>CK390/((1+('Batt IN'!$E$8/12))^BattCalcs!C390)</f>
        <v>0</v>
      </c>
      <c r="CS390" s="10">
        <f t="shared" si="113"/>
        <v>-3009.3750438157685</v>
      </c>
      <c r="CT390" s="10">
        <f t="shared" si="114"/>
        <v>0</v>
      </c>
      <c r="CU390" s="10">
        <f t="shared" si="115"/>
        <v>-3009.3750438157685</v>
      </c>
      <c r="CV390" s="10">
        <f t="shared" si="116"/>
        <v>-3009.3750438157685</v>
      </c>
      <c r="CW390" s="2">
        <f t="shared" si="117"/>
        <v>0</v>
      </c>
      <c r="CX390" s="2">
        <f>-(SUM(CV390:CW390)*'PV IN'!$E$8)</f>
        <v>631.9687592013114</v>
      </c>
      <c r="CY390" s="2">
        <f t="shared" si="118"/>
        <v>-2377.406284614457</v>
      </c>
      <c r="CZ390" s="2">
        <f>IF(C390&lt;='Batt IN'!$H$43*12,CY390/(1+('PV IN'!$G$9))^(C390),0)</f>
        <v>0</v>
      </c>
      <c r="DA390" s="33">
        <f>IF(C390&lt;='Batt IN'!$H$43*12,AE390,0)</f>
        <v>0</v>
      </c>
    </row>
    <row r="391" spans="1:105" x14ac:dyDescent="0.25">
      <c r="A391" t="str">
        <f>IF(C391&lt;='Batt IN'!$H$43*12,C391,"")</f>
        <v/>
      </c>
      <c r="C391">
        <v>387</v>
      </c>
      <c r="D391" s="21">
        <v>817</v>
      </c>
      <c r="E391" s="1">
        <f>1-'Batt IN'!$E$31</f>
        <v>2.0000000000000018E-2</v>
      </c>
      <c r="F391" s="12">
        <f>('Batt IN'!$E$33*365)/8760</f>
        <v>0</v>
      </c>
      <c r="G391" s="22">
        <f>'Batt IN'!$E$32/8760</f>
        <v>5.7077625570776253E-3</v>
      </c>
      <c r="H391" s="22">
        <f>'Batt IN'!$E$13/8760</f>
        <v>5.5936073059360729E-3</v>
      </c>
      <c r="I391" s="23">
        <f>IF(C391&lt;='Batt IN'!$G$14*12,'Batt IN'!$E$15/8760*'Batt IN'!$G$15,0)</f>
        <v>0</v>
      </c>
      <c r="J391" s="12">
        <f>Z391/'Batt IN'!$E$27/730</f>
        <v>2.4999999999999996E-3</v>
      </c>
      <c r="K391" s="23">
        <f>AA391/'Batt IN'!$E$27/730</f>
        <v>1.6027397260273972E-3</v>
      </c>
      <c r="L391" s="23">
        <f>AB391/'Batt IN'!$E$27/730</f>
        <v>2.0547945205479451E-4</v>
      </c>
      <c r="M391" s="23">
        <f>AC391/'Batt IN'!$E$27/730</f>
        <v>4.7945205479452057E-3</v>
      </c>
      <c r="N391" s="23">
        <f>AD391/'Batt IN'!$E$27/730</f>
        <v>3.4246575342465752E-3</v>
      </c>
      <c r="O391" s="12">
        <f t="shared" si="102"/>
        <v>4.3828767123287697E-2</v>
      </c>
      <c r="P391" s="21">
        <f t="shared" si="103"/>
        <v>781.191897260274</v>
      </c>
      <c r="Q391" s="2">
        <f>IF('Batt IN'!$E$27*'Batt IN'!$E$24&lt;='Batt IN'!$E$28,(('Batt IN'!$E$23*'Batt IN'!$E$27*'Batt IN'!$E$24)/1000)*P391,(('Batt IN'!$E$23*'Batt IN'!$E$28*'Batt IN'!$E$24)/1000)*P391)</f>
        <v>12499.070356164384</v>
      </c>
      <c r="R391" s="2"/>
      <c r="S391" s="77">
        <f>IF(C391&lt;='Batt IN'!$G$14*12,'Batt IN'!$E$15/12,0)</f>
        <v>0</v>
      </c>
      <c r="T391" s="77"/>
      <c r="U391" s="80">
        <f>'Batt IN'!$E$28*('Batt IN'!$G$24/24)*730*(1-O391)</f>
        <v>81433.916666666657</v>
      </c>
      <c r="V391" s="78">
        <f>U391*'Batt IN'!$F$30</f>
        <v>16286.783333333333</v>
      </c>
      <c r="W391" s="78">
        <f>'Batt IN'!$E$28*'Batt IN'!$G$32*('Batt IN'!$E$32/12)*(1+'Batt IN'!$F$30)</f>
        <v>1750.0000000000002</v>
      </c>
      <c r="X391" s="78">
        <f>'Batt IN'!$E$28*'Batt IN'!$G$13*('Batt IN'!$E$13/12)*(1+'Batt IN'!$F$30)</f>
        <v>3184.9999999999995</v>
      </c>
      <c r="Y391" s="33">
        <f>S391*'Batt IN'!$G$15*'Batt IN'!$E$28*(1+'Batt IN'!$F$30)</f>
        <v>0</v>
      </c>
      <c r="Z391" s="33">
        <f>'Batt IN'!$G$16*365/12*(1+'Batt IN'!$F$30)</f>
        <v>1824.9999999999998</v>
      </c>
      <c r="AA391" s="33">
        <f>'Batt IN'!$G$17*'Batt IN'!$E$18*'Batt IN'!$G$18/12*(1+'Batt IN'!$F$30)</f>
        <v>1170</v>
      </c>
      <c r="AB391" s="33">
        <f>'Batt IN'!$G$19*'Batt IN'!$E$20*'Batt IN'!$G$20/12*(1+'Batt IN'!$F$30)</f>
        <v>150</v>
      </c>
      <c r="AC391" s="33">
        <f>'Batt IN'!$G$21*(1+'Batt IN'!$F$30)/12</f>
        <v>3500</v>
      </c>
      <c r="AD391" s="33">
        <f>'Batt IN'!$G$22*(1+'Batt IN'!$F$30)/12</f>
        <v>2500</v>
      </c>
      <c r="AE391" s="33">
        <f t="shared" si="104"/>
        <v>30366.783333333333</v>
      </c>
      <c r="AF391" s="33">
        <f>IF('PV IN'!$F$4="Battery Only",0,AE391*'Batt IN'!$E$29)</f>
        <v>25811.765833333331</v>
      </c>
      <c r="AG391" s="33">
        <f>PVCalcs!L391</f>
        <v>25811.765833333331</v>
      </c>
      <c r="AH391" s="33">
        <f t="shared" si="105"/>
        <v>4555.0175000000017</v>
      </c>
      <c r="AI391" s="33"/>
      <c r="AJ391" s="2">
        <f>IF(AND('Batt IN'!$D$53="Yes",$AL$1&gt;=1),IF($C391='Batt IN'!$H$54*12,-'Batt IN'!$F$54,0),0)</f>
        <v>0</v>
      </c>
      <c r="AK391" s="2">
        <f>IF(AND('Batt IN'!$D$53="Yes",$AL$1&gt;=2),IF($C391='Batt IN'!$H$55*12,-'Batt IN'!$F$55,0),0)</f>
        <v>0</v>
      </c>
      <c r="AL391" s="2">
        <f>IF(AND('Batt IN'!$D$53="Yes",$AL$1&gt;=3),IF($C391='Batt IN'!$H$56*12,-'Batt IN'!$F$56,0),0)</f>
        <v>0</v>
      </c>
      <c r="AM391" s="2">
        <f>IF(AND('Batt IN'!$D$53="Yes",$AL$1&gt;=4),IF($C391='Batt IN'!$H$57*12,-'Batt IN'!$F$57,0),0)</f>
        <v>0</v>
      </c>
      <c r="AN391" s="2">
        <f>IF(AND('Batt IN'!$D$53="Yes",$AL$1&gt;=5),IF($C391='Batt IN'!$H$58*12,-'Batt IN'!$F$58,0),0)</f>
        <v>0</v>
      </c>
      <c r="AO391" s="10">
        <f>IF(AND('Batt IN'!$D$44="YES",$C391&lt;='Batt IN'!$E$44*12),-'Batt IN'!$E$28*'Batt IN'!$E$42/12,0)</f>
        <v>0</v>
      </c>
      <c r="AP391" s="10">
        <f>IF(AND('Batt IN'!$D$46="YES",$C391&lt;='Batt IN'!$E$46*12),-'Batt IN'!$E$28*'Batt IN'!$E$45/12,0)</f>
        <v>0</v>
      </c>
      <c r="AR391" s="10">
        <f>BattLoan!M418</f>
        <v>0</v>
      </c>
      <c r="AS391" s="10">
        <f>'Batt IN'!$G$16*365/12*'Batt IN'!$E$16</f>
        <v>76.041666666666671</v>
      </c>
      <c r="AT391" s="10">
        <f>IF(AND('Batt IN'!$E$18&gt;0,'Batt IN'!$G$18&gt;0),'Batt IN'!$E$17*'Batt IN'!$G$17,0)</f>
        <v>119.44619999999999</v>
      </c>
      <c r="AU391" s="10">
        <f>IF(AND('Batt IN'!$E$20&gt;0,'Batt IN'!$G$20&gt;0),'Batt IN'!$E$19*'Batt IN'!$G$19,0)</f>
        <v>231</v>
      </c>
      <c r="AV391" s="10"/>
      <c r="AW391" s="10"/>
      <c r="AX391" s="10">
        <f>IF('Batt IN'!$E$11="Non-Taxable",Q391,0)</f>
        <v>12499.070356164384</v>
      </c>
      <c r="AY391" s="10">
        <f>IF('Batt IN'!$E$11="Non-Taxable",'Batt IN'!$E$28/1000*'Batt IN'!$G$13*('Batt IN'!$E$13/12)*'Batt IN'!$E$12,0)</f>
        <v>244.42220833333334</v>
      </c>
      <c r="AZ391" s="10">
        <f>IF('Batt IN'!$E$11="Non-Taxable",$S391*'Batt IN'!$G$15*'Batt IN'!$E$28*'Batt IN'!$E$14/1000,0)</f>
        <v>0</v>
      </c>
      <c r="BA391" s="10">
        <f>IF('Batt IN'!$E$11="Non-Taxable",'Batt IN'!$E$21*'Batt IN'!$G$21/12,0)</f>
        <v>437.5</v>
      </c>
      <c r="BB391" s="10">
        <f>IF('Batt IN'!$E$11="Non-Taxable",'Batt IN'!$E$22*'Batt IN'!$G$22/12,0)</f>
        <v>1145.8333333333335</v>
      </c>
      <c r="BC391" s="10">
        <f>IF('Batt IN'!$E$11="Taxable",Q391,0)</f>
        <v>0</v>
      </c>
      <c r="BD391" s="10">
        <f>IF('Batt IN'!$E$11="Taxable",'Batt IN'!$E$28/1000*'Batt IN'!$G$13*('Batt IN'!$E$13/12)*'Batt IN'!$E$12,0)</f>
        <v>0</v>
      </c>
      <c r="BE391" s="10">
        <f>IF('Batt IN'!$E$11="Taxable",$S391*'Batt IN'!$G$15*'Batt IN'!$E$28*'Batt IN'!$E$14/1000,0)</f>
        <v>0</v>
      </c>
      <c r="BF391" s="10">
        <f>IF('Batt IN'!$E$11="Taxable",'Batt IN'!$E$21*'Batt IN'!$G$21/12,0)</f>
        <v>0</v>
      </c>
      <c r="BG391" s="10">
        <f>IF('Batt IN'!$E$11="Taxable",'Batt IN'!$E$22*'Batt IN'!$G$22/12,0)</f>
        <v>0</v>
      </c>
      <c r="BK391" s="10">
        <f>IF('Batt IN'!$N$18="Yes",-BattLoan!H419,-BattLoan!L419)</f>
        <v>0</v>
      </c>
      <c r="BL391" s="10">
        <f>IF('Batt IN'!$N$18="Yes",-BattLoan!F419,0)</f>
        <v>0</v>
      </c>
      <c r="BM391" s="10">
        <f>IF(AND('Batt IN'!$D$44="YES",$C391&lt;='Batt IN'!$E$44*12),0,-'Batt IN'!$E$28*'Batt IN'!$E$42/12)</f>
        <v>-83.333333333333329</v>
      </c>
      <c r="BN391" s="10">
        <f>IF(AND('Batt IN'!$D$46="YES",$C391&lt;='Batt IN'!$E$46*12),0,-'Batt IN'!$E$28*'Batt IN'!$E$45/12)</f>
        <v>-166.66666666666666</v>
      </c>
      <c r="BO391" s="2">
        <f>IF(AND('Batt IN'!$D$41="YES",BattCalcs!C391=ROUNDUP('Batt IN'!$H$41*12,)),-'Batt IN'!$E$41*'Batt IN'!$E$28,0)</f>
        <v>0</v>
      </c>
      <c r="BP391" s="2">
        <f>IF(AND('Batt IN'!$D$53="Yes",$AL$1&gt;=1),0,IF($C391='Batt IN'!$H$54*12,-'Batt IN'!$F$54,0))</f>
        <v>0</v>
      </c>
      <c r="BQ391" s="2">
        <f>IF(AND('Batt IN'!$D$53="Yes",$AL$1&gt;=2),0,IF($C391='Batt IN'!$H$55*12,-'Batt IN'!$F$55,0))</f>
        <v>0</v>
      </c>
      <c r="BR391" s="2">
        <f>IF(AND('Batt IN'!$D$53="Yes",$AL$1&gt;=3),0,IF($C391='Batt IN'!$H$56*12,-'Batt IN'!$F$56,0))</f>
        <v>0</v>
      </c>
      <c r="BS391" s="2">
        <f>IF(AND('Batt IN'!$D$53="Yes",$AL$1&gt;=4),0,IF($C391='Batt IN'!$H$57*12,-'Batt IN'!$F$57,0))</f>
        <v>0</v>
      </c>
      <c r="BT391" s="2">
        <f>IF(AND('Batt IN'!$D$53="Yes",$AL$1&gt;=5),0,IF($C391='Batt IN'!$H$58*12,-'Batt IN'!$F$58,0))</f>
        <v>0</v>
      </c>
      <c r="BU391" s="2">
        <f>-AH391*PVCalcs!F391</f>
        <v>-359.37504381576838</v>
      </c>
      <c r="BV391" s="2">
        <f>-'Batt IN'!$E$47</f>
        <v>-150</v>
      </c>
      <c r="BW391" s="2">
        <f>-'Batt IN'!$E$49</f>
        <v>-2250</v>
      </c>
      <c r="BX391" s="2">
        <f>IF('Batt IN'!$H$50="No",-(BC391*'Batt IN'!$E$50),-(BC391+BE391)*'Batt IN'!$E$50)</f>
        <v>0</v>
      </c>
      <c r="BY391" s="2">
        <f>IF(C391='Batt IN'!$H$43*12,-'Batt IN'!$E$43,0)</f>
        <v>0</v>
      </c>
      <c r="BZ391" s="38"/>
      <c r="CA391" s="10">
        <f t="shared" si="106"/>
        <v>14753.313764497718</v>
      </c>
      <c r="CB391" s="2">
        <f t="shared" si="111"/>
        <v>-3009.3750438157685</v>
      </c>
      <c r="CC391" s="45">
        <f t="shared" si="107"/>
        <v>11743.938720681948</v>
      </c>
      <c r="CD391" s="43"/>
      <c r="CE391" s="2">
        <f t="shared" si="108"/>
        <v>0</v>
      </c>
      <c r="CF391" s="2">
        <f t="shared" si="112"/>
        <v>-3009.3750438157685</v>
      </c>
      <c r="CG391" s="2"/>
      <c r="CH391" s="2">
        <f t="shared" si="109"/>
        <v>-3009.3750438157685</v>
      </c>
      <c r="CI391" s="45">
        <f>-CH391*'Batt IN'!$E$7</f>
        <v>631.9687592013114</v>
      </c>
      <c r="CJ391" s="48"/>
      <c r="CK391" s="45">
        <f>IF('Batt IN'!$F$4="PV Only",0,IF(C391&gt;'Batt IN'!$H$43*12,0,CC391+CI391))</f>
        <v>0</v>
      </c>
      <c r="CM391" s="10">
        <f t="shared" si="110"/>
        <v>0</v>
      </c>
      <c r="CN391" s="2">
        <f>CK391/(1+('Batt IN'!$G$8))^(C391)</f>
        <v>0</v>
      </c>
      <c r="CO391" s="2" t="e">
        <f>IF(C391&lt;='Batt IN'!$O$30*12,CN391+CO390,NA())</f>
        <v>#N/A</v>
      </c>
      <c r="CQ391" s="2">
        <f>CK391/((1+('Batt IN'!$E$8/12))^BattCalcs!C391)</f>
        <v>0</v>
      </c>
      <c r="CS391" s="10">
        <f t="shared" si="113"/>
        <v>-3009.3750438157685</v>
      </c>
      <c r="CT391" s="10">
        <f t="shared" si="114"/>
        <v>0</v>
      </c>
      <c r="CU391" s="10">
        <f t="shared" si="115"/>
        <v>-3009.3750438157685</v>
      </c>
      <c r="CV391" s="10">
        <f t="shared" si="116"/>
        <v>-3009.3750438157685</v>
      </c>
      <c r="CW391" s="2">
        <f t="shared" si="117"/>
        <v>0</v>
      </c>
      <c r="CX391" s="2">
        <f>-(SUM(CV391:CW391)*'PV IN'!$E$8)</f>
        <v>631.9687592013114</v>
      </c>
      <c r="CY391" s="2">
        <f t="shared" si="118"/>
        <v>-2377.406284614457</v>
      </c>
      <c r="CZ391" s="2">
        <f>IF(C391&lt;='Batt IN'!$H$43*12,CY391/(1+('PV IN'!$G$9))^(C391),0)</f>
        <v>0</v>
      </c>
      <c r="DA391" s="33">
        <f>IF(C391&lt;='Batt IN'!$H$43*12,AE391,0)</f>
        <v>0</v>
      </c>
    </row>
    <row r="392" spans="1:105" x14ac:dyDescent="0.25">
      <c r="A392" t="str">
        <f>IF(C392&lt;='Batt IN'!$H$43*12,C392,"")</f>
        <v/>
      </c>
      <c r="C392">
        <v>388</v>
      </c>
      <c r="D392" s="21">
        <v>818</v>
      </c>
      <c r="E392" s="1">
        <f>1-'Batt IN'!$E$31</f>
        <v>2.0000000000000018E-2</v>
      </c>
      <c r="F392" s="12">
        <f>('Batt IN'!$E$33*365)/8760</f>
        <v>0</v>
      </c>
      <c r="G392" s="22">
        <f>'Batt IN'!$E$32/8760</f>
        <v>5.7077625570776253E-3</v>
      </c>
      <c r="H392" s="22">
        <f>'Batt IN'!$E$13/8760</f>
        <v>5.5936073059360729E-3</v>
      </c>
      <c r="I392" s="23">
        <f>IF(C392&lt;='Batt IN'!$G$14*12,'Batt IN'!$E$15/8760*'Batt IN'!$G$15,0)</f>
        <v>0</v>
      </c>
      <c r="J392" s="12">
        <f>Z392/'Batt IN'!$E$27/730</f>
        <v>2.4999999999999996E-3</v>
      </c>
      <c r="K392" s="23">
        <f>AA392/'Batt IN'!$E$27/730</f>
        <v>1.6027397260273972E-3</v>
      </c>
      <c r="L392" s="23">
        <f>AB392/'Batt IN'!$E$27/730</f>
        <v>2.0547945205479451E-4</v>
      </c>
      <c r="M392" s="23">
        <f>AC392/'Batt IN'!$E$27/730</f>
        <v>4.7945205479452057E-3</v>
      </c>
      <c r="N392" s="23">
        <f>AD392/'Batt IN'!$E$27/730</f>
        <v>3.4246575342465752E-3</v>
      </c>
      <c r="O392" s="12">
        <f t="shared" si="102"/>
        <v>4.3828767123287697E-2</v>
      </c>
      <c r="P392" s="21">
        <f t="shared" si="103"/>
        <v>782.14806849315073</v>
      </c>
      <c r="Q392" s="2">
        <f>IF('Batt IN'!$E$27*'Batt IN'!$E$24&lt;='Batt IN'!$E$28,(('Batt IN'!$E$23*'Batt IN'!$E$27*'Batt IN'!$E$24)/1000)*P392,(('Batt IN'!$E$23*'Batt IN'!$E$28*'Batt IN'!$E$24)/1000)*P392)</f>
        <v>12514.369095890412</v>
      </c>
      <c r="R392" s="2"/>
      <c r="S392" s="77">
        <f>IF(C392&lt;='Batt IN'!$G$14*12,'Batt IN'!$E$15/12,0)</f>
        <v>0</v>
      </c>
      <c r="T392" s="77"/>
      <c r="U392" s="80">
        <f>'Batt IN'!$E$28*('Batt IN'!$G$24/24)*730*(1-O392)</f>
        <v>81433.916666666657</v>
      </c>
      <c r="V392" s="78">
        <f>U392*'Batt IN'!$F$30</f>
        <v>16286.783333333333</v>
      </c>
      <c r="W392" s="78">
        <f>'Batt IN'!$E$28*'Batt IN'!$G$32*('Batt IN'!$E$32/12)*(1+'Batt IN'!$F$30)</f>
        <v>1750.0000000000002</v>
      </c>
      <c r="X392" s="78">
        <f>'Batt IN'!$E$28*'Batt IN'!$G$13*('Batt IN'!$E$13/12)*(1+'Batt IN'!$F$30)</f>
        <v>3184.9999999999995</v>
      </c>
      <c r="Y392" s="33">
        <f>S392*'Batt IN'!$G$15*'Batt IN'!$E$28*(1+'Batt IN'!$F$30)</f>
        <v>0</v>
      </c>
      <c r="Z392" s="33">
        <f>'Batt IN'!$G$16*365/12*(1+'Batt IN'!$F$30)</f>
        <v>1824.9999999999998</v>
      </c>
      <c r="AA392" s="33">
        <f>'Batt IN'!$G$17*'Batt IN'!$E$18*'Batt IN'!$G$18/12*(1+'Batt IN'!$F$30)</f>
        <v>1170</v>
      </c>
      <c r="AB392" s="33">
        <f>'Batt IN'!$G$19*'Batt IN'!$E$20*'Batt IN'!$G$20/12*(1+'Batt IN'!$F$30)</f>
        <v>150</v>
      </c>
      <c r="AC392" s="33">
        <f>'Batt IN'!$G$21*(1+'Batt IN'!$F$30)/12</f>
        <v>3500</v>
      </c>
      <c r="AD392" s="33">
        <f>'Batt IN'!$G$22*(1+'Batt IN'!$F$30)/12</f>
        <v>2500</v>
      </c>
      <c r="AE392" s="33">
        <f t="shared" si="104"/>
        <v>30366.783333333333</v>
      </c>
      <c r="AF392" s="33">
        <f>IF('PV IN'!$F$4="Battery Only",0,AE392*'Batt IN'!$E$29)</f>
        <v>25811.765833333331</v>
      </c>
      <c r="AG392" s="33">
        <f>PVCalcs!L392</f>
        <v>25811.765833333331</v>
      </c>
      <c r="AH392" s="33">
        <f t="shared" si="105"/>
        <v>4555.0175000000017</v>
      </c>
      <c r="AI392" s="33"/>
      <c r="AJ392" s="2">
        <f>IF(AND('Batt IN'!$D$53="Yes",$AL$1&gt;=1),IF($C392='Batt IN'!$H$54*12,-'Batt IN'!$F$54,0),0)</f>
        <v>0</v>
      </c>
      <c r="AK392" s="2">
        <f>IF(AND('Batt IN'!$D$53="Yes",$AL$1&gt;=2),IF($C392='Batt IN'!$H$55*12,-'Batt IN'!$F$55,0),0)</f>
        <v>0</v>
      </c>
      <c r="AL392" s="2">
        <f>IF(AND('Batt IN'!$D$53="Yes",$AL$1&gt;=3),IF($C392='Batt IN'!$H$56*12,-'Batt IN'!$F$56,0),0)</f>
        <v>0</v>
      </c>
      <c r="AM392" s="2">
        <f>IF(AND('Batt IN'!$D$53="Yes",$AL$1&gt;=4),IF($C392='Batt IN'!$H$57*12,-'Batt IN'!$F$57,0),0)</f>
        <v>0</v>
      </c>
      <c r="AN392" s="2">
        <f>IF(AND('Batt IN'!$D$53="Yes",$AL$1&gt;=5),IF($C392='Batt IN'!$H$58*12,-'Batt IN'!$F$58,0),0)</f>
        <v>0</v>
      </c>
      <c r="AO392" s="10">
        <f>IF(AND('Batt IN'!$D$44="YES",$C392&lt;='Batt IN'!$E$44*12),-'Batt IN'!$E$28*'Batt IN'!$E$42/12,0)</f>
        <v>0</v>
      </c>
      <c r="AP392" s="10">
        <f>IF(AND('Batt IN'!$D$46="YES",$C392&lt;='Batt IN'!$E$46*12),-'Batt IN'!$E$28*'Batt IN'!$E$45/12,0)</f>
        <v>0</v>
      </c>
      <c r="AR392" s="10">
        <f>BattLoan!M419</f>
        <v>0</v>
      </c>
      <c r="AS392" s="10">
        <f>'Batt IN'!$G$16*365/12*'Batt IN'!$E$16</f>
        <v>76.041666666666671</v>
      </c>
      <c r="AT392" s="10">
        <f>IF(AND('Batt IN'!$E$18&gt;0,'Batt IN'!$G$18&gt;0),'Batt IN'!$E$17*'Batt IN'!$G$17,0)</f>
        <v>119.44619999999999</v>
      </c>
      <c r="AU392" s="10">
        <f>IF(AND('Batt IN'!$E$20&gt;0,'Batt IN'!$G$20&gt;0),'Batt IN'!$E$19*'Batt IN'!$G$19,0)</f>
        <v>231</v>
      </c>
      <c r="AV392" s="10"/>
      <c r="AW392" s="10"/>
      <c r="AX392" s="10">
        <f>IF('Batt IN'!$E$11="Non-Taxable",Q392,0)</f>
        <v>12514.369095890412</v>
      </c>
      <c r="AY392" s="10">
        <f>IF('Batt IN'!$E$11="Non-Taxable",'Batt IN'!$E$28/1000*'Batt IN'!$G$13*('Batt IN'!$E$13/12)*'Batt IN'!$E$12,0)</f>
        <v>244.42220833333334</v>
      </c>
      <c r="AZ392" s="10">
        <f>IF('Batt IN'!$E$11="Non-Taxable",$S392*'Batt IN'!$G$15*'Batt IN'!$E$28*'Batt IN'!$E$14/1000,0)</f>
        <v>0</v>
      </c>
      <c r="BA392" s="10">
        <f>IF('Batt IN'!$E$11="Non-Taxable",'Batt IN'!$E$21*'Batt IN'!$G$21/12,0)</f>
        <v>437.5</v>
      </c>
      <c r="BB392" s="10">
        <f>IF('Batt IN'!$E$11="Non-Taxable",'Batt IN'!$E$22*'Batt IN'!$G$22/12,0)</f>
        <v>1145.8333333333335</v>
      </c>
      <c r="BC392" s="10">
        <f>IF('Batt IN'!$E$11="Taxable",Q392,0)</f>
        <v>0</v>
      </c>
      <c r="BD392" s="10">
        <f>IF('Batt IN'!$E$11="Taxable",'Batt IN'!$E$28/1000*'Batt IN'!$G$13*('Batt IN'!$E$13/12)*'Batt IN'!$E$12,0)</f>
        <v>0</v>
      </c>
      <c r="BE392" s="10">
        <f>IF('Batt IN'!$E$11="Taxable",$S392*'Batt IN'!$G$15*'Batt IN'!$E$28*'Batt IN'!$E$14/1000,0)</f>
        <v>0</v>
      </c>
      <c r="BF392" s="10">
        <f>IF('Batt IN'!$E$11="Taxable",'Batt IN'!$E$21*'Batt IN'!$G$21/12,0)</f>
        <v>0</v>
      </c>
      <c r="BG392" s="10">
        <f>IF('Batt IN'!$E$11="Taxable",'Batt IN'!$E$22*'Batt IN'!$G$22/12,0)</f>
        <v>0</v>
      </c>
      <c r="BK392" s="10">
        <f>IF('Batt IN'!$N$18="Yes",-BattLoan!H420,-BattLoan!L420)</f>
        <v>0</v>
      </c>
      <c r="BL392" s="10">
        <f>IF('Batt IN'!$N$18="Yes",-BattLoan!F420,0)</f>
        <v>0</v>
      </c>
      <c r="BM392" s="10">
        <f>IF(AND('Batt IN'!$D$44="YES",$C392&lt;='Batt IN'!$E$44*12),0,-'Batt IN'!$E$28*'Batt IN'!$E$42/12)</f>
        <v>-83.333333333333329</v>
      </c>
      <c r="BN392" s="10">
        <f>IF(AND('Batt IN'!$D$46="YES",$C392&lt;='Batt IN'!$E$46*12),0,-'Batt IN'!$E$28*'Batt IN'!$E$45/12)</f>
        <v>-166.66666666666666</v>
      </c>
      <c r="BO392" s="2">
        <f>IF(AND('Batt IN'!$D$41="YES",BattCalcs!C392=ROUNDUP('Batt IN'!$H$41*12,)),-'Batt IN'!$E$41*'Batt IN'!$E$28,0)</f>
        <v>0</v>
      </c>
      <c r="BP392" s="2">
        <f>IF(AND('Batt IN'!$D$53="Yes",$AL$1&gt;=1),0,IF($C392='Batt IN'!$H$54*12,-'Batt IN'!$F$54,0))</f>
        <v>0</v>
      </c>
      <c r="BQ392" s="2">
        <f>IF(AND('Batt IN'!$D$53="Yes",$AL$1&gt;=2),0,IF($C392='Batt IN'!$H$55*12,-'Batt IN'!$F$55,0))</f>
        <v>0</v>
      </c>
      <c r="BR392" s="2">
        <f>IF(AND('Batt IN'!$D$53="Yes",$AL$1&gt;=3),0,IF($C392='Batt IN'!$H$56*12,-'Batt IN'!$F$56,0))</f>
        <v>0</v>
      </c>
      <c r="BS392" s="2">
        <f>IF(AND('Batt IN'!$D$53="Yes",$AL$1&gt;=4),0,IF($C392='Batt IN'!$H$57*12,-'Batt IN'!$F$57,0))</f>
        <v>0</v>
      </c>
      <c r="BT392" s="2">
        <f>IF(AND('Batt IN'!$D$53="Yes",$AL$1&gt;=5),0,IF($C392='Batt IN'!$H$58*12,-'Batt IN'!$F$58,0))</f>
        <v>0</v>
      </c>
      <c r="BU392" s="2">
        <f>-AH392*PVCalcs!F392</f>
        <v>-359.37504381576838</v>
      </c>
      <c r="BV392" s="2">
        <f>-'Batt IN'!$E$47</f>
        <v>-150</v>
      </c>
      <c r="BW392" s="2">
        <f>-'Batt IN'!$E$49</f>
        <v>-2250</v>
      </c>
      <c r="BX392" s="2">
        <f>IF('Batt IN'!$H$50="No",-(BC392*'Batt IN'!$E$50),-(BC392+BE392)*'Batt IN'!$E$50)</f>
        <v>0</v>
      </c>
      <c r="BY392" s="2">
        <f>IF(C392='Batt IN'!$H$43*12,-'Batt IN'!$E$43,0)</f>
        <v>0</v>
      </c>
      <c r="BZ392" s="38"/>
      <c r="CA392" s="10">
        <f t="shared" si="106"/>
        <v>14768.612504223745</v>
      </c>
      <c r="CB392" s="2">
        <f t="shared" si="111"/>
        <v>-3009.3750438157685</v>
      </c>
      <c r="CC392" s="45">
        <f t="shared" si="107"/>
        <v>11759.237460407978</v>
      </c>
      <c r="CD392" s="43"/>
      <c r="CE392" s="2">
        <f t="shared" si="108"/>
        <v>0</v>
      </c>
      <c r="CF392" s="2">
        <f t="shared" si="112"/>
        <v>-3009.3750438157685</v>
      </c>
      <c r="CG392" s="2"/>
      <c r="CH392" s="2">
        <f t="shared" si="109"/>
        <v>-3009.3750438157685</v>
      </c>
      <c r="CI392" s="45">
        <f>-CH392*'Batt IN'!$E$7</f>
        <v>631.9687592013114</v>
      </c>
      <c r="CJ392" s="48"/>
      <c r="CK392" s="45">
        <f>IF('Batt IN'!$F$4="PV Only",0,IF(C392&gt;'Batt IN'!$H$43*12,0,CC392+CI392))</f>
        <v>0</v>
      </c>
      <c r="CM392" s="10">
        <f t="shared" si="110"/>
        <v>0</v>
      </c>
      <c r="CN392" s="2">
        <f>CK392/(1+('Batt IN'!$G$8))^(C392)</f>
        <v>0</v>
      </c>
      <c r="CO392" s="2" t="e">
        <f>IF(C392&lt;='Batt IN'!$O$30*12,CN392+CO391,NA())</f>
        <v>#N/A</v>
      </c>
      <c r="CQ392" s="2">
        <f>CK392/((1+('Batt IN'!$E$8/12))^BattCalcs!C392)</f>
        <v>0</v>
      </c>
      <c r="CS392" s="10">
        <f t="shared" si="113"/>
        <v>-3009.3750438157685</v>
      </c>
      <c r="CT392" s="10">
        <f t="shared" si="114"/>
        <v>0</v>
      </c>
      <c r="CU392" s="10">
        <f t="shared" si="115"/>
        <v>-3009.3750438157685</v>
      </c>
      <c r="CV392" s="10">
        <f t="shared" si="116"/>
        <v>-3009.3750438157685</v>
      </c>
      <c r="CW392" s="2">
        <f t="shared" si="117"/>
        <v>0</v>
      </c>
      <c r="CX392" s="2">
        <f>-(SUM(CV392:CW392)*'PV IN'!$E$8)</f>
        <v>631.9687592013114</v>
      </c>
      <c r="CY392" s="2">
        <f t="shared" si="118"/>
        <v>-2377.406284614457</v>
      </c>
      <c r="CZ392" s="2">
        <f>IF(C392&lt;='Batt IN'!$H$43*12,CY392/(1+('PV IN'!$G$9))^(C392),0)</f>
        <v>0</v>
      </c>
      <c r="DA392" s="33">
        <f>IF(C392&lt;='Batt IN'!$H$43*12,AE392,0)</f>
        <v>0</v>
      </c>
    </row>
    <row r="393" spans="1:105" x14ac:dyDescent="0.25">
      <c r="A393" t="str">
        <f>IF(C393&lt;='Batt IN'!$H$43*12,C393,"")</f>
        <v/>
      </c>
      <c r="C393">
        <v>389</v>
      </c>
      <c r="D393" s="21">
        <v>819</v>
      </c>
      <c r="E393" s="1">
        <f>1-'Batt IN'!$E$31</f>
        <v>2.0000000000000018E-2</v>
      </c>
      <c r="F393" s="12">
        <f>('Batt IN'!$E$33*365)/8760</f>
        <v>0</v>
      </c>
      <c r="G393" s="22">
        <f>'Batt IN'!$E$32/8760</f>
        <v>5.7077625570776253E-3</v>
      </c>
      <c r="H393" s="22">
        <f>'Batt IN'!$E$13/8760</f>
        <v>5.5936073059360729E-3</v>
      </c>
      <c r="I393" s="23">
        <f>IF(C393&lt;='Batt IN'!$G$14*12,'Batt IN'!$E$15/8760*'Batt IN'!$G$15,0)</f>
        <v>0</v>
      </c>
      <c r="J393" s="12">
        <f>Z393/'Batt IN'!$E$27/730</f>
        <v>2.4999999999999996E-3</v>
      </c>
      <c r="K393" s="23">
        <f>AA393/'Batt IN'!$E$27/730</f>
        <v>1.6027397260273972E-3</v>
      </c>
      <c r="L393" s="23">
        <f>AB393/'Batt IN'!$E$27/730</f>
        <v>2.0547945205479451E-4</v>
      </c>
      <c r="M393" s="23">
        <f>AC393/'Batt IN'!$E$27/730</f>
        <v>4.7945205479452057E-3</v>
      </c>
      <c r="N393" s="23">
        <f>AD393/'Batt IN'!$E$27/730</f>
        <v>3.4246575342465752E-3</v>
      </c>
      <c r="O393" s="12">
        <f t="shared" si="102"/>
        <v>4.3828767123287697E-2</v>
      </c>
      <c r="P393" s="21">
        <f t="shared" si="103"/>
        <v>783.10423972602746</v>
      </c>
      <c r="Q393" s="2">
        <f>IF('Batt IN'!$E$27*'Batt IN'!$E$24&lt;='Batt IN'!$E$28,(('Batt IN'!$E$23*'Batt IN'!$E$27*'Batt IN'!$E$24)/1000)*P393,(('Batt IN'!$E$23*'Batt IN'!$E$28*'Batt IN'!$E$24)/1000)*P393)</f>
        <v>12529.667835616439</v>
      </c>
      <c r="R393" s="2"/>
      <c r="S393" s="77">
        <f>IF(C393&lt;='Batt IN'!$G$14*12,'Batt IN'!$E$15/12,0)</f>
        <v>0</v>
      </c>
      <c r="T393" s="77"/>
      <c r="U393" s="80">
        <f>'Batt IN'!$E$28*('Batt IN'!$G$24/24)*730*(1-O393)</f>
        <v>81433.916666666657</v>
      </c>
      <c r="V393" s="78">
        <f>U393*'Batt IN'!$F$30</f>
        <v>16286.783333333333</v>
      </c>
      <c r="W393" s="78">
        <f>'Batt IN'!$E$28*'Batt IN'!$G$32*('Batt IN'!$E$32/12)*(1+'Batt IN'!$F$30)</f>
        <v>1750.0000000000002</v>
      </c>
      <c r="X393" s="78">
        <f>'Batt IN'!$E$28*'Batt IN'!$G$13*('Batt IN'!$E$13/12)*(1+'Batt IN'!$F$30)</f>
        <v>3184.9999999999995</v>
      </c>
      <c r="Y393" s="33">
        <f>S393*'Batt IN'!$G$15*'Batt IN'!$E$28*(1+'Batt IN'!$F$30)</f>
        <v>0</v>
      </c>
      <c r="Z393" s="33">
        <f>'Batt IN'!$G$16*365/12*(1+'Batt IN'!$F$30)</f>
        <v>1824.9999999999998</v>
      </c>
      <c r="AA393" s="33">
        <f>'Batt IN'!$G$17*'Batt IN'!$E$18*'Batt IN'!$G$18/12*(1+'Batt IN'!$F$30)</f>
        <v>1170</v>
      </c>
      <c r="AB393" s="33">
        <f>'Batt IN'!$G$19*'Batt IN'!$E$20*'Batt IN'!$G$20/12*(1+'Batt IN'!$F$30)</f>
        <v>150</v>
      </c>
      <c r="AC393" s="33">
        <f>'Batt IN'!$G$21*(1+'Batt IN'!$F$30)/12</f>
        <v>3500</v>
      </c>
      <c r="AD393" s="33">
        <f>'Batt IN'!$G$22*(1+'Batt IN'!$F$30)/12</f>
        <v>2500</v>
      </c>
      <c r="AE393" s="33">
        <f t="shared" si="104"/>
        <v>30366.783333333333</v>
      </c>
      <c r="AF393" s="33">
        <f>IF('PV IN'!$F$4="Battery Only",0,AE393*'Batt IN'!$E$29)</f>
        <v>25811.765833333331</v>
      </c>
      <c r="AG393" s="33">
        <f>PVCalcs!L393</f>
        <v>25811.765833333331</v>
      </c>
      <c r="AH393" s="33">
        <f t="shared" si="105"/>
        <v>4555.0175000000017</v>
      </c>
      <c r="AI393" s="33"/>
      <c r="AJ393" s="2">
        <f>IF(AND('Batt IN'!$D$53="Yes",$AL$1&gt;=1),IF($C393='Batt IN'!$H$54*12,-'Batt IN'!$F$54,0),0)</f>
        <v>0</v>
      </c>
      <c r="AK393" s="2">
        <f>IF(AND('Batt IN'!$D$53="Yes",$AL$1&gt;=2),IF($C393='Batt IN'!$H$55*12,-'Batt IN'!$F$55,0),0)</f>
        <v>0</v>
      </c>
      <c r="AL393" s="2">
        <f>IF(AND('Batt IN'!$D$53="Yes",$AL$1&gt;=3),IF($C393='Batt IN'!$H$56*12,-'Batt IN'!$F$56,0),0)</f>
        <v>0</v>
      </c>
      <c r="AM393" s="2">
        <f>IF(AND('Batt IN'!$D$53="Yes",$AL$1&gt;=4),IF($C393='Batt IN'!$H$57*12,-'Batt IN'!$F$57,0),0)</f>
        <v>0</v>
      </c>
      <c r="AN393" s="2">
        <f>IF(AND('Batt IN'!$D$53="Yes",$AL$1&gt;=5),IF($C393='Batt IN'!$H$58*12,-'Batt IN'!$F$58,0),0)</f>
        <v>0</v>
      </c>
      <c r="AO393" s="10">
        <f>IF(AND('Batt IN'!$D$44="YES",$C393&lt;='Batt IN'!$E$44*12),-'Batt IN'!$E$28*'Batt IN'!$E$42/12,0)</f>
        <v>0</v>
      </c>
      <c r="AP393" s="10">
        <f>IF(AND('Batt IN'!$D$46="YES",$C393&lt;='Batt IN'!$E$46*12),-'Batt IN'!$E$28*'Batt IN'!$E$45/12,0)</f>
        <v>0</v>
      </c>
      <c r="AR393" s="10">
        <f>BattLoan!M420</f>
        <v>0</v>
      </c>
      <c r="AS393" s="10">
        <f>'Batt IN'!$G$16*365/12*'Batt IN'!$E$16</f>
        <v>76.041666666666671</v>
      </c>
      <c r="AT393" s="10">
        <f>IF(AND('Batt IN'!$E$18&gt;0,'Batt IN'!$G$18&gt;0),'Batt IN'!$E$17*'Batt IN'!$G$17,0)</f>
        <v>119.44619999999999</v>
      </c>
      <c r="AU393" s="10">
        <f>IF(AND('Batt IN'!$E$20&gt;0,'Batt IN'!$G$20&gt;0),'Batt IN'!$E$19*'Batt IN'!$G$19,0)</f>
        <v>231</v>
      </c>
      <c r="AV393" s="10"/>
      <c r="AW393" s="10"/>
      <c r="AX393" s="10">
        <f>IF('Batt IN'!$E$11="Non-Taxable",Q393,0)</f>
        <v>12529.667835616439</v>
      </c>
      <c r="AY393" s="10">
        <f>IF('Batt IN'!$E$11="Non-Taxable",'Batt IN'!$E$28/1000*'Batt IN'!$G$13*('Batt IN'!$E$13/12)*'Batt IN'!$E$12,0)</f>
        <v>244.42220833333334</v>
      </c>
      <c r="AZ393" s="10">
        <f>IF('Batt IN'!$E$11="Non-Taxable",$S393*'Batt IN'!$G$15*'Batt IN'!$E$28*'Batt IN'!$E$14/1000,0)</f>
        <v>0</v>
      </c>
      <c r="BA393" s="10">
        <f>IF('Batt IN'!$E$11="Non-Taxable",'Batt IN'!$E$21*'Batt IN'!$G$21/12,0)</f>
        <v>437.5</v>
      </c>
      <c r="BB393" s="10">
        <f>IF('Batt IN'!$E$11="Non-Taxable",'Batt IN'!$E$22*'Batt IN'!$G$22/12,0)</f>
        <v>1145.8333333333335</v>
      </c>
      <c r="BC393" s="10">
        <f>IF('Batt IN'!$E$11="Taxable",Q393,0)</f>
        <v>0</v>
      </c>
      <c r="BD393" s="10">
        <f>IF('Batt IN'!$E$11="Taxable",'Batt IN'!$E$28/1000*'Batt IN'!$G$13*('Batt IN'!$E$13/12)*'Batt IN'!$E$12,0)</f>
        <v>0</v>
      </c>
      <c r="BE393" s="10">
        <f>IF('Batt IN'!$E$11="Taxable",$S393*'Batt IN'!$G$15*'Batt IN'!$E$28*'Batt IN'!$E$14/1000,0)</f>
        <v>0</v>
      </c>
      <c r="BF393" s="10">
        <f>IF('Batt IN'!$E$11="Taxable",'Batt IN'!$E$21*'Batt IN'!$G$21/12,0)</f>
        <v>0</v>
      </c>
      <c r="BG393" s="10">
        <f>IF('Batt IN'!$E$11="Taxable",'Batt IN'!$E$22*'Batt IN'!$G$22/12,0)</f>
        <v>0</v>
      </c>
      <c r="BK393" s="10">
        <f>IF('Batt IN'!$N$18="Yes",-BattLoan!H421,-BattLoan!L421)</f>
        <v>0</v>
      </c>
      <c r="BL393" s="10">
        <f>IF('Batt IN'!$N$18="Yes",-BattLoan!F421,0)</f>
        <v>0</v>
      </c>
      <c r="BM393" s="10">
        <f>IF(AND('Batt IN'!$D$44="YES",$C393&lt;='Batt IN'!$E$44*12),0,-'Batt IN'!$E$28*'Batt IN'!$E$42/12)</f>
        <v>-83.333333333333329</v>
      </c>
      <c r="BN393" s="10">
        <f>IF(AND('Batt IN'!$D$46="YES",$C393&lt;='Batt IN'!$E$46*12),0,-'Batt IN'!$E$28*'Batt IN'!$E$45/12)</f>
        <v>-166.66666666666666</v>
      </c>
      <c r="BO393" s="2">
        <f>IF(AND('Batt IN'!$D$41="YES",BattCalcs!C393=ROUNDUP('Batt IN'!$H$41*12,)),-'Batt IN'!$E$41*'Batt IN'!$E$28,0)</f>
        <v>0</v>
      </c>
      <c r="BP393" s="2">
        <f>IF(AND('Batt IN'!$D$53="Yes",$AL$1&gt;=1),0,IF($C393='Batt IN'!$H$54*12,-'Batt IN'!$F$54,0))</f>
        <v>0</v>
      </c>
      <c r="BQ393" s="2">
        <f>IF(AND('Batt IN'!$D$53="Yes",$AL$1&gt;=2),0,IF($C393='Batt IN'!$H$55*12,-'Batt IN'!$F$55,0))</f>
        <v>0</v>
      </c>
      <c r="BR393" s="2">
        <f>IF(AND('Batt IN'!$D$53="Yes",$AL$1&gt;=3),0,IF($C393='Batt IN'!$H$56*12,-'Batt IN'!$F$56,0))</f>
        <v>0</v>
      </c>
      <c r="BS393" s="2">
        <f>IF(AND('Batt IN'!$D$53="Yes",$AL$1&gt;=4),0,IF($C393='Batt IN'!$H$57*12,-'Batt IN'!$F$57,0))</f>
        <v>0</v>
      </c>
      <c r="BT393" s="2">
        <f>IF(AND('Batt IN'!$D$53="Yes",$AL$1&gt;=5),0,IF($C393='Batt IN'!$H$58*12,-'Batt IN'!$F$58,0))</f>
        <v>0</v>
      </c>
      <c r="BU393" s="2">
        <f>-AH393*PVCalcs!F393</f>
        <v>-359.37504381576838</v>
      </c>
      <c r="BV393" s="2">
        <f>-'Batt IN'!$E$47</f>
        <v>-150</v>
      </c>
      <c r="BW393" s="2">
        <f>-'Batt IN'!$E$49</f>
        <v>-2250</v>
      </c>
      <c r="BX393" s="2">
        <f>IF('Batt IN'!$H$50="No",-(BC393*'Batt IN'!$E$50),-(BC393+BE393)*'Batt IN'!$E$50)</f>
        <v>0</v>
      </c>
      <c r="BY393" s="2">
        <f>IF(C393='Batt IN'!$H$43*12,-'Batt IN'!$E$43,0)</f>
        <v>0</v>
      </c>
      <c r="BZ393" s="38"/>
      <c r="CA393" s="10">
        <f t="shared" si="106"/>
        <v>14783.911243949773</v>
      </c>
      <c r="CB393" s="2">
        <f t="shared" si="111"/>
        <v>-3009.3750438157685</v>
      </c>
      <c r="CC393" s="45">
        <f t="shared" si="107"/>
        <v>11774.536200134004</v>
      </c>
      <c r="CD393" s="43"/>
      <c r="CE393" s="2">
        <f t="shared" si="108"/>
        <v>0</v>
      </c>
      <c r="CF393" s="2">
        <f t="shared" si="112"/>
        <v>-3009.3750438157685</v>
      </c>
      <c r="CG393" s="2"/>
      <c r="CH393" s="2">
        <f t="shared" si="109"/>
        <v>-3009.3750438157685</v>
      </c>
      <c r="CI393" s="45">
        <f>-CH393*'Batt IN'!$E$7</f>
        <v>631.9687592013114</v>
      </c>
      <c r="CJ393" s="48"/>
      <c r="CK393" s="45">
        <f>IF('Batt IN'!$F$4="PV Only",0,IF(C393&gt;'Batt IN'!$H$43*12,0,CC393+CI393))</f>
        <v>0</v>
      </c>
      <c r="CM393" s="10">
        <f t="shared" si="110"/>
        <v>0</v>
      </c>
      <c r="CN393" s="2">
        <f>CK393/(1+('Batt IN'!$G$8))^(C393)</f>
        <v>0</v>
      </c>
      <c r="CO393" s="2" t="e">
        <f>IF(C393&lt;='Batt IN'!$O$30*12,CN393+CO392,NA())</f>
        <v>#N/A</v>
      </c>
      <c r="CQ393" s="2">
        <f>CK393/((1+('Batt IN'!$E$8/12))^BattCalcs!C393)</f>
        <v>0</v>
      </c>
      <c r="CS393" s="10">
        <f t="shared" si="113"/>
        <v>-3009.3750438157685</v>
      </c>
      <c r="CT393" s="10">
        <f t="shared" si="114"/>
        <v>0</v>
      </c>
      <c r="CU393" s="10">
        <f t="shared" si="115"/>
        <v>-3009.3750438157685</v>
      </c>
      <c r="CV393" s="10">
        <f t="shared" si="116"/>
        <v>-3009.3750438157685</v>
      </c>
      <c r="CW393" s="2">
        <f t="shared" si="117"/>
        <v>0</v>
      </c>
      <c r="CX393" s="2">
        <f>-(SUM(CV393:CW393)*'PV IN'!$E$8)</f>
        <v>631.9687592013114</v>
      </c>
      <c r="CY393" s="2">
        <f t="shared" si="118"/>
        <v>-2377.406284614457</v>
      </c>
      <c r="CZ393" s="2">
        <f>IF(C393&lt;='Batt IN'!$H$43*12,CY393/(1+('PV IN'!$G$9))^(C393),0)</f>
        <v>0</v>
      </c>
      <c r="DA393" s="33">
        <f>IF(C393&lt;='Batt IN'!$H$43*12,AE393,0)</f>
        <v>0</v>
      </c>
    </row>
    <row r="394" spans="1:105" x14ac:dyDescent="0.25">
      <c r="A394" t="str">
        <f>IF(C394&lt;='Batt IN'!$H$43*12,C394,"")</f>
        <v/>
      </c>
      <c r="C394">
        <v>390</v>
      </c>
      <c r="D394" s="21">
        <v>820</v>
      </c>
      <c r="E394" s="1">
        <f>1-'Batt IN'!$E$31</f>
        <v>2.0000000000000018E-2</v>
      </c>
      <c r="F394" s="12">
        <f>('Batt IN'!$E$33*365)/8760</f>
        <v>0</v>
      </c>
      <c r="G394" s="22">
        <f>'Batt IN'!$E$32/8760</f>
        <v>5.7077625570776253E-3</v>
      </c>
      <c r="H394" s="22">
        <f>'Batt IN'!$E$13/8760</f>
        <v>5.5936073059360729E-3</v>
      </c>
      <c r="I394" s="23">
        <f>IF(C394&lt;='Batt IN'!$G$14*12,'Batt IN'!$E$15/8760*'Batt IN'!$G$15,0)</f>
        <v>0</v>
      </c>
      <c r="J394" s="12">
        <f>Z394/'Batt IN'!$E$27/730</f>
        <v>2.4999999999999996E-3</v>
      </c>
      <c r="K394" s="23">
        <f>AA394/'Batt IN'!$E$27/730</f>
        <v>1.6027397260273972E-3</v>
      </c>
      <c r="L394" s="23">
        <f>AB394/'Batt IN'!$E$27/730</f>
        <v>2.0547945205479451E-4</v>
      </c>
      <c r="M394" s="23">
        <f>AC394/'Batt IN'!$E$27/730</f>
        <v>4.7945205479452057E-3</v>
      </c>
      <c r="N394" s="23">
        <f>AD394/'Batt IN'!$E$27/730</f>
        <v>3.4246575342465752E-3</v>
      </c>
      <c r="O394" s="12">
        <f t="shared" si="102"/>
        <v>4.3828767123287697E-2</v>
      </c>
      <c r="P394" s="21">
        <f t="shared" si="103"/>
        <v>784.06041095890407</v>
      </c>
      <c r="Q394" s="2">
        <f>IF('Batt IN'!$E$27*'Batt IN'!$E$24&lt;='Batt IN'!$E$28,(('Batt IN'!$E$23*'Batt IN'!$E$27*'Batt IN'!$E$24)/1000)*P394,(('Batt IN'!$E$23*'Batt IN'!$E$28*'Batt IN'!$E$24)/1000)*P394)</f>
        <v>12544.966575342465</v>
      </c>
      <c r="R394" s="2"/>
      <c r="S394" s="77">
        <f>IF(C394&lt;='Batt IN'!$G$14*12,'Batt IN'!$E$15/12,0)</f>
        <v>0</v>
      </c>
      <c r="T394" s="77"/>
      <c r="U394" s="80">
        <f>'Batt IN'!$E$28*('Batt IN'!$G$24/24)*730*(1-O394)</f>
        <v>81433.916666666657</v>
      </c>
      <c r="V394" s="78">
        <f>U394*'Batt IN'!$F$30</f>
        <v>16286.783333333333</v>
      </c>
      <c r="W394" s="78">
        <f>'Batt IN'!$E$28*'Batt IN'!$G$32*('Batt IN'!$E$32/12)*(1+'Batt IN'!$F$30)</f>
        <v>1750.0000000000002</v>
      </c>
      <c r="X394" s="78">
        <f>'Batt IN'!$E$28*'Batt IN'!$G$13*('Batt IN'!$E$13/12)*(1+'Batt IN'!$F$30)</f>
        <v>3184.9999999999995</v>
      </c>
      <c r="Y394" s="33">
        <f>S394*'Batt IN'!$G$15*'Batt IN'!$E$28*(1+'Batt IN'!$F$30)</f>
        <v>0</v>
      </c>
      <c r="Z394" s="33">
        <f>'Batt IN'!$G$16*365/12*(1+'Batt IN'!$F$30)</f>
        <v>1824.9999999999998</v>
      </c>
      <c r="AA394" s="33">
        <f>'Batt IN'!$G$17*'Batt IN'!$E$18*'Batt IN'!$G$18/12*(1+'Batt IN'!$F$30)</f>
        <v>1170</v>
      </c>
      <c r="AB394" s="33">
        <f>'Batt IN'!$G$19*'Batt IN'!$E$20*'Batt IN'!$G$20/12*(1+'Batt IN'!$F$30)</f>
        <v>150</v>
      </c>
      <c r="AC394" s="33">
        <f>'Batt IN'!$G$21*(1+'Batt IN'!$F$30)/12</f>
        <v>3500</v>
      </c>
      <c r="AD394" s="33">
        <f>'Batt IN'!$G$22*(1+'Batt IN'!$F$30)/12</f>
        <v>2500</v>
      </c>
      <c r="AE394" s="33">
        <f t="shared" si="104"/>
        <v>30366.783333333333</v>
      </c>
      <c r="AF394" s="33">
        <f>IF('PV IN'!$F$4="Battery Only",0,AE394*'Batt IN'!$E$29)</f>
        <v>25811.765833333331</v>
      </c>
      <c r="AG394" s="33">
        <f>PVCalcs!L394</f>
        <v>25811.765833333331</v>
      </c>
      <c r="AH394" s="33">
        <f t="shared" si="105"/>
        <v>4555.0175000000017</v>
      </c>
      <c r="AI394" s="33"/>
      <c r="AJ394" s="2">
        <f>IF(AND('Batt IN'!$D$53="Yes",$AL$1&gt;=1),IF($C394='Batt IN'!$H$54*12,-'Batt IN'!$F$54,0),0)</f>
        <v>0</v>
      </c>
      <c r="AK394" s="2">
        <f>IF(AND('Batt IN'!$D$53="Yes",$AL$1&gt;=2),IF($C394='Batt IN'!$H$55*12,-'Batt IN'!$F$55,0),0)</f>
        <v>0</v>
      </c>
      <c r="AL394" s="2">
        <f>IF(AND('Batt IN'!$D$53="Yes",$AL$1&gt;=3),IF($C394='Batt IN'!$H$56*12,-'Batt IN'!$F$56,0),0)</f>
        <v>0</v>
      </c>
      <c r="AM394" s="2">
        <f>IF(AND('Batt IN'!$D$53="Yes",$AL$1&gt;=4),IF($C394='Batt IN'!$H$57*12,-'Batt IN'!$F$57,0),0)</f>
        <v>0</v>
      </c>
      <c r="AN394" s="2">
        <f>IF(AND('Batt IN'!$D$53="Yes",$AL$1&gt;=5),IF($C394='Batt IN'!$H$58*12,-'Batt IN'!$F$58,0),0)</f>
        <v>0</v>
      </c>
      <c r="AO394" s="10">
        <f>IF(AND('Batt IN'!$D$44="YES",$C394&lt;='Batt IN'!$E$44*12),-'Batt IN'!$E$28*'Batt IN'!$E$42/12,0)</f>
        <v>0</v>
      </c>
      <c r="AP394" s="10">
        <f>IF(AND('Batt IN'!$D$46="YES",$C394&lt;='Batt IN'!$E$46*12),-'Batt IN'!$E$28*'Batt IN'!$E$45/12,0)</f>
        <v>0</v>
      </c>
      <c r="AR394" s="10">
        <f>BattLoan!M421</f>
        <v>0</v>
      </c>
      <c r="AS394" s="10">
        <f>'Batt IN'!$G$16*365/12*'Batt IN'!$E$16</f>
        <v>76.041666666666671</v>
      </c>
      <c r="AT394" s="10">
        <f>IF(AND('Batt IN'!$E$18&gt;0,'Batt IN'!$G$18&gt;0),'Batt IN'!$E$17*'Batt IN'!$G$17,0)</f>
        <v>119.44619999999999</v>
      </c>
      <c r="AU394" s="10">
        <f>IF(AND('Batt IN'!$E$20&gt;0,'Batt IN'!$G$20&gt;0),'Batt IN'!$E$19*'Batt IN'!$G$19,0)</f>
        <v>231</v>
      </c>
      <c r="AV394" s="10"/>
      <c r="AW394" s="10"/>
      <c r="AX394" s="10">
        <f>IF('Batt IN'!$E$11="Non-Taxable",Q394,0)</f>
        <v>12544.966575342465</v>
      </c>
      <c r="AY394" s="10">
        <f>IF('Batt IN'!$E$11="Non-Taxable",'Batt IN'!$E$28/1000*'Batt IN'!$G$13*('Batt IN'!$E$13/12)*'Batt IN'!$E$12,0)</f>
        <v>244.42220833333334</v>
      </c>
      <c r="AZ394" s="10">
        <f>IF('Batt IN'!$E$11="Non-Taxable",$S394*'Batt IN'!$G$15*'Batt IN'!$E$28*'Batt IN'!$E$14/1000,0)</f>
        <v>0</v>
      </c>
      <c r="BA394" s="10">
        <f>IF('Batt IN'!$E$11="Non-Taxable",'Batt IN'!$E$21*'Batt IN'!$G$21/12,0)</f>
        <v>437.5</v>
      </c>
      <c r="BB394" s="10">
        <f>IF('Batt IN'!$E$11="Non-Taxable",'Batt IN'!$E$22*'Batt IN'!$G$22/12,0)</f>
        <v>1145.8333333333335</v>
      </c>
      <c r="BC394" s="10">
        <f>IF('Batt IN'!$E$11="Taxable",Q394,0)</f>
        <v>0</v>
      </c>
      <c r="BD394" s="10">
        <f>IF('Batt IN'!$E$11="Taxable",'Batt IN'!$E$28/1000*'Batt IN'!$G$13*('Batt IN'!$E$13/12)*'Batt IN'!$E$12,0)</f>
        <v>0</v>
      </c>
      <c r="BE394" s="10">
        <f>IF('Batt IN'!$E$11="Taxable",$S394*'Batt IN'!$G$15*'Batt IN'!$E$28*'Batt IN'!$E$14/1000,0)</f>
        <v>0</v>
      </c>
      <c r="BF394" s="10">
        <f>IF('Batt IN'!$E$11="Taxable",'Batt IN'!$E$21*'Batt IN'!$G$21/12,0)</f>
        <v>0</v>
      </c>
      <c r="BG394" s="10">
        <f>IF('Batt IN'!$E$11="Taxable",'Batt IN'!$E$22*'Batt IN'!$G$22/12,0)</f>
        <v>0</v>
      </c>
      <c r="BK394" s="10">
        <f>IF('Batt IN'!$N$18="Yes",-BattLoan!H422,-BattLoan!L422)</f>
        <v>0</v>
      </c>
      <c r="BL394" s="10">
        <f>IF('Batt IN'!$N$18="Yes",-BattLoan!F422,0)</f>
        <v>0</v>
      </c>
      <c r="BM394" s="10">
        <f>IF(AND('Batt IN'!$D$44="YES",$C394&lt;='Batt IN'!$E$44*12),0,-'Batt IN'!$E$28*'Batt IN'!$E$42/12)</f>
        <v>-83.333333333333329</v>
      </c>
      <c r="BN394" s="10">
        <f>IF(AND('Batt IN'!$D$46="YES",$C394&lt;='Batt IN'!$E$46*12),0,-'Batt IN'!$E$28*'Batt IN'!$E$45/12)</f>
        <v>-166.66666666666666</v>
      </c>
      <c r="BO394" s="2">
        <f>IF(AND('Batt IN'!$D$41="YES",BattCalcs!C394=ROUNDUP('Batt IN'!$H$41*12,)),-'Batt IN'!$E$41*'Batt IN'!$E$28,0)</f>
        <v>0</v>
      </c>
      <c r="BP394" s="2">
        <f>IF(AND('Batt IN'!$D$53="Yes",$AL$1&gt;=1),0,IF($C394='Batt IN'!$H$54*12,-'Batt IN'!$F$54,0))</f>
        <v>0</v>
      </c>
      <c r="BQ394" s="2">
        <f>IF(AND('Batt IN'!$D$53="Yes",$AL$1&gt;=2),0,IF($C394='Batt IN'!$H$55*12,-'Batt IN'!$F$55,0))</f>
        <v>0</v>
      </c>
      <c r="BR394" s="2">
        <f>IF(AND('Batt IN'!$D$53="Yes",$AL$1&gt;=3),0,IF($C394='Batt IN'!$H$56*12,-'Batt IN'!$F$56,0))</f>
        <v>0</v>
      </c>
      <c r="BS394" s="2">
        <f>IF(AND('Batt IN'!$D$53="Yes",$AL$1&gt;=4),0,IF($C394='Batt IN'!$H$57*12,-'Batt IN'!$F$57,0))</f>
        <v>0</v>
      </c>
      <c r="BT394" s="2">
        <f>IF(AND('Batt IN'!$D$53="Yes",$AL$1&gt;=5),0,IF($C394='Batt IN'!$H$58*12,-'Batt IN'!$F$58,0))</f>
        <v>0</v>
      </c>
      <c r="BU394" s="2">
        <f>-AH394*PVCalcs!F394</f>
        <v>-359.37504381576838</v>
      </c>
      <c r="BV394" s="2">
        <f>-'Batt IN'!$E$47</f>
        <v>-150</v>
      </c>
      <c r="BW394" s="2">
        <f>-'Batt IN'!$E$49</f>
        <v>-2250</v>
      </c>
      <c r="BX394" s="2">
        <f>IF('Batt IN'!$H$50="No",-(BC394*'Batt IN'!$E$50),-(BC394+BE394)*'Batt IN'!$E$50)</f>
        <v>0</v>
      </c>
      <c r="BY394" s="2">
        <f>IF(C394='Batt IN'!$H$43*12,-'Batt IN'!$E$43,0)</f>
        <v>0</v>
      </c>
      <c r="BZ394" s="38"/>
      <c r="CA394" s="10">
        <f t="shared" si="106"/>
        <v>14799.209983675799</v>
      </c>
      <c r="CB394" s="2">
        <f t="shared" si="111"/>
        <v>-3009.3750438157685</v>
      </c>
      <c r="CC394" s="45">
        <f t="shared" si="107"/>
        <v>11789.834939860029</v>
      </c>
      <c r="CD394" s="43"/>
      <c r="CE394" s="2">
        <f t="shared" si="108"/>
        <v>0</v>
      </c>
      <c r="CF394" s="2">
        <f t="shared" si="112"/>
        <v>-3009.3750438157685</v>
      </c>
      <c r="CG394" s="2"/>
      <c r="CH394" s="2">
        <f t="shared" si="109"/>
        <v>-3009.3750438157685</v>
      </c>
      <c r="CI394" s="45">
        <f>-CH394*'Batt IN'!$E$7</f>
        <v>631.9687592013114</v>
      </c>
      <c r="CJ394" s="48"/>
      <c r="CK394" s="45">
        <f>IF('Batt IN'!$F$4="PV Only",0,IF(C394&gt;'Batt IN'!$H$43*12,0,CC394+CI394))</f>
        <v>0</v>
      </c>
      <c r="CM394" s="10">
        <f t="shared" si="110"/>
        <v>0</v>
      </c>
      <c r="CN394" s="2">
        <f>CK394/(1+('Batt IN'!$G$8))^(C394)</f>
        <v>0</v>
      </c>
      <c r="CO394" s="2" t="e">
        <f>IF(C394&lt;='Batt IN'!$O$30*12,CN394+CO393,NA())</f>
        <v>#N/A</v>
      </c>
      <c r="CQ394" s="2">
        <f>CK394/((1+('Batt IN'!$E$8/12))^BattCalcs!C394)</f>
        <v>0</v>
      </c>
      <c r="CS394" s="10">
        <f t="shared" si="113"/>
        <v>-3009.3750438157685</v>
      </c>
      <c r="CT394" s="10">
        <f t="shared" si="114"/>
        <v>0</v>
      </c>
      <c r="CU394" s="10">
        <f t="shared" si="115"/>
        <v>-3009.3750438157685</v>
      </c>
      <c r="CV394" s="10">
        <f t="shared" si="116"/>
        <v>-3009.3750438157685</v>
      </c>
      <c r="CW394" s="2">
        <f t="shared" si="117"/>
        <v>0</v>
      </c>
      <c r="CX394" s="2">
        <f>-(SUM(CV394:CW394)*'PV IN'!$E$8)</f>
        <v>631.9687592013114</v>
      </c>
      <c r="CY394" s="2">
        <f t="shared" si="118"/>
        <v>-2377.406284614457</v>
      </c>
      <c r="CZ394" s="2">
        <f>IF(C394&lt;='Batt IN'!$H$43*12,CY394/(1+('PV IN'!$G$9))^(C394),0)</f>
        <v>0</v>
      </c>
      <c r="DA394" s="33">
        <f>IF(C394&lt;='Batt IN'!$H$43*12,AE394,0)</f>
        <v>0</v>
      </c>
    </row>
    <row r="395" spans="1:105" x14ac:dyDescent="0.25">
      <c r="A395" t="str">
        <f>IF(C395&lt;='Batt IN'!$H$43*12,C395,"")</f>
        <v/>
      </c>
      <c r="C395">
        <v>391</v>
      </c>
      <c r="D395" s="21">
        <v>821</v>
      </c>
      <c r="E395" s="1">
        <f>1-'Batt IN'!$E$31</f>
        <v>2.0000000000000018E-2</v>
      </c>
      <c r="F395" s="12">
        <f>('Batt IN'!$E$33*365)/8760</f>
        <v>0</v>
      </c>
      <c r="G395" s="22">
        <f>'Batt IN'!$E$32/8760</f>
        <v>5.7077625570776253E-3</v>
      </c>
      <c r="H395" s="22">
        <f>'Batt IN'!$E$13/8760</f>
        <v>5.5936073059360729E-3</v>
      </c>
      <c r="I395" s="23">
        <f>IF(C395&lt;='Batt IN'!$G$14*12,'Batt IN'!$E$15/8760*'Batt IN'!$G$15,0)</f>
        <v>0</v>
      </c>
      <c r="J395" s="12">
        <f>Z395/'Batt IN'!$E$27/730</f>
        <v>2.4999999999999996E-3</v>
      </c>
      <c r="K395" s="23">
        <f>AA395/'Batt IN'!$E$27/730</f>
        <v>1.6027397260273972E-3</v>
      </c>
      <c r="L395" s="23">
        <f>AB395/'Batt IN'!$E$27/730</f>
        <v>2.0547945205479451E-4</v>
      </c>
      <c r="M395" s="23">
        <f>AC395/'Batt IN'!$E$27/730</f>
        <v>4.7945205479452057E-3</v>
      </c>
      <c r="N395" s="23">
        <f>AD395/'Batt IN'!$E$27/730</f>
        <v>3.4246575342465752E-3</v>
      </c>
      <c r="O395" s="12">
        <f t="shared" si="102"/>
        <v>4.3828767123287697E-2</v>
      </c>
      <c r="P395" s="21">
        <f t="shared" si="103"/>
        <v>785.0165821917808</v>
      </c>
      <c r="Q395" s="2">
        <f>IF('Batt IN'!$E$27*'Batt IN'!$E$24&lt;='Batt IN'!$E$28,(('Batt IN'!$E$23*'Batt IN'!$E$27*'Batt IN'!$E$24)/1000)*P395,(('Batt IN'!$E$23*'Batt IN'!$E$28*'Batt IN'!$E$24)/1000)*P395)</f>
        <v>12560.265315068493</v>
      </c>
      <c r="R395" s="2"/>
      <c r="S395" s="77">
        <f>IF(C395&lt;='Batt IN'!$G$14*12,'Batt IN'!$E$15/12,0)</f>
        <v>0</v>
      </c>
      <c r="T395" s="77"/>
      <c r="U395" s="80">
        <f>'Batt IN'!$E$28*('Batt IN'!$G$24/24)*730*(1-O395)</f>
        <v>81433.916666666657</v>
      </c>
      <c r="V395" s="78">
        <f>U395*'Batt IN'!$F$30</f>
        <v>16286.783333333333</v>
      </c>
      <c r="W395" s="78">
        <f>'Batt IN'!$E$28*'Batt IN'!$G$32*('Batt IN'!$E$32/12)*(1+'Batt IN'!$F$30)</f>
        <v>1750.0000000000002</v>
      </c>
      <c r="X395" s="78">
        <f>'Batt IN'!$E$28*'Batt IN'!$G$13*('Batt IN'!$E$13/12)*(1+'Batt IN'!$F$30)</f>
        <v>3184.9999999999995</v>
      </c>
      <c r="Y395" s="33">
        <f>S395*'Batt IN'!$G$15*'Batt IN'!$E$28*(1+'Batt IN'!$F$30)</f>
        <v>0</v>
      </c>
      <c r="Z395" s="33">
        <f>'Batt IN'!$G$16*365/12*(1+'Batt IN'!$F$30)</f>
        <v>1824.9999999999998</v>
      </c>
      <c r="AA395" s="33">
        <f>'Batt IN'!$G$17*'Batt IN'!$E$18*'Batt IN'!$G$18/12*(1+'Batt IN'!$F$30)</f>
        <v>1170</v>
      </c>
      <c r="AB395" s="33">
        <f>'Batt IN'!$G$19*'Batt IN'!$E$20*'Batt IN'!$G$20/12*(1+'Batt IN'!$F$30)</f>
        <v>150</v>
      </c>
      <c r="AC395" s="33">
        <f>'Batt IN'!$G$21*(1+'Batt IN'!$F$30)/12</f>
        <v>3500</v>
      </c>
      <c r="AD395" s="33">
        <f>'Batt IN'!$G$22*(1+'Batt IN'!$F$30)/12</f>
        <v>2500</v>
      </c>
      <c r="AE395" s="33">
        <f t="shared" si="104"/>
        <v>30366.783333333333</v>
      </c>
      <c r="AF395" s="33">
        <f>IF('PV IN'!$F$4="Battery Only",0,AE395*'Batt IN'!$E$29)</f>
        <v>25811.765833333331</v>
      </c>
      <c r="AG395" s="33">
        <f>PVCalcs!L395</f>
        <v>25811.765833333331</v>
      </c>
      <c r="AH395" s="33">
        <f t="shared" si="105"/>
        <v>4555.0175000000017</v>
      </c>
      <c r="AI395" s="33"/>
      <c r="AJ395" s="2">
        <f>IF(AND('Batt IN'!$D$53="Yes",$AL$1&gt;=1),IF($C395='Batt IN'!$H$54*12,-'Batt IN'!$F$54,0),0)</f>
        <v>0</v>
      </c>
      <c r="AK395" s="2">
        <f>IF(AND('Batt IN'!$D$53="Yes",$AL$1&gt;=2),IF($C395='Batt IN'!$H$55*12,-'Batt IN'!$F$55,0),0)</f>
        <v>0</v>
      </c>
      <c r="AL395" s="2">
        <f>IF(AND('Batt IN'!$D$53="Yes",$AL$1&gt;=3),IF($C395='Batt IN'!$H$56*12,-'Batt IN'!$F$56,0),0)</f>
        <v>0</v>
      </c>
      <c r="AM395" s="2">
        <f>IF(AND('Batt IN'!$D$53="Yes",$AL$1&gt;=4),IF($C395='Batt IN'!$H$57*12,-'Batt IN'!$F$57,0),0)</f>
        <v>0</v>
      </c>
      <c r="AN395" s="2">
        <f>IF(AND('Batt IN'!$D$53="Yes",$AL$1&gt;=5),IF($C395='Batt IN'!$H$58*12,-'Batt IN'!$F$58,0),0)</f>
        <v>0</v>
      </c>
      <c r="AO395" s="10">
        <f>IF(AND('Batt IN'!$D$44="YES",$C395&lt;='Batt IN'!$E$44*12),-'Batt IN'!$E$28*'Batt IN'!$E$42/12,0)</f>
        <v>0</v>
      </c>
      <c r="AP395" s="10">
        <f>IF(AND('Batt IN'!$D$46="YES",$C395&lt;='Batt IN'!$E$46*12),-'Batt IN'!$E$28*'Batt IN'!$E$45/12,0)</f>
        <v>0</v>
      </c>
      <c r="AR395" s="10">
        <f>BattLoan!M422</f>
        <v>0</v>
      </c>
      <c r="AS395" s="10">
        <f>'Batt IN'!$G$16*365/12*'Batt IN'!$E$16</f>
        <v>76.041666666666671</v>
      </c>
      <c r="AT395" s="10">
        <f>IF(AND('Batt IN'!$E$18&gt;0,'Batt IN'!$G$18&gt;0),'Batt IN'!$E$17*'Batt IN'!$G$17,0)</f>
        <v>119.44619999999999</v>
      </c>
      <c r="AU395" s="10">
        <f>IF(AND('Batt IN'!$E$20&gt;0,'Batt IN'!$G$20&gt;0),'Batt IN'!$E$19*'Batt IN'!$G$19,0)</f>
        <v>231</v>
      </c>
      <c r="AV395" s="10"/>
      <c r="AW395" s="10"/>
      <c r="AX395" s="10">
        <f>IF('Batt IN'!$E$11="Non-Taxable",Q395,0)</f>
        <v>12560.265315068493</v>
      </c>
      <c r="AY395" s="10">
        <f>IF('Batt IN'!$E$11="Non-Taxable",'Batt IN'!$E$28/1000*'Batt IN'!$G$13*('Batt IN'!$E$13/12)*'Batt IN'!$E$12,0)</f>
        <v>244.42220833333334</v>
      </c>
      <c r="AZ395" s="10">
        <f>IF('Batt IN'!$E$11="Non-Taxable",$S395*'Batt IN'!$G$15*'Batt IN'!$E$28*'Batt IN'!$E$14/1000,0)</f>
        <v>0</v>
      </c>
      <c r="BA395" s="10">
        <f>IF('Batt IN'!$E$11="Non-Taxable",'Batt IN'!$E$21*'Batt IN'!$G$21/12,0)</f>
        <v>437.5</v>
      </c>
      <c r="BB395" s="10">
        <f>IF('Batt IN'!$E$11="Non-Taxable",'Batt IN'!$E$22*'Batt IN'!$G$22/12,0)</f>
        <v>1145.8333333333335</v>
      </c>
      <c r="BC395" s="10">
        <f>IF('Batt IN'!$E$11="Taxable",Q395,0)</f>
        <v>0</v>
      </c>
      <c r="BD395" s="10">
        <f>IF('Batt IN'!$E$11="Taxable",'Batt IN'!$E$28/1000*'Batt IN'!$G$13*('Batt IN'!$E$13/12)*'Batt IN'!$E$12,0)</f>
        <v>0</v>
      </c>
      <c r="BE395" s="10">
        <f>IF('Batt IN'!$E$11="Taxable",$S395*'Batt IN'!$G$15*'Batt IN'!$E$28*'Batt IN'!$E$14/1000,0)</f>
        <v>0</v>
      </c>
      <c r="BF395" s="10">
        <f>IF('Batt IN'!$E$11="Taxable",'Batt IN'!$E$21*'Batt IN'!$G$21/12,0)</f>
        <v>0</v>
      </c>
      <c r="BG395" s="10">
        <f>IF('Batt IN'!$E$11="Taxable",'Batt IN'!$E$22*'Batt IN'!$G$22/12,0)</f>
        <v>0</v>
      </c>
      <c r="BK395" s="10">
        <f>IF('Batt IN'!$N$18="Yes",-BattLoan!H423,-BattLoan!L423)</f>
        <v>0</v>
      </c>
      <c r="BL395" s="10">
        <f>IF('Batt IN'!$N$18="Yes",-BattLoan!F423,0)</f>
        <v>0</v>
      </c>
      <c r="BM395" s="10">
        <f>IF(AND('Batt IN'!$D$44="YES",$C395&lt;='Batt IN'!$E$44*12),0,-'Batt IN'!$E$28*'Batt IN'!$E$42/12)</f>
        <v>-83.333333333333329</v>
      </c>
      <c r="BN395" s="10">
        <f>IF(AND('Batt IN'!$D$46="YES",$C395&lt;='Batt IN'!$E$46*12),0,-'Batt IN'!$E$28*'Batt IN'!$E$45/12)</f>
        <v>-166.66666666666666</v>
      </c>
      <c r="BO395" s="2">
        <f>IF(AND('Batt IN'!$D$41="YES",BattCalcs!C395=ROUNDUP('Batt IN'!$H$41*12,)),-'Batt IN'!$E$41*'Batt IN'!$E$28,0)</f>
        <v>0</v>
      </c>
      <c r="BP395" s="2">
        <f>IF(AND('Batt IN'!$D$53="Yes",$AL$1&gt;=1),0,IF($C395='Batt IN'!$H$54*12,-'Batt IN'!$F$54,0))</f>
        <v>0</v>
      </c>
      <c r="BQ395" s="2">
        <f>IF(AND('Batt IN'!$D$53="Yes",$AL$1&gt;=2),0,IF($C395='Batt IN'!$H$55*12,-'Batt IN'!$F$55,0))</f>
        <v>0</v>
      </c>
      <c r="BR395" s="2">
        <f>IF(AND('Batt IN'!$D$53="Yes",$AL$1&gt;=3),0,IF($C395='Batt IN'!$H$56*12,-'Batt IN'!$F$56,0))</f>
        <v>0</v>
      </c>
      <c r="BS395" s="2">
        <f>IF(AND('Batt IN'!$D$53="Yes",$AL$1&gt;=4),0,IF($C395='Batt IN'!$H$57*12,-'Batt IN'!$F$57,0))</f>
        <v>0</v>
      </c>
      <c r="BT395" s="2">
        <f>IF(AND('Batt IN'!$D$53="Yes",$AL$1&gt;=5),0,IF($C395='Batt IN'!$H$58*12,-'Batt IN'!$F$58,0))</f>
        <v>0</v>
      </c>
      <c r="BU395" s="2">
        <f>-AH395*PVCalcs!F395</f>
        <v>-359.37504381576838</v>
      </c>
      <c r="BV395" s="2">
        <f>-'Batt IN'!$E$47</f>
        <v>-150</v>
      </c>
      <c r="BW395" s="2">
        <f>-'Batt IN'!$E$49</f>
        <v>-2250</v>
      </c>
      <c r="BX395" s="2">
        <f>IF('Batt IN'!$H$50="No",-(BC395*'Batt IN'!$E$50),-(BC395+BE395)*'Batt IN'!$E$50)</f>
        <v>0</v>
      </c>
      <c r="BY395" s="2">
        <f>IF(C395='Batt IN'!$H$43*12,-'Batt IN'!$E$43,0)</f>
        <v>0</v>
      </c>
      <c r="BZ395" s="38"/>
      <c r="CA395" s="10">
        <f t="shared" si="106"/>
        <v>14814.508723401827</v>
      </c>
      <c r="CB395" s="2">
        <f t="shared" si="111"/>
        <v>-3009.3750438157685</v>
      </c>
      <c r="CC395" s="45">
        <f t="shared" si="107"/>
        <v>11805.133679586059</v>
      </c>
      <c r="CD395" s="43"/>
      <c r="CE395" s="2">
        <f t="shared" si="108"/>
        <v>0</v>
      </c>
      <c r="CF395" s="2">
        <f t="shared" si="112"/>
        <v>-3009.3750438157685</v>
      </c>
      <c r="CG395" s="2"/>
      <c r="CH395" s="2">
        <f t="shared" si="109"/>
        <v>-3009.3750438157685</v>
      </c>
      <c r="CI395" s="45">
        <f>-CH395*'Batt IN'!$E$7</f>
        <v>631.9687592013114</v>
      </c>
      <c r="CJ395" s="48"/>
      <c r="CK395" s="45">
        <f>IF('Batt IN'!$F$4="PV Only",0,IF(C395&gt;'Batt IN'!$H$43*12,0,CC395+CI395))</f>
        <v>0</v>
      </c>
      <c r="CM395" s="10">
        <f t="shared" si="110"/>
        <v>0</v>
      </c>
      <c r="CN395" s="2">
        <f>CK395/(1+('Batt IN'!$G$8))^(C395)</f>
        <v>0</v>
      </c>
      <c r="CO395" s="2" t="e">
        <f>IF(C395&lt;='Batt IN'!$O$30*12,CN395+CO394,NA())</f>
        <v>#N/A</v>
      </c>
      <c r="CQ395" s="2">
        <f>CK395/((1+('Batt IN'!$E$8/12))^BattCalcs!C395)</f>
        <v>0</v>
      </c>
      <c r="CS395" s="10">
        <f t="shared" si="113"/>
        <v>-3009.3750438157685</v>
      </c>
      <c r="CT395" s="10">
        <f t="shared" si="114"/>
        <v>0</v>
      </c>
      <c r="CU395" s="10">
        <f t="shared" si="115"/>
        <v>-3009.3750438157685</v>
      </c>
      <c r="CV395" s="10">
        <f t="shared" si="116"/>
        <v>-3009.3750438157685</v>
      </c>
      <c r="CW395" s="2">
        <f t="shared" si="117"/>
        <v>0</v>
      </c>
      <c r="CX395" s="2">
        <f>-(SUM(CV395:CW395)*'PV IN'!$E$8)</f>
        <v>631.9687592013114</v>
      </c>
      <c r="CY395" s="2">
        <f t="shared" si="118"/>
        <v>-2377.406284614457</v>
      </c>
      <c r="CZ395" s="2">
        <f>IF(C395&lt;='Batt IN'!$H$43*12,CY395/(1+('PV IN'!$G$9))^(C395),0)</f>
        <v>0</v>
      </c>
      <c r="DA395" s="33">
        <f>IF(C395&lt;='Batt IN'!$H$43*12,AE395,0)</f>
        <v>0</v>
      </c>
    </row>
    <row r="396" spans="1:105" x14ac:dyDescent="0.25">
      <c r="A396" t="str">
        <f>IF(C396&lt;='Batt IN'!$H$43*12,C396,"")</f>
        <v/>
      </c>
      <c r="C396">
        <v>392</v>
      </c>
      <c r="D396" s="21">
        <v>822</v>
      </c>
      <c r="E396" s="1">
        <f>1-'Batt IN'!$E$31</f>
        <v>2.0000000000000018E-2</v>
      </c>
      <c r="F396" s="12">
        <f>('Batt IN'!$E$33*365)/8760</f>
        <v>0</v>
      </c>
      <c r="G396" s="22">
        <f>'Batt IN'!$E$32/8760</f>
        <v>5.7077625570776253E-3</v>
      </c>
      <c r="H396" s="22">
        <f>'Batt IN'!$E$13/8760</f>
        <v>5.5936073059360729E-3</v>
      </c>
      <c r="I396" s="23">
        <f>IF(C396&lt;='Batt IN'!$G$14*12,'Batt IN'!$E$15/8760*'Batt IN'!$G$15,0)</f>
        <v>0</v>
      </c>
      <c r="J396" s="12">
        <f>Z396/'Batt IN'!$E$27/730</f>
        <v>2.4999999999999996E-3</v>
      </c>
      <c r="K396" s="23">
        <f>AA396/'Batt IN'!$E$27/730</f>
        <v>1.6027397260273972E-3</v>
      </c>
      <c r="L396" s="23">
        <f>AB396/'Batt IN'!$E$27/730</f>
        <v>2.0547945205479451E-4</v>
      </c>
      <c r="M396" s="23">
        <f>AC396/'Batt IN'!$E$27/730</f>
        <v>4.7945205479452057E-3</v>
      </c>
      <c r="N396" s="23">
        <f>AD396/'Batt IN'!$E$27/730</f>
        <v>3.4246575342465752E-3</v>
      </c>
      <c r="O396" s="12">
        <f t="shared" si="102"/>
        <v>4.3828767123287697E-2</v>
      </c>
      <c r="P396" s="21">
        <f t="shared" si="103"/>
        <v>785.97275342465753</v>
      </c>
      <c r="Q396" s="2">
        <f>IF('Batt IN'!$E$27*'Batt IN'!$E$24&lt;='Batt IN'!$E$28,(('Batt IN'!$E$23*'Batt IN'!$E$27*'Batt IN'!$E$24)/1000)*P396,(('Batt IN'!$E$23*'Batt IN'!$E$28*'Batt IN'!$E$24)/1000)*P396)</f>
        <v>12575.56405479452</v>
      </c>
      <c r="R396" s="2"/>
      <c r="S396" s="77">
        <f>IF(C396&lt;='Batt IN'!$G$14*12,'Batt IN'!$E$15/12,0)</f>
        <v>0</v>
      </c>
      <c r="T396" s="77"/>
      <c r="U396" s="80">
        <f>'Batt IN'!$E$28*('Batt IN'!$G$24/24)*730*(1-O396)</f>
        <v>81433.916666666657</v>
      </c>
      <c r="V396" s="78">
        <f>U396*'Batt IN'!$F$30</f>
        <v>16286.783333333333</v>
      </c>
      <c r="W396" s="78">
        <f>'Batt IN'!$E$28*'Batt IN'!$G$32*('Batt IN'!$E$32/12)*(1+'Batt IN'!$F$30)</f>
        <v>1750.0000000000002</v>
      </c>
      <c r="X396" s="78">
        <f>'Batt IN'!$E$28*'Batt IN'!$G$13*('Batt IN'!$E$13/12)*(1+'Batt IN'!$F$30)</f>
        <v>3184.9999999999995</v>
      </c>
      <c r="Y396" s="33">
        <f>S396*'Batt IN'!$G$15*'Batt IN'!$E$28*(1+'Batt IN'!$F$30)</f>
        <v>0</v>
      </c>
      <c r="Z396" s="33">
        <f>'Batt IN'!$G$16*365/12*(1+'Batt IN'!$F$30)</f>
        <v>1824.9999999999998</v>
      </c>
      <c r="AA396" s="33">
        <f>'Batt IN'!$G$17*'Batt IN'!$E$18*'Batt IN'!$G$18/12*(1+'Batt IN'!$F$30)</f>
        <v>1170</v>
      </c>
      <c r="AB396" s="33">
        <f>'Batt IN'!$G$19*'Batt IN'!$E$20*'Batt IN'!$G$20/12*(1+'Batt IN'!$F$30)</f>
        <v>150</v>
      </c>
      <c r="AC396" s="33">
        <f>'Batt IN'!$G$21*(1+'Batt IN'!$F$30)/12</f>
        <v>3500</v>
      </c>
      <c r="AD396" s="33">
        <f>'Batt IN'!$G$22*(1+'Batt IN'!$F$30)/12</f>
        <v>2500</v>
      </c>
      <c r="AE396" s="33">
        <f t="shared" si="104"/>
        <v>30366.783333333333</v>
      </c>
      <c r="AF396" s="33">
        <f>IF('PV IN'!$F$4="Battery Only",0,AE396*'Batt IN'!$E$29)</f>
        <v>25811.765833333331</v>
      </c>
      <c r="AG396" s="33">
        <f>PVCalcs!L396</f>
        <v>25811.765833333331</v>
      </c>
      <c r="AH396" s="33">
        <f t="shared" si="105"/>
        <v>4555.0175000000017</v>
      </c>
      <c r="AI396" s="33"/>
      <c r="AJ396" s="2">
        <f>IF(AND('Batt IN'!$D$53="Yes",$AL$1&gt;=1),IF($C396='Batt IN'!$H$54*12,-'Batt IN'!$F$54,0),0)</f>
        <v>0</v>
      </c>
      <c r="AK396" s="2">
        <f>IF(AND('Batt IN'!$D$53="Yes",$AL$1&gt;=2),IF($C396='Batt IN'!$H$55*12,-'Batt IN'!$F$55,0),0)</f>
        <v>0</v>
      </c>
      <c r="AL396" s="2">
        <f>IF(AND('Batt IN'!$D$53="Yes",$AL$1&gt;=3),IF($C396='Batt IN'!$H$56*12,-'Batt IN'!$F$56,0),0)</f>
        <v>0</v>
      </c>
      <c r="AM396" s="2">
        <f>IF(AND('Batt IN'!$D$53="Yes",$AL$1&gt;=4),IF($C396='Batt IN'!$H$57*12,-'Batt IN'!$F$57,0),0)</f>
        <v>0</v>
      </c>
      <c r="AN396" s="2">
        <f>IF(AND('Batt IN'!$D$53="Yes",$AL$1&gt;=5),IF($C396='Batt IN'!$H$58*12,-'Batt IN'!$F$58,0),0)</f>
        <v>0</v>
      </c>
      <c r="AO396" s="10">
        <f>IF(AND('Batt IN'!$D$44="YES",$C396&lt;='Batt IN'!$E$44*12),-'Batt IN'!$E$28*'Batt IN'!$E$42/12,0)</f>
        <v>0</v>
      </c>
      <c r="AP396" s="10">
        <f>IF(AND('Batt IN'!$D$46="YES",$C396&lt;='Batt IN'!$E$46*12),-'Batt IN'!$E$28*'Batt IN'!$E$45/12,0)</f>
        <v>0</v>
      </c>
      <c r="AR396" s="10">
        <f>BattLoan!M423</f>
        <v>0</v>
      </c>
      <c r="AS396" s="10">
        <f>'Batt IN'!$G$16*365/12*'Batt IN'!$E$16</f>
        <v>76.041666666666671</v>
      </c>
      <c r="AT396" s="10">
        <f>IF(AND('Batt IN'!$E$18&gt;0,'Batt IN'!$G$18&gt;0),'Batt IN'!$E$17*'Batt IN'!$G$17,0)</f>
        <v>119.44619999999999</v>
      </c>
      <c r="AU396" s="10">
        <f>IF(AND('Batt IN'!$E$20&gt;0,'Batt IN'!$G$20&gt;0),'Batt IN'!$E$19*'Batt IN'!$G$19,0)</f>
        <v>231</v>
      </c>
      <c r="AV396" s="10"/>
      <c r="AW396" s="10"/>
      <c r="AX396" s="10">
        <f>IF('Batt IN'!$E$11="Non-Taxable",Q396,0)</f>
        <v>12575.56405479452</v>
      </c>
      <c r="AY396" s="10">
        <f>IF('Batt IN'!$E$11="Non-Taxable",'Batt IN'!$E$28/1000*'Batt IN'!$G$13*('Batt IN'!$E$13/12)*'Batt IN'!$E$12,0)</f>
        <v>244.42220833333334</v>
      </c>
      <c r="AZ396" s="10">
        <f>IF('Batt IN'!$E$11="Non-Taxable",$S396*'Batt IN'!$G$15*'Batt IN'!$E$28*'Batt IN'!$E$14/1000,0)</f>
        <v>0</v>
      </c>
      <c r="BA396" s="10">
        <f>IF('Batt IN'!$E$11="Non-Taxable",'Batt IN'!$E$21*'Batt IN'!$G$21/12,0)</f>
        <v>437.5</v>
      </c>
      <c r="BB396" s="10">
        <f>IF('Batt IN'!$E$11="Non-Taxable",'Batt IN'!$E$22*'Batt IN'!$G$22/12,0)</f>
        <v>1145.8333333333335</v>
      </c>
      <c r="BC396" s="10">
        <f>IF('Batt IN'!$E$11="Taxable",Q396,0)</f>
        <v>0</v>
      </c>
      <c r="BD396" s="10">
        <f>IF('Batt IN'!$E$11="Taxable",'Batt IN'!$E$28/1000*'Batt IN'!$G$13*('Batt IN'!$E$13/12)*'Batt IN'!$E$12,0)</f>
        <v>0</v>
      </c>
      <c r="BE396" s="10">
        <f>IF('Batt IN'!$E$11="Taxable",$S396*'Batt IN'!$G$15*'Batt IN'!$E$28*'Batt IN'!$E$14/1000,0)</f>
        <v>0</v>
      </c>
      <c r="BF396" s="10">
        <f>IF('Batt IN'!$E$11="Taxable",'Batt IN'!$E$21*'Batt IN'!$G$21/12,0)</f>
        <v>0</v>
      </c>
      <c r="BG396" s="10">
        <f>IF('Batt IN'!$E$11="Taxable",'Batt IN'!$E$22*'Batt IN'!$G$22/12,0)</f>
        <v>0</v>
      </c>
      <c r="BK396" s="10">
        <f>IF('Batt IN'!$N$18="Yes",-BattLoan!H424,-BattLoan!L424)</f>
        <v>0</v>
      </c>
      <c r="BL396" s="10">
        <f>IF('Batt IN'!$N$18="Yes",-BattLoan!F424,0)</f>
        <v>0</v>
      </c>
      <c r="BM396" s="10">
        <f>IF(AND('Batt IN'!$D$44="YES",$C396&lt;='Batt IN'!$E$44*12),0,-'Batt IN'!$E$28*'Batt IN'!$E$42/12)</f>
        <v>-83.333333333333329</v>
      </c>
      <c r="BN396" s="10">
        <f>IF(AND('Batt IN'!$D$46="YES",$C396&lt;='Batt IN'!$E$46*12),0,-'Batt IN'!$E$28*'Batt IN'!$E$45/12)</f>
        <v>-166.66666666666666</v>
      </c>
      <c r="BO396" s="2">
        <f>IF(AND('Batt IN'!$D$41="YES",BattCalcs!C396=ROUNDUP('Batt IN'!$H$41*12,)),-'Batt IN'!$E$41*'Batt IN'!$E$28,0)</f>
        <v>0</v>
      </c>
      <c r="BP396" s="2">
        <f>IF(AND('Batt IN'!$D$53="Yes",$AL$1&gt;=1),0,IF($C396='Batt IN'!$H$54*12,-'Batt IN'!$F$54,0))</f>
        <v>0</v>
      </c>
      <c r="BQ396" s="2">
        <f>IF(AND('Batt IN'!$D$53="Yes",$AL$1&gt;=2),0,IF($C396='Batt IN'!$H$55*12,-'Batt IN'!$F$55,0))</f>
        <v>0</v>
      </c>
      <c r="BR396" s="2">
        <f>IF(AND('Batt IN'!$D$53="Yes",$AL$1&gt;=3),0,IF($C396='Batt IN'!$H$56*12,-'Batt IN'!$F$56,0))</f>
        <v>0</v>
      </c>
      <c r="BS396" s="2">
        <f>IF(AND('Batt IN'!$D$53="Yes",$AL$1&gt;=4),0,IF($C396='Batt IN'!$H$57*12,-'Batt IN'!$F$57,0))</f>
        <v>0</v>
      </c>
      <c r="BT396" s="2">
        <f>IF(AND('Batt IN'!$D$53="Yes",$AL$1&gt;=5),0,IF($C396='Batt IN'!$H$58*12,-'Batt IN'!$F$58,0))</f>
        <v>0</v>
      </c>
      <c r="BU396" s="2">
        <f>-AH396*PVCalcs!F396</f>
        <v>-359.37504381576838</v>
      </c>
      <c r="BV396" s="2">
        <f>-'Batt IN'!$E$47</f>
        <v>-150</v>
      </c>
      <c r="BW396" s="2">
        <f>-'Batt IN'!$E$49</f>
        <v>-2250</v>
      </c>
      <c r="BX396" s="2">
        <f>IF('Batt IN'!$H$50="No",-(BC396*'Batt IN'!$E$50),-(BC396+BE396)*'Batt IN'!$E$50)</f>
        <v>0</v>
      </c>
      <c r="BY396" s="2">
        <f>IF(C396='Batt IN'!$H$43*12,-'Batt IN'!$E$43,0)</f>
        <v>0</v>
      </c>
      <c r="BZ396" s="38"/>
      <c r="CA396" s="10">
        <f t="shared" si="106"/>
        <v>14829.807463127854</v>
      </c>
      <c r="CB396" s="2">
        <f t="shared" si="111"/>
        <v>-3009.3750438157685</v>
      </c>
      <c r="CC396" s="45">
        <f t="shared" si="107"/>
        <v>11820.432419312085</v>
      </c>
      <c r="CD396" s="43"/>
      <c r="CE396" s="2">
        <f t="shared" si="108"/>
        <v>0</v>
      </c>
      <c r="CF396" s="2">
        <f t="shared" si="112"/>
        <v>-3009.3750438157685</v>
      </c>
      <c r="CG396" s="2"/>
      <c r="CH396" s="2">
        <f t="shared" si="109"/>
        <v>-3009.3750438157685</v>
      </c>
      <c r="CI396" s="45">
        <f>-CH396*'Batt IN'!$E$7</f>
        <v>631.9687592013114</v>
      </c>
      <c r="CJ396" s="48"/>
      <c r="CK396" s="45">
        <f>IF('Batt IN'!$F$4="PV Only",0,IF(C396&gt;'Batt IN'!$H$43*12,0,CC396+CI396))</f>
        <v>0</v>
      </c>
      <c r="CM396" s="10">
        <f t="shared" si="110"/>
        <v>0</v>
      </c>
      <c r="CN396" s="2">
        <f>CK396/(1+('Batt IN'!$G$8))^(C396)</f>
        <v>0</v>
      </c>
      <c r="CO396" s="2" t="e">
        <f>IF(C396&lt;='Batt IN'!$O$30*12,CN396+CO395,NA())</f>
        <v>#N/A</v>
      </c>
      <c r="CQ396" s="2">
        <f>CK396/((1+('Batt IN'!$E$8/12))^BattCalcs!C396)</f>
        <v>0</v>
      </c>
      <c r="CS396" s="10">
        <f t="shared" si="113"/>
        <v>-3009.3750438157685</v>
      </c>
      <c r="CT396" s="10">
        <f t="shared" si="114"/>
        <v>0</v>
      </c>
      <c r="CU396" s="10">
        <f t="shared" si="115"/>
        <v>-3009.3750438157685</v>
      </c>
      <c r="CV396" s="10">
        <f t="shared" si="116"/>
        <v>-3009.3750438157685</v>
      </c>
      <c r="CW396" s="2">
        <f t="shared" si="117"/>
        <v>0</v>
      </c>
      <c r="CX396" s="2">
        <f>-(SUM(CV396:CW396)*'PV IN'!$E$8)</f>
        <v>631.9687592013114</v>
      </c>
      <c r="CY396" s="2">
        <f t="shared" si="118"/>
        <v>-2377.406284614457</v>
      </c>
      <c r="CZ396" s="2">
        <f>IF(C396&lt;='Batt IN'!$H$43*12,CY396/(1+('PV IN'!$G$9))^(C396),0)</f>
        <v>0</v>
      </c>
      <c r="DA396" s="33">
        <f>IF(C396&lt;='Batt IN'!$H$43*12,AE396,0)</f>
        <v>0</v>
      </c>
    </row>
    <row r="397" spans="1:105" x14ac:dyDescent="0.25">
      <c r="A397" t="str">
        <f>IF(C397&lt;='Batt IN'!$H$43*12,C397,"")</f>
        <v/>
      </c>
      <c r="C397">
        <v>393</v>
      </c>
      <c r="D397" s="21">
        <v>823</v>
      </c>
      <c r="E397" s="1">
        <f>1-'Batt IN'!$E$31</f>
        <v>2.0000000000000018E-2</v>
      </c>
      <c r="F397" s="12">
        <f>('Batt IN'!$E$33*365)/8760</f>
        <v>0</v>
      </c>
      <c r="G397" s="22">
        <f>'Batt IN'!$E$32/8760</f>
        <v>5.7077625570776253E-3</v>
      </c>
      <c r="H397" s="22">
        <f>'Batt IN'!$E$13/8760</f>
        <v>5.5936073059360729E-3</v>
      </c>
      <c r="I397" s="23">
        <f>IF(C397&lt;='Batt IN'!$G$14*12,'Batt IN'!$E$15/8760*'Batt IN'!$G$15,0)</f>
        <v>0</v>
      </c>
      <c r="J397" s="12">
        <f>Z397/'Batt IN'!$E$27/730</f>
        <v>2.4999999999999996E-3</v>
      </c>
      <c r="K397" s="23">
        <f>AA397/'Batt IN'!$E$27/730</f>
        <v>1.6027397260273972E-3</v>
      </c>
      <c r="L397" s="23">
        <f>AB397/'Batt IN'!$E$27/730</f>
        <v>2.0547945205479451E-4</v>
      </c>
      <c r="M397" s="23">
        <f>AC397/'Batt IN'!$E$27/730</f>
        <v>4.7945205479452057E-3</v>
      </c>
      <c r="N397" s="23">
        <f>AD397/'Batt IN'!$E$27/730</f>
        <v>3.4246575342465752E-3</v>
      </c>
      <c r="O397" s="12">
        <f t="shared" si="102"/>
        <v>4.3828767123287697E-2</v>
      </c>
      <c r="P397" s="21">
        <f t="shared" si="103"/>
        <v>786.92892465753425</v>
      </c>
      <c r="Q397" s="2">
        <f>IF('Batt IN'!$E$27*'Batt IN'!$E$24&lt;='Batt IN'!$E$28,(('Batt IN'!$E$23*'Batt IN'!$E$27*'Batt IN'!$E$24)/1000)*P397,(('Batt IN'!$E$23*'Batt IN'!$E$28*'Batt IN'!$E$24)/1000)*P397)</f>
        <v>12590.862794520548</v>
      </c>
      <c r="R397" s="2"/>
      <c r="S397" s="77">
        <f>IF(C397&lt;='Batt IN'!$G$14*12,'Batt IN'!$E$15/12,0)</f>
        <v>0</v>
      </c>
      <c r="T397" s="77"/>
      <c r="U397" s="80">
        <f>'Batt IN'!$E$28*('Batt IN'!$G$24/24)*730*(1-O397)</f>
        <v>81433.916666666657</v>
      </c>
      <c r="V397" s="78">
        <f>U397*'Batt IN'!$F$30</f>
        <v>16286.783333333333</v>
      </c>
      <c r="W397" s="78">
        <f>'Batt IN'!$E$28*'Batt IN'!$G$32*('Batt IN'!$E$32/12)*(1+'Batt IN'!$F$30)</f>
        <v>1750.0000000000002</v>
      </c>
      <c r="X397" s="78">
        <f>'Batt IN'!$E$28*'Batt IN'!$G$13*('Batt IN'!$E$13/12)*(1+'Batt IN'!$F$30)</f>
        <v>3184.9999999999995</v>
      </c>
      <c r="Y397" s="33">
        <f>S397*'Batt IN'!$G$15*'Batt IN'!$E$28*(1+'Batt IN'!$F$30)</f>
        <v>0</v>
      </c>
      <c r="Z397" s="33">
        <f>'Batt IN'!$G$16*365/12*(1+'Batt IN'!$F$30)</f>
        <v>1824.9999999999998</v>
      </c>
      <c r="AA397" s="33">
        <f>'Batt IN'!$G$17*'Batt IN'!$E$18*'Batt IN'!$G$18/12*(1+'Batt IN'!$F$30)</f>
        <v>1170</v>
      </c>
      <c r="AB397" s="33">
        <f>'Batt IN'!$G$19*'Batt IN'!$E$20*'Batt IN'!$G$20/12*(1+'Batt IN'!$F$30)</f>
        <v>150</v>
      </c>
      <c r="AC397" s="33">
        <f>'Batt IN'!$G$21*(1+'Batt IN'!$F$30)/12</f>
        <v>3500</v>
      </c>
      <c r="AD397" s="33">
        <f>'Batt IN'!$G$22*(1+'Batt IN'!$F$30)/12</f>
        <v>2500</v>
      </c>
      <c r="AE397" s="33">
        <f t="shared" si="104"/>
        <v>30366.783333333333</v>
      </c>
      <c r="AF397" s="33">
        <f>IF('PV IN'!$F$4="Battery Only",0,AE397*'Batt IN'!$E$29)</f>
        <v>25811.765833333331</v>
      </c>
      <c r="AG397" s="33">
        <f>PVCalcs!L397</f>
        <v>25811.765833333331</v>
      </c>
      <c r="AH397" s="33">
        <f t="shared" si="105"/>
        <v>4555.0175000000017</v>
      </c>
      <c r="AI397" s="33"/>
      <c r="AJ397" s="2">
        <f>IF(AND('Batt IN'!$D$53="Yes",$AL$1&gt;=1),IF($C397='Batt IN'!$H$54*12,-'Batt IN'!$F$54,0),0)</f>
        <v>0</v>
      </c>
      <c r="AK397" s="2">
        <f>IF(AND('Batt IN'!$D$53="Yes",$AL$1&gt;=2),IF($C397='Batt IN'!$H$55*12,-'Batt IN'!$F$55,0),0)</f>
        <v>0</v>
      </c>
      <c r="AL397" s="2">
        <f>IF(AND('Batt IN'!$D$53="Yes",$AL$1&gt;=3),IF($C397='Batt IN'!$H$56*12,-'Batt IN'!$F$56,0),0)</f>
        <v>0</v>
      </c>
      <c r="AM397" s="2">
        <f>IF(AND('Batt IN'!$D$53="Yes",$AL$1&gt;=4),IF($C397='Batt IN'!$H$57*12,-'Batt IN'!$F$57,0),0)</f>
        <v>0</v>
      </c>
      <c r="AN397" s="2">
        <f>IF(AND('Batt IN'!$D$53="Yes",$AL$1&gt;=5),IF($C397='Batt IN'!$H$58*12,-'Batt IN'!$F$58,0),0)</f>
        <v>0</v>
      </c>
      <c r="AO397" s="10">
        <f>IF(AND('Batt IN'!$D$44="YES",$C397&lt;='Batt IN'!$E$44*12),-'Batt IN'!$E$28*'Batt IN'!$E$42/12,0)</f>
        <v>0</v>
      </c>
      <c r="AP397" s="10">
        <f>IF(AND('Batt IN'!$D$46="YES",$C397&lt;='Batt IN'!$E$46*12),-'Batt IN'!$E$28*'Batt IN'!$E$45/12,0)</f>
        <v>0</v>
      </c>
      <c r="AR397" s="10">
        <f>BattLoan!M424</f>
        <v>0</v>
      </c>
      <c r="AS397" s="10">
        <f>'Batt IN'!$G$16*365/12*'Batt IN'!$E$16</f>
        <v>76.041666666666671</v>
      </c>
      <c r="AT397" s="10">
        <f>IF(AND('Batt IN'!$E$18&gt;0,'Batt IN'!$G$18&gt;0),'Batt IN'!$E$17*'Batt IN'!$G$17,0)</f>
        <v>119.44619999999999</v>
      </c>
      <c r="AU397" s="10">
        <f>IF(AND('Batt IN'!$E$20&gt;0,'Batt IN'!$G$20&gt;0),'Batt IN'!$E$19*'Batt IN'!$G$19,0)</f>
        <v>231</v>
      </c>
      <c r="AV397" s="10"/>
      <c r="AW397" s="10"/>
      <c r="AX397" s="10">
        <f>IF('Batt IN'!$E$11="Non-Taxable",Q397,0)</f>
        <v>12590.862794520548</v>
      </c>
      <c r="AY397" s="10">
        <f>IF('Batt IN'!$E$11="Non-Taxable",'Batt IN'!$E$28/1000*'Batt IN'!$G$13*('Batt IN'!$E$13/12)*'Batt IN'!$E$12,0)</f>
        <v>244.42220833333334</v>
      </c>
      <c r="AZ397" s="10">
        <f>IF('Batt IN'!$E$11="Non-Taxable",$S397*'Batt IN'!$G$15*'Batt IN'!$E$28*'Batt IN'!$E$14/1000,0)</f>
        <v>0</v>
      </c>
      <c r="BA397" s="10">
        <f>IF('Batt IN'!$E$11="Non-Taxable",'Batt IN'!$E$21*'Batt IN'!$G$21/12,0)</f>
        <v>437.5</v>
      </c>
      <c r="BB397" s="10">
        <f>IF('Batt IN'!$E$11="Non-Taxable",'Batt IN'!$E$22*'Batt IN'!$G$22/12,0)</f>
        <v>1145.8333333333335</v>
      </c>
      <c r="BC397" s="10">
        <f>IF('Batt IN'!$E$11="Taxable",Q397,0)</f>
        <v>0</v>
      </c>
      <c r="BD397" s="10">
        <f>IF('Batt IN'!$E$11="Taxable",'Batt IN'!$E$28/1000*'Batt IN'!$G$13*('Batt IN'!$E$13/12)*'Batt IN'!$E$12,0)</f>
        <v>0</v>
      </c>
      <c r="BE397" s="10">
        <f>IF('Batt IN'!$E$11="Taxable",$S397*'Batt IN'!$G$15*'Batt IN'!$E$28*'Batt IN'!$E$14/1000,0)</f>
        <v>0</v>
      </c>
      <c r="BF397" s="10">
        <f>IF('Batt IN'!$E$11="Taxable",'Batt IN'!$E$21*'Batt IN'!$G$21/12,0)</f>
        <v>0</v>
      </c>
      <c r="BG397" s="10">
        <f>IF('Batt IN'!$E$11="Taxable",'Batt IN'!$E$22*'Batt IN'!$G$22/12,0)</f>
        <v>0</v>
      </c>
      <c r="BK397" s="10">
        <f>IF('Batt IN'!$N$18="Yes",-BattLoan!H425,-BattLoan!L425)</f>
        <v>0</v>
      </c>
      <c r="BL397" s="10">
        <f>IF('Batt IN'!$N$18="Yes",-BattLoan!F425,0)</f>
        <v>0</v>
      </c>
      <c r="BM397" s="10">
        <f>IF(AND('Batt IN'!$D$44="YES",$C397&lt;='Batt IN'!$E$44*12),0,-'Batt IN'!$E$28*'Batt IN'!$E$42/12)</f>
        <v>-83.333333333333329</v>
      </c>
      <c r="BN397" s="10">
        <f>IF(AND('Batt IN'!$D$46="YES",$C397&lt;='Batt IN'!$E$46*12),0,-'Batt IN'!$E$28*'Batt IN'!$E$45/12)</f>
        <v>-166.66666666666666</v>
      </c>
      <c r="BO397" s="2">
        <f>IF(AND('Batt IN'!$D$41="YES",BattCalcs!C397=ROUNDUP('Batt IN'!$H$41*12,)),-'Batt IN'!$E$41*'Batt IN'!$E$28,0)</f>
        <v>0</v>
      </c>
      <c r="BP397" s="2">
        <f>IF(AND('Batt IN'!$D$53="Yes",$AL$1&gt;=1),0,IF($C397='Batt IN'!$H$54*12,-'Batt IN'!$F$54,0))</f>
        <v>0</v>
      </c>
      <c r="BQ397" s="2">
        <f>IF(AND('Batt IN'!$D$53="Yes",$AL$1&gt;=2),0,IF($C397='Batt IN'!$H$55*12,-'Batt IN'!$F$55,0))</f>
        <v>0</v>
      </c>
      <c r="BR397" s="2">
        <f>IF(AND('Batt IN'!$D$53="Yes",$AL$1&gt;=3),0,IF($C397='Batt IN'!$H$56*12,-'Batt IN'!$F$56,0))</f>
        <v>0</v>
      </c>
      <c r="BS397" s="2">
        <f>IF(AND('Batt IN'!$D$53="Yes",$AL$1&gt;=4),0,IF($C397='Batt IN'!$H$57*12,-'Batt IN'!$F$57,0))</f>
        <v>0</v>
      </c>
      <c r="BT397" s="2">
        <f>IF(AND('Batt IN'!$D$53="Yes",$AL$1&gt;=5),0,IF($C397='Batt IN'!$H$58*12,-'Batt IN'!$F$58,0))</f>
        <v>0</v>
      </c>
      <c r="BU397" s="2">
        <f>-AH397*PVCalcs!F397</f>
        <v>-359.37504381576838</v>
      </c>
      <c r="BV397" s="2">
        <f>-'Batt IN'!$E$47</f>
        <v>-150</v>
      </c>
      <c r="BW397" s="2">
        <f>-'Batt IN'!$E$49</f>
        <v>-2250</v>
      </c>
      <c r="BX397" s="2">
        <f>IF('Batt IN'!$H$50="No",-(BC397*'Batt IN'!$E$50),-(BC397+BE397)*'Batt IN'!$E$50)</f>
        <v>0</v>
      </c>
      <c r="BY397" s="2">
        <f>IF(C397='Batt IN'!$H$43*12,-'Batt IN'!$E$43,0)</f>
        <v>0</v>
      </c>
      <c r="BZ397" s="38"/>
      <c r="CA397" s="10">
        <f t="shared" si="106"/>
        <v>14845.106202853882</v>
      </c>
      <c r="CB397" s="2">
        <f t="shared" si="111"/>
        <v>-3009.3750438157685</v>
      </c>
      <c r="CC397" s="45">
        <f t="shared" si="107"/>
        <v>11835.731159038114</v>
      </c>
      <c r="CD397" s="43"/>
      <c r="CE397" s="2">
        <f t="shared" si="108"/>
        <v>0</v>
      </c>
      <c r="CF397" s="2">
        <f t="shared" si="112"/>
        <v>-3009.3750438157685</v>
      </c>
      <c r="CG397" s="2"/>
      <c r="CH397" s="2">
        <f t="shared" si="109"/>
        <v>-3009.3750438157685</v>
      </c>
      <c r="CI397" s="45">
        <f>-CH397*'Batt IN'!$E$7</f>
        <v>631.9687592013114</v>
      </c>
      <c r="CJ397" s="48"/>
      <c r="CK397" s="45">
        <f>IF('Batt IN'!$F$4="PV Only",0,IF(C397&gt;'Batt IN'!$H$43*12,0,CC397+CI397))</f>
        <v>0</v>
      </c>
      <c r="CM397" s="10">
        <f t="shared" si="110"/>
        <v>0</v>
      </c>
      <c r="CN397" s="2">
        <f>CK397/(1+('Batt IN'!$G$8))^(C397)</f>
        <v>0</v>
      </c>
      <c r="CO397" s="2" t="e">
        <f>IF(C397&lt;='Batt IN'!$O$30*12,CN397+CO396,NA())</f>
        <v>#N/A</v>
      </c>
      <c r="CQ397" s="2">
        <f>CK397/((1+('Batt IN'!$E$8/12))^BattCalcs!C397)</f>
        <v>0</v>
      </c>
      <c r="CS397" s="10">
        <f t="shared" si="113"/>
        <v>-3009.3750438157685</v>
      </c>
      <c r="CT397" s="10">
        <f t="shared" si="114"/>
        <v>0</v>
      </c>
      <c r="CU397" s="10">
        <f t="shared" si="115"/>
        <v>-3009.3750438157685</v>
      </c>
      <c r="CV397" s="10">
        <f t="shared" si="116"/>
        <v>-3009.3750438157685</v>
      </c>
      <c r="CW397" s="2">
        <f t="shared" si="117"/>
        <v>0</v>
      </c>
      <c r="CX397" s="2">
        <f>-(SUM(CV397:CW397)*'PV IN'!$E$8)</f>
        <v>631.9687592013114</v>
      </c>
      <c r="CY397" s="2">
        <f t="shared" si="118"/>
        <v>-2377.406284614457</v>
      </c>
      <c r="CZ397" s="2">
        <f>IF(C397&lt;='Batt IN'!$H$43*12,CY397/(1+('PV IN'!$G$9))^(C397),0)</f>
        <v>0</v>
      </c>
      <c r="DA397" s="33">
        <f>IF(C397&lt;='Batt IN'!$H$43*12,AE397,0)</f>
        <v>0</v>
      </c>
    </row>
    <row r="398" spans="1:105" x14ac:dyDescent="0.25">
      <c r="A398" t="str">
        <f>IF(C398&lt;='Batt IN'!$H$43*12,C398,"")</f>
        <v/>
      </c>
      <c r="C398">
        <v>394</v>
      </c>
      <c r="D398" s="21">
        <v>824</v>
      </c>
      <c r="E398" s="1">
        <f>1-'Batt IN'!$E$31</f>
        <v>2.0000000000000018E-2</v>
      </c>
      <c r="F398" s="12">
        <f>('Batt IN'!$E$33*365)/8760</f>
        <v>0</v>
      </c>
      <c r="G398" s="22">
        <f>'Batt IN'!$E$32/8760</f>
        <v>5.7077625570776253E-3</v>
      </c>
      <c r="H398" s="22">
        <f>'Batt IN'!$E$13/8760</f>
        <v>5.5936073059360729E-3</v>
      </c>
      <c r="I398" s="23">
        <f>IF(C398&lt;='Batt IN'!$G$14*12,'Batt IN'!$E$15/8760*'Batt IN'!$G$15,0)</f>
        <v>0</v>
      </c>
      <c r="J398" s="12">
        <f>Z398/'Batt IN'!$E$27/730</f>
        <v>2.4999999999999996E-3</v>
      </c>
      <c r="K398" s="23">
        <f>AA398/'Batt IN'!$E$27/730</f>
        <v>1.6027397260273972E-3</v>
      </c>
      <c r="L398" s="23">
        <f>AB398/'Batt IN'!$E$27/730</f>
        <v>2.0547945205479451E-4</v>
      </c>
      <c r="M398" s="23">
        <f>AC398/'Batt IN'!$E$27/730</f>
        <v>4.7945205479452057E-3</v>
      </c>
      <c r="N398" s="23">
        <f>AD398/'Batt IN'!$E$27/730</f>
        <v>3.4246575342465752E-3</v>
      </c>
      <c r="O398" s="12">
        <f t="shared" si="102"/>
        <v>4.3828767123287697E-2</v>
      </c>
      <c r="P398" s="21">
        <f t="shared" si="103"/>
        <v>787.88509589041098</v>
      </c>
      <c r="Q398" s="2">
        <f>IF('Batt IN'!$E$27*'Batt IN'!$E$24&lt;='Batt IN'!$E$28,(('Batt IN'!$E$23*'Batt IN'!$E$27*'Batt IN'!$E$24)/1000)*P398,(('Batt IN'!$E$23*'Batt IN'!$E$28*'Batt IN'!$E$24)/1000)*P398)</f>
        <v>12606.161534246576</v>
      </c>
      <c r="R398" s="2"/>
      <c r="S398" s="77">
        <f>IF(C398&lt;='Batt IN'!$G$14*12,'Batt IN'!$E$15/12,0)</f>
        <v>0</v>
      </c>
      <c r="T398" s="77"/>
      <c r="U398" s="80">
        <f>'Batt IN'!$E$28*('Batt IN'!$G$24/24)*730*(1-O398)</f>
        <v>81433.916666666657</v>
      </c>
      <c r="V398" s="78">
        <f>U398*'Batt IN'!$F$30</f>
        <v>16286.783333333333</v>
      </c>
      <c r="W398" s="78">
        <f>'Batt IN'!$E$28*'Batt IN'!$G$32*('Batt IN'!$E$32/12)*(1+'Batt IN'!$F$30)</f>
        <v>1750.0000000000002</v>
      </c>
      <c r="X398" s="78">
        <f>'Batt IN'!$E$28*'Batt IN'!$G$13*('Batt IN'!$E$13/12)*(1+'Batt IN'!$F$30)</f>
        <v>3184.9999999999995</v>
      </c>
      <c r="Y398" s="33">
        <f>S398*'Batt IN'!$G$15*'Batt IN'!$E$28*(1+'Batt IN'!$F$30)</f>
        <v>0</v>
      </c>
      <c r="Z398" s="33">
        <f>'Batt IN'!$G$16*365/12*(1+'Batt IN'!$F$30)</f>
        <v>1824.9999999999998</v>
      </c>
      <c r="AA398" s="33">
        <f>'Batt IN'!$G$17*'Batt IN'!$E$18*'Batt IN'!$G$18/12*(1+'Batt IN'!$F$30)</f>
        <v>1170</v>
      </c>
      <c r="AB398" s="33">
        <f>'Batt IN'!$G$19*'Batt IN'!$E$20*'Batt IN'!$G$20/12*(1+'Batt IN'!$F$30)</f>
        <v>150</v>
      </c>
      <c r="AC398" s="33">
        <f>'Batt IN'!$G$21*(1+'Batt IN'!$F$30)/12</f>
        <v>3500</v>
      </c>
      <c r="AD398" s="33">
        <f>'Batt IN'!$G$22*(1+'Batt IN'!$F$30)/12</f>
        <v>2500</v>
      </c>
      <c r="AE398" s="33">
        <f t="shared" si="104"/>
        <v>30366.783333333333</v>
      </c>
      <c r="AF398" s="33">
        <f>IF('PV IN'!$F$4="Battery Only",0,AE398*'Batt IN'!$E$29)</f>
        <v>25811.765833333331</v>
      </c>
      <c r="AG398" s="33">
        <f>PVCalcs!L398</f>
        <v>25811.765833333331</v>
      </c>
      <c r="AH398" s="33">
        <f t="shared" si="105"/>
        <v>4555.0175000000017</v>
      </c>
      <c r="AI398" s="33"/>
      <c r="AJ398" s="2">
        <f>IF(AND('Batt IN'!$D$53="Yes",$AL$1&gt;=1),IF($C398='Batt IN'!$H$54*12,-'Batt IN'!$F$54,0),0)</f>
        <v>0</v>
      </c>
      <c r="AK398" s="2">
        <f>IF(AND('Batt IN'!$D$53="Yes",$AL$1&gt;=2),IF($C398='Batt IN'!$H$55*12,-'Batt IN'!$F$55,0),0)</f>
        <v>0</v>
      </c>
      <c r="AL398" s="2">
        <f>IF(AND('Batt IN'!$D$53="Yes",$AL$1&gt;=3),IF($C398='Batt IN'!$H$56*12,-'Batt IN'!$F$56,0),0)</f>
        <v>0</v>
      </c>
      <c r="AM398" s="2">
        <f>IF(AND('Batt IN'!$D$53="Yes",$AL$1&gt;=4),IF($C398='Batt IN'!$H$57*12,-'Batt IN'!$F$57,0),0)</f>
        <v>0</v>
      </c>
      <c r="AN398" s="2">
        <f>IF(AND('Batt IN'!$D$53="Yes",$AL$1&gt;=5),IF($C398='Batt IN'!$H$58*12,-'Batt IN'!$F$58,0),0)</f>
        <v>0</v>
      </c>
      <c r="AO398" s="10">
        <f>IF(AND('Batt IN'!$D$44="YES",$C398&lt;='Batt IN'!$E$44*12),-'Batt IN'!$E$28*'Batt IN'!$E$42/12,0)</f>
        <v>0</v>
      </c>
      <c r="AP398" s="10">
        <f>IF(AND('Batt IN'!$D$46="YES",$C398&lt;='Batt IN'!$E$46*12),-'Batt IN'!$E$28*'Batt IN'!$E$45/12,0)</f>
        <v>0</v>
      </c>
      <c r="AR398" s="10">
        <f>BattLoan!M425</f>
        <v>0</v>
      </c>
      <c r="AS398" s="10">
        <f>'Batt IN'!$G$16*365/12*'Batt IN'!$E$16</f>
        <v>76.041666666666671</v>
      </c>
      <c r="AT398" s="10">
        <f>IF(AND('Batt IN'!$E$18&gt;0,'Batt IN'!$G$18&gt;0),'Batt IN'!$E$17*'Batt IN'!$G$17,0)</f>
        <v>119.44619999999999</v>
      </c>
      <c r="AU398" s="10">
        <f>IF(AND('Batt IN'!$E$20&gt;0,'Batt IN'!$G$20&gt;0),'Batt IN'!$E$19*'Batt IN'!$G$19,0)</f>
        <v>231</v>
      </c>
      <c r="AV398" s="10"/>
      <c r="AW398" s="10"/>
      <c r="AX398" s="10">
        <f>IF('Batt IN'!$E$11="Non-Taxable",Q398,0)</f>
        <v>12606.161534246576</v>
      </c>
      <c r="AY398" s="10">
        <f>IF('Batt IN'!$E$11="Non-Taxable",'Batt IN'!$E$28/1000*'Batt IN'!$G$13*('Batt IN'!$E$13/12)*'Batt IN'!$E$12,0)</f>
        <v>244.42220833333334</v>
      </c>
      <c r="AZ398" s="10">
        <f>IF('Batt IN'!$E$11="Non-Taxable",$S398*'Batt IN'!$G$15*'Batt IN'!$E$28*'Batt IN'!$E$14/1000,0)</f>
        <v>0</v>
      </c>
      <c r="BA398" s="10">
        <f>IF('Batt IN'!$E$11="Non-Taxable",'Batt IN'!$E$21*'Batt IN'!$G$21/12,0)</f>
        <v>437.5</v>
      </c>
      <c r="BB398" s="10">
        <f>IF('Batt IN'!$E$11="Non-Taxable",'Batt IN'!$E$22*'Batt IN'!$G$22/12,0)</f>
        <v>1145.8333333333335</v>
      </c>
      <c r="BC398" s="10">
        <f>IF('Batt IN'!$E$11="Taxable",Q398,0)</f>
        <v>0</v>
      </c>
      <c r="BD398" s="10">
        <f>IF('Batt IN'!$E$11="Taxable",'Batt IN'!$E$28/1000*'Batt IN'!$G$13*('Batt IN'!$E$13/12)*'Batt IN'!$E$12,0)</f>
        <v>0</v>
      </c>
      <c r="BE398" s="10">
        <f>IF('Batt IN'!$E$11="Taxable",$S398*'Batt IN'!$G$15*'Batt IN'!$E$28*'Batt IN'!$E$14/1000,0)</f>
        <v>0</v>
      </c>
      <c r="BF398" s="10">
        <f>IF('Batt IN'!$E$11="Taxable",'Batt IN'!$E$21*'Batt IN'!$G$21/12,0)</f>
        <v>0</v>
      </c>
      <c r="BG398" s="10">
        <f>IF('Batt IN'!$E$11="Taxable",'Batt IN'!$E$22*'Batt IN'!$G$22/12,0)</f>
        <v>0</v>
      </c>
      <c r="BK398" s="10">
        <f>IF('Batt IN'!$N$18="Yes",-BattLoan!H426,-BattLoan!L426)</f>
        <v>0</v>
      </c>
      <c r="BL398" s="10">
        <f>IF('Batt IN'!$N$18="Yes",-BattLoan!F426,0)</f>
        <v>0</v>
      </c>
      <c r="BM398" s="10">
        <f>IF(AND('Batt IN'!$D$44="YES",$C398&lt;='Batt IN'!$E$44*12),0,-'Batt IN'!$E$28*'Batt IN'!$E$42/12)</f>
        <v>-83.333333333333329</v>
      </c>
      <c r="BN398" s="10">
        <f>IF(AND('Batt IN'!$D$46="YES",$C398&lt;='Batt IN'!$E$46*12),0,-'Batt IN'!$E$28*'Batt IN'!$E$45/12)</f>
        <v>-166.66666666666666</v>
      </c>
      <c r="BO398" s="2">
        <f>IF(AND('Batt IN'!$D$41="YES",BattCalcs!C398=ROUNDUP('Batt IN'!$H$41*12,)),-'Batt IN'!$E$41*'Batt IN'!$E$28,0)</f>
        <v>0</v>
      </c>
      <c r="BP398" s="2">
        <f>IF(AND('Batt IN'!$D$53="Yes",$AL$1&gt;=1),0,IF($C398='Batt IN'!$H$54*12,-'Batt IN'!$F$54,0))</f>
        <v>0</v>
      </c>
      <c r="BQ398" s="2">
        <f>IF(AND('Batt IN'!$D$53="Yes",$AL$1&gt;=2),0,IF($C398='Batt IN'!$H$55*12,-'Batt IN'!$F$55,0))</f>
        <v>0</v>
      </c>
      <c r="BR398" s="2">
        <f>IF(AND('Batt IN'!$D$53="Yes",$AL$1&gt;=3),0,IF($C398='Batt IN'!$H$56*12,-'Batt IN'!$F$56,0))</f>
        <v>0</v>
      </c>
      <c r="BS398" s="2">
        <f>IF(AND('Batt IN'!$D$53="Yes",$AL$1&gt;=4),0,IF($C398='Batt IN'!$H$57*12,-'Batt IN'!$F$57,0))</f>
        <v>0</v>
      </c>
      <c r="BT398" s="2">
        <f>IF(AND('Batt IN'!$D$53="Yes",$AL$1&gt;=5),0,IF($C398='Batt IN'!$H$58*12,-'Batt IN'!$F$58,0))</f>
        <v>0</v>
      </c>
      <c r="BU398" s="2">
        <f>-AH398*PVCalcs!F398</f>
        <v>-359.37504381576838</v>
      </c>
      <c r="BV398" s="2">
        <f>-'Batt IN'!$E$47</f>
        <v>-150</v>
      </c>
      <c r="BW398" s="2">
        <f>-'Batt IN'!$E$49</f>
        <v>-2250</v>
      </c>
      <c r="BX398" s="2">
        <f>IF('Batt IN'!$H$50="No",-(BC398*'Batt IN'!$E$50),-(BC398+BE398)*'Batt IN'!$E$50)</f>
        <v>0</v>
      </c>
      <c r="BY398" s="2">
        <f>IF(C398='Batt IN'!$H$43*12,-'Batt IN'!$E$43,0)</f>
        <v>0</v>
      </c>
      <c r="BZ398" s="38"/>
      <c r="CA398" s="10">
        <f t="shared" si="106"/>
        <v>14860.404942579909</v>
      </c>
      <c r="CB398" s="2">
        <f t="shared" si="111"/>
        <v>-3009.3750438157685</v>
      </c>
      <c r="CC398" s="45">
        <f t="shared" si="107"/>
        <v>11851.02989876414</v>
      </c>
      <c r="CD398" s="43"/>
      <c r="CE398" s="2">
        <f t="shared" si="108"/>
        <v>0</v>
      </c>
      <c r="CF398" s="2">
        <f t="shared" si="112"/>
        <v>-3009.3750438157685</v>
      </c>
      <c r="CG398" s="2"/>
      <c r="CH398" s="2">
        <f t="shared" si="109"/>
        <v>-3009.3750438157685</v>
      </c>
      <c r="CI398" s="45">
        <f>-CH398*'Batt IN'!$E$7</f>
        <v>631.9687592013114</v>
      </c>
      <c r="CJ398" s="48"/>
      <c r="CK398" s="45">
        <f>IF('Batt IN'!$F$4="PV Only",0,IF(C398&gt;'Batt IN'!$H$43*12,0,CC398+CI398))</f>
        <v>0</v>
      </c>
      <c r="CM398" s="10">
        <f t="shared" si="110"/>
        <v>0</v>
      </c>
      <c r="CN398" s="2">
        <f>CK398/(1+('Batt IN'!$G$8))^(C398)</f>
        <v>0</v>
      </c>
      <c r="CO398" s="2" t="e">
        <f>IF(C398&lt;='Batt IN'!$O$30*12,CN398+CO397,NA())</f>
        <v>#N/A</v>
      </c>
      <c r="CQ398" s="2">
        <f>CK398/((1+('Batt IN'!$E$8/12))^BattCalcs!C398)</f>
        <v>0</v>
      </c>
      <c r="CS398" s="10">
        <f t="shared" si="113"/>
        <v>-3009.3750438157685</v>
      </c>
      <c r="CT398" s="10">
        <f t="shared" si="114"/>
        <v>0</v>
      </c>
      <c r="CU398" s="10">
        <f t="shared" si="115"/>
        <v>-3009.3750438157685</v>
      </c>
      <c r="CV398" s="10">
        <f t="shared" si="116"/>
        <v>-3009.3750438157685</v>
      </c>
      <c r="CW398" s="2">
        <f t="shared" si="117"/>
        <v>0</v>
      </c>
      <c r="CX398" s="2">
        <f>-(SUM(CV398:CW398)*'PV IN'!$E$8)</f>
        <v>631.9687592013114</v>
      </c>
      <c r="CY398" s="2">
        <f t="shared" si="118"/>
        <v>-2377.406284614457</v>
      </c>
      <c r="CZ398" s="2">
        <f>IF(C398&lt;='Batt IN'!$H$43*12,CY398/(1+('PV IN'!$G$9))^(C398),0)</f>
        <v>0</v>
      </c>
      <c r="DA398" s="33">
        <f>IF(C398&lt;='Batt IN'!$H$43*12,AE398,0)</f>
        <v>0</v>
      </c>
    </row>
    <row r="399" spans="1:105" x14ac:dyDescent="0.25">
      <c r="A399" t="str">
        <f>IF(C399&lt;='Batt IN'!$H$43*12,C399,"")</f>
        <v/>
      </c>
      <c r="C399">
        <v>395</v>
      </c>
      <c r="D399" s="21">
        <v>825</v>
      </c>
      <c r="E399" s="1">
        <f>1-'Batt IN'!$E$31</f>
        <v>2.0000000000000018E-2</v>
      </c>
      <c r="F399" s="12">
        <f>('Batt IN'!$E$33*365)/8760</f>
        <v>0</v>
      </c>
      <c r="G399" s="22">
        <f>'Batt IN'!$E$32/8760</f>
        <v>5.7077625570776253E-3</v>
      </c>
      <c r="H399" s="22">
        <f>'Batt IN'!$E$13/8760</f>
        <v>5.5936073059360729E-3</v>
      </c>
      <c r="I399" s="23">
        <f>IF(C399&lt;='Batt IN'!$G$14*12,'Batt IN'!$E$15/8760*'Batt IN'!$G$15,0)</f>
        <v>0</v>
      </c>
      <c r="J399" s="12">
        <f>Z399/'Batt IN'!$E$27/730</f>
        <v>2.4999999999999996E-3</v>
      </c>
      <c r="K399" s="23">
        <f>AA399/'Batt IN'!$E$27/730</f>
        <v>1.6027397260273972E-3</v>
      </c>
      <c r="L399" s="23">
        <f>AB399/'Batt IN'!$E$27/730</f>
        <v>2.0547945205479451E-4</v>
      </c>
      <c r="M399" s="23">
        <f>AC399/'Batt IN'!$E$27/730</f>
        <v>4.7945205479452057E-3</v>
      </c>
      <c r="N399" s="23">
        <f>AD399/'Batt IN'!$E$27/730</f>
        <v>3.4246575342465752E-3</v>
      </c>
      <c r="O399" s="12">
        <f t="shared" si="102"/>
        <v>4.3828767123287697E-2</v>
      </c>
      <c r="P399" s="21">
        <f t="shared" si="103"/>
        <v>788.84126712328771</v>
      </c>
      <c r="Q399" s="2">
        <f>IF('Batt IN'!$E$27*'Batt IN'!$E$24&lt;='Batt IN'!$E$28,(('Batt IN'!$E$23*'Batt IN'!$E$27*'Batt IN'!$E$24)/1000)*P399,(('Batt IN'!$E$23*'Batt IN'!$E$28*'Batt IN'!$E$24)/1000)*P399)</f>
        <v>12621.460273972603</v>
      </c>
      <c r="R399" s="2"/>
      <c r="S399" s="77">
        <f>IF(C399&lt;='Batt IN'!$G$14*12,'Batt IN'!$E$15/12,0)</f>
        <v>0</v>
      </c>
      <c r="T399" s="77"/>
      <c r="U399" s="80">
        <f>'Batt IN'!$E$28*('Batt IN'!$G$24/24)*730*(1-O399)</f>
        <v>81433.916666666657</v>
      </c>
      <c r="V399" s="78">
        <f>U399*'Batt IN'!$F$30</f>
        <v>16286.783333333333</v>
      </c>
      <c r="W399" s="78">
        <f>'Batt IN'!$E$28*'Batt IN'!$G$32*('Batt IN'!$E$32/12)*(1+'Batt IN'!$F$30)</f>
        <v>1750.0000000000002</v>
      </c>
      <c r="X399" s="78">
        <f>'Batt IN'!$E$28*'Batt IN'!$G$13*('Batt IN'!$E$13/12)*(1+'Batt IN'!$F$30)</f>
        <v>3184.9999999999995</v>
      </c>
      <c r="Y399" s="33">
        <f>S399*'Batt IN'!$G$15*'Batt IN'!$E$28*(1+'Batt IN'!$F$30)</f>
        <v>0</v>
      </c>
      <c r="Z399" s="33">
        <f>'Batt IN'!$G$16*365/12*(1+'Batt IN'!$F$30)</f>
        <v>1824.9999999999998</v>
      </c>
      <c r="AA399" s="33">
        <f>'Batt IN'!$G$17*'Batt IN'!$E$18*'Batt IN'!$G$18/12*(1+'Batt IN'!$F$30)</f>
        <v>1170</v>
      </c>
      <c r="AB399" s="33">
        <f>'Batt IN'!$G$19*'Batt IN'!$E$20*'Batt IN'!$G$20/12*(1+'Batt IN'!$F$30)</f>
        <v>150</v>
      </c>
      <c r="AC399" s="33">
        <f>'Batt IN'!$G$21*(1+'Batt IN'!$F$30)/12</f>
        <v>3500</v>
      </c>
      <c r="AD399" s="33">
        <f>'Batt IN'!$G$22*(1+'Batt IN'!$F$30)/12</f>
        <v>2500</v>
      </c>
      <c r="AE399" s="33">
        <f t="shared" si="104"/>
        <v>30366.783333333333</v>
      </c>
      <c r="AF399" s="33">
        <f>IF('PV IN'!$F$4="Battery Only",0,AE399*'Batt IN'!$E$29)</f>
        <v>25811.765833333331</v>
      </c>
      <c r="AG399" s="33">
        <f>PVCalcs!L399</f>
        <v>25811.765833333331</v>
      </c>
      <c r="AH399" s="33">
        <f t="shared" si="105"/>
        <v>4555.0175000000017</v>
      </c>
      <c r="AI399" s="33"/>
      <c r="AJ399" s="2">
        <f>IF(AND('Batt IN'!$D$53="Yes",$AL$1&gt;=1),IF($C399='Batt IN'!$H$54*12,-'Batt IN'!$F$54,0),0)</f>
        <v>0</v>
      </c>
      <c r="AK399" s="2">
        <f>IF(AND('Batt IN'!$D$53="Yes",$AL$1&gt;=2),IF($C399='Batt IN'!$H$55*12,-'Batt IN'!$F$55,0),0)</f>
        <v>0</v>
      </c>
      <c r="AL399" s="2">
        <f>IF(AND('Batt IN'!$D$53="Yes",$AL$1&gt;=3),IF($C399='Batt IN'!$H$56*12,-'Batt IN'!$F$56,0),0)</f>
        <v>0</v>
      </c>
      <c r="AM399" s="2">
        <f>IF(AND('Batt IN'!$D$53="Yes",$AL$1&gt;=4),IF($C399='Batt IN'!$H$57*12,-'Batt IN'!$F$57,0),0)</f>
        <v>0</v>
      </c>
      <c r="AN399" s="2">
        <f>IF(AND('Batt IN'!$D$53="Yes",$AL$1&gt;=5),IF($C399='Batt IN'!$H$58*12,-'Batt IN'!$F$58,0),0)</f>
        <v>0</v>
      </c>
      <c r="AO399" s="10">
        <f>IF(AND('Batt IN'!$D$44="YES",$C399&lt;='Batt IN'!$E$44*12),-'Batt IN'!$E$28*'Batt IN'!$E$42/12,0)</f>
        <v>0</v>
      </c>
      <c r="AP399" s="10">
        <f>IF(AND('Batt IN'!$D$46="YES",$C399&lt;='Batt IN'!$E$46*12),-'Batt IN'!$E$28*'Batt IN'!$E$45/12,0)</f>
        <v>0</v>
      </c>
      <c r="AR399" s="10">
        <f>BattLoan!M426</f>
        <v>0</v>
      </c>
      <c r="AS399" s="10">
        <f>'Batt IN'!$G$16*365/12*'Batt IN'!$E$16</f>
        <v>76.041666666666671</v>
      </c>
      <c r="AT399" s="10">
        <f>IF(AND('Batt IN'!$E$18&gt;0,'Batt IN'!$G$18&gt;0),'Batt IN'!$E$17*'Batt IN'!$G$17,0)</f>
        <v>119.44619999999999</v>
      </c>
      <c r="AU399" s="10">
        <f>IF(AND('Batt IN'!$E$20&gt;0,'Batt IN'!$G$20&gt;0),'Batt IN'!$E$19*'Batt IN'!$G$19,0)</f>
        <v>231</v>
      </c>
      <c r="AV399" s="10"/>
      <c r="AW399" s="10"/>
      <c r="AX399" s="10">
        <f>IF('Batt IN'!$E$11="Non-Taxable",Q399,0)</f>
        <v>12621.460273972603</v>
      </c>
      <c r="AY399" s="10">
        <f>IF('Batt IN'!$E$11="Non-Taxable",'Batt IN'!$E$28/1000*'Batt IN'!$G$13*('Batt IN'!$E$13/12)*'Batt IN'!$E$12,0)</f>
        <v>244.42220833333334</v>
      </c>
      <c r="AZ399" s="10">
        <f>IF('Batt IN'!$E$11="Non-Taxable",$S399*'Batt IN'!$G$15*'Batt IN'!$E$28*'Batt IN'!$E$14/1000,0)</f>
        <v>0</v>
      </c>
      <c r="BA399" s="10">
        <f>IF('Batt IN'!$E$11="Non-Taxable",'Batt IN'!$E$21*'Batt IN'!$G$21/12,0)</f>
        <v>437.5</v>
      </c>
      <c r="BB399" s="10">
        <f>IF('Batt IN'!$E$11="Non-Taxable",'Batt IN'!$E$22*'Batt IN'!$G$22/12,0)</f>
        <v>1145.8333333333335</v>
      </c>
      <c r="BC399" s="10">
        <f>IF('Batt IN'!$E$11="Taxable",Q399,0)</f>
        <v>0</v>
      </c>
      <c r="BD399" s="10">
        <f>IF('Batt IN'!$E$11="Taxable",'Batt IN'!$E$28/1000*'Batt IN'!$G$13*('Batt IN'!$E$13/12)*'Batt IN'!$E$12,0)</f>
        <v>0</v>
      </c>
      <c r="BE399" s="10">
        <f>IF('Batt IN'!$E$11="Taxable",$S399*'Batt IN'!$G$15*'Batt IN'!$E$28*'Batt IN'!$E$14/1000,0)</f>
        <v>0</v>
      </c>
      <c r="BF399" s="10">
        <f>IF('Batt IN'!$E$11="Taxable",'Batt IN'!$E$21*'Batt IN'!$G$21/12,0)</f>
        <v>0</v>
      </c>
      <c r="BG399" s="10">
        <f>IF('Batt IN'!$E$11="Taxable",'Batt IN'!$E$22*'Batt IN'!$G$22/12,0)</f>
        <v>0</v>
      </c>
      <c r="BK399" s="10">
        <f>IF('Batt IN'!$N$18="Yes",-BattLoan!H427,-BattLoan!L427)</f>
        <v>0</v>
      </c>
      <c r="BL399" s="10">
        <f>IF('Batt IN'!$N$18="Yes",-BattLoan!F427,0)</f>
        <v>0</v>
      </c>
      <c r="BM399" s="10">
        <f>IF(AND('Batt IN'!$D$44="YES",$C399&lt;='Batt IN'!$E$44*12),0,-'Batt IN'!$E$28*'Batt IN'!$E$42/12)</f>
        <v>-83.333333333333329</v>
      </c>
      <c r="BN399" s="10">
        <f>IF(AND('Batt IN'!$D$46="YES",$C399&lt;='Batt IN'!$E$46*12),0,-'Batt IN'!$E$28*'Batt IN'!$E$45/12)</f>
        <v>-166.66666666666666</v>
      </c>
      <c r="BO399" s="2">
        <f>IF(AND('Batt IN'!$D$41="YES",BattCalcs!C399=ROUNDUP('Batt IN'!$H$41*12,)),-'Batt IN'!$E$41*'Batt IN'!$E$28,0)</f>
        <v>0</v>
      </c>
      <c r="BP399" s="2">
        <f>IF(AND('Batt IN'!$D$53="Yes",$AL$1&gt;=1),0,IF($C399='Batt IN'!$H$54*12,-'Batt IN'!$F$54,0))</f>
        <v>0</v>
      </c>
      <c r="BQ399" s="2">
        <f>IF(AND('Batt IN'!$D$53="Yes",$AL$1&gt;=2),0,IF($C399='Batt IN'!$H$55*12,-'Batt IN'!$F$55,0))</f>
        <v>0</v>
      </c>
      <c r="BR399" s="2">
        <f>IF(AND('Batt IN'!$D$53="Yes",$AL$1&gt;=3),0,IF($C399='Batt IN'!$H$56*12,-'Batt IN'!$F$56,0))</f>
        <v>0</v>
      </c>
      <c r="BS399" s="2">
        <f>IF(AND('Batt IN'!$D$53="Yes",$AL$1&gt;=4),0,IF($C399='Batt IN'!$H$57*12,-'Batt IN'!$F$57,0))</f>
        <v>0</v>
      </c>
      <c r="BT399" s="2">
        <f>IF(AND('Batt IN'!$D$53="Yes",$AL$1&gt;=5),0,IF($C399='Batt IN'!$H$58*12,-'Batt IN'!$F$58,0))</f>
        <v>0</v>
      </c>
      <c r="BU399" s="2">
        <f>-AH399*PVCalcs!F399</f>
        <v>-359.37504381576838</v>
      </c>
      <c r="BV399" s="2">
        <f>-'Batt IN'!$E$47</f>
        <v>-150</v>
      </c>
      <c r="BW399" s="2">
        <f>-'Batt IN'!$E$49</f>
        <v>-2250</v>
      </c>
      <c r="BX399" s="2">
        <f>IF('Batt IN'!$H$50="No",-(BC399*'Batt IN'!$E$50),-(BC399+BE399)*'Batt IN'!$E$50)</f>
        <v>0</v>
      </c>
      <c r="BY399" s="2">
        <f>IF(C399='Batt IN'!$H$43*12,-'Batt IN'!$E$43,0)</f>
        <v>0</v>
      </c>
      <c r="BZ399" s="38"/>
      <c r="CA399" s="10">
        <f t="shared" si="106"/>
        <v>14875.703682305937</v>
      </c>
      <c r="CB399" s="2">
        <f t="shared" si="111"/>
        <v>-3009.3750438157685</v>
      </c>
      <c r="CC399" s="45">
        <f t="shared" si="107"/>
        <v>11866.328638490169</v>
      </c>
      <c r="CD399" s="43"/>
      <c r="CE399" s="2">
        <f t="shared" si="108"/>
        <v>0</v>
      </c>
      <c r="CF399" s="2">
        <f t="shared" si="112"/>
        <v>-3009.3750438157685</v>
      </c>
      <c r="CG399" s="2"/>
      <c r="CH399" s="2">
        <f t="shared" si="109"/>
        <v>-3009.3750438157685</v>
      </c>
      <c r="CI399" s="45">
        <f>-CH399*'Batt IN'!$E$7</f>
        <v>631.9687592013114</v>
      </c>
      <c r="CJ399" s="48"/>
      <c r="CK399" s="45">
        <f>IF('Batt IN'!$F$4="PV Only",0,IF(C399&gt;'Batt IN'!$H$43*12,0,CC399+CI399))</f>
        <v>0</v>
      </c>
      <c r="CM399" s="10">
        <f t="shared" si="110"/>
        <v>0</v>
      </c>
      <c r="CN399" s="2">
        <f>CK399/(1+('Batt IN'!$G$8))^(C399)</f>
        <v>0</v>
      </c>
      <c r="CO399" s="2" t="e">
        <f>IF(C399&lt;='Batt IN'!$O$30*12,CN399+CO398,NA())</f>
        <v>#N/A</v>
      </c>
      <c r="CQ399" s="2">
        <f>CK399/((1+('Batt IN'!$E$8/12))^BattCalcs!C399)</f>
        <v>0</v>
      </c>
      <c r="CS399" s="10">
        <f t="shared" si="113"/>
        <v>-3009.3750438157685</v>
      </c>
      <c r="CT399" s="10">
        <f t="shared" si="114"/>
        <v>0</v>
      </c>
      <c r="CU399" s="10">
        <f t="shared" si="115"/>
        <v>-3009.3750438157685</v>
      </c>
      <c r="CV399" s="10">
        <f t="shared" si="116"/>
        <v>-3009.3750438157685</v>
      </c>
      <c r="CW399" s="2">
        <f t="shared" si="117"/>
        <v>0</v>
      </c>
      <c r="CX399" s="2">
        <f>-(SUM(CV399:CW399)*'PV IN'!$E$8)</f>
        <v>631.9687592013114</v>
      </c>
      <c r="CY399" s="2">
        <f t="shared" si="118"/>
        <v>-2377.406284614457</v>
      </c>
      <c r="CZ399" s="2">
        <f>IF(C399&lt;='Batt IN'!$H$43*12,CY399/(1+('PV IN'!$G$9))^(C399),0)</f>
        <v>0</v>
      </c>
      <c r="DA399" s="33">
        <f>IF(C399&lt;='Batt IN'!$H$43*12,AE399,0)</f>
        <v>0</v>
      </c>
    </row>
    <row r="400" spans="1:105" x14ac:dyDescent="0.25">
      <c r="A400" t="str">
        <f>IF(C400&lt;='Batt IN'!$H$43*12,C400,"")</f>
        <v/>
      </c>
      <c r="B400">
        <v>33</v>
      </c>
      <c r="C400">
        <v>396</v>
      </c>
      <c r="D400" s="21">
        <v>826</v>
      </c>
      <c r="E400" s="1">
        <f>1-'Batt IN'!$E$31</f>
        <v>2.0000000000000018E-2</v>
      </c>
      <c r="F400" s="12">
        <f>('Batt IN'!$E$33*365)/8760</f>
        <v>0</v>
      </c>
      <c r="G400" s="22">
        <f>'Batt IN'!$E$32/8760</f>
        <v>5.7077625570776253E-3</v>
      </c>
      <c r="H400" s="22">
        <f>'Batt IN'!$E$13/8760</f>
        <v>5.5936073059360729E-3</v>
      </c>
      <c r="I400" s="23">
        <f>IF(C400&lt;='Batt IN'!$G$14*12,'Batt IN'!$E$15/8760*'Batt IN'!$G$15,0)</f>
        <v>0</v>
      </c>
      <c r="J400" s="12">
        <f>Z400/'Batt IN'!$E$27/730</f>
        <v>2.4999999999999996E-3</v>
      </c>
      <c r="K400" s="23">
        <f>AA400/'Batt IN'!$E$27/730</f>
        <v>1.6027397260273972E-3</v>
      </c>
      <c r="L400" s="23">
        <f>AB400/'Batt IN'!$E$27/730</f>
        <v>2.0547945205479451E-4</v>
      </c>
      <c r="M400" s="23">
        <f>AC400/'Batt IN'!$E$27/730</f>
        <v>4.7945205479452057E-3</v>
      </c>
      <c r="N400" s="23">
        <f>AD400/'Batt IN'!$E$27/730</f>
        <v>3.4246575342465752E-3</v>
      </c>
      <c r="O400" s="12">
        <f t="shared" si="102"/>
        <v>4.3828767123287697E-2</v>
      </c>
      <c r="P400" s="21">
        <f t="shared" si="103"/>
        <v>789.79743835616443</v>
      </c>
      <c r="Q400" s="2">
        <f>IF('Batt IN'!$E$27*'Batt IN'!$E$24&lt;='Batt IN'!$E$28,(('Batt IN'!$E$23*'Batt IN'!$E$27*'Batt IN'!$E$24)/1000)*P400,(('Batt IN'!$E$23*'Batt IN'!$E$28*'Batt IN'!$E$24)/1000)*P400)</f>
        <v>12636.759013698631</v>
      </c>
      <c r="R400" s="2"/>
      <c r="S400" s="77">
        <f>IF(C400&lt;='Batt IN'!$G$14*12,'Batt IN'!$E$15/12,0)</f>
        <v>0</v>
      </c>
      <c r="T400" s="77"/>
      <c r="U400" s="80">
        <f>'Batt IN'!$E$28*('Batt IN'!$G$24/24)*730*(1-O400)</f>
        <v>81433.916666666657</v>
      </c>
      <c r="V400" s="78">
        <f>U400*'Batt IN'!$F$30</f>
        <v>16286.783333333333</v>
      </c>
      <c r="W400" s="78">
        <f>'Batt IN'!$E$28*'Batt IN'!$G$32*('Batt IN'!$E$32/12)*(1+'Batt IN'!$F$30)</f>
        <v>1750.0000000000002</v>
      </c>
      <c r="X400" s="78">
        <f>'Batt IN'!$E$28*'Batt IN'!$G$13*('Batt IN'!$E$13/12)*(1+'Batt IN'!$F$30)</f>
        <v>3184.9999999999995</v>
      </c>
      <c r="Y400" s="33">
        <f>S400*'Batt IN'!$G$15*'Batt IN'!$E$28*(1+'Batt IN'!$F$30)</f>
        <v>0</v>
      </c>
      <c r="Z400" s="33">
        <f>'Batt IN'!$G$16*365/12*(1+'Batt IN'!$F$30)</f>
        <v>1824.9999999999998</v>
      </c>
      <c r="AA400" s="33">
        <f>'Batt IN'!$G$17*'Batt IN'!$E$18*'Batt IN'!$G$18/12*(1+'Batt IN'!$F$30)</f>
        <v>1170</v>
      </c>
      <c r="AB400" s="33">
        <f>'Batt IN'!$G$19*'Batt IN'!$E$20*'Batt IN'!$G$20/12*(1+'Batt IN'!$F$30)</f>
        <v>150</v>
      </c>
      <c r="AC400" s="33">
        <f>'Batt IN'!$G$21*(1+'Batt IN'!$F$30)/12</f>
        <v>3500</v>
      </c>
      <c r="AD400" s="33">
        <f>'Batt IN'!$G$22*(1+'Batt IN'!$F$30)/12</f>
        <v>2500</v>
      </c>
      <c r="AE400" s="33">
        <f t="shared" si="104"/>
        <v>30366.783333333333</v>
      </c>
      <c r="AF400" s="33">
        <f>IF('PV IN'!$F$4="Battery Only",0,AE400*'Batt IN'!$E$29)</f>
        <v>25811.765833333331</v>
      </c>
      <c r="AG400" s="33">
        <f>PVCalcs!L400</f>
        <v>25811.765833333331</v>
      </c>
      <c r="AH400" s="33">
        <f t="shared" si="105"/>
        <v>4555.0175000000017</v>
      </c>
      <c r="AI400" s="33"/>
      <c r="AJ400" s="2">
        <f>IF(AND('Batt IN'!$D$53="Yes",$AL$1&gt;=1),IF($C400='Batt IN'!$H$54*12,-'Batt IN'!$F$54,0),0)</f>
        <v>0</v>
      </c>
      <c r="AK400" s="2">
        <f>IF(AND('Batt IN'!$D$53="Yes",$AL$1&gt;=2),IF($C400='Batt IN'!$H$55*12,-'Batt IN'!$F$55,0),0)</f>
        <v>0</v>
      </c>
      <c r="AL400" s="2">
        <f>IF(AND('Batt IN'!$D$53="Yes",$AL$1&gt;=3),IF($C400='Batt IN'!$H$56*12,-'Batt IN'!$F$56,0),0)</f>
        <v>0</v>
      </c>
      <c r="AM400" s="2">
        <f>IF(AND('Batt IN'!$D$53="Yes",$AL$1&gt;=4),IF($C400='Batt IN'!$H$57*12,-'Batt IN'!$F$57,0),0)</f>
        <v>0</v>
      </c>
      <c r="AN400" s="2">
        <f>IF(AND('Batt IN'!$D$53="Yes",$AL$1&gt;=5),IF($C400='Batt IN'!$H$58*12,-'Batt IN'!$F$58,0),0)</f>
        <v>0</v>
      </c>
      <c r="AO400" s="10">
        <f>IF(AND('Batt IN'!$D$44="YES",$C400&lt;='Batt IN'!$E$44*12),-'Batt IN'!$E$28*'Batt IN'!$E$42/12,0)</f>
        <v>0</v>
      </c>
      <c r="AP400" s="10">
        <f>IF(AND('Batt IN'!$D$46="YES",$C400&lt;='Batt IN'!$E$46*12),-'Batt IN'!$E$28*'Batt IN'!$E$45/12,0)</f>
        <v>0</v>
      </c>
      <c r="AR400" s="10">
        <f>BattLoan!M427</f>
        <v>0</v>
      </c>
      <c r="AS400" s="10">
        <f>'Batt IN'!$G$16*365/12*'Batt IN'!$E$16</f>
        <v>76.041666666666671</v>
      </c>
      <c r="AT400" s="10">
        <f>IF(AND('Batt IN'!$E$18&gt;0,'Batt IN'!$G$18&gt;0),'Batt IN'!$E$17*'Batt IN'!$G$17,0)</f>
        <v>119.44619999999999</v>
      </c>
      <c r="AU400" s="10">
        <f>IF(AND('Batt IN'!$E$20&gt;0,'Batt IN'!$G$20&gt;0),'Batt IN'!$E$19*'Batt IN'!$G$19,0)</f>
        <v>231</v>
      </c>
      <c r="AV400" s="10"/>
      <c r="AW400" s="10"/>
      <c r="AX400" s="10">
        <f>IF('Batt IN'!$E$11="Non-Taxable",Q400,0)</f>
        <v>12636.759013698631</v>
      </c>
      <c r="AY400" s="10">
        <f>IF('Batt IN'!$E$11="Non-Taxable",'Batt IN'!$E$28/1000*'Batt IN'!$G$13*('Batt IN'!$E$13/12)*'Batt IN'!$E$12,0)</f>
        <v>244.42220833333334</v>
      </c>
      <c r="AZ400" s="10">
        <f>IF('Batt IN'!$E$11="Non-Taxable",$S400*'Batt IN'!$G$15*'Batt IN'!$E$28*'Batt IN'!$E$14/1000,0)</f>
        <v>0</v>
      </c>
      <c r="BA400" s="10">
        <f>IF('Batt IN'!$E$11="Non-Taxable",'Batt IN'!$E$21*'Batt IN'!$G$21/12,0)</f>
        <v>437.5</v>
      </c>
      <c r="BB400" s="10">
        <f>IF('Batt IN'!$E$11="Non-Taxable",'Batt IN'!$E$22*'Batt IN'!$G$22/12,0)</f>
        <v>1145.8333333333335</v>
      </c>
      <c r="BC400" s="10">
        <f>IF('Batt IN'!$E$11="Taxable",Q400,0)</f>
        <v>0</v>
      </c>
      <c r="BD400" s="10">
        <f>IF('Batt IN'!$E$11="Taxable",'Batt IN'!$E$28/1000*'Batt IN'!$G$13*('Batt IN'!$E$13/12)*'Batt IN'!$E$12,0)</f>
        <v>0</v>
      </c>
      <c r="BE400" s="10">
        <f>IF('Batt IN'!$E$11="Taxable",$S400*'Batt IN'!$G$15*'Batt IN'!$E$28*'Batt IN'!$E$14/1000,0)</f>
        <v>0</v>
      </c>
      <c r="BF400" s="10">
        <f>IF('Batt IN'!$E$11="Taxable",'Batt IN'!$E$21*'Batt IN'!$G$21/12,0)</f>
        <v>0</v>
      </c>
      <c r="BG400" s="10">
        <f>IF('Batt IN'!$E$11="Taxable",'Batt IN'!$E$22*'Batt IN'!$G$22/12,0)</f>
        <v>0</v>
      </c>
      <c r="BK400" s="10">
        <f>IF('Batt IN'!$N$18="Yes",-BattLoan!H428,-BattLoan!L428)</f>
        <v>0</v>
      </c>
      <c r="BL400" s="10">
        <f>IF('Batt IN'!$N$18="Yes",-BattLoan!F428,0)</f>
        <v>0</v>
      </c>
      <c r="BM400" s="10">
        <f>IF(AND('Batt IN'!$D$44="YES",$C400&lt;='Batt IN'!$E$44*12),0,-'Batt IN'!$E$28*'Batt IN'!$E$42/12)</f>
        <v>-83.333333333333329</v>
      </c>
      <c r="BN400" s="10">
        <f>IF(AND('Batt IN'!$D$46="YES",$C400&lt;='Batt IN'!$E$46*12),0,-'Batt IN'!$E$28*'Batt IN'!$E$45/12)</f>
        <v>-166.66666666666666</v>
      </c>
      <c r="BO400" s="2">
        <f>IF(AND('Batt IN'!$D$41="YES",BattCalcs!C400=ROUNDUP('Batt IN'!$H$41*12,)),-'Batt IN'!$E$41*'Batt IN'!$E$28,0)</f>
        <v>0</v>
      </c>
      <c r="BP400" s="2">
        <f>IF(AND('Batt IN'!$D$53="Yes",$AL$1&gt;=1),0,IF($C400='Batt IN'!$H$54*12,-'Batt IN'!$F$54,0))</f>
        <v>0</v>
      </c>
      <c r="BQ400" s="2">
        <f>IF(AND('Batt IN'!$D$53="Yes",$AL$1&gt;=2),0,IF($C400='Batt IN'!$H$55*12,-'Batt IN'!$F$55,0))</f>
        <v>0</v>
      </c>
      <c r="BR400" s="2">
        <f>IF(AND('Batt IN'!$D$53="Yes",$AL$1&gt;=3),0,IF($C400='Batt IN'!$H$56*12,-'Batt IN'!$F$56,0))</f>
        <v>0</v>
      </c>
      <c r="BS400" s="2">
        <f>IF(AND('Batt IN'!$D$53="Yes",$AL$1&gt;=4),0,IF($C400='Batt IN'!$H$57*12,-'Batt IN'!$F$57,0))</f>
        <v>0</v>
      </c>
      <c r="BT400" s="2">
        <f>IF(AND('Batt IN'!$D$53="Yes",$AL$1&gt;=5),0,IF($C400='Batt IN'!$H$58*12,-'Batt IN'!$F$58,0))</f>
        <v>0</v>
      </c>
      <c r="BU400" s="2">
        <f>-AH400*PVCalcs!F400</f>
        <v>-359.37504381576838</v>
      </c>
      <c r="BV400" s="2">
        <f>-'Batt IN'!$E$47</f>
        <v>-150</v>
      </c>
      <c r="BW400" s="2">
        <f>-'Batt IN'!$E$49</f>
        <v>-2250</v>
      </c>
      <c r="BX400" s="2">
        <f>IF('Batt IN'!$H$50="No",-(BC400*'Batt IN'!$E$50),-(BC400+BE400)*'Batt IN'!$E$50)</f>
        <v>0</v>
      </c>
      <c r="BY400" s="2">
        <f>IF(C400='Batt IN'!$H$43*12,-'Batt IN'!$E$43,0)</f>
        <v>0</v>
      </c>
      <c r="BZ400" s="38"/>
      <c r="CA400" s="10">
        <f t="shared" si="106"/>
        <v>14891.002422031965</v>
      </c>
      <c r="CB400" s="2">
        <f t="shared" si="111"/>
        <v>-3009.3750438157685</v>
      </c>
      <c r="CC400" s="45">
        <f t="shared" si="107"/>
        <v>11881.627378216195</v>
      </c>
      <c r="CD400" s="43"/>
      <c r="CE400" s="2">
        <f t="shared" si="108"/>
        <v>0</v>
      </c>
      <c r="CF400" s="2">
        <f t="shared" si="112"/>
        <v>-3009.3750438157685</v>
      </c>
      <c r="CG400" s="2"/>
      <c r="CH400" s="2">
        <f t="shared" si="109"/>
        <v>-3009.3750438157685</v>
      </c>
      <c r="CI400" s="45">
        <f>-CH400*'Batt IN'!$E$7</f>
        <v>631.9687592013114</v>
      </c>
      <c r="CJ400" s="48"/>
      <c r="CK400" s="45">
        <f>IF('Batt IN'!$F$4="PV Only",0,IF(C400&gt;'Batt IN'!$H$43*12,0,CC400+CI400))</f>
        <v>0</v>
      </c>
      <c r="CM400" s="10">
        <f t="shared" si="110"/>
        <v>0</v>
      </c>
      <c r="CN400" s="2">
        <f>CK400/(1+('Batt IN'!$G$8))^(C400)</f>
        <v>0</v>
      </c>
      <c r="CO400" s="2" t="e">
        <f>IF(C400&lt;='Batt IN'!$O$30*12,CN400+CO399,NA())</f>
        <v>#N/A</v>
      </c>
      <c r="CQ400" s="2">
        <f>CK400/((1+('Batt IN'!$E$8/12))^BattCalcs!C400)</f>
        <v>0</v>
      </c>
      <c r="CS400" s="10">
        <f t="shared" si="113"/>
        <v>-3009.3750438157685</v>
      </c>
      <c r="CT400" s="10">
        <f t="shared" si="114"/>
        <v>0</v>
      </c>
      <c r="CU400" s="10">
        <f t="shared" si="115"/>
        <v>-3009.3750438157685</v>
      </c>
      <c r="CV400" s="10">
        <f t="shared" si="116"/>
        <v>-3009.3750438157685</v>
      </c>
      <c r="CW400" s="2">
        <f t="shared" si="117"/>
        <v>0</v>
      </c>
      <c r="CX400" s="2">
        <f>-(SUM(CV400:CW400)*'PV IN'!$E$8)</f>
        <v>631.9687592013114</v>
      </c>
      <c r="CY400" s="2">
        <f t="shared" si="118"/>
        <v>-2377.406284614457</v>
      </c>
      <c r="CZ400" s="2">
        <f>IF(C400&lt;='Batt IN'!$H$43*12,CY400/(1+('PV IN'!$G$9))^(C400),0)</f>
        <v>0</v>
      </c>
      <c r="DA400" s="33">
        <f>IF(C400&lt;='Batt IN'!$H$43*12,AE400,0)</f>
        <v>0</v>
      </c>
    </row>
    <row r="401" spans="1:105" x14ac:dyDescent="0.25">
      <c r="A401" t="str">
        <f>IF(C401&lt;='Batt IN'!$H$43*12,C401,"")</f>
        <v/>
      </c>
      <c r="C401">
        <v>397</v>
      </c>
      <c r="D401" s="21">
        <v>827</v>
      </c>
      <c r="E401" s="1">
        <f>1-'Batt IN'!$E$31</f>
        <v>2.0000000000000018E-2</v>
      </c>
      <c r="F401" s="12">
        <f>('Batt IN'!$E$33*365)/8760</f>
        <v>0</v>
      </c>
      <c r="G401" s="22">
        <f>'Batt IN'!$E$32/8760</f>
        <v>5.7077625570776253E-3</v>
      </c>
      <c r="H401" s="22">
        <f>'Batt IN'!$E$13/8760</f>
        <v>5.5936073059360729E-3</v>
      </c>
      <c r="I401" s="23">
        <f>IF(C401&lt;='Batt IN'!$G$14*12,'Batt IN'!$E$15/8760*'Batt IN'!$G$15,0)</f>
        <v>0</v>
      </c>
      <c r="J401" s="12">
        <f>Z401/'Batt IN'!$E$27/730</f>
        <v>2.4999999999999996E-3</v>
      </c>
      <c r="K401" s="23">
        <f>AA401/'Batt IN'!$E$27/730</f>
        <v>1.6027397260273972E-3</v>
      </c>
      <c r="L401" s="23">
        <f>AB401/'Batt IN'!$E$27/730</f>
        <v>2.0547945205479451E-4</v>
      </c>
      <c r="M401" s="23">
        <f>AC401/'Batt IN'!$E$27/730</f>
        <v>4.7945205479452057E-3</v>
      </c>
      <c r="N401" s="23">
        <f>AD401/'Batt IN'!$E$27/730</f>
        <v>3.4246575342465752E-3</v>
      </c>
      <c r="O401" s="12">
        <f t="shared" si="102"/>
        <v>4.3828767123287697E-2</v>
      </c>
      <c r="P401" s="21">
        <f t="shared" si="103"/>
        <v>790.75360958904116</v>
      </c>
      <c r="Q401" s="2">
        <f>IF('Batt IN'!$E$27*'Batt IN'!$E$24&lt;='Batt IN'!$E$28,(('Batt IN'!$E$23*'Batt IN'!$E$27*'Batt IN'!$E$24)/1000)*P401,(('Batt IN'!$E$23*'Batt IN'!$E$28*'Batt IN'!$E$24)/1000)*P401)</f>
        <v>12652.057753424659</v>
      </c>
      <c r="R401" s="2"/>
      <c r="S401" s="77">
        <f>IF(C401&lt;='Batt IN'!$G$14*12,'Batt IN'!$E$15/12,0)</f>
        <v>0</v>
      </c>
      <c r="T401" s="77"/>
      <c r="U401" s="80">
        <f>'Batt IN'!$E$28*('Batt IN'!$G$24/24)*730*(1-O401)</f>
        <v>81433.916666666657</v>
      </c>
      <c r="V401" s="78">
        <f>U401*'Batt IN'!$F$30</f>
        <v>16286.783333333333</v>
      </c>
      <c r="W401" s="78">
        <f>'Batt IN'!$E$28*'Batt IN'!$G$32*('Batt IN'!$E$32/12)*(1+'Batt IN'!$F$30)</f>
        <v>1750.0000000000002</v>
      </c>
      <c r="X401" s="78">
        <f>'Batt IN'!$E$28*'Batt IN'!$G$13*('Batt IN'!$E$13/12)*(1+'Batt IN'!$F$30)</f>
        <v>3184.9999999999995</v>
      </c>
      <c r="Y401" s="33">
        <f>S401*'Batt IN'!$G$15*'Batt IN'!$E$28*(1+'Batt IN'!$F$30)</f>
        <v>0</v>
      </c>
      <c r="Z401" s="33">
        <f>'Batt IN'!$G$16*365/12*(1+'Batt IN'!$F$30)</f>
        <v>1824.9999999999998</v>
      </c>
      <c r="AA401" s="33">
        <f>'Batt IN'!$G$17*'Batt IN'!$E$18*'Batt IN'!$G$18/12*(1+'Batt IN'!$F$30)</f>
        <v>1170</v>
      </c>
      <c r="AB401" s="33">
        <f>'Batt IN'!$G$19*'Batt IN'!$E$20*'Batt IN'!$G$20/12*(1+'Batt IN'!$F$30)</f>
        <v>150</v>
      </c>
      <c r="AC401" s="33">
        <f>'Batt IN'!$G$21*(1+'Batt IN'!$F$30)/12</f>
        <v>3500</v>
      </c>
      <c r="AD401" s="33">
        <f>'Batt IN'!$G$22*(1+'Batt IN'!$F$30)/12</f>
        <v>2500</v>
      </c>
      <c r="AE401" s="33">
        <f t="shared" si="104"/>
        <v>30366.783333333333</v>
      </c>
      <c r="AF401" s="33">
        <f>IF('PV IN'!$F$4="Battery Only",0,AE401*'Batt IN'!$E$29)</f>
        <v>25811.765833333331</v>
      </c>
      <c r="AG401" s="33">
        <f>PVCalcs!L401</f>
        <v>25811.765833333331</v>
      </c>
      <c r="AH401" s="33">
        <f t="shared" si="105"/>
        <v>4555.0175000000017</v>
      </c>
      <c r="AI401" s="33"/>
      <c r="AJ401" s="2">
        <f>IF(AND('Batt IN'!$D$53="Yes",$AL$1&gt;=1),IF($C401='Batt IN'!$H$54*12,-'Batt IN'!$F$54,0),0)</f>
        <v>0</v>
      </c>
      <c r="AK401" s="2">
        <f>IF(AND('Batt IN'!$D$53="Yes",$AL$1&gt;=2),IF($C401='Batt IN'!$H$55*12,-'Batt IN'!$F$55,0),0)</f>
        <v>0</v>
      </c>
      <c r="AL401" s="2">
        <f>IF(AND('Batt IN'!$D$53="Yes",$AL$1&gt;=3),IF($C401='Batt IN'!$H$56*12,-'Batt IN'!$F$56,0),0)</f>
        <v>0</v>
      </c>
      <c r="AM401" s="2">
        <f>IF(AND('Batt IN'!$D$53="Yes",$AL$1&gt;=4),IF($C401='Batt IN'!$H$57*12,-'Batt IN'!$F$57,0),0)</f>
        <v>0</v>
      </c>
      <c r="AN401" s="2">
        <f>IF(AND('Batt IN'!$D$53="Yes",$AL$1&gt;=5),IF($C401='Batt IN'!$H$58*12,-'Batt IN'!$F$58,0),0)</f>
        <v>0</v>
      </c>
      <c r="AO401" s="10">
        <f>IF(AND('Batt IN'!$D$44="YES",$C401&lt;='Batt IN'!$E$44*12),-'Batt IN'!$E$28*'Batt IN'!$E$42/12,0)</f>
        <v>0</v>
      </c>
      <c r="AP401" s="10">
        <f>IF(AND('Batt IN'!$D$46="YES",$C401&lt;='Batt IN'!$E$46*12),-'Batt IN'!$E$28*'Batt IN'!$E$45/12,0)</f>
        <v>0</v>
      </c>
      <c r="AR401" s="10">
        <f>BattLoan!M428</f>
        <v>0</v>
      </c>
      <c r="AS401" s="10">
        <f>'Batt IN'!$G$16*365/12*'Batt IN'!$E$16</f>
        <v>76.041666666666671</v>
      </c>
      <c r="AT401" s="10">
        <f>IF(AND('Batt IN'!$E$18&gt;0,'Batt IN'!$G$18&gt;0),'Batt IN'!$E$17*'Batt IN'!$G$17,0)</f>
        <v>119.44619999999999</v>
      </c>
      <c r="AU401" s="10">
        <f>IF(AND('Batt IN'!$E$20&gt;0,'Batt IN'!$G$20&gt;0),'Batt IN'!$E$19*'Batt IN'!$G$19,0)</f>
        <v>231</v>
      </c>
      <c r="AV401" s="10"/>
      <c r="AW401" s="10"/>
      <c r="AX401" s="10">
        <f>IF('Batt IN'!$E$11="Non-Taxable",Q401,0)</f>
        <v>12652.057753424659</v>
      </c>
      <c r="AY401" s="10">
        <f>IF('Batt IN'!$E$11="Non-Taxable",'Batt IN'!$E$28/1000*'Batt IN'!$G$13*('Batt IN'!$E$13/12)*'Batt IN'!$E$12,0)</f>
        <v>244.42220833333334</v>
      </c>
      <c r="AZ401" s="10">
        <f>IF('Batt IN'!$E$11="Non-Taxable",$S401*'Batt IN'!$G$15*'Batt IN'!$E$28*'Batt IN'!$E$14/1000,0)</f>
        <v>0</v>
      </c>
      <c r="BA401" s="10">
        <f>IF('Batt IN'!$E$11="Non-Taxable",'Batt IN'!$E$21*'Batt IN'!$G$21/12,0)</f>
        <v>437.5</v>
      </c>
      <c r="BB401" s="10">
        <f>IF('Batt IN'!$E$11="Non-Taxable",'Batt IN'!$E$22*'Batt IN'!$G$22/12,0)</f>
        <v>1145.8333333333335</v>
      </c>
      <c r="BC401" s="10">
        <f>IF('Batt IN'!$E$11="Taxable",Q401,0)</f>
        <v>0</v>
      </c>
      <c r="BD401" s="10">
        <f>IF('Batt IN'!$E$11="Taxable",'Batt IN'!$E$28/1000*'Batt IN'!$G$13*('Batt IN'!$E$13/12)*'Batt IN'!$E$12,0)</f>
        <v>0</v>
      </c>
      <c r="BE401" s="10">
        <f>IF('Batt IN'!$E$11="Taxable",$S401*'Batt IN'!$G$15*'Batt IN'!$E$28*'Batt IN'!$E$14/1000,0)</f>
        <v>0</v>
      </c>
      <c r="BF401" s="10">
        <f>IF('Batt IN'!$E$11="Taxable",'Batt IN'!$E$21*'Batt IN'!$G$21/12,0)</f>
        <v>0</v>
      </c>
      <c r="BG401" s="10">
        <f>IF('Batt IN'!$E$11="Taxable",'Batt IN'!$E$22*'Batt IN'!$G$22/12,0)</f>
        <v>0</v>
      </c>
      <c r="BK401" s="10">
        <f>IF('Batt IN'!$N$18="Yes",-BattLoan!H429,-BattLoan!L429)</f>
        <v>0</v>
      </c>
      <c r="BL401" s="10">
        <f>IF('Batt IN'!$N$18="Yes",-BattLoan!F429,0)</f>
        <v>0</v>
      </c>
      <c r="BM401" s="10">
        <f>IF(AND('Batt IN'!$D$44="YES",$C401&lt;='Batt IN'!$E$44*12),0,-'Batt IN'!$E$28*'Batt IN'!$E$42/12)</f>
        <v>-83.333333333333329</v>
      </c>
      <c r="BN401" s="10">
        <f>IF(AND('Batt IN'!$D$46="YES",$C401&lt;='Batt IN'!$E$46*12),0,-'Batt IN'!$E$28*'Batt IN'!$E$45/12)</f>
        <v>-166.66666666666666</v>
      </c>
      <c r="BO401" s="2">
        <f>IF(AND('Batt IN'!$D$41="YES",BattCalcs!C401=ROUNDUP('Batt IN'!$H$41*12,)),-'Batt IN'!$E$41*'Batt IN'!$E$28,0)</f>
        <v>0</v>
      </c>
      <c r="BP401" s="2">
        <f>IF(AND('Batt IN'!$D$53="Yes",$AL$1&gt;=1),0,IF($C401='Batt IN'!$H$54*12,-'Batt IN'!$F$54,0))</f>
        <v>0</v>
      </c>
      <c r="BQ401" s="2">
        <f>IF(AND('Batt IN'!$D$53="Yes",$AL$1&gt;=2),0,IF($C401='Batt IN'!$H$55*12,-'Batt IN'!$F$55,0))</f>
        <v>0</v>
      </c>
      <c r="BR401" s="2">
        <f>IF(AND('Batt IN'!$D$53="Yes",$AL$1&gt;=3),0,IF($C401='Batt IN'!$H$56*12,-'Batt IN'!$F$56,0))</f>
        <v>0</v>
      </c>
      <c r="BS401" s="2">
        <f>IF(AND('Batt IN'!$D$53="Yes",$AL$1&gt;=4),0,IF($C401='Batt IN'!$H$57*12,-'Batt IN'!$F$57,0))</f>
        <v>0</v>
      </c>
      <c r="BT401" s="2">
        <f>IF(AND('Batt IN'!$D$53="Yes",$AL$1&gt;=5),0,IF($C401='Batt IN'!$H$58*12,-'Batt IN'!$F$58,0))</f>
        <v>0</v>
      </c>
      <c r="BU401" s="2">
        <f>-AH401*PVCalcs!F401</f>
        <v>-359.37504381576838</v>
      </c>
      <c r="BV401" s="2">
        <f>-'Batt IN'!$E$47</f>
        <v>-150</v>
      </c>
      <c r="BW401" s="2">
        <f>-'Batt IN'!$E$49</f>
        <v>-2250</v>
      </c>
      <c r="BX401" s="2">
        <f>IF('Batt IN'!$H$50="No",-(BC401*'Batt IN'!$E$50),-(BC401+BE401)*'Batt IN'!$E$50)</f>
        <v>0</v>
      </c>
      <c r="BY401" s="2">
        <f>IF(C401='Batt IN'!$H$43*12,-'Batt IN'!$E$43,0)</f>
        <v>0</v>
      </c>
      <c r="BZ401" s="38"/>
      <c r="CA401" s="10">
        <f t="shared" si="106"/>
        <v>14906.301161757992</v>
      </c>
      <c r="CB401" s="2">
        <f t="shared" si="111"/>
        <v>-3009.3750438157685</v>
      </c>
      <c r="CC401" s="45">
        <f t="shared" si="107"/>
        <v>11896.926117942225</v>
      </c>
      <c r="CD401" s="43"/>
      <c r="CE401" s="2">
        <f t="shared" si="108"/>
        <v>0</v>
      </c>
      <c r="CF401" s="2">
        <f t="shared" si="112"/>
        <v>-3009.3750438157685</v>
      </c>
      <c r="CG401" s="2"/>
      <c r="CH401" s="2">
        <f t="shared" si="109"/>
        <v>-3009.3750438157685</v>
      </c>
      <c r="CI401" s="45">
        <f>-CH401*'Batt IN'!$E$7</f>
        <v>631.9687592013114</v>
      </c>
      <c r="CJ401" s="48"/>
      <c r="CK401" s="45">
        <f>IF('Batt IN'!$F$4="PV Only",0,IF(C401&gt;'Batt IN'!$H$43*12,0,CC401+CI401))</f>
        <v>0</v>
      </c>
      <c r="CM401" s="10">
        <f t="shared" si="110"/>
        <v>0</v>
      </c>
      <c r="CN401" s="2">
        <f>CK401/(1+('Batt IN'!$G$8))^(C401)</f>
        <v>0</v>
      </c>
      <c r="CO401" s="2" t="e">
        <f>IF(C401&lt;='Batt IN'!$O$30*12,CN401+CO400,NA())</f>
        <v>#N/A</v>
      </c>
      <c r="CQ401" s="2">
        <f>CK401/((1+('Batt IN'!$E$8/12))^BattCalcs!C401)</f>
        <v>0</v>
      </c>
      <c r="CS401" s="10">
        <f t="shared" si="113"/>
        <v>-3009.3750438157685</v>
      </c>
      <c r="CT401" s="10">
        <f t="shared" si="114"/>
        <v>0</v>
      </c>
      <c r="CU401" s="10">
        <f t="shared" si="115"/>
        <v>-3009.3750438157685</v>
      </c>
      <c r="CV401" s="10">
        <f t="shared" si="116"/>
        <v>-3009.3750438157685</v>
      </c>
      <c r="CW401" s="2">
        <f t="shared" si="117"/>
        <v>0</v>
      </c>
      <c r="CX401" s="2">
        <f>-(SUM(CV401:CW401)*'PV IN'!$E$8)</f>
        <v>631.9687592013114</v>
      </c>
      <c r="CY401" s="2">
        <f t="shared" si="118"/>
        <v>-2377.406284614457</v>
      </c>
      <c r="CZ401" s="2">
        <f>IF(C401&lt;='Batt IN'!$H$43*12,CY401/(1+('PV IN'!$G$9))^(C401),0)</f>
        <v>0</v>
      </c>
      <c r="DA401" s="33">
        <f>IF(C401&lt;='Batt IN'!$H$43*12,AE401,0)</f>
        <v>0</v>
      </c>
    </row>
    <row r="402" spans="1:105" x14ac:dyDescent="0.25">
      <c r="A402" t="str">
        <f>IF(C402&lt;='Batt IN'!$H$43*12,C402,"")</f>
        <v/>
      </c>
      <c r="C402">
        <v>398</v>
      </c>
      <c r="D402" s="21">
        <v>828</v>
      </c>
      <c r="E402" s="1">
        <f>1-'Batt IN'!$E$31</f>
        <v>2.0000000000000018E-2</v>
      </c>
      <c r="F402" s="12">
        <f>('Batt IN'!$E$33*365)/8760</f>
        <v>0</v>
      </c>
      <c r="G402" s="22">
        <f>'Batt IN'!$E$32/8760</f>
        <v>5.7077625570776253E-3</v>
      </c>
      <c r="H402" s="22">
        <f>'Batt IN'!$E$13/8760</f>
        <v>5.5936073059360729E-3</v>
      </c>
      <c r="I402" s="23">
        <f>IF(C402&lt;='Batt IN'!$G$14*12,'Batt IN'!$E$15/8760*'Batt IN'!$G$15,0)</f>
        <v>0</v>
      </c>
      <c r="J402" s="12">
        <f>Z402/'Batt IN'!$E$27/730</f>
        <v>2.4999999999999996E-3</v>
      </c>
      <c r="K402" s="23">
        <f>AA402/'Batt IN'!$E$27/730</f>
        <v>1.6027397260273972E-3</v>
      </c>
      <c r="L402" s="23">
        <f>AB402/'Batt IN'!$E$27/730</f>
        <v>2.0547945205479451E-4</v>
      </c>
      <c r="M402" s="23">
        <f>AC402/'Batt IN'!$E$27/730</f>
        <v>4.7945205479452057E-3</v>
      </c>
      <c r="N402" s="23">
        <f>AD402/'Batt IN'!$E$27/730</f>
        <v>3.4246575342465752E-3</v>
      </c>
      <c r="O402" s="12">
        <f t="shared" si="102"/>
        <v>4.3828767123287697E-2</v>
      </c>
      <c r="P402" s="21">
        <f t="shared" si="103"/>
        <v>791.70978082191778</v>
      </c>
      <c r="Q402" s="2">
        <f>IF('Batt IN'!$E$27*'Batt IN'!$E$24&lt;='Batt IN'!$E$28,(('Batt IN'!$E$23*'Batt IN'!$E$27*'Batt IN'!$E$24)/1000)*P402,(('Batt IN'!$E$23*'Batt IN'!$E$28*'Batt IN'!$E$24)/1000)*P402)</f>
        <v>12667.356493150684</v>
      </c>
      <c r="R402" s="2"/>
      <c r="S402" s="77">
        <f>IF(C402&lt;='Batt IN'!$G$14*12,'Batt IN'!$E$15/12,0)</f>
        <v>0</v>
      </c>
      <c r="T402" s="77"/>
      <c r="U402" s="80">
        <f>'Batt IN'!$E$28*('Batt IN'!$G$24/24)*730*(1-O402)</f>
        <v>81433.916666666657</v>
      </c>
      <c r="V402" s="78">
        <f>U402*'Batt IN'!$F$30</f>
        <v>16286.783333333333</v>
      </c>
      <c r="W402" s="78">
        <f>'Batt IN'!$E$28*'Batt IN'!$G$32*('Batt IN'!$E$32/12)*(1+'Batt IN'!$F$30)</f>
        <v>1750.0000000000002</v>
      </c>
      <c r="X402" s="78">
        <f>'Batt IN'!$E$28*'Batt IN'!$G$13*('Batt IN'!$E$13/12)*(1+'Batt IN'!$F$30)</f>
        <v>3184.9999999999995</v>
      </c>
      <c r="Y402" s="33">
        <f>S402*'Batt IN'!$G$15*'Batt IN'!$E$28*(1+'Batt IN'!$F$30)</f>
        <v>0</v>
      </c>
      <c r="Z402" s="33">
        <f>'Batt IN'!$G$16*365/12*(1+'Batt IN'!$F$30)</f>
        <v>1824.9999999999998</v>
      </c>
      <c r="AA402" s="33">
        <f>'Batt IN'!$G$17*'Batt IN'!$E$18*'Batt IN'!$G$18/12*(1+'Batt IN'!$F$30)</f>
        <v>1170</v>
      </c>
      <c r="AB402" s="33">
        <f>'Batt IN'!$G$19*'Batt IN'!$E$20*'Batt IN'!$G$20/12*(1+'Batt IN'!$F$30)</f>
        <v>150</v>
      </c>
      <c r="AC402" s="33">
        <f>'Batt IN'!$G$21*(1+'Batt IN'!$F$30)/12</f>
        <v>3500</v>
      </c>
      <c r="AD402" s="33">
        <f>'Batt IN'!$G$22*(1+'Batt IN'!$F$30)/12</f>
        <v>2500</v>
      </c>
      <c r="AE402" s="33">
        <f t="shared" si="104"/>
        <v>30366.783333333333</v>
      </c>
      <c r="AF402" s="33">
        <f>IF('PV IN'!$F$4="Battery Only",0,AE402*'Batt IN'!$E$29)</f>
        <v>25811.765833333331</v>
      </c>
      <c r="AG402" s="33">
        <f>PVCalcs!L402</f>
        <v>25811.765833333331</v>
      </c>
      <c r="AH402" s="33">
        <f t="shared" si="105"/>
        <v>4555.0175000000017</v>
      </c>
      <c r="AI402" s="33"/>
      <c r="AJ402" s="2">
        <f>IF(AND('Batt IN'!$D$53="Yes",$AL$1&gt;=1),IF($C402='Batt IN'!$H$54*12,-'Batt IN'!$F$54,0),0)</f>
        <v>0</v>
      </c>
      <c r="AK402" s="2">
        <f>IF(AND('Batt IN'!$D$53="Yes",$AL$1&gt;=2),IF($C402='Batt IN'!$H$55*12,-'Batt IN'!$F$55,0),0)</f>
        <v>0</v>
      </c>
      <c r="AL402" s="2">
        <f>IF(AND('Batt IN'!$D$53="Yes",$AL$1&gt;=3),IF($C402='Batt IN'!$H$56*12,-'Batt IN'!$F$56,0),0)</f>
        <v>0</v>
      </c>
      <c r="AM402" s="2">
        <f>IF(AND('Batt IN'!$D$53="Yes",$AL$1&gt;=4),IF($C402='Batt IN'!$H$57*12,-'Batt IN'!$F$57,0),0)</f>
        <v>0</v>
      </c>
      <c r="AN402" s="2">
        <f>IF(AND('Batt IN'!$D$53="Yes",$AL$1&gt;=5),IF($C402='Batt IN'!$H$58*12,-'Batt IN'!$F$58,0),0)</f>
        <v>0</v>
      </c>
      <c r="AO402" s="10">
        <f>IF(AND('Batt IN'!$D$44="YES",$C402&lt;='Batt IN'!$E$44*12),-'Batt IN'!$E$28*'Batt IN'!$E$42/12,0)</f>
        <v>0</v>
      </c>
      <c r="AP402" s="10">
        <f>IF(AND('Batt IN'!$D$46="YES",$C402&lt;='Batt IN'!$E$46*12),-'Batt IN'!$E$28*'Batt IN'!$E$45/12,0)</f>
        <v>0</v>
      </c>
      <c r="AR402" s="10">
        <f>BattLoan!M429</f>
        <v>0</v>
      </c>
      <c r="AS402" s="10">
        <f>'Batt IN'!$G$16*365/12*'Batt IN'!$E$16</f>
        <v>76.041666666666671</v>
      </c>
      <c r="AT402" s="10">
        <f>IF(AND('Batt IN'!$E$18&gt;0,'Batt IN'!$G$18&gt;0),'Batt IN'!$E$17*'Batt IN'!$G$17,0)</f>
        <v>119.44619999999999</v>
      </c>
      <c r="AU402" s="10">
        <f>IF(AND('Batt IN'!$E$20&gt;0,'Batt IN'!$G$20&gt;0),'Batt IN'!$E$19*'Batt IN'!$G$19,0)</f>
        <v>231</v>
      </c>
      <c r="AV402" s="10"/>
      <c r="AW402" s="10"/>
      <c r="AX402" s="10">
        <f>IF('Batt IN'!$E$11="Non-Taxable",Q402,0)</f>
        <v>12667.356493150684</v>
      </c>
      <c r="AY402" s="10">
        <f>IF('Batt IN'!$E$11="Non-Taxable",'Batt IN'!$E$28/1000*'Batt IN'!$G$13*('Batt IN'!$E$13/12)*'Batt IN'!$E$12,0)</f>
        <v>244.42220833333334</v>
      </c>
      <c r="AZ402" s="10">
        <f>IF('Batt IN'!$E$11="Non-Taxable",$S402*'Batt IN'!$G$15*'Batt IN'!$E$28*'Batt IN'!$E$14/1000,0)</f>
        <v>0</v>
      </c>
      <c r="BA402" s="10">
        <f>IF('Batt IN'!$E$11="Non-Taxable",'Batt IN'!$E$21*'Batt IN'!$G$21/12,0)</f>
        <v>437.5</v>
      </c>
      <c r="BB402" s="10">
        <f>IF('Batt IN'!$E$11="Non-Taxable",'Batt IN'!$E$22*'Batt IN'!$G$22/12,0)</f>
        <v>1145.8333333333335</v>
      </c>
      <c r="BC402" s="10">
        <f>IF('Batt IN'!$E$11="Taxable",Q402,0)</f>
        <v>0</v>
      </c>
      <c r="BD402" s="10">
        <f>IF('Batt IN'!$E$11="Taxable",'Batt IN'!$E$28/1000*'Batt IN'!$G$13*('Batt IN'!$E$13/12)*'Batt IN'!$E$12,0)</f>
        <v>0</v>
      </c>
      <c r="BE402" s="10">
        <f>IF('Batt IN'!$E$11="Taxable",$S402*'Batt IN'!$G$15*'Batt IN'!$E$28*'Batt IN'!$E$14/1000,0)</f>
        <v>0</v>
      </c>
      <c r="BF402" s="10">
        <f>IF('Batt IN'!$E$11="Taxable",'Batt IN'!$E$21*'Batt IN'!$G$21/12,0)</f>
        <v>0</v>
      </c>
      <c r="BG402" s="10">
        <f>IF('Batt IN'!$E$11="Taxable",'Batt IN'!$E$22*'Batt IN'!$G$22/12,0)</f>
        <v>0</v>
      </c>
      <c r="BK402" s="10">
        <f>IF('Batt IN'!$N$18="Yes",-BattLoan!H430,-BattLoan!L430)</f>
        <v>0</v>
      </c>
      <c r="BL402" s="10">
        <f>IF('Batt IN'!$N$18="Yes",-BattLoan!F430,0)</f>
        <v>0</v>
      </c>
      <c r="BM402" s="10">
        <f>IF(AND('Batt IN'!$D$44="YES",$C402&lt;='Batt IN'!$E$44*12),0,-'Batt IN'!$E$28*'Batt IN'!$E$42/12)</f>
        <v>-83.333333333333329</v>
      </c>
      <c r="BN402" s="10">
        <f>IF(AND('Batt IN'!$D$46="YES",$C402&lt;='Batt IN'!$E$46*12),0,-'Batt IN'!$E$28*'Batt IN'!$E$45/12)</f>
        <v>-166.66666666666666</v>
      </c>
      <c r="BO402" s="2">
        <f>IF(AND('Batt IN'!$D$41="YES",BattCalcs!C402=ROUNDUP('Batt IN'!$H$41*12,)),-'Batt IN'!$E$41*'Batt IN'!$E$28,0)</f>
        <v>0</v>
      </c>
      <c r="BP402" s="2">
        <f>IF(AND('Batt IN'!$D$53="Yes",$AL$1&gt;=1),0,IF($C402='Batt IN'!$H$54*12,-'Batt IN'!$F$54,0))</f>
        <v>0</v>
      </c>
      <c r="BQ402" s="2">
        <f>IF(AND('Batt IN'!$D$53="Yes",$AL$1&gt;=2),0,IF($C402='Batt IN'!$H$55*12,-'Batt IN'!$F$55,0))</f>
        <v>0</v>
      </c>
      <c r="BR402" s="2">
        <f>IF(AND('Batt IN'!$D$53="Yes",$AL$1&gt;=3),0,IF($C402='Batt IN'!$H$56*12,-'Batt IN'!$F$56,0))</f>
        <v>0</v>
      </c>
      <c r="BS402" s="2">
        <f>IF(AND('Batt IN'!$D$53="Yes",$AL$1&gt;=4),0,IF($C402='Batt IN'!$H$57*12,-'Batt IN'!$F$57,0))</f>
        <v>0</v>
      </c>
      <c r="BT402" s="2">
        <f>IF(AND('Batt IN'!$D$53="Yes",$AL$1&gt;=5),0,IF($C402='Batt IN'!$H$58*12,-'Batt IN'!$F$58,0))</f>
        <v>0</v>
      </c>
      <c r="BU402" s="2">
        <f>-AH402*PVCalcs!F402</f>
        <v>-359.37504381576838</v>
      </c>
      <c r="BV402" s="2">
        <f>-'Batt IN'!$E$47</f>
        <v>-150</v>
      </c>
      <c r="BW402" s="2">
        <f>-'Batt IN'!$E$49</f>
        <v>-2250</v>
      </c>
      <c r="BX402" s="2">
        <f>IF('Batt IN'!$H$50="No",-(BC402*'Batt IN'!$E$50),-(BC402+BE402)*'Batt IN'!$E$50)</f>
        <v>0</v>
      </c>
      <c r="BY402" s="2">
        <f>IF(C402='Batt IN'!$H$43*12,-'Batt IN'!$E$43,0)</f>
        <v>0</v>
      </c>
      <c r="BZ402" s="38"/>
      <c r="CA402" s="10">
        <f t="shared" si="106"/>
        <v>14921.599901484018</v>
      </c>
      <c r="CB402" s="2">
        <f t="shared" si="111"/>
        <v>-3009.3750438157685</v>
      </c>
      <c r="CC402" s="45">
        <f t="shared" si="107"/>
        <v>11912.22485766825</v>
      </c>
      <c r="CD402" s="43"/>
      <c r="CE402" s="2">
        <f t="shared" si="108"/>
        <v>0</v>
      </c>
      <c r="CF402" s="2">
        <f t="shared" si="112"/>
        <v>-3009.3750438157685</v>
      </c>
      <c r="CG402" s="2"/>
      <c r="CH402" s="2">
        <f t="shared" si="109"/>
        <v>-3009.3750438157685</v>
      </c>
      <c r="CI402" s="45">
        <f>-CH402*'Batt IN'!$E$7</f>
        <v>631.9687592013114</v>
      </c>
      <c r="CJ402" s="48"/>
      <c r="CK402" s="45">
        <f>IF('Batt IN'!$F$4="PV Only",0,IF(C402&gt;'Batt IN'!$H$43*12,0,CC402+CI402))</f>
        <v>0</v>
      </c>
      <c r="CM402" s="10">
        <f t="shared" si="110"/>
        <v>0</v>
      </c>
      <c r="CN402" s="2">
        <f>CK402/(1+('Batt IN'!$G$8))^(C402)</f>
        <v>0</v>
      </c>
      <c r="CO402" s="2" t="e">
        <f>IF(C402&lt;='Batt IN'!$O$30*12,CN402+CO401,NA())</f>
        <v>#N/A</v>
      </c>
      <c r="CQ402" s="2">
        <f>CK402/((1+('Batt IN'!$E$8/12))^BattCalcs!C402)</f>
        <v>0</v>
      </c>
      <c r="CS402" s="10">
        <f t="shared" si="113"/>
        <v>-3009.3750438157685</v>
      </c>
      <c r="CT402" s="10">
        <f t="shared" si="114"/>
        <v>0</v>
      </c>
      <c r="CU402" s="10">
        <f t="shared" si="115"/>
        <v>-3009.3750438157685</v>
      </c>
      <c r="CV402" s="10">
        <f t="shared" si="116"/>
        <v>-3009.3750438157685</v>
      </c>
      <c r="CW402" s="2">
        <f t="shared" si="117"/>
        <v>0</v>
      </c>
      <c r="CX402" s="2">
        <f>-(SUM(CV402:CW402)*'PV IN'!$E$8)</f>
        <v>631.9687592013114</v>
      </c>
      <c r="CY402" s="2">
        <f t="shared" si="118"/>
        <v>-2377.406284614457</v>
      </c>
      <c r="CZ402" s="2">
        <f>IF(C402&lt;='Batt IN'!$H$43*12,CY402/(1+('PV IN'!$G$9))^(C402),0)</f>
        <v>0</v>
      </c>
      <c r="DA402" s="33">
        <f>IF(C402&lt;='Batt IN'!$H$43*12,AE402,0)</f>
        <v>0</v>
      </c>
    </row>
    <row r="403" spans="1:105" x14ac:dyDescent="0.25">
      <c r="A403" t="str">
        <f>IF(C403&lt;='Batt IN'!$H$43*12,C403,"")</f>
        <v/>
      </c>
      <c r="C403">
        <v>399</v>
      </c>
      <c r="D403" s="21">
        <v>829</v>
      </c>
      <c r="E403" s="1">
        <f>1-'Batt IN'!$E$31</f>
        <v>2.0000000000000018E-2</v>
      </c>
      <c r="F403" s="12">
        <f>('Batt IN'!$E$33*365)/8760</f>
        <v>0</v>
      </c>
      <c r="G403" s="22">
        <f>'Batt IN'!$E$32/8760</f>
        <v>5.7077625570776253E-3</v>
      </c>
      <c r="H403" s="22">
        <f>'Batt IN'!$E$13/8760</f>
        <v>5.5936073059360729E-3</v>
      </c>
      <c r="I403" s="23">
        <f>IF(C403&lt;='Batt IN'!$G$14*12,'Batt IN'!$E$15/8760*'Batt IN'!$G$15,0)</f>
        <v>0</v>
      </c>
      <c r="J403" s="12">
        <f>Z403/'Batt IN'!$E$27/730</f>
        <v>2.4999999999999996E-3</v>
      </c>
      <c r="K403" s="23">
        <f>AA403/'Batt IN'!$E$27/730</f>
        <v>1.6027397260273972E-3</v>
      </c>
      <c r="L403" s="23">
        <f>AB403/'Batt IN'!$E$27/730</f>
        <v>2.0547945205479451E-4</v>
      </c>
      <c r="M403" s="23">
        <f>AC403/'Batt IN'!$E$27/730</f>
        <v>4.7945205479452057E-3</v>
      </c>
      <c r="N403" s="23">
        <f>AD403/'Batt IN'!$E$27/730</f>
        <v>3.4246575342465752E-3</v>
      </c>
      <c r="O403" s="12">
        <f t="shared" si="102"/>
        <v>4.3828767123287697E-2</v>
      </c>
      <c r="P403" s="21">
        <f t="shared" si="103"/>
        <v>792.6659520547945</v>
      </c>
      <c r="Q403" s="2">
        <f>IF('Batt IN'!$E$27*'Batt IN'!$E$24&lt;='Batt IN'!$E$28,(('Batt IN'!$E$23*'Batt IN'!$E$27*'Batt IN'!$E$24)/1000)*P403,(('Batt IN'!$E$23*'Batt IN'!$E$28*'Batt IN'!$E$24)/1000)*P403)</f>
        <v>12682.655232876712</v>
      </c>
      <c r="R403" s="2"/>
      <c r="S403" s="77">
        <f>IF(C403&lt;='Batt IN'!$G$14*12,'Batt IN'!$E$15/12,0)</f>
        <v>0</v>
      </c>
      <c r="T403" s="77"/>
      <c r="U403" s="80">
        <f>'Batt IN'!$E$28*('Batt IN'!$G$24/24)*730*(1-O403)</f>
        <v>81433.916666666657</v>
      </c>
      <c r="V403" s="78">
        <f>U403*'Batt IN'!$F$30</f>
        <v>16286.783333333333</v>
      </c>
      <c r="W403" s="78">
        <f>'Batt IN'!$E$28*'Batt IN'!$G$32*('Batt IN'!$E$32/12)*(1+'Batt IN'!$F$30)</f>
        <v>1750.0000000000002</v>
      </c>
      <c r="X403" s="78">
        <f>'Batt IN'!$E$28*'Batt IN'!$G$13*('Batt IN'!$E$13/12)*(1+'Batt IN'!$F$30)</f>
        <v>3184.9999999999995</v>
      </c>
      <c r="Y403" s="33">
        <f>S403*'Batt IN'!$G$15*'Batt IN'!$E$28*(1+'Batt IN'!$F$30)</f>
        <v>0</v>
      </c>
      <c r="Z403" s="33">
        <f>'Batt IN'!$G$16*365/12*(1+'Batt IN'!$F$30)</f>
        <v>1824.9999999999998</v>
      </c>
      <c r="AA403" s="33">
        <f>'Batt IN'!$G$17*'Batt IN'!$E$18*'Batt IN'!$G$18/12*(1+'Batt IN'!$F$30)</f>
        <v>1170</v>
      </c>
      <c r="AB403" s="33">
        <f>'Batt IN'!$G$19*'Batt IN'!$E$20*'Batt IN'!$G$20/12*(1+'Batt IN'!$F$30)</f>
        <v>150</v>
      </c>
      <c r="AC403" s="33">
        <f>'Batt IN'!$G$21*(1+'Batt IN'!$F$30)/12</f>
        <v>3500</v>
      </c>
      <c r="AD403" s="33">
        <f>'Batt IN'!$G$22*(1+'Batt IN'!$F$30)/12</f>
        <v>2500</v>
      </c>
      <c r="AE403" s="33">
        <f t="shared" si="104"/>
        <v>30366.783333333333</v>
      </c>
      <c r="AF403" s="33">
        <f>IF('PV IN'!$F$4="Battery Only",0,AE403*'Batt IN'!$E$29)</f>
        <v>25811.765833333331</v>
      </c>
      <c r="AG403" s="33">
        <f>PVCalcs!L403</f>
        <v>25811.765833333331</v>
      </c>
      <c r="AH403" s="33">
        <f t="shared" si="105"/>
        <v>4555.0175000000017</v>
      </c>
      <c r="AI403" s="33"/>
      <c r="AJ403" s="2">
        <f>IF(AND('Batt IN'!$D$53="Yes",$AL$1&gt;=1),IF($C403='Batt IN'!$H$54*12,-'Batt IN'!$F$54,0),0)</f>
        <v>0</v>
      </c>
      <c r="AK403" s="2">
        <f>IF(AND('Batt IN'!$D$53="Yes",$AL$1&gt;=2),IF($C403='Batt IN'!$H$55*12,-'Batt IN'!$F$55,0),0)</f>
        <v>0</v>
      </c>
      <c r="AL403" s="2">
        <f>IF(AND('Batt IN'!$D$53="Yes",$AL$1&gt;=3),IF($C403='Batt IN'!$H$56*12,-'Batt IN'!$F$56,0),0)</f>
        <v>0</v>
      </c>
      <c r="AM403" s="2">
        <f>IF(AND('Batt IN'!$D$53="Yes",$AL$1&gt;=4),IF($C403='Batt IN'!$H$57*12,-'Batt IN'!$F$57,0),0)</f>
        <v>0</v>
      </c>
      <c r="AN403" s="2">
        <f>IF(AND('Batt IN'!$D$53="Yes",$AL$1&gt;=5),IF($C403='Batt IN'!$H$58*12,-'Batt IN'!$F$58,0),0)</f>
        <v>0</v>
      </c>
      <c r="AO403" s="10">
        <f>IF(AND('Batt IN'!$D$44="YES",$C403&lt;='Batt IN'!$E$44*12),-'Batt IN'!$E$28*'Batt IN'!$E$42/12,0)</f>
        <v>0</v>
      </c>
      <c r="AP403" s="10">
        <f>IF(AND('Batt IN'!$D$46="YES",$C403&lt;='Batt IN'!$E$46*12),-'Batt IN'!$E$28*'Batt IN'!$E$45/12,0)</f>
        <v>0</v>
      </c>
      <c r="AR403" s="10">
        <f>BattLoan!M430</f>
        <v>0</v>
      </c>
      <c r="AS403" s="10">
        <f>'Batt IN'!$G$16*365/12*'Batt IN'!$E$16</f>
        <v>76.041666666666671</v>
      </c>
      <c r="AT403" s="10">
        <f>IF(AND('Batt IN'!$E$18&gt;0,'Batt IN'!$G$18&gt;0),'Batt IN'!$E$17*'Batt IN'!$G$17,0)</f>
        <v>119.44619999999999</v>
      </c>
      <c r="AU403" s="10">
        <f>IF(AND('Batt IN'!$E$20&gt;0,'Batt IN'!$G$20&gt;0),'Batt IN'!$E$19*'Batt IN'!$G$19,0)</f>
        <v>231</v>
      </c>
      <c r="AV403" s="10"/>
      <c r="AW403" s="10"/>
      <c r="AX403" s="10">
        <f>IF('Batt IN'!$E$11="Non-Taxable",Q403,0)</f>
        <v>12682.655232876712</v>
      </c>
      <c r="AY403" s="10">
        <f>IF('Batt IN'!$E$11="Non-Taxable",'Batt IN'!$E$28/1000*'Batt IN'!$G$13*('Batt IN'!$E$13/12)*'Batt IN'!$E$12,0)</f>
        <v>244.42220833333334</v>
      </c>
      <c r="AZ403" s="10">
        <f>IF('Batt IN'!$E$11="Non-Taxable",$S403*'Batt IN'!$G$15*'Batt IN'!$E$28*'Batt IN'!$E$14/1000,0)</f>
        <v>0</v>
      </c>
      <c r="BA403" s="10">
        <f>IF('Batt IN'!$E$11="Non-Taxable",'Batt IN'!$E$21*'Batt IN'!$G$21/12,0)</f>
        <v>437.5</v>
      </c>
      <c r="BB403" s="10">
        <f>IF('Batt IN'!$E$11="Non-Taxable",'Batt IN'!$E$22*'Batt IN'!$G$22/12,0)</f>
        <v>1145.8333333333335</v>
      </c>
      <c r="BC403" s="10">
        <f>IF('Batt IN'!$E$11="Taxable",Q403,0)</f>
        <v>0</v>
      </c>
      <c r="BD403" s="10">
        <f>IF('Batt IN'!$E$11="Taxable",'Batt IN'!$E$28/1000*'Batt IN'!$G$13*('Batt IN'!$E$13/12)*'Batt IN'!$E$12,0)</f>
        <v>0</v>
      </c>
      <c r="BE403" s="10">
        <f>IF('Batt IN'!$E$11="Taxable",$S403*'Batt IN'!$G$15*'Batt IN'!$E$28*'Batt IN'!$E$14/1000,0)</f>
        <v>0</v>
      </c>
      <c r="BF403" s="10">
        <f>IF('Batt IN'!$E$11="Taxable",'Batt IN'!$E$21*'Batt IN'!$G$21/12,0)</f>
        <v>0</v>
      </c>
      <c r="BG403" s="10">
        <f>IF('Batt IN'!$E$11="Taxable",'Batt IN'!$E$22*'Batt IN'!$G$22/12,0)</f>
        <v>0</v>
      </c>
      <c r="BK403" s="10">
        <f>IF('Batt IN'!$N$18="Yes",-BattLoan!H431,-BattLoan!L431)</f>
        <v>0</v>
      </c>
      <c r="BL403" s="10">
        <f>IF('Batt IN'!$N$18="Yes",-BattLoan!F431,0)</f>
        <v>0</v>
      </c>
      <c r="BM403" s="10">
        <f>IF(AND('Batt IN'!$D$44="YES",$C403&lt;='Batt IN'!$E$44*12),0,-'Batt IN'!$E$28*'Batt IN'!$E$42/12)</f>
        <v>-83.333333333333329</v>
      </c>
      <c r="BN403" s="10">
        <f>IF(AND('Batt IN'!$D$46="YES",$C403&lt;='Batt IN'!$E$46*12),0,-'Batt IN'!$E$28*'Batt IN'!$E$45/12)</f>
        <v>-166.66666666666666</v>
      </c>
      <c r="BO403" s="2">
        <f>IF(AND('Batt IN'!$D$41="YES",BattCalcs!C403=ROUNDUP('Batt IN'!$H$41*12,)),-'Batt IN'!$E$41*'Batt IN'!$E$28,0)</f>
        <v>0</v>
      </c>
      <c r="BP403" s="2">
        <f>IF(AND('Batt IN'!$D$53="Yes",$AL$1&gt;=1),0,IF($C403='Batt IN'!$H$54*12,-'Batt IN'!$F$54,0))</f>
        <v>0</v>
      </c>
      <c r="BQ403" s="2">
        <f>IF(AND('Batt IN'!$D$53="Yes",$AL$1&gt;=2),0,IF($C403='Batt IN'!$H$55*12,-'Batt IN'!$F$55,0))</f>
        <v>0</v>
      </c>
      <c r="BR403" s="2">
        <f>IF(AND('Batt IN'!$D$53="Yes",$AL$1&gt;=3),0,IF($C403='Batt IN'!$H$56*12,-'Batt IN'!$F$56,0))</f>
        <v>0</v>
      </c>
      <c r="BS403" s="2">
        <f>IF(AND('Batt IN'!$D$53="Yes",$AL$1&gt;=4),0,IF($C403='Batt IN'!$H$57*12,-'Batt IN'!$F$57,0))</f>
        <v>0</v>
      </c>
      <c r="BT403" s="2">
        <f>IF(AND('Batt IN'!$D$53="Yes",$AL$1&gt;=5),0,IF($C403='Batt IN'!$H$58*12,-'Batt IN'!$F$58,0))</f>
        <v>0</v>
      </c>
      <c r="BU403" s="2">
        <f>-AH403*PVCalcs!F403</f>
        <v>-359.37504381576838</v>
      </c>
      <c r="BV403" s="2">
        <f>-'Batt IN'!$E$47</f>
        <v>-150</v>
      </c>
      <c r="BW403" s="2">
        <f>-'Batt IN'!$E$49</f>
        <v>-2250</v>
      </c>
      <c r="BX403" s="2">
        <f>IF('Batt IN'!$H$50="No",-(BC403*'Batt IN'!$E$50),-(BC403+BE403)*'Batt IN'!$E$50)</f>
        <v>0</v>
      </c>
      <c r="BY403" s="2">
        <f>IF(C403='Batt IN'!$H$43*12,-'Batt IN'!$E$43,0)</f>
        <v>0</v>
      </c>
      <c r="BZ403" s="38"/>
      <c r="CA403" s="10">
        <f t="shared" si="106"/>
        <v>14936.898641210046</v>
      </c>
      <c r="CB403" s="2">
        <f t="shared" si="111"/>
        <v>-3009.3750438157685</v>
      </c>
      <c r="CC403" s="45">
        <f t="shared" si="107"/>
        <v>11927.523597394276</v>
      </c>
      <c r="CD403" s="43"/>
      <c r="CE403" s="2">
        <f t="shared" si="108"/>
        <v>0</v>
      </c>
      <c r="CF403" s="2">
        <f t="shared" si="112"/>
        <v>-3009.3750438157685</v>
      </c>
      <c r="CG403" s="2"/>
      <c r="CH403" s="2">
        <f t="shared" si="109"/>
        <v>-3009.3750438157685</v>
      </c>
      <c r="CI403" s="45">
        <f>-CH403*'Batt IN'!$E$7</f>
        <v>631.9687592013114</v>
      </c>
      <c r="CJ403" s="48"/>
      <c r="CK403" s="45">
        <f>IF('Batt IN'!$F$4="PV Only",0,IF(C403&gt;'Batt IN'!$H$43*12,0,CC403+CI403))</f>
        <v>0</v>
      </c>
      <c r="CM403" s="10">
        <f t="shared" si="110"/>
        <v>0</v>
      </c>
      <c r="CN403" s="2">
        <f>CK403/(1+('Batt IN'!$G$8))^(C403)</f>
        <v>0</v>
      </c>
      <c r="CO403" s="2" t="e">
        <f>IF(C403&lt;='Batt IN'!$O$30*12,CN403+CO402,NA())</f>
        <v>#N/A</v>
      </c>
      <c r="CQ403" s="2">
        <f>CK403/((1+('Batt IN'!$E$8/12))^BattCalcs!C403)</f>
        <v>0</v>
      </c>
      <c r="CS403" s="10">
        <f t="shared" si="113"/>
        <v>-3009.3750438157685</v>
      </c>
      <c r="CT403" s="10">
        <f t="shared" si="114"/>
        <v>0</v>
      </c>
      <c r="CU403" s="10">
        <f t="shared" si="115"/>
        <v>-3009.3750438157685</v>
      </c>
      <c r="CV403" s="10">
        <f t="shared" si="116"/>
        <v>-3009.3750438157685</v>
      </c>
      <c r="CW403" s="2">
        <f t="shared" si="117"/>
        <v>0</v>
      </c>
      <c r="CX403" s="2">
        <f>-(SUM(CV403:CW403)*'PV IN'!$E$8)</f>
        <v>631.9687592013114</v>
      </c>
      <c r="CY403" s="2">
        <f t="shared" si="118"/>
        <v>-2377.406284614457</v>
      </c>
      <c r="CZ403" s="2">
        <f>IF(C403&lt;='Batt IN'!$H$43*12,CY403/(1+('PV IN'!$G$9))^(C403),0)</f>
        <v>0</v>
      </c>
      <c r="DA403" s="33">
        <f>IF(C403&lt;='Batt IN'!$H$43*12,AE403,0)</f>
        <v>0</v>
      </c>
    </row>
    <row r="404" spans="1:105" x14ac:dyDescent="0.25">
      <c r="A404" t="str">
        <f>IF(C404&lt;='Batt IN'!$H$43*12,C404,"")</f>
        <v/>
      </c>
      <c r="C404">
        <v>400</v>
      </c>
      <c r="D404" s="21">
        <v>830</v>
      </c>
      <c r="E404" s="1">
        <f>1-'Batt IN'!$E$31</f>
        <v>2.0000000000000018E-2</v>
      </c>
      <c r="F404" s="12">
        <f>('Batt IN'!$E$33*365)/8760</f>
        <v>0</v>
      </c>
      <c r="G404" s="22">
        <f>'Batt IN'!$E$32/8760</f>
        <v>5.7077625570776253E-3</v>
      </c>
      <c r="H404" s="22">
        <f>'Batt IN'!$E$13/8760</f>
        <v>5.5936073059360729E-3</v>
      </c>
      <c r="I404" s="23">
        <f>IF(C404&lt;='Batt IN'!$G$14*12,'Batt IN'!$E$15/8760*'Batt IN'!$G$15,0)</f>
        <v>0</v>
      </c>
      <c r="J404" s="12">
        <f>Z404/'Batt IN'!$E$27/730</f>
        <v>2.4999999999999996E-3</v>
      </c>
      <c r="K404" s="23">
        <f>AA404/'Batt IN'!$E$27/730</f>
        <v>1.6027397260273972E-3</v>
      </c>
      <c r="L404" s="23">
        <f>AB404/'Batt IN'!$E$27/730</f>
        <v>2.0547945205479451E-4</v>
      </c>
      <c r="M404" s="23">
        <f>AC404/'Batt IN'!$E$27/730</f>
        <v>4.7945205479452057E-3</v>
      </c>
      <c r="N404" s="23">
        <f>AD404/'Batt IN'!$E$27/730</f>
        <v>3.4246575342465752E-3</v>
      </c>
      <c r="O404" s="12">
        <f t="shared" si="102"/>
        <v>4.3828767123287697E-2</v>
      </c>
      <c r="P404" s="21">
        <f t="shared" si="103"/>
        <v>793.62212328767123</v>
      </c>
      <c r="Q404" s="2">
        <f>IF('Batt IN'!$E$27*'Batt IN'!$E$24&lt;='Batt IN'!$E$28,(('Batt IN'!$E$23*'Batt IN'!$E$27*'Batt IN'!$E$24)/1000)*P404,(('Batt IN'!$E$23*'Batt IN'!$E$28*'Batt IN'!$E$24)/1000)*P404)</f>
        <v>12697.95397260274</v>
      </c>
      <c r="R404" s="2"/>
      <c r="S404" s="77">
        <f>IF(C404&lt;='Batt IN'!$G$14*12,'Batt IN'!$E$15/12,0)</f>
        <v>0</v>
      </c>
      <c r="T404" s="77"/>
      <c r="U404" s="80">
        <f>'Batt IN'!$E$28*('Batt IN'!$G$24/24)*730*(1-O404)</f>
        <v>81433.916666666657</v>
      </c>
      <c r="V404" s="78">
        <f>U404*'Batt IN'!$F$30</f>
        <v>16286.783333333333</v>
      </c>
      <c r="W404" s="78">
        <f>'Batt IN'!$E$28*'Batt IN'!$G$32*('Batt IN'!$E$32/12)*(1+'Batt IN'!$F$30)</f>
        <v>1750.0000000000002</v>
      </c>
      <c r="X404" s="78">
        <f>'Batt IN'!$E$28*'Batt IN'!$G$13*('Batt IN'!$E$13/12)*(1+'Batt IN'!$F$30)</f>
        <v>3184.9999999999995</v>
      </c>
      <c r="Y404" s="33">
        <f>S404*'Batt IN'!$G$15*'Batt IN'!$E$28*(1+'Batt IN'!$F$30)</f>
        <v>0</v>
      </c>
      <c r="Z404" s="33">
        <f>'Batt IN'!$G$16*365/12*(1+'Batt IN'!$F$30)</f>
        <v>1824.9999999999998</v>
      </c>
      <c r="AA404" s="33">
        <f>'Batt IN'!$G$17*'Batt IN'!$E$18*'Batt IN'!$G$18/12*(1+'Batt IN'!$F$30)</f>
        <v>1170</v>
      </c>
      <c r="AB404" s="33">
        <f>'Batt IN'!$G$19*'Batt IN'!$E$20*'Batt IN'!$G$20/12*(1+'Batt IN'!$F$30)</f>
        <v>150</v>
      </c>
      <c r="AC404" s="33">
        <f>'Batt IN'!$G$21*(1+'Batt IN'!$F$30)/12</f>
        <v>3500</v>
      </c>
      <c r="AD404" s="33">
        <f>'Batt IN'!$G$22*(1+'Batt IN'!$F$30)/12</f>
        <v>2500</v>
      </c>
      <c r="AE404" s="33">
        <f t="shared" si="104"/>
        <v>30366.783333333333</v>
      </c>
      <c r="AF404" s="33">
        <f>IF('PV IN'!$F$4="Battery Only",0,AE404*'Batt IN'!$E$29)</f>
        <v>25811.765833333331</v>
      </c>
      <c r="AG404" s="33">
        <f>PVCalcs!L404</f>
        <v>25811.765833333331</v>
      </c>
      <c r="AH404" s="33">
        <f t="shared" si="105"/>
        <v>4555.0175000000017</v>
      </c>
      <c r="AI404" s="33"/>
      <c r="AJ404" s="2">
        <f>IF(AND('Batt IN'!$D$53="Yes",$AL$1&gt;=1),IF($C404='Batt IN'!$H$54*12,-'Batt IN'!$F$54,0),0)</f>
        <v>0</v>
      </c>
      <c r="AK404" s="2">
        <f>IF(AND('Batt IN'!$D$53="Yes",$AL$1&gt;=2),IF($C404='Batt IN'!$H$55*12,-'Batt IN'!$F$55,0),0)</f>
        <v>0</v>
      </c>
      <c r="AL404" s="2">
        <f>IF(AND('Batt IN'!$D$53="Yes",$AL$1&gt;=3),IF($C404='Batt IN'!$H$56*12,-'Batt IN'!$F$56,0),0)</f>
        <v>0</v>
      </c>
      <c r="AM404" s="2">
        <f>IF(AND('Batt IN'!$D$53="Yes",$AL$1&gt;=4),IF($C404='Batt IN'!$H$57*12,-'Batt IN'!$F$57,0),0)</f>
        <v>0</v>
      </c>
      <c r="AN404" s="2">
        <f>IF(AND('Batt IN'!$D$53="Yes",$AL$1&gt;=5),IF($C404='Batt IN'!$H$58*12,-'Batt IN'!$F$58,0),0)</f>
        <v>0</v>
      </c>
      <c r="AO404" s="10">
        <f>IF(AND('Batt IN'!$D$44="YES",$C404&lt;='Batt IN'!$E$44*12),-'Batt IN'!$E$28*'Batt IN'!$E$42/12,0)</f>
        <v>0</v>
      </c>
      <c r="AP404" s="10">
        <f>IF(AND('Batt IN'!$D$46="YES",$C404&lt;='Batt IN'!$E$46*12),-'Batt IN'!$E$28*'Batt IN'!$E$45/12,0)</f>
        <v>0</v>
      </c>
      <c r="AR404" s="10">
        <f>BattLoan!M431</f>
        <v>0</v>
      </c>
      <c r="AS404" s="10">
        <f>'Batt IN'!$G$16*365/12*'Batt IN'!$E$16</f>
        <v>76.041666666666671</v>
      </c>
      <c r="AT404" s="10">
        <f>IF(AND('Batt IN'!$E$18&gt;0,'Batt IN'!$G$18&gt;0),'Batt IN'!$E$17*'Batt IN'!$G$17,0)</f>
        <v>119.44619999999999</v>
      </c>
      <c r="AU404" s="10">
        <f>IF(AND('Batt IN'!$E$20&gt;0,'Batt IN'!$G$20&gt;0),'Batt IN'!$E$19*'Batt IN'!$G$19,0)</f>
        <v>231</v>
      </c>
      <c r="AV404" s="10"/>
      <c r="AW404" s="10"/>
      <c r="AX404" s="10">
        <f>IF('Batt IN'!$E$11="Non-Taxable",Q404,0)</f>
        <v>12697.95397260274</v>
      </c>
      <c r="AY404" s="10">
        <f>IF('Batt IN'!$E$11="Non-Taxable",'Batt IN'!$E$28/1000*'Batt IN'!$G$13*('Batt IN'!$E$13/12)*'Batt IN'!$E$12,0)</f>
        <v>244.42220833333334</v>
      </c>
      <c r="AZ404" s="10">
        <f>IF('Batt IN'!$E$11="Non-Taxable",$S404*'Batt IN'!$G$15*'Batt IN'!$E$28*'Batt IN'!$E$14/1000,0)</f>
        <v>0</v>
      </c>
      <c r="BA404" s="10">
        <f>IF('Batt IN'!$E$11="Non-Taxable",'Batt IN'!$E$21*'Batt IN'!$G$21/12,0)</f>
        <v>437.5</v>
      </c>
      <c r="BB404" s="10">
        <f>IF('Batt IN'!$E$11="Non-Taxable",'Batt IN'!$E$22*'Batt IN'!$G$22/12,0)</f>
        <v>1145.8333333333335</v>
      </c>
      <c r="BC404" s="10">
        <f>IF('Batt IN'!$E$11="Taxable",Q404,0)</f>
        <v>0</v>
      </c>
      <c r="BD404" s="10">
        <f>IF('Batt IN'!$E$11="Taxable",'Batt IN'!$E$28/1000*'Batt IN'!$G$13*('Batt IN'!$E$13/12)*'Batt IN'!$E$12,0)</f>
        <v>0</v>
      </c>
      <c r="BE404" s="10">
        <f>IF('Batt IN'!$E$11="Taxable",$S404*'Batt IN'!$G$15*'Batt IN'!$E$28*'Batt IN'!$E$14/1000,0)</f>
        <v>0</v>
      </c>
      <c r="BF404" s="10">
        <f>IF('Batt IN'!$E$11="Taxable",'Batt IN'!$E$21*'Batt IN'!$G$21/12,0)</f>
        <v>0</v>
      </c>
      <c r="BG404" s="10">
        <f>IF('Batt IN'!$E$11="Taxable",'Batt IN'!$E$22*'Batt IN'!$G$22/12,0)</f>
        <v>0</v>
      </c>
      <c r="BK404" s="10">
        <f>IF('Batt IN'!$N$18="Yes",-BattLoan!H432,-BattLoan!L432)</f>
        <v>0</v>
      </c>
      <c r="BL404" s="10">
        <f>IF('Batt IN'!$N$18="Yes",-BattLoan!F432,0)</f>
        <v>0</v>
      </c>
      <c r="BM404" s="10">
        <f>IF(AND('Batt IN'!$D$44="YES",$C404&lt;='Batt IN'!$E$44*12),0,-'Batt IN'!$E$28*'Batt IN'!$E$42/12)</f>
        <v>-83.333333333333329</v>
      </c>
      <c r="BN404" s="10">
        <f>IF(AND('Batt IN'!$D$46="YES",$C404&lt;='Batt IN'!$E$46*12),0,-'Batt IN'!$E$28*'Batt IN'!$E$45/12)</f>
        <v>-166.66666666666666</v>
      </c>
      <c r="BO404" s="2">
        <f>IF(AND('Batt IN'!$D$41="YES",BattCalcs!C404=ROUNDUP('Batt IN'!$H$41*12,)),-'Batt IN'!$E$41*'Batt IN'!$E$28,0)</f>
        <v>0</v>
      </c>
      <c r="BP404" s="2">
        <f>IF(AND('Batt IN'!$D$53="Yes",$AL$1&gt;=1),0,IF($C404='Batt IN'!$H$54*12,-'Batt IN'!$F$54,0))</f>
        <v>0</v>
      </c>
      <c r="BQ404" s="2">
        <f>IF(AND('Batt IN'!$D$53="Yes",$AL$1&gt;=2),0,IF($C404='Batt IN'!$H$55*12,-'Batt IN'!$F$55,0))</f>
        <v>0</v>
      </c>
      <c r="BR404" s="2">
        <f>IF(AND('Batt IN'!$D$53="Yes",$AL$1&gt;=3),0,IF($C404='Batt IN'!$H$56*12,-'Batt IN'!$F$56,0))</f>
        <v>0</v>
      </c>
      <c r="BS404" s="2">
        <f>IF(AND('Batt IN'!$D$53="Yes",$AL$1&gt;=4),0,IF($C404='Batt IN'!$H$57*12,-'Batt IN'!$F$57,0))</f>
        <v>0</v>
      </c>
      <c r="BT404" s="2">
        <f>IF(AND('Batt IN'!$D$53="Yes",$AL$1&gt;=5),0,IF($C404='Batt IN'!$H$58*12,-'Batt IN'!$F$58,0))</f>
        <v>0</v>
      </c>
      <c r="BU404" s="2">
        <f>-AH404*PVCalcs!F404</f>
        <v>-359.37504381576838</v>
      </c>
      <c r="BV404" s="2">
        <f>-'Batt IN'!$E$47</f>
        <v>-150</v>
      </c>
      <c r="BW404" s="2">
        <f>-'Batt IN'!$E$49</f>
        <v>-2250</v>
      </c>
      <c r="BX404" s="2">
        <f>IF('Batt IN'!$H$50="No",-(BC404*'Batt IN'!$E$50),-(BC404+BE404)*'Batt IN'!$E$50)</f>
        <v>0</v>
      </c>
      <c r="BY404" s="2">
        <f>IF(C404='Batt IN'!$H$43*12,-'Batt IN'!$E$43,0)</f>
        <v>0</v>
      </c>
      <c r="BZ404" s="38"/>
      <c r="CA404" s="10">
        <f t="shared" si="106"/>
        <v>14952.197380936073</v>
      </c>
      <c r="CB404" s="2">
        <f t="shared" si="111"/>
        <v>-3009.3750438157685</v>
      </c>
      <c r="CC404" s="45">
        <f t="shared" si="107"/>
        <v>11942.822337120306</v>
      </c>
      <c r="CD404" s="43"/>
      <c r="CE404" s="2">
        <f t="shared" si="108"/>
        <v>0</v>
      </c>
      <c r="CF404" s="2">
        <f t="shared" si="112"/>
        <v>-3009.3750438157685</v>
      </c>
      <c r="CG404" s="2"/>
      <c r="CH404" s="2">
        <f t="shared" si="109"/>
        <v>-3009.3750438157685</v>
      </c>
      <c r="CI404" s="45">
        <f>-CH404*'Batt IN'!$E$7</f>
        <v>631.9687592013114</v>
      </c>
      <c r="CJ404" s="48"/>
      <c r="CK404" s="45">
        <f>IF('Batt IN'!$F$4="PV Only",0,IF(C404&gt;'Batt IN'!$H$43*12,0,CC404+CI404))</f>
        <v>0</v>
      </c>
      <c r="CM404" s="10">
        <f t="shared" si="110"/>
        <v>0</v>
      </c>
      <c r="CN404" s="2">
        <f>CK404/(1+('Batt IN'!$G$8))^(C404)</f>
        <v>0</v>
      </c>
      <c r="CO404" s="2" t="e">
        <f>IF(C404&lt;='Batt IN'!$O$30*12,CN404+CO403,NA())</f>
        <v>#N/A</v>
      </c>
      <c r="CQ404" s="2">
        <f>CK404/((1+('Batt IN'!$E$8/12))^BattCalcs!C404)</f>
        <v>0</v>
      </c>
      <c r="CS404" s="10">
        <f t="shared" si="113"/>
        <v>-3009.3750438157685</v>
      </c>
      <c r="CT404" s="10">
        <f t="shared" si="114"/>
        <v>0</v>
      </c>
      <c r="CU404" s="10">
        <f t="shared" si="115"/>
        <v>-3009.3750438157685</v>
      </c>
      <c r="CV404" s="10">
        <f t="shared" si="116"/>
        <v>-3009.3750438157685</v>
      </c>
      <c r="CW404" s="2">
        <f t="shared" si="117"/>
        <v>0</v>
      </c>
      <c r="CX404" s="2">
        <f>-(SUM(CV404:CW404)*'PV IN'!$E$8)</f>
        <v>631.9687592013114</v>
      </c>
      <c r="CY404" s="2">
        <f t="shared" si="118"/>
        <v>-2377.406284614457</v>
      </c>
      <c r="CZ404" s="2">
        <f>IF(C404&lt;='Batt IN'!$H$43*12,CY404/(1+('PV IN'!$G$9))^(C404),0)</f>
        <v>0</v>
      </c>
      <c r="DA404" s="33">
        <f>IF(C404&lt;='Batt IN'!$H$43*12,AE404,0)</f>
        <v>0</v>
      </c>
    </row>
    <row r="405" spans="1:105" x14ac:dyDescent="0.25">
      <c r="A405" t="str">
        <f>IF(C405&lt;='Batt IN'!$H$43*12,C405,"")</f>
        <v/>
      </c>
      <c r="C405">
        <v>401</v>
      </c>
      <c r="D405" s="21">
        <v>831</v>
      </c>
      <c r="E405" s="1">
        <f>1-'Batt IN'!$E$31</f>
        <v>2.0000000000000018E-2</v>
      </c>
      <c r="F405" s="12">
        <f>('Batt IN'!$E$33*365)/8760</f>
        <v>0</v>
      </c>
      <c r="G405" s="22">
        <f>'Batt IN'!$E$32/8760</f>
        <v>5.7077625570776253E-3</v>
      </c>
      <c r="H405" s="22">
        <f>'Batt IN'!$E$13/8760</f>
        <v>5.5936073059360729E-3</v>
      </c>
      <c r="I405" s="23">
        <f>IF(C405&lt;='Batt IN'!$G$14*12,'Batt IN'!$E$15/8760*'Batt IN'!$G$15,0)</f>
        <v>0</v>
      </c>
      <c r="J405" s="12">
        <f>Z405/'Batt IN'!$E$27/730</f>
        <v>2.4999999999999996E-3</v>
      </c>
      <c r="K405" s="23">
        <f>AA405/'Batt IN'!$E$27/730</f>
        <v>1.6027397260273972E-3</v>
      </c>
      <c r="L405" s="23">
        <f>AB405/'Batt IN'!$E$27/730</f>
        <v>2.0547945205479451E-4</v>
      </c>
      <c r="M405" s="23">
        <f>AC405/'Batt IN'!$E$27/730</f>
        <v>4.7945205479452057E-3</v>
      </c>
      <c r="N405" s="23">
        <f>AD405/'Batt IN'!$E$27/730</f>
        <v>3.4246575342465752E-3</v>
      </c>
      <c r="O405" s="12">
        <f t="shared" si="102"/>
        <v>4.3828767123287697E-2</v>
      </c>
      <c r="P405" s="21">
        <f t="shared" si="103"/>
        <v>794.57829452054796</v>
      </c>
      <c r="Q405" s="2">
        <f>IF('Batt IN'!$E$27*'Batt IN'!$E$24&lt;='Batt IN'!$E$28,(('Batt IN'!$E$23*'Batt IN'!$E$27*'Batt IN'!$E$24)/1000)*P405,(('Batt IN'!$E$23*'Batt IN'!$E$28*'Batt IN'!$E$24)/1000)*P405)</f>
        <v>12713.252712328767</v>
      </c>
      <c r="R405" s="2"/>
      <c r="S405" s="77">
        <f>IF(C405&lt;='Batt IN'!$G$14*12,'Batt IN'!$E$15/12,0)</f>
        <v>0</v>
      </c>
      <c r="T405" s="77"/>
      <c r="U405" s="80">
        <f>'Batt IN'!$E$28*('Batt IN'!$G$24/24)*730*(1-O405)</f>
        <v>81433.916666666657</v>
      </c>
      <c r="V405" s="78">
        <f>U405*'Batt IN'!$F$30</f>
        <v>16286.783333333333</v>
      </c>
      <c r="W405" s="78">
        <f>'Batt IN'!$E$28*'Batt IN'!$G$32*('Batt IN'!$E$32/12)*(1+'Batt IN'!$F$30)</f>
        <v>1750.0000000000002</v>
      </c>
      <c r="X405" s="78">
        <f>'Batt IN'!$E$28*'Batt IN'!$G$13*('Batt IN'!$E$13/12)*(1+'Batt IN'!$F$30)</f>
        <v>3184.9999999999995</v>
      </c>
      <c r="Y405" s="33">
        <f>S405*'Batt IN'!$G$15*'Batt IN'!$E$28*(1+'Batt IN'!$F$30)</f>
        <v>0</v>
      </c>
      <c r="Z405" s="33">
        <f>'Batt IN'!$G$16*365/12*(1+'Batt IN'!$F$30)</f>
        <v>1824.9999999999998</v>
      </c>
      <c r="AA405" s="33">
        <f>'Batt IN'!$G$17*'Batt IN'!$E$18*'Batt IN'!$G$18/12*(1+'Batt IN'!$F$30)</f>
        <v>1170</v>
      </c>
      <c r="AB405" s="33">
        <f>'Batt IN'!$G$19*'Batt IN'!$E$20*'Batt IN'!$G$20/12*(1+'Batt IN'!$F$30)</f>
        <v>150</v>
      </c>
      <c r="AC405" s="33">
        <f>'Batt IN'!$G$21*(1+'Batt IN'!$F$30)/12</f>
        <v>3500</v>
      </c>
      <c r="AD405" s="33">
        <f>'Batt IN'!$G$22*(1+'Batt IN'!$F$30)/12</f>
        <v>2500</v>
      </c>
      <c r="AE405" s="33">
        <f t="shared" si="104"/>
        <v>30366.783333333333</v>
      </c>
      <c r="AF405" s="33">
        <f>IF('PV IN'!$F$4="Battery Only",0,AE405*'Batt IN'!$E$29)</f>
        <v>25811.765833333331</v>
      </c>
      <c r="AG405" s="33">
        <f>PVCalcs!L405</f>
        <v>25811.765833333331</v>
      </c>
      <c r="AH405" s="33">
        <f t="shared" si="105"/>
        <v>4555.0175000000017</v>
      </c>
      <c r="AI405" s="33"/>
      <c r="AJ405" s="2">
        <f>IF(AND('Batt IN'!$D$53="Yes",$AL$1&gt;=1),IF($C405='Batt IN'!$H$54*12,-'Batt IN'!$F$54,0),0)</f>
        <v>0</v>
      </c>
      <c r="AK405" s="2">
        <f>IF(AND('Batt IN'!$D$53="Yes",$AL$1&gt;=2),IF($C405='Batt IN'!$H$55*12,-'Batt IN'!$F$55,0),0)</f>
        <v>0</v>
      </c>
      <c r="AL405" s="2">
        <f>IF(AND('Batt IN'!$D$53="Yes",$AL$1&gt;=3),IF($C405='Batt IN'!$H$56*12,-'Batt IN'!$F$56,0),0)</f>
        <v>0</v>
      </c>
      <c r="AM405" s="2">
        <f>IF(AND('Batt IN'!$D$53="Yes",$AL$1&gt;=4),IF($C405='Batt IN'!$H$57*12,-'Batt IN'!$F$57,0),0)</f>
        <v>0</v>
      </c>
      <c r="AN405" s="2">
        <f>IF(AND('Batt IN'!$D$53="Yes",$AL$1&gt;=5),IF($C405='Batt IN'!$H$58*12,-'Batt IN'!$F$58,0),0)</f>
        <v>0</v>
      </c>
      <c r="AO405" s="10">
        <f>IF(AND('Batt IN'!$D$44="YES",$C405&lt;='Batt IN'!$E$44*12),-'Batt IN'!$E$28*'Batt IN'!$E$42/12,0)</f>
        <v>0</v>
      </c>
      <c r="AP405" s="10">
        <f>IF(AND('Batt IN'!$D$46="YES",$C405&lt;='Batt IN'!$E$46*12),-'Batt IN'!$E$28*'Batt IN'!$E$45/12,0)</f>
        <v>0</v>
      </c>
      <c r="AR405" s="10">
        <f>BattLoan!M432</f>
        <v>0</v>
      </c>
      <c r="AS405" s="10">
        <f>'Batt IN'!$G$16*365/12*'Batt IN'!$E$16</f>
        <v>76.041666666666671</v>
      </c>
      <c r="AT405" s="10">
        <f>IF(AND('Batt IN'!$E$18&gt;0,'Batt IN'!$G$18&gt;0),'Batt IN'!$E$17*'Batt IN'!$G$17,0)</f>
        <v>119.44619999999999</v>
      </c>
      <c r="AU405" s="10">
        <f>IF(AND('Batt IN'!$E$20&gt;0,'Batt IN'!$G$20&gt;0),'Batt IN'!$E$19*'Batt IN'!$G$19,0)</f>
        <v>231</v>
      </c>
      <c r="AV405" s="10"/>
      <c r="AW405" s="10"/>
      <c r="AX405" s="10">
        <f>IF('Batt IN'!$E$11="Non-Taxable",Q405,0)</f>
        <v>12713.252712328767</v>
      </c>
      <c r="AY405" s="10">
        <f>IF('Batt IN'!$E$11="Non-Taxable",'Batt IN'!$E$28/1000*'Batt IN'!$G$13*('Batt IN'!$E$13/12)*'Batt IN'!$E$12,0)</f>
        <v>244.42220833333334</v>
      </c>
      <c r="AZ405" s="10">
        <f>IF('Batt IN'!$E$11="Non-Taxable",$S405*'Batt IN'!$G$15*'Batt IN'!$E$28*'Batt IN'!$E$14/1000,0)</f>
        <v>0</v>
      </c>
      <c r="BA405" s="10">
        <f>IF('Batt IN'!$E$11="Non-Taxable",'Batt IN'!$E$21*'Batt IN'!$G$21/12,0)</f>
        <v>437.5</v>
      </c>
      <c r="BB405" s="10">
        <f>IF('Batt IN'!$E$11="Non-Taxable",'Batt IN'!$E$22*'Batt IN'!$G$22/12,0)</f>
        <v>1145.8333333333335</v>
      </c>
      <c r="BC405" s="10">
        <f>IF('Batt IN'!$E$11="Taxable",Q405,0)</f>
        <v>0</v>
      </c>
      <c r="BD405" s="10">
        <f>IF('Batt IN'!$E$11="Taxable",'Batt IN'!$E$28/1000*'Batt IN'!$G$13*('Batt IN'!$E$13/12)*'Batt IN'!$E$12,0)</f>
        <v>0</v>
      </c>
      <c r="BE405" s="10">
        <f>IF('Batt IN'!$E$11="Taxable",$S405*'Batt IN'!$G$15*'Batt IN'!$E$28*'Batt IN'!$E$14/1000,0)</f>
        <v>0</v>
      </c>
      <c r="BF405" s="10">
        <f>IF('Batt IN'!$E$11="Taxable",'Batt IN'!$E$21*'Batt IN'!$G$21/12,0)</f>
        <v>0</v>
      </c>
      <c r="BG405" s="10">
        <f>IF('Batt IN'!$E$11="Taxable",'Batt IN'!$E$22*'Batt IN'!$G$22/12,0)</f>
        <v>0</v>
      </c>
      <c r="BK405" s="10">
        <f>IF('Batt IN'!$N$18="Yes",-BattLoan!H433,-BattLoan!L433)</f>
        <v>0</v>
      </c>
      <c r="BL405" s="10">
        <f>IF('Batt IN'!$N$18="Yes",-BattLoan!F433,0)</f>
        <v>0</v>
      </c>
      <c r="BM405" s="10">
        <f>IF(AND('Batt IN'!$D$44="YES",$C405&lt;='Batt IN'!$E$44*12),0,-'Batt IN'!$E$28*'Batt IN'!$E$42/12)</f>
        <v>-83.333333333333329</v>
      </c>
      <c r="BN405" s="10">
        <f>IF(AND('Batt IN'!$D$46="YES",$C405&lt;='Batt IN'!$E$46*12),0,-'Batt IN'!$E$28*'Batt IN'!$E$45/12)</f>
        <v>-166.66666666666666</v>
      </c>
      <c r="BO405" s="2">
        <f>IF(AND('Batt IN'!$D$41="YES",BattCalcs!C405=ROUNDUP('Batt IN'!$H$41*12,)),-'Batt IN'!$E$41*'Batt IN'!$E$28,0)</f>
        <v>0</v>
      </c>
      <c r="BP405" s="2">
        <f>IF(AND('Batt IN'!$D$53="Yes",$AL$1&gt;=1),0,IF($C405='Batt IN'!$H$54*12,-'Batt IN'!$F$54,0))</f>
        <v>0</v>
      </c>
      <c r="BQ405" s="2">
        <f>IF(AND('Batt IN'!$D$53="Yes",$AL$1&gt;=2),0,IF($C405='Batt IN'!$H$55*12,-'Batt IN'!$F$55,0))</f>
        <v>0</v>
      </c>
      <c r="BR405" s="2">
        <f>IF(AND('Batt IN'!$D$53="Yes",$AL$1&gt;=3),0,IF($C405='Batt IN'!$H$56*12,-'Batt IN'!$F$56,0))</f>
        <v>0</v>
      </c>
      <c r="BS405" s="2">
        <f>IF(AND('Batt IN'!$D$53="Yes",$AL$1&gt;=4),0,IF($C405='Batt IN'!$H$57*12,-'Batt IN'!$F$57,0))</f>
        <v>0</v>
      </c>
      <c r="BT405" s="2">
        <f>IF(AND('Batt IN'!$D$53="Yes",$AL$1&gt;=5),0,IF($C405='Batt IN'!$H$58*12,-'Batt IN'!$F$58,0))</f>
        <v>0</v>
      </c>
      <c r="BU405" s="2">
        <f>-AH405*PVCalcs!F405</f>
        <v>-359.37504381576838</v>
      </c>
      <c r="BV405" s="2">
        <f>-'Batt IN'!$E$47</f>
        <v>-150</v>
      </c>
      <c r="BW405" s="2">
        <f>-'Batt IN'!$E$49</f>
        <v>-2250</v>
      </c>
      <c r="BX405" s="2">
        <f>IF('Batt IN'!$H$50="No",-(BC405*'Batt IN'!$E$50),-(BC405+BE405)*'Batt IN'!$E$50)</f>
        <v>0</v>
      </c>
      <c r="BY405" s="2">
        <f>IF(C405='Batt IN'!$H$43*12,-'Batt IN'!$E$43,0)</f>
        <v>0</v>
      </c>
      <c r="BZ405" s="38"/>
      <c r="CA405" s="10">
        <f t="shared" si="106"/>
        <v>14967.496120662101</v>
      </c>
      <c r="CB405" s="2">
        <f t="shared" si="111"/>
        <v>-3009.3750438157685</v>
      </c>
      <c r="CC405" s="45">
        <f t="shared" si="107"/>
        <v>11958.121076846332</v>
      </c>
      <c r="CD405" s="43"/>
      <c r="CE405" s="2">
        <f t="shared" si="108"/>
        <v>0</v>
      </c>
      <c r="CF405" s="2">
        <f t="shared" si="112"/>
        <v>-3009.3750438157685</v>
      </c>
      <c r="CG405" s="2"/>
      <c r="CH405" s="2">
        <f t="shared" si="109"/>
        <v>-3009.3750438157685</v>
      </c>
      <c r="CI405" s="45">
        <f>-CH405*'Batt IN'!$E$7</f>
        <v>631.9687592013114</v>
      </c>
      <c r="CJ405" s="48"/>
      <c r="CK405" s="45">
        <f>IF('Batt IN'!$F$4="PV Only",0,IF(C405&gt;'Batt IN'!$H$43*12,0,CC405+CI405))</f>
        <v>0</v>
      </c>
      <c r="CM405" s="10">
        <f t="shared" si="110"/>
        <v>0</v>
      </c>
      <c r="CN405" s="2">
        <f>CK405/(1+('Batt IN'!$G$8))^(C405)</f>
        <v>0</v>
      </c>
      <c r="CO405" s="2" t="e">
        <f>IF(C405&lt;='Batt IN'!$O$30*12,CN405+CO404,NA())</f>
        <v>#N/A</v>
      </c>
      <c r="CQ405" s="2">
        <f>CK405/((1+('Batt IN'!$E$8/12))^BattCalcs!C405)</f>
        <v>0</v>
      </c>
      <c r="CS405" s="10">
        <f t="shared" si="113"/>
        <v>-3009.3750438157685</v>
      </c>
      <c r="CT405" s="10">
        <f t="shared" si="114"/>
        <v>0</v>
      </c>
      <c r="CU405" s="10">
        <f t="shared" si="115"/>
        <v>-3009.3750438157685</v>
      </c>
      <c r="CV405" s="10">
        <f t="shared" si="116"/>
        <v>-3009.3750438157685</v>
      </c>
      <c r="CW405" s="2">
        <f t="shared" si="117"/>
        <v>0</v>
      </c>
      <c r="CX405" s="2">
        <f>-(SUM(CV405:CW405)*'PV IN'!$E$8)</f>
        <v>631.9687592013114</v>
      </c>
      <c r="CY405" s="2">
        <f t="shared" si="118"/>
        <v>-2377.406284614457</v>
      </c>
      <c r="CZ405" s="2">
        <f>IF(C405&lt;='Batt IN'!$H$43*12,CY405/(1+('PV IN'!$G$9))^(C405),0)</f>
        <v>0</v>
      </c>
      <c r="DA405" s="33">
        <f>IF(C405&lt;='Batt IN'!$H$43*12,AE405,0)</f>
        <v>0</v>
      </c>
    </row>
    <row r="406" spans="1:105" x14ac:dyDescent="0.25">
      <c r="A406" t="str">
        <f>IF(C406&lt;='Batt IN'!$H$43*12,C406,"")</f>
        <v/>
      </c>
      <c r="C406">
        <v>402</v>
      </c>
      <c r="D406" s="21">
        <v>832</v>
      </c>
      <c r="E406" s="1">
        <f>1-'Batt IN'!$E$31</f>
        <v>2.0000000000000018E-2</v>
      </c>
      <c r="F406" s="12">
        <f>('Batt IN'!$E$33*365)/8760</f>
        <v>0</v>
      </c>
      <c r="G406" s="22">
        <f>'Batt IN'!$E$32/8760</f>
        <v>5.7077625570776253E-3</v>
      </c>
      <c r="H406" s="22">
        <f>'Batt IN'!$E$13/8760</f>
        <v>5.5936073059360729E-3</v>
      </c>
      <c r="I406" s="23">
        <f>IF(C406&lt;='Batt IN'!$G$14*12,'Batt IN'!$E$15/8760*'Batt IN'!$G$15,0)</f>
        <v>0</v>
      </c>
      <c r="J406" s="12">
        <f>Z406/'Batt IN'!$E$27/730</f>
        <v>2.4999999999999996E-3</v>
      </c>
      <c r="K406" s="23">
        <f>AA406/'Batt IN'!$E$27/730</f>
        <v>1.6027397260273972E-3</v>
      </c>
      <c r="L406" s="23">
        <f>AB406/'Batt IN'!$E$27/730</f>
        <v>2.0547945205479451E-4</v>
      </c>
      <c r="M406" s="23">
        <f>AC406/'Batt IN'!$E$27/730</f>
        <v>4.7945205479452057E-3</v>
      </c>
      <c r="N406" s="23">
        <f>AD406/'Batt IN'!$E$27/730</f>
        <v>3.4246575342465752E-3</v>
      </c>
      <c r="O406" s="12">
        <f t="shared" si="102"/>
        <v>4.3828767123287697E-2</v>
      </c>
      <c r="P406" s="21">
        <f t="shared" si="103"/>
        <v>795.53446575342468</v>
      </c>
      <c r="Q406" s="2">
        <f>IF('Batt IN'!$E$27*'Batt IN'!$E$24&lt;='Batt IN'!$E$28,(('Batt IN'!$E$23*'Batt IN'!$E$27*'Batt IN'!$E$24)/1000)*P406,(('Batt IN'!$E$23*'Batt IN'!$E$28*'Batt IN'!$E$24)/1000)*P406)</f>
        <v>12728.551452054795</v>
      </c>
      <c r="R406" s="2"/>
      <c r="S406" s="77">
        <f>IF(C406&lt;='Batt IN'!$G$14*12,'Batt IN'!$E$15/12,0)</f>
        <v>0</v>
      </c>
      <c r="T406" s="77"/>
      <c r="U406" s="80">
        <f>'Batt IN'!$E$28*('Batt IN'!$G$24/24)*730*(1-O406)</f>
        <v>81433.916666666657</v>
      </c>
      <c r="V406" s="78">
        <f>U406*'Batt IN'!$F$30</f>
        <v>16286.783333333333</v>
      </c>
      <c r="W406" s="78">
        <f>'Batt IN'!$E$28*'Batt IN'!$G$32*('Batt IN'!$E$32/12)*(1+'Batt IN'!$F$30)</f>
        <v>1750.0000000000002</v>
      </c>
      <c r="X406" s="78">
        <f>'Batt IN'!$E$28*'Batt IN'!$G$13*('Batt IN'!$E$13/12)*(1+'Batt IN'!$F$30)</f>
        <v>3184.9999999999995</v>
      </c>
      <c r="Y406" s="33">
        <f>S406*'Batt IN'!$G$15*'Batt IN'!$E$28*(1+'Batt IN'!$F$30)</f>
        <v>0</v>
      </c>
      <c r="Z406" s="33">
        <f>'Batt IN'!$G$16*365/12*(1+'Batt IN'!$F$30)</f>
        <v>1824.9999999999998</v>
      </c>
      <c r="AA406" s="33">
        <f>'Batt IN'!$G$17*'Batt IN'!$E$18*'Batt IN'!$G$18/12*(1+'Batt IN'!$F$30)</f>
        <v>1170</v>
      </c>
      <c r="AB406" s="33">
        <f>'Batt IN'!$G$19*'Batt IN'!$E$20*'Batt IN'!$G$20/12*(1+'Batt IN'!$F$30)</f>
        <v>150</v>
      </c>
      <c r="AC406" s="33">
        <f>'Batt IN'!$G$21*(1+'Batt IN'!$F$30)/12</f>
        <v>3500</v>
      </c>
      <c r="AD406" s="33">
        <f>'Batt IN'!$G$22*(1+'Batt IN'!$F$30)/12</f>
        <v>2500</v>
      </c>
      <c r="AE406" s="33">
        <f t="shared" si="104"/>
        <v>30366.783333333333</v>
      </c>
      <c r="AF406" s="33">
        <f>IF('PV IN'!$F$4="Battery Only",0,AE406*'Batt IN'!$E$29)</f>
        <v>25811.765833333331</v>
      </c>
      <c r="AG406" s="33">
        <f>PVCalcs!L406</f>
        <v>25811.765833333331</v>
      </c>
      <c r="AH406" s="33">
        <f t="shared" si="105"/>
        <v>4555.0175000000017</v>
      </c>
      <c r="AI406" s="33"/>
      <c r="AJ406" s="2">
        <f>IF(AND('Batt IN'!$D$53="Yes",$AL$1&gt;=1),IF($C406='Batt IN'!$H$54*12,-'Batt IN'!$F$54,0),0)</f>
        <v>0</v>
      </c>
      <c r="AK406" s="2">
        <f>IF(AND('Batt IN'!$D$53="Yes",$AL$1&gt;=2),IF($C406='Batt IN'!$H$55*12,-'Batt IN'!$F$55,0),0)</f>
        <v>0</v>
      </c>
      <c r="AL406" s="2">
        <f>IF(AND('Batt IN'!$D$53="Yes",$AL$1&gt;=3),IF($C406='Batt IN'!$H$56*12,-'Batt IN'!$F$56,0),0)</f>
        <v>0</v>
      </c>
      <c r="AM406" s="2">
        <f>IF(AND('Batt IN'!$D$53="Yes",$AL$1&gt;=4),IF($C406='Batt IN'!$H$57*12,-'Batt IN'!$F$57,0),0)</f>
        <v>0</v>
      </c>
      <c r="AN406" s="2">
        <f>IF(AND('Batt IN'!$D$53="Yes",$AL$1&gt;=5),IF($C406='Batt IN'!$H$58*12,-'Batt IN'!$F$58,0),0)</f>
        <v>0</v>
      </c>
      <c r="AO406" s="10">
        <f>IF(AND('Batt IN'!$D$44="YES",$C406&lt;='Batt IN'!$E$44*12),-'Batt IN'!$E$28*'Batt IN'!$E$42/12,0)</f>
        <v>0</v>
      </c>
      <c r="AP406" s="10">
        <f>IF(AND('Batt IN'!$D$46="YES",$C406&lt;='Batt IN'!$E$46*12),-'Batt IN'!$E$28*'Batt IN'!$E$45/12,0)</f>
        <v>0</v>
      </c>
      <c r="AR406" s="10">
        <f>BattLoan!M433</f>
        <v>0</v>
      </c>
      <c r="AS406" s="10">
        <f>'Batt IN'!$G$16*365/12*'Batt IN'!$E$16</f>
        <v>76.041666666666671</v>
      </c>
      <c r="AT406" s="10">
        <f>IF(AND('Batt IN'!$E$18&gt;0,'Batt IN'!$G$18&gt;0),'Batt IN'!$E$17*'Batt IN'!$G$17,0)</f>
        <v>119.44619999999999</v>
      </c>
      <c r="AU406" s="10">
        <f>IF(AND('Batt IN'!$E$20&gt;0,'Batt IN'!$G$20&gt;0),'Batt IN'!$E$19*'Batt IN'!$G$19,0)</f>
        <v>231</v>
      </c>
      <c r="AV406" s="10"/>
      <c r="AW406" s="10"/>
      <c r="AX406" s="10">
        <f>IF('Batt IN'!$E$11="Non-Taxable",Q406,0)</f>
        <v>12728.551452054795</v>
      </c>
      <c r="AY406" s="10">
        <f>IF('Batt IN'!$E$11="Non-Taxable",'Batt IN'!$E$28/1000*'Batt IN'!$G$13*('Batt IN'!$E$13/12)*'Batt IN'!$E$12,0)</f>
        <v>244.42220833333334</v>
      </c>
      <c r="AZ406" s="10">
        <f>IF('Batt IN'!$E$11="Non-Taxable",$S406*'Batt IN'!$G$15*'Batt IN'!$E$28*'Batt IN'!$E$14/1000,0)</f>
        <v>0</v>
      </c>
      <c r="BA406" s="10">
        <f>IF('Batt IN'!$E$11="Non-Taxable",'Batt IN'!$E$21*'Batt IN'!$G$21/12,0)</f>
        <v>437.5</v>
      </c>
      <c r="BB406" s="10">
        <f>IF('Batt IN'!$E$11="Non-Taxable",'Batt IN'!$E$22*'Batt IN'!$G$22/12,0)</f>
        <v>1145.8333333333335</v>
      </c>
      <c r="BC406" s="10">
        <f>IF('Batt IN'!$E$11="Taxable",Q406,0)</f>
        <v>0</v>
      </c>
      <c r="BD406" s="10">
        <f>IF('Batt IN'!$E$11="Taxable",'Batt IN'!$E$28/1000*'Batt IN'!$G$13*('Batt IN'!$E$13/12)*'Batt IN'!$E$12,0)</f>
        <v>0</v>
      </c>
      <c r="BE406" s="10">
        <f>IF('Batt IN'!$E$11="Taxable",$S406*'Batt IN'!$G$15*'Batt IN'!$E$28*'Batt IN'!$E$14/1000,0)</f>
        <v>0</v>
      </c>
      <c r="BF406" s="10">
        <f>IF('Batt IN'!$E$11="Taxable",'Batt IN'!$E$21*'Batt IN'!$G$21/12,0)</f>
        <v>0</v>
      </c>
      <c r="BG406" s="10">
        <f>IF('Batt IN'!$E$11="Taxable",'Batt IN'!$E$22*'Batt IN'!$G$22/12,0)</f>
        <v>0</v>
      </c>
      <c r="BK406" s="10">
        <f>IF('Batt IN'!$N$18="Yes",-BattLoan!H434,-BattLoan!L434)</f>
        <v>0</v>
      </c>
      <c r="BL406" s="10">
        <f>IF('Batt IN'!$N$18="Yes",-BattLoan!F434,0)</f>
        <v>0</v>
      </c>
      <c r="BM406" s="10">
        <f>IF(AND('Batt IN'!$D$44="YES",$C406&lt;='Batt IN'!$E$44*12),0,-'Batt IN'!$E$28*'Batt IN'!$E$42/12)</f>
        <v>-83.333333333333329</v>
      </c>
      <c r="BN406" s="10">
        <f>IF(AND('Batt IN'!$D$46="YES",$C406&lt;='Batt IN'!$E$46*12),0,-'Batt IN'!$E$28*'Batt IN'!$E$45/12)</f>
        <v>-166.66666666666666</v>
      </c>
      <c r="BO406" s="2">
        <f>IF(AND('Batt IN'!$D$41="YES",BattCalcs!C406=ROUNDUP('Batt IN'!$H$41*12,)),-'Batt IN'!$E$41*'Batt IN'!$E$28,0)</f>
        <v>0</v>
      </c>
      <c r="BP406" s="2">
        <f>IF(AND('Batt IN'!$D$53="Yes",$AL$1&gt;=1),0,IF($C406='Batt IN'!$H$54*12,-'Batt IN'!$F$54,0))</f>
        <v>0</v>
      </c>
      <c r="BQ406" s="2">
        <f>IF(AND('Batt IN'!$D$53="Yes",$AL$1&gt;=2),0,IF($C406='Batt IN'!$H$55*12,-'Batt IN'!$F$55,0))</f>
        <v>0</v>
      </c>
      <c r="BR406" s="2">
        <f>IF(AND('Batt IN'!$D$53="Yes",$AL$1&gt;=3),0,IF($C406='Batt IN'!$H$56*12,-'Batt IN'!$F$56,0))</f>
        <v>0</v>
      </c>
      <c r="BS406" s="2">
        <f>IF(AND('Batt IN'!$D$53="Yes",$AL$1&gt;=4),0,IF($C406='Batt IN'!$H$57*12,-'Batt IN'!$F$57,0))</f>
        <v>0</v>
      </c>
      <c r="BT406" s="2">
        <f>IF(AND('Batt IN'!$D$53="Yes",$AL$1&gt;=5),0,IF($C406='Batt IN'!$H$58*12,-'Batt IN'!$F$58,0))</f>
        <v>0</v>
      </c>
      <c r="BU406" s="2">
        <f>-AH406*PVCalcs!F406</f>
        <v>-359.37504381576838</v>
      </c>
      <c r="BV406" s="2">
        <f>-'Batt IN'!$E$47</f>
        <v>-150</v>
      </c>
      <c r="BW406" s="2">
        <f>-'Batt IN'!$E$49</f>
        <v>-2250</v>
      </c>
      <c r="BX406" s="2">
        <f>IF('Batt IN'!$H$50="No",-(BC406*'Batt IN'!$E$50),-(BC406+BE406)*'Batt IN'!$E$50)</f>
        <v>0</v>
      </c>
      <c r="BY406" s="2">
        <f>IF(C406='Batt IN'!$H$43*12,-'Batt IN'!$E$43,0)</f>
        <v>0</v>
      </c>
      <c r="BZ406" s="38"/>
      <c r="CA406" s="10">
        <f t="shared" si="106"/>
        <v>14982.794860388129</v>
      </c>
      <c r="CB406" s="2">
        <f t="shared" si="111"/>
        <v>-3009.3750438157685</v>
      </c>
      <c r="CC406" s="45">
        <f t="shared" si="107"/>
        <v>11973.419816572361</v>
      </c>
      <c r="CD406" s="43"/>
      <c r="CE406" s="2">
        <f t="shared" si="108"/>
        <v>0</v>
      </c>
      <c r="CF406" s="2">
        <f t="shared" si="112"/>
        <v>-3009.3750438157685</v>
      </c>
      <c r="CG406" s="2"/>
      <c r="CH406" s="2">
        <f t="shared" si="109"/>
        <v>-3009.3750438157685</v>
      </c>
      <c r="CI406" s="45">
        <f>-CH406*'Batt IN'!$E$7</f>
        <v>631.9687592013114</v>
      </c>
      <c r="CJ406" s="48"/>
      <c r="CK406" s="45">
        <f>IF('Batt IN'!$F$4="PV Only",0,IF(C406&gt;'Batt IN'!$H$43*12,0,CC406+CI406))</f>
        <v>0</v>
      </c>
      <c r="CM406" s="10">
        <f t="shared" si="110"/>
        <v>0</v>
      </c>
      <c r="CN406" s="2">
        <f>CK406/(1+('Batt IN'!$G$8))^(C406)</f>
        <v>0</v>
      </c>
      <c r="CO406" s="2" t="e">
        <f>IF(C406&lt;='Batt IN'!$O$30*12,CN406+CO405,NA())</f>
        <v>#N/A</v>
      </c>
      <c r="CQ406" s="2">
        <f>CK406/((1+('Batt IN'!$E$8/12))^BattCalcs!C406)</f>
        <v>0</v>
      </c>
      <c r="CS406" s="10">
        <f t="shared" si="113"/>
        <v>-3009.3750438157685</v>
      </c>
      <c r="CT406" s="10">
        <f t="shared" si="114"/>
        <v>0</v>
      </c>
      <c r="CU406" s="10">
        <f t="shared" si="115"/>
        <v>-3009.3750438157685</v>
      </c>
      <c r="CV406" s="10">
        <f t="shared" si="116"/>
        <v>-3009.3750438157685</v>
      </c>
      <c r="CW406" s="2">
        <f t="shared" si="117"/>
        <v>0</v>
      </c>
      <c r="CX406" s="2">
        <f>-(SUM(CV406:CW406)*'PV IN'!$E$8)</f>
        <v>631.9687592013114</v>
      </c>
      <c r="CY406" s="2">
        <f t="shared" si="118"/>
        <v>-2377.406284614457</v>
      </c>
      <c r="CZ406" s="2">
        <f>IF(C406&lt;='Batt IN'!$H$43*12,CY406/(1+('PV IN'!$G$9))^(C406),0)</f>
        <v>0</v>
      </c>
      <c r="DA406" s="33">
        <f>IF(C406&lt;='Batt IN'!$H$43*12,AE406,0)</f>
        <v>0</v>
      </c>
    </row>
    <row r="407" spans="1:105" x14ac:dyDescent="0.25">
      <c r="A407" t="str">
        <f>IF(C407&lt;='Batt IN'!$H$43*12,C407,"")</f>
        <v/>
      </c>
      <c r="C407">
        <v>403</v>
      </c>
      <c r="D407" s="21">
        <v>833</v>
      </c>
      <c r="E407" s="1">
        <f>1-'Batt IN'!$E$31</f>
        <v>2.0000000000000018E-2</v>
      </c>
      <c r="F407" s="12">
        <f>('Batt IN'!$E$33*365)/8760</f>
        <v>0</v>
      </c>
      <c r="G407" s="22">
        <f>'Batt IN'!$E$32/8760</f>
        <v>5.7077625570776253E-3</v>
      </c>
      <c r="H407" s="22">
        <f>'Batt IN'!$E$13/8760</f>
        <v>5.5936073059360729E-3</v>
      </c>
      <c r="I407" s="23">
        <f>IF(C407&lt;='Batt IN'!$G$14*12,'Batt IN'!$E$15/8760*'Batt IN'!$G$15,0)</f>
        <v>0</v>
      </c>
      <c r="J407" s="12">
        <f>Z407/'Batt IN'!$E$27/730</f>
        <v>2.4999999999999996E-3</v>
      </c>
      <c r="K407" s="23">
        <f>AA407/'Batt IN'!$E$27/730</f>
        <v>1.6027397260273972E-3</v>
      </c>
      <c r="L407" s="23">
        <f>AB407/'Batt IN'!$E$27/730</f>
        <v>2.0547945205479451E-4</v>
      </c>
      <c r="M407" s="23">
        <f>AC407/'Batt IN'!$E$27/730</f>
        <v>4.7945205479452057E-3</v>
      </c>
      <c r="N407" s="23">
        <f>AD407/'Batt IN'!$E$27/730</f>
        <v>3.4246575342465752E-3</v>
      </c>
      <c r="O407" s="12">
        <f t="shared" si="102"/>
        <v>4.3828767123287697E-2</v>
      </c>
      <c r="P407" s="21">
        <f t="shared" si="103"/>
        <v>796.49063698630141</v>
      </c>
      <c r="Q407" s="2">
        <f>IF('Batt IN'!$E$27*'Batt IN'!$E$24&lt;='Batt IN'!$E$28,(('Batt IN'!$E$23*'Batt IN'!$E$27*'Batt IN'!$E$24)/1000)*P407,(('Batt IN'!$E$23*'Batt IN'!$E$28*'Batt IN'!$E$24)/1000)*P407)</f>
        <v>12743.850191780823</v>
      </c>
      <c r="R407" s="2"/>
      <c r="S407" s="77">
        <f>IF(C407&lt;='Batt IN'!$G$14*12,'Batt IN'!$E$15/12,0)</f>
        <v>0</v>
      </c>
      <c r="T407" s="77"/>
      <c r="U407" s="80">
        <f>'Batt IN'!$E$28*('Batt IN'!$G$24/24)*730*(1-O407)</f>
        <v>81433.916666666657</v>
      </c>
      <c r="V407" s="78">
        <f>U407*'Batt IN'!$F$30</f>
        <v>16286.783333333333</v>
      </c>
      <c r="W407" s="78">
        <f>'Batt IN'!$E$28*'Batt IN'!$G$32*('Batt IN'!$E$32/12)*(1+'Batt IN'!$F$30)</f>
        <v>1750.0000000000002</v>
      </c>
      <c r="X407" s="78">
        <f>'Batt IN'!$E$28*'Batt IN'!$G$13*('Batt IN'!$E$13/12)*(1+'Batt IN'!$F$30)</f>
        <v>3184.9999999999995</v>
      </c>
      <c r="Y407" s="33">
        <f>S407*'Batt IN'!$G$15*'Batt IN'!$E$28*(1+'Batt IN'!$F$30)</f>
        <v>0</v>
      </c>
      <c r="Z407" s="33">
        <f>'Batt IN'!$G$16*365/12*(1+'Batt IN'!$F$30)</f>
        <v>1824.9999999999998</v>
      </c>
      <c r="AA407" s="33">
        <f>'Batt IN'!$G$17*'Batt IN'!$E$18*'Batt IN'!$G$18/12*(1+'Batt IN'!$F$30)</f>
        <v>1170</v>
      </c>
      <c r="AB407" s="33">
        <f>'Batt IN'!$G$19*'Batt IN'!$E$20*'Batt IN'!$G$20/12*(1+'Batt IN'!$F$30)</f>
        <v>150</v>
      </c>
      <c r="AC407" s="33">
        <f>'Batt IN'!$G$21*(1+'Batt IN'!$F$30)/12</f>
        <v>3500</v>
      </c>
      <c r="AD407" s="33">
        <f>'Batt IN'!$G$22*(1+'Batt IN'!$F$30)/12</f>
        <v>2500</v>
      </c>
      <c r="AE407" s="33">
        <f t="shared" si="104"/>
        <v>30366.783333333333</v>
      </c>
      <c r="AF407" s="33">
        <f>IF('PV IN'!$F$4="Battery Only",0,AE407*'Batt IN'!$E$29)</f>
        <v>25811.765833333331</v>
      </c>
      <c r="AG407" s="33">
        <f>PVCalcs!L407</f>
        <v>25811.765833333331</v>
      </c>
      <c r="AH407" s="33">
        <f t="shared" si="105"/>
        <v>4555.0175000000017</v>
      </c>
      <c r="AI407" s="33"/>
      <c r="AJ407" s="2">
        <f>IF(AND('Batt IN'!$D$53="Yes",$AL$1&gt;=1),IF($C407='Batt IN'!$H$54*12,-'Batt IN'!$F$54,0),0)</f>
        <v>0</v>
      </c>
      <c r="AK407" s="2">
        <f>IF(AND('Batt IN'!$D$53="Yes",$AL$1&gt;=2),IF($C407='Batt IN'!$H$55*12,-'Batt IN'!$F$55,0),0)</f>
        <v>0</v>
      </c>
      <c r="AL407" s="2">
        <f>IF(AND('Batt IN'!$D$53="Yes",$AL$1&gt;=3),IF($C407='Batt IN'!$H$56*12,-'Batt IN'!$F$56,0),0)</f>
        <v>0</v>
      </c>
      <c r="AM407" s="2">
        <f>IF(AND('Batt IN'!$D$53="Yes",$AL$1&gt;=4),IF($C407='Batt IN'!$H$57*12,-'Batt IN'!$F$57,0),0)</f>
        <v>0</v>
      </c>
      <c r="AN407" s="2">
        <f>IF(AND('Batt IN'!$D$53="Yes",$AL$1&gt;=5),IF($C407='Batt IN'!$H$58*12,-'Batt IN'!$F$58,0),0)</f>
        <v>0</v>
      </c>
      <c r="AO407" s="10">
        <f>IF(AND('Batt IN'!$D$44="YES",$C407&lt;='Batt IN'!$E$44*12),-'Batt IN'!$E$28*'Batt IN'!$E$42/12,0)</f>
        <v>0</v>
      </c>
      <c r="AP407" s="10">
        <f>IF(AND('Batt IN'!$D$46="YES",$C407&lt;='Batt IN'!$E$46*12),-'Batt IN'!$E$28*'Batt IN'!$E$45/12,0)</f>
        <v>0</v>
      </c>
      <c r="AR407" s="10">
        <f>BattLoan!M434</f>
        <v>0</v>
      </c>
      <c r="AS407" s="10">
        <f>'Batt IN'!$G$16*365/12*'Batt IN'!$E$16</f>
        <v>76.041666666666671</v>
      </c>
      <c r="AT407" s="10">
        <f>IF(AND('Batt IN'!$E$18&gt;0,'Batt IN'!$G$18&gt;0),'Batt IN'!$E$17*'Batt IN'!$G$17,0)</f>
        <v>119.44619999999999</v>
      </c>
      <c r="AU407" s="10">
        <f>IF(AND('Batt IN'!$E$20&gt;0,'Batt IN'!$G$20&gt;0),'Batt IN'!$E$19*'Batt IN'!$G$19,0)</f>
        <v>231</v>
      </c>
      <c r="AV407" s="10"/>
      <c r="AW407" s="10"/>
      <c r="AX407" s="10">
        <f>IF('Batt IN'!$E$11="Non-Taxable",Q407,0)</f>
        <v>12743.850191780823</v>
      </c>
      <c r="AY407" s="10">
        <f>IF('Batt IN'!$E$11="Non-Taxable",'Batt IN'!$E$28/1000*'Batt IN'!$G$13*('Batt IN'!$E$13/12)*'Batt IN'!$E$12,0)</f>
        <v>244.42220833333334</v>
      </c>
      <c r="AZ407" s="10">
        <f>IF('Batt IN'!$E$11="Non-Taxable",$S407*'Batt IN'!$G$15*'Batt IN'!$E$28*'Batt IN'!$E$14/1000,0)</f>
        <v>0</v>
      </c>
      <c r="BA407" s="10">
        <f>IF('Batt IN'!$E$11="Non-Taxable",'Batt IN'!$E$21*'Batt IN'!$G$21/12,0)</f>
        <v>437.5</v>
      </c>
      <c r="BB407" s="10">
        <f>IF('Batt IN'!$E$11="Non-Taxable",'Batt IN'!$E$22*'Batt IN'!$G$22/12,0)</f>
        <v>1145.8333333333335</v>
      </c>
      <c r="BC407" s="10">
        <f>IF('Batt IN'!$E$11="Taxable",Q407,0)</f>
        <v>0</v>
      </c>
      <c r="BD407" s="10">
        <f>IF('Batt IN'!$E$11="Taxable",'Batt IN'!$E$28/1000*'Batt IN'!$G$13*('Batt IN'!$E$13/12)*'Batt IN'!$E$12,0)</f>
        <v>0</v>
      </c>
      <c r="BE407" s="10">
        <f>IF('Batt IN'!$E$11="Taxable",$S407*'Batt IN'!$G$15*'Batt IN'!$E$28*'Batt IN'!$E$14/1000,0)</f>
        <v>0</v>
      </c>
      <c r="BF407" s="10">
        <f>IF('Batt IN'!$E$11="Taxable",'Batt IN'!$E$21*'Batt IN'!$G$21/12,0)</f>
        <v>0</v>
      </c>
      <c r="BG407" s="10">
        <f>IF('Batt IN'!$E$11="Taxable",'Batt IN'!$E$22*'Batt IN'!$G$22/12,0)</f>
        <v>0</v>
      </c>
      <c r="BK407" s="10">
        <f>IF('Batt IN'!$N$18="Yes",-BattLoan!H435,-BattLoan!L435)</f>
        <v>0</v>
      </c>
      <c r="BL407" s="10">
        <f>IF('Batt IN'!$N$18="Yes",-BattLoan!F435,0)</f>
        <v>0</v>
      </c>
      <c r="BM407" s="10">
        <f>IF(AND('Batt IN'!$D$44="YES",$C407&lt;='Batt IN'!$E$44*12),0,-'Batt IN'!$E$28*'Batt IN'!$E$42/12)</f>
        <v>-83.333333333333329</v>
      </c>
      <c r="BN407" s="10">
        <f>IF(AND('Batt IN'!$D$46="YES",$C407&lt;='Batt IN'!$E$46*12),0,-'Batt IN'!$E$28*'Batt IN'!$E$45/12)</f>
        <v>-166.66666666666666</v>
      </c>
      <c r="BO407" s="2">
        <f>IF(AND('Batt IN'!$D$41="YES",BattCalcs!C407=ROUNDUP('Batt IN'!$H$41*12,)),-'Batt IN'!$E$41*'Batt IN'!$E$28,0)</f>
        <v>0</v>
      </c>
      <c r="BP407" s="2">
        <f>IF(AND('Batt IN'!$D$53="Yes",$AL$1&gt;=1),0,IF($C407='Batt IN'!$H$54*12,-'Batt IN'!$F$54,0))</f>
        <v>0</v>
      </c>
      <c r="BQ407" s="2">
        <f>IF(AND('Batt IN'!$D$53="Yes",$AL$1&gt;=2),0,IF($C407='Batt IN'!$H$55*12,-'Batt IN'!$F$55,0))</f>
        <v>0</v>
      </c>
      <c r="BR407" s="2">
        <f>IF(AND('Batt IN'!$D$53="Yes",$AL$1&gt;=3),0,IF($C407='Batt IN'!$H$56*12,-'Batt IN'!$F$56,0))</f>
        <v>0</v>
      </c>
      <c r="BS407" s="2">
        <f>IF(AND('Batt IN'!$D$53="Yes",$AL$1&gt;=4),0,IF($C407='Batt IN'!$H$57*12,-'Batt IN'!$F$57,0))</f>
        <v>0</v>
      </c>
      <c r="BT407" s="2">
        <f>IF(AND('Batt IN'!$D$53="Yes",$AL$1&gt;=5),0,IF($C407='Batt IN'!$H$58*12,-'Batt IN'!$F$58,0))</f>
        <v>0</v>
      </c>
      <c r="BU407" s="2">
        <f>-AH407*PVCalcs!F407</f>
        <v>-359.37504381576838</v>
      </c>
      <c r="BV407" s="2">
        <f>-'Batt IN'!$E$47</f>
        <v>-150</v>
      </c>
      <c r="BW407" s="2">
        <f>-'Batt IN'!$E$49</f>
        <v>-2250</v>
      </c>
      <c r="BX407" s="2">
        <f>IF('Batt IN'!$H$50="No",-(BC407*'Batt IN'!$E$50),-(BC407+BE407)*'Batt IN'!$E$50)</f>
        <v>0</v>
      </c>
      <c r="BY407" s="2">
        <f>IF(C407='Batt IN'!$H$43*12,-'Batt IN'!$E$43,0)</f>
        <v>0</v>
      </c>
      <c r="BZ407" s="38"/>
      <c r="CA407" s="10">
        <f t="shared" si="106"/>
        <v>14998.093600114156</v>
      </c>
      <c r="CB407" s="2">
        <f t="shared" si="111"/>
        <v>-3009.3750438157685</v>
      </c>
      <c r="CC407" s="45">
        <f t="shared" si="107"/>
        <v>11988.718556298387</v>
      </c>
      <c r="CD407" s="43"/>
      <c r="CE407" s="2">
        <f t="shared" si="108"/>
        <v>0</v>
      </c>
      <c r="CF407" s="2">
        <f t="shared" si="112"/>
        <v>-3009.3750438157685</v>
      </c>
      <c r="CG407" s="2"/>
      <c r="CH407" s="2">
        <f t="shared" si="109"/>
        <v>-3009.3750438157685</v>
      </c>
      <c r="CI407" s="45">
        <f>-CH407*'Batt IN'!$E$7</f>
        <v>631.9687592013114</v>
      </c>
      <c r="CJ407" s="48"/>
      <c r="CK407" s="45">
        <f>IF('Batt IN'!$F$4="PV Only",0,IF(C407&gt;'Batt IN'!$H$43*12,0,CC407+CI407))</f>
        <v>0</v>
      </c>
      <c r="CM407" s="10">
        <f t="shared" si="110"/>
        <v>0</v>
      </c>
      <c r="CN407" s="2">
        <f>CK407/(1+('Batt IN'!$G$8))^(C407)</f>
        <v>0</v>
      </c>
      <c r="CO407" s="2" t="e">
        <f>IF(C407&lt;='Batt IN'!$O$30*12,CN407+CO406,NA())</f>
        <v>#N/A</v>
      </c>
      <c r="CQ407" s="2">
        <f>CK407/((1+('Batt IN'!$E$8/12))^BattCalcs!C407)</f>
        <v>0</v>
      </c>
      <c r="CS407" s="10">
        <f t="shared" si="113"/>
        <v>-3009.3750438157685</v>
      </c>
      <c r="CT407" s="10">
        <f t="shared" si="114"/>
        <v>0</v>
      </c>
      <c r="CU407" s="10">
        <f t="shared" si="115"/>
        <v>-3009.3750438157685</v>
      </c>
      <c r="CV407" s="10">
        <f t="shared" si="116"/>
        <v>-3009.3750438157685</v>
      </c>
      <c r="CW407" s="2">
        <f t="shared" si="117"/>
        <v>0</v>
      </c>
      <c r="CX407" s="2">
        <f>-(SUM(CV407:CW407)*'PV IN'!$E$8)</f>
        <v>631.9687592013114</v>
      </c>
      <c r="CY407" s="2">
        <f t="shared" si="118"/>
        <v>-2377.406284614457</v>
      </c>
      <c r="CZ407" s="2">
        <f>IF(C407&lt;='Batt IN'!$H$43*12,CY407/(1+('PV IN'!$G$9))^(C407),0)</f>
        <v>0</v>
      </c>
      <c r="DA407" s="33">
        <f>IF(C407&lt;='Batt IN'!$H$43*12,AE407,0)</f>
        <v>0</v>
      </c>
    </row>
    <row r="408" spans="1:105" x14ac:dyDescent="0.25">
      <c r="A408" t="str">
        <f>IF(C408&lt;='Batt IN'!$H$43*12,C408,"")</f>
        <v/>
      </c>
      <c r="C408">
        <v>404</v>
      </c>
      <c r="D408" s="21">
        <v>834</v>
      </c>
      <c r="E408" s="1">
        <f>1-'Batt IN'!$E$31</f>
        <v>2.0000000000000018E-2</v>
      </c>
      <c r="F408" s="12">
        <f>('Batt IN'!$E$33*365)/8760</f>
        <v>0</v>
      </c>
      <c r="G408" s="22">
        <f>'Batt IN'!$E$32/8760</f>
        <v>5.7077625570776253E-3</v>
      </c>
      <c r="H408" s="22">
        <f>'Batt IN'!$E$13/8760</f>
        <v>5.5936073059360729E-3</v>
      </c>
      <c r="I408" s="23">
        <f>IF(C408&lt;='Batt IN'!$G$14*12,'Batt IN'!$E$15/8760*'Batt IN'!$G$15,0)</f>
        <v>0</v>
      </c>
      <c r="J408" s="12">
        <f>Z408/'Batt IN'!$E$27/730</f>
        <v>2.4999999999999996E-3</v>
      </c>
      <c r="K408" s="23">
        <f>AA408/'Batt IN'!$E$27/730</f>
        <v>1.6027397260273972E-3</v>
      </c>
      <c r="L408" s="23">
        <f>AB408/'Batt IN'!$E$27/730</f>
        <v>2.0547945205479451E-4</v>
      </c>
      <c r="M408" s="23">
        <f>AC408/'Batt IN'!$E$27/730</f>
        <v>4.7945205479452057E-3</v>
      </c>
      <c r="N408" s="23">
        <f>AD408/'Batt IN'!$E$27/730</f>
        <v>3.4246575342465752E-3</v>
      </c>
      <c r="O408" s="12">
        <f t="shared" si="102"/>
        <v>4.3828767123287697E-2</v>
      </c>
      <c r="P408" s="21">
        <f t="shared" si="103"/>
        <v>797.44680821917814</v>
      </c>
      <c r="Q408" s="2">
        <f>IF('Batt IN'!$E$27*'Batt IN'!$E$24&lt;='Batt IN'!$E$28,(('Batt IN'!$E$23*'Batt IN'!$E$27*'Batt IN'!$E$24)/1000)*P408,(('Batt IN'!$E$23*'Batt IN'!$E$28*'Batt IN'!$E$24)/1000)*P408)</f>
        <v>12759.14893150685</v>
      </c>
      <c r="R408" s="2"/>
      <c r="S408" s="77">
        <f>IF(C408&lt;='Batt IN'!$G$14*12,'Batt IN'!$E$15/12,0)</f>
        <v>0</v>
      </c>
      <c r="T408" s="77"/>
      <c r="U408" s="80">
        <f>'Batt IN'!$E$28*('Batt IN'!$G$24/24)*730*(1-O408)</f>
        <v>81433.916666666657</v>
      </c>
      <c r="V408" s="78">
        <f>U408*'Batt IN'!$F$30</f>
        <v>16286.783333333333</v>
      </c>
      <c r="W408" s="78">
        <f>'Batt IN'!$E$28*'Batt IN'!$G$32*('Batt IN'!$E$32/12)*(1+'Batt IN'!$F$30)</f>
        <v>1750.0000000000002</v>
      </c>
      <c r="X408" s="78">
        <f>'Batt IN'!$E$28*'Batt IN'!$G$13*('Batt IN'!$E$13/12)*(1+'Batt IN'!$F$30)</f>
        <v>3184.9999999999995</v>
      </c>
      <c r="Y408" s="33">
        <f>S408*'Batt IN'!$G$15*'Batt IN'!$E$28*(1+'Batt IN'!$F$30)</f>
        <v>0</v>
      </c>
      <c r="Z408" s="33">
        <f>'Batt IN'!$G$16*365/12*(1+'Batt IN'!$F$30)</f>
        <v>1824.9999999999998</v>
      </c>
      <c r="AA408" s="33">
        <f>'Batt IN'!$G$17*'Batt IN'!$E$18*'Batt IN'!$G$18/12*(1+'Batt IN'!$F$30)</f>
        <v>1170</v>
      </c>
      <c r="AB408" s="33">
        <f>'Batt IN'!$G$19*'Batt IN'!$E$20*'Batt IN'!$G$20/12*(1+'Batt IN'!$F$30)</f>
        <v>150</v>
      </c>
      <c r="AC408" s="33">
        <f>'Batt IN'!$G$21*(1+'Batt IN'!$F$30)/12</f>
        <v>3500</v>
      </c>
      <c r="AD408" s="33">
        <f>'Batt IN'!$G$22*(1+'Batt IN'!$F$30)/12</f>
        <v>2500</v>
      </c>
      <c r="AE408" s="33">
        <f t="shared" si="104"/>
        <v>30366.783333333333</v>
      </c>
      <c r="AF408" s="33">
        <f>IF('PV IN'!$F$4="Battery Only",0,AE408*'Batt IN'!$E$29)</f>
        <v>25811.765833333331</v>
      </c>
      <c r="AG408" s="33">
        <f>PVCalcs!L408</f>
        <v>25811.765833333331</v>
      </c>
      <c r="AH408" s="33">
        <f t="shared" si="105"/>
        <v>4555.0175000000017</v>
      </c>
      <c r="AI408" s="33"/>
      <c r="AJ408" s="2">
        <f>IF(AND('Batt IN'!$D$53="Yes",$AL$1&gt;=1),IF($C408='Batt IN'!$H$54*12,-'Batt IN'!$F$54,0),0)</f>
        <v>0</v>
      </c>
      <c r="AK408" s="2">
        <f>IF(AND('Batt IN'!$D$53="Yes",$AL$1&gt;=2),IF($C408='Batt IN'!$H$55*12,-'Batt IN'!$F$55,0),0)</f>
        <v>0</v>
      </c>
      <c r="AL408" s="2">
        <f>IF(AND('Batt IN'!$D$53="Yes",$AL$1&gt;=3),IF($C408='Batt IN'!$H$56*12,-'Batt IN'!$F$56,0),0)</f>
        <v>0</v>
      </c>
      <c r="AM408" s="2">
        <f>IF(AND('Batt IN'!$D$53="Yes",$AL$1&gt;=4),IF($C408='Batt IN'!$H$57*12,-'Batt IN'!$F$57,0),0)</f>
        <v>0</v>
      </c>
      <c r="AN408" s="2">
        <f>IF(AND('Batt IN'!$D$53="Yes",$AL$1&gt;=5),IF($C408='Batt IN'!$H$58*12,-'Batt IN'!$F$58,0),0)</f>
        <v>0</v>
      </c>
      <c r="AO408" s="10">
        <f>IF(AND('Batt IN'!$D$44="YES",$C408&lt;='Batt IN'!$E$44*12),-'Batt IN'!$E$28*'Batt IN'!$E$42/12,0)</f>
        <v>0</v>
      </c>
      <c r="AP408" s="10">
        <f>IF(AND('Batt IN'!$D$46="YES",$C408&lt;='Batt IN'!$E$46*12),-'Batt IN'!$E$28*'Batt IN'!$E$45/12,0)</f>
        <v>0</v>
      </c>
      <c r="AR408" s="10">
        <f>BattLoan!M435</f>
        <v>0</v>
      </c>
      <c r="AS408" s="10">
        <f>'Batt IN'!$G$16*365/12*'Batt IN'!$E$16</f>
        <v>76.041666666666671</v>
      </c>
      <c r="AT408" s="10">
        <f>IF(AND('Batt IN'!$E$18&gt;0,'Batt IN'!$G$18&gt;0),'Batt IN'!$E$17*'Batt IN'!$G$17,0)</f>
        <v>119.44619999999999</v>
      </c>
      <c r="AU408" s="10">
        <f>IF(AND('Batt IN'!$E$20&gt;0,'Batt IN'!$G$20&gt;0),'Batt IN'!$E$19*'Batt IN'!$G$19,0)</f>
        <v>231</v>
      </c>
      <c r="AV408" s="10"/>
      <c r="AW408" s="10"/>
      <c r="AX408" s="10">
        <f>IF('Batt IN'!$E$11="Non-Taxable",Q408,0)</f>
        <v>12759.14893150685</v>
      </c>
      <c r="AY408" s="10">
        <f>IF('Batt IN'!$E$11="Non-Taxable",'Batt IN'!$E$28/1000*'Batt IN'!$G$13*('Batt IN'!$E$13/12)*'Batt IN'!$E$12,0)</f>
        <v>244.42220833333334</v>
      </c>
      <c r="AZ408" s="10">
        <f>IF('Batt IN'!$E$11="Non-Taxable",$S408*'Batt IN'!$G$15*'Batt IN'!$E$28*'Batt IN'!$E$14/1000,0)</f>
        <v>0</v>
      </c>
      <c r="BA408" s="10">
        <f>IF('Batt IN'!$E$11="Non-Taxable",'Batt IN'!$E$21*'Batt IN'!$G$21/12,0)</f>
        <v>437.5</v>
      </c>
      <c r="BB408" s="10">
        <f>IF('Batt IN'!$E$11="Non-Taxable",'Batt IN'!$E$22*'Batt IN'!$G$22/12,0)</f>
        <v>1145.8333333333335</v>
      </c>
      <c r="BC408" s="10">
        <f>IF('Batt IN'!$E$11="Taxable",Q408,0)</f>
        <v>0</v>
      </c>
      <c r="BD408" s="10">
        <f>IF('Batt IN'!$E$11="Taxable",'Batt IN'!$E$28/1000*'Batt IN'!$G$13*('Batt IN'!$E$13/12)*'Batt IN'!$E$12,0)</f>
        <v>0</v>
      </c>
      <c r="BE408" s="10">
        <f>IF('Batt IN'!$E$11="Taxable",$S408*'Batt IN'!$G$15*'Batt IN'!$E$28*'Batt IN'!$E$14/1000,0)</f>
        <v>0</v>
      </c>
      <c r="BF408" s="10">
        <f>IF('Batt IN'!$E$11="Taxable",'Batt IN'!$E$21*'Batt IN'!$G$21/12,0)</f>
        <v>0</v>
      </c>
      <c r="BG408" s="10">
        <f>IF('Batt IN'!$E$11="Taxable",'Batt IN'!$E$22*'Batt IN'!$G$22/12,0)</f>
        <v>0</v>
      </c>
      <c r="BK408" s="10">
        <f>IF('Batt IN'!$N$18="Yes",-BattLoan!H436,-BattLoan!L436)</f>
        <v>0</v>
      </c>
      <c r="BL408" s="10">
        <f>IF('Batt IN'!$N$18="Yes",-BattLoan!F436,0)</f>
        <v>0</v>
      </c>
      <c r="BM408" s="10">
        <f>IF(AND('Batt IN'!$D$44="YES",$C408&lt;='Batt IN'!$E$44*12),0,-'Batt IN'!$E$28*'Batt IN'!$E$42/12)</f>
        <v>-83.333333333333329</v>
      </c>
      <c r="BN408" s="10">
        <f>IF(AND('Batt IN'!$D$46="YES",$C408&lt;='Batt IN'!$E$46*12),0,-'Batt IN'!$E$28*'Batt IN'!$E$45/12)</f>
        <v>-166.66666666666666</v>
      </c>
      <c r="BO408" s="2">
        <f>IF(AND('Batt IN'!$D$41="YES",BattCalcs!C408=ROUNDUP('Batt IN'!$H$41*12,)),-'Batt IN'!$E$41*'Batt IN'!$E$28,0)</f>
        <v>0</v>
      </c>
      <c r="BP408" s="2">
        <f>IF(AND('Batt IN'!$D$53="Yes",$AL$1&gt;=1),0,IF($C408='Batt IN'!$H$54*12,-'Batt IN'!$F$54,0))</f>
        <v>0</v>
      </c>
      <c r="BQ408" s="2">
        <f>IF(AND('Batt IN'!$D$53="Yes",$AL$1&gt;=2),0,IF($C408='Batt IN'!$H$55*12,-'Batt IN'!$F$55,0))</f>
        <v>0</v>
      </c>
      <c r="BR408" s="2">
        <f>IF(AND('Batt IN'!$D$53="Yes",$AL$1&gt;=3),0,IF($C408='Batt IN'!$H$56*12,-'Batt IN'!$F$56,0))</f>
        <v>0</v>
      </c>
      <c r="BS408" s="2">
        <f>IF(AND('Batt IN'!$D$53="Yes",$AL$1&gt;=4),0,IF($C408='Batt IN'!$H$57*12,-'Batt IN'!$F$57,0))</f>
        <v>0</v>
      </c>
      <c r="BT408" s="2">
        <f>IF(AND('Batt IN'!$D$53="Yes",$AL$1&gt;=5),0,IF($C408='Batt IN'!$H$58*12,-'Batt IN'!$F$58,0))</f>
        <v>0</v>
      </c>
      <c r="BU408" s="2">
        <f>-AH408*PVCalcs!F408</f>
        <v>-359.37504381576838</v>
      </c>
      <c r="BV408" s="2">
        <f>-'Batt IN'!$E$47</f>
        <v>-150</v>
      </c>
      <c r="BW408" s="2">
        <f>-'Batt IN'!$E$49</f>
        <v>-2250</v>
      </c>
      <c r="BX408" s="2">
        <f>IF('Batt IN'!$H$50="No",-(BC408*'Batt IN'!$E$50),-(BC408+BE408)*'Batt IN'!$E$50)</f>
        <v>0</v>
      </c>
      <c r="BY408" s="2">
        <f>IF(C408='Batt IN'!$H$43*12,-'Batt IN'!$E$43,0)</f>
        <v>0</v>
      </c>
      <c r="BZ408" s="38"/>
      <c r="CA408" s="10">
        <f t="shared" si="106"/>
        <v>15013.392339840184</v>
      </c>
      <c r="CB408" s="2">
        <f t="shared" si="111"/>
        <v>-3009.3750438157685</v>
      </c>
      <c r="CC408" s="45">
        <f t="shared" si="107"/>
        <v>12004.017296024416</v>
      </c>
      <c r="CD408" s="43"/>
      <c r="CE408" s="2">
        <f t="shared" si="108"/>
        <v>0</v>
      </c>
      <c r="CF408" s="2">
        <f t="shared" si="112"/>
        <v>-3009.3750438157685</v>
      </c>
      <c r="CG408" s="2"/>
      <c r="CH408" s="2">
        <f t="shared" si="109"/>
        <v>-3009.3750438157685</v>
      </c>
      <c r="CI408" s="45">
        <f>-CH408*'Batt IN'!$E$7</f>
        <v>631.9687592013114</v>
      </c>
      <c r="CJ408" s="48"/>
      <c r="CK408" s="45">
        <f>IF('Batt IN'!$F$4="PV Only",0,IF(C408&gt;'Batt IN'!$H$43*12,0,CC408+CI408))</f>
        <v>0</v>
      </c>
      <c r="CM408" s="10">
        <f t="shared" si="110"/>
        <v>0</v>
      </c>
      <c r="CN408" s="2">
        <f>CK408/(1+('Batt IN'!$G$8))^(C408)</f>
        <v>0</v>
      </c>
      <c r="CO408" s="2" t="e">
        <f>IF(C408&lt;='Batt IN'!$O$30*12,CN408+CO407,NA())</f>
        <v>#N/A</v>
      </c>
      <c r="CQ408" s="2">
        <f>CK408/((1+('Batt IN'!$E$8/12))^BattCalcs!C408)</f>
        <v>0</v>
      </c>
      <c r="CS408" s="10">
        <f t="shared" si="113"/>
        <v>-3009.3750438157685</v>
      </c>
      <c r="CT408" s="10">
        <f t="shared" si="114"/>
        <v>0</v>
      </c>
      <c r="CU408" s="10">
        <f t="shared" si="115"/>
        <v>-3009.3750438157685</v>
      </c>
      <c r="CV408" s="10">
        <f t="shared" si="116"/>
        <v>-3009.3750438157685</v>
      </c>
      <c r="CW408" s="2">
        <f t="shared" si="117"/>
        <v>0</v>
      </c>
      <c r="CX408" s="2">
        <f>-(SUM(CV408:CW408)*'PV IN'!$E$8)</f>
        <v>631.9687592013114</v>
      </c>
      <c r="CY408" s="2">
        <f t="shared" si="118"/>
        <v>-2377.406284614457</v>
      </c>
      <c r="CZ408" s="2">
        <f>IF(C408&lt;='Batt IN'!$H$43*12,CY408/(1+('PV IN'!$G$9))^(C408),0)</f>
        <v>0</v>
      </c>
      <c r="DA408" s="33">
        <f>IF(C408&lt;='Batt IN'!$H$43*12,AE408,0)</f>
        <v>0</v>
      </c>
    </row>
    <row r="409" spans="1:105" x14ac:dyDescent="0.25">
      <c r="A409" t="str">
        <f>IF(C409&lt;='Batt IN'!$H$43*12,C409,"")</f>
        <v/>
      </c>
      <c r="C409">
        <v>405</v>
      </c>
      <c r="D409" s="21">
        <v>835</v>
      </c>
      <c r="E409" s="1">
        <f>1-'Batt IN'!$E$31</f>
        <v>2.0000000000000018E-2</v>
      </c>
      <c r="F409" s="12">
        <f>('Batt IN'!$E$33*365)/8760</f>
        <v>0</v>
      </c>
      <c r="G409" s="22">
        <f>'Batt IN'!$E$32/8760</f>
        <v>5.7077625570776253E-3</v>
      </c>
      <c r="H409" s="22">
        <f>'Batt IN'!$E$13/8760</f>
        <v>5.5936073059360729E-3</v>
      </c>
      <c r="I409" s="23">
        <f>IF(C409&lt;='Batt IN'!$G$14*12,'Batt IN'!$E$15/8760*'Batt IN'!$G$15,0)</f>
        <v>0</v>
      </c>
      <c r="J409" s="12">
        <f>Z409/'Batt IN'!$E$27/730</f>
        <v>2.4999999999999996E-3</v>
      </c>
      <c r="K409" s="23">
        <f>AA409/'Batt IN'!$E$27/730</f>
        <v>1.6027397260273972E-3</v>
      </c>
      <c r="L409" s="23">
        <f>AB409/'Batt IN'!$E$27/730</f>
        <v>2.0547945205479451E-4</v>
      </c>
      <c r="M409" s="23">
        <f>AC409/'Batt IN'!$E$27/730</f>
        <v>4.7945205479452057E-3</v>
      </c>
      <c r="N409" s="23">
        <f>AD409/'Batt IN'!$E$27/730</f>
        <v>3.4246575342465752E-3</v>
      </c>
      <c r="O409" s="12">
        <f t="shared" si="102"/>
        <v>4.3828767123287697E-2</v>
      </c>
      <c r="P409" s="21">
        <f t="shared" si="103"/>
        <v>798.40297945205486</v>
      </c>
      <c r="Q409" s="2">
        <f>IF('Batt IN'!$E$27*'Batt IN'!$E$24&lt;='Batt IN'!$E$28,(('Batt IN'!$E$23*'Batt IN'!$E$27*'Batt IN'!$E$24)/1000)*P409,(('Batt IN'!$E$23*'Batt IN'!$E$28*'Batt IN'!$E$24)/1000)*P409)</f>
        <v>12774.447671232878</v>
      </c>
      <c r="R409" s="2"/>
      <c r="S409" s="77">
        <f>IF(C409&lt;='Batt IN'!$G$14*12,'Batt IN'!$E$15/12,0)</f>
        <v>0</v>
      </c>
      <c r="T409" s="77"/>
      <c r="U409" s="80">
        <f>'Batt IN'!$E$28*('Batt IN'!$G$24/24)*730*(1-O409)</f>
        <v>81433.916666666657</v>
      </c>
      <c r="V409" s="78">
        <f>U409*'Batt IN'!$F$30</f>
        <v>16286.783333333333</v>
      </c>
      <c r="W409" s="78">
        <f>'Batt IN'!$E$28*'Batt IN'!$G$32*('Batt IN'!$E$32/12)*(1+'Batt IN'!$F$30)</f>
        <v>1750.0000000000002</v>
      </c>
      <c r="X409" s="78">
        <f>'Batt IN'!$E$28*'Batt IN'!$G$13*('Batt IN'!$E$13/12)*(1+'Batt IN'!$F$30)</f>
        <v>3184.9999999999995</v>
      </c>
      <c r="Y409" s="33">
        <f>S409*'Batt IN'!$G$15*'Batt IN'!$E$28*(1+'Batt IN'!$F$30)</f>
        <v>0</v>
      </c>
      <c r="Z409" s="33">
        <f>'Batt IN'!$G$16*365/12*(1+'Batt IN'!$F$30)</f>
        <v>1824.9999999999998</v>
      </c>
      <c r="AA409" s="33">
        <f>'Batt IN'!$G$17*'Batt IN'!$E$18*'Batt IN'!$G$18/12*(1+'Batt IN'!$F$30)</f>
        <v>1170</v>
      </c>
      <c r="AB409" s="33">
        <f>'Batt IN'!$G$19*'Batt IN'!$E$20*'Batt IN'!$G$20/12*(1+'Batt IN'!$F$30)</f>
        <v>150</v>
      </c>
      <c r="AC409" s="33">
        <f>'Batt IN'!$G$21*(1+'Batt IN'!$F$30)/12</f>
        <v>3500</v>
      </c>
      <c r="AD409" s="33">
        <f>'Batt IN'!$G$22*(1+'Batt IN'!$F$30)/12</f>
        <v>2500</v>
      </c>
      <c r="AE409" s="33">
        <f t="shared" si="104"/>
        <v>30366.783333333333</v>
      </c>
      <c r="AF409" s="33">
        <f>IF('PV IN'!$F$4="Battery Only",0,AE409*'Batt IN'!$E$29)</f>
        <v>25811.765833333331</v>
      </c>
      <c r="AG409" s="33">
        <f>PVCalcs!L409</f>
        <v>25811.765833333331</v>
      </c>
      <c r="AH409" s="33">
        <f t="shared" si="105"/>
        <v>4555.0175000000017</v>
      </c>
      <c r="AI409" s="33"/>
      <c r="AJ409" s="2">
        <f>IF(AND('Batt IN'!$D$53="Yes",$AL$1&gt;=1),IF($C409='Batt IN'!$H$54*12,-'Batt IN'!$F$54,0),0)</f>
        <v>0</v>
      </c>
      <c r="AK409" s="2">
        <f>IF(AND('Batt IN'!$D$53="Yes",$AL$1&gt;=2),IF($C409='Batt IN'!$H$55*12,-'Batt IN'!$F$55,0),0)</f>
        <v>0</v>
      </c>
      <c r="AL409" s="2">
        <f>IF(AND('Batt IN'!$D$53="Yes",$AL$1&gt;=3),IF($C409='Batt IN'!$H$56*12,-'Batt IN'!$F$56,0),0)</f>
        <v>0</v>
      </c>
      <c r="AM409" s="2">
        <f>IF(AND('Batt IN'!$D$53="Yes",$AL$1&gt;=4),IF($C409='Batt IN'!$H$57*12,-'Batt IN'!$F$57,0),0)</f>
        <v>0</v>
      </c>
      <c r="AN409" s="2">
        <f>IF(AND('Batt IN'!$D$53="Yes",$AL$1&gt;=5),IF($C409='Batt IN'!$H$58*12,-'Batt IN'!$F$58,0),0)</f>
        <v>0</v>
      </c>
      <c r="AO409" s="10">
        <f>IF(AND('Batt IN'!$D$44="YES",$C409&lt;='Batt IN'!$E$44*12),-'Batt IN'!$E$28*'Batt IN'!$E$42/12,0)</f>
        <v>0</v>
      </c>
      <c r="AP409" s="10">
        <f>IF(AND('Batt IN'!$D$46="YES",$C409&lt;='Batt IN'!$E$46*12),-'Batt IN'!$E$28*'Batt IN'!$E$45/12,0)</f>
        <v>0</v>
      </c>
      <c r="AR409" s="10">
        <f>BattLoan!M436</f>
        <v>0</v>
      </c>
      <c r="AS409" s="10">
        <f>'Batt IN'!$G$16*365/12*'Batt IN'!$E$16</f>
        <v>76.041666666666671</v>
      </c>
      <c r="AT409" s="10">
        <f>IF(AND('Batt IN'!$E$18&gt;0,'Batt IN'!$G$18&gt;0),'Batt IN'!$E$17*'Batt IN'!$G$17,0)</f>
        <v>119.44619999999999</v>
      </c>
      <c r="AU409" s="10">
        <f>IF(AND('Batt IN'!$E$20&gt;0,'Batt IN'!$G$20&gt;0),'Batt IN'!$E$19*'Batt IN'!$G$19,0)</f>
        <v>231</v>
      </c>
      <c r="AV409" s="10"/>
      <c r="AW409" s="10"/>
      <c r="AX409" s="10">
        <f>IF('Batt IN'!$E$11="Non-Taxable",Q409,0)</f>
        <v>12774.447671232878</v>
      </c>
      <c r="AY409" s="10">
        <f>IF('Batt IN'!$E$11="Non-Taxable",'Batt IN'!$E$28/1000*'Batt IN'!$G$13*('Batt IN'!$E$13/12)*'Batt IN'!$E$12,0)</f>
        <v>244.42220833333334</v>
      </c>
      <c r="AZ409" s="10">
        <f>IF('Batt IN'!$E$11="Non-Taxable",$S409*'Batt IN'!$G$15*'Batt IN'!$E$28*'Batt IN'!$E$14/1000,0)</f>
        <v>0</v>
      </c>
      <c r="BA409" s="10">
        <f>IF('Batt IN'!$E$11="Non-Taxable",'Batt IN'!$E$21*'Batt IN'!$G$21/12,0)</f>
        <v>437.5</v>
      </c>
      <c r="BB409" s="10">
        <f>IF('Batt IN'!$E$11="Non-Taxable",'Batt IN'!$E$22*'Batt IN'!$G$22/12,0)</f>
        <v>1145.8333333333335</v>
      </c>
      <c r="BC409" s="10">
        <f>IF('Batt IN'!$E$11="Taxable",Q409,0)</f>
        <v>0</v>
      </c>
      <c r="BD409" s="10">
        <f>IF('Batt IN'!$E$11="Taxable",'Batt IN'!$E$28/1000*'Batt IN'!$G$13*('Batt IN'!$E$13/12)*'Batt IN'!$E$12,0)</f>
        <v>0</v>
      </c>
      <c r="BE409" s="10">
        <f>IF('Batt IN'!$E$11="Taxable",$S409*'Batt IN'!$G$15*'Batt IN'!$E$28*'Batt IN'!$E$14/1000,0)</f>
        <v>0</v>
      </c>
      <c r="BF409" s="10">
        <f>IF('Batt IN'!$E$11="Taxable",'Batt IN'!$E$21*'Batt IN'!$G$21/12,0)</f>
        <v>0</v>
      </c>
      <c r="BG409" s="10">
        <f>IF('Batt IN'!$E$11="Taxable",'Batt IN'!$E$22*'Batt IN'!$G$22/12,0)</f>
        <v>0</v>
      </c>
      <c r="BK409" s="10">
        <f>IF('Batt IN'!$N$18="Yes",-BattLoan!H437,-BattLoan!L437)</f>
        <v>0</v>
      </c>
      <c r="BL409" s="10">
        <f>IF('Batt IN'!$N$18="Yes",-BattLoan!F437,0)</f>
        <v>0</v>
      </c>
      <c r="BM409" s="10">
        <f>IF(AND('Batt IN'!$D$44="YES",$C409&lt;='Batt IN'!$E$44*12),0,-'Batt IN'!$E$28*'Batt IN'!$E$42/12)</f>
        <v>-83.333333333333329</v>
      </c>
      <c r="BN409" s="10">
        <f>IF(AND('Batt IN'!$D$46="YES",$C409&lt;='Batt IN'!$E$46*12),0,-'Batt IN'!$E$28*'Batt IN'!$E$45/12)</f>
        <v>-166.66666666666666</v>
      </c>
      <c r="BO409" s="2">
        <f>IF(AND('Batt IN'!$D$41="YES",BattCalcs!C409=ROUNDUP('Batt IN'!$H$41*12,)),-'Batt IN'!$E$41*'Batt IN'!$E$28,0)</f>
        <v>0</v>
      </c>
      <c r="BP409" s="2">
        <f>IF(AND('Batt IN'!$D$53="Yes",$AL$1&gt;=1),0,IF($C409='Batt IN'!$H$54*12,-'Batt IN'!$F$54,0))</f>
        <v>0</v>
      </c>
      <c r="BQ409" s="2">
        <f>IF(AND('Batt IN'!$D$53="Yes",$AL$1&gt;=2),0,IF($C409='Batt IN'!$H$55*12,-'Batt IN'!$F$55,0))</f>
        <v>0</v>
      </c>
      <c r="BR409" s="2">
        <f>IF(AND('Batt IN'!$D$53="Yes",$AL$1&gt;=3),0,IF($C409='Batt IN'!$H$56*12,-'Batt IN'!$F$56,0))</f>
        <v>0</v>
      </c>
      <c r="BS409" s="2">
        <f>IF(AND('Batt IN'!$D$53="Yes",$AL$1&gt;=4),0,IF($C409='Batt IN'!$H$57*12,-'Batt IN'!$F$57,0))</f>
        <v>0</v>
      </c>
      <c r="BT409" s="2">
        <f>IF(AND('Batt IN'!$D$53="Yes",$AL$1&gt;=5),0,IF($C409='Batt IN'!$H$58*12,-'Batt IN'!$F$58,0))</f>
        <v>0</v>
      </c>
      <c r="BU409" s="2">
        <f>-AH409*PVCalcs!F409</f>
        <v>-359.37504381576838</v>
      </c>
      <c r="BV409" s="2">
        <f>-'Batt IN'!$E$47</f>
        <v>-150</v>
      </c>
      <c r="BW409" s="2">
        <f>-'Batt IN'!$E$49</f>
        <v>-2250</v>
      </c>
      <c r="BX409" s="2">
        <f>IF('Batt IN'!$H$50="No",-(BC409*'Batt IN'!$E$50),-(BC409+BE409)*'Batt IN'!$E$50)</f>
        <v>0</v>
      </c>
      <c r="BY409" s="2">
        <f>IF(C409='Batt IN'!$H$43*12,-'Batt IN'!$E$43,0)</f>
        <v>0</v>
      </c>
      <c r="BZ409" s="38"/>
      <c r="CA409" s="10">
        <f t="shared" si="106"/>
        <v>15028.691079566212</v>
      </c>
      <c r="CB409" s="2">
        <f t="shared" si="111"/>
        <v>-3009.3750438157685</v>
      </c>
      <c r="CC409" s="45">
        <f t="shared" si="107"/>
        <v>12019.316035750442</v>
      </c>
      <c r="CD409" s="43"/>
      <c r="CE409" s="2">
        <f t="shared" si="108"/>
        <v>0</v>
      </c>
      <c r="CF409" s="2">
        <f t="shared" si="112"/>
        <v>-3009.3750438157685</v>
      </c>
      <c r="CG409" s="2"/>
      <c r="CH409" s="2">
        <f t="shared" si="109"/>
        <v>-3009.3750438157685</v>
      </c>
      <c r="CI409" s="45">
        <f>-CH409*'Batt IN'!$E$7</f>
        <v>631.9687592013114</v>
      </c>
      <c r="CJ409" s="48"/>
      <c r="CK409" s="45">
        <f>IF('Batt IN'!$F$4="PV Only",0,IF(C409&gt;'Batt IN'!$H$43*12,0,CC409+CI409))</f>
        <v>0</v>
      </c>
      <c r="CM409" s="10">
        <f t="shared" si="110"/>
        <v>0</v>
      </c>
      <c r="CN409" s="2">
        <f>CK409/(1+('Batt IN'!$G$8))^(C409)</f>
        <v>0</v>
      </c>
      <c r="CO409" s="2" t="e">
        <f>IF(C409&lt;='Batt IN'!$O$30*12,CN409+CO408,NA())</f>
        <v>#N/A</v>
      </c>
      <c r="CQ409" s="2">
        <f>CK409/((1+('Batt IN'!$E$8/12))^BattCalcs!C409)</f>
        <v>0</v>
      </c>
      <c r="CS409" s="10">
        <f t="shared" si="113"/>
        <v>-3009.3750438157685</v>
      </c>
      <c r="CT409" s="10">
        <f t="shared" si="114"/>
        <v>0</v>
      </c>
      <c r="CU409" s="10">
        <f t="shared" si="115"/>
        <v>-3009.3750438157685</v>
      </c>
      <c r="CV409" s="10">
        <f t="shared" si="116"/>
        <v>-3009.3750438157685</v>
      </c>
      <c r="CW409" s="2">
        <f t="shared" si="117"/>
        <v>0</v>
      </c>
      <c r="CX409" s="2">
        <f>-(SUM(CV409:CW409)*'PV IN'!$E$8)</f>
        <v>631.9687592013114</v>
      </c>
      <c r="CY409" s="2">
        <f t="shared" si="118"/>
        <v>-2377.406284614457</v>
      </c>
      <c r="CZ409" s="2">
        <f>IF(C409&lt;='Batt IN'!$H$43*12,CY409/(1+('PV IN'!$G$9))^(C409),0)</f>
        <v>0</v>
      </c>
      <c r="DA409" s="33">
        <f>IF(C409&lt;='Batt IN'!$H$43*12,AE409,0)</f>
        <v>0</v>
      </c>
    </row>
    <row r="410" spans="1:105" x14ac:dyDescent="0.25">
      <c r="A410" t="str">
        <f>IF(C410&lt;='Batt IN'!$H$43*12,C410,"")</f>
        <v/>
      </c>
      <c r="C410">
        <v>406</v>
      </c>
      <c r="D410" s="21">
        <v>836</v>
      </c>
      <c r="E410" s="1">
        <f>1-'Batt IN'!$E$31</f>
        <v>2.0000000000000018E-2</v>
      </c>
      <c r="F410" s="12">
        <f>('Batt IN'!$E$33*365)/8760</f>
        <v>0</v>
      </c>
      <c r="G410" s="22">
        <f>'Batt IN'!$E$32/8760</f>
        <v>5.7077625570776253E-3</v>
      </c>
      <c r="H410" s="22">
        <f>'Batt IN'!$E$13/8760</f>
        <v>5.5936073059360729E-3</v>
      </c>
      <c r="I410" s="23">
        <f>IF(C410&lt;='Batt IN'!$G$14*12,'Batt IN'!$E$15/8760*'Batt IN'!$G$15,0)</f>
        <v>0</v>
      </c>
      <c r="J410" s="12">
        <f>Z410/'Batt IN'!$E$27/730</f>
        <v>2.4999999999999996E-3</v>
      </c>
      <c r="K410" s="23">
        <f>AA410/'Batt IN'!$E$27/730</f>
        <v>1.6027397260273972E-3</v>
      </c>
      <c r="L410" s="23">
        <f>AB410/'Batt IN'!$E$27/730</f>
        <v>2.0547945205479451E-4</v>
      </c>
      <c r="M410" s="23">
        <f>AC410/'Batt IN'!$E$27/730</f>
        <v>4.7945205479452057E-3</v>
      </c>
      <c r="N410" s="23">
        <f>AD410/'Batt IN'!$E$27/730</f>
        <v>3.4246575342465752E-3</v>
      </c>
      <c r="O410" s="12">
        <f t="shared" si="102"/>
        <v>4.3828767123287697E-2</v>
      </c>
      <c r="P410" s="21">
        <f t="shared" si="103"/>
        <v>799.35915068493148</v>
      </c>
      <c r="Q410" s="2">
        <f>IF('Batt IN'!$E$27*'Batt IN'!$E$24&lt;='Batt IN'!$E$28,(('Batt IN'!$E$23*'Batt IN'!$E$27*'Batt IN'!$E$24)/1000)*P410,(('Batt IN'!$E$23*'Batt IN'!$E$28*'Batt IN'!$E$24)/1000)*P410)</f>
        <v>12789.746410958904</v>
      </c>
      <c r="R410" s="2"/>
      <c r="S410" s="77">
        <f>IF(C410&lt;='Batt IN'!$G$14*12,'Batt IN'!$E$15/12,0)</f>
        <v>0</v>
      </c>
      <c r="T410" s="77"/>
      <c r="U410" s="80">
        <f>'Batt IN'!$E$28*('Batt IN'!$G$24/24)*730*(1-O410)</f>
        <v>81433.916666666657</v>
      </c>
      <c r="V410" s="78">
        <f>U410*'Batt IN'!$F$30</f>
        <v>16286.783333333333</v>
      </c>
      <c r="W410" s="78">
        <f>'Batt IN'!$E$28*'Batt IN'!$G$32*('Batt IN'!$E$32/12)*(1+'Batt IN'!$F$30)</f>
        <v>1750.0000000000002</v>
      </c>
      <c r="X410" s="78">
        <f>'Batt IN'!$E$28*'Batt IN'!$G$13*('Batt IN'!$E$13/12)*(1+'Batt IN'!$F$30)</f>
        <v>3184.9999999999995</v>
      </c>
      <c r="Y410" s="33">
        <f>S410*'Batt IN'!$G$15*'Batt IN'!$E$28*(1+'Batt IN'!$F$30)</f>
        <v>0</v>
      </c>
      <c r="Z410" s="33">
        <f>'Batt IN'!$G$16*365/12*(1+'Batt IN'!$F$30)</f>
        <v>1824.9999999999998</v>
      </c>
      <c r="AA410" s="33">
        <f>'Batt IN'!$G$17*'Batt IN'!$E$18*'Batt IN'!$G$18/12*(1+'Batt IN'!$F$30)</f>
        <v>1170</v>
      </c>
      <c r="AB410" s="33">
        <f>'Batt IN'!$G$19*'Batt IN'!$E$20*'Batt IN'!$G$20/12*(1+'Batt IN'!$F$30)</f>
        <v>150</v>
      </c>
      <c r="AC410" s="33">
        <f>'Batt IN'!$G$21*(1+'Batt IN'!$F$30)/12</f>
        <v>3500</v>
      </c>
      <c r="AD410" s="33">
        <f>'Batt IN'!$G$22*(1+'Batt IN'!$F$30)/12</f>
        <v>2500</v>
      </c>
      <c r="AE410" s="33">
        <f t="shared" si="104"/>
        <v>30366.783333333333</v>
      </c>
      <c r="AF410" s="33">
        <f>IF('PV IN'!$F$4="Battery Only",0,AE410*'Batt IN'!$E$29)</f>
        <v>25811.765833333331</v>
      </c>
      <c r="AG410" s="33">
        <f>PVCalcs!L410</f>
        <v>25811.765833333331</v>
      </c>
      <c r="AH410" s="33">
        <f t="shared" si="105"/>
        <v>4555.0175000000017</v>
      </c>
      <c r="AI410" s="33"/>
      <c r="AJ410" s="2">
        <f>IF(AND('Batt IN'!$D$53="Yes",$AL$1&gt;=1),IF($C410='Batt IN'!$H$54*12,-'Batt IN'!$F$54,0),0)</f>
        <v>0</v>
      </c>
      <c r="AK410" s="2">
        <f>IF(AND('Batt IN'!$D$53="Yes",$AL$1&gt;=2),IF($C410='Batt IN'!$H$55*12,-'Batt IN'!$F$55,0),0)</f>
        <v>0</v>
      </c>
      <c r="AL410" s="2">
        <f>IF(AND('Batt IN'!$D$53="Yes",$AL$1&gt;=3),IF($C410='Batt IN'!$H$56*12,-'Batt IN'!$F$56,0),0)</f>
        <v>0</v>
      </c>
      <c r="AM410" s="2">
        <f>IF(AND('Batt IN'!$D$53="Yes",$AL$1&gt;=4),IF($C410='Batt IN'!$H$57*12,-'Batt IN'!$F$57,0),0)</f>
        <v>0</v>
      </c>
      <c r="AN410" s="2">
        <f>IF(AND('Batt IN'!$D$53="Yes",$AL$1&gt;=5),IF($C410='Batt IN'!$H$58*12,-'Batt IN'!$F$58,0),0)</f>
        <v>0</v>
      </c>
      <c r="AO410" s="10">
        <f>IF(AND('Batt IN'!$D$44="YES",$C410&lt;='Batt IN'!$E$44*12),-'Batt IN'!$E$28*'Batt IN'!$E$42/12,0)</f>
        <v>0</v>
      </c>
      <c r="AP410" s="10">
        <f>IF(AND('Batt IN'!$D$46="YES",$C410&lt;='Batt IN'!$E$46*12),-'Batt IN'!$E$28*'Batt IN'!$E$45/12,0)</f>
        <v>0</v>
      </c>
      <c r="AR410" s="10">
        <f>BattLoan!M437</f>
        <v>0</v>
      </c>
      <c r="AS410" s="10">
        <f>'Batt IN'!$G$16*365/12*'Batt IN'!$E$16</f>
        <v>76.041666666666671</v>
      </c>
      <c r="AT410" s="10">
        <f>IF(AND('Batt IN'!$E$18&gt;0,'Batt IN'!$G$18&gt;0),'Batt IN'!$E$17*'Batt IN'!$G$17,0)</f>
        <v>119.44619999999999</v>
      </c>
      <c r="AU410" s="10">
        <f>IF(AND('Batt IN'!$E$20&gt;0,'Batt IN'!$G$20&gt;0),'Batt IN'!$E$19*'Batt IN'!$G$19,0)</f>
        <v>231</v>
      </c>
      <c r="AV410" s="10"/>
      <c r="AW410" s="10"/>
      <c r="AX410" s="10">
        <f>IF('Batt IN'!$E$11="Non-Taxable",Q410,0)</f>
        <v>12789.746410958904</v>
      </c>
      <c r="AY410" s="10">
        <f>IF('Batt IN'!$E$11="Non-Taxable",'Batt IN'!$E$28/1000*'Batt IN'!$G$13*('Batt IN'!$E$13/12)*'Batt IN'!$E$12,0)</f>
        <v>244.42220833333334</v>
      </c>
      <c r="AZ410" s="10">
        <f>IF('Batt IN'!$E$11="Non-Taxable",$S410*'Batt IN'!$G$15*'Batt IN'!$E$28*'Batt IN'!$E$14/1000,0)</f>
        <v>0</v>
      </c>
      <c r="BA410" s="10">
        <f>IF('Batt IN'!$E$11="Non-Taxable",'Batt IN'!$E$21*'Batt IN'!$G$21/12,0)</f>
        <v>437.5</v>
      </c>
      <c r="BB410" s="10">
        <f>IF('Batt IN'!$E$11="Non-Taxable",'Batt IN'!$E$22*'Batt IN'!$G$22/12,0)</f>
        <v>1145.8333333333335</v>
      </c>
      <c r="BC410" s="10">
        <f>IF('Batt IN'!$E$11="Taxable",Q410,0)</f>
        <v>0</v>
      </c>
      <c r="BD410" s="10">
        <f>IF('Batt IN'!$E$11="Taxable",'Batt IN'!$E$28/1000*'Batt IN'!$G$13*('Batt IN'!$E$13/12)*'Batt IN'!$E$12,0)</f>
        <v>0</v>
      </c>
      <c r="BE410" s="10">
        <f>IF('Batt IN'!$E$11="Taxable",$S410*'Batt IN'!$G$15*'Batt IN'!$E$28*'Batt IN'!$E$14/1000,0)</f>
        <v>0</v>
      </c>
      <c r="BF410" s="10">
        <f>IF('Batt IN'!$E$11="Taxable",'Batt IN'!$E$21*'Batt IN'!$G$21/12,0)</f>
        <v>0</v>
      </c>
      <c r="BG410" s="10">
        <f>IF('Batt IN'!$E$11="Taxable",'Batt IN'!$E$22*'Batt IN'!$G$22/12,0)</f>
        <v>0</v>
      </c>
      <c r="BK410" s="10">
        <f>IF('Batt IN'!$N$18="Yes",-BattLoan!H438,-BattLoan!L438)</f>
        <v>0</v>
      </c>
      <c r="BL410" s="10">
        <f>IF('Batt IN'!$N$18="Yes",-BattLoan!F438,0)</f>
        <v>0</v>
      </c>
      <c r="BM410" s="10">
        <f>IF(AND('Batt IN'!$D$44="YES",$C410&lt;='Batt IN'!$E$44*12),0,-'Batt IN'!$E$28*'Batt IN'!$E$42/12)</f>
        <v>-83.333333333333329</v>
      </c>
      <c r="BN410" s="10">
        <f>IF(AND('Batt IN'!$D$46="YES",$C410&lt;='Batt IN'!$E$46*12),0,-'Batt IN'!$E$28*'Batt IN'!$E$45/12)</f>
        <v>-166.66666666666666</v>
      </c>
      <c r="BO410" s="2">
        <f>IF(AND('Batt IN'!$D$41="YES",BattCalcs!C410=ROUNDUP('Batt IN'!$H$41*12,)),-'Batt IN'!$E$41*'Batt IN'!$E$28,0)</f>
        <v>0</v>
      </c>
      <c r="BP410" s="2">
        <f>IF(AND('Batt IN'!$D$53="Yes",$AL$1&gt;=1),0,IF($C410='Batt IN'!$H$54*12,-'Batt IN'!$F$54,0))</f>
        <v>0</v>
      </c>
      <c r="BQ410" s="2">
        <f>IF(AND('Batt IN'!$D$53="Yes",$AL$1&gt;=2),0,IF($C410='Batt IN'!$H$55*12,-'Batt IN'!$F$55,0))</f>
        <v>0</v>
      </c>
      <c r="BR410" s="2">
        <f>IF(AND('Batt IN'!$D$53="Yes",$AL$1&gt;=3),0,IF($C410='Batt IN'!$H$56*12,-'Batt IN'!$F$56,0))</f>
        <v>0</v>
      </c>
      <c r="BS410" s="2">
        <f>IF(AND('Batt IN'!$D$53="Yes",$AL$1&gt;=4),0,IF($C410='Batt IN'!$H$57*12,-'Batt IN'!$F$57,0))</f>
        <v>0</v>
      </c>
      <c r="BT410" s="2">
        <f>IF(AND('Batt IN'!$D$53="Yes",$AL$1&gt;=5),0,IF($C410='Batt IN'!$H$58*12,-'Batt IN'!$F$58,0))</f>
        <v>0</v>
      </c>
      <c r="BU410" s="2">
        <f>-AH410*PVCalcs!F410</f>
        <v>-359.37504381576838</v>
      </c>
      <c r="BV410" s="2">
        <f>-'Batt IN'!$E$47</f>
        <v>-150</v>
      </c>
      <c r="BW410" s="2">
        <f>-'Batt IN'!$E$49</f>
        <v>-2250</v>
      </c>
      <c r="BX410" s="2">
        <f>IF('Batt IN'!$H$50="No",-(BC410*'Batt IN'!$E$50),-(BC410+BE410)*'Batt IN'!$E$50)</f>
        <v>0</v>
      </c>
      <c r="BY410" s="2">
        <f>IF(C410='Batt IN'!$H$43*12,-'Batt IN'!$E$43,0)</f>
        <v>0</v>
      </c>
      <c r="BZ410" s="38"/>
      <c r="CA410" s="10">
        <f t="shared" si="106"/>
        <v>15043.989819292237</v>
      </c>
      <c r="CB410" s="2">
        <f t="shared" si="111"/>
        <v>-3009.3750438157685</v>
      </c>
      <c r="CC410" s="45">
        <f t="shared" si="107"/>
        <v>12034.614775476468</v>
      </c>
      <c r="CD410" s="43"/>
      <c r="CE410" s="2">
        <f t="shared" si="108"/>
        <v>0</v>
      </c>
      <c r="CF410" s="2">
        <f t="shared" si="112"/>
        <v>-3009.3750438157685</v>
      </c>
      <c r="CG410" s="2"/>
      <c r="CH410" s="2">
        <f t="shared" si="109"/>
        <v>-3009.3750438157685</v>
      </c>
      <c r="CI410" s="45">
        <f>-CH410*'Batt IN'!$E$7</f>
        <v>631.9687592013114</v>
      </c>
      <c r="CJ410" s="48"/>
      <c r="CK410" s="45">
        <f>IF('Batt IN'!$F$4="PV Only",0,IF(C410&gt;'Batt IN'!$H$43*12,0,CC410+CI410))</f>
        <v>0</v>
      </c>
      <c r="CM410" s="10">
        <f t="shared" si="110"/>
        <v>0</v>
      </c>
      <c r="CN410" s="2">
        <f>CK410/(1+('Batt IN'!$G$8))^(C410)</f>
        <v>0</v>
      </c>
      <c r="CO410" s="2" t="e">
        <f>IF(C410&lt;='Batt IN'!$O$30*12,CN410+CO409,NA())</f>
        <v>#N/A</v>
      </c>
      <c r="CQ410" s="2">
        <f>CK410/((1+('Batt IN'!$E$8/12))^BattCalcs!C410)</f>
        <v>0</v>
      </c>
      <c r="CS410" s="10">
        <f t="shared" si="113"/>
        <v>-3009.3750438157685</v>
      </c>
      <c r="CT410" s="10">
        <f t="shared" si="114"/>
        <v>0</v>
      </c>
      <c r="CU410" s="10">
        <f t="shared" si="115"/>
        <v>-3009.3750438157685</v>
      </c>
      <c r="CV410" s="10">
        <f t="shared" si="116"/>
        <v>-3009.3750438157685</v>
      </c>
      <c r="CW410" s="2">
        <f t="shared" si="117"/>
        <v>0</v>
      </c>
      <c r="CX410" s="2">
        <f>-(SUM(CV410:CW410)*'PV IN'!$E$8)</f>
        <v>631.9687592013114</v>
      </c>
      <c r="CY410" s="2">
        <f t="shared" si="118"/>
        <v>-2377.406284614457</v>
      </c>
      <c r="CZ410" s="2">
        <f>IF(C410&lt;='Batt IN'!$H$43*12,CY410/(1+('PV IN'!$G$9))^(C410),0)</f>
        <v>0</v>
      </c>
      <c r="DA410" s="33">
        <f>IF(C410&lt;='Batt IN'!$H$43*12,AE410,0)</f>
        <v>0</v>
      </c>
    </row>
    <row r="411" spans="1:105" x14ac:dyDescent="0.25">
      <c r="A411" t="str">
        <f>IF(C411&lt;='Batt IN'!$H$43*12,C411,"")</f>
        <v/>
      </c>
      <c r="C411">
        <v>407</v>
      </c>
      <c r="D411" s="21">
        <v>837</v>
      </c>
      <c r="E411" s="1">
        <f>1-'Batt IN'!$E$31</f>
        <v>2.0000000000000018E-2</v>
      </c>
      <c r="F411" s="12">
        <f>('Batt IN'!$E$33*365)/8760</f>
        <v>0</v>
      </c>
      <c r="G411" s="22">
        <f>'Batt IN'!$E$32/8760</f>
        <v>5.7077625570776253E-3</v>
      </c>
      <c r="H411" s="22">
        <f>'Batt IN'!$E$13/8760</f>
        <v>5.5936073059360729E-3</v>
      </c>
      <c r="I411" s="23">
        <f>IF(C411&lt;='Batt IN'!$G$14*12,'Batt IN'!$E$15/8760*'Batt IN'!$G$15,0)</f>
        <v>0</v>
      </c>
      <c r="J411" s="12">
        <f>Z411/'Batt IN'!$E$27/730</f>
        <v>2.4999999999999996E-3</v>
      </c>
      <c r="K411" s="23">
        <f>AA411/'Batt IN'!$E$27/730</f>
        <v>1.6027397260273972E-3</v>
      </c>
      <c r="L411" s="23">
        <f>AB411/'Batt IN'!$E$27/730</f>
        <v>2.0547945205479451E-4</v>
      </c>
      <c r="M411" s="23">
        <f>AC411/'Batt IN'!$E$27/730</f>
        <v>4.7945205479452057E-3</v>
      </c>
      <c r="N411" s="23">
        <f>AD411/'Batt IN'!$E$27/730</f>
        <v>3.4246575342465752E-3</v>
      </c>
      <c r="O411" s="12">
        <f t="shared" si="102"/>
        <v>4.3828767123287697E-2</v>
      </c>
      <c r="P411" s="21">
        <f t="shared" si="103"/>
        <v>800.31532191780821</v>
      </c>
      <c r="Q411" s="2">
        <f>IF('Batt IN'!$E$27*'Batt IN'!$E$24&lt;='Batt IN'!$E$28,(('Batt IN'!$E$23*'Batt IN'!$E$27*'Batt IN'!$E$24)/1000)*P411,(('Batt IN'!$E$23*'Batt IN'!$E$28*'Batt IN'!$E$24)/1000)*P411)</f>
        <v>12805.045150684931</v>
      </c>
      <c r="R411" s="2"/>
      <c r="S411" s="77">
        <f>IF(C411&lt;='Batt IN'!$G$14*12,'Batt IN'!$E$15/12,0)</f>
        <v>0</v>
      </c>
      <c r="T411" s="77"/>
      <c r="U411" s="80">
        <f>'Batt IN'!$E$28*('Batt IN'!$G$24/24)*730*(1-O411)</f>
        <v>81433.916666666657</v>
      </c>
      <c r="V411" s="78">
        <f>U411*'Batt IN'!$F$30</f>
        <v>16286.783333333333</v>
      </c>
      <c r="W411" s="78">
        <f>'Batt IN'!$E$28*'Batt IN'!$G$32*('Batt IN'!$E$32/12)*(1+'Batt IN'!$F$30)</f>
        <v>1750.0000000000002</v>
      </c>
      <c r="X411" s="78">
        <f>'Batt IN'!$E$28*'Batt IN'!$G$13*('Batt IN'!$E$13/12)*(1+'Batt IN'!$F$30)</f>
        <v>3184.9999999999995</v>
      </c>
      <c r="Y411" s="33">
        <f>S411*'Batt IN'!$G$15*'Batt IN'!$E$28*(1+'Batt IN'!$F$30)</f>
        <v>0</v>
      </c>
      <c r="Z411" s="33">
        <f>'Batt IN'!$G$16*365/12*(1+'Batt IN'!$F$30)</f>
        <v>1824.9999999999998</v>
      </c>
      <c r="AA411" s="33">
        <f>'Batt IN'!$G$17*'Batt IN'!$E$18*'Batt IN'!$G$18/12*(1+'Batt IN'!$F$30)</f>
        <v>1170</v>
      </c>
      <c r="AB411" s="33">
        <f>'Batt IN'!$G$19*'Batt IN'!$E$20*'Batt IN'!$G$20/12*(1+'Batt IN'!$F$30)</f>
        <v>150</v>
      </c>
      <c r="AC411" s="33">
        <f>'Batt IN'!$G$21*(1+'Batt IN'!$F$30)/12</f>
        <v>3500</v>
      </c>
      <c r="AD411" s="33">
        <f>'Batt IN'!$G$22*(1+'Batt IN'!$F$30)/12</f>
        <v>2500</v>
      </c>
      <c r="AE411" s="33">
        <f t="shared" si="104"/>
        <v>30366.783333333333</v>
      </c>
      <c r="AF411" s="33">
        <f>IF('PV IN'!$F$4="Battery Only",0,AE411*'Batt IN'!$E$29)</f>
        <v>25811.765833333331</v>
      </c>
      <c r="AG411" s="33">
        <f>PVCalcs!L411</f>
        <v>25811.765833333331</v>
      </c>
      <c r="AH411" s="33">
        <f t="shared" si="105"/>
        <v>4555.0175000000017</v>
      </c>
      <c r="AI411" s="33"/>
      <c r="AJ411" s="2">
        <f>IF(AND('Batt IN'!$D$53="Yes",$AL$1&gt;=1),IF($C411='Batt IN'!$H$54*12,-'Batt IN'!$F$54,0),0)</f>
        <v>0</v>
      </c>
      <c r="AK411" s="2">
        <f>IF(AND('Batt IN'!$D$53="Yes",$AL$1&gt;=2),IF($C411='Batt IN'!$H$55*12,-'Batt IN'!$F$55,0),0)</f>
        <v>0</v>
      </c>
      <c r="AL411" s="2">
        <f>IF(AND('Batt IN'!$D$53="Yes",$AL$1&gt;=3),IF($C411='Batt IN'!$H$56*12,-'Batt IN'!$F$56,0),0)</f>
        <v>0</v>
      </c>
      <c r="AM411" s="2">
        <f>IF(AND('Batt IN'!$D$53="Yes",$AL$1&gt;=4),IF($C411='Batt IN'!$H$57*12,-'Batt IN'!$F$57,0),0)</f>
        <v>0</v>
      </c>
      <c r="AN411" s="2">
        <f>IF(AND('Batt IN'!$D$53="Yes",$AL$1&gt;=5),IF($C411='Batt IN'!$H$58*12,-'Batt IN'!$F$58,0),0)</f>
        <v>0</v>
      </c>
      <c r="AO411" s="10">
        <f>IF(AND('Batt IN'!$D$44="YES",$C411&lt;='Batt IN'!$E$44*12),-'Batt IN'!$E$28*'Batt IN'!$E$42/12,0)</f>
        <v>0</v>
      </c>
      <c r="AP411" s="10">
        <f>IF(AND('Batt IN'!$D$46="YES",$C411&lt;='Batt IN'!$E$46*12),-'Batt IN'!$E$28*'Batt IN'!$E$45/12,0)</f>
        <v>0</v>
      </c>
      <c r="AR411" s="10">
        <f>BattLoan!M438</f>
        <v>0</v>
      </c>
      <c r="AS411" s="10">
        <f>'Batt IN'!$G$16*365/12*'Batt IN'!$E$16</f>
        <v>76.041666666666671</v>
      </c>
      <c r="AT411" s="10">
        <f>IF(AND('Batt IN'!$E$18&gt;0,'Batt IN'!$G$18&gt;0),'Batt IN'!$E$17*'Batt IN'!$G$17,0)</f>
        <v>119.44619999999999</v>
      </c>
      <c r="AU411" s="10">
        <f>IF(AND('Batt IN'!$E$20&gt;0,'Batt IN'!$G$20&gt;0),'Batt IN'!$E$19*'Batt IN'!$G$19,0)</f>
        <v>231</v>
      </c>
      <c r="AV411" s="10"/>
      <c r="AW411" s="10"/>
      <c r="AX411" s="10">
        <f>IF('Batt IN'!$E$11="Non-Taxable",Q411,0)</f>
        <v>12805.045150684931</v>
      </c>
      <c r="AY411" s="10">
        <f>IF('Batt IN'!$E$11="Non-Taxable",'Batt IN'!$E$28/1000*'Batt IN'!$G$13*('Batt IN'!$E$13/12)*'Batt IN'!$E$12,0)</f>
        <v>244.42220833333334</v>
      </c>
      <c r="AZ411" s="10">
        <f>IF('Batt IN'!$E$11="Non-Taxable",$S411*'Batt IN'!$G$15*'Batt IN'!$E$28*'Batt IN'!$E$14/1000,0)</f>
        <v>0</v>
      </c>
      <c r="BA411" s="10">
        <f>IF('Batt IN'!$E$11="Non-Taxable",'Batt IN'!$E$21*'Batt IN'!$G$21/12,0)</f>
        <v>437.5</v>
      </c>
      <c r="BB411" s="10">
        <f>IF('Batt IN'!$E$11="Non-Taxable",'Batt IN'!$E$22*'Batt IN'!$G$22/12,0)</f>
        <v>1145.8333333333335</v>
      </c>
      <c r="BC411" s="10">
        <f>IF('Batt IN'!$E$11="Taxable",Q411,0)</f>
        <v>0</v>
      </c>
      <c r="BD411" s="10">
        <f>IF('Batt IN'!$E$11="Taxable",'Batt IN'!$E$28/1000*'Batt IN'!$G$13*('Batt IN'!$E$13/12)*'Batt IN'!$E$12,0)</f>
        <v>0</v>
      </c>
      <c r="BE411" s="10">
        <f>IF('Batt IN'!$E$11="Taxable",$S411*'Batt IN'!$G$15*'Batt IN'!$E$28*'Batt IN'!$E$14/1000,0)</f>
        <v>0</v>
      </c>
      <c r="BF411" s="10">
        <f>IF('Batt IN'!$E$11="Taxable",'Batt IN'!$E$21*'Batt IN'!$G$21/12,0)</f>
        <v>0</v>
      </c>
      <c r="BG411" s="10">
        <f>IF('Batt IN'!$E$11="Taxable",'Batt IN'!$E$22*'Batt IN'!$G$22/12,0)</f>
        <v>0</v>
      </c>
      <c r="BK411" s="10">
        <f>IF('Batt IN'!$N$18="Yes",-BattLoan!H439,-BattLoan!L439)</f>
        <v>0</v>
      </c>
      <c r="BL411" s="10">
        <f>IF('Batt IN'!$N$18="Yes",-BattLoan!F439,0)</f>
        <v>0</v>
      </c>
      <c r="BM411" s="10">
        <f>IF(AND('Batt IN'!$D$44="YES",$C411&lt;='Batt IN'!$E$44*12),0,-'Batt IN'!$E$28*'Batt IN'!$E$42/12)</f>
        <v>-83.333333333333329</v>
      </c>
      <c r="BN411" s="10">
        <f>IF(AND('Batt IN'!$D$46="YES",$C411&lt;='Batt IN'!$E$46*12),0,-'Batt IN'!$E$28*'Batt IN'!$E$45/12)</f>
        <v>-166.66666666666666</v>
      </c>
      <c r="BO411" s="2">
        <f>IF(AND('Batt IN'!$D$41="YES",BattCalcs!C411=ROUNDUP('Batt IN'!$H$41*12,)),-'Batt IN'!$E$41*'Batt IN'!$E$28,0)</f>
        <v>0</v>
      </c>
      <c r="BP411" s="2">
        <f>IF(AND('Batt IN'!$D$53="Yes",$AL$1&gt;=1),0,IF($C411='Batt IN'!$H$54*12,-'Batt IN'!$F$54,0))</f>
        <v>0</v>
      </c>
      <c r="BQ411" s="2">
        <f>IF(AND('Batt IN'!$D$53="Yes",$AL$1&gt;=2),0,IF($C411='Batt IN'!$H$55*12,-'Batt IN'!$F$55,0))</f>
        <v>0</v>
      </c>
      <c r="BR411" s="2">
        <f>IF(AND('Batt IN'!$D$53="Yes",$AL$1&gt;=3),0,IF($C411='Batt IN'!$H$56*12,-'Batt IN'!$F$56,0))</f>
        <v>0</v>
      </c>
      <c r="BS411" s="2">
        <f>IF(AND('Batt IN'!$D$53="Yes",$AL$1&gt;=4),0,IF($C411='Batt IN'!$H$57*12,-'Batt IN'!$F$57,0))</f>
        <v>0</v>
      </c>
      <c r="BT411" s="2">
        <f>IF(AND('Batt IN'!$D$53="Yes",$AL$1&gt;=5),0,IF($C411='Batt IN'!$H$58*12,-'Batt IN'!$F$58,0))</f>
        <v>0</v>
      </c>
      <c r="BU411" s="2">
        <f>-AH411*PVCalcs!F411</f>
        <v>-359.37504381576838</v>
      </c>
      <c r="BV411" s="2">
        <f>-'Batt IN'!$E$47</f>
        <v>-150</v>
      </c>
      <c r="BW411" s="2">
        <f>-'Batt IN'!$E$49</f>
        <v>-2250</v>
      </c>
      <c r="BX411" s="2">
        <f>IF('Batt IN'!$H$50="No",-(BC411*'Batt IN'!$E$50),-(BC411+BE411)*'Batt IN'!$E$50)</f>
        <v>0</v>
      </c>
      <c r="BY411" s="2">
        <f>IF(C411='Batt IN'!$H$43*12,-'Batt IN'!$E$43,0)</f>
        <v>0</v>
      </c>
      <c r="BZ411" s="38"/>
      <c r="CA411" s="10">
        <f t="shared" si="106"/>
        <v>15059.288559018265</v>
      </c>
      <c r="CB411" s="2">
        <f t="shared" si="111"/>
        <v>-3009.3750438157685</v>
      </c>
      <c r="CC411" s="45">
        <f t="shared" si="107"/>
        <v>12049.913515202497</v>
      </c>
      <c r="CD411" s="43"/>
      <c r="CE411" s="2">
        <f t="shared" si="108"/>
        <v>0</v>
      </c>
      <c r="CF411" s="2">
        <f t="shared" si="112"/>
        <v>-3009.3750438157685</v>
      </c>
      <c r="CG411" s="2"/>
      <c r="CH411" s="2">
        <f t="shared" si="109"/>
        <v>-3009.3750438157685</v>
      </c>
      <c r="CI411" s="45">
        <f>-CH411*'Batt IN'!$E$7</f>
        <v>631.9687592013114</v>
      </c>
      <c r="CJ411" s="48"/>
      <c r="CK411" s="45">
        <f>IF('Batt IN'!$F$4="PV Only",0,IF(C411&gt;'Batt IN'!$H$43*12,0,CC411+CI411))</f>
        <v>0</v>
      </c>
      <c r="CM411" s="10">
        <f t="shared" si="110"/>
        <v>0</v>
      </c>
      <c r="CN411" s="2">
        <f>CK411/(1+('Batt IN'!$G$8))^(C411)</f>
        <v>0</v>
      </c>
      <c r="CO411" s="2" t="e">
        <f>IF(C411&lt;='Batt IN'!$O$30*12,CN411+CO410,NA())</f>
        <v>#N/A</v>
      </c>
      <c r="CQ411" s="2">
        <f>CK411/((1+('Batt IN'!$E$8/12))^BattCalcs!C411)</f>
        <v>0</v>
      </c>
      <c r="CS411" s="10">
        <f t="shared" si="113"/>
        <v>-3009.3750438157685</v>
      </c>
      <c r="CT411" s="10">
        <f t="shared" si="114"/>
        <v>0</v>
      </c>
      <c r="CU411" s="10">
        <f t="shared" si="115"/>
        <v>-3009.3750438157685</v>
      </c>
      <c r="CV411" s="10">
        <f t="shared" si="116"/>
        <v>-3009.3750438157685</v>
      </c>
      <c r="CW411" s="2">
        <f t="shared" si="117"/>
        <v>0</v>
      </c>
      <c r="CX411" s="2">
        <f>-(SUM(CV411:CW411)*'PV IN'!$E$8)</f>
        <v>631.9687592013114</v>
      </c>
      <c r="CY411" s="2">
        <f t="shared" si="118"/>
        <v>-2377.406284614457</v>
      </c>
      <c r="CZ411" s="2">
        <f>IF(C411&lt;='Batt IN'!$H$43*12,CY411/(1+('PV IN'!$G$9))^(C411),0)</f>
        <v>0</v>
      </c>
      <c r="DA411" s="33">
        <f>IF(C411&lt;='Batt IN'!$H$43*12,AE411,0)</f>
        <v>0</v>
      </c>
    </row>
    <row r="412" spans="1:105" x14ac:dyDescent="0.25">
      <c r="A412" t="str">
        <f>IF(C412&lt;='Batt IN'!$H$43*12,C412,"")</f>
        <v/>
      </c>
      <c r="B412">
        <v>34</v>
      </c>
      <c r="C412">
        <v>408</v>
      </c>
      <c r="D412" s="21">
        <v>838</v>
      </c>
      <c r="E412" s="1">
        <f>1-'Batt IN'!$E$31</f>
        <v>2.0000000000000018E-2</v>
      </c>
      <c r="F412" s="12">
        <f>('Batt IN'!$E$33*365)/8760</f>
        <v>0</v>
      </c>
      <c r="G412" s="22">
        <f>'Batt IN'!$E$32/8760</f>
        <v>5.7077625570776253E-3</v>
      </c>
      <c r="H412" s="22">
        <f>'Batt IN'!$E$13/8760</f>
        <v>5.5936073059360729E-3</v>
      </c>
      <c r="I412" s="23">
        <f>IF(C412&lt;='Batt IN'!$G$14*12,'Batt IN'!$E$15/8760*'Batt IN'!$G$15,0)</f>
        <v>0</v>
      </c>
      <c r="J412" s="12">
        <f>Z412/'Batt IN'!$E$27/730</f>
        <v>2.4999999999999996E-3</v>
      </c>
      <c r="K412" s="23">
        <f>AA412/'Batt IN'!$E$27/730</f>
        <v>1.6027397260273972E-3</v>
      </c>
      <c r="L412" s="23">
        <f>AB412/'Batt IN'!$E$27/730</f>
        <v>2.0547945205479451E-4</v>
      </c>
      <c r="M412" s="23">
        <f>AC412/'Batt IN'!$E$27/730</f>
        <v>4.7945205479452057E-3</v>
      </c>
      <c r="N412" s="23">
        <f>AD412/'Batt IN'!$E$27/730</f>
        <v>3.4246575342465752E-3</v>
      </c>
      <c r="O412" s="12">
        <f t="shared" si="102"/>
        <v>4.3828767123287697E-2</v>
      </c>
      <c r="P412" s="21">
        <f t="shared" si="103"/>
        <v>801.27149315068493</v>
      </c>
      <c r="Q412" s="2">
        <f>IF('Batt IN'!$E$27*'Batt IN'!$E$24&lt;='Batt IN'!$E$28,(('Batt IN'!$E$23*'Batt IN'!$E$27*'Batt IN'!$E$24)/1000)*P412,(('Batt IN'!$E$23*'Batt IN'!$E$28*'Batt IN'!$E$24)/1000)*P412)</f>
        <v>12820.343890410959</v>
      </c>
      <c r="R412" s="2"/>
      <c r="S412" s="77">
        <f>IF(C412&lt;='Batt IN'!$G$14*12,'Batt IN'!$E$15/12,0)</f>
        <v>0</v>
      </c>
      <c r="T412" s="77"/>
      <c r="U412" s="80">
        <f>'Batt IN'!$E$28*('Batt IN'!$G$24/24)*730*(1-O412)</f>
        <v>81433.916666666657</v>
      </c>
      <c r="V412" s="78">
        <f>U412*'Batt IN'!$F$30</f>
        <v>16286.783333333333</v>
      </c>
      <c r="W412" s="78">
        <f>'Batt IN'!$E$28*'Batt IN'!$G$32*('Batt IN'!$E$32/12)*(1+'Batt IN'!$F$30)</f>
        <v>1750.0000000000002</v>
      </c>
      <c r="X412" s="78">
        <f>'Batt IN'!$E$28*'Batt IN'!$G$13*('Batt IN'!$E$13/12)*(1+'Batt IN'!$F$30)</f>
        <v>3184.9999999999995</v>
      </c>
      <c r="Y412" s="33">
        <f>S412*'Batt IN'!$G$15*'Batt IN'!$E$28*(1+'Batt IN'!$F$30)</f>
        <v>0</v>
      </c>
      <c r="Z412" s="33">
        <f>'Batt IN'!$G$16*365/12*(1+'Batt IN'!$F$30)</f>
        <v>1824.9999999999998</v>
      </c>
      <c r="AA412" s="33">
        <f>'Batt IN'!$G$17*'Batt IN'!$E$18*'Batt IN'!$G$18/12*(1+'Batt IN'!$F$30)</f>
        <v>1170</v>
      </c>
      <c r="AB412" s="33">
        <f>'Batt IN'!$G$19*'Batt IN'!$E$20*'Batt IN'!$G$20/12*(1+'Batt IN'!$F$30)</f>
        <v>150</v>
      </c>
      <c r="AC412" s="33">
        <f>'Batt IN'!$G$21*(1+'Batt IN'!$F$30)/12</f>
        <v>3500</v>
      </c>
      <c r="AD412" s="33">
        <f>'Batt IN'!$G$22*(1+'Batt IN'!$F$30)/12</f>
        <v>2500</v>
      </c>
      <c r="AE412" s="33">
        <f t="shared" si="104"/>
        <v>30366.783333333333</v>
      </c>
      <c r="AF412" s="33">
        <f>IF('PV IN'!$F$4="Battery Only",0,AE412*'Batt IN'!$E$29)</f>
        <v>25811.765833333331</v>
      </c>
      <c r="AG412" s="33">
        <f>PVCalcs!L412</f>
        <v>25811.765833333331</v>
      </c>
      <c r="AH412" s="33">
        <f t="shared" si="105"/>
        <v>4555.0175000000017</v>
      </c>
      <c r="AI412" s="33"/>
      <c r="AJ412" s="2">
        <f>IF(AND('Batt IN'!$D$53="Yes",$AL$1&gt;=1),IF($C412='Batt IN'!$H$54*12,-'Batt IN'!$F$54,0),0)</f>
        <v>0</v>
      </c>
      <c r="AK412" s="2">
        <f>IF(AND('Batt IN'!$D$53="Yes",$AL$1&gt;=2),IF($C412='Batt IN'!$H$55*12,-'Batt IN'!$F$55,0),0)</f>
        <v>0</v>
      </c>
      <c r="AL412" s="2">
        <f>IF(AND('Batt IN'!$D$53="Yes",$AL$1&gt;=3),IF($C412='Batt IN'!$H$56*12,-'Batt IN'!$F$56,0),0)</f>
        <v>0</v>
      </c>
      <c r="AM412" s="2">
        <f>IF(AND('Batt IN'!$D$53="Yes",$AL$1&gt;=4),IF($C412='Batt IN'!$H$57*12,-'Batt IN'!$F$57,0),0)</f>
        <v>0</v>
      </c>
      <c r="AN412" s="2">
        <f>IF(AND('Batt IN'!$D$53="Yes",$AL$1&gt;=5),IF($C412='Batt IN'!$H$58*12,-'Batt IN'!$F$58,0),0)</f>
        <v>0</v>
      </c>
      <c r="AO412" s="10">
        <f>IF(AND('Batt IN'!$D$44="YES",$C412&lt;='Batt IN'!$E$44*12),-'Batt IN'!$E$28*'Batt IN'!$E$42/12,0)</f>
        <v>0</v>
      </c>
      <c r="AP412" s="10">
        <f>IF(AND('Batt IN'!$D$46="YES",$C412&lt;='Batt IN'!$E$46*12),-'Batt IN'!$E$28*'Batt IN'!$E$45/12,0)</f>
        <v>0</v>
      </c>
      <c r="AR412" s="10">
        <f>BattLoan!M439</f>
        <v>0</v>
      </c>
      <c r="AS412" s="10">
        <f>'Batt IN'!$G$16*365/12*'Batt IN'!$E$16</f>
        <v>76.041666666666671</v>
      </c>
      <c r="AT412" s="10">
        <f>IF(AND('Batt IN'!$E$18&gt;0,'Batt IN'!$G$18&gt;0),'Batt IN'!$E$17*'Batt IN'!$G$17,0)</f>
        <v>119.44619999999999</v>
      </c>
      <c r="AU412" s="10">
        <f>IF(AND('Batt IN'!$E$20&gt;0,'Batt IN'!$G$20&gt;0),'Batt IN'!$E$19*'Batt IN'!$G$19,0)</f>
        <v>231</v>
      </c>
      <c r="AV412" s="10"/>
      <c r="AW412" s="10"/>
      <c r="AX412" s="10">
        <f>IF('Batt IN'!$E$11="Non-Taxable",Q412,0)</f>
        <v>12820.343890410959</v>
      </c>
      <c r="AY412" s="10">
        <f>IF('Batt IN'!$E$11="Non-Taxable",'Batt IN'!$E$28/1000*'Batt IN'!$G$13*('Batt IN'!$E$13/12)*'Batt IN'!$E$12,0)</f>
        <v>244.42220833333334</v>
      </c>
      <c r="AZ412" s="10">
        <f>IF('Batt IN'!$E$11="Non-Taxable",$S412*'Batt IN'!$G$15*'Batt IN'!$E$28*'Batt IN'!$E$14/1000,0)</f>
        <v>0</v>
      </c>
      <c r="BA412" s="10">
        <f>IF('Batt IN'!$E$11="Non-Taxable",'Batt IN'!$E$21*'Batt IN'!$G$21/12,0)</f>
        <v>437.5</v>
      </c>
      <c r="BB412" s="10">
        <f>IF('Batt IN'!$E$11="Non-Taxable",'Batt IN'!$E$22*'Batt IN'!$G$22/12,0)</f>
        <v>1145.8333333333335</v>
      </c>
      <c r="BC412" s="10">
        <f>IF('Batt IN'!$E$11="Taxable",Q412,0)</f>
        <v>0</v>
      </c>
      <c r="BD412" s="10">
        <f>IF('Batt IN'!$E$11="Taxable",'Batt IN'!$E$28/1000*'Batt IN'!$G$13*('Batt IN'!$E$13/12)*'Batt IN'!$E$12,0)</f>
        <v>0</v>
      </c>
      <c r="BE412" s="10">
        <f>IF('Batt IN'!$E$11="Taxable",$S412*'Batt IN'!$G$15*'Batt IN'!$E$28*'Batt IN'!$E$14/1000,0)</f>
        <v>0</v>
      </c>
      <c r="BF412" s="10">
        <f>IF('Batt IN'!$E$11="Taxable",'Batt IN'!$E$21*'Batt IN'!$G$21/12,0)</f>
        <v>0</v>
      </c>
      <c r="BG412" s="10">
        <f>IF('Batt IN'!$E$11="Taxable",'Batt IN'!$E$22*'Batt IN'!$G$22/12,0)</f>
        <v>0</v>
      </c>
      <c r="BK412" s="10">
        <f>IF('Batt IN'!$N$18="Yes",-BattLoan!H440,-BattLoan!L440)</f>
        <v>0</v>
      </c>
      <c r="BL412" s="10">
        <f>IF('Batt IN'!$N$18="Yes",-BattLoan!F440,0)</f>
        <v>0</v>
      </c>
      <c r="BM412" s="10">
        <f>IF(AND('Batt IN'!$D$44="YES",$C412&lt;='Batt IN'!$E$44*12),0,-'Batt IN'!$E$28*'Batt IN'!$E$42/12)</f>
        <v>-83.333333333333329</v>
      </c>
      <c r="BN412" s="10">
        <f>IF(AND('Batt IN'!$D$46="YES",$C412&lt;='Batt IN'!$E$46*12),0,-'Batt IN'!$E$28*'Batt IN'!$E$45/12)</f>
        <v>-166.66666666666666</v>
      </c>
      <c r="BO412" s="2">
        <f>IF(AND('Batt IN'!$D$41="YES",BattCalcs!C412=ROUNDUP('Batt IN'!$H$41*12,)),-'Batt IN'!$E$41*'Batt IN'!$E$28,0)</f>
        <v>0</v>
      </c>
      <c r="BP412" s="2">
        <f>IF(AND('Batt IN'!$D$53="Yes",$AL$1&gt;=1),0,IF($C412='Batt IN'!$H$54*12,-'Batt IN'!$F$54,0))</f>
        <v>0</v>
      </c>
      <c r="BQ412" s="2">
        <f>IF(AND('Batt IN'!$D$53="Yes",$AL$1&gt;=2),0,IF($C412='Batt IN'!$H$55*12,-'Batt IN'!$F$55,0))</f>
        <v>0</v>
      </c>
      <c r="BR412" s="2">
        <f>IF(AND('Batt IN'!$D$53="Yes",$AL$1&gt;=3),0,IF($C412='Batt IN'!$H$56*12,-'Batt IN'!$F$56,0))</f>
        <v>0</v>
      </c>
      <c r="BS412" s="2">
        <f>IF(AND('Batt IN'!$D$53="Yes",$AL$1&gt;=4),0,IF($C412='Batt IN'!$H$57*12,-'Batt IN'!$F$57,0))</f>
        <v>0</v>
      </c>
      <c r="BT412" s="2">
        <f>IF(AND('Batt IN'!$D$53="Yes",$AL$1&gt;=5),0,IF($C412='Batt IN'!$H$58*12,-'Batt IN'!$F$58,0))</f>
        <v>0</v>
      </c>
      <c r="BU412" s="2">
        <f>-AH412*PVCalcs!F412</f>
        <v>-359.37504381576838</v>
      </c>
      <c r="BV412" s="2">
        <f>-'Batt IN'!$E$47</f>
        <v>-150</v>
      </c>
      <c r="BW412" s="2">
        <f>-'Batt IN'!$E$49</f>
        <v>-2250</v>
      </c>
      <c r="BX412" s="2">
        <f>IF('Batt IN'!$H$50="No",-(BC412*'Batt IN'!$E$50),-(BC412+BE412)*'Batt IN'!$E$50)</f>
        <v>0</v>
      </c>
      <c r="BY412" s="2">
        <f>IF(C412='Batt IN'!$H$43*12,-'Batt IN'!$E$43,0)</f>
        <v>0</v>
      </c>
      <c r="BZ412" s="38"/>
      <c r="CA412" s="10">
        <f t="shared" si="106"/>
        <v>15074.587298744293</v>
      </c>
      <c r="CB412" s="2">
        <f t="shared" si="111"/>
        <v>-3009.3750438157685</v>
      </c>
      <c r="CC412" s="45">
        <f t="shared" si="107"/>
        <v>12065.212254928523</v>
      </c>
      <c r="CD412" s="43"/>
      <c r="CE412" s="2">
        <f t="shared" si="108"/>
        <v>0</v>
      </c>
      <c r="CF412" s="2">
        <f t="shared" si="112"/>
        <v>-3009.3750438157685</v>
      </c>
      <c r="CG412" s="2"/>
      <c r="CH412" s="2">
        <f t="shared" si="109"/>
        <v>-3009.3750438157685</v>
      </c>
      <c r="CI412" s="45">
        <f>-CH412*'Batt IN'!$E$7</f>
        <v>631.9687592013114</v>
      </c>
      <c r="CJ412" s="48"/>
      <c r="CK412" s="45">
        <f>IF('Batt IN'!$F$4="PV Only",0,IF(C412&gt;'Batt IN'!$H$43*12,0,CC412+CI412))</f>
        <v>0</v>
      </c>
      <c r="CM412" s="10">
        <f t="shared" si="110"/>
        <v>0</v>
      </c>
      <c r="CN412" s="2">
        <f>CK412/(1+('Batt IN'!$G$8))^(C412)</f>
        <v>0</v>
      </c>
      <c r="CO412" s="2" t="e">
        <f>IF(C412&lt;='Batt IN'!$O$30*12,CN412+CO411,NA())</f>
        <v>#N/A</v>
      </c>
      <c r="CQ412" s="2">
        <f>CK412/((1+('Batt IN'!$E$8/12))^BattCalcs!C412)</f>
        <v>0</v>
      </c>
      <c r="CS412" s="10">
        <f t="shared" si="113"/>
        <v>-3009.3750438157685</v>
      </c>
      <c r="CT412" s="10">
        <f t="shared" si="114"/>
        <v>0</v>
      </c>
      <c r="CU412" s="10">
        <f t="shared" si="115"/>
        <v>-3009.3750438157685</v>
      </c>
      <c r="CV412" s="10">
        <f t="shared" si="116"/>
        <v>-3009.3750438157685</v>
      </c>
      <c r="CW412" s="2">
        <f t="shared" si="117"/>
        <v>0</v>
      </c>
      <c r="CX412" s="2">
        <f>-(SUM(CV412:CW412)*'PV IN'!$E$8)</f>
        <v>631.9687592013114</v>
      </c>
      <c r="CY412" s="2">
        <f t="shared" si="118"/>
        <v>-2377.406284614457</v>
      </c>
      <c r="CZ412" s="2">
        <f>IF(C412&lt;='Batt IN'!$H$43*12,CY412/(1+('PV IN'!$G$9))^(C412),0)</f>
        <v>0</v>
      </c>
      <c r="DA412" s="33">
        <f>IF(C412&lt;='Batt IN'!$H$43*12,AE412,0)</f>
        <v>0</v>
      </c>
    </row>
    <row r="413" spans="1:105" x14ac:dyDescent="0.25">
      <c r="A413" t="str">
        <f>IF(C413&lt;='Batt IN'!$H$43*12,C413,"")</f>
        <v/>
      </c>
      <c r="C413">
        <v>409</v>
      </c>
      <c r="D413" s="21">
        <v>839</v>
      </c>
      <c r="E413" s="1">
        <f>1-'Batt IN'!$E$31</f>
        <v>2.0000000000000018E-2</v>
      </c>
      <c r="F413" s="12">
        <f>('Batt IN'!$E$33*365)/8760</f>
        <v>0</v>
      </c>
      <c r="G413" s="22">
        <f>'Batt IN'!$E$32/8760</f>
        <v>5.7077625570776253E-3</v>
      </c>
      <c r="H413" s="22">
        <f>'Batt IN'!$E$13/8760</f>
        <v>5.5936073059360729E-3</v>
      </c>
      <c r="I413" s="23">
        <f>IF(C413&lt;='Batt IN'!$G$14*12,'Batt IN'!$E$15/8760*'Batt IN'!$G$15,0)</f>
        <v>0</v>
      </c>
      <c r="J413" s="12">
        <f>Z413/'Batt IN'!$E$27/730</f>
        <v>2.4999999999999996E-3</v>
      </c>
      <c r="K413" s="23">
        <f>AA413/'Batt IN'!$E$27/730</f>
        <v>1.6027397260273972E-3</v>
      </c>
      <c r="L413" s="23">
        <f>AB413/'Batt IN'!$E$27/730</f>
        <v>2.0547945205479451E-4</v>
      </c>
      <c r="M413" s="23">
        <f>AC413/'Batt IN'!$E$27/730</f>
        <v>4.7945205479452057E-3</v>
      </c>
      <c r="N413" s="23">
        <f>AD413/'Batt IN'!$E$27/730</f>
        <v>3.4246575342465752E-3</v>
      </c>
      <c r="O413" s="12">
        <f t="shared" si="102"/>
        <v>4.3828767123287697E-2</v>
      </c>
      <c r="P413" s="21">
        <f t="shared" si="103"/>
        <v>802.22766438356166</v>
      </c>
      <c r="Q413" s="2">
        <f>IF('Batt IN'!$E$27*'Batt IN'!$E$24&lt;='Batt IN'!$E$28,(('Batt IN'!$E$23*'Batt IN'!$E$27*'Batt IN'!$E$24)/1000)*P413,(('Batt IN'!$E$23*'Batt IN'!$E$28*'Batt IN'!$E$24)/1000)*P413)</f>
        <v>12835.642630136987</v>
      </c>
      <c r="R413" s="2"/>
      <c r="S413" s="77">
        <f>IF(C413&lt;='Batt IN'!$G$14*12,'Batt IN'!$E$15/12,0)</f>
        <v>0</v>
      </c>
      <c r="T413" s="77"/>
      <c r="U413" s="80">
        <f>'Batt IN'!$E$28*('Batt IN'!$G$24/24)*730*(1-O413)</f>
        <v>81433.916666666657</v>
      </c>
      <c r="V413" s="78">
        <f>U413*'Batt IN'!$F$30</f>
        <v>16286.783333333333</v>
      </c>
      <c r="W413" s="78">
        <f>'Batt IN'!$E$28*'Batt IN'!$G$32*('Batt IN'!$E$32/12)*(1+'Batt IN'!$F$30)</f>
        <v>1750.0000000000002</v>
      </c>
      <c r="X413" s="78">
        <f>'Batt IN'!$E$28*'Batt IN'!$G$13*('Batt IN'!$E$13/12)*(1+'Batt IN'!$F$30)</f>
        <v>3184.9999999999995</v>
      </c>
      <c r="Y413" s="33">
        <f>S413*'Batt IN'!$G$15*'Batt IN'!$E$28*(1+'Batt IN'!$F$30)</f>
        <v>0</v>
      </c>
      <c r="Z413" s="33">
        <f>'Batt IN'!$G$16*365/12*(1+'Batt IN'!$F$30)</f>
        <v>1824.9999999999998</v>
      </c>
      <c r="AA413" s="33">
        <f>'Batt IN'!$G$17*'Batt IN'!$E$18*'Batt IN'!$G$18/12*(1+'Batt IN'!$F$30)</f>
        <v>1170</v>
      </c>
      <c r="AB413" s="33">
        <f>'Batt IN'!$G$19*'Batt IN'!$E$20*'Batt IN'!$G$20/12*(1+'Batt IN'!$F$30)</f>
        <v>150</v>
      </c>
      <c r="AC413" s="33">
        <f>'Batt IN'!$G$21*(1+'Batt IN'!$F$30)/12</f>
        <v>3500</v>
      </c>
      <c r="AD413" s="33">
        <f>'Batt IN'!$G$22*(1+'Batt IN'!$F$30)/12</f>
        <v>2500</v>
      </c>
      <c r="AE413" s="33">
        <f t="shared" si="104"/>
        <v>30366.783333333333</v>
      </c>
      <c r="AF413" s="33">
        <f>IF('PV IN'!$F$4="Battery Only",0,AE413*'Batt IN'!$E$29)</f>
        <v>25811.765833333331</v>
      </c>
      <c r="AG413" s="33">
        <f>PVCalcs!L413</f>
        <v>25811.765833333331</v>
      </c>
      <c r="AH413" s="33">
        <f t="shared" si="105"/>
        <v>4555.0175000000017</v>
      </c>
      <c r="AI413" s="33"/>
      <c r="AJ413" s="2">
        <f>IF(AND('Batt IN'!$D$53="Yes",$AL$1&gt;=1),IF($C413='Batt IN'!$H$54*12,-'Batt IN'!$F$54,0),0)</f>
        <v>0</v>
      </c>
      <c r="AK413" s="2">
        <f>IF(AND('Batt IN'!$D$53="Yes",$AL$1&gt;=2),IF($C413='Batt IN'!$H$55*12,-'Batt IN'!$F$55,0),0)</f>
        <v>0</v>
      </c>
      <c r="AL413" s="2">
        <f>IF(AND('Batt IN'!$D$53="Yes",$AL$1&gt;=3),IF($C413='Batt IN'!$H$56*12,-'Batt IN'!$F$56,0),0)</f>
        <v>0</v>
      </c>
      <c r="AM413" s="2">
        <f>IF(AND('Batt IN'!$D$53="Yes",$AL$1&gt;=4),IF($C413='Batt IN'!$H$57*12,-'Batt IN'!$F$57,0),0)</f>
        <v>0</v>
      </c>
      <c r="AN413" s="2">
        <f>IF(AND('Batt IN'!$D$53="Yes",$AL$1&gt;=5),IF($C413='Batt IN'!$H$58*12,-'Batt IN'!$F$58,0),0)</f>
        <v>0</v>
      </c>
      <c r="AO413" s="10">
        <f>IF(AND('Batt IN'!$D$44="YES",$C413&lt;='Batt IN'!$E$44*12),-'Batt IN'!$E$28*'Batt IN'!$E$42/12,0)</f>
        <v>0</v>
      </c>
      <c r="AP413" s="10">
        <f>IF(AND('Batt IN'!$D$46="YES",$C413&lt;='Batt IN'!$E$46*12),-'Batt IN'!$E$28*'Batt IN'!$E$45/12,0)</f>
        <v>0</v>
      </c>
      <c r="AR413" s="10">
        <f>BattLoan!M440</f>
        <v>0</v>
      </c>
      <c r="AS413" s="10">
        <f>'Batt IN'!$G$16*365/12*'Batt IN'!$E$16</f>
        <v>76.041666666666671</v>
      </c>
      <c r="AT413" s="10">
        <f>IF(AND('Batt IN'!$E$18&gt;0,'Batt IN'!$G$18&gt;0),'Batt IN'!$E$17*'Batt IN'!$G$17,0)</f>
        <v>119.44619999999999</v>
      </c>
      <c r="AU413" s="10">
        <f>IF(AND('Batt IN'!$E$20&gt;0,'Batt IN'!$G$20&gt;0),'Batt IN'!$E$19*'Batt IN'!$G$19,0)</f>
        <v>231</v>
      </c>
      <c r="AV413" s="10"/>
      <c r="AW413" s="10"/>
      <c r="AX413" s="10">
        <f>IF('Batt IN'!$E$11="Non-Taxable",Q413,0)</f>
        <v>12835.642630136987</v>
      </c>
      <c r="AY413" s="10">
        <f>IF('Batt IN'!$E$11="Non-Taxable",'Batt IN'!$E$28/1000*'Batt IN'!$G$13*('Batt IN'!$E$13/12)*'Batt IN'!$E$12,0)</f>
        <v>244.42220833333334</v>
      </c>
      <c r="AZ413" s="10">
        <f>IF('Batt IN'!$E$11="Non-Taxable",$S413*'Batt IN'!$G$15*'Batt IN'!$E$28*'Batt IN'!$E$14/1000,0)</f>
        <v>0</v>
      </c>
      <c r="BA413" s="10">
        <f>IF('Batt IN'!$E$11="Non-Taxable",'Batt IN'!$E$21*'Batt IN'!$G$21/12,0)</f>
        <v>437.5</v>
      </c>
      <c r="BB413" s="10">
        <f>IF('Batt IN'!$E$11="Non-Taxable",'Batt IN'!$E$22*'Batt IN'!$G$22/12,0)</f>
        <v>1145.8333333333335</v>
      </c>
      <c r="BC413" s="10">
        <f>IF('Batt IN'!$E$11="Taxable",Q413,0)</f>
        <v>0</v>
      </c>
      <c r="BD413" s="10">
        <f>IF('Batt IN'!$E$11="Taxable",'Batt IN'!$E$28/1000*'Batt IN'!$G$13*('Batt IN'!$E$13/12)*'Batt IN'!$E$12,0)</f>
        <v>0</v>
      </c>
      <c r="BE413" s="10">
        <f>IF('Batt IN'!$E$11="Taxable",$S413*'Batt IN'!$G$15*'Batt IN'!$E$28*'Batt IN'!$E$14/1000,0)</f>
        <v>0</v>
      </c>
      <c r="BF413" s="10">
        <f>IF('Batt IN'!$E$11="Taxable",'Batt IN'!$E$21*'Batt IN'!$G$21/12,0)</f>
        <v>0</v>
      </c>
      <c r="BG413" s="10">
        <f>IF('Batt IN'!$E$11="Taxable",'Batt IN'!$E$22*'Batt IN'!$G$22/12,0)</f>
        <v>0</v>
      </c>
      <c r="BK413" s="10">
        <f>IF('Batt IN'!$N$18="Yes",-BattLoan!H441,-BattLoan!L441)</f>
        <v>0</v>
      </c>
      <c r="BL413" s="10">
        <f>IF('Batt IN'!$N$18="Yes",-BattLoan!F441,0)</f>
        <v>0</v>
      </c>
      <c r="BM413" s="10">
        <f>IF(AND('Batt IN'!$D$44="YES",$C413&lt;='Batt IN'!$E$44*12),0,-'Batt IN'!$E$28*'Batt IN'!$E$42/12)</f>
        <v>-83.333333333333329</v>
      </c>
      <c r="BN413" s="10">
        <f>IF(AND('Batt IN'!$D$46="YES",$C413&lt;='Batt IN'!$E$46*12),0,-'Batt IN'!$E$28*'Batt IN'!$E$45/12)</f>
        <v>-166.66666666666666</v>
      </c>
      <c r="BO413" s="2">
        <f>IF(AND('Batt IN'!$D$41="YES",BattCalcs!C413=ROUNDUP('Batt IN'!$H$41*12,)),-'Batt IN'!$E$41*'Batt IN'!$E$28,0)</f>
        <v>0</v>
      </c>
      <c r="BP413" s="2">
        <f>IF(AND('Batt IN'!$D$53="Yes",$AL$1&gt;=1),0,IF($C413='Batt IN'!$H$54*12,-'Batt IN'!$F$54,0))</f>
        <v>0</v>
      </c>
      <c r="BQ413" s="2">
        <f>IF(AND('Batt IN'!$D$53="Yes",$AL$1&gt;=2),0,IF($C413='Batt IN'!$H$55*12,-'Batt IN'!$F$55,0))</f>
        <v>0</v>
      </c>
      <c r="BR413" s="2">
        <f>IF(AND('Batt IN'!$D$53="Yes",$AL$1&gt;=3),0,IF($C413='Batt IN'!$H$56*12,-'Batt IN'!$F$56,0))</f>
        <v>0</v>
      </c>
      <c r="BS413" s="2">
        <f>IF(AND('Batt IN'!$D$53="Yes",$AL$1&gt;=4),0,IF($C413='Batt IN'!$H$57*12,-'Batt IN'!$F$57,0))</f>
        <v>0</v>
      </c>
      <c r="BT413" s="2">
        <f>IF(AND('Batt IN'!$D$53="Yes",$AL$1&gt;=5),0,IF($C413='Batt IN'!$H$58*12,-'Batt IN'!$F$58,0))</f>
        <v>0</v>
      </c>
      <c r="BU413" s="2">
        <f>-AH413*PVCalcs!F413</f>
        <v>-359.37504381576838</v>
      </c>
      <c r="BV413" s="2">
        <f>-'Batt IN'!$E$47</f>
        <v>-150</v>
      </c>
      <c r="BW413" s="2">
        <f>-'Batt IN'!$E$49</f>
        <v>-2250</v>
      </c>
      <c r="BX413" s="2">
        <f>IF('Batt IN'!$H$50="No",-(BC413*'Batt IN'!$E$50),-(BC413+BE413)*'Batt IN'!$E$50)</f>
        <v>0</v>
      </c>
      <c r="BY413" s="2">
        <f>IF(C413='Batt IN'!$H$43*12,-'Batt IN'!$E$43,0)</f>
        <v>0</v>
      </c>
      <c r="BZ413" s="38"/>
      <c r="CA413" s="10">
        <f t="shared" si="106"/>
        <v>15089.88603847032</v>
      </c>
      <c r="CB413" s="2">
        <f t="shared" si="111"/>
        <v>-3009.3750438157685</v>
      </c>
      <c r="CC413" s="45">
        <f t="shared" si="107"/>
        <v>12080.510994654553</v>
      </c>
      <c r="CD413" s="43"/>
      <c r="CE413" s="2">
        <f t="shared" si="108"/>
        <v>0</v>
      </c>
      <c r="CF413" s="2">
        <f t="shared" si="112"/>
        <v>-3009.3750438157685</v>
      </c>
      <c r="CG413" s="2"/>
      <c r="CH413" s="2">
        <f t="shared" si="109"/>
        <v>-3009.3750438157685</v>
      </c>
      <c r="CI413" s="45">
        <f>-CH413*'Batt IN'!$E$7</f>
        <v>631.9687592013114</v>
      </c>
      <c r="CJ413" s="48"/>
      <c r="CK413" s="45">
        <f>IF('Batt IN'!$F$4="PV Only",0,IF(C413&gt;'Batt IN'!$H$43*12,0,CC413+CI413))</f>
        <v>0</v>
      </c>
      <c r="CM413" s="10">
        <f t="shared" si="110"/>
        <v>0</v>
      </c>
      <c r="CN413" s="2">
        <f>CK413/(1+('Batt IN'!$G$8))^(C413)</f>
        <v>0</v>
      </c>
      <c r="CO413" s="2" t="e">
        <f>IF(C413&lt;='Batt IN'!$O$30*12,CN413+CO412,NA())</f>
        <v>#N/A</v>
      </c>
      <c r="CQ413" s="2">
        <f>CK413/((1+('Batt IN'!$E$8/12))^BattCalcs!C413)</f>
        <v>0</v>
      </c>
      <c r="CS413" s="10">
        <f t="shared" si="113"/>
        <v>-3009.3750438157685</v>
      </c>
      <c r="CT413" s="10">
        <f t="shared" si="114"/>
        <v>0</v>
      </c>
      <c r="CU413" s="10">
        <f t="shared" si="115"/>
        <v>-3009.3750438157685</v>
      </c>
      <c r="CV413" s="10">
        <f t="shared" si="116"/>
        <v>-3009.3750438157685</v>
      </c>
      <c r="CW413" s="2">
        <f t="shared" si="117"/>
        <v>0</v>
      </c>
      <c r="CX413" s="2">
        <f>-(SUM(CV413:CW413)*'PV IN'!$E$8)</f>
        <v>631.9687592013114</v>
      </c>
      <c r="CY413" s="2">
        <f t="shared" si="118"/>
        <v>-2377.406284614457</v>
      </c>
      <c r="CZ413" s="2">
        <f>IF(C413&lt;='Batt IN'!$H$43*12,CY413/(1+('PV IN'!$G$9))^(C413),0)</f>
        <v>0</v>
      </c>
      <c r="DA413" s="33">
        <f>IF(C413&lt;='Batt IN'!$H$43*12,AE413,0)</f>
        <v>0</v>
      </c>
    </row>
    <row r="414" spans="1:105" x14ac:dyDescent="0.25">
      <c r="A414" t="str">
        <f>IF(C414&lt;='Batt IN'!$H$43*12,C414,"")</f>
        <v/>
      </c>
      <c r="C414">
        <v>410</v>
      </c>
      <c r="D414" s="21">
        <v>840</v>
      </c>
      <c r="E414" s="1">
        <f>1-'Batt IN'!$E$31</f>
        <v>2.0000000000000018E-2</v>
      </c>
      <c r="F414" s="12">
        <f>('Batt IN'!$E$33*365)/8760</f>
        <v>0</v>
      </c>
      <c r="G414" s="22">
        <f>'Batt IN'!$E$32/8760</f>
        <v>5.7077625570776253E-3</v>
      </c>
      <c r="H414" s="22">
        <f>'Batt IN'!$E$13/8760</f>
        <v>5.5936073059360729E-3</v>
      </c>
      <c r="I414" s="23">
        <f>IF(C414&lt;='Batt IN'!$G$14*12,'Batt IN'!$E$15/8760*'Batt IN'!$G$15,0)</f>
        <v>0</v>
      </c>
      <c r="J414" s="12">
        <f>Z414/'Batt IN'!$E$27/730</f>
        <v>2.4999999999999996E-3</v>
      </c>
      <c r="K414" s="23">
        <f>AA414/'Batt IN'!$E$27/730</f>
        <v>1.6027397260273972E-3</v>
      </c>
      <c r="L414" s="23">
        <f>AB414/'Batt IN'!$E$27/730</f>
        <v>2.0547945205479451E-4</v>
      </c>
      <c r="M414" s="23">
        <f>AC414/'Batt IN'!$E$27/730</f>
        <v>4.7945205479452057E-3</v>
      </c>
      <c r="N414" s="23">
        <f>AD414/'Batt IN'!$E$27/730</f>
        <v>3.4246575342465752E-3</v>
      </c>
      <c r="O414" s="12">
        <f t="shared" si="102"/>
        <v>4.3828767123287697E-2</v>
      </c>
      <c r="P414" s="21">
        <f t="shared" si="103"/>
        <v>803.18383561643839</v>
      </c>
      <c r="Q414" s="2">
        <f>IF('Batt IN'!$E$27*'Batt IN'!$E$24&lt;='Batt IN'!$E$28,(('Batt IN'!$E$23*'Batt IN'!$E$27*'Batt IN'!$E$24)/1000)*P414,(('Batt IN'!$E$23*'Batt IN'!$E$28*'Batt IN'!$E$24)/1000)*P414)</f>
        <v>12850.941369863014</v>
      </c>
      <c r="R414" s="2"/>
      <c r="S414" s="77">
        <f>IF(C414&lt;='Batt IN'!$G$14*12,'Batt IN'!$E$15/12,0)</f>
        <v>0</v>
      </c>
      <c r="T414" s="77"/>
      <c r="U414" s="80">
        <f>'Batt IN'!$E$28*('Batt IN'!$G$24/24)*730*(1-O414)</f>
        <v>81433.916666666657</v>
      </c>
      <c r="V414" s="78">
        <f>U414*'Batt IN'!$F$30</f>
        <v>16286.783333333333</v>
      </c>
      <c r="W414" s="78">
        <f>'Batt IN'!$E$28*'Batt IN'!$G$32*('Batt IN'!$E$32/12)*(1+'Batt IN'!$F$30)</f>
        <v>1750.0000000000002</v>
      </c>
      <c r="X414" s="78">
        <f>'Batt IN'!$E$28*'Batt IN'!$G$13*('Batt IN'!$E$13/12)*(1+'Batt IN'!$F$30)</f>
        <v>3184.9999999999995</v>
      </c>
      <c r="Y414" s="33">
        <f>S414*'Batt IN'!$G$15*'Batt IN'!$E$28*(1+'Batt IN'!$F$30)</f>
        <v>0</v>
      </c>
      <c r="Z414" s="33">
        <f>'Batt IN'!$G$16*365/12*(1+'Batt IN'!$F$30)</f>
        <v>1824.9999999999998</v>
      </c>
      <c r="AA414" s="33">
        <f>'Batt IN'!$G$17*'Batt IN'!$E$18*'Batt IN'!$G$18/12*(1+'Batt IN'!$F$30)</f>
        <v>1170</v>
      </c>
      <c r="AB414" s="33">
        <f>'Batt IN'!$G$19*'Batt IN'!$E$20*'Batt IN'!$G$20/12*(1+'Batt IN'!$F$30)</f>
        <v>150</v>
      </c>
      <c r="AC414" s="33">
        <f>'Batt IN'!$G$21*(1+'Batt IN'!$F$30)/12</f>
        <v>3500</v>
      </c>
      <c r="AD414" s="33">
        <f>'Batt IN'!$G$22*(1+'Batt IN'!$F$30)/12</f>
        <v>2500</v>
      </c>
      <c r="AE414" s="33">
        <f t="shared" si="104"/>
        <v>30366.783333333333</v>
      </c>
      <c r="AF414" s="33">
        <f>IF('PV IN'!$F$4="Battery Only",0,AE414*'Batt IN'!$E$29)</f>
        <v>25811.765833333331</v>
      </c>
      <c r="AG414" s="33">
        <f>PVCalcs!L414</f>
        <v>25811.765833333331</v>
      </c>
      <c r="AH414" s="33">
        <f t="shared" si="105"/>
        <v>4555.0175000000017</v>
      </c>
      <c r="AI414" s="33"/>
      <c r="AJ414" s="2">
        <f>IF(AND('Batt IN'!$D$53="Yes",$AL$1&gt;=1),IF($C414='Batt IN'!$H$54*12,-'Batt IN'!$F$54,0),0)</f>
        <v>0</v>
      </c>
      <c r="AK414" s="2">
        <f>IF(AND('Batt IN'!$D$53="Yes",$AL$1&gt;=2),IF($C414='Batt IN'!$H$55*12,-'Batt IN'!$F$55,0),0)</f>
        <v>0</v>
      </c>
      <c r="AL414" s="2">
        <f>IF(AND('Batt IN'!$D$53="Yes",$AL$1&gt;=3),IF($C414='Batt IN'!$H$56*12,-'Batt IN'!$F$56,0),0)</f>
        <v>0</v>
      </c>
      <c r="AM414" s="2">
        <f>IF(AND('Batt IN'!$D$53="Yes",$AL$1&gt;=4),IF($C414='Batt IN'!$H$57*12,-'Batt IN'!$F$57,0),0)</f>
        <v>0</v>
      </c>
      <c r="AN414" s="2">
        <f>IF(AND('Batt IN'!$D$53="Yes",$AL$1&gt;=5),IF($C414='Batt IN'!$H$58*12,-'Batt IN'!$F$58,0),0)</f>
        <v>0</v>
      </c>
      <c r="AO414" s="10">
        <f>IF(AND('Batt IN'!$D$44="YES",$C414&lt;='Batt IN'!$E$44*12),-'Batt IN'!$E$28*'Batt IN'!$E$42/12,0)</f>
        <v>0</v>
      </c>
      <c r="AP414" s="10">
        <f>IF(AND('Batt IN'!$D$46="YES",$C414&lt;='Batt IN'!$E$46*12),-'Batt IN'!$E$28*'Batt IN'!$E$45/12,0)</f>
        <v>0</v>
      </c>
      <c r="AR414" s="10">
        <f>BattLoan!M441</f>
        <v>0</v>
      </c>
      <c r="AS414" s="10">
        <f>'Batt IN'!$G$16*365/12*'Batt IN'!$E$16</f>
        <v>76.041666666666671</v>
      </c>
      <c r="AT414" s="10">
        <f>IF(AND('Batt IN'!$E$18&gt;0,'Batt IN'!$G$18&gt;0),'Batt IN'!$E$17*'Batt IN'!$G$17,0)</f>
        <v>119.44619999999999</v>
      </c>
      <c r="AU414" s="10">
        <f>IF(AND('Batt IN'!$E$20&gt;0,'Batt IN'!$G$20&gt;0),'Batt IN'!$E$19*'Batt IN'!$G$19,0)</f>
        <v>231</v>
      </c>
      <c r="AV414" s="10"/>
      <c r="AW414" s="10"/>
      <c r="AX414" s="10">
        <f>IF('Batt IN'!$E$11="Non-Taxable",Q414,0)</f>
        <v>12850.941369863014</v>
      </c>
      <c r="AY414" s="10">
        <f>IF('Batt IN'!$E$11="Non-Taxable",'Batt IN'!$E$28/1000*'Batt IN'!$G$13*('Batt IN'!$E$13/12)*'Batt IN'!$E$12,0)</f>
        <v>244.42220833333334</v>
      </c>
      <c r="AZ414" s="10">
        <f>IF('Batt IN'!$E$11="Non-Taxable",$S414*'Batt IN'!$G$15*'Batt IN'!$E$28*'Batt IN'!$E$14/1000,0)</f>
        <v>0</v>
      </c>
      <c r="BA414" s="10">
        <f>IF('Batt IN'!$E$11="Non-Taxable",'Batt IN'!$E$21*'Batt IN'!$G$21/12,0)</f>
        <v>437.5</v>
      </c>
      <c r="BB414" s="10">
        <f>IF('Batt IN'!$E$11="Non-Taxable",'Batt IN'!$E$22*'Batt IN'!$G$22/12,0)</f>
        <v>1145.8333333333335</v>
      </c>
      <c r="BC414" s="10">
        <f>IF('Batt IN'!$E$11="Taxable",Q414,0)</f>
        <v>0</v>
      </c>
      <c r="BD414" s="10">
        <f>IF('Batt IN'!$E$11="Taxable",'Batt IN'!$E$28/1000*'Batt IN'!$G$13*('Batt IN'!$E$13/12)*'Batt IN'!$E$12,0)</f>
        <v>0</v>
      </c>
      <c r="BE414" s="10">
        <f>IF('Batt IN'!$E$11="Taxable",$S414*'Batt IN'!$G$15*'Batt IN'!$E$28*'Batt IN'!$E$14/1000,0)</f>
        <v>0</v>
      </c>
      <c r="BF414" s="10">
        <f>IF('Batt IN'!$E$11="Taxable",'Batt IN'!$E$21*'Batt IN'!$G$21/12,0)</f>
        <v>0</v>
      </c>
      <c r="BG414" s="10">
        <f>IF('Batt IN'!$E$11="Taxable",'Batt IN'!$E$22*'Batt IN'!$G$22/12,0)</f>
        <v>0</v>
      </c>
      <c r="BK414" s="10">
        <f>IF('Batt IN'!$N$18="Yes",-BattLoan!H442,-BattLoan!L442)</f>
        <v>0</v>
      </c>
      <c r="BL414" s="10">
        <f>IF('Batt IN'!$N$18="Yes",-BattLoan!F442,0)</f>
        <v>0</v>
      </c>
      <c r="BM414" s="10">
        <f>IF(AND('Batt IN'!$D$44="YES",$C414&lt;='Batt IN'!$E$44*12),0,-'Batt IN'!$E$28*'Batt IN'!$E$42/12)</f>
        <v>-83.333333333333329</v>
      </c>
      <c r="BN414" s="10">
        <f>IF(AND('Batt IN'!$D$46="YES",$C414&lt;='Batt IN'!$E$46*12),0,-'Batt IN'!$E$28*'Batt IN'!$E$45/12)</f>
        <v>-166.66666666666666</v>
      </c>
      <c r="BO414" s="2">
        <f>IF(AND('Batt IN'!$D$41="YES",BattCalcs!C414=ROUNDUP('Batt IN'!$H$41*12,)),-'Batt IN'!$E$41*'Batt IN'!$E$28,0)</f>
        <v>0</v>
      </c>
      <c r="BP414" s="2">
        <f>IF(AND('Batt IN'!$D$53="Yes",$AL$1&gt;=1),0,IF($C414='Batt IN'!$H$54*12,-'Batt IN'!$F$54,0))</f>
        <v>0</v>
      </c>
      <c r="BQ414" s="2">
        <f>IF(AND('Batt IN'!$D$53="Yes",$AL$1&gt;=2),0,IF($C414='Batt IN'!$H$55*12,-'Batt IN'!$F$55,0))</f>
        <v>0</v>
      </c>
      <c r="BR414" s="2">
        <f>IF(AND('Batt IN'!$D$53="Yes",$AL$1&gt;=3),0,IF($C414='Batt IN'!$H$56*12,-'Batt IN'!$F$56,0))</f>
        <v>0</v>
      </c>
      <c r="BS414" s="2">
        <f>IF(AND('Batt IN'!$D$53="Yes",$AL$1&gt;=4),0,IF($C414='Batt IN'!$H$57*12,-'Batt IN'!$F$57,0))</f>
        <v>0</v>
      </c>
      <c r="BT414" s="2">
        <f>IF(AND('Batt IN'!$D$53="Yes",$AL$1&gt;=5),0,IF($C414='Batt IN'!$H$58*12,-'Batt IN'!$F$58,0))</f>
        <v>0</v>
      </c>
      <c r="BU414" s="2">
        <f>-AH414*PVCalcs!F414</f>
        <v>-359.37504381576838</v>
      </c>
      <c r="BV414" s="2">
        <f>-'Batt IN'!$E$47</f>
        <v>-150</v>
      </c>
      <c r="BW414" s="2">
        <f>-'Batt IN'!$E$49</f>
        <v>-2250</v>
      </c>
      <c r="BX414" s="2">
        <f>IF('Batt IN'!$H$50="No",-(BC414*'Batt IN'!$E$50),-(BC414+BE414)*'Batt IN'!$E$50)</f>
        <v>0</v>
      </c>
      <c r="BY414" s="2">
        <f>IF(C414='Batt IN'!$H$43*12,-'Batt IN'!$E$43,0)</f>
        <v>0</v>
      </c>
      <c r="BZ414" s="38"/>
      <c r="CA414" s="10">
        <f t="shared" si="106"/>
        <v>15105.184778196348</v>
      </c>
      <c r="CB414" s="2">
        <f t="shared" si="111"/>
        <v>-3009.3750438157685</v>
      </c>
      <c r="CC414" s="45">
        <f t="shared" si="107"/>
        <v>12095.809734380578</v>
      </c>
      <c r="CD414" s="43"/>
      <c r="CE414" s="2">
        <f t="shared" si="108"/>
        <v>0</v>
      </c>
      <c r="CF414" s="2">
        <f t="shared" si="112"/>
        <v>-3009.3750438157685</v>
      </c>
      <c r="CG414" s="2"/>
      <c r="CH414" s="2">
        <f t="shared" si="109"/>
        <v>-3009.3750438157685</v>
      </c>
      <c r="CI414" s="45">
        <f>-CH414*'Batt IN'!$E$7</f>
        <v>631.9687592013114</v>
      </c>
      <c r="CJ414" s="48"/>
      <c r="CK414" s="45">
        <f>IF('Batt IN'!$F$4="PV Only",0,IF(C414&gt;'Batt IN'!$H$43*12,0,CC414+CI414))</f>
        <v>0</v>
      </c>
      <c r="CM414" s="10">
        <f t="shared" si="110"/>
        <v>0</v>
      </c>
      <c r="CN414" s="2">
        <f>CK414/(1+('Batt IN'!$G$8))^(C414)</f>
        <v>0</v>
      </c>
      <c r="CO414" s="2" t="e">
        <f>IF(C414&lt;='Batt IN'!$O$30*12,CN414+CO413,NA())</f>
        <v>#N/A</v>
      </c>
      <c r="CQ414" s="2">
        <f>CK414/((1+('Batt IN'!$E$8/12))^BattCalcs!C414)</f>
        <v>0</v>
      </c>
      <c r="CS414" s="10">
        <f t="shared" si="113"/>
        <v>-3009.3750438157685</v>
      </c>
      <c r="CT414" s="10">
        <f t="shared" si="114"/>
        <v>0</v>
      </c>
      <c r="CU414" s="10">
        <f t="shared" si="115"/>
        <v>-3009.3750438157685</v>
      </c>
      <c r="CV414" s="10">
        <f t="shared" si="116"/>
        <v>-3009.3750438157685</v>
      </c>
      <c r="CW414" s="2">
        <f t="shared" si="117"/>
        <v>0</v>
      </c>
      <c r="CX414" s="2">
        <f>-(SUM(CV414:CW414)*'PV IN'!$E$8)</f>
        <v>631.9687592013114</v>
      </c>
      <c r="CY414" s="2">
        <f t="shared" si="118"/>
        <v>-2377.406284614457</v>
      </c>
      <c r="CZ414" s="2">
        <f>IF(C414&lt;='Batt IN'!$H$43*12,CY414/(1+('PV IN'!$G$9))^(C414),0)</f>
        <v>0</v>
      </c>
      <c r="DA414" s="33">
        <f>IF(C414&lt;='Batt IN'!$H$43*12,AE414,0)</f>
        <v>0</v>
      </c>
    </row>
    <row r="415" spans="1:105" x14ac:dyDescent="0.25">
      <c r="A415" t="str">
        <f>IF(C415&lt;='Batt IN'!$H$43*12,C415,"")</f>
        <v/>
      </c>
      <c r="C415">
        <v>411</v>
      </c>
      <c r="D415" s="21">
        <v>841</v>
      </c>
      <c r="E415" s="1">
        <f>1-'Batt IN'!$E$31</f>
        <v>2.0000000000000018E-2</v>
      </c>
      <c r="F415" s="12">
        <f>('Batt IN'!$E$33*365)/8760</f>
        <v>0</v>
      </c>
      <c r="G415" s="22">
        <f>'Batt IN'!$E$32/8760</f>
        <v>5.7077625570776253E-3</v>
      </c>
      <c r="H415" s="22">
        <f>'Batt IN'!$E$13/8760</f>
        <v>5.5936073059360729E-3</v>
      </c>
      <c r="I415" s="23">
        <f>IF(C415&lt;='Batt IN'!$G$14*12,'Batt IN'!$E$15/8760*'Batt IN'!$G$15,0)</f>
        <v>0</v>
      </c>
      <c r="J415" s="12">
        <f>Z415/'Batt IN'!$E$27/730</f>
        <v>2.4999999999999996E-3</v>
      </c>
      <c r="K415" s="23">
        <f>AA415/'Batt IN'!$E$27/730</f>
        <v>1.6027397260273972E-3</v>
      </c>
      <c r="L415" s="23">
        <f>AB415/'Batt IN'!$E$27/730</f>
        <v>2.0547945205479451E-4</v>
      </c>
      <c r="M415" s="23">
        <f>AC415/'Batt IN'!$E$27/730</f>
        <v>4.7945205479452057E-3</v>
      </c>
      <c r="N415" s="23">
        <f>AD415/'Batt IN'!$E$27/730</f>
        <v>3.4246575342465752E-3</v>
      </c>
      <c r="O415" s="12">
        <f t="shared" si="102"/>
        <v>4.3828767123287697E-2</v>
      </c>
      <c r="P415" s="21">
        <f t="shared" si="103"/>
        <v>804.14000684931511</v>
      </c>
      <c r="Q415" s="2">
        <f>IF('Batt IN'!$E$27*'Batt IN'!$E$24&lt;='Batt IN'!$E$28,(('Batt IN'!$E$23*'Batt IN'!$E$27*'Batt IN'!$E$24)/1000)*P415,(('Batt IN'!$E$23*'Batt IN'!$E$28*'Batt IN'!$E$24)/1000)*P415)</f>
        <v>12866.240109589042</v>
      </c>
      <c r="R415" s="2"/>
      <c r="S415" s="77">
        <f>IF(C415&lt;='Batt IN'!$G$14*12,'Batt IN'!$E$15/12,0)</f>
        <v>0</v>
      </c>
      <c r="T415" s="77"/>
      <c r="U415" s="80">
        <f>'Batt IN'!$E$28*('Batt IN'!$G$24/24)*730*(1-O415)</f>
        <v>81433.916666666657</v>
      </c>
      <c r="V415" s="78">
        <f>U415*'Batt IN'!$F$30</f>
        <v>16286.783333333333</v>
      </c>
      <c r="W415" s="78">
        <f>'Batt IN'!$E$28*'Batt IN'!$G$32*('Batt IN'!$E$32/12)*(1+'Batt IN'!$F$30)</f>
        <v>1750.0000000000002</v>
      </c>
      <c r="X415" s="78">
        <f>'Batt IN'!$E$28*'Batt IN'!$G$13*('Batt IN'!$E$13/12)*(1+'Batt IN'!$F$30)</f>
        <v>3184.9999999999995</v>
      </c>
      <c r="Y415" s="33">
        <f>S415*'Batt IN'!$G$15*'Batt IN'!$E$28*(1+'Batt IN'!$F$30)</f>
        <v>0</v>
      </c>
      <c r="Z415" s="33">
        <f>'Batt IN'!$G$16*365/12*(1+'Batt IN'!$F$30)</f>
        <v>1824.9999999999998</v>
      </c>
      <c r="AA415" s="33">
        <f>'Batt IN'!$G$17*'Batt IN'!$E$18*'Batt IN'!$G$18/12*(1+'Batt IN'!$F$30)</f>
        <v>1170</v>
      </c>
      <c r="AB415" s="33">
        <f>'Batt IN'!$G$19*'Batt IN'!$E$20*'Batt IN'!$G$20/12*(1+'Batt IN'!$F$30)</f>
        <v>150</v>
      </c>
      <c r="AC415" s="33">
        <f>'Batt IN'!$G$21*(1+'Batt IN'!$F$30)/12</f>
        <v>3500</v>
      </c>
      <c r="AD415" s="33">
        <f>'Batt IN'!$G$22*(1+'Batt IN'!$F$30)/12</f>
        <v>2500</v>
      </c>
      <c r="AE415" s="33">
        <f t="shared" si="104"/>
        <v>30366.783333333333</v>
      </c>
      <c r="AF415" s="33">
        <f>IF('PV IN'!$F$4="Battery Only",0,AE415*'Batt IN'!$E$29)</f>
        <v>25811.765833333331</v>
      </c>
      <c r="AG415" s="33">
        <f>PVCalcs!L415</f>
        <v>25811.765833333331</v>
      </c>
      <c r="AH415" s="33">
        <f t="shared" si="105"/>
        <v>4555.0175000000017</v>
      </c>
      <c r="AI415" s="33"/>
      <c r="AJ415" s="2">
        <f>IF(AND('Batt IN'!$D$53="Yes",$AL$1&gt;=1),IF($C415='Batt IN'!$H$54*12,-'Batt IN'!$F$54,0),0)</f>
        <v>0</v>
      </c>
      <c r="AK415" s="2">
        <f>IF(AND('Batt IN'!$D$53="Yes",$AL$1&gt;=2),IF($C415='Batt IN'!$H$55*12,-'Batt IN'!$F$55,0),0)</f>
        <v>0</v>
      </c>
      <c r="AL415" s="2">
        <f>IF(AND('Batt IN'!$D$53="Yes",$AL$1&gt;=3),IF($C415='Batt IN'!$H$56*12,-'Batt IN'!$F$56,0),0)</f>
        <v>0</v>
      </c>
      <c r="AM415" s="2">
        <f>IF(AND('Batt IN'!$D$53="Yes",$AL$1&gt;=4),IF($C415='Batt IN'!$H$57*12,-'Batt IN'!$F$57,0),0)</f>
        <v>0</v>
      </c>
      <c r="AN415" s="2">
        <f>IF(AND('Batt IN'!$D$53="Yes",$AL$1&gt;=5),IF($C415='Batt IN'!$H$58*12,-'Batt IN'!$F$58,0),0)</f>
        <v>0</v>
      </c>
      <c r="AO415" s="10">
        <f>IF(AND('Batt IN'!$D$44="YES",$C415&lt;='Batt IN'!$E$44*12),-'Batt IN'!$E$28*'Batt IN'!$E$42/12,0)</f>
        <v>0</v>
      </c>
      <c r="AP415" s="10">
        <f>IF(AND('Batt IN'!$D$46="YES",$C415&lt;='Batt IN'!$E$46*12),-'Batt IN'!$E$28*'Batt IN'!$E$45/12,0)</f>
        <v>0</v>
      </c>
      <c r="AR415" s="10">
        <f>BattLoan!M442</f>
        <v>0</v>
      </c>
      <c r="AS415" s="10">
        <f>'Batt IN'!$G$16*365/12*'Batt IN'!$E$16</f>
        <v>76.041666666666671</v>
      </c>
      <c r="AT415" s="10">
        <f>IF(AND('Batt IN'!$E$18&gt;0,'Batt IN'!$G$18&gt;0),'Batt IN'!$E$17*'Batt IN'!$G$17,0)</f>
        <v>119.44619999999999</v>
      </c>
      <c r="AU415" s="10">
        <f>IF(AND('Batt IN'!$E$20&gt;0,'Batt IN'!$G$20&gt;0),'Batt IN'!$E$19*'Batt IN'!$G$19,0)</f>
        <v>231</v>
      </c>
      <c r="AV415" s="10"/>
      <c r="AW415" s="10"/>
      <c r="AX415" s="10">
        <f>IF('Batt IN'!$E$11="Non-Taxable",Q415,0)</f>
        <v>12866.240109589042</v>
      </c>
      <c r="AY415" s="10">
        <f>IF('Batt IN'!$E$11="Non-Taxable",'Batt IN'!$E$28/1000*'Batt IN'!$G$13*('Batt IN'!$E$13/12)*'Batt IN'!$E$12,0)</f>
        <v>244.42220833333334</v>
      </c>
      <c r="AZ415" s="10">
        <f>IF('Batt IN'!$E$11="Non-Taxable",$S415*'Batt IN'!$G$15*'Batt IN'!$E$28*'Batt IN'!$E$14/1000,0)</f>
        <v>0</v>
      </c>
      <c r="BA415" s="10">
        <f>IF('Batt IN'!$E$11="Non-Taxable",'Batt IN'!$E$21*'Batt IN'!$G$21/12,0)</f>
        <v>437.5</v>
      </c>
      <c r="BB415" s="10">
        <f>IF('Batt IN'!$E$11="Non-Taxable",'Batt IN'!$E$22*'Batt IN'!$G$22/12,0)</f>
        <v>1145.8333333333335</v>
      </c>
      <c r="BC415" s="10">
        <f>IF('Batt IN'!$E$11="Taxable",Q415,0)</f>
        <v>0</v>
      </c>
      <c r="BD415" s="10">
        <f>IF('Batt IN'!$E$11="Taxable",'Batt IN'!$E$28/1000*'Batt IN'!$G$13*('Batt IN'!$E$13/12)*'Batt IN'!$E$12,0)</f>
        <v>0</v>
      </c>
      <c r="BE415" s="10">
        <f>IF('Batt IN'!$E$11="Taxable",$S415*'Batt IN'!$G$15*'Batt IN'!$E$28*'Batt IN'!$E$14/1000,0)</f>
        <v>0</v>
      </c>
      <c r="BF415" s="10">
        <f>IF('Batt IN'!$E$11="Taxable",'Batt IN'!$E$21*'Batt IN'!$G$21/12,0)</f>
        <v>0</v>
      </c>
      <c r="BG415" s="10">
        <f>IF('Batt IN'!$E$11="Taxable",'Batt IN'!$E$22*'Batt IN'!$G$22/12,0)</f>
        <v>0</v>
      </c>
      <c r="BK415" s="10">
        <f>IF('Batt IN'!$N$18="Yes",-BattLoan!H443,-BattLoan!L443)</f>
        <v>0</v>
      </c>
      <c r="BL415" s="10">
        <f>IF('Batt IN'!$N$18="Yes",-BattLoan!F443,0)</f>
        <v>0</v>
      </c>
      <c r="BM415" s="10">
        <f>IF(AND('Batt IN'!$D$44="YES",$C415&lt;='Batt IN'!$E$44*12),0,-'Batt IN'!$E$28*'Batt IN'!$E$42/12)</f>
        <v>-83.333333333333329</v>
      </c>
      <c r="BN415" s="10">
        <f>IF(AND('Batt IN'!$D$46="YES",$C415&lt;='Batt IN'!$E$46*12),0,-'Batt IN'!$E$28*'Batt IN'!$E$45/12)</f>
        <v>-166.66666666666666</v>
      </c>
      <c r="BO415" s="2">
        <f>IF(AND('Batt IN'!$D$41="YES",BattCalcs!C415=ROUNDUP('Batt IN'!$H$41*12,)),-'Batt IN'!$E$41*'Batt IN'!$E$28,0)</f>
        <v>0</v>
      </c>
      <c r="BP415" s="2">
        <f>IF(AND('Batt IN'!$D$53="Yes",$AL$1&gt;=1),0,IF($C415='Batt IN'!$H$54*12,-'Batt IN'!$F$54,0))</f>
        <v>0</v>
      </c>
      <c r="BQ415" s="2">
        <f>IF(AND('Batt IN'!$D$53="Yes",$AL$1&gt;=2),0,IF($C415='Batt IN'!$H$55*12,-'Batt IN'!$F$55,0))</f>
        <v>0</v>
      </c>
      <c r="BR415" s="2">
        <f>IF(AND('Batt IN'!$D$53="Yes",$AL$1&gt;=3),0,IF($C415='Batt IN'!$H$56*12,-'Batt IN'!$F$56,0))</f>
        <v>0</v>
      </c>
      <c r="BS415" s="2">
        <f>IF(AND('Batt IN'!$D$53="Yes",$AL$1&gt;=4),0,IF($C415='Batt IN'!$H$57*12,-'Batt IN'!$F$57,0))</f>
        <v>0</v>
      </c>
      <c r="BT415" s="2">
        <f>IF(AND('Batt IN'!$D$53="Yes",$AL$1&gt;=5),0,IF($C415='Batt IN'!$H$58*12,-'Batt IN'!$F$58,0))</f>
        <v>0</v>
      </c>
      <c r="BU415" s="2">
        <f>-AH415*PVCalcs!F415</f>
        <v>-359.37504381576838</v>
      </c>
      <c r="BV415" s="2">
        <f>-'Batt IN'!$E$47</f>
        <v>-150</v>
      </c>
      <c r="BW415" s="2">
        <f>-'Batt IN'!$E$49</f>
        <v>-2250</v>
      </c>
      <c r="BX415" s="2">
        <f>IF('Batt IN'!$H$50="No",-(BC415*'Batt IN'!$E$50),-(BC415+BE415)*'Batt IN'!$E$50)</f>
        <v>0</v>
      </c>
      <c r="BY415" s="2">
        <f>IF(C415='Batt IN'!$H$43*12,-'Batt IN'!$E$43,0)</f>
        <v>0</v>
      </c>
      <c r="BZ415" s="38"/>
      <c r="CA415" s="10">
        <f t="shared" si="106"/>
        <v>15120.483517922376</v>
      </c>
      <c r="CB415" s="2">
        <f t="shared" si="111"/>
        <v>-3009.3750438157685</v>
      </c>
      <c r="CC415" s="45">
        <f t="shared" si="107"/>
        <v>12111.108474106608</v>
      </c>
      <c r="CD415" s="43"/>
      <c r="CE415" s="2">
        <f t="shared" si="108"/>
        <v>0</v>
      </c>
      <c r="CF415" s="2">
        <f t="shared" si="112"/>
        <v>-3009.3750438157685</v>
      </c>
      <c r="CG415" s="2"/>
      <c r="CH415" s="2">
        <f t="shared" si="109"/>
        <v>-3009.3750438157685</v>
      </c>
      <c r="CI415" s="45">
        <f>-CH415*'Batt IN'!$E$7</f>
        <v>631.9687592013114</v>
      </c>
      <c r="CJ415" s="48"/>
      <c r="CK415" s="45">
        <f>IF('Batt IN'!$F$4="PV Only",0,IF(C415&gt;'Batt IN'!$H$43*12,0,CC415+CI415))</f>
        <v>0</v>
      </c>
      <c r="CM415" s="10">
        <f t="shared" si="110"/>
        <v>0</v>
      </c>
      <c r="CN415" s="2">
        <f>CK415/(1+('Batt IN'!$G$8))^(C415)</f>
        <v>0</v>
      </c>
      <c r="CO415" s="2" t="e">
        <f>IF(C415&lt;='Batt IN'!$O$30*12,CN415+CO414,NA())</f>
        <v>#N/A</v>
      </c>
      <c r="CQ415" s="2">
        <f>CK415/((1+('Batt IN'!$E$8/12))^BattCalcs!C415)</f>
        <v>0</v>
      </c>
      <c r="CS415" s="10">
        <f t="shared" si="113"/>
        <v>-3009.3750438157685</v>
      </c>
      <c r="CT415" s="10">
        <f t="shared" si="114"/>
        <v>0</v>
      </c>
      <c r="CU415" s="10">
        <f t="shared" si="115"/>
        <v>-3009.3750438157685</v>
      </c>
      <c r="CV415" s="10">
        <f t="shared" si="116"/>
        <v>-3009.3750438157685</v>
      </c>
      <c r="CW415" s="2">
        <f t="shared" si="117"/>
        <v>0</v>
      </c>
      <c r="CX415" s="2">
        <f>-(SUM(CV415:CW415)*'PV IN'!$E$8)</f>
        <v>631.9687592013114</v>
      </c>
      <c r="CY415" s="2">
        <f t="shared" si="118"/>
        <v>-2377.406284614457</v>
      </c>
      <c r="CZ415" s="2">
        <f>IF(C415&lt;='Batt IN'!$H$43*12,CY415/(1+('PV IN'!$G$9))^(C415),0)</f>
        <v>0</v>
      </c>
      <c r="DA415" s="33">
        <f>IF(C415&lt;='Batt IN'!$H$43*12,AE415,0)</f>
        <v>0</v>
      </c>
    </row>
    <row r="416" spans="1:105" x14ac:dyDescent="0.25">
      <c r="A416" t="str">
        <f>IF(C416&lt;='Batt IN'!$H$43*12,C416,"")</f>
        <v/>
      </c>
      <c r="C416">
        <v>412</v>
      </c>
      <c r="D416" s="21">
        <v>842</v>
      </c>
      <c r="E416" s="1">
        <f>1-'Batt IN'!$E$31</f>
        <v>2.0000000000000018E-2</v>
      </c>
      <c r="F416" s="12">
        <f>('Batt IN'!$E$33*365)/8760</f>
        <v>0</v>
      </c>
      <c r="G416" s="22">
        <f>'Batt IN'!$E$32/8760</f>
        <v>5.7077625570776253E-3</v>
      </c>
      <c r="H416" s="22">
        <f>'Batt IN'!$E$13/8760</f>
        <v>5.5936073059360729E-3</v>
      </c>
      <c r="I416" s="23">
        <f>IF(C416&lt;='Batt IN'!$G$14*12,'Batt IN'!$E$15/8760*'Batt IN'!$G$15,0)</f>
        <v>0</v>
      </c>
      <c r="J416" s="12">
        <f>Z416/'Batt IN'!$E$27/730</f>
        <v>2.4999999999999996E-3</v>
      </c>
      <c r="K416" s="23">
        <f>AA416/'Batt IN'!$E$27/730</f>
        <v>1.6027397260273972E-3</v>
      </c>
      <c r="L416" s="23">
        <f>AB416/'Batt IN'!$E$27/730</f>
        <v>2.0547945205479451E-4</v>
      </c>
      <c r="M416" s="23">
        <f>AC416/'Batt IN'!$E$27/730</f>
        <v>4.7945205479452057E-3</v>
      </c>
      <c r="N416" s="23">
        <f>AD416/'Batt IN'!$E$27/730</f>
        <v>3.4246575342465752E-3</v>
      </c>
      <c r="O416" s="12">
        <f t="shared" si="102"/>
        <v>4.3828767123287697E-2</v>
      </c>
      <c r="P416" s="21">
        <f t="shared" si="103"/>
        <v>805.09617808219184</v>
      </c>
      <c r="Q416" s="2">
        <f>IF('Batt IN'!$E$27*'Batt IN'!$E$24&lt;='Batt IN'!$E$28,(('Batt IN'!$E$23*'Batt IN'!$E$27*'Batt IN'!$E$24)/1000)*P416,(('Batt IN'!$E$23*'Batt IN'!$E$28*'Batt IN'!$E$24)/1000)*P416)</f>
        <v>12881.538849315069</v>
      </c>
      <c r="R416" s="2"/>
      <c r="S416" s="77">
        <f>IF(C416&lt;='Batt IN'!$G$14*12,'Batt IN'!$E$15/12,0)</f>
        <v>0</v>
      </c>
      <c r="T416" s="77"/>
      <c r="U416" s="80">
        <f>'Batt IN'!$E$28*('Batt IN'!$G$24/24)*730*(1-O416)</f>
        <v>81433.916666666657</v>
      </c>
      <c r="V416" s="78">
        <f>U416*'Batt IN'!$F$30</f>
        <v>16286.783333333333</v>
      </c>
      <c r="W416" s="78">
        <f>'Batt IN'!$E$28*'Batt IN'!$G$32*('Batt IN'!$E$32/12)*(1+'Batt IN'!$F$30)</f>
        <v>1750.0000000000002</v>
      </c>
      <c r="X416" s="78">
        <f>'Batt IN'!$E$28*'Batt IN'!$G$13*('Batt IN'!$E$13/12)*(1+'Batt IN'!$F$30)</f>
        <v>3184.9999999999995</v>
      </c>
      <c r="Y416" s="33">
        <f>S416*'Batt IN'!$G$15*'Batt IN'!$E$28*(1+'Batt IN'!$F$30)</f>
        <v>0</v>
      </c>
      <c r="Z416" s="33">
        <f>'Batt IN'!$G$16*365/12*(1+'Batt IN'!$F$30)</f>
        <v>1824.9999999999998</v>
      </c>
      <c r="AA416" s="33">
        <f>'Batt IN'!$G$17*'Batt IN'!$E$18*'Batt IN'!$G$18/12*(1+'Batt IN'!$F$30)</f>
        <v>1170</v>
      </c>
      <c r="AB416" s="33">
        <f>'Batt IN'!$G$19*'Batt IN'!$E$20*'Batt IN'!$G$20/12*(1+'Batt IN'!$F$30)</f>
        <v>150</v>
      </c>
      <c r="AC416" s="33">
        <f>'Batt IN'!$G$21*(1+'Batt IN'!$F$30)/12</f>
        <v>3500</v>
      </c>
      <c r="AD416" s="33">
        <f>'Batt IN'!$G$22*(1+'Batt IN'!$F$30)/12</f>
        <v>2500</v>
      </c>
      <c r="AE416" s="33">
        <f t="shared" si="104"/>
        <v>30366.783333333333</v>
      </c>
      <c r="AF416" s="33">
        <f>IF('PV IN'!$F$4="Battery Only",0,AE416*'Batt IN'!$E$29)</f>
        <v>25811.765833333331</v>
      </c>
      <c r="AG416" s="33">
        <f>PVCalcs!L416</f>
        <v>25811.765833333331</v>
      </c>
      <c r="AH416" s="33">
        <f t="shared" si="105"/>
        <v>4555.0175000000017</v>
      </c>
      <c r="AI416" s="33"/>
      <c r="AJ416" s="2">
        <f>IF(AND('Batt IN'!$D$53="Yes",$AL$1&gt;=1),IF($C416='Batt IN'!$H$54*12,-'Batt IN'!$F$54,0),0)</f>
        <v>0</v>
      </c>
      <c r="AK416" s="2">
        <f>IF(AND('Batt IN'!$D$53="Yes",$AL$1&gt;=2),IF($C416='Batt IN'!$H$55*12,-'Batt IN'!$F$55,0),0)</f>
        <v>0</v>
      </c>
      <c r="AL416" s="2">
        <f>IF(AND('Batt IN'!$D$53="Yes",$AL$1&gt;=3),IF($C416='Batt IN'!$H$56*12,-'Batt IN'!$F$56,0),0)</f>
        <v>0</v>
      </c>
      <c r="AM416" s="2">
        <f>IF(AND('Batt IN'!$D$53="Yes",$AL$1&gt;=4),IF($C416='Batt IN'!$H$57*12,-'Batt IN'!$F$57,0),0)</f>
        <v>0</v>
      </c>
      <c r="AN416" s="2">
        <f>IF(AND('Batt IN'!$D$53="Yes",$AL$1&gt;=5),IF($C416='Batt IN'!$H$58*12,-'Batt IN'!$F$58,0),0)</f>
        <v>0</v>
      </c>
      <c r="AO416" s="10">
        <f>IF(AND('Batt IN'!$D$44="YES",$C416&lt;='Batt IN'!$E$44*12),-'Batt IN'!$E$28*'Batt IN'!$E$42/12,0)</f>
        <v>0</v>
      </c>
      <c r="AP416" s="10">
        <f>IF(AND('Batt IN'!$D$46="YES",$C416&lt;='Batt IN'!$E$46*12),-'Batt IN'!$E$28*'Batt IN'!$E$45/12,0)</f>
        <v>0</v>
      </c>
      <c r="AR416" s="10">
        <f>BattLoan!M443</f>
        <v>0</v>
      </c>
      <c r="AS416" s="10">
        <f>'Batt IN'!$G$16*365/12*'Batt IN'!$E$16</f>
        <v>76.041666666666671</v>
      </c>
      <c r="AT416" s="10">
        <f>IF(AND('Batt IN'!$E$18&gt;0,'Batt IN'!$G$18&gt;0),'Batt IN'!$E$17*'Batt IN'!$G$17,0)</f>
        <v>119.44619999999999</v>
      </c>
      <c r="AU416" s="10">
        <f>IF(AND('Batt IN'!$E$20&gt;0,'Batt IN'!$G$20&gt;0),'Batt IN'!$E$19*'Batt IN'!$G$19,0)</f>
        <v>231</v>
      </c>
      <c r="AV416" s="10"/>
      <c r="AW416" s="10"/>
      <c r="AX416" s="10">
        <f>IF('Batt IN'!$E$11="Non-Taxable",Q416,0)</f>
        <v>12881.538849315069</v>
      </c>
      <c r="AY416" s="10">
        <f>IF('Batt IN'!$E$11="Non-Taxable",'Batt IN'!$E$28/1000*'Batt IN'!$G$13*('Batt IN'!$E$13/12)*'Batt IN'!$E$12,0)</f>
        <v>244.42220833333334</v>
      </c>
      <c r="AZ416" s="10">
        <f>IF('Batt IN'!$E$11="Non-Taxable",$S416*'Batt IN'!$G$15*'Batt IN'!$E$28*'Batt IN'!$E$14/1000,0)</f>
        <v>0</v>
      </c>
      <c r="BA416" s="10">
        <f>IF('Batt IN'!$E$11="Non-Taxable",'Batt IN'!$E$21*'Batt IN'!$G$21/12,0)</f>
        <v>437.5</v>
      </c>
      <c r="BB416" s="10">
        <f>IF('Batt IN'!$E$11="Non-Taxable",'Batt IN'!$E$22*'Batt IN'!$G$22/12,0)</f>
        <v>1145.8333333333335</v>
      </c>
      <c r="BC416" s="10">
        <f>IF('Batt IN'!$E$11="Taxable",Q416,0)</f>
        <v>0</v>
      </c>
      <c r="BD416" s="10">
        <f>IF('Batt IN'!$E$11="Taxable",'Batt IN'!$E$28/1000*'Batt IN'!$G$13*('Batt IN'!$E$13/12)*'Batt IN'!$E$12,0)</f>
        <v>0</v>
      </c>
      <c r="BE416" s="10">
        <f>IF('Batt IN'!$E$11="Taxable",$S416*'Batt IN'!$G$15*'Batt IN'!$E$28*'Batt IN'!$E$14/1000,0)</f>
        <v>0</v>
      </c>
      <c r="BF416" s="10">
        <f>IF('Batt IN'!$E$11="Taxable",'Batt IN'!$E$21*'Batt IN'!$G$21/12,0)</f>
        <v>0</v>
      </c>
      <c r="BG416" s="10">
        <f>IF('Batt IN'!$E$11="Taxable",'Batt IN'!$E$22*'Batt IN'!$G$22/12,0)</f>
        <v>0</v>
      </c>
      <c r="BK416" s="10">
        <f>IF('Batt IN'!$N$18="Yes",-BattLoan!H444,-BattLoan!L444)</f>
        <v>0</v>
      </c>
      <c r="BL416" s="10">
        <f>IF('Batt IN'!$N$18="Yes",-BattLoan!F444,0)</f>
        <v>0</v>
      </c>
      <c r="BM416" s="10">
        <f>IF(AND('Batt IN'!$D$44="YES",$C416&lt;='Batt IN'!$E$44*12),0,-'Batt IN'!$E$28*'Batt IN'!$E$42/12)</f>
        <v>-83.333333333333329</v>
      </c>
      <c r="BN416" s="10">
        <f>IF(AND('Batt IN'!$D$46="YES",$C416&lt;='Batt IN'!$E$46*12),0,-'Batt IN'!$E$28*'Batt IN'!$E$45/12)</f>
        <v>-166.66666666666666</v>
      </c>
      <c r="BO416" s="2">
        <f>IF(AND('Batt IN'!$D$41="YES",BattCalcs!C416=ROUNDUP('Batt IN'!$H$41*12,)),-'Batt IN'!$E$41*'Batt IN'!$E$28,0)</f>
        <v>0</v>
      </c>
      <c r="BP416" s="2">
        <f>IF(AND('Batt IN'!$D$53="Yes",$AL$1&gt;=1),0,IF($C416='Batt IN'!$H$54*12,-'Batt IN'!$F$54,0))</f>
        <v>0</v>
      </c>
      <c r="BQ416" s="2">
        <f>IF(AND('Batt IN'!$D$53="Yes",$AL$1&gt;=2),0,IF($C416='Batt IN'!$H$55*12,-'Batt IN'!$F$55,0))</f>
        <v>0</v>
      </c>
      <c r="BR416" s="2">
        <f>IF(AND('Batt IN'!$D$53="Yes",$AL$1&gt;=3),0,IF($C416='Batt IN'!$H$56*12,-'Batt IN'!$F$56,0))</f>
        <v>0</v>
      </c>
      <c r="BS416" s="2">
        <f>IF(AND('Batt IN'!$D$53="Yes",$AL$1&gt;=4),0,IF($C416='Batt IN'!$H$57*12,-'Batt IN'!$F$57,0))</f>
        <v>0</v>
      </c>
      <c r="BT416" s="2">
        <f>IF(AND('Batt IN'!$D$53="Yes",$AL$1&gt;=5),0,IF($C416='Batt IN'!$H$58*12,-'Batt IN'!$F$58,0))</f>
        <v>0</v>
      </c>
      <c r="BU416" s="2">
        <f>-AH416*PVCalcs!F416</f>
        <v>-359.37504381576838</v>
      </c>
      <c r="BV416" s="2">
        <f>-'Batt IN'!$E$47</f>
        <v>-150</v>
      </c>
      <c r="BW416" s="2">
        <f>-'Batt IN'!$E$49</f>
        <v>-2250</v>
      </c>
      <c r="BX416" s="2">
        <f>IF('Batt IN'!$H$50="No",-(BC416*'Batt IN'!$E$50),-(BC416+BE416)*'Batt IN'!$E$50)</f>
        <v>0</v>
      </c>
      <c r="BY416" s="2">
        <f>IF(C416='Batt IN'!$H$43*12,-'Batt IN'!$E$43,0)</f>
        <v>0</v>
      </c>
      <c r="BZ416" s="38"/>
      <c r="CA416" s="10">
        <f t="shared" si="106"/>
        <v>15135.782257648403</v>
      </c>
      <c r="CB416" s="2">
        <f t="shared" si="111"/>
        <v>-3009.3750438157685</v>
      </c>
      <c r="CC416" s="45">
        <f t="shared" si="107"/>
        <v>12126.407213832634</v>
      </c>
      <c r="CD416" s="43"/>
      <c r="CE416" s="2">
        <f t="shared" si="108"/>
        <v>0</v>
      </c>
      <c r="CF416" s="2">
        <f t="shared" si="112"/>
        <v>-3009.3750438157685</v>
      </c>
      <c r="CG416" s="2"/>
      <c r="CH416" s="2">
        <f t="shared" si="109"/>
        <v>-3009.3750438157685</v>
      </c>
      <c r="CI416" s="45">
        <f>-CH416*'Batt IN'!$E$7</f>
        <v>631.9687592013114</v>
      </c>
      <c r="CJ416" s="48"/>
      <c r="CK416" s="45">
        <f>IF('Batt IN'!$F$4="PV Only",0,IF(C416&gt;'Batt IN'!$H$43*12,0,CC416+CI416))</f>
        <v>0</v>
      </c>
      <c r="CM416" s="10">
        <f t="shared" si="110"/>
        <v>0</v>
      </c>
      <c r="CN416" s="2">
        <f>CK416/(1+('Batt IN'!$G$8))^(C416)</f>
        <v>0</v>
      </c>
      <c r="CO416" s="2" t="e">
        <f>IF(C416&lt;='Batt IN'!$O$30*12,CN416+CO415,NA())</f>
        <v>#N/A</v>
      </c>
      <c r="CQ416" s="2">
        <f>CK416/((1+('Batt IN'!$E$8/12))^BattCalcs!C416)</f>
        <v>0</v>
      </c>
      <c r="CS416" s="10">
        <f t="shared" si="113"/>
        <v>-3009.3750438157685</v>
      </c>
      <c r="CT416" s="10">
        <f t="shared" si="114"/>
        <v>0</v>
      </c>
      <c r="CU416" s="10">
        <f t="shared" si="115"/>
        <v>-3009.3750438157685</v>
      </c>
      <c r="CV416" s="10">
        <f t="shared" si="116"/>
        <v>-3009.3750438157685</v>
      </c>
      <c r="CW416" s="2">
        <f t="shared" si="117"/>
        <v>0</v>
      </c>
      <c r="CX416" s="2">
        <f>-(SUM(CV416:CW416)*'PV IN'!$E$8)</f>
        <v>631.9687592013114</v>
      </c>
      <c r="CY416" s="2">
        <f t="shared" si="118"/>
        <v>-2377.406284614457</v>
      </c>
      <c r="CZ416" s="2">
        <f>IF(C416&lt;='Batt IN'!$H$43*12,CY416/(1+('PV IN'!$G$9))^(C416),0)</f>
        <v>0</v>
      </c>
      <c r="DA416" s="33">
        <f>IF(C416&lt;='Batt IN'!$H$43*12,AE416,0)</f>
        <v>0</v>
      </c>
    </row>
    <row r="417" spans="1:105" x14ac:dyDescent="0.25">
      <c r="A417" t="str">
        <f>IF(C417&lt;='Batt IN'!$H$43*12,C417,"")</f>
        <v/>
      </c>
      <c r="C417">
        <v>413</v>
      </c>
      <c r="D417" s="21">
        <v>843</v>
      </c>
      <c r="E417" s="1">
        <f>1-'Batt IN'!$E$31</f>
        <v>2.0000000000000018E-2</v>
      </c>
      <c r="F417" s="12">
        <f>('Batt IN'!$E$33*365)/8760</f>
        <v>0</v>
      </c>
      <c r="G417" s="22">
        <f>'Batt IN'!$E$32/8760</f>
        <v>5.7077625570776253E-3</v>
      </c>
      <c r="H417" s="22">
        <f>'Batt IN'!$E$13/8760</f>
        <v>5.5936073059360729E-3</v>
      </c>
      <c r="I417" s="23">
        <f>IF(C417&lt;='Batt IN'!$G$14*12,'Batt IN'!$E$15/8760*'Batt IN'!$G$15,0)</f>
        <v>0</v>
      </c>
      <c r="J417" s="12">
        <f>Z417/'Batt IN'!$E$27/730</f>
        <v>2.4999999999999996E-3</v>
      </c>
      <c r="K417" s="23">
        <f>AA417/'Batt IN'!$E$27/730</f>
        <v>1.6027397260273972E-3</v>
      </c>
      <c r="L417" s="23">
        <f>AB417/'Batt IN'!$E$27/730</f>
        <v>2.0547945205479451E-4</v>
      </c>
      <c r="M417" s="23">
        <f>AC417/'Batt IN'!$E$27/730</f>
        <v>4.7945205479452057E-3</v>
      </c>
      <c r="N417" s="23">
        <f>AD417/'Batt IN'!$E$27/730</f>
        <v>3.4246575342465752E-3</v>
      </c>
      <c r="O417" s="12">
        <f t="shared" si="102"/>
        <v>4.3828767123287697E-2</v>
      </c>
      <c r="P417" s="21">
        <f t="shared" si="103"/>
        <v>806.05234931506857</v>
      </c>
      <c r="Q417" s="2">
        <f>IF('Batt IN'!$E$27*'Batt IN'!$E$24&lt;='Batt IN'!$E$28,(('Batt IN'!$E$23*'Batt IN'!$E$27*'Batt IN'!$E$24)/1000)*P417,(('Batt IN'!$E$23*'Batt IN'!$E$28*'Batt IN'!$E$24)/1000)*P417)</f>
        <v>12896.837589041097</v>
      </c>
      <c r="R417" s="2"/>
      <c r="S417" s="77">
        <f>IF(C417&lt;='Batt IN'!$G$14*12,'Batt IN'!$E$15/12,0)</f>
        <v>0</v>
      </c>
      <c r="T417" s="77"/>
      <c r="U417" s="80">
        <f>'Batt IN'!$E$28*('Batt IN'!$G$24/24)*730*(1-O417)</f>
        <v>81433.916666666657</v>
      </c>
      <c r="V417" s="78">
        <f>U417*'Batt IN'!$F$30</f>
        <v>16286.783333333333</v>
      </c>
      <c r="W417" s="78">
        <f>'Batt IN'!$E$28*'Batt IN'!$G$32*('Batt IN'!$E$32/12)*(1+'Batt IN'!$F$30)</f>
        <v>1750.0000000000002</v>
      </c>
      <c r="X417" s="78">
        <f>'Batt IN'!$E$28*'Batt IN'!$G$13*('Batt IN'!$E$13/12)*(1+'Batt IN'!$F$30)</f>
        <v>3184.9999999999995</v>
      </c>
      <c r="Y417" s="33">
        <f>S417*'Batt IN'!$G$15*'Batt IN'!$E$28*(1+'Batt IN'!$F$30)</f>
        <v>0</v>
      </c>
      <c r="Z417" s="33">
        <f>'Batt IN'!$G$16*365/12*(1+'Batt IN'!$F$30)</f>
        <v>1824.9999999999998</v>
      </c>
      <c r="AA417" s="33">
        <f>'Batt IN'!$G$17*'Batt IN'!$E$18*'Batt IN'!$G$18/12*(1+'Batt IN'!$F$30)</f>
        <v>1170</v>
      </c>
      <c r="AB417" s="33">
        <f>'Batt IN'!$G$19*'Batt IN'!$E$20*'Batt IN'!$G$20/12*(1+'Batt IN'!$F$30)</f>
        <v>150</v>
      </c>
      <c r="AC417" s="33">
        <f>'Batt IN'!$G$21*(1+'Batt IN'!$F$30)/12</f>
        <v>3500</v>
      </c>
      <c r="AD417" s="33">
        <f>'Batt IN'!$G$22*(1+'Batt IN'!$F$30)/12</f>
        <v>2500</v>
      </c>
      <c r="AE417" s="33">
        <f t="shared" si="104"/>
        <v>30366.783333333333</v>
      </c>
      <c r="AF417" s="33">
        <f>IF('PV IN'!$F$4="Battery Only",0,AE417*'Batt IN'!$E$29)</f>
        <v>25811.765833333331</v>
      </c>
      <c r="AG417" s="33">
        <f>PVCalcs!L417</f>
        <v>25811.765833333331</v>
      </c>
      <c r="AH417" s="33">
        <f t="shared" si="105"/>
        <v>4555.0175000000017</v>
      </c>
      <c r="AI417" s="33"/>
      <c r="AJ417" s="2">
        <f>IF(AND('Batt IN'!$D$53="Yes",$AL$1&gt;=1),IF($C417='Batt IN'!$H$54*12,-'Batt IN'!$F$54,0),0)</f>
        <v>0</v>
      </c>
      <c r="AK417" s="2">
        <f>IF(AND('Batt IN'!$D$53="Yes",$AL$1&gt;=2),IF($C417='Batt IN'!$H$55*12,-'Batt IN'!$F$55,0),0)</f>
        <v>0</v>
      </c>
      <c r="AL417" s="2">
        <f>IF(AND('Batt IN'!$D$53="Yes",$AL$1&gt;=3),IF($C417='Batt IN'!$H$56*12,-'Batt IN'!$F$56,0),0)</f>
        <v>0</v>
      </c>
      <c r="AM417" s="2">
        <f>IF(AND('Batt IN'!$D$53="Yes",$AL$1&gt;=4),IF($C417='Batt IN'!$H$57*12,-'Batt IN'!$F$57,0),0)</f>
        <v>0</v>
      </c>
      <c r="AN417" s="2">
        <f>IF(AND('Batt IN'!$D$53="Yes",$AL$1&gt;=5),IF($C417='Batt IN'!$H$58*12,-'Batt IN'!$F$58,0),0)</f>
        <v>0</v>
      </c>
      <c r="AO417" s="10">
        <f>IF(AND('Batt IN'!$D$44="YES",$C417&lt;='Batt IN'!$E$44*12),-'Batt IN'!$E$28*'Batt IN'!$E$42/12,0)</f>
        <v>0</v>
      </c>
      <c r="AP417" s="10">
        <f>IF(AND('Batt IN'!$D$46="YES",$C417&lt;='Batt IN'!$E$46*12),-'Batt IN'!$E$28*'Batt IN'!$E$45/12,0)</f>
        <v>0</v>
      </c>
      <c r="AR417" s="10">
        <f>BattLoan!M444</f>
        <v>0</v>
      </c>
      <c r="AS417" s="10">
        <f>'Batt IN'!$G$16*365/12*'Batt IN'!$E$16</f>
        <v>76.041666666666671</v>
      </c>
      <c r="AT417" s="10">
        <f>IF(AND('Batt IN'!$E$18&gt;0,'Batt IN'!$G$18&gt;0),'Batt IN'!$E$17*'Batt IN'!$G$17,0)</f>
        <v>119.44619999999999</v>
      </c>
      <c r="AU417" s="10">
        <f>IF(AND('Batt IN'!$E$20&gt;0,'Batt IN'!$G$20&gt;0),'Batt IN'!$E$19*'Batt IN'!$G$19,0)</f>
        <v>231</v>
      </c>
      <c r="AV417" s="10"/>
      <c r="AW417" s="10"/>
      <c r="AX417" s="10">
        <f>IF('Batt IN'!$E$11="Non-Taxable",Q417,0)</f>
        <v>12896.837589041097</v>
      </c>
      <c r="AY417" s="10">
        <f>IF('Batt IN'!$E$11="Non-Taxable",'Batt IN'!$E$28/1000*'Batt IN'!$G$13*('Batt IN'!$E$13/12)*'Batt IN'!$E$12,0)</f>
        <v>244.42220833333334</v>
      </c>
      <c r="AZ417" s="10">
        <f>IF('Batt IN'!$E$11="Non-Taxable",$S417*'Batt IN'!$G$15*'Batt IN'!$E$28*'Batt IN'!$E$14/1000,0)</f>
        <v>0</v>
      </c>
      <c r="BA417" s="10">
        <f>IF('Batt IN'!$E$11="Non-Taxable",'Batt IN'!$E$21*'Batt IN'!$G$21/12,0)</f>
        <v>437.5</v>
      </c>
      <c r="BB417" s="10">
        <f>IF('Batt IN'!$E$11="Non-Taxable",'Batt IN'!$E$22*'Batt IN'!$G$22/12,0)</f>
        <v>1145.8333333333335</v>
      </c>
      <c r="BC417" s="10">
        <f>IF('Batt IN'!$E$11="Taxable",Q417,0)</f>
        <v>0</v>
      </c>
      <c r="BD417" s="10">
        <f>IF('Batt IN'!$E$11="Taxable",'Batt IN'!$E$28/1000*'Batt IN'!$G$13*('Batt IN'!$E$13/12)*'Batt IN'!$E$12,0)</f>
        <v>0</v>
      </c>
      <c r="BE417" s="10">
        <f>IF('Batt IN'!$E$11="Taxable",$S417*'Batt IN'!$G$15*'Batt IN'!$E$28*'Batt IN'!$E$14/1000,0)</f>
        <v>0</v>
      </c>
      <c r="BF417" s="10">
        <f>IF('Batt IN'!$E$11="Taxable",'Batt IN'!$E$21*'Batt IN'!$G$21/12,0)</f>
        <v>0</v>
      </c>
      <c r="BG417" s="10">
        <f>IF('Batt IN'!$E$11="Taxable",'Batt IN'!$E$22*'Batt IN'!$G$22/12,0)</f>
        <v>0</v>
      </c>
      <c r="BK417" s="10">
        <f>IF('Batt IN'!$N$18="Yes",-BattLoan!H445,-BattLoan!L445)</f>
        <v>0</v>
      </c>
      <c r="BL417" s="10">
        <f>IF('Batt IN'!$N$18="Yes",-BattLoan!F445,0)</f>
        <v>0</v>
      </c>
      <c r="BM417" s="10">
        <f>IF(AND('Batt IN'!$D$44="YES",$C417&lt;='Batt IN'!$E$44*12),0,-'Batt IN'!$E$28*'Batt IN'!$E$42/12)</f>
        <v>-83.333333333333329</v>
      </c>
      <c r="BN417" s="10">
        <f>IF(AND('Batt IN'!$D$46="YES",$C417&lt;='Batt IN'!$E$46*12),0,-'Batt IN'!$E$28*'Batt IN'!$E$45/12)</f>
        <v>-166.66666666666666</v>
      </c>
      <c r="BO417" s="2">
        <f>IF(AND('Batt IN'!$D$41="YES",BattCalcs!C417=ROUNDUP('Batt IN'!$H$41*12,)),-'Batt IN'!$E$41*'Batt IN'!$E$28,0)</f>
        <v>0</v>
      </c>
      <c r="BP417" s="2">
        <f>IF(AND('Batt IN'!$D$53="Yes",$AL$1&gt;=1),0,IF($C417='Batt IN'!$H$54*12,-'Batt IN'!$F$54,0))</f>
        <v>0</v>
      </c>
      <c r="BQ417" s="2">
        <f>IF(AND('Batt IN'!$D$53="Yes",$AL$1&gt;=2),0,IF($C417='Batt IN'!$H$55*12,-'Batt IN'!$F$55,0))</f>
        <v>0</v>
      </c>
      <c r="BR417" s="2">
        <f>IF(AND('Batt IN'!$D$53="Yes",$AL$1&gt;=3),0,IF($C417='Batt IN'!$H$56*12,-'Batt IN'!$F$56,0))</f>
        <v>0</v>
      </c>
      <c r="BS417" s="2">
        <f>IF(AND('Batt IN'!$D$53="Yes",$AL$1&gt;=4),0,IF($C417='Batt IN'!$H$57*12,-'Batt IN'!$F$57,0))</f>
        <v>0</v>
      </c>
      <c r="BT417" s="2">
        <f>IF(AND('Batt IN'!$D$53="Yes",$AL$1&gt;=5),0,IF($C417='Batt IN'!$H$58*12,-'Batt IN'!$F$58,0))</f>
        <v>0</v>
      </c>
      <c r="BU417" s="2">
        <f>-AH417*PVCalcs!F417</f>
        <v>-359.37504381576838</v>
      </c>
      <c r="BV417" s="2">
        <f>-'Batt IN'!$E$47</f>
        <v>-150</v>
      </c>
      <c r="BW417" s="2">
        <f>-'Batt IN'!$E$49</f>
        <v>-2250</v>
      </c>
      <c r="BX417" s="2">
        <f>IF('Batt IN'!$H$50="No",-(BC417*'Batt IN'!$E$50),-(BC417+BE417)*'Batt IN'!$E$50)</f>
        <v>0</v>
      </c>
      <c r="BY417" s="2">
        <f>IF(C417='Batt IN'!$H$43*12,-'Batt IN'!$E$43,0)</f>
        <v>0</v>
      </c>
      <c r="BZ417" s="38"/>
      <c r="CA417" s="10">
        <f t="shared" si="106"/>
        <v>15151.080997374431</v>
      </c>
      <c r="CB417" s="2">
        <f t="shared" si="111"/>
        <v>-3009.3750438157685</v>
      </c>
      <c r="CC417" s="45">
        <f t="shared" si="107"/>
        <v>12141.705953558663</v>
      </c>
      <c r="CD417" s="43"/>
      <c r="CE417" s="2">
        <f t="shared" si="108"/>
        <v>0</v>
      </c>
      <c r="CF417" s="2">
        <f t="shared" si="112"/>
        <v>-3009.3750438157685</v>
      </c>
      <c r="CG417" s="2"/>
      <c r="CH417" s="2">
        <f t="shared" si="109"/>
        <v>-3009.3750438157685</v>
      </c>
      <c r="CI417" s="45">
        <f>-CH417*'Batt IN'!$E$7</f>
        <v>631.9687592013114</v>
      </c>
      <c r="CJ417" s="48"/>
      <c r="CK417" s="45">
        <f>IF('Batt IN'!$F$4="PV Only",0,IF(C417&gt;'Batt IN'!$H$43*12,0,CC417+CI417))</f>
        <v>0</v>
      </c>
      <c r="CM417" s="10">
        <f t="shared" si="110"/>
        <v>0</v>
      </c>
      <c r="CN417" s="2">
        <f>CK417/(1+('Batt IN'!$G$8))^(C417)</f>
        <v>0</v>
      </c>
      <c r="CO417" s="2" t="e">
        <f>IF(C417&lt;='Batt IN'!$O$30*12,CN417+CO416,NA())</f>
        <v>#N/A</v>
      </c>
      <c r="CQ417" s="2">
        <f>CK417/((1+('Batt IN'!$E$8/12))^BattCalcs!C417)</f>
        <v>0</v>
      </c>
      <c r="CS417" s="10">
        <f t="shared" si="113"/>
        <v>-3009.3750438157685</v>
      </c>
      <c r="CT417" s="10">
        <f t="shared" si="114"/>
        <v>0</v>
      </c>
      <c r="CU417" s="10">
        <f t="shared" si="115"/>
        <v>-3009.3750438157685</v>
      </c>
      <c r="CV417" s="10">
        <f t="shared" si="116"/>
        <v>-3009.3750438157685</v>
      </c>
      <c r="CW417" s="2">
        <f t="shared" si="117"/>
        <v>0</v>
      </c>
      <c r="CX417" s="2">
        <f>-(SUM(CV417:CW417)*'PV IN'!$E$8)</f>
        <v>631.9687592013114</v>
      </c>
      <c r="CY417" s="2">
        <f t="shared" si="118"/>
        <v>-2377.406284614457</v>
      </c>
      <c r="CZ417" s="2">
        <f>IF(C417&lt;='Batt IN'!$H$43*12,CY417/(1+('PV IN'!$G$9))^(C417),0)</f>
        <v>0</v>
      </c>
      <c r="DA417" s="33">
        <f>IF(C417&lt;='Batt IN'!$H$43*12,AE417,0)</f>
        <v>0</v>
      </c>
    </row>
    <row r="418" spans="1:105" x14ac:dyDescent="0.25">
      <c r="A418" t="str">
        <f>IF(C418&lt;='Batt IN'!$H$43*12,C418,"")</f>
        <v/>
      </c>
      <c r="C418">
        <v>414</v>
      </c>
      <c r="D418" s="21">
        <v>844</v>
      </c>
      <c r="E418" s="1">
        <f>1-'Batt IN'!$E$31</f>
        <v>2.0000000000000018E-2</v>
      </c>
      <c r="F418" s="12">
        <f>('Batt IN'!$E$33*365)/8760</f>
        <v>0</v>
      </c>
      <c r="G418" s="22">
        <f>'Batt IN'!$E$32/8760</f>
        <v>5.7077625570776253E-3</v>
      </c>
      <c r="H418" s="22">
        <f>'Batt IN'!$E$13/8760</f>
        <v>5.5936073059360729E-3</v>
      </c>
      <c r="I418" s="23">
        <f>IF(C418&lt;='Batt IN'!$G$14*12,'Batt IN'!$E$15/8760*'Batt IN'!$G$15,0)</f>
        <v>0</v>
      </c>
      <c r="J418" s="12">
        <f>Z418/'Batt IN'!$E$27/730</f>
        <v>2.4999999999999996E-3</v>
      </c>
      <c r="K418" s="23">
        <f>AA418/'Batt IN'!$E$27/730</f>
        <v>1.6027397260273972E-3</v>
      </c>
      <c r="L418" s="23">
        <f>AB418/'Batt IN'!$E$27/730</f>
        <v>2.0547945205479451E-4</v>
      </c>
      <c r="M418" s="23">
        <f>AC418/'Batt IN'!$E$27/730</f>
        <v>4.7945205479452057E-3</v>
      </c>
      <c r="N418" s="23">
        <f>AD418/'Batt IN'!$E$27/730</f>
        <v>3.4246575342465752E-3</v>
      </c>
      <c r="O418" s="12">
        <f t="shared" si="102"/>
        <v>4.3828767123287697E-2</v>
      </c>
      <c r="P418" s="21">
        <f t="shared" si="103"/>
        <v>807.00852054794518</v>
      </c>
      <c r="Q418" s="2">
        <f>IF('Batt IN'!$E$27*'Batt IN'!$E$24&lt;='Batt IN'!$E$28,(('Batt IN'!$E$23*'Batt IN'!$E$27*'Batt IN'!$E$24)/1000)*P418,(('Batt IN'!$E$23*'Batt IN'!$E$28*'Batt IN'!$E$24)/1000)*P418)</f>
        <v>12912.136328767123</v>
      </c>
      <c r="R418" s="2"/>
      <c r="S418" s="77">
        <f>IF(C418&lt;='Batt IN'!$G$14*12,'Batt IN'!$E$15/12,0)</f>
        <v>0</v>
      </c>
      <c r="T418" s="77"/>
      <c r="U418" s="80">
        <f>'Batt IN'!$E$28*('Batt IN'!$G$24/24)*730*(1-O418)</f>
        <v>81433.916666666657</v>
      </c>
      <c r="V418" s="78">
        <f>U418*'Batt IN'!$F$30</f>
        <v>16286.783333333333</v>
      </c>
      <c r="W418" s="78">
        <f>'Batt IN'!$E$28*'Batt IN'!$G$32*('Batt IN'!$E$32/12)*(1+'Batt IN'!$F$30)</f>
        <v>1750.0000000000002</v>
      </c>
      <c r="X418" s="78">
        <f>'Batt IN'!$E$28*'Batt IN'!$G$13*('Batt IN'!$E$13/12)*(1+'Batt IN'!$F$30)</f>
        <v>3184.9999999999995</v>
      </c>
      <c r="Y418" s="33">
        <f>S418*'Batt IN'!$G$15*'Batt IN'!$E$28*(1+'Batt IN'!$F$30)</f>
        <v>0</v>
      </c>
      <c r="Z418" s="33">
        <f>'Batt IN'!$G$16*365/12*(1+'Batt IN'!$F$30)</f>
        <v>1824.9999999999998</v>
      </c>
      <c r="AA418" s="33">
        <f>'Batt IN'!$G$17*'Batt IN'!$E$18*'Batt IN'!$G$18/12*(1+'Batt IN'!$F$30)</f>
        <v>1170</v>
      </c>
      <c r="AB418" s="33">
        <f>'Batt IN'!$G$19*'Batt IN'!$E$20*'Batt IN'!$G$20/12*(1+'Batt IN'!$F$30)</f>
        <v>150</v>
      </c>
      <c r="AC418" s="33">
        <f>'Batt IN'!$G$21*(1+'Batt IN'!$F$30)/12</f>
        <v>3500</v>
      </c>
      <c r="AD418" s="33">
        <f>'Batt IN'!$G$22*(1+'Batt IN'!$F$30)/12</f>
        <v>2500</v>
      </c>
      <c r="AE418" s="33">
        <f t="shared" si="104"/>
        <v>30366.783333333333</v>
      </c>
      <c r="AF418" s="33">
        <f>IF('PV IN'!$F$4="Battery Only",0,AE418*'Batt IN'!$E$29)</f>
        <v>25811.765833333331</v>
      </c>
      <c r="AG418" s="33">
        <f>PVCalcs!L418</f>
        <v>25811.765833333331</v>
      </c>
      <c r="AH418" s="33">
        <f t="shared" si="105"/>
        <v>4555.0175000000017</v>
      </c>
      <c r="AI418" s="33"/>
      <c r="AJ418" s="2">
        <f>IF(AND('Batt IN'!$D$53="Yes",$AL$1&gt;=1),IF($C418='Batt IN'!$H$54*12,-'Batt IN'!$F$54,0),0)</f>
        <v>0</v>
      </c>
      <c r="AK418" s="2">
        <f>IF(AND('Batt IN'!$D$53="Yes",$AL$1&gt;=2),IF($C418='Batt IN'!$H$55*12,-'Batt IN'!$F$55,0),0)</f>
        <v>0</v>
      </c>
      <c r="AL418" s="2">
        <f>IF(AND('Batt IN'!$D$53="Yes",$AL$1&gt;=3),IF($C418='Batt IN'!$H$56*12,-'Batt IN'!$F$56,0),0)</f>
        <v>0</v>
      </c>
      <c r="AM418" s="2">
        <f>IF(AND('Batt IN'!$D$53="Yes",$AL$1&gt;=4),IF($C418='Batt IN'!$H$57*12,-'Batt IN'!$F$57,0),0)</f>
        <v>0</v>
      </c>
      <c r="AN418" s="2">
        <f>IF(AND('Batt IN'!$D$53="Yes",$AL$1&gt;=5),IF($C418='Batt IN'!$H$58*12,-'Batt IN'!$F$58,0),0)</f>
        <v>0</v>
      </c>
      <c r="AO418" s="10">
        <f>IF(AND('Batt IN'!$D$44="YES",$C418&lt;='Batt IN'!$E$44*12),-'Batt IN'!$E$28*'Batt IN'!$E$42/12,0)</f>
        <v>0</v>
      </c>
      <c r="AP418" s="10">
        <f>IF(AND('Batt IN'!$D$46="YES",$C418&lt;='Batt IN'!$E$46*12),-'Batt IN'!$E$28*'Batt IN'!$E$45/12,0)</f>
        <v>0</v>
      </c>
      <c r="AR418" s="10">
        <f>BattLoan!M445</f>
        <v>0</v>
      </c>
      <c r="AS418" s="10">
        <f>'Batt IN'!$G$16*365/12*'Batt IN'!$E$16</f>
        <v>76.041666666666671</v>
      </c>
      <c r="AT418" s="10">
        <f>IF(AND('Batt IN'!$E$18&gt;0,'Batt IN'!$G$18&gt;0),'Batt IN'!$E$17*'Batt IN'!$G$17,0)</f>
        <v>119.44619999999999</v>
      </c>
      <c r="AU418" s="10">
        <f>IF(AND('Batt IN'!$E$20&gt;0,'Batt IN'!$G$20&gt;0),'Batt IN'!$E$19*'Batt IN'!$G$19,0)</f>
        <v>231</v>
      </c>
      <c r="AV418" s="10"/>
      <c r="AW418" s="10"/>
      <c r="AX418" s="10">
        <f>IF('Batt IN'!$E$11="Non-Taxable",Q418,0)</f>
        <v>12912.136328767123</v>
      </c>
      <c r="AY418" s="10">
        <f>IF('Batt IN'!$E$11="Non-Taxable",'Batt IN'!$E$28/1000*'Batt IN'!$G$13*('Batt IN'!$E$13/12)*'Batt IN'!$E$12,0)</f>
        <v>244.42220833333334</v>
      </c>
      <c r="AZ418" s="10">
        <f>IF('Batt IN'!$E$11="Non-Taxable",$S418*'Batt IN'!$G$15*'Batt IN'!$E$28*'Batt IN'!$E$14/1000,0)</f>
        <v>0</v>
      </c>
      <c r="BA418" s="10">
        <f>IF('Batt IN'!$E$11="Non-Taxable",'Batt IN'!$E$21*'Batt IN'!$G$21/12,0)</f>
        <v>437.5</v>
      </c>
      <c r="BB418" s="10">
        <f>IF('Batt IN'!$E$11="Non-Taxable",'Batt IN'!$E$22*'Batt IN'!$G$22/12,0)</f>
        <v>1145.8333333333335</v>
      </c>
      <c r="BC418" s="10">
        <f>IF('Batt IN'!$E$11="Taxable",Q418,0)</f>
        <v>0</v>
      </c>
      <c r="BD418" s="10">
        <f>IF('Batt IN'!$E$11="Taxable",'Batt IN'!$E$28/1000*'Batt IN'!$G$13*('Batt IN'!$E$13/12)*'Batt IN'!$E$12,0)</f>
        <v>0</v>
      </c>
      <c r="BE418" s="10">
        <f>IF('Batt IN'!$E$11="Taxable",$S418*'Batt IN'!$G$15*'Batt IN'!$E$28*'Batt IN'!$E$14/1000,0)</f>
        <v>0</v>
      </c>
      <c r="BF418" s="10">
        <f>IF('Batt IN'!$E$11="Taxable",'Batt IN'!$E$21*'Batt IN'!$G$21/12,0)</f>
        <v>0</v>
      </c>
      <c r="BG418" s="10">
        <f>IF('Batt IN'!$E$11="Taxable",'Batt IN'!$E$22*'Batt IN'!$G$22/12,0)</f>
        <v>0</v>
      </c>
      <c r="BK418" s="10">
        <f>IF('Batt IN'!$N$18="Yes",-BattLoan!H446,-BattLoan!L446)</f>
        <v>0</v>
      </c>
      <c r="BL418" s="10">
        <f>IF('Batt IN'!$N$18="Yes",-BattLoan!F446,0)</f>
        <v>0</v>
      </c>
      <c r="BM418" s="10">
        <f>IF(AND('Batt IN'!$D$44="YES",$C418&lt;='Batt IN'!$E$44*12),0,-'Batt IN'!$E$28*'Batt IN'!$E$42/12)</f>
        <v>-83.333333333333329</v>
      </c>
      <c r="BN418" s="10">
        <f>IF(AND('Batt IN'!$D$46="YES",$C418&lt;='Batt IN'!$E$46*12),0,-'Batt IN'!$E$28*'Batt IN'!$E$45/12)</f>
        <v>-166.66666666666666</v>
      </c>
      <c r="BO418" s="2">
        <f>IF(AND('Batt IN'!$D$41="YES",BattCalcs!C418=ROUNDUP('Batt IN'!$H$41*12,)),-'Batt IN'!$E$41*'Batt IN'!$E$28,0)</f>
        <v>0</v>
      </c>
      <c r="BP418" s="2">
        <f>IF(AND('Batt IN'!$D$53="Yes",$AL$1&gt;=1),0,IF($C418='Batt IN'!$H$54*12,-'Batt IN'!$F$54,0))</f>
        <v>0</v>
      </c>
      <c r="BQ418" s="2">
        <f>IF(AND('Batt IN'!$D$53="Yes",$AL$1&gt;=2),0,IF($C418='Batt IN'!$H$55*12,-'Batt IN'!$F$55,0))</f>
        <v>0</v>
      </c>
      <c r="BR418" s="2">
        <f>IF(AND('Batt IN'!$D$53="Yes",$AL$1&gt;=3),0,IF($C418='Batt IN'!$H$56*12,-'Batt IN'!$F$56,0))</f>
        <v>0</v>
      </c>
      <c r="BS418" s="2">
        <f>IF(AND('Batt IN'!$D$53="Yes",$AL$1&gt;=4),0,IF($C418='Batt IN'!$H$57*12,-'Batt IN'!$F$57,0))</f>
        <v>0</v>
      </c>
      <c r="BT418" s="2">
        <f>IF(AND('Batt IN'!$D$53="Yes",$AL$1&gt;=5),0,IF($C418='Batt IN'!$H$58*12,-'Batt IN'!$F$58,0))</f>
        <v>0</v>
      </c>
      <c r="BU418" s="2">
        <f>-AH418*PVCalcs!F418</f>
        <v>-359.37504381576838</v>
      </c>
      <c r="BV418" s="2">
        <f>-'Batt IN'!$E$47</f>
        <v>-150</v>
      </c>
      <c r="BW418" s="2">
        <f>-'Batt IN'!$E$49</f>
        <v>-2250</v>
      </c>
      <c r="BX418" s="2">
        <f>IF('Batt IN'!$H$50="No",-(BC418*'Batt IN'!$E$50),-(BC418+BE418)*'Batt IN'!$E$50)</f>
        <v>0</v>
      </c>
      <c r="BY418" s="2">
        <f>IF(C418='Batt IN'!$H$43*12,-'Batt IN'!$E$43,0)</f>
        <v>0</v>
      </c>
      <c r="BZ418" s="38"/>
      <c r="CA418" s="10">
        <f t="shared" si="106"/>
        <v>15166.379737100457</v>
      </c>
      <c r="CB418" s="2">
        <f t="shared" si="111"/>
        <v>-3009.3750438157685</v>
      </c>
      <c r="CC418" s="45">
        <f t="shared" si="107"/>
        <v>12157.004693284689</v>
      </c>
      <c r="CD418" s="43"/>
      <c r="CE418" s="2">
        <f t="shared" si="108"/>
        <v>0</v>
      </c>
      <c r="CF418" s="2">
        <f t="shared" si="112"/>
        <v>-3009.3750438157685</v>
      </c>
      <c r="CG418" s="2"/>
      <c r="CH418" s="2">
        <f t="shared" si="109"/>
        <v>-3009.3750438157685</v>
      </c>
      <c r="CI418" s="45">
        <f>-CH418*'Batt IN'!$E$7</f>
        <v>631.9687592013114</v>
      </c>
      <c r="CJ418" s="48"/>
      <c r="CK418" s="45">
        <f>IF('Batt IN'!$F$4="PV Only",0,IF(C418&gt;'Batt IN'!$H$43*12,0,CC418+CI418))</f>
        <v>0</v>
      </c>
      <c r="CM418" s="10">
        <f t="shared" si="110"/>
        <v>0</v>
      </c>
      <c r="CN418" s="2">
        <f>CK418/(1+('Batt IN'!$G$8))^(C418)</f>
        <v>0</v>
      </c>
      <c r="CO418" s="2" t="e">
        <f>IF(C418&lt;='Batt IN'!$O$30*12,CN418+CO417,NA())</f>
        <v>#N/A</v>
      </c>
      <c r="CQ418" s="2">
        <f>CK418/((1+('Batt IN'!$E$8/12))^BattCalcs!C418)</f>
        <v>0</v>
      </c>
      <c r="CS418" s="10">
        <f t="shared" si="113"/>
        <v>-3009.3750438157685</v>
      </c>
      <c r="CT418" s="10">
        <f t="shared" si="114"/>
        <v>0</v>
      </c>
      <c r="CU418" s="10">
        <f t="shared" si="115"/>
        <v>-3009.3750438157685</v>
      </c>
      <c r="CV418" s="10">
        <f t="shared" si="116"/>
        <v>-3009.3750438157685</v>
      </c>
      <c r="CW418" s="2">
        <f t="shared" si="117"/>
        <v>0</v>
      </c>
      <c r="CX418" s="2">
        <f>-(SUM(CV418:CW418)*'PV IN'!$E$8)</f>
        <v>631.9687592013114</v>
      </c>
      <c r="CY418" s="2">
        <f t="shared" si="118"/>
        <v>-2377.406284614457</v>
      </c>
      <c r="CZ418" s="2">
        <f>IF(C418&lt;='Batt IN'!$H$43*12,CY418/(1+('PV IN'!$G$9))^(C418),0)</f>
        <v>0</v>
      </c>
      <c r="DA418" s="33">
        <f>IF(C418&lt;='Batt IN'!$H$43*12,AE418,0)</f>
        <v>0</v>
      </c>
    </row>
    <row r="419" spans="1:105" x14ac:dyDescent="0.25">
      <c r="A419" t="str">
        <f>IF(C419&lt;='Batt IN'!$H$43*12,C419,"")</f>
        <v/>
      </c>
      <c r="C419">
        <v>415</v>
      </c>
      <c r="D419" s="21">
        <v>845</v>
      </c>
      <c r="E419" s="1">
        <f>1-'Batt IN'!$E$31</f>
        <v>2.0000000000000018E-2</v>
      </c>
      <c r="F419" s="12">
        <f>('Batt IN'!$E$33*365)/8760</f>
        <v>0</v>
      </c>
      <c r="G419" s="22">
        <f>'Batt IN'!$E$32/8760</f>
        <v>5.7077625570776253E-3</v>
      </c>
      <c r="H419" s="22">
        <f>'Batt IN'!$E$13/8760</f>
        <v>5.5936073059360729E-3</v>
      </c>
      <c r="I419" s="23">
        <f>IF(C419&lt;='Batt IN'!$G$14*12,'Batt IN'!$E$15/8760*'Batt IN'!$G$15,0)</f>
        <v>0</v>
      </c>
      <c r="J419" s="12">
        <f>Z419/'Batt IN'!$E$27/730</f>
        <v>2.4999999999999996E-3</v>
      </c>
      <c r="K419" s="23">
        <f>AA419/'Batt IN'!$E$27/730</f>
        <v>1.6027397260273972E-3</v>
      </c>
      <c r="L419" s="23">
        <f>AB419/'Batt IN'!$E$27/730</f>
        <v>2.0547945205479451E-4</v>
      </c>
      <c r="M419" s="23">
        <f>AC419/'Batt IN'!$E$27/730</f>
        <v>4.7945205479452057E-3</v>
      </c>
      <c r="N419" s="23">
        <f>AD419/'Batt IN'!$E$27/730</f>
        <v>3.4246575342465752E-3</v>
      </c>
      <c r="O419" s="12">
        <f t="shared" si="102"/>
        <v>4.3828767123287697E-2</v>
      </c>
      <c r="P419" s="21">
        <f t="shared" si="103"/>
        <v>807.96469178082191</v>
      </c>
      <c r="Q419" s="2">
        <f>IF('Batt IN'!$E$27*'Batt IN'!$E$24&lt;='Batt IN'!$E$28,(('Batt IN'!$E$23*'Batt IN'!$E$27*'Batt IN'!$E$24)/1000)*P419,(('Batt IN'!$E$23*'Batt IN'!$E$28*'Batt IN'!$E$24)/1000)*P419)</f>
        <v>12927.435068493151</v>
      </c>
      <c r="R419" s="2"/>
      <c r="S419" s="77">
        <f>IF(C419&lt;='Batt IN'!$G$14*12,'Batt IN'!$E$15/12,0)</f>
        <v>0</v>
      </c>
      <c r="T419" s="77"/>
      <c r="U419" s="80">
        <f>'Batt IN'!$E$28*('Batt IN'!$G$24/24)*730*(1-O419)</f>
        <v>81433.916666666657</v>
      </c>
      <c r="V419" s="78">
        <f>U419*'Batt IN'!$F$30</f>
        <v>16286.783333333333</v>
      </c>
      <c r="W419" s="78">
        <f>'Batt IN'!$E$28*'Batt IN'!$G$32*('Batt IN'!$E$32/12)*(1+'Batt IN'!$F$30)</f>
        <v>1750.0000000000002</v>
      </c>
      <c r="X419" s="78">
        <f>'Batt IN'!$E$28*'Batt IN'!$G$13*('Batt IN'!$E$13/12)*(1+'Batt IN'!$F$30)</f>
        <v>3184.9999999999995</v>
      </c>
      <c r="Y419" s="33">
        <f>S419*'Batt IN'!$G$15*'Batt IN'!$E$28*(1+'Batt IN'!$F$30)</f>
        <v>0</v>
      </c>
      <c r="Z419" s="33">
        <f>'Batt IN'!$G$16*365/12*(1+'Batt IN'!$F$30)</f>
        <v>1824.9999999999998</v>
      </c>
      <c r="AA419" s="33">
        <f>'Batt IN'!$G$17*'Batt IN'!$E$18*'Batt IN'!$G$18/12*(1+'Batt IN'!$F$30)</f>
        <v>1170</v>
      </c>
      <c r="AB419" s="33">
        <f>'Batt IN'!$G$19*'Batt IN'!$E$20*'Batt IN'!$G$20/12*(1+'Batt IN'!$F$30)</f>
        <v>150</v>
      </c>
      <c r="AC419" s="33">
        <f>'Batt IN'!$G$21*(1+'Batt IN'!$F$30)/12</f>
        <v>3500</v>
      </c>
      <c r="AD419" s="33">
        <f>'Batt IN'!$G$22*(1+'Batt IN'!$F$30)/12</f>
        <v>2500</v>
      </c>
      <c r="AE419" s="33">
        <f t="shared" si="104"/>
        <v>30366.783333333333</v>
      </c>
      <c r="AF419" s="33">
        <f>IF('PV IN'!$F$4="Battery Only",0,AE419*'Batt IN'!$E$29)</f>
        <v>25811.765833333331</v>
      </c>
      <c r="AG419" s="33">
        <f>PVCalcs!L419</f>
        <v>25811.765833333331</v>
      </c>
      <c r="AH419" s="33">
        <f t="shared" si="105"/>
        <v>4555.0175000000017</v>
      </c>
      <c r="AI419" s="33"/>
      <c r="AJ419" s="2">
        <f>IF(AND('Batt IN'!$D$53="Yes",$AL$1&gt;=1),IF($C419='Batt IN'!$H$54*12,-'Batt IN'!$F$54,0),0)</f>
        <v>0</v>
      </c>
      <c r="AK419" s="2">
        <f>IF(AND('Batt IN'!$D$53="Yes",$AL$1&gt;=2),IF($C419='Batt IN'!$H$55*12,-'Batt IN'!$F$55,0),0)</f>
        <v>0</v>
      </c>
      <c r="AL419" s="2">
        <f>IF(AND('Batt IN'!$D$53="Yes",$AL$1&gt;=3),IF($C419='Batt IN'!$H$56*12,-'Batt IN'!$F$56,0),0)</f>
        <v>0</v>
      </c>
      <c r="AM419" s="2">
        <f>IF(AND('Batt IN'!$D$53="Yes",$AL$1&gt;=4),IF($C419='Batt IN'!$H$57*12,-'Batt IN'!$F$57,0),0)</f>
        <v>0</v>
      </c>
      <c r="AN419" s="2">
        <f>IF(AND('Batt IN'!$D$53="Yes",$AL$1&gt;=5),IF($C419='Batt IN'!$H$58*12,-'Batt IN'!$F$58,0),0)</f>
        <v>0</v>
      </c>
      <c r="AO419" s="10">
        <f>IF(AND('Batt IN'!$D$44="YES",$C419&lt;='Batt IN'!$E$44*12),-'Batt IN'!$E$28*'Batt IN'!$E$42/12,0)</f>
        <v>0</v>
      </c>
      <c r="AP419" s="10">
        <f>IF(AND('Batt IN'!$D$46="YES",$C419&lt;='Batt IN'!$E$46*12),-'Batt IN'!$E$28*'Batt IN'!$E$45/12,0)</f>
        <v>0</v>
      </c>
      <c r="AR419" s="10">
        <f>BattLoan!M446</f>
        <v>0</v>
      </c>
      <c r="AS419" s="10">
        <f>'Batt IN'!$G$16*365/12*'Batt IN'!$E$16</f>
        <v>76.041666666666671</v>
      </c>
      <c r="AT419" s="10">
        <f>IF(AND('Batt IN'!$E$18&gt;0,'Batt IN'!$G$18&gt;0),'Batt IN'!$E$17*'Batt IN'!$G$17,0)</f>
        <v>119.44619999999999</v>
      </c>
      <c r="AU419" s="10">
        <f>IF(AND('Batt IN'!$E$20&gt;0,'Batt IN'!$G$20&gt;0),'Batt IN'!$E$19*'Batt IN'!$G$19,0)</f>
        <v>231</v>
      </c>
      <c r="AV419" s="10"/>
      <c r="AW419" s="10"/>
      <c r="AX419" s="10">
        <f>IF('Batt IN'!$E$11="Non-Taxable",Q419,0)</f>
        <v>12927.435068493151</v>
      </c>
      <c r="AY419" s="10">
        <f>IF('Batt IN'!$E$11="Non-Taxable",'Batt IN'!$E$28/1000*'Batt IN'!$G$13*('Batt IN'!$E$13/12)*'Batt IN'!$E$12,0)</f>
        <v>244.42220833333334</v>
      </c>
      <c r="AZ419" s="10">
        <f>IF('Batt IN'!$E$11="Non-Taxable",$S419*'Batt IN'!$G$15*'Batt IN'!$E$28*'Batt IN'!$E$14/1000,0)</f>
        <v>0</v>
      </c>
      <c r="BA419" s="10">
        <f>IF('Batt IN'!$E$11="Non-Taxable",'Batt IN'!$E$21*'Batt IN'!$G$21/12,0)</f>
        <v>437.5</v>
      </c>
      <c r="BB419" s="10">
        <f>IF('Batt IN'!$E$11="Non-Taxable",'Batt IN'!$E$22*'Batt IN'!$G$22/12,0)</f>
        <v>1145.8333333333335</v>
      </c>
      <c r="BC419" s="10">
        <f>IF('Batt IN'!$E$11="Taxable",Q419,0)</f>
        <v>0</v>
      </c>
      <c r="BD419" s="10">
        <f>IF('Batt IN'!$E$11="Taxable",'Batt IN'!$E$28/1000*'Batt IN'!$G$13*('Batt IN'!$E$13/12)*'Batt IN'!$E$12,0)</f>
        <v>0</v>
      </c>
      <c r="BE419" s="10">
        <f>IF('Batt IN'!$E$11="Taxable",$S419*'Batt IN'!$G$15*'Batt IN'!$E$28*'Batt IN'!$E$14/1000,0)</f>
        <v>0</v>
      </c>
      <c r="BF419" s="10">
        <f>IF('Batt IN'!$E$11="Taxable",'Batt IN'!$E$21*'Batt IN'!$G$21/12,0)</f>
        <v>0</v>
      </c>
      <c r="BG419" s="10">
        <f>IF('Batt IN'!$E$11="Taxable",'Batt IN'!$E$22*'Batt IN'!$G$22/12,0)</f>
        <v>0</v>
      </c>
      <c r="BK419" s="10">
        <f>IF('Batt IN'!$N$18="Yes",-BattLoan!H447,-BattLoan!L447)</f>
        <v>0</v>
      </c>
      <c r="BL419" s="10">
        <f>IF('Batt IN'!$N$18="Yes",-BattLoan!F447,0)</f>
        <v>0</v>
      </c>
      <c r="BM419" s="10">
        <f>IF(AND('Batt IN'!$D$44="YES",$C419&lt;='Batt IN'!$E$44*12),0,-'Batt IN'!$E$28*'Batt IN'!$E$42/12)</f>
        <v>-83.333333333333329</v>
      </c>
      <c r="BN419" s="10">
        <f>IF(AND('Batt IN'!$D$46="YES",$C419&lt;='Batt IN'!$E$46*12),0,-'Batt IN'!$E$28*'Batt IN'!$E$45/12)</f>
        <v>-166.66666666666666</v>
      </c>
      <c r="BO419" s="2">
        <f>IF(AND('Batt IN'!$D$41="YES",BattCalcs!C419=ROUNDUP('Batt IN'!$H$41*12,)),-'Batt IN'!$E$41*'Batt IN'!$E$28,0)</f>
        <v>0</v>
      </c>
      <c r="BP419" s="2">
        <f>IF(AND('Batt IN'!$D$53="Yes",$AL$1&gt;=1),0,IF($C419='Batt IN'!$H$54*12,-'Batt IN'!$F$54,0))</f>
        <v>0</v>
      </c>
      <c r="BQ419" s="2">
        <f>IF(AND('Batt IN'!$D$53="Yes",$AL$1&gt;=2),0,IF($C419='Batt IN'!$H$55*12,-'Batt IN'!$F$55,0))</f>
        <v>0</v>
      </c>
      <c r="BR419" s="2">
        <f>IF(AND('Batt IN'!$D$53="Yes",$AL$1&gt;=3),0,IF($C419='Batt IN'!$H$56*12,-'Batt IN'!$F$56,0))</f>
        <v>0</v>
      </c>
      <c r="BS419" s="2">
        <f>IF(AND('Batt IN'!$D$53="Yes",$AL$1&gt;=4),0,IF($C419='Batt IN'!$H$57*12,-'Batt IN'!$F$57,0))</f>
        <v>0</v>
      </c>
      <c r="BT419" s="2">
        <f>IF(AND('Batt IN'!$D$53="Yes",$AL$1&gt;=5),0,IF($C419='Batt IN'!$H$58*12,-'Batt IN'!$F$58,0))</f>
        <v>0</v>
      </c>
      <c r="BU419" s="2">
        <f>-AH419*PVCalcs!F419</f>
        <v>-359.37504381576838</v>
      </c>
      <c r="BV419" s="2">
        <f>-'Batt IN'!$E$47</f>
        <v>-150</v>
      </c>
      <c r="BW419" s="2">
        <f>-'Batt IN'!$E$49</f>
        <v>-2250</v>
      </c>
      <c r="BX419" s="2">
        <f>IF('Batt IN'!$H$50="No",-(BC419*'Batt IN'!$E$50),-(BC419+BE419)*'Batt IN'!$E$50)</f>
        <v>0</v>
      </c>
      <c r="BY419" s="2">
        <f>IF(C419='Batt IN'!$H$43*12,-'Batt IN'!$E$43,0)</f>
        <v>0</v>
      </c>
      <c r="BZ419" s="38"/>
      <c r="CA419" s="10">
        <f t="shared" si="106"/>
        <v>15181.678476826484</v>
      </c>
      <c r="CB419" s="2">
        <f t="shared" si="111"/>
        <v>-3009.3750438157685</v>
      </c>
      <c r="CC419" s="45">
        <f t="shared" si="107"/>
        <v>12172.303433010715</v>
      </c>
      <c r="CD419" s="43"/>
      <c r="CE419" s="2">
        <f t="shared" si="108"/>
        <v>0</v>
      </c>
      <c r="CF419" s="2">
        <f t="shared" si="112"/>
        <v>-3009.3750438157685</v>
      </c>
      <c r="CG419" s="2"/>
      <c r="CH419" s="2">
        <f t="shared" si="109"/>
        <v>-3009.3750438157685</v>
      </c>
      <c r="CI419" s="45">
        <f>-CH419*'Batt IN'!$E$7</f>
        <v>631.9687592013114</v>
      </c>
      <c r="CJ419" s="48"/>
      <c r="CK419" s="45">
        <f>IF('Batt IN'!$F$4="PV Only",0,IF(C419&gt;'Batt IN'!$H$43*12,0,CC419+CI419))</f>
        <v>0</v>
      </c>
      <c r="CM419" s="10">
        <f t="shared" si="110"/>
        <v>0</v>
      </c>
      <c r="CN419" s="2">
        <f>CK419/(1+('Batt IN'!$G$8))^(C419)</f>
        <v>0</v>
      </c>
      <c r="CO419" s="2" t="e">
        <f>IF(C419&lt;='Batt IN'!$O$30*12,CN419+CO418,NA())</f>
        <v>#N/A</v>
      </c>
      <c r="CQ419" s="2">
        <f>CK419/((1+('Batt IN'!$E$8/12))^BattCalcs!C419)</f>
        <v>0</v>
      </c>
      <c r="CS419" s="10">
        <f t="shared" si="113"/>
        <v>-3009.3750438157685</v>
      </c>
      <c r="CT419" s="10">
        <f t="shared" si="114"/>
        <v>0</v>
      </c>
      <c r="CU419" s="10">
        <f t="shared" si="115"/>
        <v>-3009.3750438157685</v>
      </c>
      <c r="CV419" s="10">
        <f t="shared" si="116"/>
        <v>-3009.3750438157685</v>
      </c>
      <c r="CW419" s="2">
        <f t="shared" si="117"/>
        <v>0</v>
      </c>
      <c r="CX419" s="2">
        <f>-(SUM(CV419:CW419)*'PV IN'!$E$8)</f>
        <v>631.9687592013114</v>
      </c>
      <c r="CY419" s="2">
        <f t="shared" si="118"/>
        <v>-2377.406284614457</v>
      </c>
      <c r="CZ419" s="2">
        <f>IF(C419&lt;='Batt IN'!$H$43*12,CY419/(1+('PV IN'!$G$9))^(C419),0)</f>
        <v>0</v>
      </c>
      <c r="DA419" s="33">
        <f>IF(C419&lt;='Batt IN'!$H$43*12,AE419,0)</f>
        <v>0</v>
      </c>
    </row>
    <row r="420" spans="1:105" x14ac:dyDescent="0.25">
      <c r="A420" t="str">
        <f>IF(C420&lt;='Batt IN'!$H$43*12,C420,"")</f>
        <v/>
      </c>
      <c r="C420">
        <v>416</v>
      </c>
      <c r="D420" s="21">
        <v>846</v>
      </c>
      <c r="E420" s="1">
        <f>1-'Batt IN'!$E$31</f>
        <v>2.0000000000000018E-2</v>
      </c>
      <c r="F420" s="12">
        <f>('Batt IN'!$E$33*365)/8760</f>
        <v>0</v>
      </c>
      <c r="G420" s="22">
        <f>'Batt IN'!$E$32/8760</f>
        <v>5.7077625570776253E-3</v>
      </c>
      <c r="H420" s="22">
        <f>'Batt IN'!$E$13/8760</f>
        <v>5.5936073059360729E-3</v>
      </c>
      <c r="I420" s="23">
        <f>IF(C420&lt;='Batt IN'!$G$14*12,'Batt IN'!$E$15/8760*'Batt IN'!$G$15,0)</f>
        <v>0</v>
      </c>
      <c r="J420" s="12">
        <f>Z420/'Batt IN'!$E$27/730</f>
        <v>2.4999999999999996E-3</v>
      </c>
      <c r="K420" s="23">
        <f>AA420/'Batt IN'!$E$27/730</f>
        <v>1.6027397260273972E-3</v>
      </c>
      <c r="L420" s="23">
        <f>AB420/'Batt IN'!$E$27/730</f>
        <v>2.0547945205479451E-4</v>
      </c>
      <c r="M420" s="23">
        <f>AC420/'Batt IN'!$E$27/730</f>
        <v>4.7945205479452057E-3</v>
      </c>
      <c r="N420" s="23">
        <f>AD420/'Batt IN'!$E$27/730</f>
        <v>3.4246575342465752E-3</v>
      </c>
      <c r="O420" s="12">
        <f t="shared" si="102"/>
        <v>4.3828767123287697E-2</v>
      </c>
      <c r="P420" s="21">
        <f t="shared" si="103"/>
        <v>808.92086301369864</v>
      </c>
      <c r="Q420" s="2">
        <f>IF('Batt IN'!$E$27*'Batt IN'!$E$24&lt;='Batt IN'!$E$28,(('Batt IN'!$E$23*'Batt IN'!$E$27*'Batt IN'!$E$24)/1000)*P420,(('Batt IN'!$E$23*'Batt IN'!$E$28*'Batt IN'!$E$24)/1000)*P420)</f>
        <v>12942.733808219178</v>
      </c>
      <c r="R420" s="2"/>
      <c r="S420" s="77">
        <f>IF(C420&lt;='Batt IN'!$G$14*12,'Batt IN'!$E$15/12,0)</f>
        <v>0</v>
      </c>
      <c r="T420" s="77"/>
      <c r="U420" s="80">
        <f>'Batt IN'!$E$28*('Batt IN'!$G$24/24)*730*(1-O420)</f>
        <v>81433.916666666657</v>
      </c>
      <c r="V420" s="78">
        <f>U420*'Batt IN'!$F$30</f>
        <v>16286.783333333333</v>
      </c>
      <c r="W420" s="78">
        <f>'Batt IN'!$E$28*'Batt IN'!$G$32*('Batt IN'!$E$32/12)*(1+'Batt IN'!$F$30)</f>
        <v>1750.0000000000002</v>
      </c>
      <c r="X420" s="78">
        <f>'Batt IN'!$E$28*'Batt IN'!$G$13*('Batt IN'!$E$13/12)*(1+'Batt IN'!$F$30)</f>
        <v>3184.9999999999995</v>
      </c>
      <c r="Y420" s="33">
        <f>S420*'Batt IN'!$G$15*'Batt IN'!$E$28*(1+'Batt IN'!$F$30)</f>
        <v>0</v>
      </c>
      <c r="Z420" s="33">
        <f>'Batt IN'!$G$16*365/12*(1+'Batt IN'!$F$30)</f>
        <v>1824.9999999999998</v>
      </c>
      <c r="AA420" s="33">
        <f>'Batt IN'!$G$17*'Batt IN'!$E$18*'Batt IN'!$G$18/12*(1+'Batt IN'!$F$30)</f>
        <v>1170</v>
      </c>
      <c r="AB420" s="33">
        <f>'Batt IN'!$G$19*'Batt IN'!$E$20*'Batt IN'!$G$20/12*(1+'Batt IN'!$F$30)</f>
        <v>150</v>
      </c>
      <c r="AC420" s="33">
        <f>'Batt IN'!$G$21*(1+'Batt IN'!$F$30)/12</f>
        <v>3500</v>
      </c>
      <c r="AD420" s="33">
        <f>'Batt IN'!$G$22*(1+'Batt IN'!$F$30)/12</f>
        <v>2500</v>
      </c>
      <c r="AE420" s="33">
        <f t="shared" si="104"/>
        <v>30366.783333333333</v>
      </c>
      <c r="AF420" s="33">
        <f>IF('PV IN'!$F$4="Battery Only",0,AE420*'Batt IN'!$E$29)</f>
        <v>25811.765833333331</v>
      </c>
      <c r="AG420" s="33">
        <f>PVCalcs!L420</f>
        <v>25811.765833333331</v>
      </c>
      <c r="AH420" s="33">
        <f t="shared" si="105"/>
        <v>4555.0175000000017</v>
      </c>
      <c r="AI420" s="33"/>
      <c r="AJ420" s="2">
        <f>IF(AND('Batt IN'!$D$53="Yes",$AL$1&gt;=1),IF($C420='Batt IN'!$H$54*12,-'Batt IN'!$F$54,0),0)</f>
        <v>0</v>
      </c>
      <c r="AK420" s="2">
        <f>IF(AND('Batt IN'!$D$53="Yes",$AL$1&gt;=2),IF($C420='Batt IN'!$H$55*12,-'Batt IN'!$F$55,0),0)</f>
        <v>0</v>
      </c>
      <c r="AL420" s="2">
        <f>IF(AND('Batt IN'!$D$53="Yes",$AL$1&gt;=3),IF($C420='Batt IN'!$H$56*12,-'Batt IN'!$F$56,0),0)</f>
        <v>0</v>
      </c>
      <c r="AM420" s="2">
        <f>IF(AND('Batt IN'!$D$53="Yes",$AL$1&gt;=4),IF($C420='Batt IN'!$H$57*12,-'Batt IN'!$F$57,0),0)</f>
        <v>0</v>
      </c>
      <c r="AN420" s="2">
        <f>IF(AND('Batt IN'!$D$53="Yes",$AL$1&gt;=5),IF($C420='Batt IN'!$H$58*12,-'Batt IN'!$F$58,0),0)</f>
        <v>0</v>
      </c>
      <c r="AO420" s="10">
        <f>IF(AND('Batt IN'!$D$44="YES",$C420&lt;='Batt IN'!$E$44*12),-'Batt IN'!$E$28*'Batt IN'!$E$42/12,0)</f>
        <v>0</v>
      </c>
      <c r="AP420" s="10">
        <f>IF(AND('Batt IN'!$D$46="YES",$C420&lt;='Batt IN'!$E$46*12),-'Batt IN'!$E$28*'Batt IN'!$E$45/12,0)</f>
        <v>0</v>
      </c>
      <c r="AR420" s="10">
        <f>BattLoan!M447</f>
        <v>0</v>
      </c>
      <c r="AS420" s="10">
        <f>'Batt IN'!$G$16*365/12*'Batt IN'!$E$16</f>
        <v>76.041666666666671</v>
      </c>
      <c r="AT420" s="10">
        <f>IF(AND('Batt IN'!$E$18&gt;0,'Batt IN'!$G$18&gt;0),'Batt IN'!$E$17*'Batt IN'!$G$17,0)</f>
        <v>119.44619999999999</v>
      </c>
      <c r="AU420" s="10">
        <f>IF(AND('Batt IN'!$E$20&gt;0,'Batt IN'!$G$20&gt;0),'Batt IN'!$E$19*'Batt IN'!$G$19,0)</f>
        <v>231</v>
      </c>
      <c r="AV420" s="10"/>
      <c r="AW420" s="10"/>
      <c r="AX420" s="10">
        <f>IF('Batt IN'!$E$11="Non-Taxable",Q420,0)</f>
        <v>12942.733808219178</v>
      </c>
      <c r="AY420" s="10">
        <f>IF('Batt IN'!$E$11="Non-Taxable",'Batt IN'!$E$28/1000*'Batt IN'!$G$13*('Batt IN'!$E$13/12)*'Batt IN'!$E$12,0)</f>
        <v>244.42220833333334</v>
      </c>
      <c r="AZ420" s="10">
        <f>IF('Batt IN'!$E$11="Non-Taxable",$S420*'Batt IN'!$G$15*'Batt IN'!$E$28*'Batt IN'!$E$14/1000,0)</f>
        <v>0</v>
      </c>
      <c r="BA420" s="10">
        <f>IF('Batt IN'!$E$11="Non-Taxable",'Batt IN'!$E$21*'Batt IN'!$G$21/12,0)</f>
        <v>437.5</v>
      </c>
      <c r="BB420" s="10">
        <f>IF('Batt IN'!$E$11="Non-Taxable",'Batt IN'!$E$22*'Batt IN'!$G$22/12,0)</f>
        <v>1145.8333333333335</v>
      </c>
      <c r="BC420" s="10">
        <f>IF('Batt IN'!$E$11="Taxable",Q420,0)</f>
        <v>0</v>
      </c>
      <c r="BD420" s="10">
        <f>IF('Batt IN'!$E$11="Taxable",'Batt IN'!$E$28/1000*'Batt IN'!$G$13*('Batt IN'!$E$13/12)*'Batt IN'!$E$12,0)</f>
        <v>0</v>
      </c>
      <c r="BE420" s="10">
        <f>IF('Batt IN'!$E$11="Taxable",$S420*'Batt IN'!$G$15*'Batt IN'!$E$28*'Batt IN'!$E$14/1000,0)</f>
        <v>0</v>
      </c>
      <c r="BF420" s="10">
        <f>IF('Batt IN'!$E$11="Taxable",'Batt IN'!$E$21*'Batt IN'!$G$21/12,0)</f>
        <v>0</v>
      </c>
      <c r="BG420" s="10">
        <f>IF('Batt IN'!$E$11="Taxable",'Batt IN'!$E$22*'Batt IN'!$G$22/12,0)</f>
        <v>0</v>
      </c>
      <c r="BK420" s="10">
        <f>IF('Batt IN'!$N$18="Yes",-BattLoan!H448,-BattLoan!L448)</f>
        <v>0</v>
      </c>
      <c r="BL420" s="10">
        <f>IF('Batt IN'!$N$18="Yes",-BattLoan!F448,0)</f>
        <v>0</v>
      </c>
      <c r="BM420" s="10">
        <f>IF(AND('Batt IN'!$D$44="YES",$C420&lt;='Batt IN'!$E$44*12),0,-'Batt IN'!$E$28*'Batt IN'!$E$42/12)</f>
        <v>-83.333333333333329</v>
      </c>
      <c r="BN420" s="10">
        <f>IF(AND('Batt IN'!$D$46="YES",$C420&lt;='Batt IN'!$E$46*12),0,-'Batt IN'!$E$28*'Batt IN'!$E$45/12)</f>
        <v>-166.66666666666666</v>
      </c>
      <c r="BO420" s="2">
        <f>IF(AND('Batt IN'!$D$41="YES",BattCalcs!C420=ROUNDUP('Batt IN'!$H$41*12,)),-'Batt IN'!$E$41*'Batt IN'!$E$28,0)</f>
        <v>0</v>
      </c>
      <c r="BP420" s="2">
        <f>IF(AND('Batt IN'!$D$53="Yes",$AL$1&gt;=1),0,IF($C420='Batt IN'!$H$54*12,-'Batt IN'!$F$54,0))</f>
        <v>0</v>
      </c>
      <c r="BQ420" s="2">
        <f>IF(AND('Batt IN'!$D$53="Yes",$AL$1&gt;=2),0,IF($C420='Batt IN'!$H$55*12,-'Batt IN'!$F$55,0))</f>
        <v>0</v>
      </c>
      <c r="BR420" s="2">
        <f>IF(AND('Batt IN'!$D$53="Yes",$AL$1&gt;=3),0,IF($C420='Batt IN'!$H$56*12,-'Batt IN'!$F$56,0))</f>
        <v>0</v>
      </c>
      <c r="BS420" s="2">
        <f>IF(AND('Batt IN'!$D$53="Yes",$AL$1&gt;=4),0,IF($C420='Batt IN'!$H$57*12,-'Batt IN'!$F$57,0))</f>
        <v>0</v>
      </c>
      <c r="BT420" s="2">
        <f>IF(AND('Batt IN'!$D$53="Yes",$AL$1&gt;=5),0,IF($C420='Batt IN'!$H$58*12,-'Batt IN'!$F$58,0))</f>
        <v>0</v>
      </c>
      <c r="BU420" s="2">
        <f>-AH420*PVCalcs!F420</f>
        <v>-359.37504381576838</v>
      </c>
      <c r="BV420" s="2">
        <f>-'Batt IN'!$E$47</f>
        <v>-150</v>
      </c>
      <c r="BW420" s="2">
        <f>-'Batt IN'!$E$49</f>
        <v>-2250</v>
      </c>
      <c r="BX420" s="2">
        <f>IF('Batt IN'!$H$50="No",-(BC420*'Batt IN'!$E$50),-(BC420+BE420)*'Batt IN'!$E$50)</f>
        <v>0</v>
      </c>
      <c r="BY420" s="2">
        <f>IF(C420='Batt IN'!$H$43*12,-'Batt IN'!$E$43,0)</f>
        <v>0</v>
      </c>
      <c r="BZ420" s="38"/>
      <c r="CA420" s="10">
        <f t="shared" si="106"/>
        <v>15196.977216552512</v>
      </c>
      <c r="CB420" s="2">
        <f t="shared" si="111"/>
        <v>-3009.3750438157685</v>
      </c>
      <c r="CC420" s="45">
        <f t="shared" si="107"/>
        <v>12187.602172736744</v>
      </c>
      <c r="CD420" s="43"/>
      <c r="CE420" s="2">
        <f t="shared" si="108"/>
        <v>0</v>
      </c>
      <c r="CF420" s="2">
        <f t="shared" si="112"/>
        <v>-3009.3750438157685</v>
      </c>
      <c r="CG420" s="2"/>
      <c r="CH420" s="2">
        <f t="shared" si="109"/>
        <v>-3009.3750438157685</v>
      </c>
      <c r="CI420" s="45">
        <f>-CH420*'Batt IN'!$E$7</f>
        <v>631.9687592013114</v>
      </c>
      <c r="CJ420" s="48"/>
      <c r="CK420" s="45">
        <f>IF('Batt IN'!$F$4="PV Only",0,IF(C420&gt;'Batt IN'!$H$43*12,0,CC420+CI420))</f>
        <v>0</v>
      </c>
      <c r="CM420" s="10">
        <f t="shared" si="110"/>
        <v>0</v>
      </c>
      <c r="CN420" s="2">
        <f>CK420/(1+('Batt IN'!$G$8))^(C420)</f>
        <v>0</v>
      </c>
      <c r="CO420" s="2" t="e">
        <f>IF(C420&lt;='Batt IN'!$O$30*12,CN420+CO419,NA())</f>
        <v>#N/A</v>
      </c>
      <c r="CQ420" s="2">
        <f>CK420/((1+('Batt IN'!$E$8/12))^BattCalcs!C420)</f>
        <v>0</v>
      </c>
      <c r="CS420" s="10">
        <f t="shared" si="113"/>
        <v>-3009.3750438157685</v>
      </c>
      <c r="CT420" s="10">
        <f t="shared" si="114"/>
        <v>0</v>
      </c>
      <c r="CU420" s="10">
        <f t="shared" si="115"/>
        <v>-3009.3750438157685</v>
      </c>
      <c r="CV420" s="10">
        <f t="shared" si="116"/>
        <v>-3009.3750438157685</v>
      </c>
      <c r="CW420" s="2">
        <f t="shared" si="117"/>
        <v>0</v>
      </c>
      <c r="CX420" s="2">
        <f>-(SUM(CV420:CW420)*'PV IN'!$E$8)</f>
        <v>631.9687592013114</v>
      </c>
      <c r="CY420" s="2">
        <f t="shared" si="118"/>
        <v>-2377.406284614457</v>
      </c>
      <c r="CZ420" s="2">
        <f>IF(C420&lt;='Batt IN'!$H$43*12,CY420/(1+('PV IN'!$G$9))^(C420),0)</f>
        <v>0</v>
      </c>
      <c r="DA420" s="33">
        <f>IF(C420&lt;='Batt IN'!$H$43*12,AE420,0)</f>
        <v>0</v>
      </c>
    </row>
    <row r="421" spans="1:105" x14ac:dyDescent="0.25">
      <c r="A421" t="str">
        <f>IF(C421&lt;='Batt IN'!$H$43*12,C421,"")</f>
        <v/>
      </c>
      <c r="C421">
        <v>417</v>
      </c>
      <c r="D421" s="21">
        <v>847</v>
      </c>
      <c r="E421" s="1">
        <f>1-'Batt IN'!$E$31</f>
        <v>2.0000000000000018E-2</v>
      </c>
      <c r="F421" s="12">
        <f>('Batt IN'!$E$33*365)/8760</f>
        <v>0</v>
      </c>
      <c r="G421" s="22">
        <f>'Batt IN'!$E$32/8760</f>
        <v>5.7077625570776253E-3</v>
      </c>
      <c r="H421" s="22">
        <f>'Batt IN'!$E$13/8760</f>
        <v>5.5936073059360729E-3</v>
      </c>
      <c r="I421" s="23">
        <f>IF(C421&lt;='Batt IN'!$G$14*12,'Batt IN'!$E$15/8760*'Batt IN'!$G$15,0)</f>
        <v>0</v>
      </c>
      <c r="J421" s="12">
        <f>Z421/'Batt IN'!$E$27/730</f>
        <v>2.4999999999999996E-3</v>
      </c>
      <c r="K421" s="23">
        <f>AA421/'Batt IN'!$E$27/730</f>
        <v>1.6027397260273972E-3</v>
      </c>
      <c r="L421" s="23">
        <f>AB421/'Batt IN'!$E$27/730</f>
        <v>2.0547945205479451E-4</v>
      </c>
      <c r="M421" s="23">
        <f>AC421/'Batt IN'!$E$27/730</f>
        <v>4.7945205479452057E-3</v>
      </c>
      <c r="N421" s="23">
        <f>AD421/'Batt IN'!$E$27/730</f>
        <v>3.4246575342465752E-3</v>
      </c>
      <c r="O421" s="12">
        <f t="shared" si="102"/>
        <v>4.3828767123287697E-2</v>
      </c>
      <c r="P421" s="21">
        <f t="shared" si="103"/>
        <v>809.87703424657536</v>
      </c>
      <c r="Q421" s="2">
        <f>IF('Batt IN'!$E$27*'Batt IN'!$E$24&lt;='Batt IN'!$E$28,(('Batt IN'!$E$23*'Batt IN'!$E$27*'Batt IN'!$E$24)/1000)*P421,(('Batt IN'!$E$23*'Batt IN'!$E$28*'Batt IN'!$E$24)/1000)*P421)</f>
        <v>12958.032547945206</v>
      </c>
      <c r="R421" s="2"/>
      <c r="S421" s="77">
        <f>IF(C421&lt;='Batt IN'!$G$14*12,'Batt IN'!$E$15/12,0)</f>
        <v>0</v>
      </c>
      <c r="T421" s="77"/>
      <c r="U421" s="80">
        <f>'Batt IN'!$E$28*('Batt IN'!$G$24/24)*730*(1-O421)</f>
        <v>81433.916666666657</v>
      </c>
      <c r="V421" s="78">
        <f>U421*'Batt IN'!$F$30</f>
        <v>16286.783333333333</v>
      </c>
      <c r="W421" s="78">
        <f>'Batt IN'!$E$28*'Batt IN'!$G$32*('Batt IN'!$E$32/12)*(1+'Batt IN'!$F$30)</f>
        <v>1750.0000000000002</v>
      </c>
      <c r="X421" s="78">
        <f>'Batt IN'!$E$28*'Batt IN'!$G$13*('Batt IN'!$E$13/12)*(1+'Batt IN'!$F$30)</f>
        <v>3184.9999999999995</v>
      </c>
      <c r="Y421" s="33">
        <f>S421*'Batt IN'!$G$15*'Batt IN'!$E$28*(1+'Batt IN'!$F$30)</f>
        <v>0</v>
      </c>
      <c r="Z421" s="33">
        <f>'Batt IN'!$G$16*365/12*(1+'Batt IN'!$F$30)</f>
        <v>1824.9999999999998</v>
      </c>
      <c r="AA421" s="33">
        <f>'Batt IN'!$G$17*'Batt IN'!$E$18*'Batt IN'!$G$18/12*(1+'Batt IN'!$F$30)</f>
        <v>1170</v>
      </c>
      <c r="AB421" s="33">
        <f>'Batt IN'!$G$19*'Batt IN'!$E$20*'Batt IN'!$G$20/12*(1+'Batt IN'!$F$30)</f>
        <v>150</v>
      </c>
      <c r="AC421" s="33">
        <f>'Batt IN'!$G$21*(1+'Batt IN'!$F$30)/12</f>
        <v>3500</v>
      </c>
      <c r="AD421" s="33">
        <f>'Batt IN'!$G$22*(1+'Batt IN'!$F$30)/12</f>
        <v>2500</v>
      </c>
      <c r="AE421" s="33">
        <f t="shared" si="104"/>
        <v>30366.783333333333</v>
      </c>
      <c r="AF421" s="33">
        <f>IF('PV IN'!$F$4="Battery Only",0,AE421*'Batt IN'!$E$29)</f>
        <v>25811.765833333331</v>
      </c>
      <c r="AG421" s="33">
        <f>PVCalcs!L421</f>
        <v>25811.765833333331</v>
      </c>
      <c r="AH421" s="33">
        <f t="shared" si="105"/>
        <v>4555.0175000000017</v>
      </c>
      <c r="AI421" s="33"/>
      <c r="AJ421" s="2">
        <f>IF(AND('Batt IN'!$D$53="Yes",$AL$1&gt;=1),IF($C421='Batt IN'!$H$54*12,-'Batt IN'!$F$54,0),0)</f>
        <v>0</v>
      </c>
      <c r="AK421" s="2">
        <f>IF(AND('Batt IN'!$D$53="Yes",$AL$1&gt;=2),IF($C421='Batt IN'!$H$55*12,-'Batt IN'!$F$55,0),0)</f>
        <v>0</v>
      </c>
      <c r="AL421" s="2">
        <f>IF(AND('Batt IN'!$D$53="Yes",$AL$1&gt;=3),IF($C421='Batt IN'!$H$56*12,-'Batt IN'!$F$56,0),0)</f>
        <v>0</v>
      </c>
      <c r="AM421" s="2">
        <f>IF(AND('Batt IN'!$D$53="Yes",$AL$1&gt;=4),IF($C421='Batt IN'!$H$57*12,-'Batt IN'!$F$57,0),0)</f>
        <v>0</v>
      </c>
      <c r="AN421" s="2">
        <f>IF(AND('Batt IN'!$D$53="Yes",$AL$1&gt;=5),IF($C421='Batt IN'!$H$58*12,-'Batt IN'!$F$58,0),0)</f>
        <v>0</v>
      </c>
      <c r="AO421" s="10">
        <f>IF(AND('Batt IN'!$D$44="YES",$C421&lt;='Batt IN'!$E$44*12),-'Batt IN'!$E$28*'Batt IN'!$E$42/12,0)</f>
        <v>0</v>
      </c>
      <c r="AP421" s="10">
        <f>IF(AND('Batt IN'!$D$46="YES",$C421&lt;='Batt IN'!$E$46*12),-'Batt IN'!$E$28*'Batt IN'!$E$45/12,0)</f>
        <v>0</v>
      </c>
      <c r="AR421" s="10">
        <f>BattLoan!M448</f>
        <v>0</v>
      </c>
      <c r="AS421" s="10">
        <f>'Batt IN'!$G$16*365/12*'Batt IN'!$E$16</f>
        <v>76.041666666666671</v>
      </c>
      <c r="AT421" s="10">
        <f>IF(AND('Batt IN'!$E$18&gt;0,'Batt IN'!$G$18&gt;0),'Batt IN'!$E$17*'Batt IN'!$G$17,0)</f>
        <v>119.44619999999999</v>
      </c>
      <c r="AU421" s="10">
        <f>IF(AND('Batt IN'!$E$20&gt;0,'Batt IN'!$G$20&gt;0),'Batt IN'!$E$19*'Batt IN'!$G$19,0)</f>
        <v>231</v>
      </c>
      <c r="AV421" s="10"/>
      <c r="AW421" s="10"/>
      <c r="AX421" s="10">
        <f>IF('Batt IN'!$E$11="Non-Taxable",Q421,0)</f>
        <v>12958.032547945206</v>
      </c>
      <c r="AY421" s="10">
        <f>IF('Batt IN'!$E$11="Non-Taxable",'Batt IN'!$E$28/1000*'Batt IN'!$G$13*('Batt IN'!$E$13/12)*'Batt IN'!$E$12,0)</f>
        <v>244.42220833333334</v>
      </c>
      <c r="AZ421" s="10">
        <f>IF('Batt IN'!$E$11="Non-Taxable",$S421*'Batt IN'!$G$15*'Batt IN'!$E$28*'Batt IN'!$E$14/1000,0)</f>
        <v>0</v>
      </c>
      <c r="BA421" s="10">
        <f>IF('Batt IN'!$E$11="Non-Taxable",'Batt IN'!$E$21*'Batt IN'!$G$21/12,0)</f>
        <v>437.5</v>
      </c>
      <c r="BB421" s="10">
        <f>IF('Batt IN'!$E$11="Non-Taxable",'Batt IN'!$E$22*'Batt IN'!$G$22/12,0)</f>
        <v>1145.8333333333335</v>
      </c>
      <c r="BC421" s="10">
        <f>IF('Batt IN'!$E$11="Taxable",Q421,0)</f>
        <v>0</v>
      </c>
      <c r="BD421" s="10">
        <f>IF('Batt IN'!$E$11="Taxable",'Batt IN'!$E$28/1000*'Batt IN'!$G$13*('Batt IN'!$E$13/12)*'Batt IN'!$E$12,0)</f>
        <v>0</v>
      </c>
      <c r="BE421" s="10">
        <f>IF('Batt IN'!$E$11="Taxable",$S421*'Batt IN'!$G$15*'Batt IN'!$E$28*'Batt IN'!$E$14/1000,0)</f>
        <v>0</v>
      </c>
      <c r="BF421" s="10">
        <f>IF('Batt IN'!$E$11="Taxable",'Batt IN'!$E$21*'Batt IN'!$G$21/12,0)</f>
        <v>0</v>
      </c>
      <c r="BG421" s="10">
        <f>IF('Batt IN'!$E$11="Taxable",'Batt IN'!$E$22*'Batt IN'!$G$22/12,0)</f>
        <v>0</v>
      </c>
      <c r="BK421" s="10">
        <f>IF('Batt IN'!$N$18="Yes",-BattLoan!H449,-BattLoan!L449)</f>
        <v>0</v>
      </c>
      <c r="BL421" s="10">
        <f>IF('Batt IN'!$N$18="Yes",-BattLoan!F449,0)</f>
        <v>0</v>
      </c>
      <c r="BM421" s="10">
        <f>IF(AND('Batt IN'!$D$44="YES",$C421&lt;='Batt IN'!$E$44*12),0,-'Batt IN'!$E$28*'Batt IN'!$E$42/12)</f>
        <v>-83.333333333333329</v>
      </c>
      <c r="BN421" s="10">
        <f>IF(AND('Batt IN'!$D$46="YES",$C421&lt;='Batt IN'!$E$46*12),0,-'Batt IN'!$E$28*'Batt IN'!$E$45/12)</f>
        <v>-166.66666666666666</v>
      </c>
      <c r="BO421" s="2">
        <f>IF(AND('Batt IN'!$D$41="YES",BattCalcs!C421=ROUNDUP('Batt IN'!$H$41*12,)),-'Batt IN'!$E$41*'Batt IN'!$E$28,0)</f>
        <v>0</v>
      </c>
      <c r="BP421" s="2">
        <f>IF(AND('Batt IN'!$D$53="Yes",$AL$1&gt;=1),0,IF($C421='Batt IN'!$H$54*12,-'Batt IN'!$F$54,0))</f>
        <v>0</v>
      </c>
      <c r="BQ421" s="2">
        <f>IF(AND('Batt IN'!$D$53="Yes",$AL$1&gt;=2),0,IF($C421='Batt IN'!$H$55*12,-'Batt IN'!$F$55,0))</f>
        <v>0</v>
      </c>
      <c r="BR421" s="2">
        <f>IF(AND('Batt IN'!$D$53="Yes",$AL$1&gt;=3),0,IF($C421='Batt IN'!$H$56*12,-'Batt IN'!$F$56,0))</f>
        <v>0</v>
      </c>
      <c r="BS421" s="2">
        <f>IF(AND('Batt IN'!$D$53="Yes",$AL$1&gt;=4),0,IF($C421='Batt IN'!$H$57*12,-'Batt IN'!$F$57,0))</f>
        <v>0</v>
      </c>
      <c r="BT421" s="2">
        <f>IF(AND('Batt IN'!$D$53="Yes",$AL$1&gt;=5),0,IF($C421='Batt IN'!$H$58*12,-'Batt IN'!$F$58,0))</f>
        <v>0</v>
      </c>
      <c r="BU421" s="2">
        <f>-AH421*PVCalcs!F421</f>
        <v>-359.37504381576838</v>
      </c>
      <c r="BV421" s="2">
        <f>-'Batt IN'!$E$47</f>
        <v>-150</v>
      </c>
      <c r="BW421" s="2">
        <f>-'Batt IN'!$E$49</f>
        <v>-2250</v>
      </c>
      <c r="BX421" s="2">
        <f>IF('Batt IN'!$H$50="No",-(BC421*'Batt IN'!$E$50),-(BC421+BE421)*'Batt IN'!$E$50)</f>
        <v>0</v>
      </c>
      <c r="BY421" s="2">
        <f>IF(C421='Batt IN'!$H$43*12,-'Batt IN'!$E$43,0)</f>
        <v>0</v>
      </c>
      <c r="BZ421" s="38"/>
      <c r="CA421" s="10">
        <f t="shared" si="106"/>
        <v>15212.27595627854</v>
      </c>
      <c r="CB421" s="2">
        <f t="shared" si="111"/>
        <v>-3009.3750438157685</v>
      </c>
      <c r="CC421" s="45">
        <f t="shared" si="107"/>
        <v>12202.90091246277</v>
      </c>
      <c r="CD421" s="43"/>
      <c r="CE421" s="2">
        <f t="shared" si="108"/>
        <v>0</v>
      </c>
      <c r="CF421" s="2">
        <f t="shared" si="112"/>
        <v>-3009.3750438157685</v>
      </c>
      <c r="CG421" s="2"/>
      <c r="CH421" s="2">
        <f t="shared" si="109"/>
        <v>-3009.3750438157685</v>
      </c>
      <c r="CI421" s="45">
        <f>-CH421*'Batt IN'!$E$7</f>
        <v>631.9687592013114</v>
      </c>
      <c r="CJ421" s="48"/>
      <c r="CK421" s="45">
        <f>IF('Batt IN'!$F$4="PV Only",0,IF(C421&gt;'Batt IN'!$H$43*12,0,CC421+CI421))</f>
        <v>0</v>
      </c>
      <c r="CM421" s="10">
        <f t="shared" si="110"/>
        <v>0</v>
      </c>
      <c r="CN421" s="2">
        <f>CK421/(1+('Batt IN'!$G$8))^(C421)</f>
        <v>0</v>
      </c>
      <c r="CO421" s="2" t="e">
        <f>IF(C421&lt;='Batt IN'!$O$30*12,CN421+CO420,NA())</f>
        <v>#N/A</v>
      </c>
      <c r="CQ421" s="2">
        <f>CK421/((1+('Batt IN'!$E$8/12))^BattCalcs!C421)</f>
        <v>0</v>
      </c>
      <c r="CS421" s="10">
        <f t="shared" si="113"/>
        <v>-3009.3750438157685</v>
      </c>
      <c r="CT421" s="10">
        <f t="shared" si="114"/>
        <v>0</v>
      </c>
      <c r="CU421" s="10">
        <f t="shared" si="115"/>
        <v>-3009.3750438157685</v>
      </c>
      <c r="CV421" s="10">
        <f t="shared" si="116"/>
        <v>-3009.3750438157685</v>
      </c>
      <c r="CW421" s="2">
        <f t="shared" si="117"/>
        <v>0</v>
      </c>
      <c r="CX421" s="2">
        <f>-(SUM(CV421:CW421)*'PV IN'!$E$8)</f>
        <v>631.9687592013114</v>
      </c>
      <c r="CY421" s="2">
        <f t="shared" si="118"/>
        <v>-2377.406284614457</v>
      </c>
      <c r="CZ421" s="2">
        <f>IF(C421&lt;='Batt IN'!$H$43*12,CY421/(1+('PV IN'!$G$9))^(C421),0)</f>
        <v>0</v>
      </c>
      <c r="DA421" s="33">
        <f>IF(C421&lt;='Batt IN'!$H$43*12,AE421,0)</f>
        <v>0</v>
      </c>
    </row>
    <row r="422" spans="1:105" x14ac:dyDescent="0.25">
      <c r="A422" t="str">
        <f>IF(C422&lt;='Batt IN'!$H$43*12,C422,"")</f>
        <v/>
      </c>
      <c r="C422">
        <v>418</v>
      </c>
      <c r="D422" s="21">
        <v>848</v>
      </c>
      <c r="E422" s="1">
        <f>1-'Batt IN'!$E$31</f>
        <v>2.0000000000000018E-2</v>
      </c>
      <c r="F422" s="12">
        <f>('Batt IN'!$E$33*365)/8760</f>
        <v>0</v>
      </c>
      <c r="G422" s="22">
        <f>'Batt IN'!$E$32/8760</f>
        <v>5.7077625570776253E-3</v>
      </c>
      <c r="H422" s="22">
        <f>'Batt IN'!$E$13/8760</f>
        <v>5.5936073059360729E-3</v>
      </c>
      <c r="I422" s="23">
        <f>IF(C422&lt;='Batt IN'!$G$14*12,'Batt IN'!$E$15/8760*'Batt IN'!$G$15,0)</f>
        <v>0</v>
      </c>
      <c r="J422" s="12">
        <f>Z422/'Batt IN'!$E$27/730</f>
        <v>2.4999999999999996E-3</v>
      </c>
      <c r="K422" s="23">
        <f>AA422/'Batt IN'!$E$27/730</f>
        <v>1.6027397260273972E-3</v>
      </c>
      <c r="L422" s="23">
        <f>AB422/'Batt IN'!$E$27/730</f>
        <v>2.0547945205479451E-4</v>
      </c>
      <c r="M422" s="23">
        <f>AC422/'Batt IN'!$E$27/730</f>
        <v>4.7945205479452057E-3</v>
      </c>
      <c r="N422" s="23">
        <f>AD422/'Batt IN'!$E$27/730</f>
        <v>3.4246575342465752E-3</v>
      </c>
      <c r="O422" s="12">
        <f t="shared" si="102"/>
        <v>4.3828767123287697E-2</v>
      </c>
      <c r="P422" s="21">
        <f t="shared" si="103"/>
        <v>810.83320547945209</v>
      </c>
      <c r="Q422" s="2">
        <f>IF('Batt IN'!$E$27*'Batt IN'!$E$24&lt;='Batt IN'!$E$28,(('Batt IN'!$E$23*'Batt IN'!$E$27*'Batt IN'!$E$24)/1000)*P422,(('Batt IN'!$E$23*'Batt IN'!$E$28*'Batt IN'!$E$24)/1000)*P422)</f>
        <v>12973.331287671233</v>
      </c>
      <c r="R422" s="2"/>
      <c r="S422" s="77">
        <f>IF(C422&lt;='Batt IN'!$G$14*12,'Batt IN'!$E$15/12,0)</f>
        <v>0</v>
      </c>
      <c r="T422" s="77"/>
      <c r="U422" s="80">
        <f>'Batt IN'!$E$28*('Batt IN'!$G$24/24)*730*(1-O422)</f>
        <v>81433.916666666657</v>
      </c>
      <c r="V422" s="78">
        <f>U422*'Batt IN'!$F$30</f>
        <v>16286.783333333333</v>
      </c>
      <c r="W422" s="78">
        <f>'Batt IN'!$E$28*'Batt IN'!$G$32*('Batt IN'!$E$32/12)*(1+'Batt IN'!$F$30)</f>
        <v>1750.0000000000002</v>
      </c>
      <c r="X422" s="78">
        <f>'Batt IN'!$E$28*'Batt IN'!$G$13*('Batt IN'!$E$13/12)*(1+'Batt IN'!$F$30)</f>
        <v>3184.9999999999995</v>
      </c>
      <c r="Y422" s="33">
        <f>S422*'Batt IN'!$G$15*'Batt IN'!$E$28*(1+'Batt IN'!$F$30)</f>
        <v>0</v>
      </c>
      <c r="Z422" s="33">
        <f>'Batt IN'!$G$16*365/12*(1+'Batt IN'!$F$30)</f>
        <v>1824.9999999999998</v>
      </c>
      <c r="AA422" s="33">
        <f>'Batt IN'!$G$17*'Batt IN'!$E$18*'Batt IN'!$G$18/12*(1+'Batt IN'!$F$30)</f>
        <v>1170</v>
      </c>
      <c r="AB422" s="33">
        <f>'Batt IN'!$G$19*'Batt IN'!$E$20*'Batt IN'!$G$20/12*(1+'Batt IN'!$F$30)</f>
        <v>150</v>
      </c>
      <c r="AC422" s="33">
        <f>'Batt IN'!$G$21*(1+'Batt IN'!$F$30)/12</f>
        <v>3500</v>
      </c>
      <c r="AD422" s="33">
        <f>'Batt IN'!$G$22*(1+'Batt IN'!$F$30)/12</f>
        <v>2500</v>
      </c>
      <c r="AE422" s="33">
        <f t="shared" si="104"/>
        <v>30366.783333333333</v>
      </c>
      <c r="AF422" s="33">
        <f>IF('PV IN'!$F$4="Battery Only",0,AE422*'Batt IN'!$E$29)</f>
        <v>25811.765833333331</v>
      </c>
      <c r="AG422" s="33">
        <f>PVCalcs!L422</f>
        <v>25811.765833333331</v>
      </c>
      <c r="AH422" s="33">
        <f t="shared" si="105"/>
        <v>4555.0175000000017</v>
      </c>
      <c r="AI422" s="33"/>
      <c r="AJ422" s="2">
        <f>IF(AND('Batt IN'!$D$53="Yes",$AL$1&gt;=1),IF($C422='Batt IN'!$H$54*12,-'Batt IN'!$F$54,0),0)</f>
        <v>0</v>
      </c>
      <c r="AK422" s="2">
        <f>IF(AND('Batt IN'!$D$53="Yes",$AL$1&gt;=2),IF($C422='Batt IN'!$H$55*12,-'Batt IN'!$F$55,0),0)</f>
        <v>0</v>
      </c>
      <c r="AL422" s="2">
        <f>IF(AND('Batt IN'!$D$53="Yes",$AL$1&gt;=3),IF($C422='Batt IN'!$H$56*12,-'Batt IN'!$F$56,0),0)</f>
        <v>0</v>
      </c>
      <c r="AM422" s="2">
        <f>IF(AND('Batt IN'!$D$53="Yes",$AL$1&gt;=4),IF($C422='Batt IN'!$H$57*12,-'Batt IN'!$F$57,0),0)</f>
        <v>0</v>
      </c>
      <c r="AN422" s="2">
        <f>IF(AND('Batt IN'!$D$53="Yes",$AL$1&gt;=5),IF($C422='Batt IN'!$H$58*12,-'Batt IN'!$F$58,0),0)</f>
        <v>0</v>
      </c>
      <c r="AO422" s="10">
        <f>IF(AND('Batt IN'!$D$44="YES",$C422&lt;='Batt IN'!$E$44*12),-'Batt IN'!$E$28*'Batt IN'!$E$42/12,0)</f>
        <v>0</v>
      </c>
      <c r="AP422" s="10">
        <f>IF(AND('Batt IN'!$D$46="YES",$C422&lt;='Batt IN'!$E$46*12),-'Batt IN'!$E$28*'Batt IN'!$E$45/12,0)</f>
        <v>0</v>
      </c>
      <c r="AR422" s="10">
        <f>BattLoan!M449</f>
        <v>0</v>
      </c>
      <c r="AS422" s="10">
        <f>'Batt IN'!$G$16*365/12*'Batt IN'!$E$16</f>
        <v>76.041666666666671</v>
      </c>
      <c r="AT422" s="10">
        <f>IF(AND('Batt IN'!$E$18&gt;0,'Batt IN'!$G$18&gt;0),'Batt IN'!$E$17*'Batt IN'!$G$17,0)</f>
        <v>119.44619999999999</v>
      </c>
      <c r="AU422" s="10">
        <f>IF(AND('Batt IN'!$E$20&gt;0,'Batt IN'!$G$20&gt;0),'Batt IN'!$E$19*'Batt IN'!$G$19,0)</f>
        <v>231</v>
      </c>
      <c r="AV422" s="10"/>
      <c r="AW422" s="10"/>
      <c r="AX422" s="10">
        <f>IF('Batt IN'!$E$11="Non-Taxable",Q422,0)</f>
        <v>12973.331287671233</v>
      </c>
      <c r="AY422" s="10">
        <f>IF('Batt IN'!$E$11="Non-Taxable",'Batt IN'!$E$28/1000*'Batt IN'!$G$13*('Batt IN'!$E$13/12)*'Batt IN'!$E$12,0)</f>
        <v>244.42220833333334</v>
      </c>
      <c r="AZ422" s="10">
        <f>IF('Batt IN'!$E$11="Non-Taxable",$S422*'Batt IN'!$G$15*'Batt IN'!$E$28*'Batt IN'!$E$14/1000,0)</f>
        <v>0</v>
      </c>
      <c r="BA422" s="10">
        <f>IF('Batt IN'!$E$11="Non-Taxable",'Batt IN'!$E$21*'Batt IN'!$G$21/12,0)</f>
        <v>437.5</v>
      </c>
      <c r="BB422" s="10">
        <f>IF('Batt IN'!$E$11="Non-Taxable",'Batt IN'!$E$22*'Batt IN'!$G$22/12,0)</f>
        <v>1145.8333333333335</v>
      </c>
      <c r="BC422" s="10">
        <f>IF('Batt IN'!$E$11="Taxable",Q422,0)</f>
        <v>0</v>
      </c>
      <c r="BD422" s="10">
        <f>IF('Batt IN'!$E$11="Taxable",'Batt IN'!$E$28/1000*'Batt IN'!$G$13*('Batt IN'!$E$13/12)*'Batt IN'!$E$12,0)</f>
        <v>0</v>
      </c>
      <c r="BE422" s="10">
        <f>IF('Batt IN'!$E$11="Taxable",$S422*'Batt IN'!$G$15*'Batt IN'!$E$28*'Batt IN'!$E$14/1000,0)</f>
        <v>0</v>
      </c>
      <c r="BF422" s="10">
        <f>IF('Batt IN'!$E$11="Taxable",'Batt IN'!$E$21*'Batt IN'!$G$21/12,0)</f>
        <v>0</v>
      </c>
      <c r="BG422" s="10">
        <f>IF('Batt IN'!$E$11="Taxable",'Batt IN'!$E$22*'Batt IN'!$G$22/12,0)</f>
        <v>0</v>
      </c>
      <c r="BK422" s="10">
        <f>IF('Batt IN'!$N$18="Yes",-BattLoan!H450,-BattLoan!L450)</f>
        <v>0</v>
      </c>
      <c r="BL422" s="10">
        <f>IF('Batt IN'!$N$18="Yes",-BattLoan!F450,0)</f>
        <v>0</v>
      </c>
      <c r="BM422" s="10">
        <f>IF(AND('Batt IN'!$D$44="YES",$C422&lt;='Batt IN'!$E$44*12),0,-'Batt IN'!$E$28*'Batt IN'!$E$42/12)</f>
        <v>-83.333333333333329</v>
      </c>
      <c r="BN422" s="10">
        <f>IF(AND('Batt IN'!$D$46="YES",$C422&lt;='Batt IN'!$E$46*12),0,-'Batt IN'!$E$28*'Batt IN'!$E$45/12)</f>
        <v>-166.66666666666666</v>
      </c>
      <c r="BO422" s="2">
        <f>IF(AND('Batt IN'!$D$41="YES",BattCalcs!C422=ROUNDUP('Batt IN'!$H$41*12,)),-'Batt IN'!$E$41*'Batt IN'!$E$28,0)</f>
        <v>0</v>
      </c>
      <c r="BP422" s="2">
        <f>IF(AND('Batt IN'!$D$53="Yes",$AL$1&gt;=1),0,IF($C422='Batt IN'!$H$54*12,-'Batt IN'!$F$54,0))</f>
        <v>0</v>
      </c>
      <c r="BQ422" s="2">
        <f>IF(AND('Batt IN'!$D$53="Yes",$AL$1&gt;=2),0,IF($C422='Batt IN'!$H$55*12,-'Batt IN'!$F$55,0))</f>
        <v>0</v>
      </c>
      <c r="BR422" s="2">
        <f>IF(AND('Batt IN'!$D$53="Yes",$AL$1&gt;=3),0,IF($C422='Batt IN'!$H$56*12,-'Batt IN'!$F$56,0))</f>
        <v>0</v>
      </c>
      <c r="BS422" s="2">
        <f>IF(AND('Batt IN'!$D$53="Yes",$AL$1&gt;=4),0,IF($C422='Batt IN'!$H$57*12,-'Batt IN'!$F$57,0))</f>
        <v>0</v>
      </c>
      <c r="BT422" s="2">
        <f>IF(AND('Batt IN'!$D$53="Yes",$AL$1&gt;=5),0,IF($C422='Batt IN'!$H$58*12,-'Batt IN'!$F$58,0))</f>
        <v>0</v>
      </c>
      <c r="BU422" s="2">
        <f>-AH422*PVCalcs!F422</f>
        <v>-359.37504381576838</v>
      </c>
      <c r="BV422" s="2">
        <f>-'Batt IN'!$E$47</f>
        <v>-150</v>
      </c>
      <c r="BW422" s="2">
        <f>-'Batt IN'!$E$49</f>
        <v>-2250</v>
      </c>
      <c r="BX422" s="2">
        <f>IF('Batt IN'!$H$50="No",-(BC422*'Batt IN'!$E$50),-(BC422+BE422)*'Batt IN'!$E$50)</f>
        <v>0</v>
      </c>
      <c r="BY422" s="2">
        <f>IF(C422='Batt IN'!$H$43*12,-'Batt IN'!$E$43,0)</f>
        <v>0</v>
      </c>
      <c r="BZ422" s="38"/>
      <c r="CA422" s="10">
        <f t="shared" si="106"/>
        <v>15227.574696004567</v>
      </c>
      <c r="CB422" s="2">
        <f t="shared" si="111"/>
        <v>-3009.3750438157685</v>
      </c>
      <c r="CC422" s="45">
        <f t="shared" si="107"/>
        <v>12218.1996521888</v>
      </c>
      <c r="CD422" s="43"/>
      <c r="CE422" s="2">
        <f t="shared" si="108"/>
        <v>0</v>
      </c>
      <c r="CF422" s="2">
        <f t="shared" si="112"/>
        <v>-3009.3750438157685</v>
      </c>
      <c r="CG422" s="2"/>
      <c r="CH422" s="2">
        <f t="shared" si="109"/>
        <v>-3009.3750438157685</v>
      </c>
      <c r="CI422" s="45">
        <f>-CH422*'Batt IN'!$E$7</f>
        <v>631.9687592013114</v>
      </c>
      <c r="CJ422" s="48"/>
      <c r="CK422" s="45">
        <f>IF('Batt IN'!$F$4="PV Only",0,IF(C422&gt;'Batt IN'!$H$43*12,0,CC422+CI422))</f>
        <v>0</v>
      </c>
      <c r="CM422" s="10">
        <f t="shared" si="110"/>
        <v>0</v>
      </c>
      <c r="CN422" s="2">
        <f>CK422/(1+('Batt IN'!$G$8))^(C422)</f>
        <v>0</v>
      </c>
      <c r="CO422" s="2" t="e">
        <f>IF(C422&lt;='Batt IN'!$O$30*12,CN422+CO421,NA())</f>
        <v>#N/A</v>
      </c>
      <c r="CQ422" s="2">
        <f>CK422/((1+('Batt IN'!$E$8/12))^BattCalcs!C422)</f>
        <v>0</v>
      </c>
      <c r="CS422" s="10">
        <f t="shared" si="113"/>
        <v>-3009.3750438157685</v>
      </c>
      <c r="CT422" s="10">
        <f t="shared" si="114"/>
        <v>0</v>
      </c>
      <c r="CU422" s="10">
        <f t="shared" si="115"/>
        <v>-3009.3750438157685</v>
      </c>
      <c r="CV422" s="10">
        <f t="shared" si="116"/>
        <v>-3009.3750438157685</v>
      </c>
      <c r="CW422" s="2">
        <f t="shared" si="117"/>
        <v>0</v>
      </c>
      <c r="CX422" s="2">
        <f>-(SUM(CV422:CW422)*'PV IN'!$E$8)</f>
        <v>631.9687592013114</v>
      </c>
      <c r="CY422" s="2">
        <f t="shared" si="118"/>
        <v>-2377.406284614457</v>
      </c>
      <c r="CZ422" s="2">
        <f>IF(C422&lt;='Batt IN'!$H$43*12,CY422/(1+('PV IN'!$G$9))^(C422),0)</f>
        <v>0</v>
      </c>
      <c r="DA422" s="33">
        <f>IF(C422&lt;='Batt IN'!$H$43*12,AE422,0)</f>
        <v>0</v>
      </c>
    </row>
    <row r="423" spans="1:105" x14ac:dyDescent="0.25">
      <c r="A423" t="str">
        <f>IF(C423&lt;='Batt IN'!$H$43*12,C423,"")</f>
        <v/>
      </c>
      <c r="C423">
        <v>419</v>
      </c>
      <c r="D423" s="21">
        <v>849</v>
      </c>
      <c r="E423" s="1">
        <f>1-'Batt IN'!$E$31</f>
        <v>2.0000000000000018E-2</v>
      </c>
      <c r="F423" s="12">
        <f>('Batt IN'!$E$33*365)/8760</f>
        <v>0</v>
      </c>
      <c r="G423" s="22">
        <f>'Batt IN'!$E$32/8760</f>
        <v>5.7077625570776253E-3</v>
      </c>
      <c r="H423" s="22">
        <f>'Batt IN'!$E$13/8760</f>
        <v>5.5936073059360729E-3</v>
      </c>
      <c r="I423" s="23">
        <f>IF(C423&lt;='Batt IN'!$G$14*12,'Batt IN'!$E$15/8760*'Batt IN'!$G$15,0)</f>
        <v>0</v>
      </c>
      <c r="J423" s="12">
        <f>Z423/'Batt IN'!$E$27/730</f>
        <v>2.4999999999999996E-3</v>
      </c>
      <c r="K423" s="23">
        <f>AA423/'Batt IN'!$E$27/730</f>
        <v>1.6027397260273972E-3</v>
      </c>
      <c r="L423" s="23">
        <f>AB423/'Batt IN'!$E$27/730</f>
        <v>2.0547945205479451E-4</v>
      </c>
      <c r="M423" s="23">
        <f>AC423/'Batt IN'!$E$27/730</f>
        <v>4.7945205479452057E-3</v>
      </c>
      <c r="N423" s="23">
        <f>AD423/'Batt IN'!$E$27/730</f>
        <v>3.4246575342465752E-3</v>
      </c>
      <c r="O423" s="12">
        <f t="shared" si="102"/>
        <v>4.3828767123287697E-2</v>
      </c>
      <c r="P423" s="21">
        <f t="shared" si="103"/>
        <v>811.78937671232882</v>
      </c>
      <c r="Q423" s="2">
        <f>IF('Batt IN'!$E$27*'Batt IN'!$E$24&lt;='Batt IN'!$E$28,(('Batt IN'!$E$23*'Batt IN'!$E$27*'Batt IN'!$E$24)/1000)*P423,(('Batt IN'!$E$23*'Batt IN'!$E$28*'Batt IN'!$E$24)/1000)*P423)</f>
        <v>12988.630027397261</v>
      </c>
      <c r="R423" s="2"/>
      <c r="S423" s="77">
        <f>IF(C423&lt;='Batt IN'!$G$14*12,'Batt IN'!$E$15/12,0)</f>
        <v>0</v>
      </c>
      <c r="T423" s="77"/>
      <c r="U423" s="80">
        <f>'Batt IN'!$E$28*('Batt IN'!$G$24/24)*730*(1-O423)</f>
        <v>81433.916666666657</v>
      </c>
      <c r="V423" s="78">
        <f>U423*'Batt IN'!$F$30</f>
        <v>16286.783333333333</v>
      </c>
      <c r="W423" s="78">
        <f>'Batt IN'!$E$28*'Batt IN'!$G$32*('Batt IN'!$E$32/12)*(1+'Batt IN'!$F$30)</f>
        <v>1750.0000000000002</v>
      </c>
      <c r="X423" s="78">
        <f>'Batt IN'!$E$28*'Batt IN'!$G$13*('Batt IN'!$E$13/12)*(1+'Batt IN'!$F$30)</f>
        <v>3184.9999999999995</v>
      </c>
      <c r="Y423" s="33">
        <f>S423*'Batt IN'!$G$15*'Batt IN'!$E$28*(1+'Batt IN'!$F$30)</f>
        <v>0</v>
      </c>
      <c r="Z423" s="33">
        <f>'Batt IN'!$G$16*365/12*(1+'Batt IN'!$F$30)</f>
        <v>1824.9999999999998</v>
      </c>
      <c r="AA423" s="33">
        <f>'Batt IN'!$G$17*'Batt IN'!$E$18*'Batt IN'!$G$18/12*(1+'Batt IN'!$F$30)</f>
        <v>1170</v>
      </c>
      <c r="AB423" s="33">
        <f>'Batt IN'!$G$19*'Batt IN'!$E$20*'Batt IN'!$G$20/12*(1+'Batt IN'!$F$30)</f>
        <v>150</v>
      </c>
      <c r="AC423" s="33">
        <f>'Batt IN'!$G$21*(1+'Batt IN'!$F$30)/12</f>
        <v>3500</v>
      </c>
      <c r="AD423" s="33">
        <f>'Batt IN'!$G$22*(1+'Batt IN'!$F$30)/12</f>
        <v>2500</v>
      </c>
      <c r="AE423" s="33">
        <f t="shared" si="104"/>
        <v>30366.783333333333</v>
      </c>
      <c r="AF423" s="33">
        <f>IF('PV IN'!$F$4="Battery Only",0,AE423*'Batt IN'!$E$29)</f>
        <v>25811.765833333331</v>
      </c>
      <c r="AG423" s="33">
        <f>PVCalcs!L423</f>
        <v>25811.765833333331</v>
      </c>
      <c r="AH423" s="33">
        <f t="shared" si="105"/>
        <v>4555.0175000000017</v>
      </c>
      <c r="AI423" s="33"/>
      <c r="AJ423" s="2">
        <f>IF(AND('Batt IN'!$D$53="Yes",$AL$1&gt;=1),IF($C423='Batt IN'!$H$54*12,-'Batt IN'!$F$54,0),0)</f>
        <v>0</v>
      </c>
      <c r="AK423" s="2">
        <f>IF(AND('Batt IN'!$D$53="Yes",$AL$1&gt;=2),IF($C423='Batt IN'!$H$55*12,-'Batt IN'!$F$55,0),0)</f>
        <v>0</v>
      </c>
      <c r="AL423" s="2">
        <f>IF(AND('Batt IN'!$D$53="Yes",$AL$1&gt;=3),IF($C423='Batt IN'!$H$56*12,-'Batt IN'!$F$56,0),0)</f>
        <v>0</v>
      </c>
      <c r="AM423" s="2">
        <f>IF(AND('Batt IN'!$D$53="Yes",$AL$1&gt;=4),IF($C423='Batt IN'!$H$57*12,-'Batt IN'!$F$57,0),0)</f>
        <v>0</v>
      </c>
      <c r="AN423" s="2">
        <f>IF(AND('Batt IN'!$D$53="Yes",$AL$1&gt;=5),IF($C423='Batt IN'!$H$58*12,-'Batt IN'!$F$58,0),0)</f>
        <v>0</v>
      </c>
      <c r="AO423" s="10">
        <f>IF(AND('Batt IN'!$D$44="YES",$C423&lt;='Batt IN'!$E$44*12),-'Batt IN'!$E$28*'Batt IN'!$E$42/12,0)</f>
        <v>0</v>
      </c>
      <c r="AP423" s="10">
        <f>IF(AND('Batt IN'!$D$46="YES",$C423&lt;='Batt IN'!$E$46*12),-'Batt IN'!$E$28*'Batt IN'!$E$45/12,0)</f>
        <v>0</v>
      </c>
      <c r="AR423" s="10">
        <f>BattLoan!M450</f>
        <v>0</v>
      </c>
      <c r="AS423" s="10">
        <f>'Batt IN'!$G$16*365/12*'Batt IN'!$E$16</f>
        <v>76.041666666666671</v>
      </c>
      <c r="AT423" s="10">
        <f>IF(AND('Batt IN'!$E$18&gt;0,'Batt IN'!$G$18&gt;0),'Batt IN'!$E$17*'Batt IN'!$G$17,0)</f>
        <v>119.44619999999999</v>
      </c>
      <c r="AU423" s="10">
        <f>IF(AND('Batt IN'!$E$20&gt;0,'Batt IN'!$G$20&gt;0),'Batt IN'!$E$19*'Batt IN'!$G$19,0)</f>
        <v>231</v>
      </c>
      <c r="AV423" s="10"/>
      <c r="AW423" s="10"/>
      <c r="AX423" s="10">
        <f>IF('Batt IN'!$E$11="Non-Taxable",Q423,0)</f>
        <v>12988.630027397261</v>
      </c>
      <c r="AY423" s="10">
        <f>IF('Batt IN'!$E$11="Non-Taxable",'Batt IN'!$E$28/1000*'Batt IN'!$G$13*('Batt IN'!$E$13/12)*'Batt IN'!$E$12,0)</f>
        <v>244.42220833333334</v>
      </c>
      <c r="AZ423" s="10">
        <f>IF('Batt IN'!$E$11="Non-Taxable",$S423*'Batt IN'!$G$15*'Batt IN'!$E$28*'Batt IN'!$E$14/1000,0)</f>
        <v>0</v>
      </c>
      <c r="BA423" s="10">
        <f>IF('Batt IN'!$E$11="Non-Taxable",'Batt IN'!$E$21*'Batt IN'!$G$21/12,0)</f>
        <v>437.5</v>
      </c>
      <c r="BB423" s="10">
        <f>IF('Batt IN'!$E$11="Non-Taxable",'Batt IN'!$E$22*'Batt IN'!$G$22/12,0)</f>
        <v>1145.8333333333335</v>
      </c>
      <c r="BC423" s="10">
        <f>IF('Batt IN'!$E$11="Taxable",Q423,0)</f>
        <v>0</v>
      </c>
      <c r="BD423" s="10">
        <f>IF('Batt IN'!$E$11="Taxable",'Batt IN'!$E$28/1000*'Batt IN'!$G$13*('Batt IN'!$E$13/12)*'Batt IN'!$E$12,0)</f>
        <v>0</v>
      </c>
      <c r="BE423" s="10">
        <f>IF('Batt IN'!$E$11="Taxable",$S423*'Batt IN'!$G$15*'Batt IN'!$E$28*'Batt IN'!$E$14/1000,0)</f>
        <v>0</v>
      </c>
      <c r="BF423" s="10">
        <f>IF('Batt IN'!$E$11="Taxable",'Batt IN'!$E$21*'Batt IN'!$G$21/12,0)</f>
        <v>0</v>
      </c>
      <c r="BG423" s="10">
        <f>IF('Batt IN'!$E$11="Taxable",'Batt IN'!$E$22*'Batt IN'!$G$22/12,0)</f>
        <v>0</v>
      </c>
      <c r="BK423" s="10">
        <f>IF('Batt IN'!$N$18="Yes",-BattLoan!H451,-BattLoan!L451)</f>
        <v>0</v>
      </c>
      <c r="BL423" s="10">
        <f>IF('Batt IN'!$N$18="Yes",-BattLoan!F451,0)</f>
        <v>0</v>
      </c>
      <c r="BM423" s="10">
        <f>IF(AND('Batt IN'!$D$44="YES",$C423&lt;='Batt IN'!$E$44*12),0,-'Batt IN'!$E$28*'Batt IN'!$E$42/12)</f>
        <v>-83.333333333333329</v>
      </c>
      <c r="BN423" s="10">
        <f>IF(AND('Batt IN'!$D$46="YES",$C423&lt;='Batt IN'!$E$46*12),0,-'Batt IN'!$E$28*'Batt IN'!$E$45/12)</f>
        <v>-166.66666666666666</v>
      </c>
      <c r="BO423" s="2">
        <f>IF(AND('Batt IN'!$D$41="YES",BattCalcs!C423=ROUNDUP('Batt IN'!$H$41*12,)),-'Batt IN'!$E$41*'Batt IN'!$E$28,0)</f>
        <v>0</v>
      </c>
      <c r="BP423" s="2">
        <f>IF(AND('Batt IN'!$D$53="Yes",$AL$1&gt;=1),0,IF($C423='Batt IN'!$H$54*12,-'Batt IN'!$F$54,0))</f>
        <v>0</v>
      </c>
      <c r="BQ423" s="2">
        <f>IF(AND('Batt IN'!$D$53="Yes",$AL$1&gt;=2),0,IF($C423='Batt IN'!$H$55*12,-'Batt IN'!$F$55,0))</f>
        <v>0</v>
      </c>
      <c r="BR423" s="2">
        <f>IF(AND('Batt IN'!$D$53="Yes",$AL$1&gt;=3),0,IF($C423='Batt IN'!$H$56*12,-'Batt IN'!$F$56,0))</f>
        <v>0</v>
      </c>
      <c r="BS423" s="2">
        <f>IF(AND('Batt IN'!$D$53="Yes",$AL$1&gt;=4),0,IF($C423='Batt IN'!$H$57*12,-'Batt IN'!$F$57,0))</f>
        <v>0</v>
      </c>
      <c r="BT423" s="2">
        <f>IF(AND('Batt IN'!$D$53="Yes",$AL$1&gt;=5),0,IF($C423='Batt IN'!$H$58*12,-'Batt IN'!$F$58,0))</f>
        <v>0</v>
      </c>
      <c r="BU423" s="2">
        <f>-AH423*PVCalcs!F423</f>
        <v>-359.37504381576838</v>
      </c>
      <c r="BV423" s="2">
        <f>-'Batt IN'!$E$47</f>
        <v>-150</v>
      </c>
      <c r="BW423" s="2">
        <f>-'Batt IN'!$E$49</f>
        <v>-2250</v>
      </c>
      <c r="BX423" s="2">
        <f>IF('Batt IN'!$H$50="No",-(BC423*'Batt IN'!$E$50),-(BC423+BE423)*'Batt IN'!$E$50)</f>
        <v>0</v>
      </c>
      <c r="BY423" s="2">
        <f>IF(C423='Batt IN'!$H$43*12,-'Batt IN'!$E$43,0)</f>
        <v>0</v>
      </c>
      <c r="BZ423" s="38"/>
      <c r="CA423" s="10">
        <f t="shared" si="106"/>
        <v>15242.873435730595</v>
      </c>
      <c r="CB423" s="2">
        <f t="shared" si="111"/>
        <v>-3009.3750438157685</v>
      </c>
      <c r="CC423" s="45">
        <f t="shared" si="107"/>
        <v>12233.498391914825</v>
      </c>
      <c r="CD423" s="43"/>
      <c r="CE423" s="2">
        <f t="shared" si="108"/>
        <v>0</v>
      </c>
      <c r="CF423" s="2">
        <f t="shared" si="112"/>
        <v>-3009.3750438157685</v>
      </c>
      <c r="CG423" s="2"/>
      <c r="CH423" s="2">
        <f t="shared" si="109"/>
        <v>-3009.3750438157685</v>
      </c>
      <c r="CI423" s="45">
        <f>-CH423*'Batt IN'!$E$7</f>
        <v>631.9687592013114</v>
      </c>
      <c r="CJ423" s="48"/>
      <c r="CK423" s="45">
        <f>IF('Batt IN'!$F$4="PV Only",0,IF(C423&gt;'Batt IN'!$H$43*12,0,CC423+CI423))</f>
        <v>0</v>
      </c>
      <c r="CM423" s="10">
        <f t="shared" si="110"/>
        <v>0</v>
      </c>
      <c r="CN423" s="2">
        <f>CK423/(1+('Batt IN'!$G$8))^(C423)</f>
        <v>0</v>
      </c>
      <c r="CO423" s="2" t="e">
        <f>IF(C423&lt;='Batt IN'!$O$30*12,CN423+CO422,NA())</f>
        <v>#N/A</v>
      </c>
      <c r="CQ423" s="2">
        <f>CK423/((1+('Batt IN'!$E$8/12))^BattCalcs!C423)</f>
        <v>0</v>
      </c>
      <c r="CS423" s="10">
        <f t="shared" si="113"/>
        <v>-3009.3750438157685</v>
      </c>
      <c r="CT423" s="10">
        <f t="shared" si="114"/>
        <v>0</v>
      </c>
      <c r="CU423" s="10">
        <f t="shared" si="115"/>
        <v>-3009.3750438157685</v>
      </c>
      <c r="CV423" s="10">
        <f t="shared" si="116"/>
        <v>-3009.3750438157685</v>
      </c>
      <c r="CW423" s="2">
        <f t="shared" si="117"/>
        <v>0</v>
      </c>
      <c r="CX423" s="2">
        <f>-(SUM(CV423:CW423)*'PV IN'!$E$8)</f>
        <v>631.9687592013114</v>
      </c>
      <c r="CY423" s="2">
        <f t="shared" si="118"/>
        <v>-2377.406284614457</v>
      </c>
      <c r="CZ423" s="2">
        <f>IF(C423&lt;='Batt IN'!$H$43*12,CY423/(1+('PV IN'!$G$9))^(C423),0)</f>
        <v>0</v>
      </c>
      <c r="DA423" s="33">
        <f>IF(C423&lt;='Batt IN'!$H$43*12,AE423,0)</f>
        <v>0</v>
      </c>
    </row>
    <row r="424" spans="1:105" x14ac:dyDescent="0.25">
      <c r="A424" t="str">
        <f>IF(C424&lt;='Batt IN'!$H$43*12,C424,"")</f>
        <v/>
      </c>
      <c r="B424">
        <v>35</v>
      </c>
      <c r="C424">
        <v>420</v>
      </c>
      <c r="D424" s="21">
        <v>850</v>
      </c>
      <c r="E424" s="1">
        <f>1-'Batt IN'!$E$31</f>
        <v>2.0000000000000018E-2</v>
      </c>
      <c r="F424" s="12">
        <f>('Batt IN'!$E$33*365)/8760</f>
        <v>0</v>
      </c>
      <c r="G424" s="22">
        <f>'Batt IN'!$E$32/8760</f>
        <v>5.7077625570776253E-3</v>
      </c>
      <c r="H424" s="22">
        <f>'Batt IN'!$E$13/8760</f>
        <v>5.5936073059360729E-3</v>
      </c>
      <c r="I424" s="23">
        <f>IF(C424&lt;='Batt IN'!$G$14*12,'Batt IN'!$E$15/8760*'Batt IN'!$G$15,0)</f>
        <v>0</v>
      </c>
      <c r="J424" s="12">
        <f>Z424/'Batt IN'!$E$27/730</f>
        <v>2.4999999999999996E-3</v>
      </c>
      <c r="K424" s="23">
        <f>AA424/'Batt IN'!$E$27/730</f>
        <v>1.6027397260273972E-3</v>
      </c>
      <c r="L424" s="23">
        <f>AB424/'Batt IN'!$E$27/730</f>
        <v>2.0547945205479451E-4</v>
      </c>
      <c r="M424" s="23">
        <f>AC424/'Batt IN'!$E$27/730</f>
        <v>4.7945205479452057E-3</v>
      </c>
      <c r="N424" s="23">
        <f>AD424/'Batt IN'!$E$27/730</f>
        <v>3.4246575342465752E-3</v>
      </c>
      <c r="O424" s="12">
        <f t="shared" si="102"/>
        <v>4.3828767123287697E-2</v>
      </c>
      <c r="P424" s="21">
        <f t="shared" si="103"/>
        <v>812.74554794520554</v>
      </c>
      <c r="Q424" s="2">
        <f>IF('Batt IN'!$E$27*'Batt IN'!$E$24&lt;='Batt IN'!$E$28,(('Batt IN'!$E$23*'Batt IN'!$E$27*'Batt IN'!$E$24)/1000)*P424,(('Batt IN'!$E$23*'Batt IN'!$E$28*'Batt IN'!$E$24)/1000)*P424)</f>
        <v>13003.928767123289</v>
      </c>
      <c r="R424" s="2"/>
      <c r="S424" s="77">
        <f>IF(C424&lt;='Batt IN'!$G$14*12,'Batt IN'!$E$15/12,0)</f>
        <v>0</v>
      </c>
      <c r="T424" s="77"/>
      <c r="U424" s="80">
        <f>'Batt IN'!$E$28*('Batt IN'!$G$24/24)*730*(1-O424)</f>
        <v>81433.916666666657</v>
      </c>
      <c r="V424" s="78">
        <f>U424*'Batt IN'!$F$30</f>
        <v>16286.783333333333</v>
      </c>
      <c r="W424" s="78">
        <f>'Batt IN'!$E$28*'Batt IN'!$G$32*('Batt IN'!$E$32/12)*(1+'Batt IN'!$F$30)</f>
        <v>1750.0000000000002</v>
      </c>
      <c r="X424" s="78">
        <f>'Batt IN'!$E$28*'Batt IN'!$G$13*('Batt IN'!$E$13/12)*(1+'Batt IN'!$F$30)</f>
        <v>3184.9999999999995</v>
      </c>
      <c r="Y424" s="33">
        <f>S424*'Batt IN'!$G$15*'Batt IN'!$E$28*(1+'Batt IN'!$F$30)</f>
        <v>0</v>
      </c>
      <c r="Z424" s="33">
        <f>'Batt IN'!$G$16*365/12*(1+'Batt IN'!$F$30)</f>
        <v>1824.9999999999998</v>
      </c>
      <c r="AA424" s="33">
        <f>'Batt IN'!$G$17*'Batt IN'!$E$18*'Batt IN'!$G$18/12*(1+'Batt IN'!$F$30)</f>
        <v>1170</v>
      </c>
      <c r="AB424" s="33">
        <f>'Batt IN'!$G$19*'Batt IN'!$E$20*'Batt IN'!$G$20/12*(1+'Batt IN'!$F$30)</f>
        <v>150</v>
      </c>
      <c r="AC424" s="33">
        <f>'Batt IN'!$G$21*(1+'Batt IN'!$F$30)/12</f>
        <v>3500</v>
      </c>
      <c r="AD424" s="33">
        <f>'Batt IN'!$G$22*(1+'Batt IN'!$F$30)/12</f>
        <v>2500</v>
      </c>
      <c r="AE424" s="33">
        <f t="shared" si="104"/>
        <v>30366.783333333333</v>
      </c>
      <c r="AF424" s="33">
        <f>IF('PV IN'!$F$4="Battery Only",0,AE424*'Batt IN'!$E$29)</f>
        <v>25811.765833333331</v>
      </c>
      <c r="AG424" s="33">
        <f>PVCalcs!L424</f>
        <v>25811.765833333331</v>
      </c>
      <c r="AH424" s="33">
        <f t="shared" si="105"/>
        <v>4555.0175000000017</v>
      </c>
      <c r="AI424" s="33"/>
      <c r="AJ424" s="2">
        <f>IF(AND('Batt IN'!$D$53="Yes",$AL$1&gt;=1),IF($C424='Batt IN'!$H$54*12,-'Batt IN'!$F$54,0),0)</f>
        <v>0</v>
      </c>
      <c r="AK424" s="2">
        <f>IF(AND('Batt IN'!$D$53="Yes",$AL$1&gt;=2),IF($C424='Batt IN'!$H$55*12,-'Batt IN'!$F$55,0),0)</f>
        <v>0</v>
      </c>
      <c r="AL424" s="2">
        <f>IF(AND('Batt IN'!$D$53="Yes",$AL$1&gt;=3),IF($C424='Batt IN'!$H$56*12,-'Batt IN'!$F$56,0),0)</f>
        <v>0</v>
      </c>
      <c r="AM424" s="2">
        <f>IF(AND('Batt IN'!$D$53="Yes",$AL$1&gt;=4),IF($C424='Batt IN'!$H$57*12,-'Batt IN'!$F$57,0),0)</f>
        <v>0</v>
      </c>
      <c r="AN424" s="2">
        <f>IF(AND('Batt IN'!$D$53="Yes",$AL$1&gt;=5),IF($C424='Batt IN'!$H$58*12,-'Batt IN'!$F$58,0),0)</f>
        <v>0</v>
      </c>
      <c r="AO424" s="10">
        <f>IF(AND('Batt IN'!$D$44="YES",$C424&lt;='Batt IN'!$E$44*12),-'Batt IN'!$E$28*'Batt IN'!$E$42/12,0)</f>
        <v>0</v>
      </c>
      <c r="AP424" s="10">
        <f>IF(AND('Batt IN'!$D$46="YES",$C424&lt;='Batt IN'!$E$46*12),-'Batt IN'!$E$28*'Batt IN'!$E$45/12,0)</f>
        <v>0</v>
      </c>
      <c r="AR424" s="10">
        <f>BattLoan!M451</f>
        <v>0</v>
      </c>
      <c r="AS424" s="10">
        <f>'Batt IN'!$G$16*365/12*'Batt IN'!$E$16</f>
        <v>76.041666666666671</v>
      </c>
      <c r="AT424" s="10">
        <f>IF(AND('Batt IN'!$E$18&gt;0,'Batt IN'!$G$18&gt;0),'Batt IN'!$E$17*'Batt IN'!$G$17,0)</f>
        <v>119.44619999999999</v>
      </c>
      <c r="AU424" s="10">
        <f>IF(AND('Batt IN'!$E$20&gt;0,'Batt IN'!$G$20&gt;0),'Batt IN'!$E$19*'Batt IN'!$G$19,0)</f>
        <v>231</v>
      </c>
      <c r="AV424" s="10"/>
      <c r="AW424" s="10"/>
      <c r="AX424" s="10">
        <f>IF('Batt IN'!$E$11="Non-Taxable",Q424,0)</f>
        <v>13003.928767123289</v>
      </c>
      <c r="AY424" s="10">
        <f>IF('Batt IN'!$E$11="Non-Taxable",'Batt IN'!$E$28/1000*'Batt IN'!$G$13*('Batt IN'!$E$13/12)*'Batt IN'!$E$12,0)</f>
        <v>244.42220833333334</v>
      </c>
      <c r="AZ424" s="10">
        <f>IF('Batt IN'!$E$11="Non-Taxable",$S424*'Batt IN'!$G$15*'Batt IN'!$E$28*'Batt IN'!$E$14/1000,0)</f>
        <v>0</v>
      </c>
      <c r="BA424" s="10">
        <f>IF('Batt IN'!$E$11="Non-Taxable",'Batt IN'!$E$21*'Batt IN'!$G$21/12,0)</f>
        <v>437.5</v>
      </c>
      <c r="BB424" s="10">
        <f>IF('Batt IN'!$E$11="Non-Taxable",'Batt IN'!$E$22*'Batt IN'!$G$22/12,0)</f>
        <v>1145.8333333333335</v>
      </c>
      <c r="BC424" s="10">
        <f>IF('Batt IN'!$E$11="Taxable",Q424,0)</f>
        <v>0</v>
      </c>
      <c r="BD424" s="10">
        <f>IF('Batt IN'!$E$11="Taxable",'Batt IN'!$E$28/1000*'Batt IN'!$G$13*('Batt IN'!$E$13/12)*'Batt IN'!$E$12,0)</f>
        <v>0</v>
      </c>
      <c r="BE424" s="10">
        <f>IF('Batt IN'!$E$11="Taxable",$S424*'Batt IN'!$G$15*'Batt IN'!$E$28*'Batt IN'!$E$14/1000,0)</f>
        <v>0</v>
      </c>
      <c r="BF424" s="10">
        <f>IF('Batt IN'!$E$11="Taxable",'Batt IN'!$E$21*'Batt IN'!$G$21/12,0)</f>
        <v>0</v>
      </c>
      <c r="BG424" s="10">
        <f>IF('Batt IN'!$E$11="Taxable",'Batt IN'!$E$22*'Batt IN'!$G$22/12,0)</f>
        <v>0</v>
      </c>
      <c r="BK424" s="10">
        <f>IF('Batt IN'!$N$18="Yes",-BattLoan!H452,-BattLoan!L452)</f>
        <v>0</v>
      </c>
      <c r="BL424" s="10">
        <f>IF('Batt IN'!$N$18="Yes",-BattLoan!F452,0)</f>
        <v>0</v>
      </c>
      <c r="BM424" s="10">
        <f>IF(AND('Batt IN'!$D$44="YES",$C424&lt;='Batt IN'!$E$44*12),0,-'Batt IN'!$E$28*'Batt IN'!$E$42/12)</f>
        <v>-83.333333333333329</v>
      </c>
      <c r="BN424" s="10">
        <f>IF(AND('Batt IN'!$D$46="YES",$C424&lt;='Batt IN'!$E$46*12),0,-'Batt IN'!$E$28*'Batt IN'!$E$45/12)</f>
        <v>-166.66666666666666</v>
      </c>
      <c r="BO424" s="2">
        <f>IF(AND('Batt IN'!$D$41="YES",BattCalcs!C424=ROUNDUP('Batt IN'!$H$41*12,)),-'Batt IN'!$E$41*'Batt IN'!$E$28,0)</f>
        <v>0</v>
      </c>
      <c r="BP424" s="2">
        <f>IF(AND('Batt IN'!$D$53="Yes",$AL$1&gt;=1),0,IF($C424='Batt IN'!$H$54*12,-'Batt IN'!$F$54,0))</f>
        <v>0</v>
      </c>
      <c r="BQ424" s="2">
        <f>IF(AND('Batt IN'!$D$53="Yes",$AL$1&gt;=2),0,IF($C424='Batt IN'!$H$55*12,-'Batt IN'!$F$55,0))</f>
        <v>0</v>
      </c>
      <c r="BR424" s="2">
        <f>IF(AND('Batt IN'!$D$53="Yes",$AL$1&gt;=3),0,IF($C424='Batt IN'!$H$56*12,-'Batt IN'!$F$56,0))</f>
        <v>0</v>
      </c>
      <c r="BS424" s="2">
        <f>IF(AND('Batt IN'!$D$53="Yes",$AL$1&gt;=4),0,IF($C424='Batt IN'!$H$57*12,-'Batt IN'!$F$57,0))</f>
        <v>0</v>
      </c>
      <c r="BT424" s="2">
        <f>IF(AND('Batt IN'!$D$53="Yes",$AL$1&gt;=5),0,IF($C424='Batt IN'!$H$58*12,-'Batt IN'!$F$58,0))</f>
        <v>0</v>
      </c>
      <c r="BU424" s="2">
        <f>-AH424*PVCalcs!F424</f>
        <v>-359.37504381576838</v>
      </c>
      <c r="BV424" s="2">
        <f>-'Batt IN'!$E$47</f>
        <v>-150</v>
      </c>
      <c r="BW424" s="2">
        <f>-'Batt IN'!$E$49</f>
        <v>-2250</v>
      </c>
      <c r="BX424" s="2">
        <f>IF('Batt IN'!$H$50="No",-(BC424*'Batt IN'!$E$50),-(BC424+BE424)*'Batt IN'!$E$50)</f>
        <v>0</v>
      </c>
      <c r="BY424" s="2">
        <f>IF(C424='Batt IN'!$H$43*12,-'Batt IN'!$E$43,0)</f>
        <v>0</v>
      </c>
      <c r="BZ424" s="38"/>
      <c r="CA424" s="10">
        <f t="shared" si="106"/>
        <v>15258.172175456622</v>
      </c>
      <c r="CB424" s="2">
        <f t="shared" si="111"/>
        <v>-3009.3750438157685</v>
      </c>
      <c r="CC424" s="45">
        <f t="shared" si="107"/>
        <v>12248.797131640855</v>
      </c>
      <c r="CD424" s="43"/>
      <c r="CE424" s="2">
        <f t="shared" si="108"/>
        <v>0</v>
      </c>
      <c r="CF424" s="2">
        <f t="shared" si="112"/>
        <v>-3009.3750438157685</v>
      </c>
      <c r="CG424" s="2"/>
      <c r="CH424" s="2">
        <f t="shared" si="109"/>
        <v>-3009.3750438157685</v>
      </c>
      <c r="CI424" s="45">
        <f>-CH424*'Batt IN'!$E$7</f>
        <v>631.9687592013114</v>
      </c>
      <c r="CJ424" s="48"/>
      <c r="CK424" s="45">
        <f>IF('Batt IN'!$F$4="PV Only",0,IF(C424&gt;'Batt IN'!$H$43*12,0,CC424+CI424))</f>
        <v>0</v>
      </c>
      <c r="CM424" s="10">
        <f t="shared" si="110"/>
        <v>0</v>
      </c>
      <c r="CN424" s="2">
        <f>CK424/(1+('Batt IN'!$G$8))^(C424)</f>
        <v>0</v>
      </c>
      <c r="CO424" s="2" t="e">
        <f>IF(C424&lt;='Batt IN'!$O$30*12,CN424+CO423,NA())</f>
        <v>#N/A</v>
      </c>
      <c r="CQ424" s="2">
        <f>CK424/((1+('Batt IN'!$E$8/12))^BattCalcs!C424)</f>
        <v>0</v>
      </c>
      <c r="CS424" s="10">
        <f t="shared" si="113"/>
        <v>-3009.3750438157685</v>
      </c>
      <c r="CT424" s="10">
        <f t="shared" si="114"/>
        <v>0</v>
      </c>
      <c r="CU424" s="10">
        <f t="shared" si="115"/>
        <v>-3009.3750438157685</v>
      </c>
      <c r="CV424" s="10">
        <f t="shared" si="116"/>
        <v>-3009.3750438157685</v>
      </c>
      <c r="CW424" s="2">
        <f t="shared" si="117"/>
        <v>0</v>
      </c>
      <c r="CX424" s="2">
        <f>-(SUM(CV424:CW424)*'PV IN'!$E$8)</f>
        <v>631.9687592013114</v>
      </c>
      <c r="CY424" s="2">
        <f t="shared" si="118"/>
        <v>-2377.406284614457</v>
      </c>
      <c r="CZ424" s="2">
        <f>IF(C424&lt;='Batt IN'!$H$43*12,CY424/(1+('PV IN'!$G$9))^(C424),0)</f>
        <v>0</v>
      </c>
      <c r="DA424" s="33">
        <f>IF(C424&lt;='Batt IN'!$H$43*12,AE424,0)</f>
        <v>0</v>
      </c>
    </row>
    <row r="425" spans="1:105" x14ac:dyDescent="0.25">
      <c r="A425" t="str">
        <f>IF(C425&lt;='Batt IN'!$H$43*12,C425,"")</f>
        <v/>
      </c>
      <c r="C425">
        <v>421</v>
      </c>
      <c r="D425" s="21">
        <v>851</v>
      </c>
      <c r="E425" s="1">
        <f>1-'Batt IN'!$E$31</f>
        <v>2.0000000000000018E-2</v>
      </c>
      <c r="F425" s="12">
        <f>('Batt IN'!$E$33*365)/8760</f>
        <v>0</v>
      </c>
      <c r="G425" s="22">
        <f>'Batt IN'!$E$32/8760</f>
        <v>5.7077625570776253E-3</v>
      </c>
      <c r="H425" s="22">
        <f>'Batt IN'!$E$13/8760</f>
        <v>5.5936073059360729E-3</v>
      </c>
      <c r="I425" s="23">
        <f>IF(C425&lt;='Batt IN'!$G$14*12,'Batt IN'!$E$15/8760*'Batt IN'!$G$15,0)</f>
        <v>0</v>
      </c>
      <c r="J425" s="12">
        <f>Z425/'Batt IN'!$E$27/730</f>
        <v>2.4999999999999996E-3</v>
      </c>
      <c r="K425" s="23">
        <f>AA425/'Batt IN'!$E$27/730</f>
        <v>1.6027397260273972E-3</v>
      </c>
      <c r="L425" s="23">
        <f>AB425/'Batt IN'!$E$27/730</f>
        <v>2.0547945205479451E-4</v>
      </c>
      <c r="M425" s="23">
        <f>AC425/'Batt IN'!$E$27/730</f>
        <v>4.7945205479452057E-3</v>
      </c>
      <c r="N425" s="23">
        <f>AD425/'Batt IN'!$E$27/730</f>
        <v>3.4246575342465752E-3</v>
      </c>
      <c r="O425" s="12">
        <f t="shared" si="102"/>
        <v>4.3828767123287697E-2</v>
      </c>
      <c r="P425" s="21">
        <f t="shared" si="103"/>
        <v>813.70171917808216</v>
      </c>
      <c r="Q425" s="2">
        <f>IF('Batt IN'!$E$27*'Batt IN'!$E$24&lt;='Batt IN'!$E$28,(('Batt IN'!$E$23*'Batt IN'!$E$27*'Batt IN'!$E$24)/1000)*P425,(('Batt IN'!$E$23*'Batt IN'!$E$28*'Batt IN'!$E$24)/1000)*P425)</f>
        <v>13019.227506849315</v>
      </c>
      <c r="R425" s="2"/>
      <c r="S425" s="77">
        <f>IF(C425&lt;='Batt IN'!$G$14*12,'Batt IN'!$E$15/12,0)</f>
        <v>0</v>
      </c>
      <c r="T425" s="77"/>
      <c r="U425" s="80">
        <f>'Batt IN'!$E$28*('Batt IN'!$G$24/24)*730*(1-O425)</f>
        <v>81433.916666666657</v>
      </c>
      <c r="V425" s="78">
        <f>U425*'Batt IN'!$F$30</f>
        <v>16286.783333333333</v>
      </c>
      <c r="W425" s="78">
        <f>'Batt IN'!$E$28*'Batt IN'!$G$32*('Batt IN'!$E$32/12)*(1+'Batt IN'!$F$30)</f>
        <v>1750.0000000000002</v>
      </c>
      <c r="X425" s="78">
        <f>'Batt IN'!$E$28*'Batt IN'!$G$13*('Batt IN'!$E$13/12)*(1+'Batt IN'!$F$30)</f>
        <v>3184.9999999999995</v>
      </c>
      <c r="Y425" s="33">
        <f>S425*'Batt IN'!$G$15*'Batt IN'!$E$28*(1+'Batt IN'!$F$30)</f>
        <v>0</v>
      </c>
      <c r="Z425" s="33">
        <f>'Batt IN'!$G$16*365/12*(1+'Batt IN'!$F$30)</f>
        <v>1824.9999999999998</v>
      </c>
      <c r="AA425" s="33">
        <f>'Batt IN'!$G$17*'Batt IN'!$E$18*'Batt IN'!$G$18/12*(1+'Batt IN'!$F$30)</f>
        <v>1170</v>
      </c>
      <c r="AB425" s="33">
        <f>'Batt IN'!$G$19*'Batt IN'!$E$20*'Batt IN'!$G$20/12*(1+'Batt IN'!$F$30)</f>
        <v>150</v>
      </c>
      <c r="AC425" s="33">
        <f>'Batt IN'!$G$21*(1+'Batt IN'!$F$30)/12</f>
        <v>3500</v>
      </c>
      <c r="AD425" s="33">
        <f>'Batt IN'!$G$22*(1+'Batt IN'!$F$30)/12</f>
        <v>2500</v>
      </c>
      <c r="AE425" s="33">
        <f t="shared" si="104"/>
        <v>30366.783333333333</v>
      </c>
      <c r="AF425" s="33">
        <f>IF('PV IN'!$F$4="Battery Only",0,AE425*'Batt IN'!$E$29)</f>
        <v>25811.765833333331</v>
      </c>
      <c r="AG425" s="33">
        <f>PVCalcs!L425</f>
        <v>25811.765833333331</v>
      </c>
      <c r="AH425" s="33">
        <f t="shared" si="105"/>
        <v>4555.0175000000017</v>
      </c>
      <c r="AI425" s="33"/>
      <c r="AJ425" s="2">
        <f>IF(AND('Batt IN'!$D$53="Yes",$AL$1&gt;=1),IF($C425='Batt IN'!$H$54*12,-'Batt IN'!$F$54,0),0)</f>
        <v>0</v>
      </c>
      <c r="AK425" s="2">
        <f>IF(AND('Batt IN'!$D$53="Yes",$AL$1&gt;=2),IF($C425='Batt IN'!$H$55*12,-'Batt IN'!$F$55,0),0)</f>
        <v>0</v>
      </c>
      <c r="AL425" s="2">
        <f>IF(AND('Batt IN'!$D$53="Yes",$AL$1&gt;=3),IF($C425='Batt IN'!$H$56*12,-'Batt IN'!$F$56,0),0)</f>
        <v>0</v>
      </c>
      <c r="AM425" s="2">
        <f>IF(AND('Batt IN'!$D$53="Yes",$AL$1&gt;=4),IF($C425='Batt IN'!$H$57*12,-'Batt IN'!$F$57,0),0)</f>
        <v>0</v>
      </c>
      <c r="AN425" s="2">
        <f>IF(AND('Batt IN'!$D$53="Yes",$AL$1&gt;=5),IF($C425='Batt IN'!$H$58*12,-'Batt IN'!$F$58,0),0)</f>
        <v>0</v>
      </c>
      <c r="AO425" s="10">
        <f>IF(AND('Batt IN'!$D$44="YES",$C425&lt;='Batt IN'!$E$44*12),-'Batt IN'!$E$28*'Batt IN'!$E$42/12,0)</f>
        <v>0</v>
      </c>
      <c r="AP425" s="10">
        <f>IF(AND('Batt IN'!$D$46="YES",$C425&lt;='Batt IN'!$E$46*12),-'Batt IN'!$E$28*'Batt IN'!$E$45/12,0)</f>
        <v>0</v>
      </c>
      <c r="AR425" s="10">
        <f>BattLoan!M452</f>
        <v>0</v>
      </c>
      <c r="AS425" s="10">
        <f>'Batt IN'!$G$16*365/12*'Batt IN'!$E$16</f>
        <v>76.041666666666671</v>
      </c>
      <c r="AT425" s="10">
        <f>IF(AND('Batt IN'!$E$18&gt;0,'Batt IN'!$G$18&gt;0),'Batt IN'!$E$17*'Batt IN'!$G$17,0)</f>
        <v>119.44619999999999</v>
      </c>
      <c r="AU425" s="10">
        <f>IF(AND('Batt IN'!$E$20&gt;0,'Batt IN'!$G$20&gt;0),'Batt IN'!$E$19*'Batt IN'!$G$19,0)</f>
        <v>231</v>
      </c>
      <c r="AV425" s="10"/>
      <c r="AW425" s="10"/>
      <c r="AX425" s="10">
        <f>IF('Batt IN'!$E$11="Non-Taxable",Q425,0)</f>
        <v>13019.227506849315</v>
      </c>
      <c r="AY425" s="10">
        <f>IF('Batt IN'!$E$11="Non-Taxable",'Batt IN'!$E$28/1000*'Batt IN'!$G$13*('Batt IN'!$E$13/12)*'Batt IN'!$E$12,0)</f>
        <v>244.42220833333334</v>
      </c>
      <c r="AZ425" s="10">
        <f>IF('Batt IN'!$E$11="Non-Taxable",$S425*'Batt IN'!$G$15*'Batt IN'!$E$28*'Batt IN'!$E$14/1000,0)</f>
        <v>0</v>
      </c>
      <c r="BA425" s="10">
        <f>IF('Batt IN'!$E$11="Non-Taxable",'Batt IN'!$E$21*'Batt IN'!$G$21/12,0)</f>
        <v>437.5</v>
      </c>
      <c r="BB425" s="10">
        <f>IF('Batt IN'!$E$11="Non-Taxable",'Batt IN'!$E$22*'Batt IN'!$G$22/12,0)</f>
        <v>1145.8333333333335</v>
      </c>
      <c r="BC425" s="10">
        <f>IF('Batt IN'!$E$11="Taxable",Q425,0)</f>
        <v>0</v>
      </c>
      <c r="BD425" s="10">
        <f>IF('Batt IN'!$E$11="Taxable",'Batt IN'!$E$28/1000*'Batt IN'!$G$13*('Batt IN'!$E$13/12)*'Batt IN'!$E$12,0)</f>
        <v>0</v>
      </c>
      <c r="BE425" s="10">
        <f>IF('Batt IN'!$E$11="Taxable",$S425*'Batt IN'!$G$15*'Batt IN'!$E$28*'Batt IN'!$E$14/1000,0)</f>
        <v>0</v>
      </c>
      <c r="BF425" s="10">
        <f>IF('Batt IN'!$E$11="Taxable",'Batt IN'!$E$21*'Batt IN'!$G$21/12,0)</f>
        <v>0</v>
      </c>
      <c r="BG425" s="10">
        <f>IF('Batt IN'!$E$11="Taxable",'Batt IN'!$E$22*'Batt IN'!$G$22/12,0)</f>
        <v>0</v>
      </c>
      <c r="BK425" s="10">
        <f>IF('Batt IN'!$N$18="Yes",-BattLoan!H453,-BattLoan!L453)</f>
        <v>0</v>
      </c>
      <c r="BL425" s="10">
        <f>IF('Batt IN'!$N$18="Yes",-BattLoan!F453,0)</f>
        <v>0</v>
      </c>
      <c r="BM425" s="10">
        <f>IF(AND('Batt IN'!$D$44="YES",$C425&lt;='Batt IN'!$E$44*12),0,-'Batt IN'!$E$28*'Batt IN'!$E$42/12)</f>
        <v>-83.333333333333329</v>
      </c>
      <c r="BN425" s="10">
        <f>IF(AND('Batt IN'!$D$46="YES",$C425&lt;='Batt IN'!$E$46*12),0,-'Batt IN'!$E$28*'Batt IN'!$E$45/12)</f>
        <v>-166.66666666666666</v>
      </c>
      <c r="BO425" s="2">
        <f>IF(AND('Batt IN'!$D$41="YES",BattCalcs!C425=ROUNDUP('Batt IN'!$H$41*12,)),-'Batt IN'!$E$41*'Batt IN'!$E$28,0)</f>
        <v>0</v>
      </c>
      <c r="BP425" s="2">
        <f>IF(AND('Batt IN'!$D$53="Yes",$AL$1&gt;=1),0,IF($C425='Batt IN'!$H$54*12,-'Batt IN'!$F$54,0))</f>
        <v>0</v>
      </c>
      <c r="BQ425" s="2">
        <f>IF(AND('Batt IN'!$D$53="Yes",$AL$1&gt;=2),0,IF($C425='Batt IN'!$H$55*12,-'Batt IN'!$F$55,0))</f>
        <v>0</v>
      </c>
      <c r="BR425" s="2">
        <f>IF(AND('Batt IN'!$D$53="Yes",$AL$1&gt;=3),0,IF($C425='Batt IN'!$H$56*12,-'Batt IN'!$F$56,0))</f>
        <v>0</v>
      </c>
      <c r="BS425" s="2">
        <f>IF(AND('Batt IN'!$D$53="Yes",$AL$1&gt;=4),0,IF($C425='Batt IN'!$H$57*12,-'Batt IN'!$F$57,0))</f>
        <v>0</v>
      </c>
      <c r="BT425" s="2">
        <f>IF(AND('Batt IN'!$D$53="Yes",$AL$1&gt;=5),0,IF($C425='Batt IN'!$H$58*12,-'Batt IN'!$F$58,0))</f>
        <v>0</v>
      </c>
      <c r="BU425" s="2">
        <f>-AH425*PVCalcs!F425</f>
        <v>-359.37504381576838</v>
      </c>
      <c r="BV425" s="2">
        <f>-'Batt IN'!$E$47</f>
        <v>-150</v>
      </c>
      <c r="BW425" s="2">
        <f>-'Batt IN'!$E$49</f>
        <v>-2250</v>
      </c>
      <c r="BX425" s="2">
        <f>IF('Batt IN'!$H$50="No",-(BC425*'Batt IN'!$E$50),-(BC425+BE425)*'Batt IN'!$E$50)</f>
        <v>0</v>
      </c>
      <c r="BY425" s="2">
        <f>IF(C425='Batt IN'!$H$43*12,-'Batt IN'!$E$43,0)</f>
        <v>0</v>
      </c>
      <c r="BZ425" s="38"/>
      <c r="CA425" s="10">
        <f t="shared" si="106"/>
        <v>15273.470915182648</v>
      </c>
      <c r="CB425" s="2">
        <f t="shared" si="111"/>
        <v>-3009.3750438157685</v>
      </c>
      <c r="CC425" s="45">
        <f t="shared" si="107"/>
        <v>12264.095871366881</v>
      </c>
      <c r="CD425" s="43"/>
      <c r="CE425" s="2">
        <f t="shared" si="108"/>
        <v>0</v>
      </c>
      <c r="CF425" s="2">
        <f t="shared" si="112"/>
        <v>-3009.3750438157685</v>
      </c>
      <c r="CG425" s="2"/>
      <c r="CH425" s="2">
        <f t="shared" si="109"/>
        <v>-3009.3750438157685</v>
      </c>
      <c r="CI425" s="45">
        <f>-CH425*'Batt IN'!$E$7</f>
        <v>631.9687592013114</v>
      </c>
      <c r="CJ425" s="48"/>
      <c r="CK425" s="45">
        <f>IF('Batt IN'!$F$4="PV Only",0,IF(C425&gt;'Batt IN'!$H$43*12,0,CC425+CI425))</f>
        <v>0</v>
      </c>
      <c r="CM425" s="10">
        <f t="shared" si="110"/>
        <v>0</v>
      </c>
      <c r="CN425" s="2">
        <f>CK425/(1+('Batt IN'!$G$8))^(C425)</f>
        <v>0</v>
      </c>
      <c r="CO425" s="2" t="e">
        <f>IF(C425&lt;='Batt IN'!$O$30*12,CN425+CO424,NA())</f>
        <v>#N/A</v>
      </c>
      <c r="CQ425" s="2">
        <f>CK425/((1+('Batt IN'!$E$8/12))^BattCalcs!C425)</f>
        <v>0</v>
      </c>
      <c r="CS425" s="10">
        <f t="shared" si="113"/>
        <v>-3009.3750438157685</v>
      </c>
      <c r="CT425" s="10">
        <f t="shared" si="114"/>
        <v>0</v>
      </c>
      <c r="CU425" s="10">
        <f t="shared" si="115"/>
        <v>-3009.3750438157685</v>
      </c>
      <c r="CV425" s="10">
        <f t="shared" si="116"/>
        <v>-3009.3750438157685</v>
      </c>
      <c r="CW425" s="2">
        <f t="shared" si="117"/>
        <v>0</v>
      </c>
      <c r="CX425" s="2">
        <f>-(SUM(CV425:CW425)*'PV IN'!$E$8)</f>
        <v>631.9687592013114</v>
      </c>
      <c r="CY425" s="2">
        <f t="shared" si="118"/>
        <v>-2377.406284614457</v>
      </c>
      <c r="CZ425" s="2">
        <f>IF(C425&lt;='Batt IN'!$H$43*12,CY425/(1+('PV IN'!$G$9))^(C425),0)</f>
        <v>0</v>
      </c>
      <c r="DA425" s="33">
        <f>IF(C425&lt;='Batt IN'!$H$43*12,AE425,0)</f>
        <v>0</v>
      </c>
    </row>
    <row r="426" spans="1:105" x14ac:dyDescent="0.25">
      <c r="A426" t="str">
        <f>IF(C426&lt;='Batt IN'!$H$43*12,C426,"")</f>
        <v/>
      </c>
      <c r="C426">
        <v>422</v>
      </c>
      <c r="D426" s="21">
        <v>852</v>
      </c>
      <c r="E426" s="1">
        <f>1-'Batt IN'!$E$31</f>
        <v>2.0000000000000018E-2</v>
      </c>
      <c r="F426" s="12">
        <f>('Batt IN'!$E$33*365)/8760</f>
        <v>0</v>
      </c>
      <c r="G426" s="22">
        <f>'Batt IN'!$E$32/8760</f>
        <v>5.7077625570776253E-3</v>
      </c>
      <c r="H426" s="22">
        <f>'Batt IN'!$E$13/8760</f>
        <v>5.5936073059360729E-3</v>
      </c>
      <c r="I426" s="23">
        <f>IF(C426&lt;='Batt IN'!$G$14*12,'Batt IN'!$E$15/8760*'Batt IN'!$G$15,0)</f>
        <v>0</v>
      </c>
      <c r="J426" s="12">
        <f>Z426/'Batt IN'!$E$27/730</f>
        <v>2.4999999999999996E-3</v>
      </c>
      <c r="K426" s="23">
        <f>AA426/'Batt IN'!$E$27/730</f>
        <v>1.6027397260273972E-3</v>
      </c>
      <c r="L426" s="23">
        <f>AB426/'Batt IN'!$E$27/730</f>
        <v>2.0547945205479451E-4</v>
      </c>
      <c r="M426" s="23">
        <f>AC426/'Batt IN'!$E$27/730</f>
        <v>4.7945205479452057E-3</v>
      </c>
      <c r="N426" s="23">
        <f>AD426/'Batt IN'!$E$27/730</f>
        <v>3.4246575342465752E-3</v>
      </c>
      <c r="O426" s="12">
        <f t="shared" si="102"/>
        <v>4.3828767123287697E-2</v>
      </c>
      <c r="P426" s="21">
        <f t="shared" si="103"/>
        <v>814.65789041095888</v>
      </c>
      <c r="Q426" s="2">
        <f>IF('Batt IN'!$E$27*'Batt IN'!$E$24&lt;='Batt IN'!$E$28,(('Batt IN'!$E$23*'Batt IN'!$E$27*'Batt IN'!$E$24)/1000)*P426,(('Batt IN'!$E$23*'Batt IN'!$E$28*'Batt IN'!$E$24)/1000)*P426)</f>
        <v>13034.526246575342</v>
      </c>
      <c r="R426" s="2"/>
      <c r="S426" s="77">
        <f>IF(C426&lt;='Batt IN'!$G$14*12,'Batt IN'!$E$15/12,0)</f>
        <v>0</v>
      </c>
      <c r="T426" s="77"/>
      <c r="U426" s="80">
        <f>'Batt IN'!$E$28*('Batt IN'!$G$24/24)*730*(1-O426)</f>
        <v>81433.916666666657</v>
      </c>
      <c r="V426" s="78">
        <f>U426*'Batt IN'!$F$30</f>
        <v>16286.783333333333</v>
      </c>
      <c r="W426" s="78">
        <f>'Batt IN'!$E$28*'Batt IN'!$G$32*('Batt IN'!$E$32/12)*(1+'Batt IN'!$F$30)</f>
        <v>1750.0000000000002</v>
      </c>
      <c r="X426" s="78">
        <f>'Batt IN'!$E$28*'Batt IN'!$G$13*('Batt IN'!$E$13/12)*(1+'Batt IN'!$F$30)</f>
        <v>3184.9999999999995</v>
      </c>
      <c r="Y426" s="33">
        <f>S426*'Batt IN'!$G$15*'Batt IN'!$E$28*(1+'Batt IN'!$F$30)</f>
        <v>0</v>
      </c>
      <c r="Z426" s="33">
        <f>'Batt IN'!$G$16*365/12*(1+'Batt IN'!$F$30)</f>
        <v>1824.9999999999998</v>
      </c>
      <c r="AA426" s="33">
        <f>'Batt IN'!$G$17*'Batt IN'!$E$18*'Batt IN'!$G$18/12*(1+'Batt IN'!$F$30)</f>
        <v>1170</v>
      </c>
      <c r="AB426" s="33">
        <f>'Batt IN'!$G$19*'Batt IN'!$E$20*'Batt IN'!$G$20/12*(1+'Batt IN'!$F$30)</f>
        <v>150</v>
      </c>
      <c r="AC426" s="33">
        <f>'Batt IN'!$G$21*(1+'Batt IN'!$F$30)/12</f>
        <v>3500</v>
      </c>
      <c r="AD426" s="33">
        <f>'Batt IN'!$G$22*(1+'Batt IN'!$F$30)/12</f>
        <v>2500</v>
      </c>
      <c r="AE426" s="33">
        <f t="shared" si="104"/>
        <v>30366.783333333333</v>
      </c>
      <c r="AF426" s="33">
        <f>IF('PV IN'!$F$4="Battery Only",0,AE426*'Batt IN'!$E$29)</f>
        <v>25811.765833333331</v>
      </c>
      <c r="AG426" s="33">
        <f>PVCalcs!L426</f>
        <v>25811.765833333331</v>
      </c>
      <c r="AH426" s="33">
        <f t="shared" si="105"/>
        <v>4555.0175000000017</v>
      </c>
      <c r="AI426" s="33"/>
      <c r="AJ426" s="2">
        <f>IF(AND('Batt IN'!$D$53="Yes",$AL$1&gt;=1),IF($C426='Batt IN'!$H$54*12,-'Batt IN'!$F$54,0),0)</f>
        <v>0</v>
      </c>
      <c r="AK426" s="2">
        <f>IF(AND('Batt IN'!$D$53="Yes",$AL$1&gt;=2),IF($C426='Batt IN'!$H$55*12,-'Batt IN'!$F$55,0),0)</f>
        <v>0</v>
      </c>
      <c r="AL426" s="2">
        <f>IF(AND('Batt IN'!$D$53="Yes",$AL$1&gt;=3),IF($C426='Batt IN'!$H$56*12,-'Batt IN'!$F$56,0),0)</f>
        <v>0</v>
      </c>
      <c r="AM426" s="2">
        <f>IF(AND('Batt IN'!$D$53="Yes",$AL$1&gt;=4),IF($C426='Batt IN'!$H$57*12,-'Batt IN'!$F$57,0),0)</f>
        <v>0</v>
      </c>
      <c r="AN426" s="2">
        <f>IF(AND('Batt IN'!$D$53="Yes",$AL$1&gt;=5),IF($C426='Batt IN'!$H$58*12,-'Batt IN'!$F$58,0),0)</f>
        <v>0</v>
      </c>
      <c r="AO426" s="10">
        <f>IF(AND('Batt IN'!$D$44="YES",$C426&lt;='Batt IN'!$E$44*12),-'Batt IN'!$E$28*'Batt IN'!$E$42/12,0)</f>
        <v>0</v>
      </c>
      <c r="AP426" s="10">
        <f>IF(AND('Batt IN'!$D$46="YES",$C426&lt;='Batt IN'!$E$46*12),-'Batt IN'!$E$28*'Batt IN'!$E$45/12,0)</f>
        <v>0</v>
      </c>
      <c r="AR426" s="10">
        <f>BattLoan!M453</f>
        <v>0</v>
      </c>
      <c r="AS426" s="10">
        <f>'Batt IN'!$G$16*365/12*'Batt IN'!$E$16</f>
        <v>76.041666666666671</v>
      </c>
      <c r="AT426" s="10">
        <f>IF(AND('Batt IN'!$E$18&gt;0,'Batt IN'!$G$18&gt;0),'Batt IN'!$E$17*'Batt IN'!$G$17,0)</f>
        <v>119.44619999999999</v>
      </c>
      <c r="AU426" s="10">
        <f>IF(AND('Batt IN'!$E$20&gt;0,'Batt IN'!$G$20&gt;0),'Batt IN'!$E$19*'Batt IN'!$G$19,0)</f>
        <v>231</v>
      </c>
      <c r="AV426" s="10"/>
      <c r="AW426" s="10"/>
      <c r="AX426" s="10">
        <f>IF('Batt IN'!$E$11="Non-Taxable",Q426,0)</f>
        <v>13034.526246575342</v>
      </c>
      <c r="AY426" s="10">
        <f>IF('Batt IN'!$E$11="Non-Taxable",'Batt IN'!$E$28/1000*'Batt IN'!$G$13*('Batt IN'!$E$13/12)*'Batt IN'!$E$12,0)</f>
        <v>244.42220833333334</v>
      </c>
      <c r="AZ426" s="10">
        <f>IF('Batt IN'!$E$11="Non-Taxable",$S426*'Batt IN'!$G$15*'Batt IN'!$E$28*'Batt IN'!$E$14/1000,0)</f>
        <v>0</v>
      </c>
      <c r="BA426" s="10">
        <f>IF('Batt IN'!$E$11="Non-Taxable",'Batt IN'!$E$21*'Batt IN'!$G$21/12,0)</f>
        <v>437.5</v>
      </c>
      <c r="BB426" s="10">
        <f>IF('Batt IN'!$E$11="Non-Taxable",'Batt IN'!$E$22*'Batt IN'!$G$22/12,0)</f>
        <v>1145.8333333333335</v>
      </c>
      <c r="BC426" s="10">
        <f>IF('Batt IN'!$E$11="Taxable",Q426,0)</f>
        <v>0</v>
      </c>
      <c r="BD426" s="10">
        <f>IF('Batt IN'!$E$11="Taxable",'Batt IN'!$E$28/1000*'Batt IN'!$G$13*('Batt IN'!$E$13/12)*'Batt IN'!$E$12,0)</f>
        <v>0</v>
      </c>
      <c r="BE426" s="10">
        <f>IF('Batt IN'!$E$11="Taxable",$S426*'Batt IN'!$G$15*'Batt IN'!$E$28*'Batt IN'!$E$14/1000,0)</f>
        <v>0</v>
      </c>
      <c r="BF426" s="10">
        <f>IF('Batt IN'!$E$11="Taxable",'Batt IN'!$E$21*'Batt IN'!$G$21/12,0)</f>
        <v>0</v>
      </c>
      <c r="BG426" s="10">
        <f>IF('Batt IN'!$E$11="Taxable",'Batt IN'!$E$22*'Batt IN'!$G$22/12,0)</f>
        <v>0</v>
      </c>
      <c r="BK426" s="10">
        <f>IF('Batt IN'!$N$18="Yes",-BattLoan!H454,-BattLoan!L454)</f>
        <v>0</v>
      </c>
      <c r="BL426" s="10">
        <f>IF('Batt IN'!$N$18="Yes",-BattLoan!F454,0)</f>
        <v>0</v>
      </c>
      <c r="BM426" s="10">
        <f>IF(AND('Batt IN'!$D$44="YES",$C426&lt;='Batt IN'!$E$44*12),0,-'Batt IN'!$E$28*'Batt IN'!$E$42/12)</f>
        <v>-83.333333333333329</v>
      </c>
      <c r="BN426" s="10">
        <f>IF(AND('Batt IN'!$D$46="YES",$C426&lt;='Batt IN'!$E$46*12),0,-'Batt IN'!$E$28*'Batt IN'!$E$45/12)</f>
        <v>-166.66666666666666</v>
      </c>
      <c r="BO426" s="2">
        <f>IF(AND('Batt IN'!$D$41="YES",BattCalcs!C426=ROUNDUP('Batt IN'!$H$41*12,)),-'Batt IN'!$E$41*'Batt IN'!$E$28,0)</f>
        <v>0</v>
      </c>
      <c r="BP426" s="2">
        <f>IF(AND('Batt IN'!$D$53="Yes",$AL$1&gt;=1),0,IF($C426='Batt IN'!$H$54*12,-'Batt IN'!$F$54,0))</f>
        <v>0</v>
      </c>
      <c r="BQ426" s="2">
        <f>IF(AND('Batt IN'!$D$53="Yes",$AL$1&gt;=2),0,IF($C426='Batt IN'!$H$55*12,-'Batt IN'!$F$55,0))</f>
        <v>0</v>
      </c>
      <c r="BR426" s="2">
        <f>IF(AND('Batt IN'!$D$53="Yes",$AL$1&gt;=3),0,IF($C426='Batt IN'!$H$56*12,-'Batt IN'!$F$56,0))</f>
        <v>0</v>
      </c>
      <c r="BS426" s="2">
        <f>IF(AND('Batt IN'!$D$53="Yes",$AL$1&gt;=4),0,IF($C426='Batt IN'!$H$57*12,-'Batt IN'!$F$57,0))</f>
        <v>0</v>
      </c>
      <c r="BT426" s="2">
        <f>IF(AND('Batt IN'!$D$53="Yes",$AL$1&gt;=5),0,IF($C426='Batt IN'!$H$58*12,-'Batt IN'!$F$58,0))</f>
        <v>0</v>
      </c>
      <c r="BU426" s="2">
        <f>-AH426*PVCalcs!F426</f>
        <v>-359.37504381576838</v>
      </c>
      <c r="BV426" s="2">
        <f>-'Batt IN'!$E$47</f>
        <v>-150</v>
      </c>
      <c r="BW426" s="2">
        <f>-'Batt IN'!$E$49</f>
        <v>-2250</v>
      </c>
      <c r="BX426" s="2">
        <f>IF('Batt IN'!$H$50="No",-(BC426*'Batt IN'!$E$50),-(BC426+BE426)*'Batt IN'!$E$50)</f>
        <v>0</v>
      </c>
      <c r="BY426" s="2">
        <f>IF(C426='Batt IN'!$H$43*12,-'Batt IN'!$E$43,0)</f>
        <v>0</v>
      </c>
      <c r="BZ426" s="38"/>
      <c r="CA426" s="10">
        <f t="shared" si="106"/>
        <v>15288.769654908676</v>
      </c>
      <c r="CB426" s="2">
        <f t="shared" si="111"/>
        <v>-3009.3750438157685</v>
      </c>
      <c r="CC426" s="45">
        <f t="shared" si="107"/>
        <v>12279.394611092906</v>
      </c>
      <c r="CD426" s="43"/>
      <c r="CE426" s="2">
        <f t="shared" si="108"/>
        <v>0</v>
      </c>
      <c r="CF426" s="2">
        <f t="shared" si="112"/>
        <v>-3009.3750438157685</v>
      </c>
      <c r="CG426" s="2"/>
      <c r="CH426" s="2">
        <f t="shared" si="109"/>
        <v>-3009.3750438157685</v>
      </c>
      <c r="CI426" s="45">
        <f>-CH426*'Batt IN'!$E$7</f>
        <v>631.9687592013114</v>
      </c>
      <c r="CJ426" s="48"/>
      <c r="CK426" s="45">
        <f>IF('Batt IN'!$F$4="PV Only",0,IF(C426&gt;'Batt IN'!$H$43*12,0,CC426+CI426))</f>
        <v>0</v>
      </c>
      <c r="CM426" s="10">
        <f t="shared" si="110"/>
        <v>0</v>
      </c>
      <c r="CN426" s="2">
        <f>CK426/(1+('Batt IN'!$G$8))^(C426)</f>
        <v>0</v>
      </c>
      <c r="CO426" s="2" t="e">
        <f>IF(C426&lt;='Batt IN'!$O$30*12,CN426+CO425,NA())</f>
        <v>#N/A</v>
      </c>
      <c r="CQ426" s="2">
        <f>CK426/((1+('Batt IN'!$E$8/12))^BattCalcs!C426)</f>
        <v>0</v>
      </c>
      <c r="CS426" s="10">
        <f t="shared" si="113"/>
        <v>-3009.3750438157685</v>
      </c>
      <c r="CT426" s="10">
        <f t="shared" si="114"/>
        <v>0</v>
      </c>
      <c r="CU426" s="10">
        <f t="shared" si="115"/>
        <v>-3009.3750438157685</v>
      </c>
      <c r="CV426" s="10">
        <f t="shared" si="116"/>
        <v>-3009.3750438157685</v>
      </c>
      <c r="CW426" s="2">
        <f t="shared" si="117"/>
        <v>0</v>
      </c>
      <c r="CX426" s="2">
        <f>-(SUM(CV426:CW426)*'PV IN'!$E$8)</f>
        <v>631.9687592013114</v>
      </c>
      <c r="CY426" s="2">
        <f t="shared" si="118"/>
        <v>-2377.406284614457</v>
      </c>
      <c r="CZ426" s="2">
        <f>IF(C426&lt;='Batt IN'!$H$43*12,CY426/(1+('PV IN'!$G$9))^(C426),0)</f>
        <v>0</v>
      </c>
      <c r="DA426" s="33">
        <f>IF(C426&lt;='Batt IN'!$H$43*12,AE426,0)</f>
        <v>0</v>
      </c>
    </row>
    <row r="427" spans="1:105" x14ac:dyDescent="0.25">
      <c r="A427" t="str">
        <f>IF(C427&lt;='Batt IN'!$H$43*12,C427,"")</f>
        <v/>
      </c>
      <c r="C427">
        <v>423</v>
      </c>
      <c r="D427" s="21">
        <v>853</v>
      </c>
      <c r="E427" s="1">
        <f>1-'Batt IN'!$E$31</f>
        <v>2.0000000000000018E-2</v>
      </c>
      <c r="F427" s="12">
        <f>('Batt IN'!$E$33*365)/8760</f>
        <v>0</v>
      </c>
      <c r="G427" s="22">
        <f>'Batt IN'!$E$32/8760</f>
        <v>5.7077625570776253E-3</v>
      </c>
      <c r="H427" s="22">
        <f>'Batt IN'!$E$13/8760</f>
        <v>5.5936073059360729E-3</v>
      </c>
      <c r="I427" s="23">
        <f>IF(C427&lt;='Batt IN'!$G$14*12,'Batt IN'!$E$15/8760*'Batt IN'!$G$15,0)</f>
        <v>0</v>
      </c>
      <c r="J427" s="12">
        <f>Z427/'Batt IN'!$E$27/730</f>
        <v>2.4999999999999996E-3</v>
      </c>
      <c r="K427" s="23">
        <f>AA427/'Batt IN'!$E$27/730</f>
        <v>1.6027397260273972E-3</v>
      </c>
      <c r="L427" s="23">
        <f>AB427/'Batt IN'!$E$27/730</f>
        <v>2.0547945205479451E-4</v>
      </c>
      <c r="M427" s="23">
        <f>AC427/'Batt IN'!$E$27/730</f>
        <v>4.7945205479452057E-3</v>
      </c>
      <c r="N427" s="23">
        <f>AD427/'Batt IN'!$E$27/730</f>
        <v>3.4246575342465752E-3</v>
      </c>
      <c r="O427" s="12">
        <f t="shared" si="102"/>
        <v>4.3828767123287697E-2</v>
      </c>
      <c r="P427" s="21">
        <f t="shared" si="103"/>
        <v>815.61406164383561</v>
      </c>
      <c r="Q427" s="2">
        <f>IF('Batt IN'!$E$27*'Batt IN'!$E$24&lt;='Batt IN'!$E$28,(('Batt IN'!$E$23*'Batt IN'!$E$27*'Batt IN'!$E$24)/1000)*P427,(('Batt IN'!$E$23*'Batt IN'!$E$28*'Batt IN'!$E$24)/1000)*P427)</f>
        <v>13049.82498630137</v>
      </c>
      <c r="R427" s="2"/>
      <c r="S427" s="77">
        <f>IF(C427&lt;='Batt IN'!$G$14*12,'Batt IN'!$E$15/12,0)</f>
        <v>0</v>
      </c>
      <c r="T427" s="77"/>
      <c r="U427" s="80">
        <f>'Batt IN'!$E$28*('Batt IN'!$G$24/24)*730*(1-O427)</f>
        <v>81433.916666666657</v>
      </c>
      <c r="V427" s="78">
        <f>U427*'Batt IN'!$F$30</f>
        <v>16286.783333333333</v>
      </c>
      <c r="W427" s="78">
        <f>'Batt IN'!$E$28*'Batt IN'!$G$32*('Batt IN'!$E$32/12)*(1+'Batt IN'!$F$30)</f>
        <v>1750.0000000000002</v>
      </c>
      <c r="X427" s="78">
        <f>'Batt IN'!$E$28*'Batt IN'!$G$13*('Batt IN'!$E$13/12)*(1+'Batt IN'!$F$30)</f>
        <v>3184.9999999999995</v>
      </c>
      <c r="Y427" s="33">
        <f>S427*'Batt IN'!$G$15*'Batt IN'!$E$28*(1+'Batt IN'!$F$30)</f>
        <v>0</v>
      </c>
      <c r="Z427" s="33">
        <f>'Batt IN'!$G$16*365/12*(1+'Batt IN'!$F$30)</f>
        <v>1824.9999999999998</v>
      </c>
      <c r="AA427" s="33">
        <f>'Batt IN'!$G$17*'Batt IN'!$E$18*'Batt IN'!$G$18/12*(1+'Batt IN'!$F$30)</f>
        <v>1170</v>
      </c>
      <c r="AB427" s="33">
        <f>'Batt IN'!$G$19*'Batt IN'!$E$20*'Batt IN'!$G$20/12*(1+'Batt IN'!$F$30)</f>
        <v>150</v>
      </c>
      <c r="AC427" s="33">
        <f>'Batt IN'!$G$21*(1+'Batt IN'!$F$30)/12</f>
        <v>3500</v>
      </c>
      <c r="AD427" s="33">
        <f>'Batt IN'!$G$22*(1+'Batt IN'!$F$30)/12</f>
        <v>2500</v>
      </c>
      <c r="AE427" s="33">
        <f t="shared" si="104"/>
        <v>30366.783333333333</v>
      </c>
      <c r="AF427" s="33">
        <f>IF('PV IN'!$F$4="Battery Only",0,AE427*'Batt IN'!$E$29)</f>
        <v>25811.765833333331</v>
      </c>
      <c r="AG427" s="33">
        <f>PVCalcs!L427</f>
        <v>25811.765833333331</v>
      </c>
      <c r="AH427" s="33">
        <f t="shared" si="105"/>
        <v>4555.0175000000017</v>
      </c>
      <c r="AI427" s="33"/>
      <c r="AJ427" s="2">
        <f>IF(AND('Batt IN'!$D$53="Yes",$AL$1&gt;=1),IF($C427='Batt IN'!$H$54*12,-'Batt IN'!$F$54,0),0)</f>
        <v>0</v>
      </c>
      <c r="AK427" s="2">
        <f>IF(AND('Batt IN'!$D$53="Yes",$AL$1&gt;=2),IF($C427='Batt IN'!$H$55*12,-'Batt IN'!$F$55,0),0)</f>
        <v>0</v>
      </c>
      <c r="AL427" s="2">
        <f>IF(AND('Batt IN'!$D$53="Yes",$AL$1&gt;=3),IF($C427='Batt IN'!$H$56*12,-'Batt IN'!$F$56,0),0)</f>
        <v>0</v>
      </c>
      <c r="AM427" s="2">
        <f>IF(AND('Batt IN'!$D$53="Yes",$AL$1&gt;=4),IF($C427='Batt IN'!$H$57*12,-'Batt IN'!$F$57,0),0)</f>
        <v>0</v>
      </c>
      <c r="AN427" s="2">
        <f>IF(AND('Batt IN'!$D$53="Yes",$AL$1&gt;=5),IF($C427='Batt IN'!$H$58*12,-'Batt IN'!$F$58,0),0)</f>
        <v>0</v>
      </c>
      <c r="AO427" s="10">
        <f>IF(AND('Batt IN'!$D$44="YES",$C427&lt;='Batt IN'!$E$44*12),-'Batt IN'!$E$28*'Batt IN'!$E$42/12,0)</f>
        <v>0</v>
      </c>
      <c r="AP427" s="10">
        <f>IF(AND('Batt IN'!$D$46="YES",$C427&lt;='Batt IN'!$E$46*12),-'Batt IN'!$E$28*'Batt IN'!$E$45/12,0)</f>
        <v>0</v>
      </c>
      <c r="AR427" s="10">
        <f>BattLoan!M454</f>
        <v>0</v>
      </c>
      <c r="AS427" s="10">
        <f>'Batt IN'!$G$16*365/12*'Batt IN'!$E$16</f>
        <v>76.041666666666671</v>
      </c>
      <c r="AT427" s="10">
        <f>IF(AND('Batt IN'!$E$18&gt;0,'Batt IN'!$G$18&gt;0),'Batt IN'!$E$17*'Batt IN'!$G$17,0)</f>
        <v>119.44619999999999</v>
      </c>
      <c r="AU427" s="10">
        <f>IF(AND('Batt IN'!$E$20&gt;0,'Batt IN'!$G$20&gt;0),'Batt IN'!$E$19*'Batt IN'!$G$19,0)</f>
        <v>231</v>
      </c>
      <c r="AV427" s="10"/>
      <c r="AW427" s="10"/>
      <c r="AX427" s="10">
        <f>IF('Batt IN'!$E$11="Non-Taxable",Q427,0)</f>
        <v>13049.82498630137</v>
      </c>
      <c r="AY427" s="10">
        <f>IF('Batt IN'!$E$11="Non-Taxable",'Batt IN'!$E$28/1000*'Batt IN'!$G$13*('Batt IN'!$E$13/12)*'Batt IN'!$E$12,0)</f>
        <v>244.42220833333334</v>
      </c>
      <c r="AZ427" s="10">
        <f>IF('Batt IN'!$E$11="Non-Taxable",$S427*'Batt IN'!$G$15*'Batt IN'!$E$28*'Batt IN'!$E$14/1000,0)</f>
        <v>0</v>
      </c>
      <c r="BA427" s="10">
        <f>IF('Batt IN'!$E$11="Non-Taxable",'Batt IN'!$E$21*'Batt IN'!$G$21/12,0)</f>
        <v>437.5</v>
      </c>
      <c r="BB427" s="10">
        <f>IF('Batt IN'!$E$11="Non-Taxable",'Batt IN'!$E$22*'Batt IN'!$G$22/12,0)</f>
        <v>1145.8333333333335</v>
      </c>
      <c r="BC427" s="10">
        <f>IF('Batt IN'!$E$11="Taxable",Q427,0)</f>
        <v>0</v>
      </c>
      <c r="BD427" s="10">
        <f>IF('Batt IN'!$E$11="Taxable",'Batt IN'!$E$28/1000*'Batt IN'!$G$13*('Batt IN'!$E$13/12)*'Batt IN'!$E$12,0)</f>
        <v>0</v>
      </c>
      <c r="BE427" s="10">
        <f>IF('Batt IN'!$E$11="Taxable",$S427*'Batt IN'!$G$15*'Batt IN'!$E$28*'Batt IN'!$E$14/1000,0)</f>
        <v>0</v>
      </c>
      <c r="BF427" s="10">
        <f>IF('Batt IN'!$E$11="Taxable",'Batt IN'!$E$21*'Batt IN'!$G$21/12,0)</f>
        <v>0</v>
      </c>
      <c r="BG427" s="10">
        <f>IF('Batt IN'!$E$11="Taxable",'Batt IN'!$E$22*'Batt IN'!$G$22/12,0)</f>
        <v>0</v>
      </c>
      <c r="BK427" s="10">
        <f>IF('Batt IN'!$N$18="Yes",-BattLoan!H455,-BattLoan!L455)</f>
        <v>0</v>
      </c>
      <c r="BL427" s="10">
        <f>IF('Batt IN'!$N$18="Yes",-BattLoan!F455,0)</f>
        <v>0</v>
      </c>
      <c r="BM427" s="10">
        <f>IF(AND('Batt IN'!$D$44="YES",$C427&lt;='Batt IN'!$E$44*12),0,-'Batt IN'!$E$28*'Batt IN'!$E$42/12)</f>
        <v>-83.333333333333329</v>
      </c>
      <c r="BN427" s="10">
        <f>IF(AND('Batt IN'!$D$46="YES",$C427&lt;='Batt IN'!$E$46*12),0,-'Batt IN'!$E$28*'Batt IN'!$E$45/12)</f>
        <v>-166.66666666666666</v>
      </c>
      <c r="BO427" s="2">
        <f>IF(AND('Batt IN'!$D$41="YES",BattCalcs!C427=ROUNDUP('Batt IN'!$H$41*12,)),-'Batt IN'!$E$41*'Batt IN'!$E$28,0)</f>
        <v>0</v>
      </c>
      <c r="BP427" s="2">
        <f>IF(AND('Batt IN'!$D$53="Yes",$AL$1&gt;=1),0,IF($C427='Batt IN'!$H$54*12,-'Batt IN'!$F$54,0))</f>
        <v>0</v>
      </c>
      <c r="BQ427" s="2">
        <f>IF(AND('Batt IN'!$D$53="Yes",$AL$1&gt;=2),0,IF($C427='Batt IN'!$H$55*12,-'Batt IN'!$F$55,0))</f>
        <v>0</v>
      </c>
      <c r="BR427" s="2">
        <f>IF(AND('Batt IN'!$D$53="Yes",$AL$1&gt;=3),0,IF($C427='Batt IN'!$H$56*12,-'Batt IN'!$F$56,0))</f>
        <v>0</v>
      </c>
      <c r="BS427" s="2">
        <f>IF(AND('Batt IN'!$D$53="Yes",$AL$1&gt;=4),0,IF($C427='Batt IN'!$H$57*12,-'Batt IN'!$F$57,0))</f>
        <v>0</v>
      </c>
      <c r="BT427" s="2">
        <f>IF(AND('Batt IN'!$D$53="Yes",$AL$1&gt;=5),0,IF($C427='Batt IN'!$H$58*12,-'Batt IN'!$F$58,0))</f>
        <v>0</v>
      </c>
      <c r="BU427" s="2">
        <f>-AH427*PVCalcs!F427</f>
        <v>-359.37504381576838</v>
      </c>
      <c r="BV427" s="2">
        <f>-'Batt IN'!$E$47</f>
        <v>-150</v>
      </c>
      <c r="BW427" s="2">
        <f>-'Batt IN'!$E$49</f>
        <v>-2250</v>
      </c>
      <c r="BX427" s="2">
        <f>IF('Batt IN'!$H$50="No",-(BC427*'Batt IN'!$E$50),-(BC427+BE427)*'Batt IN'!$E$50)</f>
        <v>0</v>
      </c>
      <c r="BY427" s="2">
        <f>IF(C427='Batt IN'!$H$43*12,-'Batt IN'!$E$43,0)</f>
        <v>0</v>
      </c>
      <c r="BZ427" s="38"/>
      <c r="CA427" s="10">
        <f t="shared" si="106"/>
        <v>15304.068394634704</v>
      </c>
      <c r="CB427" s="2">
        <f t="shared" si="111"/>
        <v>-3009.3750438157685</v>
      </c>
      <c r="CC427" s="45">
        <f t="shared" si="107"/>
        <v>12294.693350818936</v>
      </c>
      <c r="CD427" s="43"/>
      <c r="CE427" s="2">
        <f t="shared" si="108"/>
        <v>0</v>
      </c>
      <c r="CF427" s="2">
        <f t="shared" si="112"/>
        <v>-3009.3750438157685</v>
      </c>
      <c r="CG427" s="2"/>
      <c r="CH427" s="2">
        <f t="shared" si="109"/>
        <v>-3009.3750438157685</v>
      </c>
      <c r="CI427" s="45">
        <f>-CH427*'Batt IN'!$E$7</f>
        <v>631.9687592013114</v>
      </c>
      <c r="CJ427" s="48"/>
      <c r="CK427" s="45">
        <f>IF('Batt IN'!$F$4="PV Only",0,IF(C427&gt;'Batt IN'!$H$43*12,0,CC427+CI427))</f>
        <v>0</v>
      </c>
      <c r="CM427" s="10">
        <f t="shared" si="110"/>
        <v>0</v>
      </c>
      <c r="CN427" s="2">
        <f>CK427/(1+('Batt IN'!$G$8))^(C427)</f>
        <v>0</v>
      </c>
      <c r="CO427" s="2" t="e">
        <f>IF(C427&lt;='Batt IN'!$O$30*12,CN427+CO426,NA())</f>
        <v>#N/A</v>
      </c>
      <c r="CQ427" s="2">
        <f>CK427/((1+('Batt IN'!$E$8/12))^BattCalcs!C427)</f>
        <v>0</v>
      </c>
      <c r="CS427" s="10">
        <f t="shared" si="113"/>
        <v>-3009.3750438157685</v>
      </c>
      <c r="CT427" s="10">
        <f t="shared" si="114"/>
        <v>0</v>
      </c>
      <c r="CU427" s="10">
        <f t="shared" si="115"/>
        <v>-3009.3750438157685</v>
      </c>
      <c r="CV427" s="10">
        <f t="shared" si="116"/>
        <v>-3009.3750438157685</v>
      </c>
      <c r="CW427" s="2">
        <f t="shared" si="117"/>
        <v>0</v>
      </c>
      <c r="CX427" s="2">
        <f>-(SUM(CV427:CW427)*'PV IN'!$E$8)</f>
        <v>631.9687592013114</v>
      </c>
      <c r="CY427" s="2">
        <f t="shared" si="118"/>
        <v>-2377.406284614457</v>
      </c>
      <c r="CZ427" s="2">
        <f>IF(C427&lt;='Batt IN'!$H$43*12,CY427/(1+('PV IN'!$G$9))^(C427),0)</f>
        <v>0</v>
      </c>
      <c r="DA427" s="33">
        <f>IF(C427&lt;='Batt IN'!$H$43*12,AE427,0)</f>
        <v>0</v>
      </c>
    </row>
    <row r="428" spans="1:105" x14ac:dyDescent="0.25">
      <c r="A428" t="str">
        <f>IF(C428&lt;='Batt IN'!$H$43*12,C428,"")</f>
        <v/>
      </c>
      <c r="C428">
        <v>424</v>
      </c>
      <c r="D428" s="21">
        <v>854</v>
      </c>
      <c r="E428" s="1">
        <f>1-'Batt IN'!$E$31</f>
        <v>2.0000000000000018E-2</v>
      </c>
      <c r="F428" s="12">
        <f>('Batt IN'!$E$33*365)/8760</f>
        <v>0</v>
      </c>
      <c r="G428" s="22">
        <f>'Batt IN'!$E$32/8760</f>
        <v>5.7077625570776253E-3</v>
      </c>
      <c r="H428" s="22">
        <f>'Batt IN'!$E$13/8760</f>
        <v>5.5936073059360729E-3</v>
      </c>
      <c r="I428" s="23">
        <f>IF(C428&lt;='Batt IN'!$G$14*12,'Batt IN'!$E$15/8760*'Batt IN'!$G$15,0)</f>
        <v>0</v>
      </c>
      <c r="J428" s="12">
        <f>Z428/'Batt IN'!$E$27/730</f>
        <v>2.4999999999999996E-3</v>
      </c>
      <c r="K428" s="23">
        <f>AA428/'Batt IN'!$E$27/730</f>
        <v>1.6027397260273972E-3</v>
      </c>
      <c r="L428" s="23">
        <f>AB428/'Batt IN'!$E$27/730</f>
        <v>2.0547945205479451E-4</v>
      </c>
      <c r="M428" s="23">
        <f>AC428/'Batt IN'!$E$27/730</f>
        <v>4.7945205479452057E-3</v>
      </c>
      <c r="N428" s="23">
        <f>AD428/'Batt IN'!$E$27/730</f>
        <v>3.4246575342465752E-3</v>
      </c>
      <c r="O428" s="12">
        <f t="shared" si="102"/>
        <v>4.3828767123287697E-2</v>
      </c>
      <c r="P428" s="21">
        <f t="shared" si="103"/>
        <v>816.57023287671234</v>
      </c>
      <c r="Q428" s="2">
        <f>IF('Batt IN'!$E$27*'Batt IN'!$E$24&lt;='Batt IN'!$E$28,(('Batt IN'!$E$23*'Batt IN'!$E$27*'Batt IN'!$E$24)/1000)*P428,(('Batt IN'!$E$23*'Batt IN'!$E$28*'Batt IN'!$E$24)/1000)*P428)</f>
        <v>13065.123726027397</v>
      </c>
      <c r="R428" s="2"/>
      <c r="S428" s="77">
        <f>IF(C428&lt;='Batt IN'!$G$14*12,'Batt IN'!$E$15/12,0)</f>
        <v>0</v>
      </c>
      <c r="T428" s="77"/>
      <c r="U428" s="80">
        <f>'Batt IN'!$E$28*('Batt IN'!$G$24/24)*730*(1-O428)</f>
        <v>81433.916666666657</v>
      </c>
      <c r="V428" s="78">
        <f>U428*'Batt IN'!$F$30</f>
        <v>16286.783333333333</v>
      </c>
      <c r="W428" s="78">
        <f>'Batt IN'!$E$28*'Batt IN'!$G$32*('Batt IN'!$E$32/12)*(1+'Batt IN'!$F$30)</f>
        <v>1750.0000000000002</v>
      </c>
      <c r="X428" s="78">
        <f>'Batt IN'!$E$28*'Batt IN'!$G$13*('Batt IN'!$E$13/12)*(1+'Batt IN'!$F$30)</f>
        <v>3184.9999999999995</v>
      </c>
      <c r="Y428" s="33">
        <f>S428*'Batt IN'!$G$15*'Batt IN'!$E$28*(1+'Batt IN'!$F$30)</f>
        <v>0</v>
      </c>
      <c r="Z428" s="33">
        <f>'Batt IN'!$G$16*365/12*(1+'Batt IN'!$F$30)</f>
        <v>1824.9999999999998</v>
      </c>
      <c r="AA428" s="33">
        <f>'Batt IN'!$G$17*'Batt IN'!$E$18*'Batt IN'!$G$18/12*(1+'Batt IN'!$F$30)</f>
        <v>1170</v>
      </c>
      <c r="AB428" s="33">
        <f>'Batt IN'!$G$19*'Batt IN'!$E$20*'Batt IN'!$G$20/12*(1+'Batt IN'!$F$30)</f>
        <v>150</v>
      </c>
      <c r="AC428" s="33">
        <f>'Batt IN'!$G$21*(1+'Batt IN'!$F$30)/12</f>
        <v>3500</v>
      </c>
      <c r="AD428" s="33">
        <f>'Batt IN'!$G$22*(1+'Batt IN'!$F$30)/12</f>
        <v>2500</v>
      </c>
      <c r="AE428" s="33">
        <f t="shared" si="104"/>
        <v>30366.783333333333</v>
      </c>
      <c r="AF428" s="33">
        <f>IF('PV IN'!$F$4="Battery Only",0,AE428*'Batt IN'!$E$29)</f>
        <v>25811.765833333331</v>
      </c>
      <c r="AG428" s="33">
        <f>PVCalcs!L428</f>
        <v>25811.765833333331</v>
      </c>
      <c r="AH428" s="33">
        <f t="shared" si="105"/>
        <v>4555.0175000000017</v>
      </c>
      <c r="AI428" s="33"/>
      <c r="AJ428" s="2">
        <f>IF(AND('Batt IN'!$D$53="Yes",$AL$1&gt;=1),IF($C428='Batt IN'!$H$54*12,-'Batt IN'!$F$54,0),0)</f>
        <v>0</v>
      </c>
      <c r="AK428" s="2">
        <f>IF(AND('Batt IN'!$D$53="Yes",$AL$1&gt;=2),IF($C428='Batt IN'!$H$55*12,-'Batt IN'!$F$55,0),0)</f>
        <v>0</v>
      </c>
      <c r="AL428" s="2">
        <f>IF(AND('Batt IN'!$D$53="Yes",$AL$1&gt;=3),IF($C428='Batt IN'!$H$56*12,-'Batt IN'!$F$56,0),0)</f>
        <v>0</v>
      </c>
      <c r="AM428" s="2">
        <f>IF(AND('Batt IN'!$D$53="Yes",$AL$1&gt;=4),IF($C428='Batt IN'!$H$57*12,-'Batt IN'!$F$57,0),0)</f>
        <v>0</v>
      </c>
      <c r="AN428" s="2">
        <f>IF(AND('Batt IN'!$D$53="Yes",$AL$1&gt;=5),IF($C428='Batt IN'!$H$58*12,-'Batt IN'!$F$58,0),0)</f>
        <v>0</v>
      </c>
      <c r="AO428" s="10">
        <f>IF(AND('Batt IN'!$D$44="YES",$C428&lt;='Batt IN'!$E$44*12),-'Batt IN'!$E$28*'Batt IN'!$E$42/12,0)</f>
        <v>0</v>
      </c>
      <c r="AP428" s="10">
        <f>IF(AND('Batt IN'!$D$46="YES",$C428&lt;='Batt IN'!$E$46*12),-'Batt IN'!$E$28*'Batt IN'!$E$45/12,0)</f>
        <v>0</v>
      </c>
      <c r="AR428" s="10">
        <f>BattLoan!M455</f>
        <v>0</v>
      </c>
      <c r="AS428" s="10">
        <f>'Batt IN'!$G$16*365/12*'Batt IN'!$E$16</f>
        <v>76.041666666666671</v>
      </c>
      <c r="AT428" s="10">
        <f>IF(AND('Batt IN'!$E$18&gt;0,'Batt IN'!$G$18&gt;0),'Batt IN'!$E$17*'Batt IN'!$G$17,0)</f>
        <v>119.44619999999999</v>
      </c>
      <c r="AU428" s="10">
        <f>IF(AND('Batt IN'!$E$20&gt;0,'Batt IN'!$G$20&gt;0),'Batt IN'!$E$19*'Batt IN'!$G$19,0)</f>
        <v>231</v>
      </c>
      <c r="AV428" s="10"/>
      <c r="AW428" s="10"/>
      <c r="AX428" s="10">
        <f>IF('Batt IN'!$E$11="Non-Taxable",Q428,0)</f>
        <v>13065.123726027397</v>
      </c>
      <c r="AY428" s="10">
        <f>IF('Batt IN'!$E$11="Non-Taxable",'Batt IN'!$E$28/1000*'Batt IN'!$G$13*('Batt IN'!$E$13/12)*'Batt IN'!$E$12,0)</f>
        <v>244.42220833333334</v>
      </c>
      <c r="AZ428" s="10">
        <f>IF('Batt IN'!$E$11="Non-Taxable",$S428*'Batt IN'!$G$15*'Batt IN'!$E$28*'Batt IN'!$E$14/1000,0)</f>
        <v>0</v>
      </c>
      <c r="BA428" s="10">
        <f>IF('Batt IN'!$E$11="Non-Taxable",'Batt IN'!$E$21*'Batt IN'!$G$21/12,0)</f>
        <v>437.5</v>
      </c>
      <c r="BB428" s="10">
        <f>IF('Batt IN'!$E$11="Non-Taxable",'Batt IN'!$E$22*'Batt IN'!$G$22/12,0)</f>
        <v>1145.8333333333335</v>
      </c>
      <c r="BC428" s="10">
        <f>IF('Batt IN'!$E$11="Taxable",Q428,0)</f>
        <v>0</v>
      </c>
      <c r="BD428" s="10">
        <f>IF('Batt IN'!$E$11="Taxable",'Batt IN'!$E$28/1000*'Batt IN'!$G$13*('Batt IN'!$E$13/12)*'Batt IN'!$E$12,0)</f>
        <v>0</v>
      </c>
      <c r="BE428" s="10">
        <f>IF('Batt IN'!$E$11="Taxable",$S428*'Batt IN'!$G$15*'Batt IN'!$E$28*'Batt IN'!$E$14/1000,0)</f>
        <v>0</v>
      </c>
      <c r="BF428" s="10">
        <f>IF('Batt IN'!$E$11="Taxable",'Batt IN'!$E$21*'Batt IN'!$G$21/12,0)</f>
        <v>0</v>
      </c>
      <c r="BG428" s="10">
        <f>IF('Batt IN'!$E$11="Taxable",'Batt IN'!$E$22*'Batt IN'!$G$22/12,0)</f>
        <v>0</v>
      </c>
      <c r="BK428" s="10">
        <f>IF('Batt IN'!$N$18="Yes",-BattLoan!H456,-BattLoan!L456)</f>
        <v>0</v>
      </c>
      <c r="BL428" s="10">
        <f>IF('Batt IN'!$N$18="Yes",-BattLoan!F456,0)</f>
        <v>0</v>
      </c>
      <c r="BM428" s="10">
        <f>IF(AND('Batt IN'!$D$44="YES",$C428&lt;='Batt IN'!$E$44*12),0,-'Batt IN'!$E$28*'Batt IN'!$E$42/12)</f>
        <v>-83.333333333333329</v>
      </c>
      <c r="BN428" s="10">
        <f>IF(AND('Batt IN'!$D$46="YES",$C428&lt;='Batt IN'!$E$46*12),0,-'Batt IN'!$E$28*'Batt IN'!$E$45/12)</f>
        <v>-166.66666666666666</v>
      </c>
      <c r="BO428" s="2">
        <f>IF(AND('Batt IN'!$D$41="YES",BattCalcs!C428=ROUNDUP('Batt IN'!$H$41*12,)),-'Batt IN'!$E$41*'Batt IN'!$E$28,0)</f>
        <v>0</v>
      </c>
      <c r="BP428" s="2">
        <f>IF(AND('Batt IN'!$D$53="Yes",$AL$1&gt;=1),0,IF($C428='Batt IN'!$H$54*12,-'Batt IN'!$F$54,0))</f>
        <v>0</v>
      </c>
      <c r="BQ428" s="2">
        <f>IF(AND('Batt IN'!$D$53="Yes",$AL$1&gt;=2),0,IF($C428='Batt IN'!$H$55*12,-'Batt IN'!$F$55,0))</f>
        <v>0</v>
      </c>
      <c r="BR428" s="2">
        <f>IF(AND('Batt IN'!$D$53="Yes",$AL$1&gt;=3),0,IF($C428='Batt IN'!$H$56*12,-'Batt IN'!$F$56,0))</f>
        <v>0</v>
      </c>
      <c r="BS428" s="2">
        <f>IF(AND('Batt IN'!$D$53="Yes",$AL$1&gt;=4),0,IF($C428='Batt IN'!$H$57*12,-'Batt IN'!$F$57,0))</f>
        <v>0</v>
      </c>
      <c r="BT428" s="2">
        <f>IF(AND('Batt IN'!$D$53="Yes",$AL$1&gt;=5),0,IF($C428='Batt IN'!$H$58*12,-'Batt IN'!$F$58,0))</f>
        <v>0</v>
      </c>
      <c r="BU428" s="2">
        <f>-AH428*PVCalcs!F428</f>
        <v>-359.37504381576838</v>
      </c>
      <c r="BV428" s="2">
        <f>-'Batt IN'!$E$47</f>
        <v>-150</v>
      </c>
      <c r="BW428" s="2">
        <f>-'Batt IN'!$E$49</f>
        <v>-2250</v>
      </c>
      <c r="BX428" s="2">
        <f>IF('Batt IN'!$H$50="No",-(BC428*'Batt IN'!$E$50),-(BC428+BE428)*'Batt IN'!$E$50)</f>
        <v>0</v>
      </c>
      <c r="BY428" s="2">
        <f>IF(C428='Batt IN'!$H$43*12,-'Batt IN'!$E$43,0)</f>
        <v>0</v>
      </c>
      <c r="BZ428" s="38"/>
      <c r="CA428" s="10">
        <f t="shared" si="106"/>
        <v>15319.367134360731</v>
      </c>
      <c r="CB428" s="2">
        <f t="shared" si="111"/>
        <v>-3009.3750438157685</v>
      </c>
      <c r="CC428" s="45">
        <f t="shared" si="107"/>
        <v>12309.992090544962</v>
      </c>
      <c r="CD428" s="43"/>
      <c r="CE428" s="2">
        <f t="shared" si="108"/>
        <v>0</v>
      </c>
      <c r="CF428" s="2">
        <f t="shared" si="112"/>
        <v>-3009.3750438157685</v>
      </c>
      <c r="CG428" s="2"/>
      <c r="CH428" s="2">
        <f t="shared" si="109"/>
        <v>-3009.3750438157685</v>
      </c>
      <c r="CI428" s="45">
        <f>-CH428*'Batt IN'!$E$7</f>
        <v>631.9687592013114</v>
      </c>
      <c r="CJ428" s="48"/>
      <c r="CK428" s="45">
        <f>IF('Batt IN'!$F$4="PV Only",0,IF(C428&gt;'Batt IN'!$H$43*12,0,CC428+CI428))</f>
        <v>0</v>
      </c>
      <c r="CM428" s="10">
        <f t="shared" si="110"/>
        <v>0</v>
      </c>
      <c r="CN428" s="2">
        <f>CK428/(1+('Batt IN'!$G$8))^(C428)</f>
        <v>0</v>
      </c>
      <c r="CO428" s="2" t="e">
        <f>IF(C428&lt;='Batt IN'!$O$30*12,CN428+CO427,NA())</f>
        <v>#N/A</v>
      </c>
      <c r="CQ428" s="2">
        <f>CK428/((1+('Batt IN'!$E$8/12))^BattCalcs!C428)</f>
        <v>0</v>
      </c>
      <c r="CS428" s="10">
        <f t="shared" si="113"/>
        <v>-3009.3750438157685</v>
      </c>
      <c r="CT428" s="10">
        <f t="shared" si="114"/>
        <v>0</v>
      </c>
      <c r="CU428" s="10">
        <f t="shared" si="115"/>
        <v>-3009.3750438157685</v>
      </c>
      <c r="CV428" s="10">
        <f t="shared" si="116"/>
        <v>-3009.3750438157685</v>
      </c>
      <c r="CW428" s="2">
        <f t="shared" si="117"/>
        <v>0</v>
      </c>
      <c r="CX428" s="2">
        <f>-(SUM(CV428:CW428)*'PV IN'!$E$8)</f>
        <v>631.9687592013114</v>
      </c>
      <c r="CY428" s="2">
        <f t="shared" si="118"/>
        <v>-2377.406284614457</v>
      </c>
      <c r="CZ428" s="2">
        <f>IF(C428&lt;='Batt IN'!$H$43*12,CY428/(1+('PV IN'!$G$9))^(C428),0)</f>
        <v>0</v>
      </c>
      <c r="DA428" s="33">
        <f>IF(C428&lt;='Batt IN'!$H$43*12,AE428,0)</f>
        <v>0</v>
      </c>
    </row>
    <row r="429" spans="1:105" x14ac:dyDescent="0.25">
      <c r="A429" t="str">
        <f>IF(C429&lt;='Batt IN'!$H$43*12,C429,"")</f>
        <v/>
      </c>
      <c r="C429">
        <v>425</v>
      </c>
      <c r="D429" s="21">
        <v>855</v>
      </c>
      <c r="E429" s="1">
        <f>1-'Batt IN'!$E$31</f>
        <v>2.0000000000000018E-2</v>
      </c>
      <c r="F429" s="12">
        <f>('Batt IN'!$E$33*365)/8760</f>
        <v>0</v>
      </c>
      <c r="G429" s="22">
        <f>'Batt IN'!$E$32/8760</f>
        <v>5.7077625570776253E-3</v>
      </c>
      <c r="H429" s="22">
        <f>'Batt IN'!$E$13/8760</f>
        <v>5.5936073059360729E-3</v>
      </c>
      <c r="I429" s="23">
        <f>IF(C429&lt;='Batt IN'!$G$14*12,'Batt IN'!$E$15/8760*'Batt IN'!$G$15,0)</f>
        <v>0</v>
      </c>
      <c r="J429" s="12">
        <f>Z429/'Batt IN'!$E$27/730</f>
        <v>2.4999999999999996E-3</v>
      </c>
      <c r="K429" s="23">
        <f>AA429/'Batt IN'!$E$27/730</f>
        <v>1.6027397260273972E-3</v>
      </c>
      <c r="L429" s="23">
        <f>AB429/'Batt IN'!$E$27/730</f>
        <v>2.0547945205479451E-4</v>
      </c>
      <c r="M429" s="23">
        <f>AC429/'Batt IN'!$E$27/730</f>
        <v>4.7945205479452057E-3</v>
      </c>
      <c r="N429" s="23">
        <f>AD429/'Batt IN'!$E$27/730</f>
        <v>3.4246575342465752E-3</v>
      </c>
      <c r="O429" s="12">
        <f t="shared" ref="O429:O484" si="119">SUM(E429:N429)</f>
        <v>4.3828767123287697E-2</v>
      </c>
      <c r="P429" s="21">
        <f t="shared" ref="P429:P484" si="120">D429*(1-O429)</f>
        <v>817.52640410958907</v>
      </c>
      <c r="Q429" s="2">
        <f>IF('Batt IN'!$E$27*'Batt IN'!$E$24&lt;='Batt IN'!$E$28,(('Batt IN'!$E$23*'Batt IN'!$E$27*'Batt IN'!$E$24)/1000)*P429,(('Batt IN'!$E$23*'Batt IN'!$E$28*'Batt IN'!$E$24)/1000)*P429)</f>
        <v>13080.422465753425</v>
      </c>
      <c r="R429" s="2"/>
      <c r="S429" s="77">
        <f>IF(C429&lt;='Batt IN'!$G$14*12,'Batt IN'!$E$15/12,0)</f>
        <v>0</v>
      </c>
      <c r="T429" s="77"/>
      <c r="U429" s="80">
        <f>'Batt IN'!$E$28*('Batt IN'!$G$24/24)*730*(1-O429)</f>
        <v>81433.916666666657</v>
      </c>
      <c r="V429" s="78">
        <f>U429*'Batt IN'!$F$30</f>
        <v>16286.783333333333</v>
      </c>
      <c r="W429" s="78">
        <f>'Batt IN'!$E$28*'Batt IN'!$G$32*('Batt IN'!$E$32/12)*(1+'Batt IN'!$F$30)</f>
        <v>1750.0000000000002</v>
      </c>
      <c r="X429" s="78">
        <f>'Batt IN'!$E$28*'Batt IN'!$G$13*('Batt IN'!$E$13/12)*(1+'Batt IN'!$F$30)</f>
        <v>3184.9999999999995</v>
      </c>
      <c r="Y429" s="33">
        <f>S429*'Batt IN'!$G$15*'Batt IN'!$E$28*(1+'Batt IN'!$F$30)</f>
        <v>0</v>
      </c>
      <c r="Z429" s="33">
        <f>'Batt IN'!$G$16*365/12*(1+'Batt IN'!$F$30)</f>
        <v>1824.9999999999998</v>
      </c>
      <c r="AA429" s="33">
        <f>'Batt IN'!$G$17*'Batt IN'!$E$18*'Batt IN'!$G$18/12*(1+'Batt IN'!$F$30)</f>
        <v>1170</v>
      </c>
      <c r="AB429" s="33">
        <f>'Batt IN'!$G$19*'Batt IN'!$E$20*'Batt IN'!$G$20/12*(1+'Batt IN'!$F$30)</f>
        <v>150</v>
      </c>
      <c r="AC429" s="33">
        <f>'Batt IN'!$G$21*(1+'Batt IN'!$F$30)/12</f>
        <v>3500</v>
      </c>
      <c r="AD429" s="33">
        <f>'Batt IN'!$G$22*(1+'Batt IN'!$F$30)/12</f>
        <v>2500</v>
      </c>
      <c r="AE429" s="33">
        <f t="shared" ref="AE429:AE484" si="121">SUM(V429:AD429)</f>
        <v>30366.783333333333</v>
      </c>
      <c r="AF429" s="33">
        <f>IF('PV IN'!$F$4="Battery Only",0,AE429*'Batt IN'!$E$29)</f>
        <v>25811.765833333331</v>
      </c>
      <c r="AG429" s="33">
        <f>PVCalcs!L429</f>
        <v>25811.765833333331</v>
      </c>
      <c r="AH429" s="33">
        <f t="shared" ref="AH429:AH484" si="122">AE429-AG429</f>
        <v>4555.0175000000017</v>
      </c>
      <c r="AI429" s="33"/>
      <c r="AJ429" s="2">
        <f>IF(AND('Batt IN'!$D$53="Yes",$AL$1&gt;=1),IF($C429='Batt IN'!$H$54*12,-'Batt IN'!$F$54,0),0)</f>
        <v>0</v>
      </c>
      <c r="AK429" s="2">
        <f>IF(AND('Batt IN'!$D$53="Yes",$AL$1&gt;=2),IF($C429='Batt IN'!$H$55*12,-'Batt IN'!$F$55,0),0)</f>
        <v>0</v>
      </c>
      <c r="AL429" s="2">
        <f>IF(AND('Batt IN'!$D$53="Yes",$AL$1&gt;=3),IF($C429='Batt IN'!$H$56*12,-'Batt IN'!$F$56,0),0)</f>
        <v>0</v>
      </c>
      <c r="AM429" s="2">
        <f>IF(AND('Batt IN'!$D$53="Yes",$AL$1&gt;=4),IF($C429='Batt IN'!$H$57*12,-'Batt IN'!$F$57,0),0)</f>
        <v>0</v>
      </c>
      <c r="AN429" s="2">
        <f>IF(AND('Batt IN'!$D$53="Yes",$AL$1&gt;=5),IF($C429='Batt IN'!$H$58*12,-'Batt IN'!$F$58,0),0)</f>
        <v>0</v>
      </c>
      <c r="AO429" s="10">
        <f>IF(AND('Batt IN'!$D$44="YES",$C429&lt;='Batt IN'!$E$44*12),-'Batt IN'!$E$28*'Batt IN'!$E$42/12,0)</f>
        <v>0</v>
      </c>
      <c r="AP429" s="10">
        <f>IF(AND('Batt IN'!$D$46="YES",$C429&lt;='Batt IN'!$E$46*12),-'Batt IN'!$E$28*'Batt IN'!$E$45/12,0)</f>
        <v>0</v>
      </c>
      <c r="AR429" s="10">
        <f>BattLoan!M456</f>
        <v>0</v>
      </c>
      <c r="AS429" s="10">
        <f>'Batt IN'!$G$16*365/12*'Batt IN'!$E$16</f>
        <v>76.041666666666671</v>
      </c>
      <c r="AT429" s="10">
        <f>IF(AND('Batt IN'!$E$18&gt;0,'Batt IN'!$G$18&gt;0),'Batt IN'!$E$17*'Batt IN'!$G$17,0)</f>
        <v>119.44619999999999</v>
      </c>
      <c r="AU429" s="10">
        <f>IF(AND('Batt IN'!$E$20&gt;0,'Batt IN'!$G$20&gt;0),'Batt IN'!$E$19*'Batt IN'!$G$19,0)</f>
        <v>231</v>
      </c>
      <c r="AV429" s="10"/>
      <c r="AW429" s="10"/>
      <c r="AX429" s="10">
        <f>IF('Batt IN'!$E$11="Non-Taxable",Q429,0)</f>
        <v>13080.422465753425</v>
      </c>
      <c r="AY429" s="10">
        <f>IF('Batt IN'!$E$11="Non-Taxable",'Batt IN'!$E$28/1000*'Batt IN'!$G$13*('Batt IN'!$E$13/12)*'Batt IN'!$E$12,0)</f>
        <v>244.42220833333334</v>
      </c>
      <c r="AZ429" s="10">
        <f>IF('Batt IN'!$E$11="Non-Taxable",$S429*'Batt IN'!$G$15*'Batt IN'!$E$28*'Batt IN'!$E$14/1000,0)</f>
        <v>0</v>
      </c>
      <c r="BA429" s="10">
        <f>IF('Batt IN'!$E$11="Non-Taxable",'Batt IN'!$E$21*'Batt IN'!$G$21/12,0)</f>
        <v>437.5</v>
      </c>
      <c r="BB429" s="10">
        <f>IF('Batt IN'!$E$11="Non-Taxable",'Batt IN'!$E$22*'Batt IN'!$G$22/12,0)</f>
        <v>1145.8333333333335</v>
      </c>
      <c r="BC429" s="10">
        <f>IF('Batt IN'!$E$11="Taxable",Q429,0)</f>
        <v>0</v>
      </c>
      <c r="BD429" s="10">
        <f>IF('Batt IN'!$E$11="Taxable",'Batt IN'!$E$28/1000*'Batt IN'!$G$13*('Batt IN'!$E$13/12)*'Batt IN'!$E$12,0)</f>
        <v>0</v>
      </c>
      <c r="BE429" s="10">
        <f>IF('Batt IN'!$E$11="Taxable",$S429*'Batt IN'!$G$15*'Batt IN'!$E$28*'Batt IN'!$E$14/1000,0)</f>
        <v>0</v>
      </c>
      <c r="BF429" s="10">
        <f>IF('Batt IN'!$E$11="Taxable",'Batt IN'!$E$21*'Batt IN'!$G$21/12,0)</f>
        <v>0</v>
      </c>
      <c r="BG429" s="10">
        <f>IF('Batt IN'!$E$11="Taxable",'Batt IN'!$E$22*'Batt IN'!$G$22/12,0)</f>
        <v>0</v>
      </c>
      <c r="BK429" s="10">
        <f>IF('Batt IN'!$N$18="Yes",-BattLoan!H457,-BattLoan!L457)</f>
        <v>0</v>
      </c>
      <c r="BL429" s="10">
        <f>IF('Batt IN'!$N$18="Yes",-BattLoan!F457,0)</f>
        <v>0</v>
      </c>
      <c r="BM429" s="10">
        <f>IF(AND('Batt IN'!$D$44="YES",$C429&lt;='Batt IN'!$E$44*12),0,-'Batt IN'!$E$28*'Batt IN'!$E$42/12)</f>
        <v>-83.333333333333329</v>
      </c>
      <c r="BN429" s="10">
        <f>IF(AND('Batt IN'!$D$46="YES",$C429&lt;='Batt IN'!$E$46*12),0,-'Batt IN'!$E$28*'Batt IN'!$E$45/12)</f>
        <v>-166.66666666666666</v>
      </c>
      <c r="BO429" s="2">
        <f>IF(AND('Batt IN'!$D$41="YES",BattCalcs!C429=ROUNDUP('Batt IN'!$H$41*12,)),-'Batt IN'!$E$41*'Batt IN'!$E$28,0)</f>
        <v>0</v>
      </c>
      <c r="BP429" s="2">
        <f>IF(AND('Batt IN'!$D$53="Yes",$AL$1&gt;=1),0,IF($C429='Batt IN'!$H$54*12,-'Batt IN'!$F$54,0))</f>
        <v>0</v>
      </c>
      <c r="BQ429" s="2">
        <f>IF(AND('Batt IN'!$D$53="Yes",$AL$1&gt;=2),0,IF($C429='Batt IN'!$H$55*12,-'Batt IN'!$F$55,0))</f>
        <v>0</v>
      </c>
      <c r="BR429" s="2">
        <f>IF(AND('Batt IN'!$D$53="Yes",$AL$1&gt;=3),0,IF($C429='Batt IN'!$H$56*12,-'Batt IN'!$F$56,0))</f>
        <v>0</v>
      </c>
      <c r="BS429" s="2">
        <f>IF(AND('Batt IN'!$D$53="Yes",$AL$1&gt;=4),0,IF($C429='Batt IN'!$H$57*12,-'Batt IN'!$F$57,0))</f>
        <v>0</v>
      </c>
      <c r="BT429" s="2">
        <f>IF(AND('Batt IN'!$D$53="Yes",$AL$1&gt;=5),0,IF($C429='Batt IN'!$H$58*12,-'Batt IN'!$F$58,0))</f>
        <v>0</v>
      </c>
      <c r="BU429" s="2">
        <f>-AH429*PVCalcs!F429</f>
        <v>-359.37504381576838</v>
      </c>
      <c r="BV429" s="2">
        <f>-'Batt IN'!$E$47</f>
        <v>-150</v>
      </c>
      <c r="BW429" s="2">
        <f>-'Batt IN'!$E$49</f>
        <v>-2250</v>
      </c>
      <c r="BX429" s="2">
        <f>IF('Batt IN'!$H$50="No",-(BC429*'Batt IN'!$E$50),-(BC429+BE429)*'Batt IN'!$E$50)</f>
        <v>0</v>
      </c>
      <c r="BY429" s="2">
        <f>IF(C429='Batt IN'!$H$43*12,-'Batt IN'!$E$43,0)</f>
        <v>0</v>
      </c>
      <c r="BZ429" s="38"/>
      <c r="CA429" s="10">
        <f t="shared" ref="CA429:CA484" si="123">SUM(AR429:BH429)</f>
        <v>15334.665874086759</v>
      </c>
      <c r="CB429" s="2">
        <f t="shared" si="111"/>
        <v>-3009.3750438157685</v>
      </c>
      <c r="CC429" s="45">
        <f t="shared" ref="CC429:CC484" si="124">SUM(CA429:CB429)</f>
        <v>12325.290830270991</v>
      </c>
      <c r="CD429" s="43"/>
      <c r="CE429" s="2">
        <f t="shared" ref="CE429:CE484" si="125">SUM(BC429:BH429)</f>
        <v>0</v>
      </c>
      <c r="CF429" s="2">
        <f t="shared" si="112"/>
        <v>-3009.3750438157685</v>
      </c>
      <c r="CG429" s="2"/>
      <c r="CH429" s="2">
        <f t="shared" ref="CH429:CH484" si="126">SUM(CE429:CG429)</f>
        <v>-3009.3750438157685</v>
      </c>
      <c r="CI429" s="45">
        <f>-CH429*'Batt IN'!$E$7</f>
        <v>631.9687592013114</v>
      </c>
      <c r="CJ429" s="48"/>
      <c r="CK429" s="45">
        <f>IF('Batt IN'!$F$4="PV Only",0,IF(C429&gt;'Batt IN'!$H$43*12,0,CC429+CI429))</f>
        <v>0</v>
      </c>
      <c r="CM429" s="10">
        <f t="shared" ref="CM429:CM484" si="127">CM428+CK429</f>
        <v>0</v>
      </c>
      <c r="CN429" s="2">
        <f>CK429/(1+('Batt IN'!$G$8))^(C429)</f>
        <v>0</v>
      </c>
      <c r="CO429" s="2" t="e">
        <f>IF(C429&lt;='Batt IN'!$O$30*12,CN429+CO428,NA())</f>
        <v>#N/A</v>
      </c>
      <c r="CQ429" s="2">
        <f>CK429/((1+('Batt IN'!$E$8/12))^BattCalcs!C429)</f>
        <v>0</v>
      </c>
      <c r="CS429" s="10">
        <f t="shared" si="113"/>
        <v>-3009.3750438157685</v>
      </c>
      <c r="CT429" s="10">
        <f t="shared" si="114"/>
        <v>0</v>
      </c>
      <c r="CU429" s="10">
        <f t="shared" si="115"/>
        <v>-3009.3750438157685</v>
      </c>
      <c r="CV429" s="10">
        <f t="shared" si="116"/>
        <v>-3009.3750438157685</v>
      </c>
      <c r="CW429" s="2">
        <f t="shared" si="117"/>
        <v>0</v>
      </c>
      <c r="CX429" s="2">
        <f>-(SUM(CV429:CW429)*'PV IN'!$E$8)</f>
        <v>631.9687592013114</v>
      </c>
      <c r="CY429" s="2">
        <f t="shared" si="118"/>
        <v>-2377.406284614457</v>
      </c>
      <c r="CZ429" s="2">
        <f>IF(C429&lt;='Batt IN'!$H$43*12,CY429/(1+('PV IN'!$G$9))^(C429),0)</f>
        <v>0</v>
      </c>
      <c r="DA429" s="33">
        <f>IF(C429&lt;='Batt IN'!$H$43*12,AE429,0)</f>
        <v>0</v>
      </c>
    </row>
    <row r="430" spans="1:105" x14ac:dyDescent="0.25">
      <c r="A430" t="str">
        <f>IF(C430&lt;='Batt IN'!$H$43*12,C430,"")</f>
        <v/>
      </c>
      <c r="C430">
        <v>426</v>
      </c>
      <c r="D430" s="21">
        <v>856</v>
      </c>
      <c r="E430" s="1">
        <f>1-'Batt IN'!$E$31</f>
        <v>2.0000000000000018E-2</v>
      </c>
      <c r="F430" s="12">
        <f>('Batt IN'!$E$33*365)/8760</f>
        <v>0</v>
      </c>
      <c r="G430" s="22">
        <f>'Batt IN'!$E$32/8760</f>
        <v>5.7077625570776253E-3</v>
      </c>
      <c r="H430" s="22">
        <f>'Batt IN'!$E$13/8760</f>
        <v>5.5936073059360729E-3</v>
      </c>
      <c r="I430" s="23">
        <f>IF(C430&lt;='Batt IN'!$G$14*12,'Batt IN'!$E$15/8760*'Batt IN'!$G$15,0)</f>
        <v>0</v>
      </c>
      <c r="J430" s="12">
        <f>Z430/'Batt IN'!$E$27/730</f>
        <v>2.4999999999999996E-3</v>
      </c>
      <c r="K430" s="23">
        <f>AA430/'Batt IN'!$E$27/730</f>
        <v>1.6027397260273972E-3</v>
      </c>
      <c r="L430" s="23">
        <f>AB430/'Batt IN'!$E$27/730</f>
        <v>2.0547945205479451E-4</v>
      </c>
      <c r="M430" s="23">
        <f>AC430/'Batt IN'!$E$27/730</f>
        <v>4.7945205479452057E-3</v>
      </c>
      <c r="N430" s="23">
        <f>AD430/'Batt IN'!$E$27/730</f>
        <v>3.4246575342465752E-3</v>
      </c>
      <c r="O430" s="12">
        <f t="shared" si="119"/>
        <v>4.3828767123287697E-2</v>
      </c>
      <c r="P430" s="21">
        <f t="shared" si="120"/>
        <v>818.48257534246579</v>
      </c>
      <c r="Q430" s="2">
        <f>IF('Batt IN'!$E$27*'Batt IN'!$E$24&lt;='Batt IN'!$E$28,(('Batt IN'!$E$23*'Batt IN'!$E$27*'Batt IN'!$E$24)/1000)*P430,(('Batt IN'!$E$23*'Batt IN'!$E$28*'Batt IN'!$E$24)/1000)*P430)</f>
        <v>13095.721205479453</v>
      </c>
      <c r="R430" s="2"/>
      <c r="S430" s="77">
        <f>IF(C430&lt;='Batt IN'!$G$14*12,'Batt IN'!$E$15/12,0)</f>
        <v>0</v>
      </c>
      <c r="T430" s="77"/>
      <c r="U430" s="80">
        <f>'Batt IN'!$E$28*('Batt IN'!$G$24/24)*730*(1-O430)</f>
        <v>81433.916666666657</v>
      </c>
      <c r="V430" s="78">
        <f>U430*'Batt IN'!$F$30</f>
        <v>16286.783333333333</v>
      </c>
      <c r="W430" s="78">
        <f>'Batt IN'!$E$28*'Batt IN'!$G$32*('Batt IN'!$E$32/12)*(1+'Batt IN'!$F$30)</f>
        <v>1750.0000000000002</v>
      </c>
      <c r="X430" s="78">
        <f>'Batt IN'!$E$28*'Batt IN'!$G$13*('Batt IN'!$E$13/12)*(1+'Batt IN'!$F$30)</f>
        <v>3184.9999999999995</v>
      </c>
      <c r="Y430" s="33">
        <f>S430*'Batt IN'!$G$15*'Batt IN'!$E$28*(1+'Batt IN'!$F$30)</f>
        <v>0</v>
      </c>
      <c r="Z430" s="33">
        <f>'Batt IN'!$G$16*365/12*(1+'Batt IN'!$F$30)</f>
        <v>1824.9999999999998</v>
      </c>
      <c r="AA430" s="33">
        <f>'Batt IN'!$G$17*'Batt IN'!$E$18*'Batt IN'!$G$18/12*(1+'Batt IN'!$F$30)</f>
        <v>1170</v>
      </c>
      <c r="AB430" s="33">
        <f>'Batt IN'!$G$19*'Batt IN'!$E$20*'Batt IN'!$G$20/12*(1+'Batt IN'!$F$30)</f>
        <v>150</v>
      </c>
      <c r="AC430" s="33">
        <f>'Batt IN'!$G$21*(1+'Batt IN'!$F$30)/12</f>
        <v>3500</v>
      </c>
      <c r="AD430" s="33">
        <f>'Batt IN'!$G$22*(1+'Batt IN'!$F$30)/12</f>
        <v>2500</v>
      </c>
      <c r="AE430" s="33">
        <f t="shared" si="121"/>
        <v>30366.783333333333</v>
      </c>
      <c r="AF430" s="33">
        <f>IF('PV IN'!$F$4="Battery Only",0,AE430*'Batt IN'!$E$29)</f>
        <v>25811.765833333331</v>
      </c>
      <c r="AG430" s="33">
        <f>PVCalcs!L430</f>
        <v>25811.765833333331</v>
      </c>
      <c r="AH430" s="33">
        <f t="shared" si="122"/>
        <v>4555.0175000000017</v>
      </c>
      <c r="AI430" s="33"/>
      <c r="AJ430" s="2">
        <f>IF(AND('Batt IN'!$D$53="Yes",$AL$1&gt;=1),IF($C430='Batt IN'!$H$54*12,-'Batt IN'!$F$54,0),0)</f>
        <v>0</v>
      </c>
      <c r="AK430" s="2">
        <f>IF(AND('Batt IN'!$D$53="Yes",$AL$1&gt;=2),IF($C430='Batt IN'!$H$55*12,-'Batt IN'!$F$55,0),0)</f>
        <v>0</v>
      </c>
      <c r="AL430" s="2">
        <f>IF(AND('Batt IN'!$D$53="Yes",$AL$1&gt;=3),IF($C430='Batt IN'!$H$56*12,-'Batt IN'!$F$56,0),0)</f>
        <v>0</v>
      </c>
      <c r="AM430" s="2">
        <f>IF(AND('Batt IN'!$D$53="Yes",$AL$1&gt;=4),IF($C430='Batt IN'!$H$57*12,-'Batt IN'!$F$57,0),0)</f>
        <v>0</v>
      </c>
      <c r="AN430" s="2">
        <f>IF(AND('Batt IN'!$D$53="Yes",$AL$1&gt;=5),IF($C430='Batt IN'!$H$58*12,-'Batt IN'!$F$58,0),0)</f>
        <v>0</v>
      </c>
      <c r="AO430" s="10">
        <f>IF(AND('Batt IN'!$D$44="YES",$C430&lt;='Batt IN'!$E$44*12),-'Batt IN'!$E$28*'Batt IN'!$E$42/12,0)</f>
        <v>0</v>
      </c>
      <c r="AP430" s="10">
        <f>IF(AND('Batt IN'!$D$46="YES",$C430&lt;='Batt IN'!$E$46*12),-'Batt IN'!$E$28*'Batt IN'!$E$45/12,0)</f>
        <v>0</v>
      </c>
      <c r="AR430" s="10">
        <f>BattLoan!M457</f>
        <v>0</v>
      </c>
      <c r="AS430" s="10">
        <f>'Batt IN'!$G$16*365/12*'Batt IN'!$E$16</f>
        <v>76.041666666666671</v>
      </c>
      <c r="AT430" s="10">
        <f>IF(AND('Batt IN'!$E$18&gt;0,'Batt IN'!$G$18&gt;0),'Batt IN'!$E$17*'Batt IN'!$G$17,0)</f>
        <v>119.44619999999999</v>
      </c>
      <c r="AU430" s="10">
        <f>IF(AND('Batt IN'!$E$20&gt;0,'Batt IN'!$G$20&gt;0),'Batt IN'!$E$19*'Batt IN'!$G$19,0)</f>
        <v>231</v>
      </c>
      <c r="AV430" s="10"/>
      <c r="AW430" s="10"/>
      <c r="AX430" s="10">
        <f>IF('Batt IN'!$E$11="Non-Taxable",Q430,0)</f>
        <v>13095.721205479453</v>
      </c>
      <c r="AY430" s="10">
        <f>IF('Batt IN'!$E$11="Non-Taxable",'Batt IN'!$E$28/1000*'Batt IN'!$G$13*('Batt IN'!$E$13/12)*'Batt IN'!$E$12,0)</f>
        <v>244.42220833333334</v>
      </c>
      <c r="AZ430" s="10">
        <f>IF('Batt IN'!$E$11="Non-Taxable",$S430*'Batt IN'!$G$15*'Batt IN'!$E$28*'Batt IN'!$E$14/1000,0)</f>
        <v>0</v>
      </c>
      <c r="BA430" s="10">
        <f>IF('Batt IN'!$E$11="Non-Taxable",'Batt IN'!$E$21*'Batt IN'!$G$21/12,0)</f>
        <v>437.5</v>
      </c>
      <c r="BB430" s="10">
        <f>IF('Batt IN'!$E$11="Non-Taxable",'Batt IN'!$E$22*'Batt IN'!$G$22/12,0)</f>
        <v>1145.8333333333335</v>
      </c>
      <c r="BC430" s="10">
        <f>IF('Batt IN'!$E$11="Taxable",Q430,0)</f>
        <v>0</v>
      </c>
      <c r="BD430" s="10">
        <f>IF('Batt IN'!$E$11="Taxable",'Batt IN'!$E$28/1000*'Batt IN'!$G$13*('Batt IN'!$E$13/12)*'Batt IN'!$E$12,0)</f>
        <v>0</v>
      </c>
      <c r="BE430" s="10">
        <f>IF('Batt IN'!$E$11="Taxable",$S430*'Batt IN'!$G$15*'Batt IN'!$E$28*'Batt IN'!$E$14/1000,0)</f>
        <v>0</v>
      </c>
      <c r="BF430" s="10">
        <f>IF('Batt IN'!$E$11="Taxable",'Batt IN'!$E$21*'Batt IN'!$G$21/12,0)</f>
        <v>0</v>
      </c>
      <c r="BG430" s="10">
        <f>IF('Batt IN'!$E$11="Taxable",'Batt IN'!$E$22*'Batt IN'!$G$22/12,0)</f>
        <v>0</v>
      </c>
      <c r="BK430" s="10">
        <f>IF('Batt IN'!$N$18="Yes",-BattLoan!H458,-BattLoan!L458)</f>
        <v>0</v>
      </c>
      <c r="BL430" s="10">
        <f>IF('Batt IN'!$N$18="Yes",-BattLoan!F458,0)</f>
        <v>0</v>
      </c>
      <c r="BM430" s="10">
        <f>IF(AND('Batt IN'!$D$44="YES",$C430&lt;='Batt IN'!$E$44*12),0,-'Batt IN'!$E$28*'Batt IN'!$E$42/12)</f>
        <v>-83.333333333333329</v>
      </c>
      <c r="BN430" s="10">
        <f>IF(AND('Batt IN'!$D$46="YES",$C430&lt;='Batt IN'!$E$46*12),0,-'Batt IN'!$E$28*'Batt IN'!$E$45/12)</f>
        <v>-166.66666666666666</v>
      </c>
      <c r="BO430" s="2">
        <f>IF(AND('Batt IN'!$D$41="YES",BattCalcs!C430=ROUNDUP('Batt IN'!$H$41*12,)),-'Batt IN'!$E$41*'Batt IN'!$E$28,0)</f>
        <v>0</v>
      </c>
      <c r="BP430" s="2">
        <f>IF(AND('Batt IN'!$D$53="Yes",$AL$1&gt;=1),0,IF($C430='Batt IN'!$H$54*12,-'Batt IN'!$F$54,0))</f>
        <v>0</v>
      </c>
      <c r="BQ430" s="2">
        <f>IF(AND('Batt IN'!$D$53="Yes",$AL$1&gt;=2),0,IF($C430='Batt IN'!$H$55*12,-'Batt IN'!$F$55,0))</f>
        <v>0</v>
      </c>
      <c r="BR430" s="2">
        <f>IF(AND('Batt IN'!$D$53="Yes",$AL$1&gt;=3),0,IF($C430='Batt IN'!$H$56*12,-'Batt IN'!$F$56,0))</f>
        <v>0</v>
      </c>
      <c r="BS430" s="2">
        <f>IF(AND('Batt IN'!$D$53="Yes",$AL$1&gt;=4),0,IF($C430='Batt IN'!$H$57*12,-'Batt IN'!$F$57,0))</f>
        <v>0</v>
      </c>
      <c r="BT430" s="2">
        <f>IF(AND('Batt IN'!$D$53="Yes",$AL$1&gt;=5),0,IF($C430='Batt IN'!$H$58*12,-'Batt IN'!$F$58,0))</f>
        <v>0</v>
      </c>
      <c r="BU430" s="2">
        <f>-AH430*PVCalcs!F430</f>
        <v>-359.37504381576838</v>
      </c>
      <c r="BV430" s="2">
        <f>-'Batt IN'!$E$47</f>
        <v>-150</v>
      </c>
      <c r="BW430" s="2">
        <f>-'Batt IN'!$E$49</f>
        <v>-2250</v>
      </c>
      <c r="BX430" s="2">
        <f>IF('Batt IN'!$H$50="No",-(BC430*'Batt IN'!$E$50),-(BC430+BE430)*'Batt IN'!$E$50)</f>
        <v>0</v>
      </c>
      <c r="BY430" s="2">
        <f>IF(C430='Batt IN'!$H$43*12,-'Batt IN'!$E$43,0)</f>
        <v>0</v>
      </c>
      <c r="BZ430" s="38"/>
      <c r="CA430" s="10">
        <f t="shared" si="123"/>
        <v>15349.964613812786</v>
      </c>
      <c r="CB430" s="2">
        <f t="shared" si="111"/>
        <v>-3009.3750438157685</v>
      </c>
      <c r="CC430" s="45">
        <f t="shared" si="124"/>
        <v>12340.589569997017</v>
      </c>
      <c r="CD430" s="43"/>
      <c r="CE430" s="2">
        <f t="shared" si="125"/>
        <v>0</v>
      </c>
      <c r="CF430" s="2">
        <f t="shared" si="112"/>
        <v>-3009.3750438157685</v>
      </c>
      <c r="CG430" s="2"/>
      <c r="CH430" s="2">
        <f t="shared" si="126"/>
        <v>-3009.3750438157685</v>
      </c>
      <c r="CI430" s="45">
        <f>-CH430*'Batt IN'!$E$7</f>
        <v>631.9687592013114</v>
      </c>
      <c r="CJ430" s="48"/>
      <c r="CK430" s="45">
        <f>IF('Batt IN'!$F$4="PV Only",0,IF(C430&gt;'Batt IN'!$H$43*12,0,CC430+CI430))</f>
        <v>0</v>
      </c>
      <c r="CM430" s="10">
        <f t="shared" si="127"/>
        <v>0</v>
      </c>
      <c r="CN430" s="2">
        <f>CK430/(1+('Batt IN'!$G$8))^(C430)</f>
        <v>0</v>
      </c>
      <c r="CO430" s="2" t="e">
        <f>IF(C430&lt;='Batt IN'!$O$30*12,CN430+CO429,NA())</f>
        <v>#N/A</v>
      </c>
      <c r="CQ430" s="2">
        <f>CK430/((1+('Batt IN'!$E$8/12))^BattCalcs!C430)</f>
        <v>0</v>
      </c>
      <c r="CS430" s="10">
        <f t="shared" si="113"/>
        <v>-3009.3750438157685</v>
      </c>
      <c r="CT430" s="10">
        <f t="shared" si="114"/>
        <v>0</v>
      </c>
      <c r="CU430" s="10">
        <f t="shared" si="115"/>
        <v>-3009.3750438157685</v>
      </c>
      <c r="CV430" s="10">
        <f t="shared" si="116"/>
        <v>-3009.3750438157685</v>
      </c>
      <c r="CW430" s="2">
        <f t="shared" si="117"/>
        <v>0</v>
      </c>
      <c r="CX430" s="2">
        <f>-(SUM(CV430:CW430)*'PV IN'!$E$8)</f>
        <v>631.9687592013114</v>
      </c>
      <c r="CY430" s="2">
        <f t="shared" si="118"/>
        <v>-2377.406284614457</v>
      </c>
      <c r="CZ430" s="2">
        <f>IF(C430&lt;='Batt IN'!$H$43*12,CY430/(1+('PV IN'!$G$9))^(C430),0)</f>
        <v>0</v>
      </c>
      <c r="DA430" s="33">
        <f>IF(C430&lt;='Batt IN'!$H$43*12,AE430,0)</f>
        <v>0</v>
      </c>
    </row>
    <row r="431" spans="1:105" x14ac:dyDescent="0.25">
      <c r="A431" t="str">
        <f>IF(C431&lt;='Batt IN'!$H$43*12,C431,"")</f>
        <v/>
      </c>
      <c r="C431">
        <v>427</v>
      </c>
      <c r="D431" s="21">
        <v>857</v>
      </c>
      <c r="E431" s="1">
        <f>1-'Batt IN'!$E$31</f>
        <v>2.0000000000000018E-2</v>
      </c>
      <c r="F431" s="12">
        <f>('Batt IN'!$E$33*365)/8760</f>
        <v>0</v>
      </c>
      <c r="G431" s="22">
        <f>'Batt IN'!$E$32/8760</f>
        <v>5.7077625570776253E-3</v>
      </c>
      <c r="H431" s="22">
        <f>'Batt IN'!$E$13/8760</f>
        <v>5.5936073059360729E-3</v>
      </c>
      <c r="I431" s="23">
        <f>IF(C431&lt;='Batt IN'!$G$14*12,'Batt IN'!$E$15/8760*'Batt IN'!$G$15,0)</f>
        <v>0</v>
      </c>
      <c r="J431" s="12">
        <f>Z431/'Batt IN'!$E$27/730</f>
        <v>2.4999999999999996E-3</v>
      </c>
      <c r="K431" s="23">
        <f>AA431/'Batt IN'!$E$27/730</f>
        <v>1.6027397260273972E-3</v>
      </c>
      <c r="L431" s="23">
        <f>AB431/'Batt IN'!$E$27/730</f>
        <v>2.0547945205479451E-4</v>
      </c>
      <c r="M431" s="23">
        <f>AC431/'Batt IN'!$E$27/730</f>
        <v>4.7945205479452057E-3</v>
      </c>
      <c r="N431" s="23">
        <f>AD431/'Batt IN'!$E$27/730</f>
        <v>3.4246575342465752E-3</v>
      </c>
      <c r="O431" s="12">
        <f t="shared" si="119"/>
        <v>4.3828767123287697E-2</v>
      </c>
      <c r="P431" s="21">
        <f t="shared" si="120"/>
        <v>819.43874657534252</v>
      </c>
      <c r="Q431" s="2">
        <f>IF('Batt IN'!$E$27*'Batt IN'!$E$24&lt;='Batt IN'!$E$28,(('Batt IN'!$E$23*'Batt IN'!$E$27*'Batt IN'!$E$24)/1000)*P431,(('Batt IN'!$E$23*'Batt IN'!$E$28*'Batt IN'!$E$24)/1000)*P431)</f>
        <v>13111.01994520548</v>
      </c>
      <c r="R431" s="2"/>
      <c r="S431" s="77">
        <f>IF(C431&lt;='Batt IN'!$G$14*12,'Batt IN'!$E$15/12,0)</f>
        <v>0</v>
      </c>
      <c r="T431" s="77"/>
      <c r="U431" s="80">
        <f>'Batt IN'!$E$28*('Batt IN'!$G$24/24)*730*(1-O431)</f>
        <v>81433.916666666657</v>
      </c>
      <c r="V431" s="78">
        <f>U431*'Batt IN'!$F$30</f>
        <v>16286.783333333333</v>
      </c>
      <c r="W431" s="78">
        <f>'Batt IN'!$E$28*'Batt IN'!$G$32*('Batt IN'!$E$32/12)*(1+'Batt IN'!$F$30)</f>
        <v>1750.0000000000002</v>
      </c>
      <c r="X431" s="78">
        <f>'Batt IN'!$E$28*'Batt IN'!$G$13*('Batt IN'!$E$13/12)*(1+'Batt IN'!$F$30)</f>
        <v>3184.9999999999995</v>
      </c>
      <c r="Y431" s="33">
        <f>S431*'Batt IN'!$G$15*'Batt IN'!$E$28*(1+'Batt IN'!$F$30)</f>
        <v>0</v>
      </c>
      <c r="Z431" s="33">
        <f>'Batt IN'!$G$16*365/12*(1+'Batt IN'!$F$30)</f>
        <v>1824.9999999999998</v>
      </c>
      <c r="AA431" s="33">
        <f>'Batt IN'!$G$17*'Batt IN'!$E$18*'Batt IN'!$G$18/12*(1+'Batt IN'!$F$30)</f>
        <v>1170</v>
      </c>
      <c r="AB431" s="33">
        <f>'Batt IN'!$G$19*'Batt IN'!$E$20*'Batt IN'!$G$20/12*(1+'Batt IN'!$F$30)</f>
        <v>150</v>
      </c>
      <c r="AC431" s="33">
        <f>'Batt IN'!$G$21*(1+'Batt IN'!$F$30)/12</f>
        <v>3500</v>
      </c>
      <c r="AD431" s="33">
        <f>'Batt IN'!$G$22*(1+'Batt IN'!$F$30)/12</f>
        <v>2500</v>
      </c>
      <c r="AE431" s="33">
        <f t="shared" si="121"/>
        <v>30366.783333333333</v>
      </c>
      <c r="AF431" s="33">
        <f>IF('PV IN'!$F$4="Battery Only",0,AE431*'Batt IN'!$E$29)</f>
        <v>25811.765833333331</v>
      </c>
      <c r="AG431" s="33">
        <f>PVCalcs!L431</f>
        <v>25811.765833333331</v>
      </c>
      <c r="AH431" s="33">
        <f t="shared" si="122"/>
        <v>4555.0175000000017</v>
      </c>
      <c r="AI431" s="33"/>
      <c r="AJ431" s="2">
        <f>IF(AND('Batt IN'!$D$53="Yes",$AL$1&gt;=1),IF($C431='Batt IN'!$H$54*12,-'Batt IN'!$F$54,0),0)</f>
        <v>0</v>
      </c>
      <c r="AK431" s="2">
        <f>IF(AND('Batt IN'!$D$53="Yes",$AL$1&gt;=2),IF($C431='Batt IN'!$H$55*12,-'Batt IN'!$F$55,0),0)</f>
        <v>0</v>
      </c>
      <c r="AL431" s="2">
        <f>IF(AND('Batt IN'!$D$53="Yes",$AL$1&gt;=3),IF($C431='Batt IN'!$H$56*12,-'Batt IN'!$F$56,0),0)</f>
        <v>0</v>
      </c>
      <c r="AM431" s="2">
        <f>IF(AND('Batt IN'!$D$53="Yes",$AL$1&gt;=4),IF($C431='Batt IN'!$H$57*12,-'Batt IN'!$F$57,0),0)</f>
        <v>0</v>
      </c>
      <c r="AN431" s="2">
        <f>IF(AND('Batt IN'!$D$53="Yes",$AL$1&gt;=5),IF($C431='Batt IN'!$H$58*12,-'Batt IN'!$F$58,0),0)</f>
        <v>0</v>
      </c>
      <c r="AO431" s="10">
        <f>IF(AND('Batt IN'!$D$44="YES",$C431&lt;='Batt IN'!$E$44*12),-'Batt IN'!$E$28*'Batt IN'!$E$42/12,0)</f>
        <v>0</v>
      </c>
      <c r="AP431" s="10">
        <f>IF(AND('Batt IN'!$D$46="YES",$C431&lt;='Batt IN'!$E$46*12),-'Batt IN'!$E$28*'Batt IN'!$E$45/12,0)</f>
        <v>0</v>
      </c>
      <c r="AR431" s="10">
        <f>BattLoan!M458</f>
        <v>0</v>
      </c>
      <c r="AS431" s="10">
        <f>'Batt IN'!$G$16*365/12*'Batt IN'!$E$16</f>
        <v>76.041666666666671</v>
      </c>
      <c r="AT431" s="10">
        <f>IF(AND('Batt IN'!$E$18&gt;0,'Batt IN'!$G$18&gt;0),'Batt IN'!$E$17*'Batt IN'!$G$17,0)</f>
        <v>119.44619999999999</v>
      </c>
      <c r="AU431" s="10">
        <f>IF(AND('Batt IN'!$E$20&gt;0,'Batt IN'!$G$20&gt;0),'Batt IN'!$E$19*'Batt IN'!$G$19,0)</f>
        <v>231</v>
      </c>
      <c r="AV431" s="10"/>
      <c r="AW431" s="10"/>
      <c r="AX431" s="10">
        <f>IF('Batt IN'!$E$11="Non-Taxable",Q431,0)</f>
        <v>13111.01994520548</v>
      </c>
      <c r="AY431" s="10">
        <f>IF('Batt IN'!$E$11="Non-Taxable",'Batt IN'!$E$28/1000*'Batt IN'!$G$13*('Batt IN'!$E$13/12)*'Batt IN'!$E$12,0)</f>
        <v>244.42220833333334</v>
      </c>
      <c r="AZ431" s="10">
        <f>IF('Batt IN'!$E$11="Non-Taxable",$S431*'Batt IN'!$G$15*'Batt IN'!$E$28*'Batt IN'!$E$14/1000,0)</f>
        <v>0</v>
      </c>
      <c r="BA431" s="10">
        <f>IF('Batt IN'!$E$11="Non-Taxable",'Batt IN'!$E$21*'Batt IN'!$G$21/12,0)</f>
        <v>437.5</v>
      </c>
      <c r="BB431" s="10">
        <f>IF('Batt IN'!$E$11="Non-Taxable",'Batt IN'!$E$22*'Batt IN'!$G$22/12,0)</f>
        <v>1145.8333333333335</v>
      </c>
      <c r="BC431" s="10">
        <f>IF('Batt IN'!$E$11="Taxable",Q431,0)</f>
        <v>0</v>
      </c>
      <c r="BD431" s="10">
        <f>IF('Batt IN'!$E$11="Taxable",'Batt IN'!$E$28/1000*'Batt IN'!$G$13*('Batt IN'!$E$13/12)*'Batt IN'!$E$12,0)</f>
        <v>0</v>
      </c>
      <c r="BE431" s="10">
        <f>IF('Batt IN'!$E$11="Taxable",$S431*'Batt IN'!$G$15*'Batt IN'!$E$28*'Batt IN'!$E$14/1000,0)</f>
        <v>0</v>
      </c>
      <c r="BF431" s="10">
        <f>IF('Batt IN'!$E$11="Taxable",'Batt IN'!$E$21*'Batt IN'!$G$21/12,0)</f>
        <v>0</v>
      </c>
      <c r="BG431" s="10">
        <f>IF('Batt IN'!$E$11="Taxable",'Batt IN'!$E$22*'Batt IN'!$G$22/12,0)</f>
        <v>0</v>
      </c>
      <c r="BK431" s="10">
        <f>IF('Batt IN'!$N$18="Yes",-BattLoan!H459,-BattLoan!L459)</f>
        <v>0</v>
      </c>
      <c r="BL431" s="10">
        <f>IF('Batt IN'!$N$18="Yes",-BattLoan!F459,0)</f>
        <v>0</v>
      </c>
      <c r="BM431" s="10">
        <f>IF(AND('Batt IN'!$D$44="YES",$C431&lt;='Batt IN'!$E$44*12),0,-'Batt IN'!$E$28*'Batt IN'!$E$42/12)</f>
        <v>-83.333333333333329</v>
      </c>
      <c r="BN431" s="10">
        <f>IF(AND('Batt IN'!$D$46="YES",$C431&lt;='Batt IN'!$E$46*12),0,-'Batt IN'!$E$28*'Batt IN'!$E$45/12)</f>
        <v>-166.66666666666666</v>
      </c>
      <c r="BO431" s="2">
        <f>IF(AND('Batt IN'!$D$41="YES",BattCalcs!C431=ROUNDUP('Batt IN'!$H$41*12,)),-'Batt IN'!$E$41*'Batt IN'!$E$28,0)</f>
        <v>0</v>
      </c>
      <c r="BP431" s="2">
        <f>IF(AND('Batt IN'!$D$53="Yes",$AL$1&gt;=1),0,IF($C431='Batt IN'!$H$54*12,-'Batt IN'!$F$54,0))</f>
        <v>0</v>
      </c>
      <c r="BQ431" s="2">
        <f>IF(AND('Batt IN'!$D$53="Yes",$AL$1&gt;=2),0,IF($C431='Batt IN'!$H$55*12,-'Batt IN'!$F$55,0))</f>
        <v>0</v>
      </c>
      <c r="BR431" s="2">
        <f>IF(AND('Batt IN'!$D$53="Yes",$AL$1&gt;=3),0,IF($C431='Batt IN'!$H$56*12,-'Batt IN'!$F$56,0))</f>
        <v>0</v>
      </c>
      <c r="BS431" s="2">
        <f>IF(AND('Batt IN'!$D$53="Yes",$AL$1&gt;=4),0,IF($C431='Batt IN'!$H$57*12,-'Batt IN'!$F$57,0))</f>
        <v>0</v>
      </c>
      <c r="BT431" s="2">
        <f>IF(AND('Batt IN'!$D$53="Yes",$AL$1&gt;=5),0,IF($C431='Batt IN'!$H$58*12,-'Batt IN'!$F$58,0))</f>
        <v>0</v>
      </c>
      <c r="BU431" s="2">
        <f>-AH431*PVCalcs!F431</f>
        <v>-359.37504381576838</v>
      </c>
      <c r="BV431" s="2">
        <f>-'Batt IN'!$E$47</f>
        <v>-150</v>
      </c>
      <c r="BW431" s="2">
        <f>-'Batt IN'!$E$49</f>
        <v>-2250</v>
      </c>
      <c r="BX431" s="2">
        <f>IF('Batt IN'!$H$50="No",-(BC431*'Batt IN'!$E$50),-(BC431+BE431)*'Batt IN'!$E$50)</f>
        <v>0</v>
      </c>
      <c r="BY431" s="2">
        <f>IF(C431='Batt IN'!$H$43*12,-'Batt IN'!$E$43,0)</f>
        <v>0</v>
      </c>
      <c r="BZ431" s="38"/>
      <c r="CA431" s="10">
        <f t="shared" si="123"/>
        <v>15365.263353538814</v>
      </c>
      <c r="CB431" s="2">
        <f t="shared" si="111"/>
        <v>-3009.3750438157685</v>
      </c>
      <c r="CC431" s="45">
        <f t="shared" si="124"/>
        <v>12355.888309723046</v>
      </c>
      <c r="CD431" s="43"/>
      <c r="CE431" s="2">
        <f t="shared" si="125"/>
        <v>0</v>
      </c>
      <c r="CF431" s="2">
        <f t="shared" si="112"/>
        <v>-3009.3750438157685</v>
      </c>
      <c r="CG431" s="2"/>
      <c r="CH431" s="2">
        <f t="shared" si="126"/>
        <v>-3009.3750438157685</v>
      </c>
      <c r="CI431" s="45">
        <f>-CH431*'Batt IN'!$E$7</f>
        <v>631.9687592013114</v>
      </c>
      <c r="CJ431" s="48"/>
      <c r="CK431" s="45">
        <f>IF('Batt IN'!$F$4="PV Only",0,IF(C431&gt;'Batt IN'!$H$43*12,0,CC431+CI431))</f>
        <v>0</v>
      </c>
      <c r="CM431" s="10">
        <f t="shared" si="127"/>
        <v>0</v>
      </c>
      <c r="CN431" s="2">
        <f>CK431/(1+('Batt IN'!$G$8))^(C431)</f>
        <v>0</v>
      </c>
      <c r="CO431" s="2" t="e">
        <f>IF(C431&lt;='Batt IN'!$O$30*12,CN431+CO430,NA())</f>
        <v>#N/A</v>
      </c>
      <c r="CQ431" s="2">
        <f>CK431/((1+('Batt IN'!$E$8/12))^BattCalcs!C431)</f>
        <v>0</v>
      </c>
      <c r="CS431" s="10">
        <f t="shared" si="113"/>
        <v>-3009.3750438157685</v>
      </c>
      <c r="CT431" s="10">
        <f t="shared" si="114"/>
        <v>0</v>
      </c>
      <c r="CU431" s="10">
        <f t="shared" si="115"/>
        <v>-3009.3750438157685</v>
      </c>
      <c r="CV431" s="10">
        <f t="shared" si="116"/>
        <v>-3009.3750438157685</v>
      </c>
      <c r="CW431" s="2">
        <f t="shared" si="117"/>
        <v>0</v>
      </c>
      <c r="CX431" s="2">
        <f>-(SUM(CV431:CW431)*'PV IN'!$E$8)</f>
        <v>631.9687592013114</v>
      </c>
      <c r="CY431" s="2">
        <f t="shared" si="118"/>
        <v>-2377.406284614457</v>
      </c>
      <c r="CZ431" s="2">
        <f>IF(C431&lt;='Batt IN'!$H$43*12,CY431/(1+('PV IN'!$G$9))^(C431),0)</f>
        <v>0</v>
      </c>
      <c r="DA431" s="33">
        <f>IF(C431&lt;='Batt IN'!$H$43*12,AE431,0)</f>
        <v>0</v>
      </c>
    </row>
    <row r="432" spans="1:105" x14ac:dyDescent="0.25">
      <c r="A432" t="str">
        <f>IF(C432&lt;='Batt IN'!$H$43*12,C432,"")</f>
        <v/>
      </c>
      <c r="C432">
        <v>428</v>
      </c>
      <c r="D432" s="21">
        <v>858</v>
      </c>
      <c r="E432" s="1">
        <f>1-'Batt IN'!$E$31</f>
        <v>2.0000000000000018E-2</v>
      </c>
      <c r="F432" s="12">
        <f>('Batt IN'!$E$33*365)/8760</f>
        <v>0</v>
      </c>
      <c r="G432" s="22">
        <f>'Batt IN'!$E$32/8760</f>
        <v>5.7077625570776253E-3</v>
      </c>
      <c r="H432" s="22">
        <f>'Batt IN'!$E$13/8760</f>
        <v>5.5936073059360729E-3</v>
      </c>
      <c r="I432" s="23">
        <f>IF(C432&lt;='Batt IN'!$G$14*12,'Batt IN'!$E$15/8760*'Batt IN'!$G$15,0)</f>
        <v>0</v>
      </c>
      <c r="J432" s="12">
        <f>Z432/'Batt IN'!$E$27/730</f>
        <v>2.4999999999999996E-3</v>
      </c>
      <c r="K432" s="23">
        <f>AA432/'Batt IN'!$E$27/730</f>
        <v>1.6027397260273972E-3</v>
      </c>
      <c r="L432" s="23">
        <f>AB432/'Batt IN'!$E$27/730</f>
        <v>2.0547945205479451E-4</v>
      </c>
      <c r="M432" s="23">
        <f>AC432/'Batt IN'!$E$27/730</f>
        <v>4.7945205479452057E-3</v>
      </c>
      <c r="N432" s="23">
        <f>AD432/'Batt IN'!$E$27/730</f>
        <v>3.4246575342465752E-3</v>
      </c>
      <c r="O432" s="12">
        <f t="shared" si="119"/>
        <v>4.3828767123287697E-2</v>
      </c>
      <c r="P432" s="21">
        <f t="shared" si="120"/>
        <v>820.39491780821925</v>
      </c>
      <c r="Q432" s="2">
        <f>IF('Batt IN'!$E$27*'Batt IN'!$E$24&lt;='Batt IN'!$E$28,(('Batt IN'!$E$23*'Batt IN'!$E$27*'Batt IN'!$E$24)/1000)*P432,(('Batt IN'!$E$23*'Batt IN'!$E$28*'Batt IN'!$E$24)/1000)*P432)</f>
        <v>13126.318684931508</v>
      </c>
      <c r="R432" s="2"/>
      <c r="S432" s="77">
        <f>IF(C432&lt;='Batt IN'!$G$14*12,'Batt IN'!$E$15/12,0)</f>
        <v>0</v>
      </c>
      <c r="T432" s="77"/>
      <c r="U432" s="80">
        <f>'Batt IN'!$E$28*('Batt IN'!$G$24/24)*730*(1-O432)</f>
        <v>81433.916666666657</v>
      </c>
      <c r="V432" s="78">
        <f>U432*'Batt IN'!$F$30</f>
        <v>16286.783333333333</v>
      </c>
      <c r="W432" s="78">
        <f>'Batt IN'!$E$28*'Batt IN'!$G$32*('Batt IN'!$E$32/12)*(1+'Batt IN'!$F$30)</f>
        <v>1750.0000000000002</v>
      </c>
      <c r="X432" s="78">
        <f>'Batt IN'!$E$28*'Batt IN'!$G$13*('Batt IN'!$E$13/12)*(1+'Batt IN'!$F$30)</f>
        <v>3184.9999999999995</v>
      </c>
      <c r="Y432" s="33">
        <f>S432*'Batt IN'!$G$15*'Batt IN'!$E$28*(1+'Batt IN'!$F$30)</f>
        <v>0</v>
      </c>
      <c r="Z432" s="33">
        <f>'Batt IN'!$G$16*365/12*(1+'Batt IN'!$F$30)</f>
        <v>1824.9999999999998</v>
      </c>
      <c r="AA432" s="33">
        <f>'Batt IN'!$G$17*'Batt IN'!$E$18*'Batt IN'!$G$18/12*(1+'Batt IN'!$F$30)</f>
        <v>1170</v>
      </c>
      <c r="AB432" s="33">
        <f>'Batt IN'!$G$19*'Batt IN'!$E$20*'Batt IN'!$G$20/12*(1+'Batt IN'!$F$30)</f>
        <v>150</v>
      </c>
      <c r="AC432" s="33">
        <f>'Batt IN'!$G$21*(1+'Batt IN'!$F$30)/12</f>
        <v>3500</v>
      </c>
      <c r="AD432" s="33">
        <f>'Batt IN'!$G$22*(1+'Batt IN'!$F$30)/12</f>
        <v>2500</v>
      </c>
      <c r="AE432" s="33">
        <f t="shared" si="121"/>
        <v>30366.783333333333</v>
      </c>
      <c r="AF432" s="33">
        <f>IF('PV IN'!$F$4="Battery Only",0,AE432*'Batt IN'!$E$29)</f>
        <v>25811.765833333331</v>
      </c>
      <c r="AG432" s="33">
        <f>PVCalcs!L432</f>
        <v>25811.765833333331</v>
      </c>
      <c r="AH432" s="33">
        <f t="shared" si="122"/>
        <v>4555.0175000000017</v>
      </c>
      <c r="AI432" s="33"/>
      <c r="AJ432" s="2">
        <f>IF(AND('Batt IN'!$D$53="Yes",$AL$1&gt;=1),IF($C432='Batt IN'!$H$54*12,-'Batt IN'!$F$54,0),0)</f>
        <v>0</v>
      </c>
      <c r="AK432" s="2">
        <f>IF(AND('Batt IN'!$D$53="Yes",$AL$1&gt;=2),IF($C432='Batt IN'!$H$55*12,-'Batt IN'!$F$55,0),0)</f>
        <v>0</v>
      </c>
      <c r="AL432" s="2">
        <f>IF(AND('Batt IN'!$D$53="Yes",$AL$1&gt;=3),IF($C432='Batt IN'!$H$56*12,-'Batt IN'!$F$56,0),0)</f>
        <v>0</v>
      </c>
      <c r="AM432" s="2">
        <f>IF(AND('Batt IN'!$D$53="Yes",$AL$1&gt;=4),IF($C432='Batt IN'!$H$57*12,-'Batt IN'!$F$57,0),0)</f>
        <v>0</v>
      </c>
      <c r="AN432" s="2">
        <f>IF(AND('Batt IN'!$D$53="Yes",$AL$1&gt;=5),IF($C432='Batt IN'!$H$58*12,-'Batt IN'!$F$58,0),0)</f>
        <v>0</v>
      </c>
      <c r="AO432" s="10">
        <f>IF(AND('Batt IN'!$D$44="YES",$C432&lt;='Batt IN'!$E$44*12),-'Batt IN'!$E$28*'Batt IN'!$E$42/12,0)</f>
        <v>0</v>
      </c>
      <c r="AP432" s="10">
        <f>IF(AND('Batt IN'!$D$46="YES",$C432&lt;='Batt IN'!$E$46*12),-'Batt IN'!$E$28*'Batt IN'!$E$45/12,0)</f>
        <v>0</v>
      </c>
      <c r="AR432" s="10">
        <f>BattLoan!M459</f>
        <v>0</v>
      </c>
      <c r="AS432" s="10">
        <f>'Batt IN'!$G$16*365/12*'Batt IN'!$E$16</f>
        <v>76.041666666666671</v>
      </c>
      <c r="AT432" s="10">
        <f>IF(AND('Batt IN'!$E$18&gt;0,'Batt IN'!$G$18&gt;0),'Batt IN'!$E$17*'Batt IN'!$G$17,0)</f>
        <v>119.44619999999999</v>
      </c>
      <c r="AU432" s="10">
        <f>IF(AND('Batt IN'!$E$20&gt;0,'Batt IN'!$G$20&gt;0),'Batt IN'!$E$19*'Batt IN'!$G$19,0)</f>
        <v>231</v>
      </c>
      <c r="AV432" s="10"/>
      <c r="AW432" s="10"/>
      <c r="AX432" s="10">
        <f>IF('Batt IN'!$E$11="Non-Taxable",Q432,0)</f>
        <v>13126.318684931508</v>
      </c>
      <c r="AY432" s="10">
        <f>IF('Batt IN'!$E$11="Non-Taxable",'Batt IN'!$E$28/1000*'Batt IN'!$G$13*('Batt IN'!$E$13/12)*'Batt IN'!$E$12,0)</f>
        <v>244.42220833333334</v>
      </c>
      <c r="AZ432" s="10">
        <f>IF('Batt IN'!$E$11="Non-Taxable",$S432*'Batt IN'!$G$15*'Batt IN'!$E$28*'Batt IN'!$E$14/1000,0)</f>
        <v>0</v>
      </c>
      <c r="BA432" s="10">
        <f>IF('Batt IN'!$E$11="Non-Taxable",'Batt IN'!$E$21*'Batt IN'!$G$21/12,0)</f>
        <v>437.5</v>
      </c>
      <c r="BB432" s="10">
        <f>IF('Batt IN'!$E$11="Non-Taxable",'Batt IN'!$E$22*'Batt IN'!$G$22/12,0)</f>
        <v>1145.8333333333335</v>
      </c>
      <c r="BC432" s="10">
        <f>IF('Batt IN'!$E$11="Taxable",Q432,0)</f>
        <v>0</v>
      </c>
      <c r="BD432" s="10">
        <f>IF('Batt IN'!$E$11="Taxable",'Batt IN'!$E$28/1000*'Batt IN'!$G$13*('Batt IN'!$E$13/12)*'Batt IN'!$E$12,0)</f>
        <v>0</v>
      </c>
      <c r="BE432" s="10">
        <f>IF('Batt IN'!$E$11="Taxable",$S432*'Batt IN'!$G$15*'Batt IN'!$E$28*'Batt IN'!$E$14/1000,0)</f>
        <v>0</v>
      </c>
      <c r="BF432" s="10">
        <f>IF('Batt IN'!$E$11="Taxable",'Batt IN'!$E$21*'Batt IN'!$G$21/12,0)</f>
        <v>0</v>
      </c>
      <c r="BG432" s="10">
        <f>IF('Batt IN'!$E$11="Taxable",'Batt IN'!$E$22*'Batt IN'!$G$22/12,0)</f>
        <v>0</v>
      </c>
      <c r="BK432" s="10">
        <f>IF('Batt IN'!$N$18="Yes",-BattLoan!H460,-BattLoan!L460)</f>
        <v>0</v>
      </c>
      <c r="BL432" s="10">
        <f>IF('Batt IN'!$N$18="Yes",-BattLoan!F460,0)</f>
        <v>0</v>
      </c>
      <c r="BM432" s="10">
        <f>IF(AND('Batt IN'!$D$44="YES",$C432&lt;='Batt IN'!$E$44*12),0,-'Batt IN'!$E$28*'Batt IN'!$E$42/12)</f>
        <v>-83.333333333333329</v>
      </c>
      <c r="BN432" s="10">
        <f>IF(AND('Batt IN'!$D$46="YES",$C432&lt;='Batt IN'!$E$46*12),0,-'Batt IN'!$E$28*'Batt IN'!$E$45/12)</f>
        <v>-166.66666666666666</v>
      </c>
      <c r="BO432" s="2">
        <f>IF(AND('Batt IN'!$D$41="YES",BattCalcs!C432=ROUNDUP('Batt IN'!$H$41*12,)),-'Batt IN'!$E$41*'Batt IN'!$E$28,0)</f>
        <v>0</v>
      </c>
      <c r="BP432" s="2">
        <f>IF(AND('Batt IN'!$D$53="Yes",$AL$1&gt;=1),0,IF($C432='Batt IN'!$H$54*12,-'Batt IN'!$F$54,0))</f>
        <v>0</v>
      </c>
      <c r="BQ432" s="2">
        <f>IF(AND('Batt IN'!$D$53="Yes",$AL$1&gt;=2),0,IF($C432='Batt IN'!$H$55*12,-'Batt IN'!$F$55,0))</f>
        <v>0</v>
      </c>
      <c r="BR432" s="2">
        <f>IF(AND('Batt IN'!$D$53="Yes",$AL$1&gt;=3),0,IF($C432='Batt IN'!$H$56*12,-'Batt IN'!$F$56,0))</f>
        <v>0</v>
      </c>
      <c r="BS432" s="2">
        <f>IF(AND('Batt IN'!$D$53="Yes",$AL$1&gt;=4),0,IF($C432='Batt IN'!$H$57*12,-'Batt IN'!$F$57,0))</f>
        <v>0</v>
      </c>
      <c r="BT432" s="2">
        <f>IF(AND('Batt IN'!$D$53="Yes",$AL$1&gt;=5),0,IF($C432='Batt IN'!$H$58*12,-'Batt IN'!$F$58,0))</f>
        <v>0</v>
      </c>
      <c r="BU432" s="2">
        <f>-AH432*PVCalcs!F432</f>
        <v>-359.37504381576838</v>
      </c>
      <c r="BV432" s="2">
        <f>-'Batt IN'!$E$47</f>
        <v>-150</v>
      </c>
      <c r="BW432" s="2">
        <f>-'Batt IN'!$E$49</f>
        <v>-2250</v>
      </c>
      <c r="BX432" s="2">
        <f>IF('Batt IN'!$H$50="No",-(BC432*'Batt IN'!$E$50),-(BC432+BE432)*'Batt IN'!$E$50)</f>
        <v>0</v>
      </c>
      <c r="BY432" s="2">
        <f>IF(C432='Batt IN'!$H$43*12,-'Batt IN'!$E$43,0)</f>
        <v>0</v>
      </c>
      <c r="BZ432" s="38"/>
      <c r="CA432" s="10">
        <f t="shared" si="123"/>
        <v>15380.562093264842</v>
      </c>
      <c r="CB432" s="2">
        <f t="shared" si="111"/>
        <v>-3009.3750438157685</v>
      </c>
      <c r="CC432" s="45">
        <f t="shared" si="124"/>
        <v>12371.187049449072</v>
      </c>
      <c r="CD432" s="43"/>
      <c r="CE432" s="2">
        <f t="shared" si="125"/>
        <v>0</v>
      </c>
      <c r="CF432" s="2">
        <f t="shared" si="112"/>
        <v>-3009.3750438157685</v>
      </c>
      <c r="CG432" s="2"/>
      <c r="CH432" s="2">
        <f t="shared" si="126"/>
        <v>-3009.3750438157685</v>
      </c>
      <c r="CI432" s="45">
        <f>-CH432*'Batt IN'!$E$7</f>
        <v>631.9687592013114</v>
      </c>
      <c r="CJ432" s="48"/>
      <c r="CK432" s="45">
        <f>IF('Batt IN'!$F$4="PV Only",0,IF(C432&gt;'Batt IN'!$H$43*12,0,CC432+CI432))</f>
        <v>0</v>
      </c>
      <c r="CM432" s="10">
        <f t="shared" si="127"/>
        <v>0</v>
      </c>
      <c r="CN432" s="2">
        <f>CK432/(1+('Batt IN'!$G$8))^(C432)</f>
        <v>0</v>
      </c>
      <c r="CO432" s="2" t="e">
        <f>IF(C432&lt;='Batt IN'!$O$30*12,CN432+CO431,NA())</f>
        <v>#N/A</v>
      </c>
      <c r="CQ432" s="2">
        <f>CK432/((1+('Batt IN'!$E$8/12))^BattCalcs!C432)</f>
        <v>0</v>
      </c>
      <c r="CS432" s="10">
        <f t="shared" si="113"/>
        <v>-3009.3750438157685</v>
      </c>
      <c r="CT432" s="10">
        <f t="shared" si="114"/>
        <v>0</v>
      </c>
      <c r="CU432" s="10">
        <f t="shared" si="115"/>
        <v>-3009.3750438157685</v>
      </c>
      <c r="CV432" s="10">
        <f t="shared" si="116"/>
        <v>-3009.3750438157685</v>
      </c>
      <c r="CW432" s="2">
        <f t="shared" si="117"/>
        <v>0</v>
      </c>
      <c r="CX432" s="2">
        <f>-(SUM(CV432:CW432)*'PV IN'!$E$8)</f>
        <v>631.9687592013114</v>
      </c>
      <c r="CY432" s="2">
        <f t="shared" si="118"/>
        <v>-2377.406284614457</v>
      </c>
      <c r="CZ432" s="2">
        <f>IF(C432&lt;='Batt IN'!$H$43*12,CY432/(1+('PV IN'!$G$9))^(C432),0)</f>
        <v>0</v>
      </c>
      <c r="DA432" s="33">
        <f>IF(C432&lt;='Batt IN'!$H$43*12,AE432,0)</f>
        <v>0</v>
      </c>
    </row>
    <row r="433" spans="1:105" x14ac:dyDescent="0.25">
      <c r="A433" t="str">
        <f>IF(C433&lt;='Batt IN'!$H$43*12,C433,"")</f>
        <v/>
      </c>
      <c r="C433">
        <v>429</v>
      </c>
      <c r="D433" s="21">
        <v>859</v>
      </c>
      <c r="E433" s="1">
        <f>1-'Batt IN'!$E$31</f>
        <v>2.0000000000000018E-2</v>
      </c>
      <c r="F433" s="12">
        <f>('Batt IN'!$E$33*365)/8760</f>
        <v>0</v>
      </c>
      <c r="G433" s="22">
        <f>'Batt IN'!$E$32/8760</f>
        <v>5.7077625570776253E-3</v>
      </c>
      <c r="H433" s="22">
        <f>'Batt IN'!$E$13/8760</f>
        <v>5.5936073059360729E-3</v>
      </c>
      <c r="I433" s="23">
        <f>IF(C433&lt;='Batt IN'!$G$14*12,'Batt IN'!$E$15/8760*'Batt IN'!$G$15,0)</f>
        <v>0</v>
      </c>
      <c r="J433" s="12">
        <f>Z433/'Batt IN'!$E$27/730</f>
        <v>2.4999999999999996E-3</v>
      </c>
      <c r="K433" s="23">
        <f>AA433/'Batt IN'!$E$27/730</f>
        <v>1.6027397260273972E-3</v>
      </c>
      <c r="L433" s="23">
        <f>AB433/'Batt IN'!$E$27/730</f>
        <v>2.0547945205479451E-4</v>
      </c>
      <c r="M433" s="23">
        <f>AC433/'Batt IN'!$E$27/730</f>
        <v>4.7945205479452057E-3</v>
      </c>
      <c r="N433" s="23">
        <f>AD433/'Batt IN'!$E$27/730</f>
        <v>3.4246575342465752E-3</v>
      </c>
      <c r="O433" s="12">
        <f t="shared" si="119"/>
        <v>4.3828767123287697E-2</v>
      </c>
      <c r="P433" s="21">
        <f t="shared" si="120"/>
        <v>821.35108904109586</v>
      </c>
      <c r="Q433" s="2">
        <f>IF('Batt IN'!$E$27*'Batt IN'!$E$24&lt;='Batt IN'!$E$28,(('Batt IN'!$E$23*'Batt IN'!$E$27*'Batt IN'!$E$24)/1000)*P433,(('Batt IN'!$E$23*'Batt IN'!$E$28*'Batt IN'!$E$24)/1000)*P433)</f>
        <v>13141.617424657534</v>
      </c>
      <c r="R433" s="2"/>
      <c r="S433" s="77">
        <f>IF(C433&lt;='Batt IN'!$G$14*12,'Batt IN'!$E$15/12,0)</f>
        <v>0</v>
      </c>
      <c r="T433" s="77"/>
      <c r="U433" s="80">
        <f>'Batt IN'!$E$28*('Batt IN'!$G$24/24)*730*(1-O433)</f>
        <v>81433.916666666657</v>
      </c>
      <c r="V433" s="78">
        <f>U433*'Batt IN'!$F$30</f>
        <v>16286.783333333333</v>
      </c>
      <c r="W433" s="78">
        <f>'Batt IN'!$E$28*'Batt IN'!$G$32*('Batt IN'!$E$32/12)*(1+'Batt IN'!$F$30)</f>
        <v>1750.0000000000002</v>
      </c>
      <c r="X433" s="78">
        <f>'Batt IN'!$E$28*'Batt IN'!$G$13*('Batt IN'!$E$13/12)*(1+'Batt IN'!$F$30)</f>
        <v>3184.9999999999995</v>
      </c>
      <c r="Y433" s="33">
        <f>S433*'Batt IN'!$G$15*'Batt IN'!$E$28*(1+'Batt IN'!$F$30)</f>
        <v>0</v>
      </c>
      <c r="Z433" s="33">
        <f>'Batt IN'!$G$16*365/12*(1+'Batt IN'!$F$30)</f>
        <v>1824.9999999999998</v>
      </c>
      <c r="AA433" s="33">
        <f>'Batt IN'!$G$17*'Batt IN'!$E$18*'Batt IN'!$G$18/12*(1+'Batt IN'!$F$30)</f>
        <v>1170</v>
      </c>
      <c r="AB433" s="33">
        <f>'Batt IN'!$G$19*'Batt IN'!$E$20*'Batt IN'!$G$20/12*(1+'Batt IN'!$F$30)</f>
        <v>150</v>
      </c>
      <c r="AC433" s="33">
        <f>'Batt IN'!$G$21*(1+'Batt IN'!$F$30)/12</f>
        <v>3500</v>
      </c>
      <c r="AD433" s="33">
        <f>'Batt IN'!$G$22*(1+'Batt IN'!$F$30)/12</f>
        <v>2500</v>
      </c>
      <c r="AE433" s="33">
        <f t="shared" si="121"/>
        <v>30366.783333333333</v>
      </c>
      <c r="AF433" s="33">
        <f>IF('PV IN'!$F$4="Battery Only",0,AE433*'Batt IN'!$E$29)</f>
        <v>25811.765833333331</v>
      </c>
      <c r="AG433" s="33">
        <f>PVCalcs!L433</f>
        <v>25811.765833333331</v>
      </c>
      <c r="AH433" s="33">
        <f t="shared" si="122"/>
        <v>4555.0175000000017</v>
      </c>
      <c r="AI433" s="33"/>
      <c r="AJ433" s="2">
        <f>IF(AND('Batt IN'!$D$53="Yes",$AL$1&gt;=1),IF($C433='Batt IN'!$H$54*12,-'Batt IN'!$F$54,0),0)</f>
        <v>0</v>
      </c>
      <c r="AK433" s="2">
        <f>IF(AND('Batt IN'!$D$53="Yes",$AL$1&gt;=2),IF($C433='Batt IN'!$H$55*12,-'Batt IN'!$F$55,0),0)</f>
        <v>0</v>
      </c>
      <c r="AL433" s="2">
        <f>IF(AND('Batt IN'!$D$53="Yes",$AL$1&gt;=3),IF($C433='Batt IN'!$H$56*12,-'Batt IN'!$F$56,0),0)</f>
        <v>0</v>
      </c>
      <c r="AM433" s="2">
        <f>IF(AND('Batt IN'!$D$53="Yes",$AL$1&gt;=4),IF($C433='Batt IN'!$H$57*12,-'Batt IN'!$F$57,0),0)</f>
        <v>0</v>
      </c>
      <c r="AN433" s="2">
        <f>IF(AND('Batt IN'!$D$53="Yes",$AL$1&gt;=5),IF($C433='Batt IN'!$H$58*12,-'Batt IN'!$F$58,0),0)</f>
        <v>0</v>
      </c>
      <c r="AO433" s="10">
        <f>IF(AND('Batt IN'!$D$44="YES",$C433&lt;='Batt IN'!$E$44*12),-'Batt IN'!$E$28*'Batt IN'!$E$42/12,0)</f>
        <v>0</v>
      </c>
      <c r="AP433" s="10">
        <f>IF(AND('Batt IN'!$D$46="YES",$C433&lt;='Batt IN'!$E$46*12),-'Batt IN'!$E$28*'Batt IN'!$E$45/12,0)</f>
        <v>0</v>
      </c>
      <c r="AR433" s="10">
        <f>BattLoan!M460</f>
        <v>0</v>
      </c>
      <c r="AS433" s="10">
        <f>'Batt IN'!$G$16*365/12*'Batt IN'!$E$16</f>
        <v>76.041666666666671</v>
      </c>
      <c r="AT433" s="10">
        <f>IF(AND('Batt IN'!$E$18&gt;0,'Batt IN'!$G$18&gt;0),'Batt IN'!$E$17*'Batt IN'!$G$17,0)</f>
        <v>119.44619999999999</v>
      </c>
      <c r="AU433" s="10">
        <f>IF(AND('Batt IN'!$E$20&gt;0,'Batt IN'!$G$20&gt;0),'Batt IN'!$E$19*'Batt IN'!$G$19,0)</f>
        <v>231</v>
      </c>
      <c r="AV433" s="10"/>
      <c r="AW433" s="10"/>
      <c r="AX433" s="10">
        <f>IF('Batt IN'!$E$11="Non-Taxable",Q433,0)</f>
        <v>13141.617424657534</v>
      </c>
      <c r="AY433" s="10">
        <f>IF('Batt IN'!$E$11="Non-Taxable",'Batt IN'!$E$28/1000*'Batt IN'!$G$13*('Batt IN'!$E$13/12)*'Batt IN'!$E$12,0)</f>
        <v>244.42220833333334</v>
      </c>
      <c r="AZ433" s="10">
        <f>IF('Batt IN'!$E$11="Non-Taxable",$S433*'Batt IN'!$G$15*'Batt IN'!$E$28*'Batt IN'!$E$14/1000,0)</f>
        <v>0</v>
      </c>
      <c r="BA433" s="10">
        <f>IF('Batt IN'!$E$11="Non-Taxable",'Batt IN'!$E$21*'Batt IN'!$G$21/12,0)</f>
        <v>437.5</v>
      </c>
      <c r="BB433" s="10">
        <f>IF('Batt IN'!$E$11="Non-Taxable",'Batt IN'!$E$22*'Batt IN'!$G$22/12,0)</f>
        <v>1145.8333333333335</v>
      </c>
      <c r="BC433" s="10">
        <f>IF('Batt IN'!$E$11="Taxable",Q433,0)</f>
        <v>0</v>
      </c>
      <c r="BD433" s="10">
        <f>IF('Batt IN'!$E$11="Taxable",'Batt IN'!$E$28/1000*'Batt IN'!$G$13*('Batt IN'!$E$13/12)*'Batt IN'!$E$12,0)</f>
        <v>0</v>
      </c>
      <c r="BE433" s="10">
        <f>IF('Batt IN'!$E$11="Taxable",$S433*'Batt IN'!$G$15*'Batt IN'!$E$28*'Batt IN'!$E$14/1000,0)</f>
        <v>0</v>
      </c>
      <c r="BF433" s="10">
        <f>IF('Batt IN'!$E$11="Taxable",'Batt IN'!$E$21*'Batt IN'!$G$21/12,0)</f>
        <v>0</v>
      </c>
      <c r="BG433" s="10">
        <f>IF('Batt IN'!$E$11="Taxable",'Batt IN'!$E$22*'Batt IN'!$G$22/12,0)</f>
        <v>0</v>
      </c>
      <c r="BK433" s="10">
        <f>IF('Batt IN'!$N$18="Yes",-BattLoan!H461,-BattLoan!L461)</f>
        <v>0</v>
      </c>
      <c r="BL433" s="10">
        <f>IF('Batt IN'!$N$18="Yes",-BattLoan!F461,0)</f>
        <v>0</v>
      </c>
      <c r="BM433" s="10">
        <f>IF(AND('Batt IN'!$D$44="YES",$C433&lt;='Batt IN'!$E$44*12),0,-'Batt IN'!$E$28*'Batt IN'!$E$42/12)</f>
        <v>-83.333333333333329</v>
      </c>
      <c r="BN433" s="10">
        <f>IF(AND('Batt IN'!$D$46="YES",$C433&lt;='Batt IN'!$E$46*12),0,-'Batt IN'!$E$28*'Batt IN'!$E$45/12)</f>
        <v>-166.66666666666666</v>
      </c>
      <c r="BO433" s="2">
        <f>IF(AND('Batt IN'!$D$41="YES",BattCalcs!C433=ROUNDUP('Batt IN'!$H$41*12,)),-'Batt IN'!$E$41*'Batt IN'!$E$28,0)</f>
        <v>0</v>
      </c>
      <c r="BP433" s="2">
        <f>IF(AND('Batt IN'!$D$53="Yes",$AL$1&gt;=1),0,IF($C433='Batt IN'!$H$54*12,-'Batt IN'!$F$54,0))</f>
        <v>0</v>
      </c>
      <c r="BQ433" s="2">
        <f>IF(AND('Batt IN'!$D$53="Yes",$AL$1&gt;=2),0,IF($C433='Batt IN'!$H$55*12,-'Batt IN'!$F$55,0))</f>
        <v>0</v>
      </c>
      <c r="BR433" s="2">
        <f>IF(AND('Batt IN'!$D$53="Yes",$AL$1&gt;=3),0,IF($C433='Batt IN'!$H$56*12,-'Batt IN'!$F$56,0))</f>
        <v>0</v>
      </c>
      <c r="BS433" s="2">
        <f>IF(AND('Batt IN'!$D$53="Yes",$AL$1&gt;=4),0,IF($C433='Batt IN'!$H$57*12,-'Batt IN'!$F$57,0))</f>
        <v>0</v>
      </c>
      <c r="BT433" s="2">
        <f>IF(AND('Batt IN'!$D$53="Yes",$AL$1&gt;=5),0,IF($C433='Batt IN'!$H$58*12,-'Batt IN'!$F$58,0))</f>
        <v>0</v>
      </c>
      <c r="BU433" s="2">
        <f>-AH433*PVCalcs!F433</f>
        <v>-359.37504381576838</v>
      </c>
      <c r="BV433" s="2">
        <f>-'Batt IN'!$E$47</f>
        <v>-150</v>
      </c>
      <c r="BW433" s="2">
        <f>-'Batt IN'!$E$49</f>
        <v>-2250</v>
      </c>
      <c r="BX433" s="2">
        <f>IF('Batt IN'!$H$50="No",-(BC433*'Batt IN'!$E$50),-(BC433+BE433)*'Batt IN'!$E$50)</f>
        <v>0</v>
      </c>
      <c r="BY433" s="2">
        <f>IF(C433='Batt IN'!$H$43*12,-'Batt IN'!$E$43,0)</f>
        <v>0</v>
      </c>
      <c r="BZ433" s="38"/>
      <c r="CA433" s="10">
        <f t="shared" si="123"/>
        <v>15395.860832990867</v>
      </c>
      <c r="CB433" s="2">
        <f t="shared" si="111"/>
        <v>-3009.3750438157685</v>
      </c>
      <c r="CC433" s="45">
        <f t="shared" si="124"/>
        <v>12386.485789175098</v>
      </c>
      <c r="CD433" s="43"/>
      <c r="CE433" s="2">
        <f t="shared" si="125"/>
        <v>0</v>
      </c>
      <c r="CF433" s="2">
        <f t="shared" si="112"/>
        <v>-3009.3750438157685</v>
      </c>
      <c r="CG433" s="2"/>
      <c r="CH433" s="2">
        <f t="shared" si="126"/>
        <v>-3009.3750438157685</v>
      </c>
      <c r="CI433" s="45">
        <f>-CH433*'Batt IN'!$E$7</f>
        <v>631.9687592013114</v>
      </c>
      <c r="CJ433" s="48"/>
      <c r="CK433" s="45">
        <f>IF('Batt IN'!$F$4="PV Only",0,IF(C433&gt;'Batt IN'!$H$43*12,0,CC433+CI433))</f>
        <v>0</v>
      </c>
      <c r="CM433" s="10">
        <f t="shared" si="127"/>
        <v>0</v>
      </c>
      <c r="CN433" s="2">
        <f>CK433/(1+('Batt IN'!$G$8))^(C433)</f>
        <v>0</v>
      </c>
      <c r="CO433" s="2" t="e">
        <f>IF(C433&lt;='Batt IN'!$O$30*12,CN433+CO432,NA())</f>
        <v>#N/A</v>
      </c>
      <c r="CQ433" s="2">
        <f>CK433/((1+('Batt IN'!$E$8/12))^BattCalcs!C433)</f>
        <v>0</v>
      </c>
      <c r="CS433" s="10">
        <f t="shared" si="113"/>
        <v>-3009.3750438157685</v>
      </c>
      <c r="CT433" s="10">
        <f t="shared" si="114"/>
        <v>0</v>
      </c>
      <c r="CU433" s="10">
        <f t="shared" si="115"/>
        <v>-3009.3750438157685</v>
      </c>
      <c r="CV433" s="10">
        <f t="shared" si="116"/>
        <v>-3009.3750438157685</v>
      </c>
      <c r="CW433" s="2">
        <f t="shared" si="117"/>
        <v>0</v>
      </c>
      <c r="CX433" s="2">
        <f>-(SUM(CV433:CW433)*'PV IN'!$E$8)</f>
        <v>631.9687592013114</v>
      </c>
      <c r="CY433" s="2">
        <f t="shared" si="118"/>
        <v>-2377.406284614457</v>
      </c>
      <c r="CZ433" s="2">
        <f>IF(C433&lt;='Batt IN'!$H$43*12,CY433/(1+('PV IN'!$G$9))^(C433),0)</f>
        <v>0</v>
      </c>
      <c r="DA433" s="33">
        <f>IF(C433&lt;='Batt IN'!$H$43*12,AE433,0)</f>
        <v>0</v>
      </c>
    </row>
    <row r="434" spans="1:105" x14ac:dyDescent="0.25">
      <c r="A434" t="str">
        <f>IF(C434&lt;='Batt IN'!$H$43*12,C434,"")</f>
        <v/>
      </c>
      <c r="C434">
        <v>430</v>
      </c>
      <c r="D434" s="21">
        <v>860</v>
      </c>
      <c r="E434" s="1">
        <f>1-'Batt IN'!$E$31</f>
        <v>2.0000000000000018E-2</v>
      </c>
      <c r="F434" s="12">
        <f>('Batt IN'!$E$33*365)/8760</f>
        <v>0</v>
      </c>
      <c r="G434" s="22">
        <f>'Batt IN'!$E$32/8760</f>
        <v>5.7077625570776253E-3</v>
      </c>
      <c r="H434" s="22">
        <f>'Batt IN'!$E$13/8760</f>
        <v>5.5936073059360729E-3</v>
      </c>
      <c r="I434" s="23">
        <f>IF(C434&lt;='Batt IN'!$G$14*12,'Batt IN'!$E$15/8760*'Batt IN'!$G$15,0)</f>
        <v>0</v>
      </c>
      <c r="J434" s="12">
        <f>Z434/'Batt IN'!$E$27/730</f>
        <v>2.4999999999999996E-3</v>
      </c>
      <c r="K434" s="23">
        <f>AA434/'Batt IN'!$E$27/730</f>
        <v>1.6027397260273972E-3</v>
      </c>
      <c r="L434" s="23">
        <f>AB434/'Batt IN'!$E$27/730</f>
        <v>2.0547945205479451E-4</v>
      </c>
      <c r="M434" s="23">
        <f>AC434/'Batt IN'!$E$27/730</f>
        <v>4.7945205479452057E-3</v>
      </c>
      <c r="N434" s="23">
        <f>AD434/'Batt IN'!$E$27/730</f>
        <v>3.4246575342465752E-3</v>
      </c>
      <c r="O434" s="12">
        <f t="shared" si="119"/>
        <v>4.3828767123287697E-2</v>
      </c>
      <c r="P434" s="21">
        <f t="shared" si="120"/>
        <v>822.30726027397259</v>
      </c>
      <c r="Q434" s="2">
        <f>IF('Batt IN'!$E$27*'Batt IN'!$E$24&lt;='Batt IN'!$E$28,(('Batt IN'!$E$23*'Batt IN'!$E$27*'Batt IN'!$E$24)/1000)*P434,(('Batt IN'!$E$23*'Batt IN'!$E$28*'Batt IN'!$E$24)/1000)*P434)</f>
        <v>13156.916164383561</v>
      </c>
      <c r="R434" s="2"/>
      <c r="S434" s="77">
        <f>IF(C434&lt;='Batt IN'!$G$14*12,'Batt IN'!$E$15/12,0)</f>
        <v>0</v>
      </c>
      <c r="T434" s="77"/>
      <c r="U434" s="80">
        <f>'Batt IN'!$E$28*('Batt IN'!$G$24/24)*730*(1-O434)</f>
        <v>81433.916666666657</v>
      </c>
      <c r="V434" s="78">
        <f>U434*'Batt IN'!$F$30</f>
        <v>16286.783333333333</v>
      </c>
      <c r="W434" s="78">
        <f>'Batt IN'!$E$28*'Batt IN'!$G$32*('Batt IN'!$E$32/12)*(1+'Batt IN'!$F$30)</f>
        <v>1750.0000000000002</v>
      </c>
      <c r="X434" s="78">
        <f>'Batt IN'!$E$28*'Batt IN'!$G$13*('Batt IN'!$E$13/12)*(1+'Batt IN'!$F$30)</f>
        <v>3184.9999999999995</v>
      </c>
      <c r="Y434" s="33">
        <f>S434*'Batt IN'!$G$15*'Batt IN'!$E$28*(1+'Batt IN'!$F$30)</f>
        <v>0</v>
      </c>
      <c r="Z434" s="33">
        <f>'Batt IN'!$G$16*365/12*(1+'Batt IN'!$F$30)</f>
        <v>1824.9999999999998</v>
      </c>
      <c r="AA434" s="33">
        <f>'Batt IN'!$G$17*'Batt IN'!$E$18*'Batt IN'!$G$18/12*(1+'Batt IN'!$F$30)</f>
        <v>1170</v>
      </c>
      <c r="AB434" s="33">
        <f>'Batt IN'!$G$19*'Batt IN'!$E$20*'Batt IN'!$G$20/12*(1+'Batt IN'!$F$30)</f>
        <v>150</v>
      </c>
      <c r="AC434" s="33">
        <f>'Batt IN'!$G$21*(1+'Batt IN'!$F$30)/12</f>
        <v>3500</v>
      </c>
      <c r="AD434" s="33">
        <f>'Batt IN'!$G$22*(1+'Batt IN'!$F$30)/12</f>
        <v>2500</v>
      </c>
      <c r="AE434" s="33">
        <f t="shared" si="121"/>
        <v>30366.783333333333</v>
      </c>
      <c r="AF434" s="33">
        <f>IF('PV IN'!$F$4="Battery Only",0,AE434*'Batt IN'!$E$29)</f>
        <v>25811.765833333331</v>
      </c>
      <c r="AG434" s="33">
        <f>PVCalcs!L434</f>
        <v>25811.765833333331</v>
      </c>
      <c r="AH434" s="33">
        <f t="shared" si="122"/>
        <v>4555.0175000000017</v>
      </c>
      <c r="AI434" s="33"/>
      <c r="AJ434" s="2">
        <f>IF(AND('Batt IN'!$D$53="Yes",$AL$1&gt;=1),IF($C434='Batt IN'!$H$54*12,-'Batt IN'!$F$54,0),0)</f>
        <v>0</v>
      </c>
      <c r="AK434" s="2">
        <f>IF(AND('Batt IN'!$D$53="Yes",$AL$1&gt;=2),IF($C434='Batt IN'!$H$55*12,-'Batt IN'!$F$55,0),0)</f>
        <v>0</v>
      </c>
      <c r="AL434" s="2">
        <f>IF(AND('Batt IN'!$D$53="Yes",$AL$1&gt;=3),IF($C434='Batt IN'!$H$56*12,-'Batt IN'!$F$56,0),0)</f>
        <v>0</v>
      </c>
      <c r="AM434" s="2">
        <f>IF(AND('Batt IN'!$D$53="Yes",$AL$1&gt;=4),IF($C434='Batt IN'!$H$57*12,-'Batt IN'!$F$57,0),0)</f>
        <v>0</v>
      </c>
      <c r="AN434" s="2">
        <f>IF(AND('Batt IN'!$D$53="Yes",$AL$1&gt;=5),IF($C434='Batt IN'!$H$58*12,-'Batt IN'!$F$58,0),0)</f>
        <v>0</v>
      </c>
      <c r="AO434" s="10">
        <f>IF(AND('Batt IN'!$D$44="YES",$C434&lt;='Batt IN'!$E$44*12),-'Batt IN'!$E$28*'Batt IN'!$E$42/12,0)</f>
        <v>0</v>
      </c>
      <c r="AP434" s="10">
        <f>IF(AND('Batt IN'!$D$46="YES",$C434&lt;='Batt IN'!$E$46*12),-'Batt IN'!$E$28*'Batt IN'!$E$45/12,0)</f>
        <v>0</v>
      </c>
      <c r="AR434" s="10">
        <f>BattLoan!M461</f>
        <v>0</v>
      </c>
      <c r="AS434" s="10">
        <f>'Batt IN'!$G$16*365/12*'Batt IN'!$E$16</f>
        <v>76.041666666666671</v>
      </c>
      <c r="AT434" s="10">
        <f>IF(AND('Batt IN'!$E$18&gt;0,'Batt IN'!$G$18&gt;0),'Batt IN'!$E$17*'Batt IN'!$G$17,0)</f>
        <v>119.44619999999999</v>
      </c>
      <c r="AU434" s="10">
        <f>IF(AND('Batt IN'!$E$20&gt;0,'Batt IN'!$G$20&gt;0),'Batt IN'!$E$19*'Batt IN'!$G$19,0)</f>
        <v>231</v>
      </c>
      <c r="AV434" s="10"/>
      <c r="AW434" s="10"/>
      <c r="AX434" s="10">
        <f>IF('Batt IN'!$E$11="Non-Taxable",Q434,0)</f>
        <v>13156.916164383561</v>
      </c>
      <c r="AY434" s="10">
        <f>IF('Batt IN'!$E$11="Non-Taxable",'Batt IN'!$E$28/1000*'Batt IN'!$G$13*('Batt IN'!$E$13/12)*'Batt IN'!$E$12,0)</f>
        <v>244.42220833333334</v>
      </c>
      <c r="AZ434" s="10">
        <f>IF('Batt IN'!$E$11="Non-Taxable",$S434*'Batt IN'!$G$15*'Batt IN'!$E$28*'Batt IN'!$E$14/1000,0)</f>
        <v>0</v>
      </c>
      <c r="BA434" s="10">
        <f>IF('Batt IN'!$E$11="Non-Taxable",'Batt IN'!$E$21*'Batt IN'!$G$21/12,0)</f>
        <v>437.5</v>
      </c>
      <c r="BB434" s="10">
        <f>IF('Batt IN'!$E$11="Non-Taxable",'Batt IN'!$E$22*'Batt IN'!$G$22/12,0)</f>
        <v>1145.8333333333335</v>
      </c>
      <c r="BC434" s="10">
        <f>IF('Batt IN'!$E$11="Taxable",Q434,0)</f>
        <v>0</v>
      </c>
      <c r="BD434" s="10">
        <f>IF('Batt IN'!$E$11="Taxable",'Batt IN'!$E$28/1000*'Batt IN'!$G$13*('Batt IN'!$E$13/12)*'Batt IN'!$E$12,0)</f>
        <v>0</v>
      </c>
      <c r="BE434" s="10">
        <f>IF('Batt IN'!$E$11="Taxable",$S434*'Batt IN'!$G$15*'Batt IN'!$E$28*'Batt IN'!$E$14/1000,0)</f>
        <v>0</v>
      </c>
      <c r="BF434" s="10">
        <f>IF('Batt IN'!$E$11="Taxable",'Batt IN'!$E$21*'Batt IN'!$G$21/12,0)</f>
        <v>0</v>
      </c>
      <c r="BG434" s="10">
        <f>IF('Batt IN'!$E$11="Taxable",'Batt IN'!$E$22*'Batt IN'!$G$22/12,0)</f>
        <v>0</v>
      </c>
      <c r="BK434" s="10">
        <f>IF('Batt IN'!$N$18="Yes",-BattLoan!H462,-BattLoan!L462)</f>
        <v>0</v>
      </c>
      <c r="BL434" s="10">
        <f>IF('Batt IN'!$N$18="Yes",-BattLoan!F462,0)</f>
        <v>0</v>
      </c>
      <c r="BM434" s="10">
        <f>IF(AND('Batt IN'!$D$44="YES",$C434&lt;='Batt IN'!$E$44*12),0,-'Batt IN'!$E$28*'Batt IN'!$E$42/12)</f>
        <v>-83.333333333333329</v>
      </c>
      <c r="BN434" s="10">
        <f>IF(AND('Batt IN'!$D$46="YES",$C434&lt;='Batt IN'!$E$46*12),0,-'Batt IN'!$E$28*'Batt IN'!$E$45/12)</f>
        <v>-166.66666666666666</v>
      </c>
      <c r="BO434" s="2">
        <f>IF(AND('Batt IN'!$D$41="YES",BattCalcs!C434=ROUNDUP('Batt IN'!$H$41*12,)),-'Batt IN'!$E$41*'Batt IN'!$E$28,0)</f>
        <v>0</v>
      </c>
      <c r="BP434" s="2">
        <f>IF(AND('Batt IN'!$D$53="Yes",$AL$1&gt;=1),0,IF($C434='Batt IN'!$H$54*12,-'Batt IN'!$F$54,0))</f>
        <v>0</v>
      </c>
      <c r="BQ434" s="2">
        <f>IF(AND('Batt IN'!$D$53="Yes",$AL$1&gt;=2),0,IF($C434='Batt IN'!$H$55*12,-'Batt IN'!$F$55,0))</f>
        <v>0</v>
      </c>
      <c r="BR434" s="2">
        <f>IF(AND('Batt IN'!$D$53="Yes",$AL$1&gt;=3),0,IF($C434='Batt IN'!$H$56*12,-'Batt IN'!$F$56,0))</f>
        <v>0</v>
      </c>
      <c r="BS434" s="2">
        <f>IF(AND('Batt IN'!$D$53="Yes",$AL$1&gt;=4),0,IF($C434='Batt IN'!$H$57*12,-'Batt IN'!$F$57,0))</f>
        <v>0</v>
      </c>
      <c r="BT434" s="2">
        <f>IF(AND('Batt IN'!$D$53="Yes",$AL$1&gt;=5),0,IF($C434='Batt IN'!$H$58*12,-'Batt IN'!$F$58,0))</f>
        <v>0</v>
      </c>
      <c r="BU434" s="2">
        <f>-AH434*PVCalcs!F434</f>
        <v>-359.37504381576838</v>
      </c>
      <c r="BV434" s="2">
        <f>-'Batt IN'!$E$47</f>
        <v>-150</v>
      </c>
      <c r="BW434" s="2">
        <f>-'Batt IN'!$E$49</f>
        <v>-2250</v>
      </c>
      <c r="BX434" s="2">
        <f>IF('Batt IN'!$H$50="No",-(BC434*'Batt IN'!$E$50),-(BC434+BE434)*'Batt IN'!$E$50)</f>
        <v>0</v>
      </c>
      <c r="BY434" s="2">
        <f>IF(C434='Batt IN'!$H$43*12,-'Batt IN'!$E$43,0)</f>
        <v>0</v>
      </c>
      <c r="BZ434" s="38"/>
      <c r="CA434" s="10">
        <f t="shared" si="123"/>
        <v>15411.159572716895</v>
      </c>
      <c r="CB434" s="2">
        <f t="shared" si="111"/>
        <v>-3009.3750438157685</v>
      </c>
      <c r="CC434" s="45">
        <f t="shared" si="124"/>
        <v>12401.784528901127</v>
      </c>
      <c r="CD434" s="43"/>
      <c r="CE434" s="2">
        <f t="shared" si="125"/>
        <v>0</v>
      </c>
      <c r="CF434" s="2">
        <f t="shared" si="112"/>
        <v>-3009.3750438157685</v>
      </c>
      <c r="CG434" s="2"/>
      <c r="CH434" s="2">
        <f t="shared" si="126"/>
        <v>-3009.3750438157685</v>
      </c>
      <c r="CI434" s="45">
        <f>-CH434*'Batt IN'!$E$7</f>
        <v>631.9687592013114</v>
      </c>
      <c r="CJ434" s="48"/>
      <c r="CK434" s="45">
        <f>IF('Batt IN'!$F$4="PV Only",0,IF(C434&gt;'Batt IN'!$H$43*12,0,CC434+CI434))</f>
        <v>0</v>
      </c>
      <c r="CM434" s="10">
        <f t="shared" si="127"/>
        <v>0</v>
      </c>
      <c r="CN434" s="2">
        <f>CK434/(1+('Batt IN'!$G$8))^(C434)</f>
        <v>0</v>
      </c>
      <c r="CO434" s="2" t="e">
        <f>IF(C434&lt;='Batt IN'!$O$30*12,CN434+CO433,NA())</f>
        <v>#N/A</v>
      </c>
      <c r="CQ434" s="2">
        <f>CK434/((1+('Batt IN'!$E$8/12))^BattCalcs!C434)</f>
        <v>0</v>
      </c>
      <c r="CS434" s="10">
        <f t="shared" si="113"/>
        <v>-3009.3750438157685</v>
      </c>
      <c r="CT434" s="10">
        <f t="shared" si="114"/>
        <v>0</v>
      </c>
      <c r="CU434" s="10">
        <f t="shared" si="115"/>
        <v>-3009.3750438157685</v>
      </c>
      <c r="CV434" s="10">
        <f t="shared" si="116"/>
        <v>-3009.3750438157685</v>
      </c>
      <c r="CW434" s="2">
        <f t="shared" si="117"/>
        <v>0</v>
      </c>
      <c r="CX434" s="2">
        <f>-(SUM(CV434:CW434)*'PV IN'!$E$8)</f>
        <v>631.9687592013114</v>
      </c>
      <c r="CY434" s="2">
        <f t="shared" si="118"/>
        <v>-2377.406284614457</v>
      </c>
      <c r="CZ434" s="2">
        <f>IF(C434&lt;='Batt IN'!$H$43*12,CY434/(1+('PV IN'!$G$9))^(C434),0)</f>
        <v>0</v>
      </c>
      <c r="DA434" s="33">
        <f>IF(C434&lt;='Batt IN'!$H$43*12,AE434,0)</f>
        <v>0</v>
      </c>
    </row>
    <row r="435" spans="1:105" x14ac:dyDescent="0.25">
      <c r="A435" t="str">
        <f>IF(C435&lt;='Batt IN'!$H$43*12,C435,"")</f>
        <v/>
      </c>
      <c r="C435">
        <v>431</v>
      </c>
      <c r="D435" s="21">
        <v>861</v>
      </c>
      <c r="E435" s="1">
        <f>1-'Batt IN'!$E$31</f>
        <v>2.0000000000000018E-2</v>
      </c>
      <c r="F435" s="12">
        <f>('Batt IN'!$E$33*365)/8760</f>
        <v>0</v>
      </c>
      <c r="G435" s="22">
        <f>'Batt IN'!$E$32/8760</f>
        <v>5.7077625570776253E-3</v>
      </c>
      <c r="H435" s="22">
        <f>'Batt IN'!$E$13/8760</f>
        <v>5.5936073059360729E-3</v>
      </c>
      <c r="I435" s="23">
        <f>IF(C435&lt;='Batt IN'!$G$14*12,'Batt IN'!$E$15/8760*'Batt IN'!$G$15,0)</f>
        <v>0</v>
      </c>
      <c r="J435" s="12">
        <f>Z435/'Batt IN'!$E$27/730</f>
        <v>2.4999999999999996E-3</v>
      </c>
      <c r="K435" s="23">
        <f>AA435/'Batt IN'!$E$27/730</f>
        <v>1.6027397260273972E-3</v>
      </c>
      <c r="L435" s="23">
        <f>AB435/'Batt IN'!$E$27/730</f>
        <v>2.0547945205479451E-4</v>
      </c>
      <c r="M435" s="23">
        <f>AC435/'Batt IN'!$E$27/730</f>
        <v>4.7945205479452057E-3</v>
      </c>
      <c r="N435" s="23">
        <f>AD435/'Batt IN'!$E$27/730</f>
        <v>3.4246575342465752E-3</v>
      </c>
      <c r="O435" s="12">
        <f t="shared" si="119"/>
        <v>4.3828767123287697E-2</v>
      </c>
      <c r="P435" s="21">
        <f t="shared" si="120"/>
        <v>823.26343150684932</v>
      </c>
      <c r="Q435" s="2">
        <f>IF('Batt IN'!$E$27*'Batt IN'!$E$24&lt;='Batt IN'!$E$28,(('Batt IN'!$E$23*'Batt IN'!$E$27*'Batt IN'!$E$24)/1000)*P435,(('Batt IN'!$E$23*'Batt IN'!$E$28*'Batt IN'!$E$24)/1000)*P435)</f>
        <v>13172.214904109589</v>
      </c>
      <c r="R435" s="2"/>
      <c r="S435" s="77">
        <f>IF(C435&lt;='Batt IN'!$G$14*12,'Batt IN'!$E$15/12,0)</f>
        <v>0</v>
      </c>
      <c r="T435" s="77"/>
      <c r="U435" s="80">
        <f>'Batt IN'!$E$28*('Batt IN'!$G$24/24)*730*(1-O435)</f>
        <v>81433.916666666657</v>
      </c>
      <c r="V435" s="78">
        <f>U435*'Batt IN'!$F$30</f>
        <v>16286.783333333333</v>
      </c>
      <c r="W435" s="78">
        <f>'Batt IN'!$E$28*'Batt IN'!$G$32*('Batt IN'!$E$32/12)*(1+'Batt IN'!$F$30)</f>
        <v>1750.0000000000002</v>
      </c>
      <c r="X435" s="78">
        <f>'Batt IN'!$E$28*'Batt IN'!$G$13*('Batt IN'!$E$13/12)*(1+'Batt IN'!$F$30)</f>
        <v>3184.9999999999995</v>
      </c>
      <c r="Y435" s="33">
        <f>S435*'Batt IN'!$G$15*'Batt IN'!$E$28*(1+'Batt IN'!$F$30)</f>
        <v>0</v>
      </c>
      <c r="Z435" s="33">
        <f>'Batt IN'!$G$16*365/12*(1+'Batt IN'!$F$30)</f>
        <v>1824.9999999999998</v>
      </c>
      <c r="AA435" s="33">
        <f>'Batt IN'!$G$17*'Batt IN'!$E$18*'Batt IN'!$G$18/12*(1+'Batt IN'!$F$30)</f>
        <v>1170</v>
      </c>
      <c r="AB435" s="33">
        <f>'Batt IN'!$G$19*'Batt IN'!$E$20*'Batt IN'!$G$20/12*(1+'Batt IN'!$F$30)</f>
        <v>150</v>
      </c>
      <c r="AC435" s="33">
        <f>'Batt IN'!$G$21*(1+'Batt IN'!$F$30)/12</f>
        <v>3500</v>
      </c>
      <c r="AD435" s="33">
        <f>'Batt IN'!$G$22*(1+'Batt IN'!$F$30)/12</f>
        <v>2500</v>
      </c>
      <c r="AE435" s="33">
        <f t="shared" si="121"/>
        <v>30366.783333333333</v>
      </c>
      <c r="AF435" s="33">
        <f>IF('PV IN'!$F$4="Battery Only",0,AE435*'Batt IN'!$E$29)</f>
        <v>25811.765833333331</v>
      </c>
      <c r="AG435" s="33">
        <f>PVCalcs!L435</f>
        <v>25811.765833333331</v>
      </c>
      <c r="AH435" s="33">
        <f t="shared" si="122"/>
        <v>4555.0175000000017</v>
      </c>
      <c r="AI435" s="33"/>
      <c r="AJ435" s="2">
        <f>IF(AND('Batt IN'!$D$53="Yes",$AL$1&gt;=1),IF($C435='Batt IN'!$H$54*12,-'Batt IN'!$F$54,0),0)</f>
        <v>0</v>
      </c>
      <c r="AK435" s="2">
        <f>IF(AND('Batt IN'!$D$53="Yes",$AL$1&gt;=2),IF($C435='Batt IN'!$H$55*12,-'Batt IN'!$F$55,0),0)</f>
        <v>0</v>
      </c>
      <c r="AL435" s="2">
        <f>IF(AND('Batt IN'!$D$53="Yes",$AL$1&gt;=3),IF($C435='Batt IN'!$H$56*12,-'Batt IN'!$F$56,0),0)</f>
        <v>0</v>
      </c>
      <c r="AM435" s="2">
        <f>IF(AND('Batt IN'!$D$53="Yes",$AL$1&gt;=4),IF($C435='Batt IN'!$H$57*12,-'Batt IN'!$F$57,0),0)</f>
        <v>0</v>
      </c>
      <c r="AN435" s="2">
        <f>IF(AND('Batt IN'!$D$53="Yes",$AL$1&gt;=5),IF($C435='Batt IN'!$H$58*12,-'Batt IN'!$F$58,0),0)</f>
        <v>0</v>
      </c>
      <c r="AO435" s="10">
        <f>IF(AND('Batt IN'!$D$44="YES",$C435&lt;='Batt IN'!$E$44*12),-'Batt IN'!$E$28*'Batt IN'!$E$42/12,0)</f>
        <v>0</v>
      </c>
      <c r="AP435" s="10">
        <f>IF(AND('Batt IN'!$D$46="YES",$C435&lt;='Batt IN'!$E$46*12),-'Batt IN'!$E$28*'Batt IN'!$E$45/12,0)</f>
        <v>0</v>
      </c>
      <c r="AR435" s="10">
        <f>BattLoan!M462</f>
        <v>0</v>
      </c>
      <c r="AS435" s="10">
        <f>'Batt IN'!$G$16*365/12*'Batt IN'!$E$16</f>
        <v>76.041666666666671</v>
      </c>
      <c r="AT435" s="10">
        <f>IF(AND('Batt IN'!$E$18&gt;0,'Batt IN'!$G$18&gt;0),'Batt IN'!$E$17*'Batt IN'!$G$17,0)</f>
        <v>119.44619999999999</v>
      </c>
      <c r="AU435" s="10">
        <f>IF(AND('Batt IN'!$E$20&gt;0,'Batt IN'!$G$20&gt;0),'Batt IN'!$E$19*'Batt IN'!$G$19,0)</f>
        <v>231</v>
      </c>
      <c r="AV435" s="10"/>
      <c r="AW435" s="10"/>
      <c r="AX435" s="10">
        <f>IF('Batt IN'!$E$11="Non-Taxable",Q435,0)</f>
        <v>13172.214904109589</v>
      </c>
      <c r="AY435" s="10">
        <f>IF('Batt IN'!$E$11="Non-Taxable",'Batt IN'!$E$28/1000*'Batt IN'!$G$13*('Batt IN'!$E$13/12)*'Batt IN'!$E$12,0)</f>
        <v>244.42220833333334</v>
      </c>
      <c r="AZ435" s="10">
        <f>IF('Batt IN'!$E$11="Non-Taxable",$S435*'Batt IN'!$G$15*'Batt IN'!$E$28*'Batt IN'!$E$14/1000,0)</f>
        <v>0</v>
      </c>
      <c r="BA435" s="10">
        <f>IF('Batt IN'!$E$11="Non-Taxable",'Batt IN'!$E$21*'Batt IN'!$G$21/12,0)</f>
        <v>437.5</v>
      </c>
      <c r="BB435" s="10">
        <f>IF('Batt IN'!$E$11="Non-Taxable",'Batt IN'!$E$22*'Batt IN'!$G$22/12,0)</f>
        <v>1145.8333333333335</v>
      </c>
      <c r="BC435" s="10">
        <f>IF('Batt IN'!$E$11="Taxable",Q435,0)</f>
        <v>0</v>
      </c>
      <c r="BD435" s="10">
        <f>IF('Batt IN'!$E$11="Taxable",'Batt IN'!$E$28/1000*'Batt IN'!$G$13*('Batt IN'!$E$13/12)*'Batt IN'!$E$12,0)</f>
        <v>0</v>
      </c>
      <c r="BE435" s="10">
        <f>IF('Batt IN'!$E$11="Taxable",$S435*'Batt IN'!$G$15*'Batt IN'!$E$28*'Batt IN'!$E$14/1000,0)</f>
        <v>0</v>
      </c>
      <c r="BF435" s="10">
        <f>IF('Batt IN'!$E$11="Taxable",'Batt IN'!$E$21*'Batt IN'!$G$21/12,0)</f>
        <v>0</v>
      </c>
      <c r="BG435" s="10">
        <f>IF('Batt IN'!$E$11="Taxable",'Batt IN'!$E$22*'Batt IN'!$G$22/12,0)</f>
        <v>0</v>
      </c>
      <c r="BK435" s="10">
        <f>IF('Batt IN'!$N$18="Yes",-BattLoan!H463,-BattLoan!L463)</f>
        <v>0</v>
      </c>
      <c r="BL435" s="10">
        <f>IF('Batt IN'!$N$18="Yes",-BattLoan!F463,0)</f>
        <v>0</v>
      </c>
      <c r="BM435" s="10">
        <f>IF(AND('Batt IN'!$D$44="YES",$C435&lt;='Batt IN'!$E$44*12),0,-'Batt IN'!$E$28*'Batt IN'!$E$42/12)</f>
        <v>-83.333333333333329</v>
      </c>
      <c r="BN435" s="10">
        <f>IF(AND('Batt IN'!$D$46="YES",$C435&lt;='Batt IN'!$E$46*12),0,-'Batt IN'!$E$28*'Batt IN'!$E$45/12)</f>
        <v>-166.66666666666666</v>
      </c>
      <c r="BO435" s="2">
        <f>IF(AND('Batt IN'!$D$41="YES",BattCalcs!C435=ROUNDUP('Batt IN'!$H$41*12,)),-'Batt IN'!$E$41*'Batt IN'!$E$28,0)</f>
        <v>0</v>
      </c>
      <c r="BP435" s="2">
        <f>IF(AND('Batt IN'!$D$53="Yes",$AL$1&gt;=1),0,IF($C435='Batt IN'!$H$54*12,-'Batt IN'!$F$54,0))</f>
        <v>0</v>
      </c>
      <c r="BQ435" s="2">
        <f>IF(AND('Batt IN'!$D$53="Yes",$AL$1&gt;=2),0,IF($C435='Batt IN'!$H$55*12,-'Batt IN'!$F$55,0))</f>
        <v>0</v>
      </c>
      <c r="BR435" s="2">
        <f>IF(AND('Batt IN'!$D$53="Yes",$AL$1&gt;=3),0,IF($C435='Batt IN'!$H$56*12,-'Batt IN'!$F$56,0))</f>
        <v>0</v>
      </c>
      <c r="BS435" s="2">
        <f>IF(AND('Batt IN'!$D$53="Yes",$AL$1&gt;=4),0,IF($C435='Batt IN'!$H$57*12,-'Batt IN'!$F$57,0))</f>
        <v>0</v>
      </c>
      <c r="BT435" s="2">
        <f>IF(AND('Batt IN'!$D$53="Yes",$AL$1&gt;=5),0,IF($C435='Batt IN'!$H$58*12,-'Batt IN'!$F$58,0))</f>
        <v>0</v>
      </c>
      <c r="BU435" s="2">
        <f>-AH435*PVCalcs!F435</f>
        <v>-359.37504381576838</v>
      </c>
      <c r="BV435" s="2">
        <f>-'Batt IN'!$E$47</f>
        <v>-150</v>
      </c>
      <c r="BW435" s="2">
        <f>-'Batt IN'!$E$49</f>
        <v>-2250</v>
      </c>
      <c r="BX435" s="2">
        <f>IF('Batt IN'!$H$50="No",-(BC435*'Batt IN'!$E$50),-(BC435+BE435)*'Batt IN'!$E$50)</f>
        <v>0</v>
      </c>
      <c r="BY435" s="2">
        <f>IF(C435='Batt IN'!$H$43*12,-'Batt IN'!$E$43,0)</f>
        <v>0</v>
      </c>
      <c r="BZ435" s="38"/>
      <c r="CA435" s="10">
        <f t="shared" si="123"/>
        <v>15426.458312442923</v>
      </c>
      <c r="CB435" s="2">
        <f t="shared" si="111"/>
        <v>-3009.3750438157685</v>
      </c>
      <c r="CC435" s="45">
        <f t="shared" si="124"/>
        <v>12417.083268627153</v>
      </c>
      <c r="CD435" s="43"/>
      <c r="CE435" s="2">
        <f t="shared" si="125"/>
        <v>0</v>
      </c>
      <c r="CF435" s="2">
        <f t="shared" si="112"/>
        <v>-3009.3750438157685</v>
      </c>
      <c r="CG435" s="2"/>
      <c r="CH435" s="2">
        <f t="shared" si="126"/>
        <v>-3009.3750438157685</v>
      </c>
      <c r="CI435" s="45">
        <f>-CH435*'Batt IN'!$E$7</f>
        <v>631.9687592013114</v>
      </c>
      <c r="CJ435" s="48"/>
      <c r="CK435" s="45">
        <f>IF('Batt IN'!$F$4="PV Only",0,IF(C435&gt;'Batt IN'!$H$43*12,0,CC435+CI435))</f>
        <v>0</v>
      </c>
      <c r="CM435" s="10">
        <f t="shared" si="127"/>
        <v>0</v>
      </c>
      <c r="CN435" s="2">
        <f>CK435/(1+('Batt IN'!$G$8))^(C435)</f>
        <v>0</v>
      </c>
      <c r="CO435" s="2" t="e">
        <f>IF(C435&lt;='Batt IN'!$O$30*12,CN435+CO434,NA())</f>
        <v>#N/A</v>
      </c>
      <c r="CQ435" s="2">
        <f>CK435/((1+('Batt IN'!$E$8/12))^BattCalcs!C435)</f>
        <v>0</v>
      </c>
      <c r="CS435" s="10">
        <f t="shared" si="113"/>
        <v>-3009.3750438157685</v>
      </c>
      <c r="CT435" s="10">
        <f t="shared" si="114"/>
        <v>0</v>
      </c>
      <c r="CU435" s="10">
        <f t="shared" si="115"/>
        <v>-3009.3750438157685</v>
      </c>
      <c r="CV435" s="10">
        <f t="shared" si="116"/>
        <v>-3009.3750438157685</v>
      </c>
      <c r="CW435" s="2">
        <f t="shared" si="117"/>
        <v>0</v>
      </c>
      <c r="CX435" s="2">
        <f>-(SUM(CV435:CW435)*'PV IN'!$E$8)</f>
        <v>631.9687592013114</v>
      </c>
      <c r="CY435" s="2">
        <f t="shared" si="118"/>
        <v>-2377.406284614457</v>
      </c>
      <c r="CZ435" s="2">
        <f>IF(C435&lt;='Batt IN'!$H$43*12,CY435/(1+('PV IN'!$G$9))^(C435),0)</f>
        <v>0</v>
      </c>
      <c r="DA435" s="33">
        <f>IF(C435&lt;='Batt IN'!$H$43*12,AE435,0)</f>
        <v>0</v>
      </c>
    </row>
    <row r="436" spans="1:105" x14ac:dyDescent="0.25">
      <c r="A436" t="str">
        <f>IF(C436&lt;='Batt IN'!$H$43*12,C436,"")</f>
        <v/>
      </c>
      <c r="B436">
        <v>36</v>
      </c>
      <c r="C436">
        <v>432</v>
      </c>
      <c r="D436" s="21">
        <v>862</v>
      </c>
      <c r="E436" s="1">
        <f>1-'Batt IN'!$E$31</f>
        <v>2.0000000000000018E-2</v>
      </c>
      <c r="F436" s="12">
        <f>('Batt IN'!$E$33*365)/8760</f>
        <v>0</v>
      </c>
      <c r="G436" s="22">
        <f>'Batt IN'!$E$32/8760</f>
        <v>5.7077625570776253E-3</v>
      </c>
      <c r="H436" s="22">
        <f>'Batt IN'!$E$13/8760</f>
        <v>5.5936073059360729E-3</v>
      </c>
      <c r="I436" s="23">
        <f>IF(C436&lt;='Batt IN'!$G$14*12,'Batt IN'!$E$15/8760*'Batt IN'!$G$15,0)</f>
        <v>0</v>
      </c>
      <c r="J436" s="12">
        <f>Z436/'Batt IN'!$E$27/730</f>
        <v>2.4999999999999996E-3</v>
      </c>
      <c r="K436" s="23">
        <f>AA436/'Batt IN'!$E$27/730</f>
        <v>1.6027397260273972E-3</v>
      </c>
      <c r="L436" s="23">
        <f>AB436/'Batt IN'!$E$27/730</f>
        <v>2.0547945205479451E-4</v>
      </c>
      <c r="M436" s="23">
        <f>AC436/'Batt IN'!$E$27/730</f>
        <v>4.7945205479452057E-3</v>
      </c>
      <c r="N436" s="23">
        <f>AD436/'Batt IN'!$E$27/730</f>
        <v>3.4246575342465752E-3</v>
      </c>
      <c r="O436" s="12">
        <f t="shared" si="119"/>
        <v>4.3828767123287697E-2</v>
      </c>
      <c r="P436" s="21">
        <f t="shared" si="120"/>
        <v>824.21960273972604</v>
      </c>
      <c r="Q436" s="2">
        <f>IF('Batt IN'!$E$27*'Batt IN'!$E$24&lt;='Batt IN'!$E$28,(('Batt IN'!$E$23*'Batt IN'!$E$27*'Batt IN'!$E$24)/1000)*P436,(('Batt IN'!$E$23*'Batt IN'!$E$28*'Batt IN'!$E$24)/1000)*P436)</f>
        <v>13187.513643835617</v>
      </c>
      <c r="R436" s="2"/>
      <c r="S436" s="77">
        <f>IF(C436&lt;='Batt IN'!$G$14*12,'Batt IN'!$E$15/12,0)</f>
        <v>0</v>
      </c>
      <c r="T436" s="77"/>
      <c r="U436" s="80">
        <f>'Batt IN'!$E$28*('Batt IN'!$G$24/24)*730*(1-O436)</f>
        <v>81433.916666666657</v>
      </c>
      <c r="V436" s="78">
        <f>U436*'Batt IN'!$F$30</f>
        <v>16286.783333333333</v>
      </c>
      <c r="W436" s="78">
        <f>'Batt IN'!$E$28*'Batt IN'!$G$32*('Batt IN'!$E$32/12)*(1+'Batt IN'!$F$30)</f>
        <v>1750.0000000000002</v>
      </c>
      <c r="X436" s="78">
        <f>'Batt IN'!$E$28*'Batt IN'!$G$13*('Batt IN'!$E$13/12)*(1+'Batt IN'!$F$30)</f>
        <v>3184.9999999999995</v>
      </c>
      <c r="Y436" s="33">
        <f>S436*'Batt IN'!$G$15*'Batt IN'!$E$28*(1+'Batt IN'!$F$30)</f>
        <v>0</v>
      </c>
      <c r="Z436" s="33">
        <f>'Batt IN'!$G$16*365/12*(1+'Batt IN'!$F$30)</f>
        <v>1824.9999999999998</v>
      </c>
      <c r="AA436" s="33">
        <f>'Batt IN'!$G$17*'Batt IN'!$E$18*'Batt IN'!$G$18/12*(1+'Batt IN'!$F$30)</f>
        <v>1170</v>
      </c>
      <c r="AB436" s="33">
        <f>'Batt IN'!$G$19*'Batt IN'!$E$20*'Batt IN'!$G$20/12*(1+'Batt IN'!$F$30)</f>
        <v>150</v>
      </c>
      <c r="AC436" s="33">
        <f>'Batt IN'!$G$21*(1+'Batt IN'!$F$30)/12</f>
        <v>3500</v>
      </c>
      <c r="AD436" s="33">
        <f>'Batt IN'!$G$22*(1+'Batt IN'!$F$30)/12</f>
        <v>2500</v>
      </c>
      <c r="AE436" s="33">
        <f t="shared" si="121"/>
        <v>30366.783333333333</v>
      </c>
      <c r="AF436" s="33">
        <f>IF('PV IN'!$F$4="Battery Only",0,AE436*'Batt IN'!$E$29)</f>
        <v>25811.765833333331</v>
      </c>
      <c r="AG436" s="33">
        <f>PVCalcs!L436</f>
        <v>25811.765833333331</v>
      </c>
      <c r="AH436" s="33">
        <f t="shared" si="122"/>
        <v>4555.0175000000017</v>
      </c>
      <c r="AI436" s="33"/>
      <c r="AJ436" s="2">
        <f>IF(AND('Batt IN'!$D$53="Yes",$AL$1&gt;=1),IF($C436='Batt IN'!$H$54*12,-'Batt IN'!$F$54,0),0)</f>
        <v>0</v>
      </c>
      <c r="AK436" s="2">
        <f>IF(AND('Batt IN'!$D$53="Yes",$AL$1&gt;=2),IF($C436='Batt IN'!$H$55*12,-'Batt IN'!$F$55,0),0)</f>
        <v>0</v>
      </c>
      <c r="AL436" s="2">
        <f>IF(AND('Batt IN'!$D$53="Yes",$AL$1&gt;=3),IF($C436='Batt IN'!$H$56*12,-'Batt IN'!$F$56,0),0)</f>
        <v>0</v>
      </c>
      <c r="AM436" s="2">
        <f>IF(AND('Batt IN'!$D$53="Yes",$AL$1&gt;=4),IF($C436='Batt IN'!$H$57*12,-'Batt IN'!$F$57,0),0)</f>
        <v>0</v>
      </c>
      <c r="AN436" s="2">
        <f>IF(AND('Batt IN'!$D$53="Yes",$AL$1&gt;=5),IF($C436='Batt IN'!$H$58*12,-'Batt IN'!$F$58,0),0)</f>
        <v>0</v>
      </c>
      <c r="AO436" s="10">
        <f>IF(AND('Batt IN'!$D$44="YES",$C436&lt;='Batt IN'!$E$44*12),-'Batt IN'!$E$28*'Batt IN'!$E$42/12,0)</f>
        <v>0</v>
      </c>
      <c r="AP436" s="10">
        <f>IF(AND('Batt IN'!$D$46="YES",$C436&lt;='Batt IN'!$E$46*12),-'Batt IN'!$E$28*'Batt IN'!$E$45/12,0)</f>
        <v>0</v>
      </c>
      <c r="AR436" s="10">
        <f>BattLoan!M463</f>
        <v>0</v>
      </c>
      <c r="AS436" s="10">
        <f>'Batt IN'!$G$16*365/12*'Batt IN'!$E$16</f>
        <v>76.041666666666671</v>
      </c>
      <c r="AT436" s="10">
        <f>IF(AND('Batt IN'!$E$18&gt;0,'Batt IN'!$G$18&gt;0),'Batt IN'!$E$17*'Batt IN'!$G$17,0)</f>
        <v>119.44619999999999</v>
      </c>
      <c r="AU436" s="10">
        <f>IF(AND('Batt IN'!$E$20&gt;0,'Batt IN'!$G$20&gt;0),'Batt IN'!$E$19*'Batt IN'!$G$19,0)</f>
        <v>231</v>
      </c>
      <c r="AV436" s="10"/>
      <c r="AW436" s="10"/>
      <c r="AX436" s="10">
        <f>IF('Batt IN'!$E$11="Non-Taxable",Q436,0)</f>
        <v>13187.513643835617</v>
      </c>
      <c r="AY436" s="10">
        <f>IF('Batt IN'!$E$11="Non-Taxable",'Batt IN'!$E$28/1000*'Batt IN'!$G$13*('Batt IN'!$E$13/12)*'Batt IN'!$E$12,0)</f>
        <v>244.42220833333334</v>
      </c>
      <c r="AZ436" s="10">
        <f>IF('Batt IN'!$E$11="Non-Taxable",$S436*'Batt IN'!$G$15*'Batt IN'!$E$28*'Batt IN'!$E$14/1000,0)</f>
        <v>0</v>
      </c>
      <c r="BA436" s="10">
        <f>IF('Batt IN'!$E$11="Non-Taxable",'Batt IN'!$E$21*'Batt IN'!$G$21/12,0)</f>
        <v>437.5</v>
      </c>
      <c r="BB436" s="10">
        <f>IF('Batt IN'!$E$11="Non-Taxable",'Batt IN'!$E$22*'Batt IN'!$G$22/12,0)</f>
        <v>1145.8333333333335</v>
      </c>
      <c r="BC436" s="10">
        <f>IF('Batt IN'!$E$11="Taxable",Q436,0)</f>
        <v>0</v>
      </c>
      <c r="BD436" s="10">
        <f>IF('Batt IN'!$E$11="Taxable",'Batt IN'!$E$28/1000*'Batt IN'!$G$13*('Batt IN'!$E$13/12)*'Batt IN'!$E$12,0)</f>
        <v>0</v>
      </c>
      <c r="BE436" s="10">
        <f>IF('Batt IN'!$E$11="Taxable",$S436*'Batt IN'!$G$15*'Batt IN'!$E$28*'Batt IN'!$E$14/1000,0)</f>
        <v>0</v>
      </c>
      <c r="BF436" s="10">
        <f>IF('Batt IN'!$E$11="Taxable",'Batt IN'!$E$21*'Batt IN'!$G$21/12,0)</f>
        <v>0</v>
      </c>
      <c r="BG436" s="10">
        <f>IF('Batt IN'!$E$11="Taxable",'Batt IN'!$E$22*'Batt IN'!$G$22/12,0)</f>
        <v>0</v>
      </c>
      <c r="BK436" s="10">
        <f>IF('Batt IN'!$N$18="Yes",-BattLoan!H464,-BattLoan!L464)</f>
        <v>0</v>
      </c>
      <c r="BL436" s="10">
        <f>IF('Batt IN'!$N$18="Yes",-BattLoan!F464,0)</f>
        <v>0</v>
      </c>
      <c r="BM436" s="10">
        <f>IF(AND('Batt IN'!$D$44="YES",$C436&lt;='Batt IN'!$E$44*12),0,-'Batt IN'!$E$28*'Batt IN'!$E$42/12)</f>
        <v>-83.333333333333329</v>
      </c>
      <c r="BN436" s="10">
        <f>IF(AND('Batt IN'!$D$46="YES",$C436&lt;='Batt IN'!$E$46*12),0,-'Batt IN'!$E$28*'Batt IN'!$E$45/12)</f>
        <v>-166.66666666666666</v>
      </c>
      <c r="BO436" s="2">
        <f>IF(AND('Batt IN'!$D$41="YES",BattCalcs!C436=ROUNDUP('Batt IN'!$H$41*12,)),-'Batt IN'!$E$41*'Batt IN'!$E$28,0)</f>
        <v>0</v>
      </c>
      <c r="BP436" s="2">
        <f>IF(AND('Batt IN'!$D$53="Yes",$AL$1&gt;=1),0,IF($C436='Batt IN'!$H$54*12,-'Batt IN'!$F$54,0))</f>
        <v>0</v>
      </c>
      <c r="BQ436" s="2">
        <f>IF(AND('Batt IN'!$D$53="Yes",$AL$1&gt;=2),0,IF($C436='Batt IN'!$H$55*12,-'Batt IN'!$F$55,0))</f>
        <v>0</v>
      </c>
      <c r="BR436" s="2">
        <f>IF(AND('Batt IN'!$D$53="Yes",$AL$1&gt;=3),0,IF($C436='Batt IN'!$H$56*12,-'Batt IN'!$F$56,0))</f>
        <v>0</v>
      </c>
      <c r="BS436" s="2">
        <f>IF(AND('Batt IN'!$D$53="Yes",$AL$1&gt;=4),0,IF($C436='Batt IN'!$H$57*12,-'Batt IN'!$F$57,0))</f>
        <v>0</v>
      </c>
      <c r="BT436" s="2">
        <f>IF(AND('Batt IN'!$D$53="Yes",$AL$1&gt;=5),0,IF($C436='Batt IN'!$H$58*12,-'Batt IN'!$F$58,0))</f>
        <v>0</v>
      </c>
      <c r="BU436" s="2">
        <f>-AH436*PVCalcs!F436</f>
        <v>-359.37504381576838</v>
      </c>
      <c r="BV436" s="2">
        <f>-'Batt IN'!$E$47</f>
        <v>-150</v>
      </c>
      <c r="BW436" s="2">
        <f>-'Batt IN'!$E$49</f>
        <v>-2250</v>
      </c>
      <c r="BX436" s="2">
        <f>IF('Batt IN'!$H$50="No",-(BC436*'Batt IN'!$E$50),-(BC436+BE436)*'Batt IN'!$E$50)</f>
        <v>0</v>
      </c>
      <c r="BY436" s="2">
        <f>IF(C436='Batt IN'!$H$43*12,-'Batt IN'!$E$43,0)</f>
        <v>0</v>
      </c>
      <c r="BZ436" s="38"/>
      <c r="CA436" s="10">
        <f t="shared" si="123"/>
        <v>15441.75705216895</v>
      </c>
      <c r="CB436" s="2">
        <f t="shared" si="111"/>
        <v>-3009.3750438157685</v>
      </c>
      <c r="CC436" s="45">
        <f t="shared" si="124"/>
        <v>12432.382008353183</v>
      </c>
      <c r="CD436" s="43"/>
      <c r="CE436" s="2">
        <f t="shared" si="125"/>
        <v>0</v>
      </c>
      <c r="CF436" s="2">
        <f t="shared" si="112"/>
        <v>-3009.3750438157685</v>
      </c>
      <c r="CG436" s="2"/>
      <c r="CH436" s="2">
        <f t="shared" si="126"/>
        <v>-3009.3750438157685</v>
      </c>
      <c r="CI436" s="45">
        <f>-CH436*'Batt IN'!$E$7</f>
        <v>631.9687592013114</v>
      </c>
      <c r="CJ436" s="48"/>
      <c r="CK436" s="45">
        <f>IF('Batt IN'!$F$4="PV Only",0,IF(C436&gt;'Batt IN'!$H$43*12,0,CC436+CI436))</f>
        <v>0</v>
      </c>
      <c r="CM436" s="10">
        <f t="shared" si="127"/>
        <v>0</v>
      </c>
      <c r="CN436" s="2">
        <f>CK436/(1+('Batt IN'!$G$8))^(C436)</f>
        <v>0</v>
      </c>
      <c r="CO436" s="2" t="e">
        <f>IF(C436&lt;='Batt IN'!$O$30*12,CN436+CO435,NA())</f>
        <v>#N/A</v>
      </c>
      <c r="CQ436" s="2">
        <f>CK436/((1+('Batt IN'!$E$8/12))^BattCalcs!C436)</f>
        <v>0</v>
      </c>
      <c r="CS436" s="10">
        <f t="shared" si="113"/>
        <v>-3009.3750438157685</v>
      </c>
      <c r="CT436" s="10">
        <f t="shared" si="114"/>
        <v>0</v>
      </c>
      <c r="CU436" s="10">
        <f t="shared" si="115"/>
        <v>-3009.3750438157685</v>
      </c>
      <c r="CV436" s="10">
        <f t="shared" si="116"/>
        <v>-3009.3750438157685</v>
      </c>
      <c r="CW436" s="2">
        <f t="shared" si="117"/>
        <v>0</v>
      </c>
      <c r="CX436" s="2">
        <f>-(SUM(CV436:CW436)*'PV IN'!$E$8)</f>
        <v>631.9687592013114</v>
      </c>
      <c r="CY436" s="2">
        <f t="shared" si="118"/>
        <v>-2377.406284614457</v>
      </c>
      <c r="CZ436" s="2">
        <f>IF(C436&lt;='Batt IN'!$H$43*12,CY436/(1+('PV IN'!$G$9))^(C436),0)</f>
        <v>0</v>
      </c>
      <c r="DA436" s="33">
        <f>IF(C436&lt;='Batt IN'!$H$43*12,AE436,0)</f>
        <v>0</v>
      </c>
    </row>
    <row r="437" spans="1:105" x14ac:dyDescent="0.25">
      <c r="A437" t="str">
        <f>IF(C437&lt;='Batt IN'!$H$43*12,C437,"")</f>
        <v/>
      </c>
      <c r="C437">
        <v>433</v>
      </c>
      <c r="D437" s="21">
        <v>863</v>
      </c>
      <c r="E437" s="1">
        <f>1-'Batt IN'!$E$31</f>
        <v>2.0000000000000018E-2</v>
      </c>
      <c r="F437" s="12">
        <f>('Batt IN'!$E$33*365)/8760</f>
        <v>0</v>
      </c>
      <c r="G437" s="22">
        <f>'Batt IN'!$E$32/8760</f>
        <v>5.7077625570776253E-3</v>
      </c>
      <c r="H437" s="22">
        <f>'Batt IN'!$E$13/8760</f>
        <v>5.5936073059360729E-3</v>
      </c>
      <c r="I437" s="23">
        <f>IF(C437&lt;='Batt IN'!$G$14*12,'Batt IN'!$E$15/8760*'Batt IN'!$G$15,0)</f>
        <v>0</v>
      </c>
      <c r="J437" s="12">
        <f>Z437/'Batt IN'!$E$27/730</f>
        <v>2.4999999999999996E-3</v>
      </c>
      <c r="K437" s="23">
        <f>AA437/'Batt IN'!$E$27/730</f>
        <v>1.6027397260273972E-3</v>
      </c>
      <c r="L437" s="23">
        <f>AB437/'Batt IN'!$E$27/730</f>
        <v>2.0547945205479451E-4</v>
      </c>
      <c r="M437" s="23">
        <f>AC437/'Batt IN'!$E$27/730</f>
        <v>4.7945205479452057E-3</v>
      </c>
      <c r="N437" s="23">
        <f>AD437/'Batt IN'!$E$27/730</f>
        <v>3.4246575342465752E-3</v>
      </c>
      <c r="O437" s="12">
        <f t="shared" si="119"/>
        <v>4.3828767123287697E-2</v>
      </c>
      <c r="P437" s="21">
        <f t="shared" si="120"/>
        <v>825.17577397260277</v>
      </c>
      <c r="Q437" s="2">
        <f>IF('Batt IN'!$E$27*'Batt IN'!$E$24&lt;='Batt IN'!$E$28,(('Batt IN'!$E$23*'Batt IN'!$E$27*'Batt IN'!$E$24)/1000)*P437,(('Batt IN'!$E$23*'Batt IN'!$E$28*'Batt IN'!$E$24)/1000)*P437)</f>
        <v>13202.812383561644</v>
      </c>
      <c r="R437" s="2"/>
      <c r="S437" s="77">
        <f>IF(C437&lt;='Batt IN'!$G$14*12,'Batt IN'!$E$15/12,0)</f>
        <v>0</v>
      </c>
      <c r="T437" s="77"/>
      <c r="U437" s="80">
        <f>'Batt IN'!$E$28*('Batt IN'!$G$24/24)*730*(1-O437)</f>
        <v>81433.916666666657</v>
      </c>
      <c r="V437" s="78">
        <f>U437*'Batt IN'!$F$30</f>
        <v>16286.783333333333</v>
      </c>
      <c r="W437" s="78">
        <f>'Batt IN'!$E$28*'Batt IN'!$G$32*('Batt IN'!$E$32/12)*(1+'Batt IN'!$F$30)</f>
        <v>1750.0000000000002</v>
      </c>
      <c r="X437" s="78">
        <f>'Batt IN'!$E$28*'Batt IN'!$G$13*('Batt IN'!$E$13/12)*(1+'Batt IN'!$F$30)</f>
        <v>3184.9999999999995</v>
      </c>
      <c r="Y437" s="33">
        <f>S437*'Batt IN'!$G$15*'Batt IN'!$E$28*(1+'Batt IN'!$F$30)</f>
        <v>0</v>
      </c>
      <c r="Z437" s="33">
        <f>'Batt IN'!$G$16*365/12*(1+'Batt IN'!$F$30)</f>
        <v>1824.9999999999998</v>
      </c>
      <c r="AA437" s="33">
        <f>'Batt IN'!$G$17*'Batt IN'!$E$18*'Batt IN'!$G$18/12*(1+'Batt IN'!$F$30)</f>
        <v>1170</v>
      </c>
      <c r="AB437" s="33">
        <f>'Batt IN'!$G$19*'Batt IN'!$E$20*'Batt IN'!$G$20/12*(1+'Batt IN'!$F$30)</f>
        <v>150</v>
      </c>
      <c r="AC437" s="33">
        <f>'Batt IN'!$G$21*(1+'Batt IN'!$F$30)/12</f>
        <v>3500</v>
      </c>
      <c r="AD437" s="33">
        <f>'Batt IN'!$G$22*(1+'Batt IN'!$F$30)/12</f>
        <v>2500</v>
      </c>
      <c r="AE437" s="33">
        <f t="shared" si="121"/>
        <v>30366.783333333333</v>
      </c>
      <c r="AF437" s="33">
        <f>IF('PV IN'!$F$4="Battery Only",0,AE437*'Batt IN'!$E$29)</f>
        <v>25811.765833333331</v>
      </c>
      <c r="AG437" s="33">
        <f>PVCalcs!L437</f>
        <v>25811.765833333331</v>
      </c>
      <c r="AH437" s="33">
        <f t="shared" si="122"/>
        <v>4555.0175000000017</v>
      </c>
      <c r="AI437" s="33"/>
      <c r="AJ437" s="2">
        <f>IF(AND('Batt IN'!$D$53="Yes",$AL$1&gt;=1),IF($C437='Batt IN'!$H$54*12,-'Batt IN'!$F$54,0),0)</f>
        <v>0</v>
      </c>
      <c r="AK437" s="2">
        <f>IF(AND('Batt IN'!$D$53="Yes",$AL$1&gt;=2),IF($C437='Batt IN'!$H$55*12,-'Batt IN'!$F$55,0),0)</f>
        <v>0</v>
      </c>
      <c r="AL437" s="2">
        <f>IF(AND('Batt IN'!$D$53="Yes",$AL$1&gt;=3),IF($C437='Batt IN'!$H$56*12,-'Batt IN'!$F$56,0),0)</f>
        <v>0</v>
      </c>
      <c r="AM437" s="2">
        <f>IF(AND('Batt IN'!$D$53="Yes",$AL$1&gt;=4),IF($C437='Batt IN'!$H$57*12,-'Batt IN'!$F$57,0),0)</f>
        <v>0</v>
      </c>
      <c r="AN437" s="2">
        <f>IF(AND('Batt IN'!$D$53="Yes",$AL$1&gt;=5),IF($C437='Batt IN'!$H$58*12,-'Batt IN'!$F$58,0),0)</f>
        <v>0</v>
      </c>
      <c r="AO437" s="10">
        <f>IF(AND('Batt IN'!$D$44="YES",$C437&lt;='Batt IN'!$E$44*12),-'Batt IN'!$E$28*'Batt IN'!$E$42/12,0)</f>
        <v>0</v>
      </c>
      <c r="AP437" s="10">
        <f>IF(AND('Batt IN'!$D$46="YES",$C437&lt;='Batt IN'!$E$46*12),-'Batt IN'!$E$28*'Batt IN'!$E$45/12,0)</f>
        <v>0</v>
      </c>
      <c r="AR437" s="10">
        <f>BattLoan!M464</f>
        <v>0</v>
      </c>
      <c r="AS437" s="10">
        <f>'Batt IN'!$G$16*365/12*'Batt IN'!$E$16</f>
        <v>76.041666666666671</v>
      </c>
      <c r="AT437" s="10">
        <f>IF(AND('Batt IN'!$E$18&gt;0,'Batt IN'!$G$18&gt;0),'Batt IN'!$E$17*'Batt IN'!$G$17,0)</f>
        <v>119.44619999999999</v>
      </c>
      <c r="AU437" s="10">
        <f>IF(AND('Batt IN'!$E$20&gt;0,'Batt IN'!$G$20&gt;0),'Batt IN'!$E$19*'Batt IN'!$G$19,0)</f>
        <v>231</v>
      </c>
      <c r="AV437" s="10"/>
      <c r="AW437" s="10"/>
      <c r="AX437" s="10">
        <f>IF('Batt IN'!$E$11="Non-Taxable",Q437,0)</f>
        <v>13202.812383561644</v>
      </c>
      <c r="AY437" s="10">
        <f>IF('Batt IN'!$E$11="Non-Taxable",'Batt IN'!$E$28/1000*'Batt IN'!$G$13*('Batt IN'!$E$13/12)*'Batt IN'!$E$12,0)</f>
        <v>244.42220833333334</v>
      </c>
      <c r="AZ437" s="10">
        <f>IF('Batt IN'!$E$11="Non-Taxable",$S437*'Batt IN'!$G$15*'Batt IN'!$E$28*'Batt IN'!$E$14/1000,0)</f>
        <v>0</v>
      </c>
      <c r="BA437" s="10">
        <f>IF('Batt IN'!$E$11="Non-Taxable",'Batt IN'!$E$21*'Batt IN'!$G$21/12,0)</f>
        <v>437.5</v>
      </c>
      <c r="BB437" s="10">
        <f>IF('Batt IN'!$E$11="Non-Taxable",'Batt IN'!$E$22*'Batt IN'!$G$22/12,0)</f>
        <v>1145.8333333333335</v>
      </c>
      <c r="BC437" s="10">
        <f>IF('Batt IN'!$E$11="Taxable",Q437,0)</f>
        <v>0</v>
      </c>
      <c r="BD437" s="10">
        <f>IF('Batt IN'!$E$11="Taxable",'Batt IN'!$E$28/1000*'Batt IN'!$G$13*('Batt IN'!$E$13/12)*'Batt IN'!$E$12,0)</f>
        <v>0</v>
      </c>
      <c r="BE437" s="10">
        <f>IF('Batt IN'!$E$11="Taxable",$S437*'Batt IN'!$G$15*'Batt IN'!$E$28*'Batt IN'!$E$14/1000,0)</f>
        <v>0</v>
      </c>
      <c r="BF437" s="10">
        <f>IF('Batt IN'!$E$11="Taxable",'Batt IN'!$E$21*'Batt IN'!$G$21/12,0)</f>
        <v>0</v>
      </c>
      <c r="BG437" s="10">
        <f>IF('Batt IN'!$E$11="Taxable",'Batt IN'!$E$22*'Batt IN'!$G$22/12,0)</f>
        <v>0</v>
      </c>
      <c r="BK437" s="10">
        <f>IF('Batt IN'!$N$18="Yes",-BattLoan!H465,-BattLoan!L465)</f>
        <v>0</v>
      </c>
      <c r="BL437" s="10">
        <f>IF('Batt IN'!$N$18="Yes",-BattLoan!F465,0)</f>
        <v>0</v>
      </c>
      <c r="BM437" s="10">
        <f>IF(AND('Batt IN'!$D$44="YES",$C437&lt;='Batt IN'!$E$44*12),0,-'Batt IN'!$E$28*'Batt IN'!$E$42/12)</f>
        <v>-83.333333333333329</v>
      </c>
      <c r="BN437" s="10">
        <f>IF(AND('Batt IN'!$D$46="YES",$C437&lt;='Batt IN'!$E$46*12),0,-'Batt IN'!$E$28*'Batt IN'!$E$45/12)</f>
        <v>-166.66666666666666</v>
      </c>
      <c r="BO437" s="2">
        <f>IF(AND('Batt IN'!$D$41="YES",BattCalcs!C437=ROUNDUP('Batt IN'!$H$41*12,)),-'Batt IN'!$E$41*'Batt IN'!$E$28,0)</f>
        <v>0</v>
      </c>
      <c r="BP437" s="2">
        <f>IF(AND('Batt IN'!$D$53="Yes",$AL$1&gt;=1),0,IF($C437='Batt IN'!$H$54*12,-'Batt IN'!$F$54,0))</f>
        <v>0</v>
      </c>
      <c r="BQ437" s="2">
        <f>IF(AND('Batt IN'!$D$53="Yes",$AL$1&gt;=2),0,IF($C437='Batt IN'!$H$55*12,-'Batt IN'!$F$55,0))</f>
        <v>0</v>
      </c>
      <c r="BR437" s="2">
        <f>IF(AND('Batt IN'!$D$53="Yes",$AL$1&gt;=3),0,IF($C437='Batt IN'!$H$56*12,-'Batt IN'!$F$56,0))</f>
        <v>0</v>
      </c>
      <c r="BS437" s="2">
        <f>IF(AND('Batt IN'!$D$53="Yes",$AL$1&gt;=4),0,IF($C437='Batt IN'!$H$57*12,-'Batt IN'!$F$57,0))</f>
        <v>0</v>
      </c>
      <c r="BT437" s="2">
        <f>IF(AND('Batt IN'!$D$53="Yes",$AL$1&gt;=5),0,IF($C437='Batt IN'!$H$58*12,-'Batt IN'!$F$58,0))</f>
        <v>0</v>
      </c>
      <c r="BU437" s="2">
        <f>-AH437*PVCalcs!F437</f>
        <v>-359.37504381576838</v>
      </c>
      <c r="BV437" s="2">
        <f>-'Batt IN'!$E$47</f>
        <v>-150</v>
      </c>
      <c r="BW437" s="2">
        <f>-'Batt IN'!$E$49</f>
        <v>-2250</v>
      </c>
      <c r="BX437" s="2">
        <f>IF('Batt IN'!$H$50="No",-(BC437*'Batt IN'!$E$50),-(BC437+BE437)*'Batt IN'!$E$50)</f>
        <v>0</v>
      </c>
      <c r="BY437" s="2">
        <f>IF(C437='Batt IN'!$H$43*12,-'Batt IN'!$E$43,0)</f>
        <v>0</v>
      </c>
      <c r="BZ437" s="38"/>
      <c r="CA437" s="10">
        <f t="shared" si="123"/>
        <v>15457.055791894978</v>
      </c>
      <c r="CB437" s="2">
        <f t="shared" si="111"/>
        <v>-3009.3750438157685</v>
      </c>
      <c r="CC437" s="45">
        <f t="shared" si="124"/>
        <v>12447.680748079209</v>
      </c>
      <c r="CD437" s="43"/>
      <c r="CE437" s="2">
        <f t="shared" si="125"/>
        <v>0</v>
      </c>
      <c r="CF437" s="2">
        <f t="shared" si="112"/>
        <v>-3009.3750438157685</v>
      </c>
      <c r="CG437" s="2"/>
      <c r="CH437" s="2">
        <f t="shared" si="126"/>
        <v>-3009.3750438157685</v>
      </c>
      <c r="CI437" s="45">
        <f>-CH437*'Batt IN'!$E$7</f>
        <v>631.9687592013114</v>
      </c>
      <c r="CJ437" s="48"/>
      <c r="CK437" s="45">
        <f>IF('Batt IN'!$F$4="PV Only",0,IF(C437&gt;'Batt IN'!$H$43*12,0,CC437+CI437))</f>
        <v>0</v>
      </c>
      <c r="CM437" s="10">
        <f t="shared" si="127"/>
        <v>0</v>
      </c>
      <c r="CN437" s="2">
        <f>CK437/(1+('Batt IN'!$G$8))^(C437)</f>
        <v>0</v>
      </c>
      <c r="CO437" s="2" t="e">
        <f>IF(C437&lt;='Batt IN'!$O$30*12,CN437+CO436,NA())</f>
        <v>#N/A</v>
      </c>
      <c r="CQ437" s="2">
        <f>CK437/((1+('Batt IN'!$E$8/12))^BattCalcs!C437)</f>
        <v>0</v>
      </c>
      <c r="CS437" s="10">
        <f t="shared" si="113"/>
        <v>-3009.3750438157685</v>
      </c>
      <c r="CT437" s="10">
        <f t="shared" si="114"/>
        <v>0</v>
      </c>
      <c r="CU437" s="10">
        <f t="shared" si="115"/>
        <v>-3009.3750438157685</v>
      </c>
      <c r="CV437" s="10">
        <f t="shared" si="116"/>
        <v>-3009.3750438157685</v>
      </c>
      <c r="CW437" s="2">
        <f t="shared" si="117"/>
        <v>0</v>
      </c>
      <c r="CX437" s="2">
        <f>-(SUM(CV437:CW437)*'PV IN'!$E$8)</f>
        <v>631.9687592013114</v>
      </c>
      <c r="CY437" s="2">
        <f t="shared" si="118"/>
        <v>-2377.406284614457</v>
      </c>
      <c r="CZ437" s="2">
        <f>IF(C437&lt;='Batt IN'!$H$43*12,CY437/(1+('PV IN'!$G$9))^(C437),0)</f>
        <v>0</v>
      </c>
      <c r="DA437" s="33">
        <f>IF(C437&lt;='Batt IN'!$H$43*12,AE437,0)</f>
        <v>0</v>
      </c>
    </row>
    <row r="438" spans="1:105" x14ac:dyDescent="0.25">
      <c r="A438" t="str">
        <f>IF(C438&lt;='Batt IN'!$H$43*12,C438,"")</f>
        <v/>
      </c>
      <c r="C438">
        <v>434</v>
      </c>
      <c r="D438" s="21">
        <v>864</v>
      </c>
      <c r="E438" s="1">
        <f>1-'Batt IN'!$E$31</f>
        <v>2.0000000000000018E-2</v>
      </c>
      <c r="F438" s="12">
        <f>('Batt IN'!$E$33*365)/8760</f>
        <v>0</v>
      </c>
      <c r="G438" s="22">
        <f>'Batt IN'!$E$32/8760</f>
        <v>5.7077625570776253E-3</v>
      </c>
      <c r="H438" s="22">
        <f>'Batt IN'!$E$13/8760</f>
        <v>5.5936073059360729E-3</v>
      </c>
      <c r="I438" s="23">
        <f>IF(C438&lt;='Batt IN'!$G$14*12,'Batt IN'!$E$15/8760*'Batt IN'!$G$15,0)</f>
        <v>0</v>
      </c>
      <c r="J438" s="12">
        <f>Z438/'Batt IN'!$E$27/730</f>
        <v>2.4999999999999996E-3</v>
      </c>
      <c r="K438" s="23">
        <f>AA438/'Batt IN'!$E$27/730</f>
        <v>1.6027397260273972E-3</v>
      </c>
      <c r="L438" s="23">
        <f>AB438/'Batt IN'!$E$27/730</f>
        <v>2.0547945205479451E-4</v>
      </c>
      <c r="M438" s="23">
        <f>AC438/'Batt IN'!$E$27/730</f>
        <v>4.7945205479452057E-3</v>
      </c>
      <c r="N438" s="23">
        <f>AD438/'Batt IN'!$E$27/730</f>
        <v>3.4246575342465752E-3</v>
      </c>
      <c r="O438" s="12">
        <f t="shared" si="119"/>
        <v>4.3828767123287697E-2</v>
      </c>
      <c r="P438" s="21">
        <f t="shared" si="120"/>
        <v>826.1319452054795</v>
      </c>
      <c r="Q438" s="2">
        <f>IF('Batt IN'!$E$27*'Batt IN'!$E$24&lt;='Batt IN'!$E$28,(('Batt IN'!$E$23*'Batt IN'!$E$27*'Batt IN'!$E$24)/1000)*P438,(('Batt IN'!$E$23*'Batt IN'!$E$28*'Batt IN'!$E$24)/1000)*P438)</f>
        <v>13218.111123287672</v>
      </c>
      <c r="R438" s="2"/>
      <c r="S438" s="77">
        <f>IF(C438&lt;='Batt IN'!$G$14*12,'Batt IN'!$E$15/12,0)</f>
        <v>0</v>
      </c>
      <c r="T438" s="77"/>
      <c r="U438" s="80">
        <f>'Batt IN'!$E$28*('Batt IN'!$G$24/24)*730*(1-O438)</f>
        <v>81433.916666666657</v>
      </c>
      <c r="V438" s="78">
        <f>U438*'Batt IN'!$F$30</f>
        <v>16286.783333333333</v>
      </c>
      <c r="W438" s="78">
        <f>'Batt IN'!$E$28*'Batt IN'!$G$32*('Batt IN'!$E$32/12)*(1+'Batt IN'!$F$30)</f>
        <v>1750.0000000000002</v>
      </c>
      <c r="X438" s="78">
        <f>'Batt IN'!$E$28*'Batt IN'!$G$13*('Batt IN'!$E$13/12)*(1+'Batt IN'!$F$30)</f>
        <v>3184.9999999999995</v>
      </c>
      <c r="Y438" s="33">
        <f>S438*'Batt IN'!$G$15*'Batt IN'!$E$28*(1+'Batt IN'!$F$30)</f>
        <v>0</v>
      </c>
      <c r="Z438" s="33">
        <f>'Batt IN'!$G$16*365/12*(1+'Batt IN'!$F$30)</f>
        <v>1824.9999999999998</v>
      </c>
      <c r="AA438" s="33">
        <f>'Batt IN'!$G$17*'Batt IN'!$E$18*'Batt IN'!$G$18/12*(1+'Batt IN'!$F$30)</f>
        <v>1170</v>
      </c>
      <c r="AB438" s="33">
        <f>'Batt IN'!$G$19*'Batt IN'!$E$20*'Batt IN'!$G$20/12*(1+'Batt IN'!$F$30)</f>
        <v>150</v>
      </c>
      <c r="AC438" s="33">
        <f>'Batt IN'!$G$21*(1+'Batt IN'!$F$30)/12</f>
        <v>3500</v>
      </c>
      <c r="AD438" s="33">
        <f>'Batt IN'!$G$22*(1+'Batt IN'!$F$30)/12</f>
        <v>2500</v>
      </c>
      <c r="AE438" s="33">
        <f t="shared" si="121"/>
        <v>30366.783333333333</v>
      </c>
      <c r="AF438" s="33">
        <f>IF('PV IN'!$F$4="Battery Only",0,AE438*'Batt IN'!$E$29)</f>
        <v>25811.765833333331</v>
      </c>
      <c r="AG438" s="33">
        <f>PVCalcs!L438</f>
        <v>25811.765833333331</v>
      </c>
      <c r="AH438" s="33">
        <f t="shared" si="122"/>
        <v>4555.0175000000017</v>
      </c>
      <c r="AI438" s="33"/>
      <c r="AJ438" s="2">
        <f>IF(AND('Batt IN'!$D$53="Yes",$AL$1&gt;=1),IF($C438='Batt IN'!$H$54*12,-'Batt IN'!$F$54,0),0)</f>
        <v>0</v>
      </c>
      <c r="AK438" s="2">
        <f>IF(AND('Batt IN'!$D$53="Yes",$AL$1&gt;=2),IF($C438='Batt IN'!$H$55*12,-'Batt IN'!$F$55,0),0)</f>
        <v>0</v>
      </c>
      <c r="AL438" s="2">
        <f>IF(AND('Batt IN'!$D$53="Yes",$AL$1&gt;=3),IF($C438='Batt IN'!$H$56*12,-'Batt IN'!$F$56,0),0)</f>
        <v>0</v>
      </c>
      <c r="AM438" s="2">
        <f>IF(AND('Batt IN'!$D$53="Yes",$AL$1&gt;=4),IF($C438='Batt IN'!$H$57*12,-'Batt IN'!$F$57,0),0)</f>
        <v>0</v>
      </c>
      <c r="AN438" s="2">
        <f>IF(AND('Batt IN'!$D$53="Yes",$AL$1&gt;=5),IF($C438='Batt IN'!$H$58*12,-'Batt IN'!$F$58,0),0)</f>
        <v>0</v>
      </c>
      <c r="AO438" s="10">
        <f>IF(AND('Batt IN'!$D$44="YES",$C438&lt;='Batt IN'!$E$44*12),-'Batt IN'!$E$28*'Batt IN'!$E$42/12,0)</f>
        <v>0</v>
      </c>
      <c r="AP438" s="10">
        <f>IF(AND('Batt IN'!$D$46="YES",$C438&lt;='Batt IN'!$E$46*12),-'Batt IN'!$E$28*'Batt IN'!$E$45/12,0)</f>
        <v>0</v>
      </c>
      <c r="AR438" s="10">
        <f>BattLoan!M465</f>
        <v>0</v>
      </c>
      <c r="AS438" s="10">
        <f>'Batt IN'!$G$16*365/12*'Batt IN'!$E$16</f>
        <v>76.041666666666671</v>
      </c>
      <c r="AT438" s="10">
        <f>IF(AND('Batt IN'!$E$18&gt;0,'Batt IN'!$G$18&gt;0),'Batt IN'!$E$17*'Batt IN'!$G$17,0)</f>
        <v>119.44619999999999</v>
      </c>
      <c r="AU438" s="10">
        <f>IF(AND('Batt IN'!$E$20&gt;0,'Batt IN'!$G$20&gt;0),'Batt IN'!$E$19*'Batt IN'!$G$19,0)</f>
        <v>231</v>
      </c>
      <c r="AV438" s="10"/>
      <c r="AW438" s="10"/>
      <c r="AX438" s="10">
        <f>IF('Batt IN'!$E$11="Non-Taxable",Q438,0)</f>
        <v>13218.111123287672</v>
      </c>
      <c r="AY438" s="10">
        <f>IF('Batt IN'!$E$11="Non-Taxable",'Batt IN'!$E$28/1000*'Batt IN'!$G$13*('Batt IN'!$E$13/12)*'Batt IN'!$E$12,0)</f>
        <v>244.42220833333334</v>
      </c>
      <c r="AZ438" s="10">
        <f>IF('Batt IN'!$E$11="Non-Taxable",$S438*'Batt IN'!$G$15*'Batt IN'!$E$28*'Batt IN'!$E$14/1000,0)</f>
        <v>0</v>
      </c>
      <c r="BA438" s="10">
        <f>IF('Batt IN'!$E$11="Non-Taxable",'Batt IN'!$E$21*'Batt IN'!$G$21/12,0)</f>
        <v>437.5</v>
      </c>
      <c r="BB438" s="10">
        <f>IF('Batt IN'!$E$11="Non-Taxable",'Batt IN'!$E$22*'Batt IN'!$G$22/12,0)</f>
        <v>1145.8333333333335</v>
      </c>
      <c r="BC438" s="10">
        <f>IF('Batt IN'!$E$11="Taxable",Q438,0)</f>
        <v>0</v>
      </c>
      <c r="BD438" s="10">
        <f>IF('Batt IN'!$E$11="Taxable",'Batt IN'!$E$28/1000*'Batt IN'!$G$13*('Batt IN'!$E$13/12)*'Batt IN'!$E$12,0)</f>
        <v>0</v>
      </c>
      <c r="BE438" s="10">
        <f>IF('Batt IN'!$E$11="Taxable",$S438*'Batt IN'!$G$15*'Batt IN'!$E$28*'Batt IN'!$E$14/1000,0)</f>
        <v>0</v>
      </c>
      <c r="BF438" s="10">
        <f>IF('Batt IN'!$E$11="Taxable",'Batt IN'!$E$21*'Batt IN'!$G$21/12,0)</f>
        <v>0</v>
      </c>
      <c r="BG438" s="10">
        <f>IF('Batt IN'!$E$11="Taxable",'Batt IN'!$E$22*'Batt IN'!$G$22/12,0)</f>
        <v>0</v>
      </c>
      <c r="BK438" s="10">
        <f>IF('Batt IN'!$N$18="Yes",-BattLoan!H466,-BattLoan!L466)</f>
        <v>0</v>
      </c>
      <c r="BL438" s="10">
        <f>IF('Batt IN'!$N$18="Yes",-BattLoan!F466,0)</f>
        <v>0</v>
      </c>
      <c r="BM438" s="10">
        <f>IF(AND('Batt IN'!$D$44="YES",$C438&lt;='Batt IN'!$E$44*12),0,-'Batt IN'!$E$28*'Batt IN'!$E$42/12)</f>
        <v>-83.333333333333329</v>
      </c>
      <c r="BN438" s="10">
        <f>IF(AND('Batt IN'!$D$46="YES",$C438&lt;='Batt IN'!$E$46*12),0,-'Batt IN'!$E$28*'Batt IN'!$E$45/12)</f>
        <v>-166.66666666666666</v>
      </c>
      <c r="BO438" s="2">
        <f>IF(AND('Batt IN'!$D$41="YES",BattCalcs!C438=ROUNDUP('Batt IN'!$H$41*12,)),-'Batt IN'!$E$41*'Batt IN'!$E$28,0)</f>
        <v>0</v>
      </c>
      <c r="BP438" s="2">
        <f>IF(AND('Batt IN'!$D$53="Yes",$AL$1&gt;=1),0,IF($C438='Batt IN'!$H$54*12,-'Batt IN'!$F$54,0))</f>
        <v>0</v>
      </c>
      <c r="BQ438" s="2">
        <f>IF(AND('Batt IN'!$D$53="Yes",$AL$1&gt;=2),0,IF($C438='Batt IN'!$H$55*12,-'Batt IN'!$F$55,0))</f>
        <v>0</v>
      </c>
      <c r="BR438" s="2">
        <f>IF(AND('Batt IN'!$D$53="Yes",$AL$1&gt;=3),0,IF($C438='Batt IN'!$H$56*12,-'Batt IN'!$F$56,0))</f>
        <v>0</v>
      </c>
      <c r="BS438" s="2">
        <f>IF(AND('Batt IN'!$D$53="Yes",$AL$1&gt;=4),0,IF($C438='Batt IN'!$H$57*12,-'Batt IN'!$F$57,0))</f>
        <v>0</v>
      </c>
      <c r="BT438" s="2">
        <f>IF(AND('Batt IN'!$D$53="Yes",$AL$1&gt;=5),0,IF($C438='Batt IN'!$H$58*12,-'Batt IN'!$F$58,0))</f>
        <v>0</v>
      </c>
      <c r="BU438" s="2">
        <f>-AH438*PVCalcs!F438</f>
        <v>-359.37504381576838</v>
      </c>
      <c r="BV438" s="2">
        <f>-'Batt IN'!$E$47</f>
        <v>-150</v>
      </c>
      <c r="BW438" s="2">
        <f>-'Batt IN'!$E$49</f>
        <v>-2250</v>
      </c>
      <c r="BX438" s="2">
        <f>IF('Batt IN'!$H$50="No",-(BC438*'Batt IN'!$E$50),-(BC438+BE438)*'Batt IN'!$E$50)</f>
        <v>0</v>
      </c>
      <c r="BY438" s="2">
        <f>IF(C438='Batt IN'!$H$43*12,-'Batt IN'!$E$43,0)</f>
        <v>0</v>
      </c>
      <c r="BZ438" s="38"/>
      <c r="CA438" s="10">
        <f t="shared" si="123"/>
        <v>15472.354531621006</v>
      </c>
      <c r="CB438" s="2">
        <f t="shared" si="111"/>
        <v>-3009.3750438157685</v>
      </c>
      <c r="CC438" s="45">
        <f t="shared" si="124"/>
        <v>12462.979487805238</v>
      </c>
      <c r="CD438" s="43"/>
      <c r="CE438" s="2">
        <f t="shared" si="125"/>
        <v>0</v>
      </c>
      <c r="CF438" s="2">
        <f t="shared" si="112"/>
        <v>-3009.3750438157685</v>
      </c>
      <c r="CG438" s="2"/>
      <c r="CH438" s="2">
        <f t="shared" si="126"/>
        <v>-3009.3750438157685</v>
      </c>
      <c r="CI438" s="45">
        <f>-CH438*'Batt IN'!$E$7</f>
        <v>631.9687592013114</v>
      </c>
      <c r="CJ438" s="48"/>
      <c r="CK438" s="45">
        <f>IF('Batt IN'!$F$4="PV Only",0,IF(C438&gt;'Batt IN'!$H$43*12,0,CC438+CI438))</f>
        <v>0</v>
      </c>
      <c r="CM438" s="10">
        <f t="shared" si="127"/>
        <v>0</v>
      </c>
      <c r="CN438" s="2">
        <f>CK438/(1+('Batt IN'!$G$8))^(C438)</f>
        <v>0</v>
      </c>
      <c r="CO438" s="2" t="e">
        <f>IF(C438&lt;='Batt IN'!$O$30*12,CN438+CO437,NA())</f>
        <v>#N/A</v>
      </c>
      <c r="CQ438" s="2">
        <f>CK438/((1+('Batt IN'!$E$8/12))^BattCalcs!C438)</f>
        <v>0</v>
      </c>
      <c r="CS438" s="10">
        <f t="shared" si="113"/>
        <v>-3009.3750438157685</v>
      </c>
      <c r="CT438" s="10">
        <f t="shared" si="114"/>
        <v>0</v>
      </c>
      <c r="CU438" s="10">
        <f t="shared" si="115"/>
        <v>-3009.3750438157685</v>
      </c>
      <c r="CV438" s="10">
        <f t="shared" si="116"/>
        <v>-3009.3750438157685</v>
      </c>
      <c r="CW438" s="2">
        <f t="shared" si="117"/>
        <v>0</v>
      </c>
      <c r="CX438" s="2">
        <f>-(SUM(CV438:CW438)*'PV IN'!$E$8)</f>
        <v>631.9687592013114</v>
      </c>
      <c r="CY438" s="2">
        <f t="shared" si="118"/>
        <v>-2377.406284614457</v>
      </c>
      <c r="CZ438" s="2">
        <f>IF(C438&lt;='Batt IN'!$H$43*12,CY438/(1+('PV IN'!$G$9))^(C438),0)</f>
        <v>0</v>
      </c>
      <c r="DA438" s="33">
        <f>IF(C438&lt;='Batt IN'!$H$43*12,AE438,0)</f>
        <v>0</v>
      </c>
    </row>
    <row r="439" spans="1:105" x14ac:dyDescent="0.25">
      <c r="A439" t="str">
        <f>IF(C439&lt;='Batt IN'!$H$43*12,C439,"")</f>
        <v/>
      </c>
      <c r="C439">
        <v>435</v>
      </c>
      <c r="D439" s="21">
        <v>865</v>
      </c>
      <c r="E439" s="1">
        <f>1-'Batt IN'!$E$31</f>
        <v>2.0000000000000018E-2</v>
      </c>
      <c r="F439" s="12">
        <f>('Batt IN'!$E$33*365)/8760</f>
        <v>0</v>
      </c>
      <c r="G439" s="22">
        <f>'Batt IN'!$E$32/8760</f>
        <v>5.7077625570776253E-3</v>
      </c>
      <c r="H439" s="22">
        <f>'Batt IN'!$E$13/8760</f>
        <v>5.5936073059360729E-3</v>
      </c>
      <c r="I439" s="23">
        <f>IF(C439&lt;='Batt IN'!$G$14*12,'Batt IN'!$E$15/8760*'Batt IN'!$G$15,0)</f>
        <v>0</v>
      </c>
      <c r="J439" s="12">
        <f>Z439/'Batt IN'!$E$27/730</f>
        <v>2.4999999999999996E-3</v>
      </c>
      <c r="K439" s="23">
        <f>AA439/'Batt IN'!$E$27/730</f>
        <v>1.6027397260273972E-3</v>
      </c>
      <c r="L439" s="23">
        <f>AB439/'Batt IN'!$E$27/730</f>
        <v>2.0547945205479451E-4</v>
      </c>
      <c r="M439" s="23">
        <f>AC439/'Batt IN'!$E$27/730</f>
        <v>4.7945205479452057E-3</v>
      </c>
      <c r="N439" s="23">
        <f>AD439/'Batt IN'!$E$27/730</f>
        <v>3.4246575342465752E-3</v>
      </c>
      <c r="O439" s="12">
        <f t="shared" si="119"/>
        <v>4.3828767123287697E-2</v>
      </c>
      <c r="P439" s="21">
        <f t="shared" si="120"/>
        <v>827.08811643835622</v>
      </c>
      <c r="Q439" s="2">
        <f>IF('Batt IN'!$E$27*'Batt IN'!$E$24&lt;='Batt IN'!$E$28,(('Batt IN'!$E$23*'Batt IN'!$E$27*'Batt IN'!$E$24)/1000)*P439,(('Batt IN'!$E$23*'Batt IN'!$E$28*'Batt IN'!$E$24)/1000)*P439)</f>
        <v>13233.4098630137</v>
      </c>
      <c r="R439" s="2"/>
      <c r="S439" s="77">
        <f>IF(C439&lt;='Batt IN'!$G$14*12,'Batt IN'!$E$15/12,0)</f>
        <v>0</v>
      </c>
      <c r="T439" s="77"/>
      <c r="U439" s="80">
        <f>'Batt IN'!$E$28*('Batt IN'!$G$24/24)*730*(1-O439)</f>
        <v>81433.916666666657</v>
      </c>
      <c r="V439" s="78">
        <f>U439*'Batt IN'!$F$30</f>
        <v>16286.783333333333</v>
      </c>
      <c r="W439" s="78">
        <f>'Batt IN'!$E$28*'Batt IN'!$G$32*('Batt IN'!$E$32/12)*(1+'Batt IN'!$F$30)</f>
        <v>1750.0000000000002</v>
      </c>
      <c r="X439" s="78">
        <f>'Batt IN'!$E$28*'Batt IN'!$G$13*('Batt IN'!$E$13/12)*(1+'Batt IN'!$F$30)</f>
        <v>3184.9999999999995</v>
      </c>
      <c r="Y439" s="33">
        <f>S439*'Batt IN'!$G$15*'Batt IN'!$E$28*(1+'Batt IN'!$F$30)</f>
        <v>0</v>
      </c>
      <c r="Z439" s="33">
        <f>'Batt IN'!$G$16*365/12*(1+'Batt IN'!$F$30)</f>
        <v>1824.9999999999998</v>
      </c>
      <c r="AA439" s="33">
        <f>'Batt IN'!$G$17*'Batt IN'!$E$18*'Batt IN'!$G$18/12*(1+'Batt IN'!$F$30)</f>
        <v>1170</v>
      </c>
      <c r="AB439" s="33">
        <f>'Batt IN'!$G$19*'Batt IN'!$E$20*'Batt IN'!$G$20/12*(1+'Batt IN'!$F$30)</f>
        <v>150</v>
      </c>
      <c r="AC439" s="33">
        <f>'Batt IN'!$G$21*(1+'Batt IN'!$F$30)/12</f>
        <v>3500</v>
      </c>
      <c r="AD439" s="33">
        <f>'Batt IN'!$G$22*(1+'Batt IN'!$F$30)/12</f>
        <v>2500</v>
      </c>
      <c r="AE439" s="33">
        <f t="shared" si="121"/>
        <v>30366.783333333333</v>
      </c>
      <c r="AF439" s="33">
        <f>IF('PV IN'!$F$4="Battery Only",0,AE439*'Batt IN'!$E$29)</f>
        <v>25811.765833333331</v>
      </c>
      <c r="AG439" s="33">
        <f>PVCalcs!L439</f>
        <v>25811.765833333331</v>
      </c>
      <c r="AH439" s="33">
        <f t="shared" si="122"/>
        <v>4555.0175000000017</v>
      </c>
      <c r="AI439" s="33"/>
      <c r="AJ439" s="2">
        <f>IF(AND('Batt IN'!$D$53="Yes",$AL$1&gt;=1),IF($C439='Batt IN'!$H$54*12,-'Batt IN'!$F$54,0),0)</f>
        <v>0</v>
      </c>
      <c r="AK439" s="2">
        <f>IF(AND('Batt IN'!$D$53="Yes",$AL$1&gt;=2),IF($C439='Batt IN'!$H$55*12,-'Batt IN'!$F$55,0),0)</f>
        <v>0</v>
      </c>
      <c r="AL439" s="2">
        <f>IF(AND('Batt IN'!$D$53="Yes",$AL$1&gt;=3),IF($C439='Batt IN'!$H$56*12,-'Batt IN'!$F$56,0),0)</f>
        <v>0</v>
      </c>
      <c r="AM439" s="2">
        <f>IF(AND('Batt IN'!$D$53="Yes",$AL$1&gt;=4),IF($C439='Batt IN'!$H$57*12,-'Batt IN'!$F$57,0),0)</f>
        <v>0</v>
      </c>
      <c r="AN439" s="2">
        <f>IF(AND('Batt IN'!$D$53="Yes",$AL$1&gt;=5),IF($C439='Batt IN'!$H$58*12,-'Batt IN'!$F$58,0),0)</f>
        <v>0</v>
      </c>
      <c r="AO439" s="10">
        <f>IF(AND('Batt IN'!$D$44="YES",$C439&lt;='Batt IN'!$E$44*12),-'Batt IN'!$E$28*'Batt IN'!$E$42/12,0)</f>
        <v>0</v>
      </c>
      <c r="AP439" s="10">
        <f>IF(AND('Batt IN'!$D$46="YES",$C439&lt;='Batt IN'!$E$46*12),-'Batt IN'!$E$28*'Batt IN'!$E$45/12,0)</f>
        <v>0</v>
      </c>
      <c r="AR439" s="10">
        <f>BattLoan!M466</f>
        <v>0</v>
      </c>
      <c r="AS439" s="10">
        <f>'Batt IN'!$G$16*365/12*'Batt IN'!$E$16</f>
        <v>76.041666666666671</v>
      </c>
      <c r="AT439" s="10">
        <f>IF(AND('Batt IN'!$E$18&gt;0,'Batt IN'!$G$18&gt;0),'Batt IN'!$E$17*'Batt IN'!$G$17,0)</f>
        <v>119.44619999999999</v>
      </c>
      <c r="AU439" s="10">
        <f>IF(AND('Batt IN'!$E$20&gt;0,'Batt IN'!$G$20&gt;0),'Batt IN'!$E$19*'Batt IN'!$G$19,0)</f>
        <v>231</v>
      </c>
      <c r="AV439" s="10"/>
      <c r="AW439" s="10"/>
      <c r="AX439" s="10">
        <f>IF('Batt IN'!$E$11="Non-Taxable",Q439,0)</f>
        <v>13233.4098630137</v>
      </c>
      <c r="AY439" s="10">
        <f>IF('Batt IN'!$E$11="Non-Taxable",'Batt IN'!$E$28/1000*'Batt IN'!$G$13*('Batt IN'!$E$13/12)*'Batt IN'!$E$12,0)</f>
        <v>244.42220833333334</v>
      </c>
      <c r="AZ439" s="10">
        <f>IF('Batt IN'!$E$11="Non-Taxable",$S439*'Batt IN'!$G$15*'Batt IN'!$E$28*'Batt IN'!$E$14/1000,0)</f>
        <v>0</v>
      </c>
      <c r="BA439" s="10">
        <f>IF('Batt IN'!$E$11="Non-Taxable",'Batt IN'!$E$21*'Batt IN'!$G$21/12,0)</f>
        <v>437.5</v>
      </c>
      <c r="BB439" s="10">
        <f>IF('Batt IN'!$E$11="Non-Taxable",'Batt IN'!$E$22*'Batt IN'!$G$22/12,0)</f>
        <v>1145.8333333333335</v>
      </c>
      <c r="BC439" s="10">
        <f>IF('Batt IN'!$E$11="Taxable",Q439,0)</f>
        <v>0</v>
      </c>
      <c r="BD439" s="10">
        <f>IF('Batt IN'!$E$11="Taxable",'Batt IN'!$E$28/1000*'Batt IN'!$G$13*('Batt IN'!$E$13/12)*'Batt IN'!$E$12,0)</f>
        <v>0</v>
      </c>
      <c r="BE439" s="10">
        <f>IF('Batt IN'!$E$11="Taxable",$S439*'Batt IN'!$G$15*'Batt IN'!$E$28*'Batt IN'!$E$14/1000,0)</f>
        <v>0</v>
      </c>
      <c r="BF439" s="10">
        <f>IF('Batt IN'!$E$11="Taxable",'Batt IN'!$E$21*'Batt IN'!$G$21/12,0)</f>
        <v>0</v>
      </c>
      <c r="BG439" s="10">
        <f>IF('Batt IN'!$E$11="Taxable",'Batt IN'!$E$22*'Batt IN'!$G$22/12,0)</f>
        <v>0</v>
      </c>
      <c r="BK439" s="10">
        <f>IF('Batt IN'!$N$18="Yes",-BattLoan!H467,-BattLoan!L467)</f>
        <v>0</v>
      </c>
      <c r="BL439" s="10">
        <f>IF('Batt IN'!$N$18="Yes",-BattLoan!F467,0)</f>
        <v>0</v>
      </c>
      <c r="BM439" s="10">
        <f>IF(AND('Batt IN'!$D$44="YES",$C439&lt;='Batt IN'!$E$44*12),0,-'Batt IN'!$E$28*'Batt IN'!$E$42/12)</f>
        <v>-83.333333333333329</v>
      </c>
      <c r="BN439" s="10">
        <f>IF(AND('Batt IN'!$D$46="YES",$C439&lt;='Batt IN'!$E$46*12),0,-'Batt IN'!$E$28*'Batt IN'!$E$45/12)</f>
        <v>-166.66666666666666</v>
      </c>
      <c r="BO439" s="2">
        <f>IF(AND('Batt IN'!$D$41="YES",BattCalcs!C439=ROUNDUP('Batt IN'!$H$41*12,)),-'Batt IN'!$E$41*'Batt IN'!$E$28,0)</f>
        <v>0</v>
      </c>
      <c r="BP439" s="2">
        <f>IF(AND('Batt IN'!$D$53="Yes",$AL$1&gt;=1),0,IF($C439='Batt IN'!$H$54*12,-'Batt IN'!$F$54,0))</f>
        <v>0</v>
      </c>
      <c r="BQ439" s="2">
        <f>IF(AND('Batt IN'!$D$53="Yes",$AL$1&gt;=2),0,IF($C439='Batt IN'!$H$55*12,-'Batt IN'!$F$55,0))</f>
        <v>0</v>
      </c>
      <c r="BR439" s="2">
        <f>IF(AND('Batt IN'!$D$53="Yes",$AL$1&gt;=3),0,IF($C439='Batt IN'!$H$56*12,-'Batt IN'!$F$56,0))</f>
        <v>0</v>
      </c>
      <c r="BS439" s="2">
        <f>IF(AND('Batt IN'!$D$53="Yes",$AL$1&gt;=4),0,IF($C439='Batt IN'!$H$57*12,-'Batt IN'!$F$57,0))</f>
        <v>0</v>
      </c>
      <c r="BT439" s="2">
        <f>IF(AND('Batt IN'!$D$53="Yes",$AL$1&gt;=5),0,IF($C439='Batt IN'!$H$58*12,-'Batt IN'!$F$58,0))</f>
        <v>0</v>
      </c>
      <c r="BU439" s="2">
        <f>-AH439*PVCalcs!F439</f>
        <v>-359.37504381576838</v>
      </c>
      <c r="BV439" s="2">
        <f>-'Batt IN'!$E$47</f>
        <v>-150</v>
      </c>
      <c r="BW439" s="2">
        <f>-'Batt IN'!$E$49</f>
        <v>-2250</v>
      </c>
      <c r="BX439" s="2">
        <f>IF('Batt IN'!$H$50="No",-(BC439*'Batt IN'!$E$50),-(BC439+BE439)*'Batt IN'!$E$50)</f>
        <v>0</v>
      </c>
      <c r="BY439" s="2">
        <f>IF(C439='Batt IN'!$H$43*12,-'Batt IN'!$E$43,0)</f>
        <v>0</v>
      </c>
      <c r="BZ439" s="38"/>
      <c r="CA439" s="10">
        <f t="shared" si="123"/>
        <v>15487.653271347033</v>
      </c>
      <c r="CB439" s="2">
        <f t="shared" si="111"/>
        <v>-3009.3750438157685</v>
      </c>
      <c r="CC439" s="45">
        <f t="shared" si="124"/>
        <v>12478.278227531264</v>
      </c>
      <c r="CD439" s="43"/>
      <c r="CE439" s="2">
        <f t="shared" si="125"/>
        <v>0</v>
      </c>
      <c r="CF439" s="2">
        <f t="shared" si="112"/>
        <v>-3009.3750438157685</v>
      </c>
      <c r="CG439" s="2"/>
      <c r="CH439" s="2">
        <f t="shared" si="126"/>
        <v>-3009.3750438157685</v>
      </c>
      <c r="CI439" s="45">
        <f>-CH439*'Batt IN'!$E$7</f>
        <v>631.9687592013114</v>
      </c>
      <c r="CJ439" s="48"/>
      <c r="CK439" s="45">
        <f>IF('Batt IN'!$F$4="PV Only",0,IF(C439&gt;'Batt IN'!$H$43*12,0,CC439+CI439))</f>
        <v>0</v>
      </c>
      <c r="CM439" s="10">
        <f t="shared" si="127"/>
        <v>0</v>
      </c>
      <c r="CN439" s="2">
        <f>CK439/(1+('Batt IN'!$G$8))^(C439)</f>
        <v>0</v>
      </c>
      <c r="CO439" s="2" t="e">
        <f>IF(C439&lt;='Batt IN'!$O$30*12,CN439+CO438,NA())</f>
        <v>#N/A</v>
      </c>
      <c r="CQ439" s="2">
        <f>CK439/((1+('Batt IN'!$E$8/12))^BattCalcs!C439)</f>
        <v>0</v>
      </c>
      <c r="CS439" s="10">
        <f t="shared" si="113"/>
        <v>-3009.3750438157685</v>
      </c>
      <c r="CT439" s="10">
        <f t="shared" si="114"/>
        <v>0</v>
      </c>
      <c r="CU439" s="10">
        <f t="shared" si="115"/>
        <v>-3009.3750438157685</v>
      </c>
      <c r="CV439" s="10">
        <f t="shared" si="116"/>
        <v>-3009.3750438157685</v>
      </c>
      <c r="CW439" s="2">
        <f t="shared" si="117"/>
        <v>0</v>
      </c>
      <c r="CX439" s="2">
        <f>-(SUM(CV439:CW439)*'PV IN'!$E$8)</f>
        <v>631.9687592013114</v>
      </c>
      <c r="CY439" s="2">
        <f t="shared" si="118"/>
        <v>-2377.406284614457</v>
      </c>
      <c r="CZ439" s="2">
        <f>IF(C439&lt;='Batt IN'!$H$43*12,CY439/(1+('PV IN'!$G$9))^(C439),0)</f>
        <v>0</v>
      </c>
      <c r="DA439" s="33">
        <f>IF(C439&lt;='Batt IN'!$H$43*12,AE439,0)</f>
        <v>0</v>
      </c>
    </row>
    <row r="440" spans="1:105" x14ac:dyDescent="0.25">
      <c r="A440" t="str">
        <f>IF(C440&lt;='Batt IN'!$H$43*12,C440,"")</f>
        <v/>
      </c>
      <c r="C440">
        <v>436</v>
      </c>
      <c r="D440" s="21">
        <v>866</v>
      </c>
      <c r="E440" s="1">
        <f>1-'Batt IN'!$E$31</f>
        <v>2.0000000000000018E-2</v>
      </c>
      <c r="F440" s="12">
        <f>('Batt IN'!$E$33*365)/8760</f>
        <v>0</v>
      </c>
      <c r="G440" s="22">
        <f>'Batt IN'!$E$32/8760</f>
        <v>5.7077625570776253E-3</v>
      </c>
      <c r="H440" s="22">
        <f>'Batt IN'!$E$13/8760</f>
        <v>5.5936073059360729E-3</v>
      </c>
      <c r="I440" s="23">
        <f>IF(C440&lt;='Batt IN'!$G$14*12,'Batt IN'!$E$15/8760*'Batt IN'!$G$15,0)</f>
        <v>0</v>
      </c>
      <c r="J440" s="12">
        <f>Z440/'Batt IN'!$E$27/730</f>
        <v>2.4999999999999996E-3</v>
      </c>
      <c r="K440" s="23">
        <f>AA440/'Batt IN'!$E$27/730</f>
        <v>1.6027397260273972E-3</v>
      </c>
      <c r="L440" s="23">
        <f>AB440/'Batt IN'!$E$27/730</f>
        <v>2.0547945205479451E-4</v>
      </c>
      <c r="M440" s="23">
        <f>AC440/'Batt IN'!$E$27/730</f>
        <v>4.7945205479452057E-3</v>
      </c>
      <c r="N440" s="23">
        <f>AD440/'Batt IN'!$E$27/730</f>
        <v>3.4246575342465752E-3</v>
      </c>
      <c r="O440" s="12">
        <f t="shared" si="119"/>
        <v>4.3828767123287697E-2</v>
      </c>
      <c r="P440" s="21">
        <f t="shared" si="120"/>
        <v>828.04428767123295</v>
      </c>
      <c r="Q440" s="2">
        <f>IF('Batt IN'!$E$27*'Batt IN'!$E$24&lt;='Batt IN'!$E$28,(('Batt IN'!$E$23*'Batt IN'!$E$27*'Batt IN'!$E$24)/1000)*P440,(('Batt IN'!$E$23*'Batt IN'!$E$28*'Batt IN'!$E$24)/1000)*P440)</f>
        <v>13248.708602739727</v>
      </c>
      <c r="R440" s="2"/>
      <c r="S440" s="77">
        <f>IF(C440&lt;='Batt IN'!$G$14*12,'Batt IN'!$E$15/12,0)</f>
        <v>0</v>
      </c>
      <c r="T440" s="77"/>
      <c r="U440" s="80">
        <f>'Batt IN'!$E$28*('Batt IN'!$G$24/24)*730*(1-O440)</f>
        <v>81433.916666666657</v>
      </c>
      <c r="V440" s="78">
        <f>U440*'Batt IN'!$F$30</f>
        <v>16286.783333333333</v>
      </c>
      <c r="W440" s="78">
        <f>'Batt IN'!$E$28*'Batt IN'!$G$32*('Batt IN'!$E$32/12)*(1+'Batt IN'!$F$30)</f>
        <v>1750.0000000000002</v>
      </c>
      <c r="X440" s="78">
        <f>'Batt IN'!$E$28*'Batt IN'!$G$13*('Batt IN'!$E$13/12)*(1+'Batt IN'!$F$30)</f>
        <v>3184.9999999999995</v>
      </c>
      <c r="Y440" s="33">
        <f>S440*'Batt IN'!$G$15*'Batt IN'!$E$28*(1+'Batt IN'!$F$30)</f>
        <v>0</v>
      </c>
      <c r="Z440" s="33">
        <f>'Batt IN'!$G$16*365/12*(1+'Batt IN'!$F$30)</f>
        <v>1824.9999999999998</v>
      </c>
      <c r="AA440" s="33">
        <f>'Batt IN'!$G$17*'Batt IN'!$E$18*'Batt IN'!$G$18/12*(1+'Batt IN'!$F$30)</f>
        <v>1170</v>
      </c>
      <c r="AB440" s="33">
        <f>'Batt IN'!$G$19*'Batt IN'!$E$20*'Batt IN'!$G$20/12*(1+'Batt IN'!$F$30)</f>
        <v>150</v>
      </c>
      <c r="AC440" s="33">
        <f>'Batt IN'!$G$21*(1+'Batt IN'!$F$30)/12</f>
        <v>3500</v>
      </c>
      <c r="AD440" s="33">
        <f>'Batt IN'!$G$22*(1+'Batt IN'!$F$30)/12</f>
        <v>2500</v>
      </c>
      <c r="AE440" s="33">
        <f t="shared" si="121"/>
        <v>30366.783333333333</v>
      </c>
      <c r="AF440" s="33">
        <f>IF('PV IN'!$F$4="Battery Only",0,AE440*'Batt IN'!$E$29)</f>
        <v>25811.765833333331</v>
      </c>
      <c r="AG440" s="33">
        <f>PVCalcs!L440</f>
        <v>25811.765833333331</v>
      </c>
      <c r="AH440" s="33">
        <f t="shared" si="122"/>
        <v>4555.0175000000017</v>
      </c>
      <c r="AI440" s="33"/>
      <c r="AJ440" s="2">
        <f>IF(AND('Batt IN'!$D$53="Yes",$AL$1&gt;=1),IF($C440='Batt IN'!$H$54*12,-'Batt IN'!$F$54,0),0)</f>
        <v>0</v>
      </c>
      <c r="AK440" s="2">
        <f>IF(AND('Batt IN'!$D$53="Yes",$AL$1&gt;=2),IF($C440='Batt IN'!$H$55*12,-'Batt IN'!$F$55,0),0)</f>
        <v>0</v>
      </c>
      <c r="AL440" s="2">
        <f>IF(AND('Batt IN'!$D$53="Yes",$AL$1&gt;=3),IF($C440='Batt IN'!$H$56*12,-'Batt IN'!$F$56,0),0)</f>
        <v>0</v>
      </c>
      <c r="AM440" s="2">
        <f>IF(AND('Batt IN'!$D$53="Yes",$AL$1&gt;=4),IF($C440='Batt IN'!$H$57*12,-'Batt IN'!$F$57,0),0)</f>
        <v>0</v>
      </c>
      <c r="AN440" s="2">
        <f>IF(AND('Batt IN'!$D$53="Yes",$AL$1&gt;=5),IF($C440='Batt IN'!$H$58*12,-'Batt IN'!$F$58,0),0)</f>
        <v>0</v>
      </c>
      <c r="AO440" s="10">
        <f>IF(AND('Batt IN'!$D$44="YES",$C440&lt;='Batt IN'!$E$44*12),-'Batt IN'!$E$28*'Batt IN'!$E$42/12,0)</f>
        <v>0</v>
      </c>
      <c r="AP440" s="10">
        <f>IF(AND('Batt IN'!$D$46="YES",$C440&lt;='Batt IN'!$E$46*12),-'Batt IN'!$E$28*'Batt IN'!$E$45/12,0)</f>
        <v>0</v>
      </c>
      <c r="AR440" s="10">
        <f>BattLoan!M467</f>
        <v>0</v>
      </c>
      <c r="AS440" s="10">
        <f>'Batt IN'!$G$16*365/12*'Batt IN'!$E$16</f>
        <v>76.041666666666671</v>
      </c>
      <c r="AT440" s="10">
        <f>IF(AND('Batt IN'!$E$18&gt;0,'Batt IN'!$G$18&gt;0),'Batt IN'!$E$17*'Batt IN'!$G$17,0)</f>
        <v>119.44619999999999</v>
      </c>
      <c r="AU440" s="10">
        <f>IF(AND('Batt IN'!$E$20&gt;0,'Batt IN'!$G$20&gt;0),'Batt IN'!$E$19*'Batt IN'!$G$19,0)</f>
        <v>231</v>
      </c>
      <c r="AV440" s="10"/>
      <c r="AW440" s="10"/>
      <c r="AX440" s="10">
        <f>IF('Batt IN'!$E$11="Non-Taxable",Q440,0)</f>
        <v>13248.708602739727</v>
      </c>
      <c r="AY440" s="10">
        <f>IF('Batt IN'!$E$11="Non-Taxable",'Batt IN'!$E$28/1000*'Batt IN'!$G$13*('Batt IN'!$E$13/12)*'Batt IN'!$E$12,0)</f>
        <v>244.42220833333334</v>
      </c>
      <c r="AZ440" s="10">
        <f>IF('Batt IN'!$E$11="Non-Taxable",$S440*'Batt IN'!$G$15*'Batt IN'!$E$28*'Batt IN'!$E$14/1000,0)</f>
        <v>0</v>
      </c>
      <c r="BA440" s="10">
        <f>IF('Batt IN'!$E$11="Non-Taxable",'Batt IN'!$E$21*'Batt IN'!$G$21/12,0)</f>
        <v>437.5</v>
      </c>
      <c r="BB440" s="10">
        <f>IF('Batt IN'!$E$11="Non-Taxable",'Batt IN'!$E$22*'Batt IN'!$G$22/12,0)</f>
        <v>1145.8333333333335</v>
      </c>
      <c r="BC440" s="10">
        <f>IF('Batt IN'!$E$11="Taxable",Q440,0)</f>
        <v>0</v>
      </c>
      <c r="BD440" s="10">
        <f>IF('Batt IN'!$E$11="Taxable",'Batt IN'!$E$28/1000*'Batt IN'!$G$13*('Batt IN'!$E$13/12)*'Batt IN'!$E$12,0)</f>
        <v>0</v>
      </c>
      <c r="BE440" s="10">
        <f>IF('Batt IN'!$E$11="Taxable",$S440*'Batt IN'!$G$15*'Batt IN'!$E$28*'Batt IN'!$E$14/1000,0)</f>
        <v>0</v>
      </c>
      <c r="BF440" s="10">
        <f>IF('Batt IN'!$E$11="Taxable",'Batt IN'!$E$21*'Batt IN'!$G$21/12,0)</f>
        <v>0</v>
      </c>
      <c r="BG440" s="10">
        <f>IF('Batt IN'!$E$11="Taxable",'Batt IN'!$E$22*'Batt IN'!$G$22/12,0)</f>
        <v>0</v>
      </c>
      <c r="BK440" s="10">
        <f>IF('Batt IN'!$N$18="Yes",-BattLoan!H468,-BattLoan!L468)</f>
        <v>0</v>
      </c>
      <c r="BL440" s="10">
        <f>IF('Batt IN'!$N$18="Yes",-BattLoan!F468,0)</f>
        <v>0</v>
      </c>
      <c r="BM440" s="10">
        <f>IF(AND('Batt IN'!$D$44="YES",$C440&lt;='Batt IN'!$E$44*12),0,-'Batt IN'!$E$28*'Batt IN'!$E$42/12)</f>
        <v>-83.333333333333329</v>
      </c>
      <c r="BN440" s="10">
        <f>IF(AND('Batt IN'!$D$46="YES",$C440&lt;='Batt IN'!$E$46*12),0,-'Batt IN'!$E$28*'Batt IN'!$E$45/12)</f>
        <v>-166.66666666666666</v>
      </c>
      <c r="BO440" s="2">
        <f>IF(AND('Batt IN'!$D$41="YES",BattCalcs!C440=ROUNDUP('Batt IN'!$H$41*12,)),-'Batt IN'!$E$41*'Batt IN'!$E$28,0)</f>
        <v>0</v>
      </c>
      <c r="BP440" s="2">
        <f>IF(AND('Batt IN'!$D$53="Yes",$AL$1&gt;=1),0,IF($C440='Batt IN'!$H$54*12,-'Batt IN'!$F$54,0))</f>
        <v>0</v>
      </c>
      <c r="BQ440" s="2">
        <f>IF(AND('Batt IN'!$D$53="Yes",$AL$1&gt;=2),0,IF($C440='Batt IN'!$H$55*12,-'Batt IN'!$F$55,0))</f>
        <v>0</v>
      </c>
      <c r="BR440" s="2">
        <f>IF(AND('Batt IN'!$D$53="Yes",$AL$1&gt;=3),0,IF($C440='Batt IN'!$H$56*12,-'Batt IN'!$F$56,0))</f>
        <v>0</v>
      </c>
      <c r="BS440" s="2">
        <f>IF(AND('Batt IN'!$D$53="Yes",$AL$1&gt;=4),0,IF($C440='Batt IN'!$H$57*12,-'Batt IN'!$F$57,0))</f>
        <v>0</v>
      </c>
      <c r="BT440" s="2">
        <f>IF(AND('Batt IN'!$D$53="Yes",$AL$1&gt;=5),0,IF($C440='Batt IN'!$H$58*12,-'Batt IN'!$F$58,0))</f>
        <v>0</v>
      </c>
      <c r="BU440" s="2">
        <f>-AH440*PVCalcs!F440</f>
        <v>-359.37504381576838</v>
      </c>
      <c r="BV440" s="2">
        <f>-'Batt IN'!$E$47</f>
        <v>-150</v>
      </c>
      <c r="BW440" s="2">
        <f>-'Batt IN'!$E$49</f>
        <v>-2250</v>
      </c>
      <c r="BX440" s="2">
        <f>IF('Batt IN'!$H$50="No",-(BC440*'Batt IN'!$E$50),-(BC440+BE440)*'Batt IN'!$E$50)</f>
        <v>0</v>
      </c>
      <c r="BY440" s="2">
        <f>IF(C440='Batt IN'!$H$43*12,-'Batt IN'!$E$43,0)</f>
        <v>0</v>
      </c>
      <c r="BZ440" s="38"/>
      <c r="CA440" s="10">
        <f t="shared" si="123"/>
        <v>15502.952011073061</v>
      </c>
      <c r="CB440" s="2">
        <f t="shared" si="111"/>
        <v>-3009.3750438157685</v>
      </c>
      <c r="CC440" s="45">
        <f t="shared" si="124"/>
        <v>12493.576967257293</v>
      </c>
      <c r="CD440" s="43"/>
      <c r="CE440" s="2">
        <f t="shared" si="125"/>
        <v>0</v>
      </c>
      <c r="CF440" s="2">
        <f t="shared" si="112"/>
        <v>-3009.3750438157685</v>
      </c>
      <c r="CG440" s="2"/>
      <c r="CH440" s="2">
        <f t="shared" si="126"/>
        <v>-3009.3750438157685</v>
      </c>
      <c r="CI440" s="45">
        <f>-CH440*'Batt IN'!$E$7</f>
        <v>631.9687592013114</v>
      </c>
      <c r="CJ440" s="48"/>
      <c r="CK440" s="45">
        <f>IF('Batt IN'!$F$4="PV Only",0,IF(C440&gt;'Batt IN'!$H$43*12,0,CC440+CI440))</f>
        <v>0</v>
      </c>
      <c r="CM440" s="10">
        <f t="shared" si="127"/>
        <v>0</v>
      </c>
      <c r="CN440" s="2">
        <f>CK440/(1+('Batt IN'!$G$8))^(C440)</f>
        <v>0</v>
      </c>
      <c r="CO440" s="2" t="e">
        <f>IF(C440&lt;='Batt IN'!$O$30*12,CN440+CO439,NA())</f>
        <v>#N/A</v>
      </c>
      <c r="CQ440" s="2">
        <f>CK440/((1+('Batt IN'!$E$8/12))^BattCalcs!C440)</f>
        <v>0</v>
      </c>
      <c r="CS440" s="10">
        <f t="shared" si="113"/>
        <v>-3009.3750438157685</v>
      </c>
      <c r="CT440" s="10">
        <f t="shared" si="114"/>
        <v>0</v>
      </c>
      <c r="CU440" s="10">
        <f t="shared" si="115"/>
        <v>-3009.3750438157685</v>
      </c>
      <c r="CV440" s="10">
        <f t="shared" si="116"/>
        <v>-3009.3750438157685</v>
      </c>
      <c r="CW440" s="2">
        <f t="shared" si="117"/>
        <v>0</v>
      </c>
      <c r="CX440" s="2">
        <f>-(SUM(CV440:CW440)*'PV IN'!$E$8)</f>
        <v>631.9687592013114</v>
      </c>
      <c r="CY440" s="2">
        <f t="shared" si="118"/>
        <v>-2377.406284614457</v>
      </c>
      <c r="CZ440" s="2">
        <f>IF(C440&lt;='Batt IN'!$H$43*12,CY440/(1+('PV IN'!$G$9))^(C440),0)</f>
        <v>0</v>
      </c>
      <c r="DA440" s="33">
        <f>IF(C440&lt;='Batt IN'!$H$43*12,AE440,0)</f>
        <v>0</v>
      </c>
    </row>
    <row r="441" spans="1:105" x14ac:dyDescent="0.25">
      <c r="A441" t="str">
        <f>IF(C441&lt;='Batt IN'!$H$43*12,C441,"")</f>
        <v/>
      </c>
      <c r="C441">
        <v>437</v>
      </c>
      <c r="D441" s="21">
        <v>867</v>
      </c>
      <c r="E441" s="1">
        <f>1-'Batt IN'!$E$31</f>
        <v>2.0000000000000018E-2</v>
      </c>
      <c r="F441" s="12">
        <f>('Batt IN'!$E$33*365)/8760</f>
        <v>0</v>
      </c>
      <c r="G441" s="22">
        <f>'Batt IN'!$E$32/8760</f>
        <v>5.7077625570776253E-3</v>
      </c>
      <c r="H441" s="22">
        <f>'Batt IN'!$E$13/8760</f>
        <v>5.5936073059360729E-3</v>
      </c>
      <c r="I441" s="23">
        <f>IF(C441&lt;='Batt IN'!$G$14*12,'Batt IN'!$E$15/8760*'Batt IN'!$G$15,0)</f>
        <v>0</v>
      </c>
      <c r="J441" s="12">
        <f>Z441/'Batt IN'!$E$27/730</f>
        <v>2.4999999999999996E-3</v>
      </c>
      <c r="K441" s="23">
        <f>AA441/'Batt IN'!$E$27/730</f>
        <v>1.6027397260273972E-3</v>
      </c>
      <c r="L441" s="23">
        <f>AB441/'Batt IN'!$E$27/730</f>
        <v>2.0547945205479451E-4</v>
      </c>
      <c r="M441" s="23">
        <f>AC441/'Batt IN'!$E$27/730</f>
        <v>4.7945205479452057E-3</v>
      </c>
      <c r="N441" s="23">
        <f>AD441/'Batt IN'!$E$27/730</f>
        <v>3.4246575342465752E-3</v>
      </c>
      <c r="O441" s="12">
        <f t="shared" si="119"/>
        <v>4.3828767123287697E-2</v>
      </c>
      <c r="P441" s="21">
        <f t="shared" si="120"/>
        <v>829.00045890410956</v>
      </c>
      <c r="Q441" s="2">
        <f>IF('Batt IN'!$E$27*'Batt IN'!$E$24&lt;='Batt IN'!$E$28,(('Batt IN'!$E$23*'Batt IN'!$E$27*'Batt IN'!$E$24)/1000)*P441,(('Batt IN'!$E$23*'Batt IN'!$E$28*'Batt IN'!$E$24)/1000)*P441)</f>
        <v>13264.007342465753</v>
      </c>
      <c r="R441" s="2"/>
      <c r="S441" s="77">
        <f>IF(C441&lt;='Batt IN'!$G$14*12,'Batt IN'!$E$15/12,0)</f>
        <v>0</v>
      </c>
      <c r="T441" s="77"/>
      <c r="U441" s="80">
        <f>'Batt IN'!$E$28*('Batt IN'!$G$24/24)*730*(1-O441)</f>
        <v>81433.916666666657</v>
      </c>
      <c r="V441" s="78">
        <f>U441*'Batt IN'!$F$30</f>
        <v>16286.783333333333</v>
      </c>
      <c r="W441" s="78">
        <f>'Batt IN'!$E$28*'Batt IN'!$G$32*('Batt IN'!$E$32/12)*(1+'Batt IN'!$F$30)</f>
        <v>1750.0000000000002</v>
      </c>
      <c r="X441" s="78">
        <f>'Batt IN'!$E$28*'Batt IN'!$G$13*('Batt IN'!$E$13/12)*(1+'Batt IN'!$F$30)</f>
        <v>3184.9999999999995</v>
      </c>
      <c r="Y441" s="33">
        <f>S441*'Batt IN'!$G$15*'Batt IN'!$E$28*(1+'Batt IN'!$F$30)</f>
        <v>0</v>
      </c>
      <c r="Z441" s="33">
        <f>'Batt IN'!$G$16*365/12*(1+'Batt IN'!$F$30)</f>
        <v>1824.9999999999998</v>
      </c>
      <c r="AA441" s="33">
        <f>'Batt IN'!$G$17*'Batt IN'!$E$18*'Batt IN'!$G$18/12*(1+'Batt IN'!$F$30)</f>
        <v>1170</v>
      </c>
      <c r="AB441" s="33">
        <f>'Batt IN'!$G$19*'Batt IN'!$E$20*'Batt IN'!$G$20/12*(1+'Batt IN'!$F$30)</f>
        <v>150</v>
      </c>
      <c r="AC441" s="33">
        <f>'Batt IN'!$G$21*(1+'Batt IN'!$F$30)/12</f>
        <v>3500</v>
      </c>
      <c r="AD441" s="33">
        <f>'Batt IN'!$G$22*(1+'Batt IN'!$F$30)/12</f>
        <v>2500</v>
      </c>
      <c r="AE441" s="33">
        <f t="shared" si="121"/>
        <v>30366.783333333333</v>
      </c>
      <c r="AF441" s="33">
        <f>IF('PV IN'!$F$4="Battery Only",0,AE441*'Batt IN'!$E$29)</f>
        <v>25811.765833333331</v>
      </c>
      <c r="AG441" s="33">
        <f>PVCalcs!L441</f>
        <v>25811.765833333331</v>
      </c>
      <c r="AH441" s="33">
        <f t="shared" si="122"/>
        <v>4555.0175000000017</v>
      </c>
      <c r="AI441" s="33"/>
      <c r="AJ441" s="2">
        <f>IF(AND('Batt IN'!$D$53="Yes",$AL$1&gt;=1),IF($C441='Batt IN'!$H$54*12,-'Batt IN'!$F$54,0),0)</f>
        <v>0</v>
      </c>
      <c r="AK441" s="2">
        <f>IF(AND('Batt IN'!$D$53="Yes",$AL$1&gt;=2),IF($C441='Batt IN'!$H$55*12,-'Batt IN'!$F$55,0),0)</f>
        <v>0</v>
      </c>
      <c r="AL441" s="2">
        <f>IF(AND('Batt IN'!$D$53="Yes",$AL$1&gt;=3),IF($C441='Batt IN'!$H$56*12,-'Batt IN'!$F$56,0),0)</f>
        <v>0</v>
      </c>
      <c r="AM441" s="2">
        <f>IF(AND('Batt IN'!$D$53="Yes",$AL$1&gt;=4),IF($C441='Batt IN'!$H$57*12,-'Batt IN'!$F$57,0),0)</f>
        <v>0</v>
      </c>
      <c r="AN441" s="2">
        <f>IF(AND('Batt IN'!$D$53="Yes",$AL$1&gt;=5),IF($C441='Batt IN'!$H$58*12,-'Batt IN'!$F$58,0),0)</f>
        <v>0</v>
      </c>
      <c r="AO441" s="10">
        <f>IF(AND('Batt IN'!$D$44="YES",$C441&lt;='Batt IN'!$E$44*12),-'Batt IN'!$E$28*'Batt IN'!$E$42/12,0)</f>
        <v>0</v>
      </c>
      <c r="AP441" s="10">
        <f>IF(AND('Batt IN'!$D$46="YES",$C441&lt;='Batt IN'!$E$46*12),-'Batt IN'!$E$28*'Batt IN'!$E$45/12,0)</f>
        <v>0</v>
      </c>
      <c r="AR441" s="10">
        <f>BattLoan!M468</f>
        <v>0</v>
      </c>
      <c r="AS441" s="10">
        <f>'Batt IN'!$G$16*365/12*'Batt IN'!$E$16</f>
        <v>76.041666666666671</v>
      </c>
      <c r="AT441" s="10">
        <f>IF(AND('Batt IN'!$E$18&gt;0,'Batt IN'!$G$18&gt;0),'Batt IN'!$E$17*'Batt IN'!$G$17,0)</f>
        <v>119.44619999999999</v>
      </c>
      <c r="AU441" s="10">
        <f>IF(AND('Batt IN'!$E$20&gt;0,'Batt IN'!$G$20&gt;0),'Batt IN'!$E$19*'Batt IN'!$G$19,0)</f>
        <v>231</v>
      </c>
      <c r="AV441" s="10"/>
      <c r="AW441" s="10"/>
      <c r="AX441" s="10">
        <f>IF('Batt IN'!$E$11="Non-Taxable",Q441,0)</f>
        <v>13264.007342465753</v>
      </c>
      <c r="AY441" s="10">
        <f>IF('Batt IN'!$E$11="Non-Taxable",'Batt IN'!$E$28/1000*'Batt IN'!$G$13*('Batt IN'!$E$13/12)*'Batt IN'!$E$12,0)</f>
        <v>244.42220833333334</v>
      </c>
      <c r="AZ441" s="10">
        <f>IF('Batt IN'!$E$11="Non-Taxable",$S441*'Batt IN'!$G$15*'Batt IN'!$E$28*'Batt IN'!$E$14/1000,0)</f>
        <v>0</v>
      </c>
      <c r="BA441" s="10">
        <f>IF('Batt IN'!$E$11="Non-Taxable",'Batt IN'!$E$21*'Batt IN'!$G$21/12,0)</f>
        <v>437.5</v>
      </c>
      <c r="BB441" s="10">
        <f>IF('Batt IN'!$E$11="Non-Taxable",'Batt IN'!$E$22*'Batt IN'!$G$22/12,0)</f>
        <v>1145.8333333333335</v>
      </c>
      <c r="BC441" s="10">
        <f>IF('Batt IN'!$E$11="Taxable",Q441,0)</f>
        <v>0</v>
      </c>
      <c r="BD441" s="10">
        <f>IF('Batt IN'!$E$11="Taxable",'Batt IN'!$E$28/1000*'Batt IN'!$G$13*('Batt IN'!$E$13/12)*'Batt IN'!$E$12,0)</f>
        <v>0</v>
      </c>
      <c r="BE441" s="10">
        <f>IF('Batt IN'!$E$11="Taxable",$S441*'Batt IN'!$G$15*'Batt IN'!$E$28*'Batt IN'!$E$14/1000,0)</f>
        <v>0</v>
      </c>
      <c r="BF441" s="10">
        <f>IF('Batt IN'!$E$11="Taxable",'Batt IN'!$E$21*'Batt IN'!$G$21/12,0)</f>
        <v>0</v>
      </c>
      <c r="BG441" s="10">
        <f>IF('Batt IN'!$E$11="Taxable",'Batt IN'!$E$22*'Batt IN'!$G$22/12,0)</f>
        <v>0</v>
      </c>
      <c r="BK441" s="10">
        <f>IF('Batt IN'!$N$18="Yes",-BattLoan!H469,-BattLoan!L469)</f>
        <v>0</v>
      </c>
      <c r="BL441" s="10">
        <f>IF('Batt IN'!$N$18="Yes",-BattLoan!F469,0)</f>
        <v>0</v>
      </c>
      <c r="BM441" s="10">
        <f>IF(AND('Batt IN'!$D$44="YES",$C441&lt;='Batt IN'!$E$44*12),0,-'Batt IN'!$E$28*'Batt IN'!$E$42/12)</f>
        <v>-83.333333333333329</v>
      </c>
      <c r="BN441" s="10">
        <f>IF(AND('Batt IN'!$D$46="YES",$C441&lt;='Batt IN'!$E$46*12),0,-'Batt IN'!$E$28*'Batt IN'!$E$45/12)</f>
        <v>-166.66666666666666</v>
      </c>
      <c r="BO441" s="2">
        <f>IF(AND('Batt IN'!$D$41="YES",BattCalcs!C441=ROUNDUP('Batt IN'!$H$41*12,)),-'Batt IN'!$E$41*'Batt IN'!$E$28,0)</f>
        <v>0</v>
      </c>
      <c r="BP441" s="2">
        <f>IF(AND('Batt IN'!$D$53="Yes",$AL$1&gt;=1),0,IF($C441='Batt IN'!$H$54*12,-'Batt IN'!$F$54,0))</f>
        <v>0</v>
      </c>
      <c r="BQ441" s="2">
        <f>IF(AND('Batt IN'!$D$53="Yes",$AL$1&gt;=2),0,IF($C441='Batt IN'!$H$55*12,-'Batt IN'!$F$55,0))</f>
        <v>0</v>
      </c>
      <c r="BR441" s="2">
        <f>IF(AND('Batt IN'!$D$53="Yes",$AL$1&gt;=3),0,IF($C441='Batt IN'!$H$56*12,-'Batt IN'!$F$56,0))</f>
        <v>0</v>
      </c>
      <c r="BS441" s="2">
        <f>IF(AND('Batt IN'!$D$53="Yes",$AL$1&gt;=4),0,IF($C441='Batt IN'!$H$57*12,-'Batt IN'!$F$57,0))</f>
        <v>0</v>
      </c>
      <c r="BT441" s="2">
        <f>IF(AND('Batt IN'!$D$53="Yes",$AL$1&gt;=5),0,IF($C441='Batt IN'!$H$58*12,-'Batt IN'!$F$58,0))</f>
        <v>0</v>
      </c>
      <c r="BU441" s="2">
        <f>-AH441*PVCalcs!F441</f>
        <v>-359.37504381576838</v>
      </c>
      <c r="BV441" s="2">
        <f>-'Batt IN'!$E$47</f>
        <v>-150</v>
      </c>
      <c r="BW441" s="2">
        <f>-'Batt IN'!$E$49</f>
        <v>-2250</v>
      </c>
      <c r="BX441" s="2">
        <f>IF('Batt IN'!$H$50="No",-(BC441*'Batt IN'!$E$50),-(BC441+BE441)*'Batt IN'!$E$50)</f>
        <v>0</v>
      </c>
      <c r="BY441" s="2">
        <f>IF(C441='Batt IN'!$H$43*12,-'Batt IN'!$E$43,0)</f>
        <v>0</v>
      </c>
      <c r="BZ441" s="38"/>
      <c r="CA441" s="10">
        <f t="shared" si="123"/>
        <v>15518.250750799087</v>
      </c>
      <c r="CB441" s="2">
        <f t="shared" si="111"/>
        <v>-3009.3750438157685</v>
      </c>
      <c r="CC441" s="45">
        <f t="shared" si="124"/>
        <v>12508.875706983319</v>
      </c>
      <c r="CD441" s="43"/>
      <c r="CE441" s="2">
        <f t="shared" si="125"/>
        <v>0</v>
      </c>
      <c r="CF441" s="2">
        <f t="shared" si="112"/>
        <v>-3009.3750438157685</v>
      </c>
      <c r="CG441" s="2"/>
      <c r="CH441" s="2">
        <f t="shared" si="126"/>
        <v>-3009.3750438157685</v>
      </c>
      <c r="CI441" s="45">
        <f>-CH441*'Batt IN'!$E$7</f>
        <v>631.9687592013114</v>
      </c>
      <c r="CJ441" s="48"/>
      <c r="CK441" s="45">
        <f>IF('Batt IN'!$F$4="PV Only",0,IF(C441&gt;'Batt IN'!$H$43*12,0,CC441+CI441))</f>
        <v>0</v>
      </c>
      <c r="CM441" s="10">
        <f t="shared" si="127"/>
        <v>0</v>
      </c>
      <c r="CN441" s="2">
        <f>CK441/(1+('Batt IN'!$G$8))^(C441)</f>
        <v>0</v>
      </c>
      <c r="CO441" s="2" t="e">
        <f>IF(C441&lt;='Batt IN'!$O$30*12,CN441+CO440,NA())</f>
        <v>#N/A</v>
      </c>
      <c r="CQ441" s="2">
        <f>CK441/((1+('Batt IN'!$E$8/12))^BattCalcs!C441)</f>
        <v>0</v>
      </c>
      <c r="CS441" s="10">
        <f t="shared" si="113"/>
        <v>-3009.3750438157685</v>
      </c>
      <c r="CT441" s="10">
        <f t="shared" si="114"/>
        <v>0</v>
      </c>
      <c r="CU441" s="10">
        <f t="shared" si="115"/>
        <v>-3009.3750438157685</v>
      </c>
      <c r="CV441" s="10">
        <f t="shared" si="116"/>
        <v>-3009.3750438157685</v>
      </c>
      <c r="CW441" s="2">
        <f t="shared" si="117"/>
        <v>0</v>
      </c>
      <c r="CX441" s="2">
        <f>-(SUM(CV441:CW441)*'PV IN'!$E$8)</f>
        <v>631.9687592013114</v>
      </c>
      <c r="CY441" s="2">
        <f t="shared" si="118"/>
        <v>-2377.406284614457</v>
      </c>
      <c r="CZ441" s="2">
        <f>IF(C441&lt;='Batt IN'!$H$43*12,CY441/(1+('PV IN'!$G$9))^(C441),0)</f>
        <v>0</v>
      </c>
      <c r="DA441" s="33">
        <f>IF(C441&lt;='Batt IN'!$H$43*12,AE441,0)</f>
        <v>0</v>
      </c>
    </row>
    <row r="442" spans="1:105" x14ac:dyDescent="0.25">
      <c r="A442" t="str">
        <f>IF(C442&lt;='Batt IN'!$H$43*12,C442,"")</f>
        <v/>
      </c>
      <c r="C442">
        <v>438</v>
      </c>
      <c r="D442" s="21">
        <v>868</v>
      </c>
      <c r="E442" s="1">
        <f>1-'Batt IN'!$E$31</f>
        <v>2.0000000000000018E-2</v>
      </c>
      <c r="F442" s="12">
        <f>('Batt IN'!$E$33*365)/8760</f>
        <v>0</v>
      </c>
      <c r="G442" s="22">
        <f>'Batt IN'!$E$32/8760</f>
        <v>5.7077625570776253E-3</v>
      </c>
      <c r="H442" s="22">
        <f>'Batt IN'!$E$13/8760</f>
        <v>5.5936073059360729E-3</v>
      </c>
      <c r="I442" s="23">
        <f>IF(C442&lt;='Batt IN'!$G$14*12,'Batt IN'!$E$15/8760*'Batt IN'!$G$15,0)</f>
        <v>0</v>
      </c>
      <c r="J442" s="12">
        <f>Z442/'Batt IN'!$E$27/730</f>
        <v>2.4999999999999996E-3</v>
      </c>
      <c r="K442" s="23">
        <f>AA442/'Batt IN'!$E$27/730</f>
        <v>1.6027397260273972E-3</v>
      </c>
      <c r="L442" s="23">
        <f>AB442/'Batt IN'!$E$27/730</f>
        <v>2.0547945205479451E-4</v>
      </c>
      <c r="M442" s="23">
        <f>AC442/'Batt IN'!$E$27/730</f>
        <v>4.7945205479452057E-3</v>
      </c>
      <c r="N442" s="23">
        <f>AD442/'Batt IN'!$E$27/730</f>
        <v>3.4246575342465752E-3</v>
      </c>
      <c r="O442" s="12">
        <f t="shared" si="119"/>
        <v>4.3828767123287697E-2</v>
      </c>
      <c r="P442" s="21">
        <f t="shared" si="120"/>
        <v>829.95663013698629</v>
      </c>
      <c r="Q442" s="2">
        <f>IF('Batt IN'!$E$27*'Batt IN'!$E$24&lt;='Batt IN'!$E$28,(('Batt IN'!$E$23*'Batt IN'!$E$27*'Batt IN'!$E$24)/1000)*P442,(('Batt IN'!$E$23*'Batt IN'!$E$28*'Batt IN'!$E$24)/1000)*P442)</f>
        <v>13279.306082191781</v>
      </c>
      <c r="R442" s="2"/>
      <c r="S442" s="77">
        <f>IF(C442&lt;='Batt IN'!$G$14*12,'Batt IN'!$E$15/12,0)</f>
        <v>0</v>
      </c>
      <c r="T442" s="77"/>
      <c r="U442" s="80">
        <f>'Batt IN'!$E$28*('Batt IN'!$G$24/24)*730*(1-O442)</f>
        <v>81433.916666666657</v>
      </c>
      <c r="V442" s="78">
        <f>U442*'Batt IN'!$F$30</f>
        <v>16286.783333333333</v>
      </c>
      <c r="W442" s="78">
        <f>'Batt IN'!$E$28*'Batt IN'!$G$32*('Batt IN'!$E$32/12)*(1+'Batt IN'!$F$30)</f>
        <v>1750.0000000000002</v>
      </c>
      <c r="X442" s="78">
        <f>'Batt IN'!$E$28*'Batt IN'!$G$13*('Batt IN'!$E$13/12)*(1+'Batt IN'!$F$30)</f>
        <v>3184.9999999999995</v>
      </c>
      <c r="Y442" s="33">
        <f>S442*'Batt IN'!$G$15*'Batt IN'!$E$28*(1+'Batt IN'!$F$30)</f>
        <v>0</v>
      </c>
      <c r="Z442" s="33">
        <f>'Batt IN'!$G$16*365/12*(1+'Batt IN'!$F$30)</f>
        <v>1824.9999999999998</v>
      </c>
      <c r="AA442" s="33">
        <f>'Batt IN'!$G$17*'Batt IN'!$E$18*'Batt IN'!$G$18/12*(1+'Batt IN'!$F$30)</f>
        <v>1170</v>
      </c>
      <c r="AB442" s="33">
        <f>'Batt IN'!$G$19*'Batt IN'!$E$20*'Batt IN'!$G$20/12*(1+'Batt IN'!$F$30)</f>
        <v>150</v>
      </c>
      <c r="AC442" s="33">
        <f>'Batt IN'!$G$21*(1+'Batt IN'!$F$30)/12</f>
        <v>3500</v>
      </c>
      <c r="AD442" s="33">
        <f>'Batt IN'!$G$22*(1+'Batt IN'!$F$30)/12</f>
        <v>2500</v>
      </c>
      <c r="AE442" s="33">
        <f t="shared" si="121"/>
        <v>30366.783333333333</v>
      </c>
      <c r="AF442" s="33">
        <f>IF('PV IN'!$F$4="Battery Only",0,AE442*'Batt IN'!$E$29)</f>
        <v>25811.765833333331</v>
      </c>
      <c r="AG442" s="33">
        <f>PVCalcs!L442</f>
        <v>25811.765833333331</v>
      </c>
      <c r="AH442" s="33">
        <f t="shared" si="122"/>
        <v>4555.0175000000017</v>
      </c>
      <c r="AI442" s="33"/>
      <c r="AJ442" s="2">
        <f>IF(AND('Batt IN'!$D$53="Yes",$AL$1&gt;=1),IF($C442='Batt IN'!$H$54*12,-'Batt IN'!$F$54,0),0)</f>
        <v>0</v>
      </c>
      <c r="AK442" s="2">
        <f>IF(AND('Batt IN'!$D$53="Yes",$AL$1&gt;=2),IF($C442='Batt IN'!$H$55*12,-'Batt IN'!$F$55,0),0)</f>
        <v>0</v>
      </c>
      <c r="AL442" s="2">
        <f>IF(AND('Batt IN'!$D$53="Yes",$AL$1&gt;=3),IF($C442='Batt IN'!$H$56*12,-'Batt IN'!$F$56,0),0)</f>
        <v>0</v>
      </c>
      <c r="AM442" s="2">
        <f>IF(AND('Batt IN'!$D$53="Yes",$AL$1&gt;=4),IF($C442='Batt IN'!$H$57*12,-'Batt IN'!$F$57,0),0)</f>
        <v>0</v>
      </c>
      <c r="AN442" s="2">
        <f>IF(AND('Batt IN'!$D$53="Yes",$AL$1&gt;=5),IF($C442='Batt IN'!$H$58*12,-'Batt IN'!$F$58,0),0)</f>
        <v>0</v>
      </c>
      <c r="AO442" s="10">
        <f>IF(AND('Batt IN'!$D$44="YES",$C442&lt;='Batt IN'!$E$44*12),-'Batt IN'!$E$28*'Batt IN'!$E$42/12,0)</f>
        <v>0</v>
      </c>
      <c r="AP442" s="10">
        <f>IF(AND('Batt IN'!$D$46="YES",$C442&lt;='Batt IN'!$E$46*12),-'Batt IN'!$E$28*'Batt IN'!$E$45/12,0)</f>
        <v>0</v>
      </c>
      <c r="AR442" s="10">
        <f>BattLoan!M469</f>
        <v>0</v>
      </c>
      <c r="AS442" s="10">
        <f>'Batt IN'!$G$16*365/12*'Batt IN'!$E$16</f>
        <v>76.041666666666671</v>
      </c>
      <c r="AT442" s="10">
        <f>IF(AND('Batt IN'!$E$18&gt;0,'Batt IN'!$G$18&gt;0),'Batt IN'!$E$17*'Batt IN'!$G$17,0)</f>
        <v>119.44619999999999</v>
      </c>
      <c r="AU442" s="10">
        <f>IF(AND('Batt IN'!$E$20&gt;0,'Batt IN'!$G$20&gt;0),'Batt IN'!$E$19*'Batt IN'!$G$19,0)</f>
        <v>231</v>
      </c>
      <c r="AV442" s="10"/>
      <c r="AW442" s="10"/>
      <c r="AX442" s="10">
        <f>IF('Batt IN'!$E$11="Non-Taxable",Q442,0)</f>
        <v>13279.306082191781</v>
      </c>
      <c r="AY442" s="10">
        <f>IF('Batt IN'!$E$11="Non-Taxable",'Batt IN'!$E$28/1000*'Batt IN'!$G$13*('Batt IN'!$E$13/12)*'Batt IN'!$E$12,0)</f>
        <v>244.42220833333334</v>
      </c>
      <c r="AZ442" s="10">
        <f>IF('Batt IN'!$E$11="Non-Taxable",$S442*'Batt IN'!$G$15*'Batt IN'!$E$28*'Batt IN'!$E$14/1000,0)</f>
        <v>0</v>
      </c>
      <c r="BA442" s="10">
        <f>IF('Batt IN'!$E$11="Non-Taxable",'Batt IN'!$E$21*'Batt IN'!$G$21/12,0)</f>
        <v>437.5</v>
      </c>
      <c r="BB442" s="10">
        <f>IF('Batt IN'!$E$11="Non-Taxable",'Batt IN'!$E$22*'Batt IN'!$G$22/12,0)</f>
        <v>1145.8333333333335</v>
      </c>
      <c r="BC442" s="10">
        <f>IF('Batt IN'!$E$11="Taxable",Q442,0)</f>
        <v>0</v>
      </c>
      <c r="BD442" s="10">
        <f>IF('Batt IN'!$E$11="Taxable",'Batt IN'!$E$28/1000*'Batt IN'!$G$13*('Batt IN'!$E$13/12)*'Batt IN'!$E$12,0)</f>
        <v>0</v>
      </c>
      <c r="BE442" s="10">
        <f>IF('Batt IN'!$E$11="Taxable",$S442*'Batt IN'!$G$15*'Batt IN'!$E$28*'Batt IN'!$E$14/1000,0)</f>
        <v>0</v>
      </c>
      <c r="BF442" s="10">
        <f>IF('Batt IN'!$E$11="Taxable",'Batt IN'!$E$21*'Batt IN'!$G$21/12,0)</f>
        <v>0</v>
      </c>
      <c r="BG442" s="10">
        <f>IF('Batt IN'!$E$11="Taxable",'Batt IN'!$E$22*'Batt IN'!$G$22/12,0)</f>
        <v>0</v>
      </c>
      <c r="BK442" s="10">
        <f>IF('Batt IN'!$N$18="Yes",-BattLoan!H470,-BattLoan!L470)</f>
        <v>0</v>
      </c>
      <c r="BL442" s="10">
        <f>IF('Batt IN'!$N$18="Yes",-BattLoan!F470,0)</f>
        <v>0</v>
      </c>
      <c r="BM442" s="10">
        <f>IF(AND('Batt IN'!$D$44="YES",$C442&lt;='Batt IN'!$E$44*12),0,-'Batt IN'!$E$28*'Batt IN'!$E$42/12)</f>
        <v>-83.333333333333329</v>
      </c>
      <c r="BN442" s="10">
        <f>IF(AND('Batt IN'!$D$46="YES",$C442&lt;='Batt IN'!$E$46*12),0,-'Batt IN'!$E$28*'Batt IN'!$E$45/12)</f>
        <v>-166.66666666666666</v>
      </c>
      <c r="BO442" s="2">
        <f>IF(AND('Batt IN'!$D$41="YES",BattCalcs!C442=ROUNDUP('Batt IN'!$H$41*12,)),-'Batt IN'!$E$41*'Batt IN'!$E$28,0)</f>
        <v>0</v>
      </c>
      <c r="BP442" s="2">
        <f>IF(AND('Batt IN'!$D$53="Yes",$AL$1&gt;=1),0,IF($C442='Batt IN'!$H$54*12,-'Batt IN'!$F$54,0))</f>
        <v>0</v>
      </c>
      <c r="BQ442" s="2">
        <f>IF(AND('Batt IN'!$D$53="Yes",$AL$1&gt;=2),0,IF($C442='Batt IN'!$H$55*12,-'Batt IN'!$F$55,0))</f>
        <v>0</v>
      </c>
      <c r="BR442" s="2">
        <f>IF(AND('Batt IN'!$D$53="Yes",$AL$1&gt;=3),0,IF($C442='Batt IN'!$H$56*12,-'Batt IN'!$F$56,0))</f>
        <v>0</v>
      </c>
      <c r="BS442" s="2">
        <f>IF(AND('Batt IN'!$D$53="Yes",$AL$1&gt;=4),0,IF($C442='Batt IN'!$H$57*12,-'Batt IN'!$F$57,0))</f>
        <v>0</v>
      </c>
      <c r="BT442" s="2">
        <f>IF(AND('Batt IN'!$D$53="Yes",$AL$1&gt;=5),0,IF($C442='Batt IN'!$H$58*12,-'Batt IN'!$F$58,0))</f>
        <v>0</v>
      </c>
      <c r="BU442" s="2">
        <f>-AH442*PVCalcs!F442</f>
        <v>-359.37504381576838</v>
      </c>
      <c r="BV442" s="2">
        <f>-'Batt IN'!$E$47</f>
        <v>-150</v>
      </c>
      <c r="BW442" s="2">
        <f>-'Batt IN'!$E$49</f>
        <v>-2250</v>
      </c>
      <c r="BX442" s="2">
        <f>IF('Batt IN'!$H$50="No",-(BC442*'Batt IN'!$E$50),-(BC442+BE442)*'Batt IN'!$E$50)</f>
        <v>0</v>
      </c>
      <c r="BY442" s="2">
        <f>IF(C442='Batt IN'!$H$43*12,-'Batt IN'!$E$43,0)</f>
        <v>0</v>
      </c>
      <c r="BZ442" s="38"/>
      <c r="CA442" s="10">
        <f t="shared" si="123"/>
        <v>15533.549490525114</v>
      </c>
      <c r="CB442" s="2">
        <f t="shared" si="111"/>
        <v>-3009.3750438157685</v>
      </c>
      <c r="CC442" s="45">
        <f t="shared" si="124"/>
        <v>12524.174446709345</v>
      </c>
      <c r="CD442" s="43"/>
      <c r="CE442" s="2">
        <f t="shared" si="125"/>
        <v>0</v>
      </c>
      <c r="CF442" s="2">
        <f t="shared" si="112"/>
        <v>-3009.3750438157685</v>
      </c>
      <c r="CG442" s="2"/>
      <c r="CH442" s="2">
        <f t="shared" si="126"/>
        <v>-3009.3750438157685</v>
      </c>
      <c r="CI442" s="45">
        <f>-CH442*'Batt IN'!$E$7</f>
        <v>631.9687592013114</v>
      </c>
      <c r="CJ442" s="48"/>
      <c r="CK442" s="45">
        <f>IF('Batt IN'!$F$4="PV Only",0,IF(C442&gt;'Batt IN'!$H$43*12,0,CC442+CI442))</f>
        <v>0</v>
      </c>
      <c r="CM442" s="10">
        <f t="shared" si="127"/>
        <v>0</v>
      </c>
      <c r="CN442" s="2">
        <f>CK442/(1+('Batt IN'!$G$8))^(C442)</f>
        <v>0</v>
      </c>
      <c r="CO442" s="2" t="e">
        <f>IF(C442&lt;='Batt IN'!$O$30*12,CN442+CO441,NA())</f>
        <v>#N/A</v>
      </c>
      <c r="CQ442" s="2">
        <f>CK442/((1+('Batt IN'!$E$8/12))^BattCalcs!C442)</f>
        <v>0</v>
      </c>
      <c r="CS442" s="10">
        <f t="shared" si="113"/>
        <v>-3009.3750438157685</v>
      </c>
      <c r="CT442" s="10">
        <f t="shared" si="114"/>
        <v>0</v>
      </c>
      <c r="CU442" s="10">
        <f t="shared" si="115"/>
        <v>-3009.3750438157685</v>
      </c>
      <c r="CV442" s="10">
        <f t="shared" si="116"/>
        <v>-3009.3750438157685</v>
      </c>
      <c r="CW442" s="2">
        <f t="shared" si="117"/>
        <v>0</v>
      </c>
      <c r="CX442" s="2">
        <f>-(SUM(CV442:CW442)*'PV IN'!$E$8)</f>
        <v>631.9687592013114</v>
      </c>
      <c r="CY442" s="2">
        <f t="shared" si="118"/>
        <v>-2377.406284614457</v>
      </c>
      <c r="CZ442" s="2">
        <f>IF(C442&lt;='Batt IN'!$H$43*12,CY442/(1+('PV IN'!$G$9))^(C442),0)</f>
        <v>0</v>
      </c>
      <c r="DA442" s="33">
        <f>IF(C442&lt;='Batt IN'!$H$43*12,AE442,0)</f>
        <v>0</v>
      </c>
    </row>
    <row r="443" spans="1:105" x14ac:dyDescent="0.25">
      <c r="A443" t="str">
        <f>IF(C443&lt;='Batt IN'!$H$43*12,C443,"")</f>
        <v/>
      </c>
      <c r="C443">
        <v>439</v>
      </c>
      <c r="D443" s="21">
        <v>869</v>
      </c>
      <c r="E443" s="1">
        <f>1-'Batt IN'!$E$31</f>
        <v>2.0000000000000018E-2</v>
      </c>
      <c r="F443" s="12">
        <f>('Batt IN'!$E$33*365)/8760</f>
        <v>0</v>
      </c>
      <c r="G443" s="22">
        <f>'Batt IN'!$E$32/8760</f>
        <v>5.7077625570776253E-3</v>
      </c>
      <c r="H443" s="22">
        <f>'Batt IN'!$E$13/8760</f>
        <v>5.5936073059360729E-3</v>
      </c>
      <c r="I443" s="23">
        <f>IF(C443&lt;='Batt IN'!$G$14*12,'Batt IN'!$E$15/8760*'Batt IN'!$G$15,0)</f>
        <v>0</v>
      </c>
      <c r="J443" s="12">
        <f>Z443/'Batt IN'!$E$27/730</f>
        <v>2.4999999999999996E-3</v>
      </c>
      <c r="K443" s="23">
        <f>AA443/'Batt IN'!$E$27/730</f>
        <v>1.6027397260273972E-3</v>
      </c>
      <c r="L443" s="23">
        <f>AB443/'Batt IN'!$E$27/730</f>
        <v>2.0547945205479451E-4</v>
      </c>
      <c r="M443" s="23">
        <f>AC443/'Batt IN'!$E$27/730</f>
        <v>4.7945205479452057E-3</v>
      </c>
      <c r="N443" s="23">
        <f>AD443/'Batt IN'!$E$27/730</f>
        <v>3.4246575342465752E-3</v>
      </c>
      <c r="O443" s="12">
        <f t="shared" si="119"/>
        <v>4.3828767123287697E-2</v>
      </c>
      <c r="P443" s="21">
        <f t="shared" si="120"/>
        <v>830.91280136986302</v>
      </c>
      <c r="Q443" s="2">
        <f>IF('Batt IN'!$E$27*'Batt IN'!$E$24&lt;='Batt IN'!$E$28,(('Batt IN'!$E$23*'Batt IN'!$E$27*'Batt IN'!$E$24)/1000)*P443,(('Batt IN'!$E$23*'Batt IN'!$E$28*'Batt IN'!$E$24)/1000)*P443)</f>
        <v>13294.604821917808</v>
      </c>
      <c r="R443" s="2"/>
      <c r="S443" s="77">
        <f>IF(C443&lt;='Batt IN'!$G$14*12,'Batt IN'!$E$15/12,0)</f>
        <v>0</v>
      </c>
      <c r="T443" s="77"/>
      <c r="U443" s="80">
        <f>'Batt IN'!$E$28*('Batt IN'!$G$24/24)*730*(1-O443)</f>
        <v>81433.916666666657</v>
      </c>
      <c r="V443" s="78">
        <f>U443*'Batt IN'!$F$30</f>
        <v>16286.783333333333</v>
      </c>
      <c r="W443" s="78">
        <f>'Batt IN'!$E$28*'Batt IN'!$G$32*('Batt IN'!$E$32/12)*(1+'Batt IN'!$F$30)</f>
        <v>1750.0000000000002</v>
      </c>
      <c r="X443" s="78">
        <f>'Batt IN'!$E$28*'Batt IN'!$G$13*('Batt IN'!$E$13/12)*(1+'Batt IN'!$F$30)</f>
        <v>3184.9999999999995</v>
      </c>
      <c r="Y443" s="33">
        <f>S443*'Batt IN'!$G$15*'Batt IN'!$E$28*(1+'Batt IN'!$F$30)</f>
        <v>0</v>
      </c>
      <c r="Z443" s="33">
        <f>'Batt IN'!$G$16*365/12*(1+'Batt IN'!$F$30)</f>
        <v>1824.9999999999998</v>
      </c>
      <c r="AA443" s="33">
        <f>'Batt IN'!$G$17*'Batt IN'!$E$18*'Batt IN'!$G$18/12*(1+'Batt IN'!$F$30)</f>
        <v>1170</v>
      </c>
      <c r="AB443" s="33">
        <f>'Batt IN'!$G$19*'Batt IN'!$E$20*'Batt IN'!$G$20/12*(1+'Batt IN'!$F$30)</f>
        <v>150</v>
      </c>
      <c r="AC443" s="33">
        <f>'Batt IN'!$G$21*(1+'Batt IN'!$F$30)/12</f>
        <v>3500</v>
      </c>
      <c r="AD443" s="33">
        <f>'Batt IN'!$G$22*(1+'Batt IN'!$F$30)/12</f>
        <v>2500</v>
      </c>
      <c r="AE443" s="33">
        <f t="shared" si="121"/>
        <v>30366.783333333333</v>
      </c>
      <c r="AF443" s="33">
        <f>IF('PV IN'!$F$4="Battery Only",0,AE443*'Batt IN'!$E$29)</f>
        <v>25811.765833333331</v>
      </c>
      <c r="AG443" s="33">
        <f>PVCalcs!L443</f>
        <v>25811.765833333331</v>
      </c>
      <c r="AH443" s="33">
        <f t="shared" si="122"/>
        <v>4555.0175000000017</v>
      </c>
      <c r="AI443" s="33"/>
      <c r="AJ443" s="2">
        <f>IF(AND('Batt IN'!$D$53="Yes",$AL$1&gt;=1),IF($C443='Batt IN'!$H$54*12,-'Batt IN'!$F$54,0),0)</f>
        <v>0</v>
      </c>
      <c r="AK443" s="2">
        <f>IF(AND('Batt IN'!$D$53="Yes",$AL$1&gt;=2),IF($C443='Batt IN'!$H$55*12,-'Batt IN'!$F$55,0),0)</f>
        <v>0</v>
      </c>
      <c r="AL443" s="2">
        <f>IF(AND('Batt IN'!$D$53="Yes",$AL$1&gt;=3),IF($C443='Batt IN'!$H$56*12,-'Batt IN'!$F$56,0),0)</f>
        <v>0</v>
      </c>
      <c r="AM443" s="2">
        <f>IF(AND('Batt IN'!$D$53="Yes",$AL$1&gt;=4),IF($C443='Batt IN'!$H$57*12,-'Batt IN'!$F$57,0),0)</f>
        <v>0</v>
      </c>
      <c r="AN443" s="2">
        <f>IF(AND('Batt IN'!$D$53="Yes",$AL$1&gt;=5),IF($C443='Batt IN'!$H$58*12,-'Batt IN'!$F$58,0),0)</f>
        <v>0</v>
      </c>
      <c r="AO443" s="10">
        <f>IF(AND('Batt IN'!$D$44="YES",$C443&lt;='Batt IN'!$E$44*12),-'Batt IN'!$E$28*'Batt IN'!$E$42/12,0)</f>
        <v>0</v>
      </c>
      <c r="AP443" s="10">
        <f>IF(AND('Batt IN'!$D$46="YES",$C443&lt;='Batt IN'!$E$46*12),-'Batt IN'!$E$28*'Batt IN'!$E$45/12,0)</f>
        <v>0</v>
      </c>
      <c r="AR443" s="10">
        <f>BattLoan!M470</f>
        <v>0</v>
      </c>
      <c r="AS443" s="10">
        <f>'Batt IN'!$G$16*365/12*'Batt IN'!$E$16</f>
        <v>76.041666666666671</v>
      </c>
      <c r="AT443" s="10">
        <f>IF(AND('Batt IN'!$E$18&gt;0,'Batt IN'!$G$18&gt;0),'Batt IN'!$E$17*'Batt IN'!$G$17,0)</f>
        <v>119.44619999999999</v>
      </c>
      <c r="AU443" s="10">
        <f>IF(AND('Batt IN'!$E$20&gt;0,'Batt IN'!$G$20&gt;0),'Batt IN'!$E$19*'Batt IN'!$G$19,0)</f>
        <v>231</v>
      </c>
      <c r="AV443" s="10"/>
      <c r="AW443" s="10"/>
      <c r="AX443" s="10">
        <f>IF('Batt IN'!$E$11="Non-Taxable",Q443,0)</f>
        <v>13294.604821917808</v>
      </c>
      <c r="AY443" s="10">
        <f>IF('Batt IN'!$E$11="Non-Taxable",'Batt IN'!$E$28/1000*'Batt IN'!$G$13*('Batt IN'!$E$13/12)*'Batt IN'!$E$12,0)</f>
        <v>244.42220833333334</v>
      </c>
      <c r="AZ443" s="10">
        <f>IF('Batt IN'!$E$11="Non-Taxable",$S443*'Batt IN'!$G$15*'Batt IN'!$E$28*'Batt IN'!$E$14/1000,0)</f>
        <v>0</v>
      </c>
      <c r="BA443" s="10">
        <f>IF('Batt IN'!$E$11="Non-Taxable",'Batt IN'!$E$21*'Batt IN'!$G$21/12,0)</f>
        <v>437.5</v>
      </c>
      <c r="BB443" s="10">
        <f>IF('Batt IN'!$E$11="Non-Taxable",'Batt IN'!$E$22*'Batt IN'!$G$22/12,0)</f>
        <v>1145.8333333333335</v>
      </c>
      <c r="BC443" s="10">
        <f>IF('Batt IN'!$E$11="Taxable",Q443,0)</f>
        <v>0</v>
      </c>
      <c r="BD443" s="10">
        <f>IF('Batt IN'!$E$11="Taxable",'Batt IN'!$E$28/1000*'Batt IN'!$G$13*('Batt IN'!$E$13/12)*'Batt IN'!$E$12,0)</f>
        <v>0</v>
      </c>
      <c r="BE443" s="10">
        <f>IF('Batt IN'!$E$11="Taxable",$S443*'Batt IN'!$G$15*'Batt IN'!$E$28*'Batt IN'!$E$14/1000,0)</f>
        <v>0</v>
      </c>
      <c r="BF443" s="10">
        <f>IF('Batt IN'!$E$11="Taxable",'Batt IN'!$E$21*'Batt IN'!$G$21/12,0)</f>
        <v>0</v>
      </c>
      <c r="BG443" s="10">
        <f>IF('Batt IN'!$E$11="Taxable",'Batt IN'!$E$22*'Batt IN'!$G$22/12,0)</f>
        <v>0</v>
      </c>
      <c r="BK443" s="10">
        <f>IF('Batt IN'!$N$18="Yes",-BattLoan!H471,-BattLoan!L471)</f>
        <v>0</v>
      </c>
      <c r="BL443" s="10">
        <f>IF('Batt IN'!$N$18="Yes",-BattLoan!F471,0)</f>
        <v>0</v>
      </c>
      <c r="BM443" s="10">
        <f>IF(AND('Batt IN'!$D$44="YES",$C443&lt;='Batt IN'!$E$44*12),0,-'Batt IN'!$E$28*'Batt IN'!$E$42/12)</f>
        <v>-83.333333333333329</v>
      </c>
      <c r="BN443" s="10">
        <f>IF(AND('Batt IN'!$D$46="YES",$C443&lt;='Batt IN'!$E$46*12),0,-'Batt IN'!$E$28*'Batt IN'!$E$45/12)</f>
        <v>-166.66666666666666</v>
      </c>
      <c r="BO443" s="2">
        <f>IF(AND('Batt IN'!$D$41="YES",BattCalcs!C443=ROUNDUP('Batt IN'!$H$41*12,)),-'Batt IN'!$E$41*'Batt IN'!$E$28,0)</f>
        <v>0</v>
      </c>
      <c r="BP443" s="2">
        <f>IF(AND('Batt IN'!$D$53="Yes",$AL$1&gt;=1),0,IF($C443='Batt IN'!$H$54*12,-'Batt IN'!$F$54,0))</f>
        <v>0</v>
      </c>
      <c r="BQ443" s="2">
        <f>IF(AND('Batt IN'!$D$53="Yes",$AL$1&gt;=2),0,IF($C443='Batt IN'!$H$55*12,-'Batt IN'!$F$55,0))</f>
        <v>0</v>
      </c>
      <c r="BR443" s="2">
        <f>IF(AND('Batt IN'!$D$53="Yes",$AL$1&gt;=3),0,IF($C443='Batt IN'!$H$56*12,-'Batt IN'!$F$56,0))</f>
        <v>0</v>
      </c>
      <c r="BS443" s="2">
        <f>IF(AND('Batt IN'!$D$53="Yes",$AL$1&gt;=4),0,IF($C443='Batt IN'!$H$57*12,-'Batt IN'!$F$57,0))</f>
        <v>0</v>
      </c>
      <c r="BT443" s="2">
        <f>IF(AND('Batt IN'!$D$53="Yes",$AL$1&gt;=5),0,IF($C443='Batt IN'!$H$58*12,-'Batt IN'!$F$58,0))</f>
        <v>0</v>
      </c>
      <c r="BU443" s="2">
        <f>-AH443*PVCalcs!F443</f>
        <v>-359.37504381576838</v>
      </c>
      <c r="BV443" s="2">
        <f>-'Batt IN'!$E$47</f>
        <v>-150</v>
      </c>
      <c r="BW443" s="2">
        <f>-'Batt IN'!$E$49</f>
        <v>-2250</v>
      </c>
      <c r="BX443" s="2">
        <f>IF('Batt IN'!$H$50="No",-(BC443*'Batt IN'!$E$50),-(BC443+BE443)*'Batt IN'!$E$50)</f>
        <v>0</v>
      </c>
      <c r="BY443" s="2">
        <f>IF(C443='Batt IN'!$H$43*12,-'Batt IN'!$E$43,0)</f>
        <v>0</v>
      </c>
      <c r="BZ443" s="38"/>
      <c r="CA443" s="10">
        <f t="shared" si="123"/>
        <v>15548.848230251142</v>
      </c>
      <c r="CB443" s="2">
        <f t="shared" si="111"/>
        <v>-3009.3750438157685</v>
      </c>
      <c r="CC443" s="45">
        <f t="shared" si="124"/>
        <v>12539.473186435374</v>
      </c>
      <c r="CD443" s="43"/>
      <c r="CE443" s="2">
        <f t="shared" si="125"/>
        <v>0</v>
      </c>
      <c r="CF443" s="2">
        <f t="shared" si="112"/>
        <v>-3009.3750438157685</v>
      </c>
      <c r="CG443" s="2"/>
      <c r="CH443" s="2">
        <f t="shared" si="126"/>
        <v>-3009.3750438157685</v>
      </c>
      <c r="CI443" s="45">
        <f>-CH443*'Batt IN'!$E$7</f>
        <v>631.9687592013114</v>
      </c>
      <c r="CJ443" s="48"/>
      <c r="CK443" s="45">
        <f>IF('Batt IN'!$F$4="PV Only",0,IF(C443&gt;'Batt IN'!$H$43*12,0,CC443+CI443))</f>
        <v>0</v>
      </c>
      <c r="CM443" s="10">
        <f t="shared" si="127"/>
        <v>0</v>
      </c>
      <c r="CN443" s="2">
        <f>CK443/(1+('Batt IN'!$G$8))^(C443)</f>
        <v>0</v>
      </c>
      <c r="CO443" s="2" t="e">
        <f>IF(C443&lt;='Batt IN'!$O$30*12,CN443+CO442,NA())</f>
        <v>#N/A</v>
      </c>
      <c r="CQ443" s="2">
        <f>CK443/((1+('Batt IN'!$E$8/12))^BattCalcs!C443)</f>
        <v>0</v>
      </c>
      <c r="CS443" s="10">
        <f t="shared" si="113"/>
        <v>-3009.3750438157685</v>
      </c>
      <c r="CT443" s="10">
        <f t="shared" si="114"/>
        <v>0</v>
      </c>
      <c r="CU443" s="10">
        <f t="shared" si="115"/>
        <v>-3009.3750438157685</v>
      </c>
      <c r="CV443" s="10">
        <f t="shared" si="116"/>
        <v>-3009.3750438157685</v>
      </c>
      <c r="CW443" s="2">
        <f t="shared" si="117"/>
        <v>0</v>
      </c>
      <c r="CX443" s="2">
        <f>-(SUM(CV443:CW443)*'PV IN'!$E$8)</f>
        <v>631.9687592013114</v>
      </c>
      <c r="CY443" s="2">
        <f t="shared" si="118"/>
        <v>-2377.406284614457</v>
      </c>
      <c r="CZ443" s="2">
        <f>IF(C443&lt;='Batt IN'!$H$43*12,CY443/(1+('PV IN'!$G$9))^(C443),0)</f>
        <v>0</v>
      </c>
      <c r="DA443" s="33">
        <f>IF(C443&lt;='Batt IN'!$H$43*12,AE443,0)</f>
        <v>0</v>
      </c>
    </row>
    <row r="444" spans="1:105" x14ac:dyDescent="0.25">
      <c r="A444" t="str">
        <f>IF(C444&lt;='Batt IN'!$H$43*12,C444,"")</f>
        <v/>
      </c>
      <c r="C444">
        <v>440</v>
      </c>
      <c r="D444" s="21">
        <v>870</v>
      </c>
      <c r="E444" s="1">
        <f>1-'Batt IN'!$E$31</f>
        <v>2.0000000000000018E-2</v>
      </c>
      <c r="F444" s="12">
        <f>('Batt IN'!$E$33*365)/8760</f>
        <v>0</v>
      </c>
      <c r="G444" s="22">
        <f>'Batt IN'!$E$32/8760</f>
        <v>5.7077625570776253E-3</v>
      </c>
      <c r="H444" s="22">
        <f>'Batt IN'!$E$13/8760</f>
        <v>5.5936073059360729E-3</v>
      </c>
      <c r="I444" s="23">
        <f>IF(C444&lt;='Batt IN'!$G$14*12,'Batt IN'!$E$15/8760*'Batt IN'!$G$15,0)</f>
        <v>0</v>
      </c>
      <c r="J444" s="12">
        <f>Z444/'Batt IN'!$E$27/730</f>
        <v>2.4999999999999996E-3</v>
      </c>
      <c r="K444" s="23">
        <f>AA444/'Batt IN'!$E$27/730</f>
        <v>1.6027397260273972E-3</v>
      </c>
      <c r="L444" s="23">
        <f>AB444/'Batt IN'!$E$27/730</f>
        <v>2.0547945205479451E-4</v>
      </c>
      <c r="M444" s="23">
        <f>AC444/'Batt IN'!$E$27/730</f>
        <v>4.7945205479452057E-3</v>
      </c>
      <c r="N444" s="23">
        <f>AD444/'Batt IN'!$E$27/730</f>
        <v>3.4246575342465752E-3</v>
      </c>
      <c r="O444" s="12">
        <f t="shared" si="119"/>
        <v>4.3828767123287697E-2</v>
      </c>
      <c r="P444" s="21">
        <f t="shared" si="120"/>
        <v>831.86897260273975</v>
      </c>
      <c r="Q444" s="2">
        <f>IF('Batt IN'!$E$27*'Batt IN'!$E$24&lt;='Batt IN'!$E$28,(('Batt IN'!$E$23*'Batt IN'!$E$27*'Batt IN'!$E$24)/1000)*P444,(('Batt IN'!$E$23*'Batt IN'!$E$28*'Batt IN'!$E$24)/1000)*P444)</f>
        <v>13309.903561643836</v>
      </c>
      <c r="R444" s="2"/>
      <c r="S444" s="77">
        <f>IF(C444&lt;='Batt IN'!$G$14*12,'Batt IN'!$E$15/12,0)</f>
        <v>0</v>
      </c>
      <c r="T444" s="77"/>
      <c r="U444" s="80">
        <f>'Batt IN'!$E$28*('Batt IN'!$G$24/24)*730*(1-O444)</f>
        <v>81433.916666666657</v>
      </c>
      <c r="V444" s="78">
        <f>U444*'Batt IN'!$F$30</f>
        <v>16286.783333333333</v>
      </c>
      <c r="W444" s="78">
        <f>'Batt IN'!$E$28*'Batt IN'!$G$32*('Batt IN'!$E$32/12)*(1+'Batt IN'!$F$30)</f>
        <v>1750.0000000000002</v>
      </c>
      <c r="X444" s="78">
        <f>'Batt IN'!$E$28*'Batt IN'!$G$13*('Batt IN'!$E$13/12)*(1+'Batt IN'!$F$30)</f>
        <v>3184.9999999999995</v>
      </c>
      <c r="Y444" s="33">
        <f>S444*'Batt IN'!$G$15*'Batt IN'!$E$28*(1+'Batt IN'!$F$30)</f>
        <v>0</v>
      </c>
      <c r="Z444" s="33">
        <f>'Batt IN'!$G$16*365/12*(1+'Batt IN'!$F$30)</f>
        <v>1824.9999999999998</v>
      </c>
      <c r="AA444" s="33">
        <f>'Batt IN'!$G$17*'Batt IN'!$E$18*'Batt IN'!$G$18/12*(1+'Batt IN'!$F$30)</f>
        <v>1170</v>
      </c>
      <c r="AB444" s="33">
        <f>'Batt IN'!$G$19*'Batt IN'!$E$20*'Batt IN'!$G$20/12*(1+'Batt IN'!$F$30)</f>
        <v>150</v>
      </c>
      <c r="AC444" s="33">
        <f>'Batt IN'!$G$21*(1+'Batt IN'!$F$30)/12</f>
        <v>3500</v>
      </c>
      <c r="AD444" s="33">
        <f>'Batt IN'!$G$22*(1+'Batt IN'!$F$30)/12</f>
        <v>2500</v>
      </c>
      <c r="AE444" s="33">
        <f t="shared" si="121"/>
        <v>30366.783333333333</v>
      </c>
      <c r="AF444" s="33">
        <f>IF('PV IN'!$F$4="Battery Only",0,AE444*'Batt IN'!$E$29)</f>
        <v>25811.765833333331</v>
      </c>
      <c r="AG444" s="33">
        <f>PVCalcs!L444</f>
        <v>25811.765833333331</v>
      </c>
      <c r="AH444" s="33">
        <f t="shared" si="122"/>
        <v>4555.0175000000017</v>
      </c>
      <c r="AI444" s="33"/>
      <c r="AJ444" s="2">
        <f>IF(AND('Batt IN'!$D$53="Yes",$AL$1&gt;=1),IF($C444='Batt IN'!$H$54*12,-'Batt IN'!$F$54,0),0)</f>
        <v>0</v>
      </c>
      <c r="AK444" s="2">
        <f>IF(AND('Batt IN'!$D$53="Yes",$AL$1&gt;=2),IF($C444='Batt IN'!$H$55*12,-'Batt IN'!$F$55,0),0)</f>
        <v>0</v>
      </c>
      <c r="AL444" s="2">
        <f>IF(AND('Batt IN'!$D$53="Yes",$AL$1&gt;=3),IF($C444='Batt IN'!$H$56*12,-'Batt IN'!$F$56,0),0)</f>
        <v>0</v>
      </c>
      <c r="AM444" s="2">
        <f>IF(AND('Batt IN'!$D$53="Yes",$AL$1&gt;=4),IF($C444='Batt IN'!$H$57*12,-'Batt IN'!$F$57,0),0)</f>
        <v>0</v>
      </c>
      <c r="AN444" s="2">
        <f>IF(AND('Batt IN'!$D$53="Yes",$AL$1&gt;=5),IF($C444='Batt IN'!$H$58*12,-'Batt IN'!$F$58,0),0)</f>
        <v>0</v>
      </c>
      <c r="AO444" s="10">
        <f>IF(AND('Batt IN'!$D$44="YES",$C444&lt;='Batt IN'!$E$44*12),-'Batt IN'!$E$28*'Batt IN'!$E$42/12,0)</f>
        <v>0</v>
      </c>
      <c r="AP444" s="10">
        <f>IF(AND('Batt IN'!$D$46="YES",$C444&lt;='Batt IN'!$E$46*12),-'Batt IN'!$E$28*'Batt IN'!$E$45/12,0)</f>
        <v>0</v>
      </c>
      <c r="AR444" s="10">
        <f>BattLoan!M471</f>
        <v>0</v>
      </c>
      <c r="AS444" s="10">
        <f>'Batt IN'!$G$16*365/12*'Batt IN'!$E$16</f>
        <v>76.041666666666671</v>
      </c>
      <c r="AT444" s="10">
        <f>IF(AND('Batt IN'!$E$18&gt;0,'Batt IN'!$G$18&gt;0),'Batt IN'!$E$17*'Batt IN'!$G$17,0)</f>
        <v>119.44619999999999</v>
      </c>
      <c r="AU444" s="10">
        <f>IF(AND('Batt IN'!$E$20&gt;0,'Batt IN'!$G$20&gt;0),'Batt IN'!$E$19*'Batt IN'!$G$19,0)</f>
        <v>231</v>
      </c>
      <c r="AV444" s="10"/>
      <c r="AW444" s="10"/>
      <c r="AX444" s="10">
        <f>IF('Batt IN'!$E$11="Non-Taxable",Q444,0)</f>
        <v>13309.903561643836</v>
      </c>
      <c r="AY444" s="10">
        <f>IF('Batt IN'!$E$11="Non-Taxable",'Batt IN'!$E$28/1000*'Batt IN'!$G$13*('Batt IN'!$E$13/12)*'Batt IN'!$E$12,0)</f>
        <v>244.42220833333334</v>
      </c>
      <c r="AZ444" s="10">
        <f>IF('Batt IN'!$E$11="Non-Taxable",$S444*'Batt IN'!$G$15*'Batt IN'!$E$28*'Batt IN'!$E$14/1000,0)</f>
        <v>0</v>
      </c>
      <c r="BA444" s="10">
        <f>IF('Batt IN'!$E$11="Non-Taxable",'Batt IN'!$E$21*'Batt IN'!$G$21/12,0)</f>
        <v>437.5</v>
      </c>
      <c r="BB444" s="10">
        <f>IF('Batt IN'!$E$11="Non-Taxable",'Batt IN'!$E$22*'Batt IN'!$G$22/12,0)</f>
        <v>1145.8333333333335</v>
      </c>
      <c r="BC444" s="10">
        <f>IF('Batt IN'!$E$11="Taxable",Q444,0)</f>
        <v>0</v>
      </c>
      <c r="BD444" s="10">
        <f>IF('Batt IN'!$E$11="Taxable",'Batt IN'!$E$28/1000*'Batt IN'!$G$13*('Batt IN'!$E$13/12)*'Batt IN'!$E$12,0)</f>
        <v>0</v>
      </c>
      <c r="BE444" s="10">
        <f>IF('Batt IN'!$E$11="Taxable",$S444*'Batt IN'!$G$15*'Batt IN'!$E$28*'Batt IN'!$E$14/1000,0)</f>
        <v>0</v>
      </c>
      <c r="BF444" s="10">
        <f>IF('Batt IN'!$E$11="Taxable",'Batt IN'!$E$21*'Batt IN'!$G$21/12,0)</f>
        <v>0</v>
      </c>
      <c r="BG444" s="10">
        <f>IF('Batt IN'!$E$11="Taxable",'Batt IN'!$E$22*'Batt IN'!$G$22/12,0)</f>
        <v>0</v>
      </c>
      <c r="BK444" s="10">
        <f>IF('Batt IN'!$N$18="Yes",-BattLoan!H472,-BattLoan!L472)</f>
        <v>0</v>
      </c>
      <c r="BL444" s="10">
        <f>IF('Batt IN'!$N$18="Yes",-BattLoan!F472,0)</f>
        <v>0</v>
      </c>
      <c r="BM444" s="10">
        <f>IF(AND('Batt IN'!$D$44="YES",$C444&lt;='Batt IN'!$E$44*12),0,-'Batt IN'!$E$28*'Batt IN'!$E$42/12)</f>
        <v>-83.333333333333329</v>
      </c>
      <c r="BN444" s="10">
        <f>IF(AND('Batt IN'!$D$46="YES",$C444&lt;='Batt IN'!$E$46*12),0,-'Batt IN'!$E$28*'Batt IN'!$E$45/12)</f>
        <v>-166.66666666666666</v>
      </c>
      <c r="BO444" s="2">
        <f>IF(AND('Batt IN'!$D$41="YES",BattCalcs!C444=ROUNDUP('Batt IN'!$H$41*12,)),-'Batt IN'!$E$41*'Batt IN'!$E$28,0)</f>
        <v>0</v>
      </c>
      <c r="BP444" s="2">
        <f>IF(AND('Batt IN'!$D$53="Yes",$AL$1&gt;=1),0,IF($C444='Batt IN'!$H$54*12,-'Batt IN'!$F$54,0))</f>
        <v>0</v>
      </c>
      <c r="BQ444" s="2">
        <f>IF(AND('Batt IN'!$D$53="Yes",$AL$1&gt;=2),0,IF($C444='Batt IN'!$H$55*12,-'Batt IN'!$F$55,0))</f>
        <v>0</v>
      </c>
      <c r="BR444" s="2">
        <f>IF(AND('Batt IN'!$D$53="Yes",$AL$1&gt;=3),0,IF($C444='Batt IN'!$H$56*12,-'Batt IN'!$F$56,0))</f>
        <v>0</v>
      </c>
      <c r="BS444" s="2">
        <f>IF(AND('Batt IN'!$D$53="Yes",$AL$1&gt;=4),0,IF($C444='Batt IN'!$H$57*12,-'Batt IN'!$F$57,0))</f>
        <v>0</v>
      </c>
      <c r="BT444" s="2">
        <f>IF(AND('Batt IN'!$D$53="Yes",$AL$1&gt;=5),0,IF($C444='Batt IN'!$H$58*12,-'Batt IN'!$F$58,0))</f>
        <v>0</v>
      </c>
      <c r="BU444" s="2">
        <f>-AH444*PVCalcs!F444</f>
        <v>-359.37504381576838</v>
      </c>
      <c r="BV444" s="2">
        <f>-'Batt IN'!$E$47</f>
        <v>-150</v>
      </c>
      <c r="BW444" s="2">
        <f>-'Batt IN'!$E$49</f>
        <v>-2250</v>
      </c>
      <c r="BX444" s="2">
        <f>IF('Batt IN'!$H$50="No",-(BC444*'Batt IN'!$E$50),-(BC444+BE444)*'Batt IN'!$E$50)</f>
        <v>0</v>
      </c>
      <c r="BY444" s="2">
        <f>IF(C444='Batt IN'!$H$43*12,-'Batt IN'!$E$43,0)</f>
        <v>0</v>
      </c>
      <c r="BZ444" s="38"/>
      <c r="CA444" s="10">
        <f t="shared" si="123"/>
        <v>15564.14696997717</v>
      </c>
      <c r="CB444" s="2">
        <f t="shared" si="111"/>
        <v>-3009.3750438157685</v>
      </c>
      <c r="CC444" s="45">
        <f t="shared" si="124"/>
        <v>12554.7719261614</v>
      </c>
      <c r="CD444" s="43"/>
      <c r="CE444" s="2">
        <f t="shared" si="125"/>
        <v>0</v>
      </c>
      <c r="CF444" s="2">
        <f t="shared" si="112"/>
        <v>-3009.3750438157685</v>
      </c>
      <c r="CG444" s="2"/>
      <c r="CH444" s="2">
        <f t="shared" si="126"/>
        <v>-3009.3750438157685</v>
      </c>
      <c r="CI444" s="45">
        <f>-CH444*'Batt IN'!$E$7</f>
        <v>631.9687592013114</v>
      </c>
      <c r="CJ444" s="48"/>
      <c r="CK444" s="45">
        <f>IF('Batt IN'!$F$4="PV Only",0,IF(C444&gt;'Batt IN'!$H$43*12,0,CC444+CI444))</f>
        <v>0</v>
      </c>
      <c r="CM444" s="10">
        <f t="shared" si="127"/>
        <v>0</v>
      </c>
      <c r="CN444" s="2">
        <f>CK444/(1+('Batt IN'!$G$8))^(C444)</f>
        <v>0</v>
      </c>
      <c r="CO444" s="2" t="e">
        <f>IF(C444&lt;='Batt IN'!$O$30*12,CN444+CO443,NA())</f>
        <v>#N/A</v>
      </c>
      <c r="CQ444" s="2">
        <f>CK444/((1+('Batt IN'!$E$8/12))^BattCalcs!C444)</f>
        <v>0</v>
      </c>
      <c r="CS444" s="10">
        <f t="shared" si="113"/>
        <v>-3009.3750438157685</v>
      </c>
      <c r="CT444" s="10">
        <f t="shared" si="114"/>
        <v>0</v>
      </c>
      <c r="CU444" s="10">
        <f t="shared" si="115"/>
        <v>-3009.3750438157685</v>
      </c>
      <c r="CV444" s="10">
        <f t="shared" si="116"/>
        <v>-3009.3750438157685</v>
      </c>
      <c r="CW444" s="2">
        <f t="shared" si="117"/>
        <v>0</v>
      </c>
      <c r="CX444" s="2">
        <f>-(SUM(CV444:CW444)*'PV IN'!$E$8)</f>
        <v>631.9687592013114</v>
      </c>
      <c r="CY444" s="2">
        <f t="shared" si="118"/>
        <v>-2377.406284614457</v>
      </c>
      <c r="CZ444" s="2">
        <f>IF(C444&lt;='Batt IN'!$H$43*12,CY444/(1+('PV IN'!$G$9))^(C444),0)</f>
        <v>0</v>
      </c>
      <c r="DA444" s="33">
        <f>IF(C444&lt;='Batt IN'!$H$43*12,AE444,0)</f>
        <v>0</v>
      </c>
    </row>
    <row r="445" spans="1:105" x14ac:dyDescent="0.25">
      <c r="A445" t="str">
        <f>IF(C445&lt;='Batt IN'!$H$43*12,C445,"")</f>
        <v/>
      </c>
      <c r="C445">
        <v>441</v>
      </c>
      <c r="D445" s="21">
        <v>871</v>
      </c>
      <c r="E445" s="1">
        <f>1-'Batt IN'!$E$31</f>
        <v>2.0000000000000018E-2</v>
      </c>
      <c r="F445" s="12">
        <f>('Batt IN'!$E$33*365)/8760</f>
        <v>0</v>
      </c>
      <c r="G445" s="22">
        <f>'Batt IN'!$E$32/8760</f>
        <v>5.7077625570776253E-3</v>
      </c>
      <c r="H445" s="22">
        <f>'Batt IN'!$E$13/8760</f>
        <v>5.5936073059360729E-3</v>
      </c>
      <c r="I445" s="23">
        <f>IF(C445&lt;='Batt IN'!$G$14*12,'Batt IN'!$E$15/8760*'Batt IN'!$G$15,0)</f>
        <v>0</v>
      </c>
      <c r="J445" s="12">
        <f>Z445/'Batt IN'!$E$27/730</f>
        <v>2.4999999999999996E-3</v>
      </c>
      <c r="K445" s="23">
        <f>AA445/'Batt IN'!$E$27/730</f>
        <v>1.6027397260273972E-3</v>
      </c>
      <c r="L445" s="23">
        <f>AB445/'Batt IN'!$E$27/730</f>
        <v>2.0547945205479451E-4</v>
      </c>
      <c r="M445" s="23">
        <f>AC445/'Batt IN'!$E$27/730</f>
        <v>4.7945205479452057E-3</v>
      </c>
      <c r="N445" s="23">
        <f>AD445/'Batt IN'!$E$27/730</f>
        <v>3.4246575342465752E-3</v>
      </c>
      <c r="O445" s="12">
        <f t="shared" si="119"/>
        <v>4.3828767123287697E-2</v>
      </c>
      <c r="P445" s="21">
        <f t="shared" si="120"/>
        <v>832.82514383561647</v>
      </c>
      <c r="Q445" s="2">
        <f>IF('Batt IN'!$E$27*'Batt IN'!$E$24&lt;='Batt IN'!$E$28,(('Batt IN'!$E$23*'Batt IN'!$E$27*'Batt IN'!$E$24)/1000)*P445,(('Batt IN'!$E$23*'Batt IN'!$E$28*'Batt IN'!$E$24)/1000)*P445)</f>
        <v>13325.202301369864</v>
      </c>
      <c r="R445" s="2"/>
      <c r="S445" s="77">
        <f>IF(C445&lt;='Batt IN'!$G$14*12,'Batt IN'!$E$15/12,0)</f>
        <v>0</v>
      </c>
      <c r="T445" s="77"/>
      <c r="U445" s="80">
        <f>'Batt IN'!$E$28*('Batt IN'!$G$24/24)*730*(1-O445)</f>
        <v>81433.916666666657</v>
      </c>
      <c r="V445" s="78">
        <f>U445*'Batt IN'!$F$30</f>
        <v>16286.783333333333</v>
      </c>
      <c r="W445" s="78">
        <f>'Batt IN'!$E$28*'Batt IN'!$G$32*('Batt IN'!$E$32/12)*(1+'Batt IN'!$F$30)</f>
        <v>1750.0000000000002</v>
      </c>
      <c r="X445" s="78">
        <f>'Batt IN'!$E$28*'Batt IN'!$G$13*('Batt IN'!$E$13/12)*(1+'Batt IN'!$F$30)</f>
        <v>3184.9999999999995</v>
      </c>
      <c r="Y445" s="33">
        <f>S445*'Batt IN'!$G$15*'Batt IN'!$E$28*(1+'Batt IN'!$F$30)</f>
        <v>0</v>
      </c>
      <c r="Z445" s="33">
        <f>'Batt IN'!$G$16*365/12*(1+'Batt IN'!$F$30)</f>
        <v>1824.9999999999998</v>
      </c>
      <c r="AA445" s="33">
        <f>'Batt IN'!$G$17*'Batt IN'!$E$18*'Batt IN'!$G$18/12*(1+'Batt IN'!$F$30)</f>
        <v>1170</v>
      </c>
      <c r="AB445" s="33">
        <f>'Batt IN'!$G$19*'Batt IN'!$E$20*'Batt IN'!$G$20/12*(1+'Batt IN'!$F$30)</f>
        <v>150</v>
      </c>
      <c r="AC445" s="33">
        <f>'Batt IN'!$G$21*(1+'Batt IN'!$F$30)/12</f>
        <v>3500</v>
      </c>
      <c r="AD445" s="33">
        <f>'Batt IN'!$G$22*(1+'Batt IN'!$F$30)/12</f>
        <v>2500</v>
      </c>
      <c r="AE445" s="33">
        <f t="shared" si="121"/>
        <v>30366.783333333333</v>
      </c>
      <c r="AF445" s="33">
        <f>IF('PV IN'!$F$4="Battery Only",0,AE445*'Batt IN'!$E$29)</f>
        <v>25811.765833333331</v>
      </c>
      <c r="AG445" s="33">
        <f>PVCalcs!L445</f>
        <v>25811.765833333331</v>
      </c>
      <c r="AH445" s="33">
        <f t="shared" si="122"/>
        <v>4555.0175000000017</v>
      </c>
      <c r="AI445" s="33"/>
      <c r="AJ445" s="2">
        <f>IF(AND('Batt IN'!$D$53="Yes",$AL$1&gt;=1),IF($C445='Batt IN'!$H$54*12,-'Batt IN'!$F$54,0),0)</f>
        <v>0</v>
      </c>
      <c r="AK445" s="2">
        <f>IF(AND('Batt IN'!$D$53="Yes",$AL$1&gt;=2),IF($C445='Batt IN'!$H$55*12,-'Batt IN'!$F$55,0),0)</f>
        <v>0</v>
      </c>
      <c r="AL445" s="2">
        <f>IF(AND('Batt IN'!$D$53="Yes",$AL$1&gt;=3),IF($C445='Batt IN'!$H$56*12,-'Batt IN'!$F$56,0),0)</f>
        <v>0</v>
      </c>
      <c r="AM445" s="2">
        <f>IF(AND('Batt IN'!$D$53="Yes",$AL$1&gt;=4),IF($C445='Batt IN'!$H$57*12,-'Batt IN'!$F$57,0),0)</f>
        <v>0</v>
      </c>
      <c r="AN445" s="2">
        <f>IF(AND('Batt IN'!$D$53="Yes",$AL$1&gt;=5),IF($C445='Batt IN'!$H$58*12,-'Batt IN'!$F$58,0),0)</f>
        <v>0</v>
      </c>
      <c r="AO445" s="10">
        <f>IF(AND('Batt IN'!$D$44="YES",$C445&lt;='Batt IN'!$E$44*12),-'Batt IN'!$E$28*'Batt IN'!$E$42/12,0)</f>
        <v>0</v>
      </c>
      <c r="AP445" s="10">
        <f>IF(AND('Batt IN'!$D$46="YES",$C445&lt;='Batt IN'!$E$46*12),-'Batt IN'!$E$28*'Batt IN'!$E$45/12,0)</f>
        <v>0</v>
      </c>
      <c r="AR445" s="10">
        <f>BattLoan!M472</f>
        <v>0</v>
      </c>
      <c r="AS445" s="10">
        <f>'Batt IN'!$G$16*365/12*'Batt IN'!$E$16</f>
        <v>76.041666666666671</v>
      </c>
      <c r="AT445" s="10">
        <f>IF(AND('Batt IN'!$E$18&gt;0,'Batt IN'!$G$18&gt;0),'Batt IN'!$E$17*'Batt IN'!$G$17,0)</f>
        <v>119.44619999999999</v>
      </c>
      <c r="AU445" s="10">
        <f>IF(AND('Batt IN'!$E$20&gt;0,'Batt IN'!$G$20&gt;0),'Batt IN'!$E$19*'Batt IN'!$G$19,0)</f>
        <v>231</v>
      </c>
      <c r="AV445" s="10"/>
      <c r="AW445" s="10"/>
      <c r="AX445" s="10">
        <f>IF('Batt IN'!$E$11="Non-Taxable",Q445,0)</f>
        <v>13325.202301369864</v>
      </c>
      <c r="AY445" s="10">
        <f>IF('Batt IN'!$E$11="Non-Taxable",'Batt IN'!$E$28/1000*'Batt IN'!$G$13*('Batt IN'!$E$13/12)*'Batt IN'!$E$12,0)</f>
        <v>244.42220833333334</v>
      </c>
      <c r="AZ445" s="10">
        <f>IF('Batt IN'!$E$11="Non-Taxable",$S445*'Batt IN'!$G$15*'Batt IN'!$E$28*'Batt IN'!$E$14/1000,0)</f>
        <v>0</v>
      </c>
      <c r="BA445" s="10">
        <f>IF('Batt IN'!$E$11="Non-Taxable",'Batt IN'!$E$21*'Batt IN'!$G$21/12,0)</f>
        <v>437.5</v>
      </c>
      <c r="BB445" s="10">
        <f>IF('Batt IN'!$E$11="Non-Taxable",'Batt IN'!$E$22*'Batt IN'!$G$22/12,0)</f>
        <v>1145.8333333333335</v>
      </c>
      <c r="BC445" s="10">
        <f>IF('Batt IN'!$E$11="Taxable",Q445,0)</f>
        <v>0</v>
      </c>
      <c r="BD445" s="10">
        <f>IF('Batt IN'!$E$11="Taxable",'Batt IN'!$E$28/1000*'Batt IN'!$G$13*('Batt IN'!$E$13/12)*'Batt IN'!$E$12,0)</f>
        <v>0</v>
      </c>
      <c r="BE445" s="10">
        <f>IF('Batt IN'!$E$11="Taxable",$S445*'Batt IN'!$G$15*'Batt IN'!$E$28*'Batt IN'!$E$14/1000,0)</f>
        <v>0</v>
      </c>
      <c r="BF445" s="10">
        <f>IF('Batt IN'!$E$11="Taxable",'Batt IN'!$E$21*'Batt IN'!$G$21/12,0)</f>
        <v>0</v>
      </c>
      <c r="BG445" s="10">
        <f>IF('Batt IN'!$E$11="Taxable",'Batt IN'!$E$22*'Batt IN'!$G$22/12,0)</f>
        <v>0</v>
      </c>
      <c r="BK445" s="10">
        <f>IF('Batt IN'!$N$18="Yes",-BattLoan!H473,-BattLoan!L473)</f>
        <v>0</v>
      </c>
      <c r="BL445" s="10">
        <f>IF('Batt IN'!$N$18="Yes",-BattLoan!F473,0)</f>
        <v>0</v>
      </c>
      <c r="BM445" s="10">
        <f>IF(AND('Batt IN'!$D$44="YES",$C445&lt;='Batt IN'!$E$44*12),0,-'Batt IN'!$E$28*'Batt IN'!$E$42/12)</f>
        <v>-83.333333333333329</v>
      </c>
      <c r="BN445" s="10">
        <f>IF(AND('Batt IN'!$D$46="YES",$C445&lt;='Batt IN'!$E$46*12),0,-'Batt IN'!$E$28*'Batt IN'!$E$45/12)</f>
        <v>-166.66666666666666</v>
      </c>
      <c r="BO445" s="2">
        <f>IF(AND('Batt IN'!$D$41="YES",BattCalcs!C445=ROUNDUP('Batt IN'!$H$41*12,)),-'Batt IN'!$E$41*'Batt IN'!$E$28,0)</f>
        <v>0</v>
      </c>
      <c r="BP445" s="2">
        <f>IF(AND('Batt IN'!$D$53="Yes",$AL$1&gt;=1),0,IF($C445='Batt IN'!$H$54*12,-'Batt IN'!$F$54,0))</f>
        <v>0</v>
      </c>
      <c r="BQ445" s="2">
        <f>IF(AND('Batt IN'!$D$53="Yes",$AL$1&gt;=2),0,IF($C445='Batt IN'!$H$55*12,-'Batt IN'!$F$55,0))</f>
        <v>0</v>
      </c>
      <c r="BR445" s="2">
        <f>IF(AND('Batt IN'!$D$53="Yes",$AL$1&gt;=3),0,IF($C445='Batt IN'!$H$56*12,-'Batt IN'!$F$56,0))</f>
        <v>0</v>
      </c>
      <c r="BS445" s="2">
        <f>IF(AND('Batt IN'!$D$53="Yes",$AL$1&gt;=4),0,IF($C445='Batt IN'!$H$57*12,-'Batt IN'!$F$57,0))</f>
        <v>0</v>
      </c>
      <c r="BT445" s="2">
        <f>IF(AND('Batt IN'!$D$53="Yes",$AL$1&gt;=5),0,IF($C445='Batt IN'!$H$58*12,-'Batt IN'!$F$58,0))</f>
        <v>0</v>
      </c>
      <c r="BU445" s="2">
        <f>-AH445*PVCalcs!F445</f>
        <v>-359.37504381576838</v>
      </c>
      <c r="BV445" s="2">
        <f>-'Batt IN'!$E$47</f>
        <v>-150</v>
      </c>
      <c r="BW445" s="2">
        <f>-'Batt IN'!$E$49</f>
        <v>-2250</v>
      </c>
      <c r="BX445" s="2">
        <f>IF('Batt IN'!$H$50="No",-(BC445*'Batt IN'!$E$50),-(BC445+BE445)*'Batt IN'!$E$50)</f>
        <v>0</v>
      </c>
      <c r="BY445" s="2">
        <f>IF(C445='Batt IN'!$H$43*12,-'Batt IN'!$E$43,0)</f>
        <v>0</v>
      </c>
      <c r="BZ445" s="38"/>
      <c r="CA445" s="10">
        <f t="shared" si="123"/>
        <v>15579.445709703197</v>
      </c>
      <c r="CB445" s="2">
        <f t="shared" si="111"/>
        <v>-3009.3750438157685</v>
      </c>
      <c r="CC445" s="45">
        <f t="shared" si="124"/>
        <v>12570.07066588743</v>
      </c>
      <c r="CD445" s="43"/>
      <c r="CE445" s="2">
        <f t="shared" si="125"/>
        <v>0</v>
      </c>
      <c r="CF445" s="2">
        <f t="shared" si="112"/>
        <v>-3009.3750438157685</v>
      </c>
      <c r="CG445" s="2"/>
      <c r="CH445" s="2">
        <f t="shared" si="126"/>
        <v>-3009.3750438157685</v>
      </c>
      <c r="CI445" s="45">
        <f>-CH445*'Batt IN'!$E$7</f>
        <v>631.9687592013114</v>
      </c>
      <c r="CJ445" s="48"/>
      <c r="CK445" s="45">
        <f>IF('Batt IN'!$F$4="PV Only",0,IF(C445&gt;'Batt IN'!$H$43*12,0,CC445+CI445))</f>
        <v>0</v>
      </c>
      <c r="CM445" s="10">
        <f t="shared" si="127"/>
        <v>0</v>
      </c>
      <c r="CN445" s="2">
        <f>CK445/(1+('Batt IN'!$G$8))^(C445)</f>
        <v>0</v>
      </c>
      <c r="CO445" s="2" t="e">
        <f>IF(C445&lt;='Batt IN'!$O$30*12,CN445+CO444,NA())</f>
        <v>#N/A</v>
      </c>
      <c r="CQ445" s="2">
        <f>CK445/((1+('Batt IN'!$E$8/12))^BattCalcs!C445)</f>
        <v>0</v>
      </c>
      <c r="CS445" s="10">
        <f t="shared" si="113"/>
        <v>-3009.3750438157685</v>
      </c>
      <c r="CT445" s="10">
        <f t="shared" si="114"/>
        <v>0</v>
      </c>
      <c r="CU445" s="10">
        <f t="shared" si="115"/>
        <v>-3009.3750438157685</v>
      </c>
      <c r="CV445" s="10">
        <f t="shared" si="116"/>
        <v>-3009.3750438157685</v>
      </c>
      <c r="CW445" s="2">
        <f t="shared" si="117"/>
        <v>0</v>
      </c>
      <c r="CX445" s="2">
        <f>-(SUM(CV445:CW445)*'PV IN'!$E$8)</f>
        <v>631.9687592013114</v>
      </c>
      <c r="CY445" s="2">
        <f t="shared" si="118"/>
        <v>-2377.406284614457</v>
      </c>
      <c r="CZ445" s="2">
        <f>IF(C445&lt;='Batt IN'!$H$43*12,CY445/(1+('PV IN'!$G$9))^(C445),0)</f>
        <v>0</v>
      </c>
      <c r="DA445" s="33">
        <f>IF(C445&lt;='Batt IN'!$H$43*12,AE445,0)</f>
        <v>0</v>
      </c>
    </row>
    <row r="446" spans="1:105" x14ac:dyDescent="0.25">
      <c r="A446" t="str">
        <f>IF(C446&lt;='Batt IN'!$H$43*12,C446,"")</f>
        <v/>
      </c>
      <c r="C446">
        <v>442</v>
      </c>
      <c r="D446" s="21">
        <v>872</v>
      </c>
      <c r="E446" s="1">
        <f>1-'Batt IN'!$E$31</f>
        <v>2.0000000000000018E-2</v>
      </c>
      <c r="F446" s="12">
        <f>('Batt IN'!$E$33*365)/8760</f>
        <v>0</v>
      </c>
      <c r="G446" s="22">
        <f>'Batt IN'!$E$32/8760</f>
        <v>5.7077625570776253E-3</v>
      </c>
      <c r="H446" s="22">
        <f>'Batt IN'!$E$13/8760</f>
        <v>5.5936073059360729E-3</v>
      </c>
      <c r="I446" s="23">
        <f>IF(C446&lt;='Batt IN'!$G$14*12,'Batt IN'!$E$15/8760*'Batt IN'!$G$15,0)</f>
        <v>0</v>
      </c>
      <c r="J446" s="12">
        <f>Z446/'Batt IN'!$E$27/730</f>
        <v>2.4999999999999996E-3</v>
      </c>
      <c r="K446" s="23">
        <f>AA446/'Batt IN'!$E$27/730</f>
        <v>1.6027397260273972E-3</v>
      </c>
      <c r="L446" s="23">
        <f>AB446/'Batt IN'!$E$27/730</f>
        <v>2.0547945205479451E-4</v>
      </c>
      <c r="M446" s="23">
        <f>AC446/'Batt IN'!$E$27/730</f>
        <v>4.7945205479452057E-3</v>
      </c>
      <c r="N446" s="23">
        <f>AD446/'Batt IN'!$E$27/730</f>
        <v>3.4246575342465752E-3</v>
      </c>
      <c r="O446" s="12">
        <f t="shared" si="119"/>
        <v>4.3828767123287697E-2</v>
      </c>
      <c r="P446" s="21">
        <f t="shared" si="120"/>
        <v>833.7813150684932</v>
      </c>
      <c r="Q446" s="2">
        <f>IF('Batt IN'!$E$27*'Batt IN'!$E$24&lt;='Batt IN'!$E$28,(('Batt IN'!$E$23*'Batt IN'!$E$27*'Batt IN'!$E$24)/1000)*P446,(('Batt IN'!$E$23*'Batt IN'!$E$28*'Batt IN'!$E$24)/1000)*P446)</f>
        <v>13340.501041095891</v>
      </c>
      <c r="R446" s="2"/>
      <c r="S446" s="77">
        <f>IF(C446&lt;='Batt IN'!$G$14*12,'Batt IN'!$E$15/12,0)</f>
        <v>0</v>
      </c>
      <c r="T446" s="77"/>
      <c r="U446" s="80">
        <f>'Batt IN'!$E$28*('Batt IN'!$G$24/24)*730*(1-O446)</f>
        <v>81433.916666666657</v>
      </c>
      <c r="V446" s="78">
        <f>U446*'Batt IN'!$F$30</f>
        <v>16286.783333333333</v>
      </c>
      <c r="W446" s="78">
        <f>'Batt IN'!$E$28*'Batt IN'!$G$32*('Batt IN'!$E$32/12)*(1+'Batt IN'!$F$30)</f>
        <v>1750.0000000000002</v>
      </c>
      <c r="X446" s="78">
        <f>'Batt IN'!$E$28*'Batt IN'!$G$13*('Batt IN'!$E$13/12)*(1+'Batt IN'!$F$30)</f>
        <v>3184.9999999999995</v>
      </c>
      <c r="Y446" s="33">
        <f>S446*'Batt IN'!$G$15*'Batt IN'!$E$28*(1+'Batt IN'!$F$30)</f>
        <v>0</v>
      </c>
      <c r="Z446" s="33">
        <f>'Batt IN'!$G$16*365/12*(1+'Batt IN'!$F$30)</f>
        <v>1824.9999999999998</v>
      </c>
      <c r="AA446" s="33">
        <f>'Batt IN'!$G$17*'Batt IN'!$E$18*'Batt IN'!$G$18/12*(1+'Batt IN'!$F$30)</f>
        <v>1170</v>
      </c>
      <c r="AB446" s="33">
        <f>'Batt IN'!$G$19*'Batt IN'!$E$20*'Batt IN'!$G$20/12*(1+'Batt IN'!$F$30)</f>
        <v>150</v>
      </c>
      <c r="AC446" s="33">
        <f>'Batt IN'!$G$21*(1+'Batt IN'!$F$30)/12</f>
        <v>3500</v>
      </c>
      <c r="AD446" s="33">
        <f>'Batt IN'!$G$22*(1+'Batt IN'!$F$30)/12</f>
        <v>2500</v>
      </c>
      <c r="AE446" s="33">
        <f t="shared" si="121"/>
        <v>30366.783333333333</v>
      </c>
      <c r="AF446" s="33">
        <f>IF('PV IN'!$F$4="Battery Only",0,AE446*'Batt IN'!$E$29)</f>
        <v>25811.765833333331</v>
      </c>
      <c r="AG446" s="33">
        <f>PVCalcs!L446</f>
        <v>25811.765833333331</v>
      </c>
      <c r="AH446" s="33">
        <f t="shared" si="122"/>
        <v>4555.0175000000017</v>
      </c>
      <c r="AI446" s="33"/>
      <c r="AJ446" s="2">
        <f>IF(AND('Batt IN'!$D$53="Yes",$AL$1&gt;=1),IF($C446='Batt IN'!$H$54*12,-'Batt IN'!$F$54,0),0)</f>
        <v>0</v>
      </c>
      <c r="AK446" s="2">
        <f>IF(AND('Batt IN'!$D$53="Yes",$AL$1&gt;=2),IF($C446='Batt IN'!$H$55*12,-'Batt IN'!$F$55,0),0)</f>
        <v>0</v>
      </c>
      <c r="AL446" s="2">
        <f>IF(AND('Batt IN'!$D$53="Yes",$AL$1&gt;=3),IF($C446='Batt IN'!$H$56*12,-'Batt IN'!$F$56,0),0)</f>
        <v>0</v>
      </c>
      <c r="AM446" s="2">
        <f>IF(AND('Batt IN'!$D$53="Yes",$AL$1&gt;=4),IF($C446='Batt IN'!$H$57*12,-'Batt IN'!$F$57,0),0)</f>
        <v>0</v>
      </c>
      <c r="AN446" s="2">
        <f>IF(AND('Batt IN'!$D$53="Yes",$AL$1&gt;=5),IF($C446='Batt IN'!$H$58*12,-'Batt IN'!$F$58,0),0)</f>
        <v>0</v>
      </c>
      <c r="AO446" s="10">
        <f>IF(AND('Batt IN'!$D$44="YES",$C446&lt;='Batt IN'!$E$44*12),-'Batt IN'!$E$28*'Batt IN'!$E$42/12,0)</f>
        <v>0</v>
      </c>
      <c r="AP446" s="10">
        <f>IF(AND('Batt IN'!$D$46="YES",$C446&lt;='Batt IN'!$E$46*12),-'Batt IN'!$E$28*'Batt IN'!$E$45/12,0)</f>
        <v>0</v>
      </c>
      <c r="AR446" s="10">
        <f>BattLoan!M473</f>
        <v>0</v>
      </c>
      <c r="AS446" s="10">
        <f>'Batt IN'!$G$16*365/12*'Batt IN'!$E$16</f>
        <v>76.041666666666671</v>
      </c>
      <c r="AT446" s="10">
        <f>IF(AND('Batt IN'!$E$18&gt;0,'Batt IN'!$G$18&gt;0),'Batt IN'!$E$17*'Batt IN'!$G$17,0)</f>
        <v>119.44619999999999</v>
      </c>
      <c r="AU446" s="10">
        <f>IF(AND('Batt IN'!$E$20&gt;0,'Batt IN'!$G$20&gt;0),'Batt IN'!$E$19*'Batt IN'!$G$19,0)</f>
        <v>231</v>
      </c>
      <c r="AV446" s="10"/>
      <c r="AW446" s="10"/>
      <c r="AX446" s="10">
        <f>IF('Batt IN'!$E$11="Non-Taxable",Q446,0)</f>
        <v>13340.501041095891</v>
      </c>
      <c r="AY446" s="10">
        <f>IF('Batt IN'!$E$11="Non-Taxable",'Batt IN'!$E$28/1000*'Batt IN'!$G$13*('Batt IN'!$E$13/12)*'Batt IN'!$E$12,0)</f>
        <v>244.42220833333334</v>
      </c>
      <c r="AZ446" s="10">
        <f>IF('Batt IN'!$E$11="Non-Taxable",$S446*'Batt IN'!$G$15*'Batt IN'!$E$28*'Batt IN'!$E$14/1000,0)</f>
        <v>0</v>
      </c>
      <c r="BA446" s="10">
        <f>IF('Batt IN'!$E$11="Non-Taxable",'Batt IN'!$E$21*'Batt IN'!$G$21/12,0)</f>
        <v>437.5</v>
      </c>
      <c r="BB446" s="10">
        <f>IF('Batt IN'!$E$11="Non-Taxable",'Batt IN'!$E$22*'Batt IN'!$G$22/12,0)</f>
        <v>1145.8333333333335</v>
      </c>
      <c r="BC446" s="10">
        <f>IF('Batt IN'!$E$11="Taxable",Q446,0)</f>
        <v>0</v>
      </c>
      <c r="BD446" s="10">
        <f>IF('Batt IN'!$E$11="Taxable",'Batt IN'!$E$28/1000*'Batt IN'!$G$13*('Batt IN'!$E$13/12)*'Batt IN'!$E$12,0)</f>
        <v>0</v>
      </c>
      <c r="BE446" s="10">
        <f>IF('Batt IN'!$E$11="Taxable",$S446*'Batt IN'!$G$15*'Batt IN'!$E$28*'Batt IN'!$E$14/1000,0)</f>
        <v>0</v>
      </c>
      <c r="BF446" s="10">
        <f>IF('Batt IN'!$E$11="Taxable",'Batt IN'!$E$21*'Batt IN'!$G$21/12,0)</f>
        <v>0</v>
      </c>
      <c r="BG446" s="10">
        <f>IF('Batt IN'!$E$11="Taxable",'Batt IN'!$E$22*'Batt IN'!$G$22/12,0)</f>
        <v>0</v>
      </c>
      <c r="BK446" s="10">
        <f>IF('Batt IN'!$N$18="Yes",-BattLoan!H474,-BattLoan!L474)</f>
        <v>0</v>
      </c>
      <c r="BL446" s="10">
        <f>IF('Batt IN'!$N$18="Yes",-BattLoan!F474,0)</f>
        <v>0</v>
      </c>
      <c r="BM446" s="10">
        <f>IF(AND('Batt IN'!$D$44="YES",$C446&lt;='Batt IN'!$E$44*12),0,-'Batt IN'!$E$28*'Batt IN'!$E$42/12)</f>
        <v>-83.333333333333329</v>
      </c>
      <c r="BN446" s="10">
        <f>IF(AND('Batt IN'!$D$46="YES",$C446&lt;='Batt IN'!$E$46*12),0,-'Batt IN'!$E$28*'Batt IN'!$E$45/12)</f>
        <v>-166.66666666666666</v>
      </c>
      <c r="BO446" s="2">
        <f>IF(AND('Batt IN'!$D$41="YES",BattCalcs!C446=ROUNDUP('Batt IN'!$H$41*12,)),-'Batt IN'!$E$41*'Batt IN'!$E$28,0)</f>
        <v>0</v>
      </c>
      <c r="BP446" s="2">
        <f>IF(AND('Batt IN'!$D$53="Yes",$AL$1&gt;=1),0,IF($C446='Batt IN'!$H$54*12,-'Batt IN'!$F$54,0))</f>
        <v>0</v>
      </c>
      <c r="BQ446" s="2">
        <f>IF(AND('Batt IN'!$D$53="Yes",$AL$1&gt;=2),0,IF($C446='Batt IN'!$H$55*12,-'Batt IN'!$F$55,0))</f>
        <v>0</v>
      </c>
      <c r="BR446" s="2">
        <f>IF(AND('Batt IN'!$D$53="Yes",$AL$1&gt;=3),0,IF($C446='Batt IN'!$H$56*12,-'Batt IN'!$F$56,0))</f>
        <v>0</v>
      </c>
      <c r="BS446" s="2">
        <f>IF(AND('Batt IN'!$D$53="Yes",$AL$1&gt;=4),0,IF($C446='Batt IN'!$H$57*12,-'Batt IN'!$F$57,0))</f>
        <v>0</v>
      </c>
      <c r="BT446" s="2">
        <f>IF(AND('Batt IN'!$D$53="Yes",$AL$1&gt;=5),0,IF($C446='Batt IN'!$H$58*12,-'Batt IN'!$F$58,0))</f>
        <v>0</v>
      </c>
      <c r="BU446" s="2">
        <f>-AH446*PVCalcs!F446</f>
        <v>-359.37504381576838</v>
      </c>
      <c r="BV446" s="2">
        <f>-'Batt IN'!$E$47</f>
        <v>-150</v>
      </c>
      <c r="BW446" s="2">
        <f>-'Batt IN'!$E$49</f>
        <v>-2250</v>
      </c>
      <c r="BX446" s="2">
        <f>IF('Batt IN'!$H$50="No",-(BC446*'Batt IN'!$E$50),-(BC446+BE446)*'Batt IN'!$E$50)</f>
        <v>0</v>
      </c>
      <c r="BY446" s="2">
        <f>IF(C446='Batt IN'!$H$43*12,-'Batt IN'!$E$43,0)</f>
        <v>0</v>
      </c>
      <c r="BZ446" s="38"/>
      <c r="CA446" s="10">
        <f t="shared" si="123"/>
        <v>15594.744449429225</v>
      </c>
      <c r="CB446" s="2">
        <f t="shared" si="111"/>
        <v>-3009.3750438157685</v>
      </c>
      <c r="CC446" s="45">
        <f t="shared" si="124"/>
        <v>12585.369405613455</v>
      </c>
      <c r="CD446" s="43"/>
      <c r="CE446" s="2">
        <f t="shared" si="125"/>
        <v>0</v>
      </c>
      <c r="CF446" s="2">
        <f t="shared" si="112"/>
        <v>-3009.3750438157685</v>
      </c>
      <c r="CG446" s="2"/>
      <c r="CH446" s="2">
        <f t="shared" si="126"/>
        <v>-3009.3750438157685</v>
      </c>
      <c r="CI446" s="45">
        <f>-CH446*'Batt IN'!$E$7</f>
        <v>631.9687592013114</v>
      </c>
      <c r="CJ446" s="48"/>
      <c r="CK446" s="45">
        <f>IF('Batt IN'!$F$4="PV Only",0,IF(C446&gt;'Batt IN'!$H$43*12,0,CC446+CI446))</f>
        <v>0</v>
      </c>
      <c r="CM446" s="10">
        <f t="shared" si="127"/>
        <v>0</v>
      </c>
      <c r="CN446" s="2">
        <f>CK446/(1+('Batt IN'!$G$8))^(C446)</f>
        <v>0</v>
      </c>
      <c r="CO446" s="2" t="e">
        <f>IF(C446&lt;='Batt IN'!$O$30*12,CN446+CO445,NA())</f>
        <v>#N/A</v>
      </c>
      <c r="CQ446" s="2">
        <f>CK446/((1+('Batt IN'!$E$8/12))^BattCalcs!C446)</f>
        <v>0</v>
      </c>
      <c r="CS446" s="10">
        <f t="shared" si="113"/>
        <v>-3009.3750438157685</v>
      </c>
      <c r="CT446" s="10">
        <f t="shared" si="114"/>
        <v>0</v>
      </c>
      <c r="CU446" s="10">
        <f t="shared" si="115"/>
        <v>-3009.3750438157685</v>
      </c>
      <c r="CV446" s="10">
        <f t="shared" si="116"/>
        <v>-3009.3750438157685</v>
      </c>
      <c r="CW446" s="2">
        <f t="shared" si="117"/>
        <v>0</v>
      </c>
      <c r="CX446" s="2">
        <f>-(SUM(CV446:CW446)*'PV IN'!$E$8)</f>
        <v>631.9687592013114</v>
      </c>
      <c r="CY446" s="2">
        <f t="shared" si="118"/>
        <v>-2377.406284614457</v>
      </c>
      <c r="CZ446" s="2">
        <f>IF(C446&lt;='Batt IN'!$H$43*12,CY446/(1+('PV IN'!$G$9))^(C446),0)</f>
        <v>0</v>
      </c>
      <c r="DA446" s="33">
        <f>IF(C446&lt;='Batt IN'!$H$43*12,AE446,0)</f>
        <v>0</v>
      </c>
    </row>
    <row r="447" spans="1:105" x14ac:dyDescent="0.25">
      <c r="A447" t="str">
        <f>IF(C447&lt;='Batt IN'!$H$43*12,C447,"")</f>
        <v/>
      </c>
      <c r="C447">
        <v>443</v>
      </c>
      <c r="D447" s="21">
        <v>873</v>
      </c>
      <c r="E447" s="1">
        <f>1-'Batt IN'!$E$31</f>
        <v>2.0000000000000018E-2</v>
      </c>
      <c r="F447" s="12">
        <f>('Batt IN'!$E$33*365)/8760</f>
        <v>0</v>
      </c>
      <c r="G447" s="22">
        <f>'Batt IN'!$E$32/8760</f>
        <v>5.7077625570776253E-3</v>
      </c>
      <c r="H447" s="22">
        <f>'Batt IN'!$E$13/8760</f>
        <v>5.5936073059360729E-3</v>
      </c>
      <c r="I447" s="23">
        <f>IF(C447&lt;='Batt IN'!$G$14*12,'Batt IN'!$E$15/8760*'Batt IN'!$G$15,0)</f>
        <v>0</v>
      </c>
      <c r="J447" s="12">
        <f>Z447/'Batt IN'!$E$27/730</f>
        <v>2.4999999999999996E-3</v>
      </c>
      <c r="K447" s="23">
        <f>AA447/'Batt IN'!$E$27/730</f>
        <v>1.6027397260273972E-3</v>
      </c>
      <c r="L447" s="23">
        <f>AB447/'Batt IN'!$E$27/730</f>
        <v>2.0547945205479451E-4</v>
      </c>
      <c r="M447" s="23">
        <f>AC447/'Batt IN'!$E$27/730</f>
        <v>4.7945205479452057E-3</v>
      </c>
      <c r="N447" s="23">
        <f>AD447/'Batt IN'!$E$27/730</f>
        <v>3.4246575342465752E-3</v>
      </c>
      <c r="O447" s="12">
        <f t="shared" si="119"/>
        <v>4.3828767123287697E-2</v>
      </c>
      <c r="P447" s="21">
        <f t="shared" si="120"/>
        <v>834.73748630136993</v>
      </c>
      <c r="Q447" s="2">
        <f>IF('Batt IN'!$E$27*'Batt IN'!$E$24&lt;='Batt IN'!$E$28,(('Batt IN'!$E$23*'Batt IN'!$E$27*'Batt IN'!$E$24)/1000)*P447,(('Batt IN'!$E$23*'Batt IN'!$E$28*'Batt IN'!$E$24)/1000)*P447)</f>
        <v>13355.799780821919</v>
      </c>
      <c r="R447" s="2"/>
      <c r="S447" s="77">
        <f>IF(C447&lt;='Batt IN'!$G$14*12,'Batt IN'!$E$15/12,0)</f>
        <v>0</v>
      </c>
      <c r="T447" s="77"/>
      <c r="U447" s="80">
        <f>'Batt IN'!$E$28*('Batt IN'!$G$24/24)*730*(1-O447)</f>
        <v>81433.916666666657</v>
      </c>
      <c r="V447" s="78">
        <f>U447*'Batt IN'!$F$30</f>
        <v>16286.783333333333</v>
      </c>
      <c r="W447" s="78">
        <f>'Batt IN'!$E$28*'Batt IN'!$G$32*('Batt IN'!$E$32/12)*(1+'Batt IN'!$F$30)</f>
        <v>1750.0000000000002</v>
      </c>
      <c r="X447" s="78">
        <f>'Batt IN'!$E$28*'Batt IN'!$G$13*('Batt IN'!$E$13/12)*(1+'Batt IN'!$F$30)</f>
        <v>3184.9999999999995</v>
      </c>
      <c r="Y447" s="33">
        <f>S447*'Batt IN'!$G$15*'Batt IN'!$E$28*(1+'Batt IN'!$F$30)</f>
        <v>0</v>
      </c>
      <c r="Z447" s="33">
        <f>'Batt IN'!$G$16*365/12*(1+'Batt IN'!$F$30)</f>
        <v>1824.9999999999998</v>
      </c>
      <c r="AA447" s="33">
        <f>'Batt IN'!$G$17*'Batt IN'!$E$18*'Batt IN'!$G$18/12*(1+'Batt IN'!$F$30)</f>
        <v>1170</v>
      </c>
      <c r="AB447" s="33">
        <f>'Batt IN'!$G$19*'Batt IN'!$E$20*'Batt IN'!$G$20/12*(1+'Batt IN'!$F$30)</f>
        <v>150</v>
      </c>
      <c r="AC447" s="33">
        <f>'Batt IN'!$G$21*(1+'Batt IN'!$F$30)/12</f>
        <v>3500</v>
      </c>
      <c r="AD447" s="33">
        <f>'Batt IN'!$G$22*(1+'Batt IN'!$F$30)/12</f>
        <v>2500</v>
      </c>
      <c r="AE447" s="33">
        <f t="shared" si="121"/>
        <v>30366.783333333333</v>
      </c>
      <c r="AF447" s="33">
        <f>IF('PV IN'!$F$4="Battery Only",0,AE447*'Batt IN'!$E$29)</f>
        <v>25811.765833333331</v>
      </c>
      <c r="AG447" s="33">
        <f>PVCalcs!L447</f>
        <v>25811.765833333331</v>
      </c>
      <c r="AH447" s="33">
        <f t="shared" si="122"/>
        <v>4555.0175000000017</v>
      </c>
      <c r="AI447" s="33"/>
      <c r="AJ447" s="2">
        <f>IF(AND('Batt IN'!$D$53="Yes",$AL$1&gt;=1),IF($C447='Batt IN'!$H$54*12,-'Batt IN'!$F$54,0),0)</f>
        <v>0</v>
      </c>
      <c r="AK447" s="2">
        <f>IF(AND('Batt IN'!$D$53="Yes",$AL$1&gt;=2),IF($C447='Batt IN'!$H$55*12,-'Batt IN'!$F$55,0),0)</f>
        <v>0</v>
      </c>
      <c r="AL447" s="2">
        <f>IF(AND('Batt IN'!$D$53="Yes",$AL$1&gt;=3),IF($C447='Batt IN'!$H$56*12,-'Batt IN'!$F$56,0),0)</f>
        <v>0</v>
      </c>
      <c r="AM447" s="2">
        <f>IF(AND('Batt IN'!$D$53="Yes",$AL$1&gt;=4),IF($C447='Batt IN'!$H$57*12,-'Batt IN'!$F$57,0),0)</f>
        <v>0</v>
      </c>
      <c r="AN447" s="2">
        <f>IF(AND('Batt IN'!$D$53="Yes",$AL$1&gt;=5),IF($C447='Batt IN'!$H$58*12,-'Batt IN'!$F$58,0),0)</f>
        <v>0</v>
      </c>
      <c r="AO447" s="10">
        <f>IF(AND('Batt IN'!$D$44="YES",$C447&lt;='Batt IN'!$E$44*12),-'Batt IN'!$E$28*'Batt IN'!$E$42/12,0)</f>
        <v>0</v>
      </c>
      <c r="AP447" s="10">
        <f>IF(AND('Batt IN'!$D$46="YES",$C447&lt;='Batt IN'!$E$46*12),-'Batt IN'!$E$28*'Batt IN'!$E$45/12,0)</f>
        <v>0</v>
      </c>
      <c r="AR447" s="10">
        <f>BattLoan!M474</f>
        <v>0</v>
      </c>
      <c r="AS447" s="10">
        <f>'Batt IN'!$G$16*365/12*'Batt IN'!$E$16</f>
        <v>76.041666666666671</v>
      </c>
      <c r="AT447" s="10">
        <f>IF(AND('Batt IN'!$E$18&gt;0,'Batt IN'!$G$18&gt;0),'Batt IN'!$E$17*'Batt IN'!$G$17,0)</f>
        <v>119.44619999999999</v>
      </c>
      <c r="AU447" s="10">
        <f>IF(AND('Batt IN'!$E$20&gt;0,'Batt IN'!$G$20&gt;0),'Batt IN'!$E$19*'Batt IN'!$G$19,0)</f>
        <v>231</v>
      </c>
      <c r="AV447" s="10"/>
      <c r="AW447" s="10"/>
      <c r="AX447" s="10">
        <f>IF('Batt IN'!$E$11="Non-Taxable",Q447,0)</f>
        <v>13355.799780821919</v>
      </c>
      <c r="AY447" s="10">
        <f>IF('Batt IN'!$E$11="Non-Taxable",'Batt IN'!$E$28/1000*'Batt IN'!$G$13*('Batt IN'!$E$13/12)*'Batt IN'!$E$12,0)</f>
        <v>244.42220833333334</v>
      </c>
      <c r="AZ447" s="10">
        <f>IF('Batt IN'!$E$11="Non-Taxable",$S447*'Batt IN'!$G$15*'Batt IN'!$E$28*'Batt IN'!$E$14/1000,0)</f>
        <v>0</v>
      </c>
      <c r="BA447" s="10">
        <f>IF('Batt IN'!$E$11="Non-Taxable",'Batt IN'!$E$21*'Batt IN'!$G$21/12,0)</f>
        <v>437.5</v>
      </c>
      <c r="BB447" s="10">
        <f>IF('Batt IN'!$E$11="Non-Taxable",'Batt IN'!$E$22*'Batt IN'!$G$22/12,0)</f>
        <v>1145.8333333333335</v>
      </c>
      <c r="BC447" s="10">
        <f>IF('Batt IN'!$E$11="Taxable",Q447,0)</f>
        <v>0</v>
      </c>
      <c r="BD447" s="10">
        <f>IF('Batt IN'!$E$11="Taxable",'Batt IN'!$E$28/1000*'Batt IN'!$G$13*('Batt IN'!$E$13/12)*'Batt IN'!$E$12,0)</f>
        <v>0</v>
      </c>
      <c r="BE447" s="10">
        <f>IF('Batt IN'!$E$11="Taxable",$S447*'Batt IN'!$G$15*'Batt IN'!$E$28*'Batt IN'!$E$14/1000,0)</f>
        <v>0</v>
      </c>
      <c r="BF447" s="10">
        <f>IF('Batt IN'!$E$11="Taxable",'Batt IN'!$E$21*'Batt IN'!$G$21/12,0)</f>
        <v>0</v>
      </c>
      <c r="BG447" s="10">
        <f>IF('Batt IN'!$E$11="Taxable",'Batt IN'!$E$22*'Batt IN'!$G$22/12,0)</f>
        <v>0</v>
      </c>
      <c r="BK447" s="10">
        <f>IF('Batt IN'!$N$18="Yes",-BattLoan!H475,-BattLoan!L475)</f>
        <v>0</v>
      </c>
      <c r="BL447" s="10">
        <f>IF('Batt IN'!$N$18="Yes",-BattLoan!F475,0)</f>
        <v>0</v>
      </c>
      <c r="BM447" s="10">
        <f>IF(AND('Batt IN'!$D$44="YES",$C447&lt;='Batt IN'!$E$44*12),0,-'Batt IN'!$E$28*'Batt IN'!$E$42/12)</f>
        <v>-83.333333333333329</v>
      </c>
      <c r="BN447" s="10">
        <f>IF(AND('Batt IN'!$D$46="YES",$C447&lt;='Batt IN'!$E$46*12),0,-'Batt IN'!$E$28*'Batt IN'!$E$45/12)</f>
        <v>-166.66666666666666</v>
      </c>
      <c r="BO447" s="2">
        <f>IF(AND('Batt IN'!$D$41="YES",BattCalcs!C447=ROUNDUP('Batt IN'!$H$41*12,)),-'Batt IN'!$E$41*'Batt IN'!$E$28,0)</f>
        <v>0</v>
      </c>
      <c r="BP447" s="2">
        <f>IF(AND('Batt IN'!$D$53="Yes",$AL$1&gt;=1),0,IF($C447='Batt IN'!$H$54*12,-'Batt IN'!$F$54,0))</f>
        <v>0</v>
      </c>
      <c r="BQ447" s="2">
        <f>IF(AND('Batt IN'!$D$53="Yes",$AL$1&gt;=2),0,IF($C447='Batt IN'!$H$55*12,-'Batt IN'!$F$55,0))</f>
        <v>0</v>
      </c>
      <c r="BR447" s="2">
        <f>IF(AND('Batt IN'!$D$53="Yes",$AL$1&gt;=3),0,IF($C447='Batt IN'!$H$56*12,-'Batt IN'!$F$56,0))</f>
        <v>0</v>
      </c>
      <c r="BS447" s="2">
        <f>IF(AND('Batt IN'!$D$53="Yes",$AL$1&gt;=4),0,IF($C447='Batt IN'!$H$57*12,-'Batt IN'!$F$57,0))</f>
        <v>0</v>
      </c>
      <c r="BT447" s="2">
        <f>IF(AND('Batt IN'!$D$53="Yes",$AL$1&gt;=5),0,IF($C447='Batt IN'!$H$58*12,-'Batt IN'!$F$58,0))</f>
        <v>0</v>
      </c>
      <c r="BU447" s="2">
        <f>-AH447*PVCalcs!F447</f>
        <v>-359.37504381576838</v>
      </c>
      <c r="BV447" s="2">
        <f>-'Batt IN'!$E$47</f>
        <v>-150</v>
      </c>
      <c r="BW447" s="2">
        <f>-'Batt IN'!$E$49</f>
        <v>-2250</v>
      </c>
      <c r="BX447" s="2">
        <f>IF('Batt IN'!$H$50="No",-(BC447*'Batt IN'!$E$50),-(BC447+BE447)*'Batt IN'!$E$50)</f>
        <v>0</v>
      </c>
      <c r="BY447" s="2">
        <f>IF(C447='Batt IN'!$H$43*12,-'Batt IN'!$E$43,0)</f>
        <v>0</v>
      </c>
      <c r="BZ447" s="38"/>
      <c r="CA447" s="10">
        <f t="shared" si="123"/>
        <v>15610.043189155253</v>
      </c>
      <c r="CB447" s="2">
        <f t="shared" si="111"/>
        <v>-3009.3750438157685</v>
      </c>
      <c r="CC447" s="45">
        <f t="shared" si="124"/>
        <v>12600.668145339485</v>
      </c>
      <c r="CD447" s="43"/>
      <c r="CE447" s="2">
        <f t="shared" si="125"/>
        <v>0</v>
      </c>
      <c r="CF447" s="2">
        <f t="shared" si="112"/>
        <v>-3009.3750438157685</v>
      </c>
      <c r="CG447" s="2"/>
      <c r="CH447" s="2">
        <f t="shared" si="126"/>
        <v>-3009.3750438157685</v>
      </c>
      <c r="CI447" s="45">
        <f>-CH447*'Batt IN'!$E$7</f>
        <v>631.9687592013114</v>
      </c>
      <c r="CJ447" s="48"/>
      <c r="CK447" s="45">
        <f>IF('Batt IN'!$F$4="PV Only",0,IF(C447&gt;'Batt IN'!$H$43*12,0,CC447+CI447))</f>
        <v>0</v>
      </c>
      <c r="CM447" s="10">
        <f t="shared" si="127"/>
        <v>0</v>
      </c>
      <c r="CN447" s="2">
        <f>CK447/(1+('Batt IN'!$G$8))^(C447)</f>
        <v>0</v>
      </c>
      <c r="CO447" s="2" t="e">
        <f>IF(C447&lt;='Batt IN'!$O$30*12,CN447+CO446,NA())</f>
        <v>#N/A</v>
      </c>
      <c r="CQ447" s="2">
        <f>CK447/((1+('Batt IN'!$E$8/12))^BattCalcs!C447)</f>
        <v>0</v>
      </c>
      <c r="CS447" s="10">
        <f t="shared" si="113"/>
        <v>-3009.3750438157685</v>
      </c>
      <c r="CT447" s="10">
        <f t="shared" si="114"/>
        <v>0</v>
      </c>
      <c r="CU447" s="10">
        <f t="shared" si="115"/>
        <v>-3009.3750438157685</v>
      </c>
      <c r="CV447" s="10">
        <f t="shared" si="116"/>
        <v>-3009.3750438157685</v>
      </c>
      <c r="CW447" s="2">
        <f t="shared" si="117"/>
        <v>0</v>
      </c>
      <c r="CX447" s="2">
        <f>-(SUM(CV447:CW447)*'PV IN'!$E$8)</f>
        <v>631.9687592013114</v>
      </c>
      <c r="CY447" s="2">
        <f t="shared" si="118"/>
        <v>-2377.406284614457</v>
      </c>
      <c r="CZ447" s="2">
        <f>IF(C447&lt;='Batt IN'!$H$43*12,CY447/(1+('PV IN'!$G$9))^(C447),0)</f>
        <v>0</v>
      </c>
      <c r="DA447" s="33">
        <f>IF(C447&lt;='Batt IN'!$H$43*12,AE447,0)</f>
        <v>0</v>
      </c>
    </row>
    <row r="448" spans="1:105" x14ac:dyDescent="0.25">
      <c r="A448" t="str">
        <f>IF(C448&lt;='Batt IN'!$H$43*12,C448,"")</f>
        <v/>
      </c>
      <c r="B448">
        <v>37</v>
      </c>
      <c r="C448">
        <v>444</v>
      </c>
      <c r="D448" s="21">
        <v>874</v>
      </c>
      <c r="E448" s="1">
        <f>1-'Batt IN'!$E$31</f>
        <v>2.0000000000000018E-2</v>
      </c>
      <c r="F448" s="12">
        <f>('Batt IN'!$E$33*365)/8760</f>
        <v>0</v>
      </c>
      <c r="G448" s="22">
        <f>'Batt IN'!$E$32/8760</f>
        <v>5.7077625570776253E-3</v>
      </c>
      <c r="H448" s="22">
        <f>'Batt IN'!$E$13/8760</f>
        <v>5.5936073059360729E-3</v>
      </c>
      <c r="I448" s="23">
        <f>IF(C448&lt;='Batt IN'!$G$14*12,'Batt IN'!$E$15/8760*'Batt IN'!$G$15,0)</f>
        <v>0</v>
      </c>
      <c r="J448" s="12">
        <f>Z448/'Batt IN'!$E$27/730</f>
        <v>2.4999999999999996E-3</v>
      </c>
      <c r="K448" s="23">
        <f>AA448/'Batt IN'!$E$27/730</f>
        <v>1.6027397260273972E-3</v>
      </c>
      <c r="L448" s="23">
        <f>AB448/'Batt IN'!$E$27/730</f>
        <v>2.0547945205479451E-4</v>
      </c>
      <c r="M448" s="23">
        <f>AC448/'Batt IN'!$E$27/730</f>
        <v>4.7945205479452057E-3</v>
      </c>
      <c r="N448" s="23">
        <f>AD448/'Batt IN'!$E$27/730</f>
        <v>3.4246575342465752E-3</v>
      </c>
      <c r="O448" s="12">
        <f t="shared" si="119"/>
        <v>4.3828767123287697E-2</v>
      </c>
      <c r="P448" s="21">
        <f t="shared" si="120"/>
        <v>835.69365753424654</v>
      </c>
      <c r="Q448" s="2">
        <f>IF('Batt IN'!$E$27*'Batt IN'!$E$24&lt;='Batt IN'!$E$28,(('Batt IN'!$E$23*'Batt IN'!$E$27*'Batt IN'!$E$24)/1000)*P448,(('Batt IN'!$E$23*'Batt IN'!$E$28*'Batt IN'!$E$24)/1000)*P448)</f>
        <v>13371.098520547945</v>
      </c>
      <c r="R448" s="2"/>
      <c r="S448" s="77">
        <f>IF(C448&lt;='Batt IN'!$G$14*12,'Batt IN'!$E$15/12,0)</f>
        <v>0</v>
      </c>
      <c r="T448" s="77"/>
      <c r="U448" s="80">
        <f>'Batt IN'!$E$28*('Batt IN'!$G$24/24)*730*(1-O448)</f>
        <v>81433.916666666657</v>
      </c>
      <c r="V448" s="78">
        <f>U448*'Batt IN'!$F$30</f>
        <v>16286.783333333333</v>
      </c>
      <c r="W448" s="78">
        <f>'Batt IN'!$E$28*'Batt IN'!$G$32*('Batt IN'!$E$32/12)*(1+'Batt IN'!$F$30)</f>
        <v>1750.0000000000002</v>
      </c>
      <c r="X448" s="78">
        <f>'Batt IN'!$E$28*'Batt IN'!$G$13*('Batt IN'!$E$13/12)*(1+'Batt IN'!$F$30)</f>
        <v>3184.9999999999995</v>
      </c>
      <c r="Y448" s="33">
        <f>S448*'Batt IN'!$G$15*'Batt IN'!$E$28*(1+'Batt IN'!$F$30)</f>
        <v>0</v>
      </c>
      <c r="Z448" s="33">
        <f>'Batt IN'!$G$16*365/12*(1+'Batt IN'!$F$30)</f>
        <v>1824.9999999999998</v>
      </c>
      <c r="AA448" s="33">
        <f>'Batt IN'!$G$17*'Batt IN'!$E$18*'Batt IN'!$G$18/12*(1+'Batt IN'!$F$30)</f>
        <v>1170</v>
      </c>
      <c r="AB448" s="33">
        <f>'Batt IN'!$G$19*'Batt IN'!$E$20*'Batt IN'!$G$20/12*(1+'Batt IN'!$F$30)</f>
        <v>150</v>
      </c>
      <c r="AC448" s="33">
        <f>'Batt IN'!$G$21*(1+'Batt IN'!$F$30)/12</f>
        <v>3500</v>
      </c>
      <c r="AD448" s="33">
        <f>'Batt IN'!$G$22*(1+'Batt IN'!$F$30)/12</f>
        <v>2500</v>
      </c>
      <c r="AE448" s="33">
        <f t="shared" si="121"/>
        <v>30366.783333333333</v>
      </c>
      <c r="AF448" s="33">
        <f>IF('PV IN'!$F$4="Battery Only",0,AE448*'Batt IN'!$E$29)</f>
        <v>25811.765833333331</v>
      </c>
      <c r="AG448" s="33">
        <f>PVCalcs!L448</f>
        <v>25811.765833333331</v>
      </c>
      <c r="AH448" s="33">
        <f t="shared" si="122"/>
        <v>4555.0175000000017</v>
      </c>
      <c r="AI448" s="33"/>
      <c r="AJ448" s="2">
        <f>IF(AND('Batt IN'!$D$53="Yes",$AL$1&gt;=1),IF($C448='Batt IN'!$H$54*12,-'Batt IN'!$F$54,0),0)</f>
        <v>0</v>
      </c>
      <c r="AK448" s="2">
        <f>IF(AND('Batt IN'!$D$53="Yes",$AL$1&gt;=2),IF($C448='Batt IN'!$H$55*12,-'Batt IN'!$F$55,0),0)</f>
        <v>0</v>
      </c>
      <c r="AL448" s="2">
        <f>IF(AND('Batt IN'!$D$53="Yes",$AL$1&gt;=3),IF($C448='Batt IN'!$H$56*12,-'Batt IN'!$F$56,0),0)</f>
        <v>0</v>
      </c>
      <c r="AM448" s="2">
        <f>IF(AND('Batt IN'!$D$53="Yes",$AL$1&gt;=4),IF($C448='Batt IN'!$H$57*12,-'Batt IN'!$F$57,0),0)</f>
        <v>0</v>
      </c>
      <c r="AN448" s="2">
        <f>IF(AND('Batt IN'!$D$53="Yes",$AL$1&gt;=5),IF($C448='Batt IN'!$H$58*12,-'Batt IN'!$F$58,0),0)</f>
        <v>0</v>
      </c>
      <c r="AO448" s="10">
        <f>IF(AND('Batt IN'!$D$44="YES",$C448&lt;='Batt IN'!$E$44*12),-'Batt IN'!$E$28*'Batt IN'!$E$42/12,0)</f>
        <v>0</v>
      </c>
      <c r="AP448" s="10">
        <f>IF(AND('Batt IN'!$D$46="YES",$C448&lt;='Batt IN'!$E$46*12),-'Batt IN'!$E$28*'Batt IN'!$E$45/12,0)</f>
        <v>0</v>
      </c>
      <c r="AR448" s="10">
        <f>BattLoan!M475</f>
        <v>0</v>
      </c>
      <c r="AS448" s="10">
        <f>'Batt IN'!$G$16*365/12*'Batt IN'!$E$16</f>
        <v>76.041666666666671</v>
      </c>
      <c r="AT448" s="10">
        <f>IF(AND('Batt IN'!$E$18&gt;0,'Batt IN'!$G$18&gt;0),'Batt IN'!$E$17*'Batt IN'!$G$17,0)</f>
        <v>119.44619999999999</v>
      </c>
      <c r="AU448" s="10">
        <f>IF(AND('Batt IN'!$E$20&gt;0,'Batt IN'!$G$20&gt;0),'Batt IN'!$E$19*'Batt IN'!$G$19,0)</f>
        <v>231</v>
      </c>
      <c r="AV448" s="10"/>
      <c r="AW448" s="10"/>
      <c r="AX448" s="10">
        <f>IF('Batt IN'!$E$11="Non-Taxable",Q448,0)</f>
        <v>13371.098520547945</v>
      </c>
      <c r="AY448" s="10">
        <f>IF('Batt IN'!$E$11="Non-Taxable",'Batt IN'!$E$28/1000*'Batt IN'!$G$13*('Batt IN'!$E$13/12)*'Batt IN'!$E$12,0)</f>
        <v>244.42220833333334</v>
      </c>
      <c r="AZ448" s="10">
        <f>IF('Batt IN'!$E$11="Non-Taxable",$S448*'Batt IN'!$G$15*'Batt IN'!$E$28*'Batt IN'!$E$14/1000,0)</f>
        <v>0</v>
      </c>
      <c r="BA448" s="10">
        <f>IF('Batt IN'!$E$11="Non-Taxable",'Batt IN'!$E$21*'Batt IN'!$G$21/12,0)</f>
        <v>437.5</v>
      </c>
      <c r="BB448" s="10">
        <f>IF('Batt IN'!$E$11="Non-Taxable",'Batt IN'!$E$22*'Batt IN'!$G$22/12,0)</f>
        <v>1145.8333333333335</v>
      </c>
      <c r="BC448" s="10">
        <f>IF('Batt IN'!$E$11="Taxable",Q448,0)</f>
        <v>0</v>
      </c>
      <c r="BD448" s="10">
        <f>IF('Batt IN'!$E$11="Taxable",'Batt IN'!$E$28/1000*'Batt IN'!$G$13*('Batt IN'!$E$13/12)*'Batt IN'!$E$12,0)</f>
        <v>0</v>
      </c>
      <c r="BE448" s="10">
        <f>IF('Batt IN'!$E$11="Taxable",$S448*'Batt IN'!$G$15*'Batt IN'!$E$28*'Batt IN'!$E$14/1000,0)</f>
        <v>0</v>
      </c>
      <c r="BF448" s="10">
        <f>IF('Batt IN'!$E$11="Taxable",'Batt IN'!$E$21*'Batt IN'!$G$21/12,0)</f>
        <v>0</v>
      </c>
      <c r="BG448" s="10">
        <f>IF('Batt IN'!$E$11="Taxable",'Batt IN'!$E$22*'Batt IN'!$G$22/12,0)</f>
        <v>0</v>
      </c>
      <c r="BK448" s="10">
        <f>IF('Batt IN'!$N$18="Yes",-BattLoan!H476,-BattLoan!L476)</f>
        <v>0</v>
      </c>
      <c r="BL448" s="10">
        <f>IF('Batt IN'!$N$18="Yes",-BattLoan!F476,0)</f>
        <v>0</v>
      </c>
      <c r="BM448" s="10">
        <f>IF(AND('Batt IN'!$D$44="YES",$C448&lt;='Batt IN'!$E$44*12),0,-'Batt IN'!$E$28*'Batt IN'!$E$42/12)</f>
        <v>-83.333333333333329</v>
      </c>
      <c r="BN448" s="10">
        <f>IF(AND('Batt IN'!$D$46="YES",$C448&lt;='Batt IN'!$E$46*12),0,-'Batt IN'!$E$28*'Batt IN'!$E$45/12)</f>
        <v>-166.66666666666666</v>
      </c>
      <c r="BO448" s="2">
        <f>IF(AND('Batt IN'!$D$41="YES",BattCalcs!C448=ROUNDUP('Batt IN'!$H$41*12,)),-'Batt IN'!$E$41*'Batt IN'!$E$28,0)</f>
        <v>0</v>
      </c>
      <c r="BP448" s="2">
        <f>IF(AND('Batt IN'!$D$53="Yes",$AL$1&gt;=1),0,IF($C448='Batt IN'!$H$54*12,-'Batt IN'!$F$54,0))</f>
        <v>0</v>
      </c>
      <c r="BQ448" s="2">
        <f>IF(AND('Batt IN'!$D$53="Yes",$AL$1&gt;=2),0,IF($C448='Batt IN'!$H$55*12,-'Batt IN'!$F$55,0))</f>
        <v>0</v>
      </c>
      <c r="BR448" s="2">
        <f>IF(AND('Batt IN'!$D$53="Yes",$AL$1&gt;=3),0,IF($C448='Batt IN'!$H$56*12,-'Batt IN'!$F$56,0))</f>
        <v>0</v>
      </c>
      <c r="BS448" s="2">
        <f>IF(AND('Batt IN'!$D$53="Yes",$AL$1&gt;=4),0,IF($C448='Batt IN'!$H$57*12,-'Batt IN'!$F$57,0))</f>
        <v>0</v>
      </c>
      <c r="BT448" s="2">
        <f>IF(AND('Batt IN'!$D$53="Yes",$AL$1&gt;=5),0,IF($C448='Batt IN'!$H$58*12,-'Batt IN'!$F$58,0))</f>
        <v>0</v>
      </c>
      <c r="BU448" s="2">
        <f>-AH448*PVCalcs!F448</f>
        <v>-359.37504381576838</v>
      </c>
      <c r="BV448" s="2">
        <f>-'Batt IN'!$E$47</f>
        <v>-150</v>
      </c>
      <c r="BW448" s="2">
        <f>-'Batt IN'!$E$49</f>
        <v>-2250</v>
      </c>
      <c r="BX448" s="2">
        <f>IF('Batt IN'!$H$50="No",-(BC448*'Batt IN'!$E$50),-(BC448+BE448)*'Batt IN'!$E$50)</f>
        <v>0</v>
      </c>
      <c r="BY448" s="2">
        <f>IF(C448='Batt IN'!$H$43*12,-'Batt IN'!$E$43,0)</f>
        <v>0</v>
      </c>
      <c r="BZ448" s="38"/>
      <c r="CA448" s="10">
        <f t="shared" si="123"/>
        <v>15625.341928881278</v>
      </c>
      <c r="CB448" s="2">
        <f t="shared" si="111"/>
        <v>-3009.3750438157685</v>
      </c>
      <c r="CC448" s="45">
        <f t="shared" si="124"/>
        <v>12615.966885065511</v>
      </c>
      <c r="CD448" s="43"/>
      <c r="CE448" s="2">
        <f t="shared" si="125"/>
        <v>0</v>
      </c>
      <c r="CF448" s="2">
        <f t="shared" si="112"/>
        <v>-3009.3750438157685</v>
      </c>
      <c r="CG448" s="2"/>
      <c r="CH448" s="2">
        <f t="shared" si="126"/>
        <v>-3009.3750438157685</v>
      </c>
      <c r="CI448" s="45">
        <f>-CH448*'Batt IN'!$E$7</f>
        <v>631.9687592013114</v>
      </c>
      <c r="CJ448" s="48"/>
      <c r="CK448" s="45">
        <f>IF('Batt IN'!$F$4="PV Only",0,IF(C448&gt;'Batt IN'!$H$43*12,0,CC448+CI448))</f>
        <v>0</v>
      </c>
      <c r="CM448" s="10">
        <f t="shared" si="127"/>
        <v>0</v>
      </c>
      <c r="CN448" s="2">
        <f>CK448/(1+('Batt IN'!$G$8))^(C448)</f>
        <v>0</v>
      </c>
      <c r="CO448" s="2" t="e">
        <f>IF(C448&lt;='Batt IN'!$O$30*12,CN448+CO447,NA())</f>
        <v>#N/A</v>
      </c>
      <c r="CQ448" s="2">
        <f>CK448/((1+('Batt IN'!$E$8/12))^BattCalcs!C448)</f>
        <v>0</v>
      </c>
      <c r="CS448" s="10">
        <f t="shared" si="113"/>
        <v>-3009.3750438157685</v>
      </c>
      <c r="CT448" s="10">
        <f t="shared" si="114"/>
        <v>0</v>
      </c>
      <c r="CU448" s="10">
        <f t="shared" si="115"/>
        <v>-3009.3750438157685</v>
      </c>
      <c r="CV448" s="10">
        <f t="shared" si="116"/>
        <v>-3009.3750438157685</v>
      </c>
      <c r="CW448" s="2">
        <f t="shared" si="117"/>
        <v>0</v>
      </c>
      <c r="CX448" s="2">
        <f>-(SUM(CV448:CW448)*'PV IN'!$E$8)</f>
        <v>631.9687592013114</v>
      </c>
      <c r="CY448" s="2">
        <f t="shared" si="118"/>
        <v>-2377.406284614457</v>
      </c>
      <c r="CZ448" s="2">
        <f>IF(C448&lt;='Batt IN'!$H$43*12,CY448/(1+('PV IN'!$G$9))^(C448),0)</f>
        <v>0</v>
      </c>
      <c r="DA448" s="33">
        <f>IF(C448&lt;='Batt IN'!$H$43*12,AE448,0)</f>
        <v>0</v>
      </c>
    </row>
    <row r="449" spans="1:105" x14ac:dyDescent="0.25">
      <c r="A449" t="str">
        <f>IF(C449&lt;='Batt IN'!$H$43*12,C449,"")</f>
        <v/>
      </c>
      <c r="C449">
        <v>445</v>
      </c>
      <c r="D449" s="21">
        <v>875</v>
      </c>
      <c r="E449" s="1">
        <f>1-'Batt IN'!$E$31</f>
        <v>2.0000000000000018E-2</v>
      </c>
      <c r="F449" s="12">
        <f>('Batt IN'!$E$33*365)/8760</f>
        <v>0</v>
      </c>
      <c r="G449" s="22">
        <f>'Batt IN'!$E$32/8760</f>
        <v>5.7077625570776253E-3</v>
      </c>
      <c r="H449" s="22">
        <f>'Batt IN'!$E$13/8760</f>
        <v>5.5936073059360729E-3</v>
      </c>
      <c r="I449" s="23">
        <f>IF(C449&lt;='Batt IN'!$G$14*12,'Batt IN'!$E$15/8760*'Batt IN'!$G$15,0)</f>
        <v>0</v>
      </c>
      <c r="J449" s="12">
        <f>Z449/'Batt IN'!$E$27/730</f>
        <v>2.4999999999999996E-3</v>
      </c>
      <c r="K449" s="23">
        <f>AA449/'Batt IN'!$E$27/730</f>
        <v>1.6027397260273972E-3</v>
      </c>
      <c r="L449" s="23">
        <f>AB449/'Batt IN'!$E$27/730</f>
        <v>2.0547945205479451E-4</v>
      </c>
      <c r="M449" s="23">
        <f>AC449/'Batt IN'!$E$27/730</f>
        <v>4.7945205479452057E-3</v>
      </c>
      <c r="N449" s="23">
        <f>AD449/'Batt IN'!$E$27/730</f>
        <v>3.4246575342465752E-3</v>
      </c>
      <c r="O449" s="12">
        <f t="shared" si="119"/>
        <v>4.3828767123287697E-2</v>
      </c>
      <c r="P449" s="21">
        <f t="shared" si="120"/>
        <v>836.64982876712327</v>
      </c>
      <c r="Q449" s="2">
        <f>IF('Batt IN'!$E$27*'Batt IN'!$E$24&lt;='Batt IN'!$E$28,(('Batt IN'!$E$23*'Batt IN'!$E$27*'Batt IN'!$E$24)/1000)*P449,(('Batt IN'!$E$23*'Batt IN'!$E$28*'Batt IN'!$E$24)/1000)*P449)</f>
        <v>13386.397260273972</v>
      </c>
      <c r="R449" s="2"/>
      <c r="S449" s="77">
        <f>IF(C449&lt;='Batt IN'!$G$14*12,'Batt IN'!$E$15/12,0)</f>
        <v>0</v>
      </c>
      <c r="T449" s="77"/>
      <c r="U449" s="80">
        <f>'Batt IN'!$E$28*('Batt IN'!$G$24/24)*730*(1-O449)</f>
        <v>81433.916666666657</v>
      </c>
      <c r="V449" s="78">
        <f>U449*'Batt IN'!$F$30</f>
        <v>16286.783333333333</v>
      </c>
      <c r="W449" s="78">
        <f>'Batt IN'!$E$28*'Batt IN'!$G$32*('Batt IN'!$E$32/12)*(1+'Batt IN'!$F$30)</f>
        <v>1750.0000000000002</v>
      </c>
      <c r="X449" s="78">
        <f>'Batt IN'!$E$28*'Batt IN'!$G$13*('Batt IN'!$E$13/12)*(1+'Batt IN'!$F$30)</f>
        <v>3184.9999999999995</v>
      </c>
      <c r="Y449" s="33">
        <f>S449*'Batt IN'!$G$15*'Batt IN'!$E$28*(1+'Batt IN'!$F$30)</f>
        <v>0</v>
      </c>
      <c r="Z449" s="33">
        <f>'Batt IN'!$G$16*365/12*(1+'Batt IN'!$F$30)</f>
        <v>1824.9999999999998</v>
      </c>
      <c r="AA449" s="33">
        <f>'Batt IN'!$G$17*'Batt IN'!$E$18*'Batt IN'!$G$18/12*(1+'Batt IN'!$F$30)</f>
        <v>1170</v>
      </c>
      <c r="AB449" s="33">
        <f>'Batt IN'!$G$19*'Batt IN'!$E$20*'Batt IN'!$G$20/12*(1+'Batt IN'!$F$30)</f>
        <v>150</v>
      </c>
      <c r="AC449" s="33">
        <f>'Batt IN'!$G$21*(1+'Batt IN'!$F$30)/12</f>
        <v>3500</v>
      </c>
      <c r="AD449" s="33">
        <f>'Batt IN'!$G$22*(1+'Batt IN'!$F$30)/12</f>
        <v>2500</v>
      </c>
      <c r="AE449" s="33">
        <f t="shared" si="121"/>
        <v>30366.783333333333</v>
      </c>
      <c r="AF449" s="33">
        <f>IF('PV IN'!$F$4="Battery Only",0,AE449*'Batt IN'!$E$29)</f>
        <v>25811.765833333331</v>
      </c>
      <c r="AG449" s="33">
        <f>PVCalcs!L449</f>
        <v>25811.765833333331</v>
      </c>
      <c r="AH449" s="33">
        <f t="shared" si="122"/>
        <v>4555.0175000000017</v>
      </c>
      <c r="AI449" s="33"/>
      <c r="AJ449" s="2">
        <f>IF(AND('Batt IN'!$D$53="Yes",$AL$1&gt;=1),IF($C449='Batt IN'!$H$54*12,-'Batt IN'!$F$54,0),0)</f>
        <v>0</v>
      </c>
      <c r="AK449" s="2">
        <f>IF(AND('Batt IN'!$D$53="Yes",$AL$1&gt;=2),IF($C449='Batt IN'!$H$55*12,-'Batt IN'!$F$55,0),0)</f>
        <v>0</v>
      </c>
      <c r="AL449" s="2">
        <f>IF(AND('Batt IN'!$D$53="Yes",$AL$1&gt;=3),IF($C449='Batt IN'!$H$56*12,-'Batt IN'!$F$56,0),0)</f>
        <v>0</v>
      </c>
      <c r="AM449" s="2">
        <f>IF(AND('Batt IN'!$D$53="Yes",$AL$1&gt;=4),IF($C449='Batt IN'!$H$57*12,-'Batt IN'!$F$57,0),0)</f>
        <v>0</v>
      </c>
      <c r="AN449" s="2">
        <f>IF(AND('Batt IN'!$D$53="Yes",$AL$1&gt;=5),IF($C449='Batt IN'!$H$58*12,-'Batt IN'!$F$58,0),0)</f>
        <v>0</v>
      </c>
      <c r="AO449" s="10">
        <f>IF(AND('Batt IN'!$D$44="YES",$C449&lt;='Batt IN'!$E$44*12),-'Batt IN'!$E$28*'Batt IN'!$E$42/12,0)</f>
        <v>0</v>
      </c>
      <c r="AP449" s="10">
        <f>IF(AND('Batt IN'!$D$46="YES",$C449&lt;='Batt IN'!$E$46*12),-'Batt IN'!$E$28*'Batt IN'!$E$45/12,0)</f>
        <v>0</v>
      </c>
      <c r="AR449" s="10">
        <f>BattLoan!M476</f>
        <v>0</v>
      </c>
      <c r="AS449" s="10">
        <f>'Batt IN'!$G$16*365/12*'Batt IN'!$E$16</f>
        <v>76.041666666666671</v>
      </c>
      <c r="AT449" s="10">
        <f>IF(AND('Batt IN'!$E$18&gt;0,'Batt IN'!$G$18&gt;0),'Batt IN'!$E$17*'Batt IN'!$G$17,0)</f>
        <v>119.44619999999999</v>
      </c>
      <c r="AU449" s="10">
        <f>IF(AND('Batt IN'!$E$20&gt;0,'Batt IN'!$G$20&gt;0),'Batt IN'!$E$19*'Batt IN'!$G$19,0)</f>
        <v>231</v>
      </c>
      <c r="AV449" s="10"/>
      <c r="AW449" s="10"/>
      <c r="AX449" s="10">
        <f>IF('Batt IN'!$E$11="Non-Taxable",Q449,0)</f>
        <v>13386.397260273972</v>
      </c>
      <c r="AY449" s="10">
        <f>IF('Batt IN'!$E$11="Non-Taxable",'Batt IN'!$E$28/1000*'Batt IN'!$G$13*('Batt IN'!$E$13/12)*'Batt IN'!$E$12,0)</f>
        <v>244.42220833333334</v>
      </c>
      <c r="AZ449" s="10">
        <f>IF('Batt IN'!$E$11="Non-Taxable",$S449*'Batt IN'!$G$15*'Batt IN'!$E$28*'Batt IN'!$E$14/1000,0)</f>
        <v>0</v>
      </c>
      <c r="BA449" s="10">
        <f>IF('Batt IN'!$E$11="Non-Taxable",'Batt IN'!$E$21*'Batt IN'!$G$21/12,0)</f>
        <v>437.5</v>
      </c>
      <c r="BB449" s="10">
        <f>IF('Batt IN'!$E$11="Non-Taxable",'Batt IN'!$E$22*'Batt IN'!$G$22/12,0)</f>
        <v>1145.8333333333335</v>
      </c>
      <c r="BC449" s="10">
        <f>IF('Batt IN'!$E$11="Taxable",Q449,0)</f>
        <v>0</v>
      </c>
      <c r="BD449" s="10">
        <f>IF('Batt IN'!$E$11="Taxable",'Batt IN'!$E$28/1000*'Batt IN'!$G$13*('Batt IN'!$E$13/12)*'Batt IN'!$E$12,0)</f>
        <v>0</v>
      </c>
      <c r="BE449" s="10">
        <f>IF('Batt IN'!$E$11="Taxable",$S449*'Batt IN'!$G$15*'Batt IN'!$E$28*'Batt IN'!$E$14/1000,0)</f>
        <v>0</v>
      </c>
      <c r="BF449" s="10">
        <f>IF('Batt IN'!$E$11="Taxable",'Batt IN'!$E$21*'Batt IN'!$G$21/12,0)</f>
        <v>0</v>
      </c>
      <c r="BG449" s="10">
        <f>IF('Batt IN'!$E$11="Taxable",'Batt IN'!$E$22*'Batt IN'!$G$22/12,0)</f>
        <v>0</v>
      </c>
      <c r="BK449" s="10">
        <f>IF('Batt IN'!$N$18="Yes",-BattLoan!H477,-BattLoan!L477)</f>
        <v>0</v>
      </c>
      <c r="BL449" s="10">
        <f>IF('Batt IN'!$N$18="Yes",-BattLoan!F477,0)</f>
        <v>0</v>
      </c>
      <c r="BM449" s="10">
        <f>IF(AND('Batt IN'!$D$44="YES",$C449&lt;='Batt IN'!$E$44*12),0,-'Batt IN'!$E$28*'Batt IN'!$E$42/12)</f>
        <v>-83.333333333333329</v>
      </c>
      <c r="BN449" s="10">
        <f>IF(AND('Batt IN'!$D$46="YES",$C449&lt;='Batt IN'!$E$46*12),0,-'Batt IN'!$E$28*'Batt IN'!$E$45/12)</f>
        <v>-166.66666666666666</v>
      </c>
      <c r="BO449" s="2">
        <f>IF(AND('Batt IN'!$D$41="YES",BattCalcs!C449=ROUNDUP('Batt IN'!$H$41*12,)),-'Batt IN'!$E$41*'Batt IN'!$E$28,0)</f>
        <v>0</v>
      </c>
      <c r="BP449" s="2">
        <f>IF(AND('Batt IN'!$D$53="Yes",$AL$1&gt;=1),0,IF($C449='Batt IN'!$H$54*12,-'Batt IN'!$F$54,0))</f>
        <v>0</v>
      </c>
      <c r="BQ449" s="2">
        <f>IF(AND('Batt IN'!$D$53="Yes",$AL$1&gt;=2),0,IF($C449='Batt IN'!$H$55*12,-'Batt IN'!$F$55,0))</f>
        <v>0</v>
      </c>
      <c r="BR449" s="2">
        <f>IF(AND('Batt IN'!$D$53="Yes",$AL$1&gt;=3),0,IF($C449='Batt IN'!$H$56*12,-'Batt IN'!$F$56,0))</f>
        <v>0</v>
      </c>
      <c r="BS449" s="2">
        <f>IF(AND('Batt IN'!$D$53="Yes",$AL$1&gt;=4),0,IF($C449='Batt IN'!$H$57*12,-'Batt IN'!$F$57,0))</f>
        <v>0</v>
      </c>
      <c r="BT449" s="2">
        <f>IF(AND('Batt IN'!$D$53="Yes",$AL$1&gt;=5),0,IF($C449='Batt IN'!$H$58*12,-'Batt IN'!$F$58,0))</f>
        <v>0</v>
      </c>
      <c r="BU449" s="2">
        <f>-AH449*PVCalcs!F449</f>
        <v>-359.37504381576838</v>
      </c>
      <c r="BV449" s="2">
        <f>-'Batt IN'!$E$47</f>
        <v>-150</v>
      </c>
      <c r="BW449" s="2">
        <f>-'Batt IN'!$E$49</f>
        <v>-2250</v>
      </c>
      <c r="BX449" s="2">
        <f>IF('Batt IN'!$H$50="No",-(BC449*'Batt IN'!$E$50),-(BC449+BE449)*'Batt IN'!$E$50)</f>
        <v>0</v>
      </c>
      <c r="BY449" s="2">
        <f>IF(C449='Batt IN'!$H$43*12,-'Batt IN'!$E$43,0)</f>
        <v>0</v>
      </c>
      <c r="BZ449" s="38"/>
      <c r="CA449" s="10">
        <f t="shared" si="123"/>
        <v>15640.640668607306</v>
      </c>
      <c r="CB449" s="2">
        <f t="shared" si="111"/>
        <v>-3009.3750438157685</v>
      </c>
      <c r="CC449" s="45">
        <f t="shared" si="124"/>
        <v>12631.265624791537</v>
      </c>
      <c r="CD449" s="43"/>
      <c r="CE449" s="2">
        <f t="shared" si="125"/>
        <v>0</v>
      </c>
      <c r="CF449" s="2">
        <f t="shared" si="112"/>
        <v>-3009.3750438157685</v>
      </c>
      <c r="CG449" s="2"/>
      <c r="CH449" s="2">
        <f t="shared" si="126"/>
        <v>-3009.3750438157685</v>
      </c>
      <c r="CI449" s="45">
        <f>-CH449*'Batt IN'!$E$7</f>
        <v>631.9687592013114</v>
      </c>
      <c r="CJ449" s="48"/>
      <c r="CK449" s="45">
        <f>IF('Batt IN'!$F$4="PV Only",0,IF(C449&gt;'Batt IN'!$H$43*12,0,CC449+CI449))</f>
        <v>0</v>
      </c>
      <c r="CM449" s="10">
        <f t="shared" si="127"/>
        <v>0</v>
      </c>
      <c r="CN449" s="2">
        <f>CK449/(1+('Batt IN'!$G$8))^(C449)</f>
        <v>0</v>
      </c>
      <c r="CO449" s="2" t="e">
        <f>IF(C449&lt;='Batt IN'!$O$30*12,CN449+CO448,NA())</f>
        <v>#N/A</v>
      </c>
      <c r="CQ449" s="2">
        <f>CK449/((1+('Batt IN'!$E$8/12))^BattCalcs!C449)</f>
        <v>0</v>
      </c>
      <c r="CS449" s="10">
        <f t="shared" si="113"/>
        <v>-3009.3750438157685</v>
      </c>
      <c r="CT449" s="10">
        <f t="shared" si="114"/>
        <v>0</v>
      </c>
      <c r="CU449" s="10">
        <f t="shared" si="115"/>
        <v>-3009.3750438157685</v>
      </c>
      <c r="CV449" s="10">
        <f t="shared" si="116"/>
        <v>-3009.3750438157685</v>
      </c>
      <c r="CW449" s="2">
        <f t="shared" si="117"/>
        <v>0</v>
      </c>
      <c r="CX449" s="2">
        <f>-(SUM(CV449:CW449)*'PV IN'!$E$8)</f>
        <v>631.9687592013114</v>
      </c>
      <c r="CY449" s="2">
        <f t="shared" si="118"/>
        <v>-2377.406284614457</v>
      </c>
      <c r="CZ449" s="2">
        <f>IF(C449&lt;='Batt IN'!$H$43*12,CY449/(1+('PV IN'!$G$9))^(C449),0)</f>
        <v>0</v>
      </c>
      <c r="DA449" s="33">
        <f>IF(C449&lt;='Batt IN'!$H$43*12,AE449,0)</f>
        <v>0</v>
      </c>
    </row>
    <row r="450" spans="1:105" x14ac:dyDescent="0.25">
      <c r="A450" t="str">
        <f>IF(C450&lt;='Batt IN'!$H$43*12,C450,"")</f>
        <v/>
      </c>
      <c r="C450">
        <v>446</v>
      </c>
      <c r="D450" s="21">
        <v>876</v>
      </c>
      <c r="E450" s="1">
        <f>1-'Batt IN'!$E$31</f>
        <v>2.0000000000000018E-2</v>
      </c>
      <c r="F450" s="12">
        <f>('Batt IN'!$E$33*365)/8760</f>
        <v>0</v>
      </c>
      <c r="G450" s="22">
        <f>'Batt IN'!$E$32/8760</f>
        <v>5.7077625570776253E-3</v>
      </c>
      <c r="H450" s="22">
        <f>'Batt IN'!$E$13/8760</f>
        <v>5.5936073059360729E-3</v>
      </c>
      <c r="I450" s="23">
        <f>IF(C450&lt;='Batt IN'!$G$14*12,'Batt IN'!$E$15/8760*'Batt IN'!$G$15,0)</f>
        <v>0</v>
      </c>
      <c r="J450" s="12">
        <f>Z450/'Batt IN'!$E$27/730</f>
        <v>2.4999999999999996E-3</v>
      </c>
      <c r="K450" s="23">
        <f>AA450/'Batt IN'!$E$27/730</f>
        <v>1.6027397260273972E-3</v>
      </c>
      <c r="L450" s="23">
        <f>AB450/'Batt IN'!$E$27/730</f>
        <v>2.0547945205479451E-4</v>
      </c>
      <c r="M450" s="23">
        <f>AC450/'Batt IN'!$E$27/730</f>
        <v>4.7945205479452057E-3</v>
      </c>
      <c r="N450" s="23">
        <f>AD450/'Batt IN'!$E$27/730</f>
        <v>3.4246575342465752E-3</v>
      </c>
      <c r="O450" s="12">
        <f t="shared" si="119"/>
        <v>4.3828767123287697E-2</v>
      </c>
      <c r="P450" s="21">
        <f t="shared" si="120"/>
        <v>837.60599999999999</v>
      </c>
      <c r="Q450" s="2">
        <f>IF('Batt IN'!$E$27*'Batt IN'!$E$24&lt;='Batt IN'!$E$28,(('Batt IN'!$E$23*'Batt IN'!$E$27*'Batt IN'!$E$24)/1000)*P450,(('Batt IN'!$E$23*'Batt IN'!$E$28*'Batt IN'!$E$24)/1000)*P450)</f>
        <v>13401.696</v>
      </c>
      <c r="R450" s="2"/>
      <c r="S450" s="77">
        <f>IF(C450&lt;='Batt IN'!$G$14*12,'Batt IN'!$E$15/12,0)</f>
        <v>0</v>
      </c>
      <c r="T450" s="77"/>
      <c r="U450" s="80">
        <f>'Batt IN'!$E$28*('Batt IN'!$G$24/24)*730*(1-O450)</f>
        <v>81433.916666666657</v>
      </c>
      <c r="V450" s="78">
        <f>U450*'Batt IN'!$F$30</f>
        <v>16286.783333333333</v>
      </c>
      <c r="W450" s="78">
        <f>'Batt IN'!$E$28*'Batt IN'!$G$32*('Batt IN'!$E$32/12)*(1+'Batt IN'!$F$30)</f>
        <v>1750.0000000000002</v>
      </c>
      <c r="X450" s="78">
        <f>'Batt IN'!$E$28*'Batt IN'!$G$13*('Batt IN'!$E$13/12)*(1+'Batt IN'!$F$30)</f>
        <v>3184.9999999999995</v>
      </c>
      <c r="Y450" s="33">
        <f>S450*'Batt IN'!$G$15*'Batt IN'!$E$28*(1+'Batt IN'!$F$30)</f>
        <v>0</v>
      </c>
      <c r="Z450" s="33">
        <f>'Batt IN'!$G$16*365/12*(1+'Batt IN'!$F$30)</f>
        <v>1824.9999999999998</v>
      </c>
      <c r="AA450" s="33">
        <f>'Batt IN'!$G$17*'Batt IN'!$E$18*'Batt IN'!$G$18/12*(1+'Batt IN'!$F$30)</f>
        <v>1170</v>
      </c>
      <c r="AB450" s="33">
        <f>'Batt IN'!$G$19*'Batt IN'!$E$20*'Batt IN'!$G$20/12*(1+'Batt IN'!$F$30)</f>
        <v>150</v>
      </c>
      <c r="AC450" s="33">
        <f>'Batt IN'!$G$21*(1+'Batt IN'!$F$30)/12</f>
        <v>3500</v>
      </c>
      <c r="AD450" s="33">
        <f>'Batt IN'!$G$22*(1+'Batt IN'!$F$30)/12</f>
        <v>2500</v>
      </c>
      <c r="AE450" s="33">
        <f t="shared" si="121"/>
        <v>30366.783333333333</v>
      </c>
      <c r="AF450" s="33">
        <f>IF('PV IN'!$F$4="Battery Only",0,AE450*'Batt IN'!$E$29)</f>
        <v>25811.765833333331</v>
      </c>
      <c r="AG450" s="33">
        <f>PVCalcs!L450</f>
        <v>25811.765833333331</v>
      </c>
      <c r="AH450" s="33">
        <f t="shared" si="122"/>
        <v>4555.0175000000017</v>
      </c>
      <c r="AI450" s="33"/>
      <c r="AJ450" s="2">
        <f>IF(AND('Batt IN'!$D$53="Yes",$AL$1&gt;=1),IF($C450='Batt IN'!$H$54*12,-'Batt IN'!$F$54,0),0)</f>
        <v>0</v>
      </c>
      <c r="AK450" s="2">
        <f>IF(AND('Batt IN'!$D$53="Yes",$AL$1&gt;=2),IF($C450='Batt IN'!$H$55*12,-'Batt IN'!$F$55,0),0)</f>
        <v>0</v>
      </c>
      <c r="AL450" s="2">
        <f>IF(AND('Batt IN'!$D$53="Yes",$AL$1&gt;=3),IF($C450='Batt IN'!$H$56*12,-'Batt IN'!$F$56,0),0)</f>
        <v>0</v>
      </c>
      <c r="AM450" s="2">
        <f>IF(AND('Batt IN'!$D$53="Yes",$AL$1&gt;=4),IF($C450='Batt IN'!$H$57*12,-'Batt IN'!$F$57,0),0)</f>
        <v>0</v>
      </c>
      <c r="AN450" s="2">
        <f>IF(AND('Batt IN'!$D$53="Yes",$AL$1&gt;=5),IF($C450='Batt IN'!$H$58*12,-'Batt IN'!$F$58,0),0)</f>
        <v>0</v>
      </c>
      <c r="AO450" s="10">
        <f>IF(AND('Batt IN'!$D$44="YES",$C450&lt;='Batt IN'!$E$44*12),-'Batt IN'!$E$28*'Batt IN'!$E$42/12,0)</f>
        <v>0</v>
      </c>
      <c r="AP450" s="10">
        <f>IF(AND('Batt IN'!$D$46="YES",$C450&lt;='Batt IN'!$E$46*12),-'Batt IN'!$E$28*'Batt IN'!$E$45/12,0)</f>
        <v>0</v>
      </c>
      <c r="AR450" s="10">
        <f>BattLoan!M477</f>
        <v>0</v>
      </c>
      <c r="AS450" s="10">
        <f>'Batt IN'!$G$16*365/12*'Batt IN'!$E$16</f>
        <v>76.041666666666671</v>
      </c>
      <c r="AT450" s="10">
        <f>IF(AND('Batt IN'!$E$18&gt;0,'Batt IN'!$G$18&gt;0),'Batt IN'!$E$17*'Batt IN'!$G$17,0)</f>
        <v>119.44619999999999</v>
      </c>
      <c r="AU450" s="10">
        <f>IF(AND('Batt IN'!$E$20&gt;0,'Batt IN'!$G$20&gt;0),'Batt IN'!$E$19*'Batt IN'!$G$19,0)</f>
        <v>231</v>
      </c>
      <c r="AV450" s="10"/>
      <c r="AW450" s="10"/>
      <c r="AX450" s="10">
        <f>IF('Batt IN'!$E$11="Non-Taxable",Q450,0)</f>
        <v>13401.696</v>
      </c>
      <c r="AY450" s="10">
        <f>IF('Batt IN'!$E$11="Non-Taxable",'Batt IN'!$E$28/1000*'Batt IN'!$G$13*('Batt IN'!$E$13/12)*'Batt IN'!$E$12,0)</f>
        <v>244.42220833333334</v>
      </c>
      <c r="AZ450" s="10">
        <f>IF('Batt IN'!$E$11="Non-Taxable",$S450*'Batt IN'!$G$15*'Batt IN'!$E$28*'Batt IN'!$E$14/1000,0)</f>
        <v>0</v>
      </c>
      <c r="BA450" s="10">
        <f>IF('Batt IN'!$E$11="Non-Taxable",'Batt IN'!$E$21*'Batt IN'!$G$21/12,0)</f>
        <v>437.5</v>
      </c>
      <c r="BB450" s="10">
        <f>IF('Batt IN'!$E$11="Non-Taxable",'Batt IN'!$E$22*'Batt IN'!$G$22/12,0)</f>
        <v>1145.8333333333335</v>
      </c>
      <c r="BC450" s="10">
        <f>IF('Batt IN'!$E$11="Taxable",Q450,0)</f>
        <v>0</v>
      </c>
      <c r="BD450" s="10">
        <f>IF('Batt IN'!$E$11="Taxable",'Batt IN'!$E$28/1000*'Batt IN'!$G$13*('Batt IN'!$E$13/12)*'Batt IN'!$E$12,0)</f>
        <v>0</v>
      </c>
      <c r="BE450" s="10">
        <f>IF('Batt IN'!$E$11="Taxable",$S450*'Batt IN'!$G$15*'Batt IN'!$E$28*'Batt IN'!$E$14/1000,0)</f>
        <v>0</v>
      </c>
      <c r="BF450" s="10">
        <f>IF('Batt IN'!$E$11="Taxable",'Batt IN'!$E$21*'Batt IN'!$G$21/12,0)</f>
        <v>0</v>
      </c>
      <c r="BG450" s="10">
        <f>IF('Batt IN'!$E$11="Taxable",'Batt IN'!$E$22*'Batt IN'!$G$22/12,0)</f>
        <v>0</v>
      </c>
      <c r="BK450" s="10">
        <f>IF('Batt IN'!$N$18="Yes",-BattLoan!H478,-BattLoan!L478)</f>
        <v>0</v>
      </c>
      <c r="BL450" s="10">
        <f>IF('Batt IN'!$N$18="Yes",-BattLoan!F478,0)</f>
        <v>0</v>
      </c>
      <c r="BM450" s="10">
        <f>IF(AND('Batt IN'!$D$44="YES",$C450&lt;='Batt IN'!$E$44*12),0,-'Batt IN'!$E$28*'Batt IN'!$E$42/12)</f>
        <v>-83.333333333333329</v>
      </c>
      <c r="BN450" s="10">
        <f>IF(AND('Batt IN'!$D$46="YES",$C450&lt;='Batt IN'!$E$46*12),0,-'Batt IN'!$E$28*'Batt IN'!$E$45/12)</f>
        <v>-166.66666666666666</v>
      </c>
      <c r="BO450" s="2">
        <f>IF(AND('Batt IN'!$D$41="YES",BattCalcs!C450=ROUNDUP('Batt IN'!$H$41*12,)),-'Batt IN'!$E$41*'Batt IN'!$E$28,0)</f>
        <v>0</v>
      </c>
      <c r="BP450" s="2">
        <f>IF(AND('Batt IN'!$D$53="Yes",$AL$1&gt;=1),0,IF($C450='Batt IN'!$H$54*12,-'Batt IN'!$F$54,0))</f>
        <v>0</v>
      </c>
      <c r="BQ450" s="2">
        <f>IF(AND('Batt IN'!$D$53="Yes",$AL$1&gt;=2),0,IF($C450='Batt IN'!$H$55*12,-'Batt IN'!$F$55,0))</f>
        <v>0</v>
      </c>
      <c r="BR450" s="2">
        <f>IF(AND('Batt IN'!$D$53="Yes",$AL$1&gt;=3),0,IF($C450='Batt IN'!$H$56*12,-'Batt IN'!$F$56,0))</f>
        <v>0</v>
      </c>
      <c r="BS450" s="2">
        <f>IF(AND('Batt IN'!$D$53="Yes",$AL$1&gt;=4),0,IF($C450='Batt IN'!$H$57*12,-'Batt IN'!$F$57,0))</f>
        <v>0</v>
      </c>
      <c r="BT450" s="2">
        <f>IF(AND('Batt IN'!$D$53="Yes",$AL$1&gt;=5),0,IF($C450='Batt IN'!$H$58*12,-'Batt IN'!$F$58,0))</f>
        <v>0</v>
      </c>
      <c r="BU450" s="2">
        <f>-AH450*PVCalcs!F450</f>
        <v>-359.37504381576838</v>
      </c>
      <c r="BV450" s="2">
        <f>-'Batt IN'!$E$47</f>
        <v>-150</v>
      </c>
      <c r="BW450" s="2">
        <f>-'Batt IN'!$E$49</f>
        <v>-2250</v>
      </c>
      <c r="BX450" s="2">
        <f>IF('Batt IN'!$H$50="No",-(BC450*'Batt IN'!$E$50),-(BC450+BE450)*'Batt IN'!$E$50)</f>
        <v>0</v>
      </c>
      <c r="BY450" s="2">
        <f>IF(C450='Batt IN'!$H$43*12,-'Batt IN'!$E$43,0)</f>
        <v>0</v>
      </c>
      <c r="BZ450" s="38"/>
      <c r="CA450" s="10">
        <f t="shared" si="123"/>
        <v>15655.939408333334</v>
      </c>
      <c r="CB450" s="2">
        <f t="shared" si="111"/>
        <v>-3009.3750438157685</v>
      </c>
      <c r="CC450" s="45">
        <f t="shared" si="124"/>
        <v>12646.564364517566</v>
      </c>
      <c r="CD450" s="43"/>
      <c r="CE450" s="2">
        <f t="shared" si="125"/>
        <v>0</v>
      </c>
      <c r="CF450" s="2">
        <f t="shared" si="112"/>
        <v>-3009.3750438157685</v>
      </c>
      <c r="CG450" s="2"/>
      <c r="CH450" s="2">
        <f t="shared" si="126"/>
        <v>-3009.3750438157685</v>
      </c>
      <c r="CI450" s="45">
        <f>-CH450*'Batt IN'!$E$7</f>
        <v>631.9687592013114</v>
      </c>
      <c r="CJ450" s="48"/>
      <c r="CK450" s="45">
        <f>IF('Batt IN'!$F$4="PV Only",0,IF(C450&gt;'Batt IN'!$H$43*12,0,CC450+CI450))</f>
        <v>0</v>
      </c>
      <c r="CM450" s="10">
        <f t="shared" si="127"/>
        <v>0</v>
      </c>
      <c r="CN450" s="2">
        <f>CK450/(1+('Batt IN'!$G$8))^(C450)</f>
        <v>0</v>
      </c>
      <c r="CO450" s="2" t="e">
        <f>IF(C450&lt;='Batt IN'!$O$30*12,CN450+CO449,NA())</f>
        <v>#N/A</v>
      </c>
      <c r="CQ450" s="2">
        <f>CK450/((1+('Batt IN'!$E$8/12))^BattCalcs!C450)</f>
        <v>0</v>
      </c>
      <c r="CS450" s="10">
        <f t="shared" si="113"/>
        <v>-3009.3750438157685</v>
      </c>
      <c r="CT450" s="10">
        <f t="shared" si="114"/>
        <v>0</v>
      </c>
      <c r="CU450" s="10">
        <f t="shared" si="115"/>
        <v>-3009.3750438157685</v>
      </c>
      <c r="CV450" s="10">
        <f t="shared" si="116"/>
        <v>-3009.3750438157685</v>
      </c>
      <c r="CW450" s="2">
        <f t="shared" si="117"/>
        <v>0</v>
      </c>
      <c r="CX450" s="2">
        <f>-(SUM(CV450:CW450)*'PV IN'!$E$8)</f>
        <v>631.9687592013114</v>
      </c>
      <c r="CY450" s="2">
        <f t="shared" si="118"/>
        <v>-2377.406284614457</v>
      </c>
      <c r="CZ450" s="2">
        <f>IF(C450&lt;='Batt IN'!$H$43*12,CY450/(1+('PV IN'!$G$9))^(C450),0)</f>
        <v>0</v>
      </c>
      <c r="DA450" s="33">
        <f>IF(C450&lt;='Batt IN'!$H$43*12,AE450,0)</f>
        <v>0</v>
      </c>
    </row>
    <row r="451" spans="1:105" x14ac:dyDescent="0.25">
      <c r="A451" t="str">
        <f>IF(C451&lt;='Batt IN'!$H$43*12,C451,"")</f>
        <v/>
      </c>
      <c r="C451">
        <v>447</v>
      </c>
      <c r="D451" s="21">
        <v>877</v>
      </c>
      <c r="E451" s="1">
        <f>1-'Batt IN'!$E$31</f>
        <v>2.0000000000000018E-2</v>
      </c>
      <c r="F451" s="12">
        <f>('Batt IN'!$E$33*365)/8760</f>
        <v>0</v>
      </c>
      <c r="G451" s="22">
        <f>'Batt IN'!$E$32/8760</f>
        <v>5.7077625570776253E-3</v>
      </c>
      <c r="H451" s="22">
        <f>'Batt IN'!$E$13/8760</f>
        <v>5.5936073059360729E-3</v>
      </c>
      <c r="I451" s="23">
        <f>IF(C451&lt;='Batt IN'!$G$14*12,'Batt IN'!$E$15/8760*'Batt IN'!$G$15,0)</f>
        <v>0</v>
      </c>
      <c r="J451" s="12">
        <f>Z451/'Batt IN'!$E$27/730</f>
        <v>2.4999999999999996E-3</v>
      </c>
      <c r="K451" s="23">
        <f>AA451/'Batt IN'!$E$27/730</f>
        <v>1.6027397260273972E-3</v>
      </c>
      <c r="L451" s="23">
        <f>AB451/'Batt IN'!$E$27/730</f>
        <v>2.0547945205479451E-4</v>
      </c>
      <c r="M451" s="23">
        <f>AC451/'Batt IN'!$E$27/730</f>
        <v>4.7945205479452057E-3</v>
      </c>
      <c r="N451" s="23">
        <f>AD451/'Batt IN'!$E$27/730</f>
        <v>3.4246575342465752E-3</v>
      </c>
      <c r="O451" s="12">
        <f t="shared" si="119"/>
        <v>4.3828767123287697E-2</v>
      </c>
      <c r="P451" s="21">
        <f t="shared" si="120"/>
        <v>838.56217123287672</v>
      </c>
      <c r="Q451" s="2">
        <f>IF('Batt IN'!$E$27*'Batt IN'!$E$24&lt;='Batt IN'!$E$28,(('Batt IN'!$E$23*'Batt IN'!$E$27*'Batt IN'!$E$24)/1000)*P451,(('Batt IN'!$E$23*'Batt IN'!$E$28*'Batt IN'!$E$24)/1000)*P451)</f>
        <v>13416.994739726028</v>
      </c>
      <c r="R451" s="2"/>
      <c r="S451" s="77">
        <f>IF(C451&lt;='Batt IN'!$G$14*12,'Batt IN'!$E$15/12,0)</f>
        <v>0</v>
      </c>
      <c r="T451" s="77"/>
      <c r="U451" s="80">
        <f>'Batt IN'!$E$28*('Batt IN'!$G$24/24)*730*(1-O451)</f>
        <v>81433.916666666657</v>
      </c>
      <c r="V451" s="78">
        <f>U451*'Batt IN'!$F$30</f>
        <v>16286.783333333333</v>
      </c>
      <c r="W451" s="78">
        <f>'Batt IN'!$E$28*'Batt IN'!$G$32*('Batt IN'!$E$32/12)*(1+'Batt IN'!$F$30)</f>
        <v>1750.0000000000002</v>
      </c>
      <c r="X451" s="78">
        <f>'Batt IN'!$E$28*'Batt IN'!$G$13*('Batt IN'!$E$13/12)*(1+'Batt IN'!$F$30)</f>
        <v>3184.9999999999995</v>
      </c>
      <c r="Y451" s="33">
        <f>S451*'Batt IN'!$G$15*'Batt IN'!$E$28*(1+'Batt IN'!$F$30)</f>
        <v>0</v>
      </c>
      <c r="Z451" s="33">
        <f>'Batt IN'!$G$16*365/12*(1+'Batt IN'!$F$30)</f>
        <v>1824.9999999999998</v>
      </c>
      <c r="AA451" s="33">
        <f>'Batt IN'!$G$17*'Batt IN'!$E$18*'Batt IN'!$G$18/12*(1+'Batt IN'!$F$30)</f>
        <v>1170</v>
      </c>
      <c r="AB451" s="33">
        <f>'Batt IN'!$G$19*'Batt IN'!$E$20*'Batt IN'!$G$20/12*(1+'Batt IN'!$F$30)</f>
        <v>150</v>
      </c>
      <c r="AC451" s="33">
        <f>'Batt IN'!$G$21*(1+'Batt IN'!$F$30)/12</f>
        <v>3500</v>
      </c>
      <c r="AD451" s="33">
        <f>'Batt IN'!$G$22*(1+'Batt IN'!$F$30)/12</f>
        <v>2500</v>
      </c>
      <c r="AE451" s="33">
        <f t="shared" si="121"/>
        <v>30366.783333333333</v>
      </c>
      <c r="AF451" s="33">
        <f>IF('PV IN'!$F$4="Battery Only",0,AE451*'Batt IN'!$E$29)</f>
        <v>25811.765833333331</v>
      </c>
      <c r="AG451" s="33">
        <f>PVCalcs!L451</f>
        <v>25811.765833333331</v>
      </c>
      <c r="AH451" s="33">
        <f t="shared" si="122"/>
        <v>4555.0175000000017</v>
      </c>
      <c r="AI451" s="33"/>
      <c r="AJ451" s="2">
        <f>IF(AND('Batt IN'!$D$53="Yes",$AL$1&gt;=1),IF($C451='Batt IN'!$H$54*12,-'Batt IN'!$F$54,0),0)</f>
        <v>0</v>
      </c>
      <c r="AK451" s="2">
        <f>IF(AND('Batt IN'!$D$53="Yes",$AL$1&gt;=2),IF($C451='Batt IN'!$H$55*12,-'Batt IN'!$F$55,0),0)</f>
        <v>0</v>
      </c>
      <c r="AL451" s="2">
        <f>IF(AND('Batt IN'!$D$53="Yes",$AL$1&gt;=3),IF($C451='Batt IN'!$H$56*12,-'Batt IN'!$F$56,0),0)</f>
        <v>0</v>
      </c>
      <c r="AM451" s="2">
        <f>IF(AND('Batt IN'!$D$53="Yes",$AL$1&gt;=4),IF($C451='Batt IN'!$H$57*12,-'Batt IN'!$F$57,0),0)</f>
        <v>0</v>
      </c>
      <c r="AN451" s="2">
        <f>IF(AND('Batt IN'!$D$53="Yes",$AL$1&gt;=5),IF($C451='Batt IN'!$H$58*12,-'Batt IN'!$F$58,0),0)</f>
        <v>0</v>
      </c>
      <c r="AO451" s="10">
        <f>IF(AND('Batt IN'!$D$44="YES",$C451&lt;='Batt IN'!$E$44*12),-'Batt IN'!$E$28*'Batt IN'!$E$42/12,0)</f>
        <v>0</v>
      </c>
      <c r="AP451" s="10">
        <f>IF(AND('Batt IN'!$D$46="YES",$C451&lt;='Batt IN'!$E$46*12),-'Batt IN'!$E$28*'Batt IN'!$E$45/12,0)</f>
        <v>0</v>
      </c>
      <c r="AR451" s="10">
        <f>BattLoan!M478</f>
        <v>0</v>
      </c>
      <c r="AS451" s="10">
        <f>'Batt IN'!$G$16*365/12*'Batt IN'!$E$16</f>
        <v>76.041666666666671</v>
      </c>
      <c r="AT451" s="10">
        <f>IF(AND('Batt IN'!$E$18&gt;0,'Batt IN'!$G$18&gt;0),'Batt IN'!$E$17*'Batt IN'!$G$17,0)</f>
        <v>119.44619999999999</v>
      </c>
      <c r="AU451" s="10">
        <f>IF(AND('Batt IN'!$E$20&gt;0,'Batt IN'!$G$20&gt;0),'Batt IN'!$E$19*'Batt IN'!$G$19,0)</f>
        <v>231</v>
      </c>
      <c r="AV451" s="10"/>
      <c r="AW451" s="10"/>
      <c r="AX451" s="10">
        <f>IF('Batt IN'!$E$11="Non-Taxable",Q451,0)</f>
        <v>13416.994739726028</v>
      </c>
      <c r="AY451" s="10">
        <f>IF('Batt IN'!$E$11="Non-Taxable",'Batt IN'!$E$28/1000*'Batt IN'!$G$13*('Batt IN'!$E$13/12)*'Batt IN'!$E$12,0)</f>
        <v>244.42220833333334</v>
      </c>
      <c r="AZ451" s="10">
        <f>IF('Batt IN'!$E$11="Non-Taxable",$S451*'Batt IN'!$G$15*'Batt IN'!$E$28*'Batt IN'!$E$14/1000,0)</f>
        <v>0</v>
      </c>
      <c r="BA451" s="10">
        <f>IF('Batt IN'!$E$11="Non-Taxable",'Batt IN'!$E$21*'Batt IN'!$G$21/12,0)</f>
        <v>437.5</v>
      </c>
      <c r="BB451" s="10">
        <f>IF('Batt IN'!$E$11="Non-Taxable",'Batt IN'!$E$22*'Batt IN'!$G$22/12,0)</f>
        <v>1145.8333333333335</v>
      </c>
      <c r="BC451" s="10">
        <f>IF('Batt IN'!$E$11="Taxable",Q451,0)</f>
        <v>0</v>
      </c>
      <c r="BD451" s="10">
        <f>IF('Batt IN'!$E$11="Taxable",'Batt IN'!$E$28/1000*'Batt IN'!$G$13*('Batt IN'!$E$13/12)*'Batt IN'!$E$12,0)</f>
        <v>0</v>
      </c>
      <c r="BE451" s="10">
        <f>IF('Batt IN'!$E$11="Taxable",$S451*'Batt IN'!$G$15*'Batt IN'!$E$28*'Batt IN'!$E$14/1000,0)</f>
        <v>0</v>
      </c>
      <c r="BF451" s="10">
        <f>IF('Batt IN'!$E$11="Taxable",'Batt IN'!$E$21*'Batt IN'!$G$21/12,0)</f>
        <v>0</v>
      </c>
      <c r="BG451" s="10">
        <f>IF('Batt IN'!$E$11="Taxable",'Batt IN'!$E$22*'Batt IN'!$G$22/12,0)</f>
        <v>0</v>
      </c>
      <c r="BK451" s="10">
        <f>IF('Batt IN'!$N$18="Yes",-BattLoan!H479,-BattLoan!L479)</f>
        <v>0</v>
      </c>
      <c r="BL451" s="10">
        <f>IF('Batt IN'!$N$18="Yes",-BattLoan!F479,0)</f>
        <v>0</v>
      </c>
      <c r="BM451" s="10">
        <f>IF(AND('Batt IN'!$D$44="YES",$C451&lt;='Batt IN'!$E$44*12),0,-'Batt IN'!$E$28*'Batt IN'!$E$42/12)</f>
        <v>-83.333333333333329</v>
      </c>
      <c r="BN451" s="10">
        <f>IF(AND('Batt IN'!$D$46="YES",$C451&lt;='Batt IN'!$E$46*12),0,-'Batt IN'!$E$28*'Batt IN'!$E$45/12)</f>
        <v>-166.66666666666666</v>
      </c>
      <c r="BO451" s="2">
        <f>IF(AND('Batt IN'!$D$41="YES",BattCalcs!C451=ROUNDUP('Batt IN'!$H$41*12,)),-'Batt IN'!$E$41*'Batt IN'!$E$28,0)</f>
        <v>0</v>
      </c>
      <c r="BP451" s="2">
        <f>IF(AND('Batt IN'!$D$53="Yes",$AL$1&gt;=1),0,IF($C451='Batt IN'!$H$54*12,-'Batt IN'!$F$54,0))</f>
        <v>0</v>
      </c>
      <c r="BQ451" s="2">
        <f>IF(AND('Batt IN'!$D$53="Yes",$AL$1&gt;=2),0,IF($C451='Batt IN'!$H$55*12,-'Batt IN'!$F$55,0))</f>
        <v>0</v>
      </c>
      <c r="BR451" s="2">
        <f>IF(AND('Batt IN'!$D$53="Yes",$AL$1&gt;=3),0,IF($C451='Batt IN'!$H$56*12,-'Batt IN'!$F$56,0))</f>
        <v>0</v>
      </c>
      <c r="BS451" s="2">
        <f>IF(AND('Batt IN'!$D$53="Yes",$AL$1&gt;=4),0,IF($C451='Batt IN'!$H$57*12,-'Batt IN'!$F$57,0))</f>
        <v>0</v>
      </c>
      <c r="BT451" s="2">
        <f>IF(AND('Batt IN'!$D$53="Yes",$AL$1&gt;=5),0,IF($C451='Batt IN'!$H$58*12,-'Batt IN'!$F$58,0))</f>
        <v>0</v>
      </c>
      <c r="BU451" s="2">
        <f>-AH451*PVCalcs!F451</f>
        <v>-359.37504381576838</v>
      </c>
      <c r="BV451" s="2">
        <f>-'Batt IN'!$E$47</f>
        <v>-150</v>
      </c>
      <c r="BW451" s="2">
        <f>-'Batt IN'!$E$49</f>
        <v>-2250</v>
      </c>
      <c r="BX451" s="2">
        <f>IF('Batt IN'!$H$50="No",-(BC451*'Batt IN'!$E$50),-(BC451+BE451)*'Batt IN'!$E$50)</f>
        <v>0</v>
      </c>
      <c r="BY451" s="2">
        <f>IF(C451='Batt IN'!$H$43*12,-'Batt IN'!$E$43,0)</f>
        <v>0</v>
      </c>
      <c r="BZ451" s="38"/>
      <c r="CA451" s="10">
        <f t="shared" si="123"/>
        <v>15671.238148059361</v>
      </c>
      <c r="CB451" s="2">
        <f t="shared" si="111"/>
        <v>-3009.3750438157685</v>
      </c>
      <c r="CC451" s="45">
        <f t="shared" si="124"/>
        <v>12661.863104243592</v>
      </c>
      <c r="CD451" s="43"/>
      <c r="CE451" s="2">
        <f t="shared" si="125"/>
        <v>0</v>
      </c>
      <c r="CF451" s="2">
        <f t="shared" si="112"/>
        <v>-3009.3750438157685</v>
      </c>
      <c r="CG451" s="2"/>
      <c r="CH451" s="2">
        <f t="shared" si="126"/>
        <v>-3009.3750438157685</v>
      </c>
      <c r="CI451" s="45">
        <f>-CH451*'Batt IN'!$E$7</f>
        <v>631.9687592013114</v>
      </c>
      <c r="CJ451" s="48"/>
      <c r="CK451" s="45">
        <f>IF('Batt IN'!$F$4="PV Only",0,IF(C451&gt;'Batt IN'!$H$43*12,0,CC451+CI451))</f>
        <v>0</v>
      </c>
      <c r="CM451" s="10">
        <f t="shared" si="127"/>
        <v>0</v>
      </c>
      <c r="CN451" s="2">
        <f>CK451/(1+('Batt IN'!$G$8))^(C451)</f>
        <v>0</v>
      </c>
      <c r="CO451" s="2" t="e">
        <f>IF(C451&lt;='Batt IN'!$O$30*12,CN451+CO450,NA())</f>
        <v>#N/A</v>
      </c>
      <c r="CQ451" s="2">
        <f>CK451/((1+('Batt IN'!$E$8/12))^BattCalcs!C451)</f>
        <v>0</v>
      </c>
      <c r="CS451" s="10">
        <f t="shared" si="113"/>
        <v>-3009.3750438157685</v>
      </c>
      <c r="CT451" s="10">
        <f t="shared" si="114"/>
        <v>0</v>
      </c>
      <c r="CU451" s="10">
        <f t="shared" si="115"/>
        <v>-3009.3750438157685</v>
      </c>
      <c r="CV451" s="10">
        <f t="shared" si="116"/>
        <v>-3009.3750438157685</v>
      </c>
      <c r="CW451" s="2">
        <f t="shared" si="117"/>
        <v>0</v>
      </c>
      <c r="CX451" s="2">
        <f>-(SUM(CV451:CW451)*'PV IN'!$E$8)</f>
        <v>631.9687592013114</v>
      </c>
      <c r="CY451" s="2">
        <f t="shared" si="118"/>
        <v>-2377.406284614457</v>
      </c>
      <c r="CZ451" s="2">
        <f>IF(C451&lt;='Batt IN'!$H$43*12,CY451/(1+('PV IN'!$G$9))^(C451),0)</f>
        <v>0</v>
      </c>
      <c r="DA451" s="33">
        <f>IF(C451&lt;='Batt IN'!$H$43*12,AE451,0)</f>
        <v>0</v>
      </c>
    </row>
    <row r="452" spans="1:105" x14ac:dyDescent="0.25">
      <c r="A452" t="str">
        <f>IF(C452&lt;='Batt IN'!$H$43*12,C452,"")</f>
        <v/>
      </c>
      <c r="C452">
        <v>448</v>
      </c>
      <c r="D452" s="21">
        <v>878</v>
      </c>
      <c r="E452" s="1">
        <f>1-'Batt IN'!$E$31</f>
        <v>2.0000000000000018E-2</v>
      </c>
      <c r="F452" s="12">
        <f>('Batt IN'!$E$33*365)/8760</f>
        <v>0</v>
      </c>
      <c r="G452" s="22">
        <f>'Batt IN'!$E$32/8760</f>
        <v>5.7077625570776253E-3</v>
      </c>
      <c r="H452" s="22">
        <f>'Batt IN'!$E$13/8760</f>
        <v>5.5936073059360729E-3</v>
      </c>
      <c r="I452" s="23">
        <f>IF(C452&lt;='Batt IN'!$G$14*12,'Batt IN'!$E$15/8760*'Batt IN'!$G$15,0)</f>
        <v>0</v>
      </c>
      <c r="J452" s="12">
        <f>Z452/'Batt IN'!$E$27/730</f>
        <v>2.4999999999999996E-3</v>
      </c>
      <c r="K452" s="23">
        <f>AA452/'Batt IN'!$E$27/730</f>
        <v>1.6027397260273972E-3</v>
      </c>
      <c r="L452" s="23">
        <f>AB452/'Batt IN'!$E$27/730</f>
        <v>2.0547945205479451E-4</v>
      </c>
      <c r="M452" s="23">
        <f>AC452/'Batt IN'!$E$27/730</f>
        <v>4.7945205479452057E-3</v>
      </c>
      <c r="N452" s="23">
        <f>AD452/'Batt IN'!$E$27/730</f>
        <v>3.4246575342465752E-3</v>
      </c>
      <c r="O452" s="12">
        <f t="shared" si="119"/>
        <v>4.3828767123287697E-2</v>
      </c>
      <c r="P452" s="21">
        <f t="shared" si="120"/>
        <v>839.51834246575345</v>
      </c>
      <c r="Q452" s="2">
        <f>IF('Batt IN'!$E$27*'Batt IN'!$E$24&lt;='Batt IN'!$E$28,(('Batt IN'!$E$23*'Batt IN'!$E$27*'Batt IN'!$E$24)/1000)*P452,(('Batt IN'!$E$23*'Batt IN'!$E$28*'Batt IN'!$E$24)/1000)*P452)</f>
        <v>13432.293479452055</v>
      </c>
      <c r="R452" s="2"/>
      <c r="S452" s="77">
        <f>IF(C452&lt;='Batt IN'!$G$14*12,'Batt IN'!$E$15/12,0)</f>
        <v>0</v>
      </c>
      <c r="T452" s="77"/>
      <c r="U452" s="80">
        <f>'Batt IN'!$E$28*('Batt IN'!$G$24/24)*730*(1-O452)</f>
        <v>81433.916666666657</v>
      </c>
      <c r="V452" s="78">
        <f>U452*'Batt IN'!$F$30</f>
        <v>16286.783333333333</v>
      </c>
      <c r="W452" s="78">
        <f>'Batt IN'!$E$28*'Batt IN'!$G$32*('Batt IN'!$E$32/12)*(1+'Batt IN'!$F$30)</f>
        <v>1750.0000000000002</v>
      </c>
      <c r="X452" s="78">
        <f>'Batt IN'!$E$28*'Batt IN'!$G$13*('Batt IN'!$E$13/12)*(1+'Batt IN'!$F$30)</f>
        <v>3184.9999999999995</v>
      </c>
      <c r="Y452" s="33">
        <f>S452*'Batt IN'!$G$15*'Batt IN'!$E$28*(1+'Batt IN'!$F$30)</f>
        <v>0</v>
      </c>
      <c r="Z452" s="33">
        <f>'Batt IN'!$G$16*365/12*(1+'Batt IN'!$F$30)</f>
        <v>1824.9999999999998</v>
      </c>
      <c r="AA452" s="33">
        <f>'Batt IN'!$G$17*'Batt IN'!$E$18*'Batt IN'!$G$18/12*(1+'Batt IN'!$F$30)</f>
        <v>1170</v>
      </c>
      <c r="AB452" s="33">
        <f>'Batt IN'!$G$19*'Batt IN'!$E$20*'Batt IN'!$G$20/12*(1+'Batt IN'!$F$30)</f>
        <v>150</v>
      </c>
      <c r="AC452" s="33">
        <f>'Batt IN'!$G$21*(1+'Batt IN'!$F$30)/12</f>
        <v>3500</v>
      </c>
      <c r="AD452" s="33">
        <f>'Batt IN'!$G$22*(1+'Batt IN'!$F$30)/12</f>
        <v>2500</v>
      </c>
      <c r="AE452" s="33">
        <f t="shared" si="121"/>
        <v>30366.783333333333</v>
      </c>
      <c r="AF452" s="33">
        <f>IF('PV IN'!$F$4="Battery Only",0,AE452*'Batt IN'!$E$29)</f>
        <v>25811.765833333331</v>
      </c>
      <c r="AG452" s="33">
        <f>PVCalcs!L452</f>
        <v>25811.765833333331</v>
      </c>
      <c r="AH452" s="33">
        <f t="shared" si="122"/>
        <v>4555.0175000000017</v>
      </c>
      <c r="AI452" s="33"/>
      <c r="AJ452" s="2">
        <f>IF(AND('Batt IN'!$D$53="Yes",$AL$1&gt;=1),IF($C452='Batt IN'!$H$54*12,-'Batt IN'!$F$54,0),0)</f>
        <v>0</v>
      </c>
      <c r="AK452" s="2">
        <f>IF(AND('Batt IN'!$D$53="Yes",$AL$1&gt;=2),IF($C452='Batt IN'!$H$55*12,-'Batt IN'!$F$55,0),0)</f>
        <v>0</v>
      </c>
      <c r="AL452" s="2">
        <f>IF(AND('Batt IN'!$D$53="Yes",$AL$1&gt;=3),IF($C452='Batt IN'!$H$56*12,-'Batt IN'!$F$56,0),0)</f>
        <v>0</v>
      </c>
      <c r="AM452" s="2">
        <f>IF(AND('Batt IN'!$D$53="Yes",$AL$1&gt;=4),IF($C452='Batt IN'!$H$57*12,-'Batt IN'!$F$57,0),0)</f>
        <v>0</v>
      </c>
      <c r="AN452" s="2">
        <f>IF(AND('Batt IN'!$D$53="Yes",$AL$1&gt;=5),IF($C452='Batt IN'!$H$58*12,-'Batt IN'!$F$58,0),0)</f>
        <v>0</v>
      </c>
      <c r="AO452" s="10">
        <f>IF(AND('Batt IN'!$D$44="YES",$C452&lt;='Batt IN'!$E$44*12),-'Batt IN'!$E$28*'Batt IN'!$E$42/12,0)</f>
        <v>0</v>
      </c>
      <c r="AP452" s="10">
        <f>IF(AND('Batt IN'!$D$46="YES",$C452&lt;='Batt IN'!$E$46*12),-'Batt IN'!$E$28*'Batt IN'!$E$45/12,0)</f>
        <v>0</v>
      </c>
      <c r="AR452" s="10">
        <f>BattLoan!M479</f>
        <v>0</v>
      </c>
      <c r="AS452" s="10">
        <f>'Batt IN'!$G$16*365/12*'Batt IN'!$E$16</f>
        <v>76.041666666666671</v>
      </c>
      <c r="AT452" s="10">
        <f>IF(AND('Batt IN'!$E$18&gt;0,'Batt IN'!$G$18&gt;0),'Batt IN'!$E$17*'Batt IN'!$G$17,0)</f>
        <v>119.44619999999999</v>
      </c>
      <c r="AU452" s="10">
        <f>IF(AND('Batt IN'!$E$20&gt;0,'Batt IN'!$G$20&gt;0),'Batt IN'!$E$19*'Batt IN'!$G$19,0)</f>
        <v>231</v>
      </c>
      <c r="AV452" s="10"/>
      <c r="AW452" s="10"/>
      <c r="AX452" s="10">
        <f>IF('Batt IN'!$E$11="Non-Taxable",Q452,0)</f>
        <v>13432.293479452055</v>
      </c>
      <c r="AY452" s="10">
        <f>IF('Batt IN'!$E$11="Non-Taxable",'Batt IN'!$E$28/1000*'Batt IN'!$G$13*('Batt IN'!$E$13/12)*'Batt IN'!$E$12,0)</f>
        <v>244.42220833333334</v>
      </c>
      <c r="AZ452" s="10">
        <f>IF('Batt IN'!$E$11="Non-Taxable",$S452*'Batt IN'!$G$15*'Batt IN'!$E$28*'Batt IN'!$E$14/1000,0)</f>
        <v>0</v>
      </c>
      <c r="BA452" s="10">
        <f>IF('Batt IN'!$E$11="Non-Taxable",'Batt IN'!$E$21*'Batt IN'!$G$21/12,0)</f>
        <v>437.5</v>
      </c>
      <c r="BB452" s="10">
        <f>IF('Batt IN'!$E$11="Non-Taxable",'Batt IN'!$E$22*'Batt IN'!$G$22/12,0)</f>
        <v>1145.8333333333335</v>
      </c>
      <c r="BC452" s="10">
        <f>IF('Batt IN'!$E$11="Taxable",Q452,0)</f>
        <v>0</v>
      </c>
      <c r="BD452" s="10">
        <f>IF('Batt IN'!$E$11="Taxable",'Batt IN'!$E$28/1000*'Batt IN'!$G$13*('Batt IN'!$E$13/12)*'Batt IN'!$E$12,0)</f>
        <v>0</v>
      </c>
      <c r="BE452" s="10">
        <f>IF('Batt IN'!$E$11="Taxable",$S452*'Batt IN'!$G$15*'Batt IN'!$E$28*'Batt IN'!$E$14/1000,0)</f>
        <v>0</v>
      </c>
      <c r="BF452" s="10">
        <f>IF('Batt IN'!$E$11="Taxable",'Batt IN'!$E$21*'Batt IN'!$G$21/12,0)</f>
        <v>0</v>
      </c>
      <c r="BG452" s="10">
        <f>IF('Batt IN'!$E$11="Taxable",'Batt IN'!$E$22*'Batt IN'!$G$22/12,0)</f>
        <v>0</v>
      </c>
      <c r="BK452" s="10">
        <f>IF('Batt IN'!$N$18="Yes",-BattLoan!H480,-BattLoan!L480)</f>
        <v>0</v>
      </c>
      <c r="BL452" s="10">
        <f>IF('Batt IN'!$N$18="Yes",-BattLoan!F480,0)</f>
        <v>0</v>
      </c>
      <c r="BM452" s="10">
        <f>IF(AND('Batt IN'!$D$44="YES",$C452&lt;='Batt IN'!$E$44*12),0,-'Batt IN'!$E$28*'Batt IN'!$E$42/12)</f>
        <v>-83.333333333333329</v>
      </c>
      <c r="BN452" s="10">
        <f>IF(AND('Batt IN'!$D$46="YES",$C452&lt;='Batt IN'!$E$46*12),0,-'Batt IN'!$E$28*'Batt IN'!$E$45/12)</f>
        <v>-166.66666666666666</v>
      </c>
      <c r="BO452" s="2">
        <f>IF(AND('Batt IN'!$D$41="YES",BattCalcs!C452=ROUNDUP('Batt IN'!$H$41*12,)),-'Batt IN'!$E$41*'Batt IN'!$E$28,0)</f>
        <v>0</v>
      </c>
      <c r="BP452" s="2">
        <f>IF(AND('Batt IN'!$D$53="Yes",$AL$1&gt;=1),0,IF($C452='Batt IN'!$H$54*12,-'Batt IN'!$F$54,0))</f>
        <v>0</v>
      </c>
      <c r="BQ452" s="2">
        <f>IF(AND('Batt IN'!$D$53="Yes",$AL$1&gt;=2),0,IF($C452='Batt IN'!$H$55*12,-'Batt IN'!$F$55,0))</f>
        <v>0</v>
      </c>
      <c r="BR452" s="2">
        <f>IF(AND('Batt IN'!$D$53="Yes",$AL$1&gt;=3),0,IF($C452='Batt IN'!$H$56*12,-'Batt IN'!$F$56,0))</f>
        <v>0</v>
      </c>
      <c r="BS452" s="2">
        <f>IF(AND('Batt IN'!$D$53="Yes",$AL$1&gt;=4),0,IF($C452='Batt IN'!$H$57*12,-'Batt IN'!$F$57,0))</f>
        <v>0</v>
      </c>
      <c r="BT452" s="2">
        <f>IF(AND('Batt IN'!$D$53="Yes",$AL$1&gt;=5),0,IF($C452='Batt IN'!$H$58*12,-'Batt IN'!$F$58,0))</f>
        <v>0</v>
      </c>
      <c r="BU452" s="2">
        <f>-AH452*PVCalcs!F452</f>
        <v>-359.37504381576838</v>
      </c>
      <c r="BV452" s="2">
        <f>-'Batt IN'!$E$47</f>
        <v>-150</v>
      </c>
      <c r="BW452" s="2">
        <f>-'Batt IN'!$E$49</f>
        <v>-2250</v>
      </c>
      <c r="BX452" s="2">
        <f>IF('Batt IN'!$H$50="No",-(BC452*'Batt IN'!$E$50),-(BC452+BE452)*'Batt IN'!$E$50)</f>
        <v>0</v>
      </c>
      <c r="BY452" s="2">
        <f>IF(C452='Batt IN'!$H$43*12,-'Batt IN'!$E$43,0)</f>
        <v>0</v>
      </c>
      <c r="BZ452" s="38"/>
      <c r="CA452" s="10">
        <f t="shared" si="123"/>
        <v>15686.536887785389</v>
      </c>
      <c r="CB452" s="2">
        <f t="shared" si="111"/>
        <v>-3009.3750438157685</v>
      </c>
      <c r="CC452" s="45">
        <f t="shared" si="124"/>
        <v>12677.161843969621</v>
      </c>
      <c r="CD452" s="43"/>
      <c r="CE452" s="2">
        <f t="shared" si="125"/>
        <v>0</v>
      </c>
      <c r="CF452" s="2">
        <f t="shared" si="112"/>
        <v>-3009.3750438157685</v>
      </c>
      <c r="CG452" s="2"/>
      <c r="CH452" s="2">
        <f t="shared" si="126"/>
        <v>-3009.3750438157685</v>
      </c>
      <c r="CI452" s="45">
        <f>-CH452*'Batt IN'!$E$7</f>
        <v>631.9687592013114</v>
      </c>
      <c r="CJ452" s="48"/>
      <c r="CK452" s="45">
        <f>IF('Batt IN'!$F$4="PV Only",0,IF(C452&gt;'Batt IN'!$H$43*12,0,CC452+CI452))</f>
        <v>0</v>
      </c>
      <c r="CM452" s="10">
        <f t="shared" si="127"/>
        <v>0</v>
      </c>
      <c r="CN452" s="2">
        <f>CK452/(1+('Batt IN'!$G$8))^(C452)</f>
        <v>0</v>
      </c>
      <c r="CO452" s="2" t="e">
        <f>IF(C452&lt;='Batt IN'!$O$30*12,CN452+CO451,NA())</f>
        <v>#N/A</v>
      </c>
      <c r="CQ452" s="2">
        <f>CK452/((1+('Batt IN'!$E$8/12))^BattCalcs!C452)</f>
        <v>0</v>
      </c>
      <c r="CS452" s="10">
        <f t="shared" si="113"/>
        <v>-3009.3750438157685</v>
      </c>
      <c r="CT452" s="10">
        <f t="shared" si="114"/>
        <v>0</v>
      </c>
      <c r="CU452" s="10">
        <f t="shared" si="115"/>
        <v>-3009.3750438157685</v>
      </c>
      <c r="CV452" s="10">
        <f t="shared" si="116"/>
        <v>-3009.3750438157685</v>
      </c>
      <c r="CW452" s="2">
        <f t="shared" si="117"/>
        <v>0</v>
      </c>
      <c r="CX452" s="2">
        <f>-(SUM(CV452:CW452)*'PV IN'!$E$8)</f>
        <v>631.9687592013114</v>
      </c>
      <c r="CY452" s="2">
        <f t="shared" si="118"/>
        <v>-2377.406284614457</v>
      </c>
      <c r="CZ452" s="2">
        <f>IF(C452&lt;='Batt IN'!$H$43*12,CY452/(1+('PV IN'!$G$9))^(C452),0)</f>
        <v>0</v>
      </c>
      <c r="DA452" s="33">
        <f>IF(C452&lt;='Batt IN'!$H$43*12,AE452,0)</f>
        <v>0</v>
      </c>
    </row>
    <row r="453" spans="1:105" x14ac:dyDescent="0.25">
      <c r="A453" t="str">
        <f>IF(C453&lt;='Batt IN'!$H$43*12,C453,"")</f>
        <v/>
      </c>
      <c r="C453">
        <v>449</v>
      </c>
      <c r="D453" s="21">
        <v>879</v>
      </c>
      <c r="E453" s="1">
        <f>1-'Batt IN'!$E$31</f>
        <v>2.0000000000000018E-2</v>
      </c>
      <c r="F453" s="12">
        <f>('Batt IN'!$E$33*365)/8760</f>
        <v>0</v>
      </c>
      <c r="G453" s="22">
        <f>'Batt IN'!$E$32/8760</f>
        <v>5.7077625570776253E-3</v>
      </c>
      <c r="H453" s="22">
        <f>'Batt IN'!$E$13/8760</f>
        <v>5.5936073059360729E-3</v>
      </c>
      <c r="I453" s="23">
        <f>IF(C453&lt;='Batt IN'!$G$14*12,'Batt IN'!$E$15/8760*'Batt IN'!$G$15,0)</f>
        <v>0</v>
      </c>
      <c r="J453" s="12">
        <f>Z453/'Batt IN'!$E$27/730</f>
        <v>2.4999999999999996E-3</v>
      </c>
      <c r="K453" s="23">
        <f>AA453/'Batt IN'!$E$27/730</f>
        <v>1.6027397260273972E-3</v>
      </c>
      <c r="L453" s="23">
        <f>AB453/'Batt IN'!$E$27/730</f>
        <v>2.0547945205479451E-4</v>
      </c>
      <c r="M453" s="23">
        <f>AC453/'Batt IN'!$E$27/730</f>
        <v>4.7945205479452057E-3</v>
      </c>
      <c r="N453" s="23">
        <f>AD453/'Batt IN'!$E$27/730</f>
        <v>3.4246575342465752E-3</v>
      </c>
      <c r="O453" s="12">
        <f t="shared" si="119"/>
        <v>4.3828767123287697E-2</v>
      </c>
      <c r="P453" s="21">
        <f t="shared" si="120"/>
        <v>840.47451369863018</v>
      </c>
      <c r="Q453" s="2">
        <f>IF('Batt IN'!$E$27*'Batt IN'!$E$24&lt;='Batt IN'!$E$28,(('Batt IN'!$E$23*'Batt IN'!$E$27*'Batt IN'!$E$24)/1000)*P453,(('Batt IN'!$E$23*'Batt IN'!$E$28*'Batt IN'!$E$24)/1000)*P453)</f>
        <v>13447.592219178083</v>
      </c>
      <c r="R453" s="2"/>
      <c r="S453" s="77">
        <f>IF(C453&lt;='Batt IN'!$G$14*12,'Batt IN'!$E$15/12,0)</f>
        <v>0</v>
      </c>
      <c r="T453" s="77"/>
      <c r="U453" s="80">
        <f>'Batt IN'!$E$28*('Batt IN'!$G$24/24)*730*(1-O453)</f>
        <v>81433.916666666657</v>
      </c>
      <c r="V453" s="78">
        <f>U453*'Batt IN'!$F$30</f>
        <v>16286.783333333333</v>
      </c>
      <c r="W453" s="78">
        <f>'Batt IN'!$E$28*'Batt IN'!$G$32*('Batt IN'!$E$32/12)*(1+'Batt IN'!$F$30)</f>
        <v>1750.0000000000002</v>
      </c>
      <c r="X453" s="78">
        <f>'Batt IN'!$E$28*'Batt IN'!$G$13*('Batt IN'!$E$13/12)*(1+'Batt IN'!$F$30)</f>
        <v>3184.9999999999995</v>
      </c>
      <c r="Y453" s="33">
        <f>S453*'Batt IN'!$G$15*'Batt IN'!$E$28*(1+'Batt IN'!$F$30)</f>
        <v>0</v>
      </c>
      <c r="Z453" s="33">
        <f>'Batt IN'!$G$16*365/12*(1+'Batt IN'!$F$30)</f>
        <v>1824.9999999999998</v>
      </c>
      <c r="AA453" s="33">
        <f>'Batt IN'!$G$17*'Batt IN'!$E$18*'Batt IN'!$G$18/12*(1+'Batt IN'!$F$30)</f>
        <v>1170</v>
      </c>
      <c r="AB453" s="33">
        <f>'Batt IN'!$G$19*'Batt IN'!$E$20*'Batt IN'!$G$20/12*(1+'Batt IN'!$F$30)</f>
        <v>150</v>
      </c>
      <c r="AC453" s="33">
        <f>'Batt IN'!$G$21*(1+'Batt IN'!$F$30)/12</f>
        <v>3500</v>
      </c>
      <c r="AD453" s="33">
        <f>'Batt IN'!$G$22*(1+'Batt IN'!$F$30)/12</f>
        <v>2500</v>
      </c>
      <c r="AE453" s="33">
        <f t="shared" si="121"/>
        <v>30366.783333333333</v>
      </c>
      <c r="AF453" s="33">
        <f>IF('PV IN'!$F$4="Battery Only",0,AE453*'Batt IN'!$E$29)</f>
        <v>25811.765833333331</v>
      </c>
      <c r="AG453" s="33">
        <f>PVCalcs!L453</f>
        <v>25811.765833333331</v>
      </c>
      <c r="AH453" s="33">
        <f t="shared" si="122"/>
        <v>4555.0175000000017</v>
      </c>
      <c r="AI453" s="33"/>
      <c r="AJ453" s="2">
        <f>IF(AND('Batt IN'!$D$53="Yes",$AL$1&gt;=1),IF($C453='Batt IN'!$H$54*12,-'Batt IN'!$F$54,0),0)</f>
        <v>0</v>
      </c>
      <c r="AK453" s="2">
        <f>IF(AND('Batt IN'!$D$53="Yes",$AL$1&gt;=2),IF($C453='Batt IN'!$H$55*12,-'Batt IN'!$F$55,0),0)</f>
        <v>0</v>
      </c>
      <c r="AL453" s="2">
        <f>IF(AND('Batt IN'!$D$53="Yes",$AL$1&gt;=3),IF($C453='Batt IN'!$H$56*12,-'Batt IN'!$F$56,0),0)</f>
        <v>0</v>
      </c>
      <c r="AM453" s="2">
        <f>IF(AND('Batt IN'!$D$53="Yes",$AL$1&gt;=4),IF($C453='Batt IN'!$H$57*12,-'Batt IN'!$F$57,0),0)</f>
        <v>0</v>
      </c>
      <c r="AN453" s="2">
        <f>IF(AND('Batt IN'!$D$53="Yes",$AL$1&gt;=5),IF($C453='Batt IN'!$H$58*12,-'Batt IN'!$F$58,0),0)</f>
        <v>0</v>
      </c>
      <c r="AO453" s="10">
        <f>IF(AND('Batt IN'!$D$44="YES",$C453&lt;='Batt IN'!$E$44*12),-'Batt IN'!$E$28*'Batt IN'!$E$42/12,0)</f>
        <v>0</v>
      </c>
      <c r="AP453" s="10">
        <f>IF(AND('Batt IN'!$D$46="YES",$C453&lt;='Batt IN'!$E$46*12),-'Batt IN'!$E$28*'Batt IN'!$E$45/12,0)</f>
        <v>0</v>
      </c>
      <c r="AR453" s="10">
        <f>BattLoan!M480</f>
        <v>0</v>
      </c>
      <c r="AS453" s="10">
        <f>'Batt IN'!$G$16*365/12*'Batt IN'!$E$16</f>
        <v>76.041666666666671</v>
      </c>
      <c r="AT453" s="10">
        <f>IF(AND('Batt IN'!$E$18&gt;0,'Batt IN'!$G$18&gt;0),'Batt IN'!$E$17*'Batt IN'!$G$17,0)</f>
        <v>119.44619999999999</v>
      </c>
      <c r="AU453" s="10">
        <f>IF(AND('Batt IN'!$E$20&gt;0,'Batt IN'!$G$20&gt;0),'Batt IN'!$E$19*'Batt IN'!$G$19,0)</f>
        <v>231</v>
      </c>
      <c r="AV453" s="10"/>
      <c r="AW453" s="10"/>
      <c r="AX453" s="10">
        <f>IF('Batt IN'!$E$11="Non-Taxable",Q453,0)</f>
        <v>13447.592219178083</v>
      </c>
      <c r="AY453" s="10">
        <f>IF('Batt IN'!$E$11="Non-Taxable",'Batt IN'!$E$28/1000*'Batt IN'!$G$13*('Batt IN'!$E$13/12)*'Batt IN'!$E$12,0)</f>
        <v>244.42220833333334</v>
      </c>
      <c r="AZ453" s="10">
        <f>IF('Batt IN'!$E$11="Non-Taxable",$S453*'Batt IN'!$G$15*'Batt IN'!$E$28*'Batt IN'!$E$14/1000,0)</f>
        <v>0</v>
      </c>
      <c r="BA453" s="10">
        <f>IF('Batt IN'!$E$11="Non-Taxable",'Batt IN'!$E$21*'Batt IN'!$G$21/12,0)</f>
        <v>437.5</v>
      </c>
      <c r="BB453" s="10">
        <f>IF('Batt IN'!$E$11="Non-Taxable",'Batt IN'!$E$22*'Batt IN'!$G$22/12,0)</f>
        <v>1145.8333333333335</v>
      </c>
      <c r="BC453" s="10">
        <f>IF('Batt IN'!$E$11="Taxable",Q453,0)</f>
        <v>0</v>
      </c>
      <c r="BD453" s="10">
        <f>IF('Batt IN'!$E$11="Taxable",'Batt IN'!$E$28/1000*'Batt IN'!$G$13*('Batt IN'!$E$13/12)*'Batt IN'!$E$12,0)</f>
        <v>0</v>
      </c>
      <c r="BE453" s="10">
        <f>IF('Batt IN'!$E$11="Taxable",$S453*'Batt IN'!$G$15*'Batt IN'!$E$28*'Batt IN'!$E$14/1000,0)</f>
        <v>0</v>
      </c>
      <c r="BF453" s="10">
        <f>IF('Batt IN'!$E$11="Taxable",'Batt IN'!$E$21*'Batt IN'!$G$21/12,0)</f>
        <v>0</v>
      </c>
      <c r="BG453" s="10">
        <f>IF('Batt IN'!$E$11="Taxable",'Batt IN'!$E$22*'Batt IN'!$G$22/12,0)</f>
        <v>0</v>
      </c>
      <c r="BK453" s="10">
        <f>IF('Batt IN'!$N$18="Yes",-BattLoan!H481,-BattLoan!L481)</f>
        <v>0</v>
      </c>
      <c r="BL453" s="10">
        <f>IF('Batt IN'!$N$18="Yes",-BattLoan!F481,0)</f>
        <v>0</v>
      </c>
      <c r="BM453" s="10">
        <f>IF(AND('Batt IN'!$D$44="YES",$C453&lt;='Batt IN'!$E$44*12),0,-'Batt IN'!$E$28*'Batt IN'!$E$42/12)</f>
        <v>-83.333333333333329</v>
      </c>
      <c r="BN453" s="10">
        <f>IF(AND('Batt IN'!$D$46="YES",$C453&lt;='Batt IN'!$E$46*12),0,-'Batt IN'!$E$28*'Batt IN'!$E$45/12)</f>
        <v>-166.66666666666666</v>
      </c>
      <c r="BO453" s="2">
        <f>IF(AND('Batt IN'!$D$41="YES",BattCalcs!C453=ROUNDUP('Batt IN'!$H$41*12,)),-'Batt IN'!$E$41*'Batt IN'!$E$28,0)</f>
        <v>0</v>
      </c>
      <c r="BP453" s="2">
        <f>IF(AND('Batt IN'!$D$53="Yes",$AL$1&gt;=1),0,IF($C453='Batt IN'!$H$54*12,-'Batt IN'!$F$54,0))</f>
        <v>0</v>
      </c>
      <c r="BQ453" s="2">
        <f>IF(AND('Batt IN'!$D$53="Yes",$AL$1&gt;=2),0,IF($C453='Batt IN'!$H$55*12,-'Batt IN'!$F$55,0))</f>
        <v>0</v>
      </c>
      <c r="BR453" s="2">
        <f>IF(AND('Batt IN'!$D$53="Yes",$AL$1&gt;=3),0,IF($C453='Batt IN'!$H$56*12,-'Batt IN'!$F$56,0))</f>
        <v>0</v>
      </c>
      <c r="BS453" s="2">
        <f>IF(AND('Batt IN'!$D$53="Yes",$AL$1&gt;=4),0,IF($C453='Batt IN'!$H$57*12,-'Batt IN'!$F$57,0))</f>
        <v>0</v>
      </c>
      <c r="BT453" s="2">
        <f>IF(AND('Batt IN'!$D$53="Yes",$AL$1&gt;=5),0,IF($C453='Batt IN'!$H$58*12,-'Batt IN'!$F$58,0))</f>
        <v>0</v>
      </c>
      <c r="BU453" s="2">
        <f>-AH453*PVCalcs!F453</f>
        <v>-359.37504381576838</v>
      </c>
      <c r="BV453" s="2">
        <f>-'Batt IN'!$E$47</f>
        <v>-150</v>
      </c>
      <c r="BW453" s="2">
        <f>-'Batt IN'!$E$49</f>
        <v>-2250</v>
      </c>
      <c r="BX453" s="2">
        <f>IF('Batt IN'!$H$50="No",-(BC453*'Batt IN'!$E$50),-(BC453+BE453)*'Batt IN'!$E$50)</f>
        <v>0</v>
      </c>
      <c r="BY453" s="2">
        <f>IF(C453='Batt IN'!$H$43*12,-'Batt IN'!$E$43,0)</f>
        <v>0</v>
      </c>
      <c r="BZ453" s="38"/>
      <c r="CA453" s="10">
        <f t="shared" si="123"/>
        <v>15701.835627511417</v>
      </c>
      <c r="CB453" s="2">
        <f t="shared" ref="CB453:CB484" si="128">SUM(BJ453:BY453)</f>
        <v>-3009.3750438157685</v>
      </c>
      <c r="CC453" s="45">
        <f t="shared" si="124"/>
        <v>12692.460583695647</v>
      </c>
      <c r="CD453" s="43"/>
      <c r="CE453" s="2">
        <f t="shared" si="125"/>
        <v>0</v>
      </c>
      <c r="CF453" s="2">
        <f t="shared" ref="CF453:CF484" si="129">SUM(BL453:BY453)</f>
        <v>-3009.3750438157685</v>
      </c>
      <c r="CG453" s="2"/>
      <c r="CH453" s="2">
        <f t="shared" si="126"/>
        <v>-3009.3750438157685</v>
      </c>
      <c r="CI453" s="45">
        <f>-CH453*'Batt IN'!$E$7</f>
        <v>631.9687592013114</v>
      </c>
      <c r="CJ453" s="48"/>
      <c r="CK453" s="45">
        <f>IF('Batt IN'!$F$4="PV Only",0,IF(C453&gt;'Batt IN'!$H$43*12,0,CC453+CI453))</f>
        <v>0</v>
      </c>
      <c r="CM453" s="10">
        <f t="shared" si="127"/>
        <v>0</v>
      </c>
      <c r="CN453" s="2">
        <f>CK453/(1+('Batt IN'!$G$8))^(C453)</f>
        <v>0</v>
      </c>
      <c r="CO453" s="2" t="e">
        <f>IF(C453&lt;='Batt IN'!$O$30*12,CN453+CO452,NA())</f>
        <v>#N/A</v>
      </c>
      <c r="CQ453" s="2">
        <f>CK453/((1+('Batt IN'!$E$8/12))^BattCalcs!C453)</f>
        <v>0</v>
      </c>
      <c r="CS453" s="10">
        <f t="shared" ref="CS453:CS484" si="130">CB453</f>
        <v>-3009.3750438157685</v>
      </c>
      <c r="CT453" s="10">
        <f t="shared" ref="CT453:CT484" si="131">AV453+BH453</f>
        <v>0</v>
      </c>
      <c r="CU453" s="10">
        <f t="shared" ref="CU453:CU484" si="132">CS453+CT453</f>
        <v>-3009.3750438157685</v>
      </c>
      <c r="CV453" s="10">
        <f t="shared" ref="CV453:CV484" si="133">SUM(BL453:BX453)</f>
        <v>-3009.3750438157685</v>
      </c>
      <c r="CW453" s="2">
        <f t="shared" ref="CW453:CW484" si="134">CG453</f>
        <v>0</v>
      </c>
      <c r="CX453" s="2">
        <f>-(SUM(CV453:CW453)*'PV IN'!$E$8)</f>
        <v>631.9687592013114</v>
      </c>
      <c r="CY453" s="2">
        <f t="shared" ref="CY453:CY484" si="135">CU453+CX453</f>
        <v>-2377.406284614457</v>
      </c>
      <c r="CZ453" s="2">
        <f>IF(C453&lt;='Batt IN'!$H$43*12,CY453/(1+('PV IN'!$G$9))^(C453),0)</f>
        <v>0</v>
      </c>
      <c r="DA453" s="33">
        <f>IF(C453&lt;='Batt IN'!$H$43*12,AE453,0)</f>
        <v>0</v>
      </c>
    </row>
    <row r="454" spans="1:105" x14ac:dyDescent="0.25">
      <c r="A454" t="str">
        <f>IF(C454&lt;='Batt IN'!$H$43*12,C454,"")</f>
        <v/>
      </c>
      <c r="C454">
        <v>450</v>
      </c>
      <c r="D454" s="21">
        <v>880</v>
      </c>
      <c r="E454" s="1">
        <f>1-'Batt IN'!$E$31</f>
        <v>2.0000000000000018E-2</v>
      </c>
      <c r="F454" s="12">
        <f>('Batt IN'!$E$33*365)/8760</f>
        <v>0</v>
      </c>
      <c r="G454" s="22">
        <f>'Batt IN'!$E$32/8760</f>
        <v>5.7077625570776253E-3</v>
      </c>
      <c r="H454" s="22">
        <f>'Batt IN'!$E$13/8760</f>
        <v>5.5936073059360729E-3</v>
      </c>
      <c r="I454" s="23">
        <f>IF(C454&lt;='Batt IN'!$G$14*12,'Batt IN'!$E$15/8760*'Batt IN'!$G$15,0)</f>
        <v>0</v>
      </c>
      <c r="J454" s="12">
        <f>Z454/'Batt IN'!$E$27/730</f>
        <v>2.4999999999999996E-3</v>
      </c>
      <c r="K454" s="23">
        <f>AA454/'Batt IN'!$E$27/730</f>
        <v>1.6027397260273972E-3</v>
      </c>
      <c r="L454" s="23">
        <f>AB454/'Batt IN'!$E$27/730</f>
        <v>2.0547945205479451E-4</v>
      </c>
      <c r="M454" s="23">
        <f>AC454/'Batt IN'!$E$27/730</f>
        <v>4.7945205479452057E-3</v>
      </c>
      <c r="N454" s="23">
        <f>AD454/'Batt IN'!$E$27/730</f>
        <v>3.4246575342465752E-3</v>
      </c>
      <c r="O454" s="12">
        <f t="shared" si="119"/>
        <v>4.3828767123287697E-2</v>
      </c>
      <c r="P454" s="21">
        <f t="shared" si="120"/>
        <v>841.4306849315069</v>
      </c>
      <c r="Q454" s="2">
        <f>IF('Batt IN'!$E$27*'Batt IN'!$E$24&lt;='Batt IN'!$E$28,(('Batt IN'!$E$23*'Batt IN'!$E$27*'Batt IN'!$E$24)/1000)*P454,(('Batt IN'!$E$23*'Batt IN'!$E$28*'Batt IN'!$E$24)/1000)*P454)</f>
        <v>13462.89095890411</v>
      </c>
      <c r="R454" s="2"/>
      <c r="S454" s="77">
        <f>IF(C454&lt;='Batt IN'!$G$14*12,'Batt IN'!$E$15/12,0)</f>
        <v>0</v>
      </c>
      <c r="T454" s="77"/>
      <c r="U454" s="80">
        <f>'Batt IN'!$E$28*('Batt IN'!$G$24/24)*730*(1-O454)</f>
        <v>81433.916666666657</v>
      </c>
      <c r="V454" s="78">
        <f>U454*'Batt IN'!$F$30</f>
        <v>16286.783333333333</v>
      </c>
      <c r="W454" s="78">
        <f>'Batt IN'!$E$28*'Batt IN'!$G$32*('Batt IN'!$E$32/12)*(1+'Batt IN'!$F$30)</f>
        <v>1750.0000000000002</v>
      </c>
      <c r="X454" s="78">
        <f>'Batt IN'!$E$28*'Batt IN'!$G$13*('Batt IN'!$E$13/12)*(1+'Batt IN'!$F$30)</f>
        <v>3184.9999999999995</v>
      </c>
      <c r="Y454" s="33">
        <f>S454*'Batt IN'!$G$15*'Batt IN'!$E$28*(1+'Batt IN'!$F$30)</f>
        <v>0</v>
      </c>
      <c r="Z454" s="33">
        <f>'Batt IN'!$G$16*365/12*(1+'Batt IN'!$F$30)</f>
        <v>1824.9999999999998</v>
      </c>
      <c r="AA454" s="33">
        <f>'Batt IN'!$G$17*'Batt IN'!$E$18*'Batt IN'!$G$18/12*(1+'Batt IN'!$F$30)</f>
        <v>1170</v>
      </c>
      <c r="AB454" s="33">
        <f>'Batt IN'!$G$19*'Batt IN'!$E$20*'Batt IN'!$G$20/12*(1+'Batt IN'!$F$30)</f>
        <v>150</v>
      </c>
      <c r="AC454" s="33">
        <f>'Batt IN'!$G$21*(1+'Batt IN'!$F$30)/12</f>
        <v>3500</v>
      </c>
      <c r="AD454" s="33">
        <f>'Batt IN'!$G$22*(1+'Batt IN'!$F$30)/12</f>
        <v>2500</v>
      </c>
      <c r="AE454" s="33">
        <f t="shared" si="121"/>
        <v>30366.783333333333</v>
      </c>
      <c r="AF454" s="33">
        <f>IF('PV IN'!$F$4="Battery Only",0,AE454*'Batt IN'!$E$29)</f>
        <v>25811.765833333331</v>
      </c>
      <c r="AG454" s="33">
        <f>PVCalcs!L454</f>
        <v>25811.765833333331</v>
      </c>
      <c r="AH454" s="33">
        <f t="shared" si="122"/>
        <v>4555.0175000000017</v>
      </c>
      <c r="AI454" s="33"/>
      <c r="AJ454" s="2">
        <f>IF(AND('Batt IN'!$D$53="Yes",$AL$1&gt;=1),IF($C454='Batt IN'!$H$54*12,-'Batt IN'!$F$54,0),0)</f>
        <v>0</v>
      </c>
      <c r="AK454" s="2">
        <f>IF(AND('Batt IN'!$D$53="Yes",$AL$1&gt;=2),IF($C454='Batt IN'!$H$55*12,-'Batt IN'!$F$55,0),0)</f>
        <v>0</v>
      </c>
      <c r="AL454" s="2">
        <f>IF(AND('Batt IN'!$D$53="Yes",$AL$1&gt;=3),IF($C454='Batt IN'!$H$56*12,-'Batt IN'!$F$56,0),0)</f>
        <v>0</v>
      </c>
      <c r="AM454" s="2">
        <f>IF(AND('Batt IN'!$D$53="Yes",$AL$1&gt;=4),IF($C454='Batt IN'!$H$57*12,-'Batt IN'!$F$57,0),0)</f>
        <v>0</v>
      </c>
      <c r="AN454" s="2">
        <f>IF(AND('Batt IN'!$D$53="Yes",$AL$1&gt;=5),IF($C454='Batt IN'!$H$58*12,-'Batt IN'!$F$58,0),0)</f>
        <v>0</v>
      </c>
      <c r="AO454" s="10">
        <f>IF(AND('Batt IN'!$D$44="YES",$C454&lt;='Batt IN'!$E$44*12),-'Batt IN'!$E$28*'Batt IN'!$E$42/12,0)</f>
        <v>0</v>
      </c>
      <c r="AP454" s="10">
        <f>IF(AND('Batt IN'!$D$46="YES",$C454&lt;='Batt IN'!$E$46*12),-'Batt IN'!$E$28*'Batt IN'!$E$45/12,0)</f>
        <v>0</v>
      </c>
      <c r="AR454" s="10">
        <f>BattLoan!M481</f>
        <v>0</v>
      </c>
      <c r="AS454" s="10">
        <f>'Batt IN'!$G$16*365/12*'Batt IN'!$E$16</f>
        <v>76.041666666666671</v>
      </c>
      <c r="AT454" s="10">
        <f>IF(AND('Batt IN'!$E$18&gt;0,'Batt IN'!$G$18&gt;0),'Batt IN'!$E$17*'Batt IN'!$G$17,0)</f>
        <v>119.44619999999999</v>
      </c>
      <c r="AU454" s="10">
        <f>IF(AND('Batt IN'!$E$20&gt;0,'Batt IN'!$G$20&gt;0),'Batt IN'!$E$19*'Batt IN'!$G$19,0)</f>
        <v>231</v>
      </c>
      <c r="AV454" s="10"/>
      <c r="AW454" s="10"/>
      <c r="AX454" s="10">
        <f>IF('Batt IN'!$E$11="Non-Taxable",Q454,0)</f>
        <v>13462.89095890411</v>
      </c>
      <c r="AY454" s="10">
        <f>IF('Batt IN'!$E$11="Non-Taxable",'Batt IN'!$E$28/1000*'Batt IN'!$G$13*('Batt IN'!$E$13/12)*'Batt IN'!$E$12,0)</f>
        <v>244.42220833333334</v>
      </c>
      <c r="AZ454" s="10">
        <f>IF('Batt IN'!$E$11="Non-Taxable",$S454*'Batt IN'!$G$15*'Batt IN'!$E$28*'Batt IN'!$E$14/1000,0)</f>
        <v>0</v>
      </c>
      <c r="BA454" s="10">
        <f>IF('Batt IN'!$E$11="Non-Taxable",'Batt IN'!$E$21*'Batt IN'!$G$21/12,0)</f>
        <v>437.5</v>
      </c>
      <c r="BB454" s="10">
        <f>IF('Batt IN'!$E$11="Non-Taxable",'Batt IN'!$E$22*'Batt IN'!$G$22/12,0)</f>
        <v>1145.8333333333335</v>
      </c>
      <c r="BC454" s="10">
        <f>IF('Batt IN'!$E$11="Taxable",Q454,0)</f>
        <v>0</v>
      </c>
      <c r="BD454" s="10">
        <f>IF('Batt IN'!$E$11="Taxable",'Batt IN'!$E$28/1000*'Batt IN'!$G$13*('Batt IN'!$E$13/12)*'Batt IN'!$E$12,0)</f>
        <v>0</v>
      </c>
      <c r="BE454" s="10">
        <f>IF('Batt IN'!$E$11="Taxable",$S454*'Batt IN'!$G$15*'Batt IN'!$E$28*'Batt IN'!$E$14/1000,0)</f>
        <v>0</v>
      </c>
      <c r="BF454" s="10">
        <f>IF('Batt IN'!$E$11="Taxable",'Batt IN'!$E$21*'Batt IN'!$G$21/12,0)</f>
        <v>0</v>
      </c>
      <c r="BG454" s="10">
        <f>IF('Batt IN'!$E$11="Taxable",'Batt IN'!$E$22*'Batt IN'!$G$22/12,0)</f>
        <v>0</v>
      </c>
      <c r="BK454" s="10">
        <f>IF('Batt IN'!$N$18="Yes",-BattLoan!H482,-BattLoan!L482)</f>
        <v>0</v>
      </c>
      <c r="BL454" s="10">
        <f>IF('Batt IN'!$N$18="Yes",-BattLoan!F482,0)</f>
        <v>0</v>
      </c>
      <c r="BM454" s="10">
        <f>IF(AND('Batt IN'!$D$44="YES",$C454&lt;='Batt IN'!$E$44*12),0,-'Batt IN'!$E$28*'Batt IN'!$E$42/12)</f>
        <v>-83.333333333333329</v>
      </c>
      <c r="BN454" s="10">
        <f>IF(AND('Batt IN'!$D$46="YES",$C454&lt;='Batt IN'!$E$46*12),0,-'Batt IN'!$E$28*'Batt IN'!$E$45/12)</f>
        <v>-166.66666666666666</v>
      </c>
      <c r="BO454" s="2">
        <f>IF(AND('Batt IN'!$D$41="YES",BattCalcs!C454=ROUNDUP('Batt IN'!$H$41*12,)),-'Batt IN'!$E$41*'Batt IN'!$E$28,0)</f>
        <v>0</v>
      </c>
      <c r="BP454" s="2">
        <f>IF(AND('Batt IN'!$D$53="Yes",$AL$1&gt;=1),0,IF($C454='Batt IN'!$H$54*12,-'Batt IN'!$F$54,0))</f>
        <v>0</v>
      </c>
      <c r="BQ454" s="2">
        <f>IF(AND('Batt IN'!$D$53="Yes",$AL$1&gt;=2),0,IF($C454='Batt IN'!$H$55*12,-'Batt IN'!$F$55,0))</f>
        <v>0</v>
      </c>
      <c r="BR454" s="2">
        <f>IF(AND('Batt IN'!$D$53="Yes",$AL$1&gt;=3),0,IF($C454='Batt IN'!$H$56*12,-'Batt IN'!$F$56,0))</f>
        <v>0</v>
      </c>
      <c r="BS454" s="2">
        <f>IF(AND('Batt IN'!$D$53="Yes",$AL$1&gt;=4),0,IF($C454='Batt IN'!$H$57*12,-'Batt IN'!$F$57,0))</f>
        <v>0</v>
      </c>
      <c r="BT454" s="2">
        <f>IF(AND('Batt IN'!$D$53="Yes",$AL$1&gt;=5),0,IF($C454='Batt IN'!$H$58*12,-'Batt IN'!$F$58,0))</f>
        <v>0</v>
      </c>
      <c r="BU454" s="2">
        <f>-AH454*PVCalcs!F454</f>
        <v>-359.37504381576838</v>
      </c>
      <c r="BV454" s="2">
        <f>-'Batt IN'!$E$47</f>
        <v>-150</v>
      </c>
      <c r="BW454" s="2">
        <f>-'Batt IN'!$E$49</f>
        <v>-2250</v>
      </c>
      <c r="BX454" s="2">
        <f>IF('Batt IN'!$H$50="No",-(BC454*'Batt IN'!$E$50),-(BC454+BE454)*'Batt IN'!$E$50)</f>
        <v>0</v>
      </c>
      <c r="BY454" s="2">
        <f>IF(C454='Batt IN'!$H$43*12,-'Batt IN'!$E$43,0)</f>
        <v>0</v>
      </c>
      <c r="BZ454" s="38"/>
      <c r="CA454" s="10">
        <f t="shared" si="123"/>
        <v>15717.134367237444</v>
      </c>
      <c r="CB454" s="2">
        <f t="shared" si="128"/>
        <v>-3009.3750438157685</v>
      </c>
      <c r="CC454" s="45">
        <f t="shared" si="124"/>
        <v>12707.759323421677</v>
      </c>
      <c r="CD454" s="43"/>
      <c r="CE454" s="2">
        <f t="shared" si="125"/>
        <v>0</v>
      </c>
      <c r="CF454" s="2">
        <f t="shared" si="129"/>
        <v>-3009.3750438157685</v>
      </c>
      <c r="CG454" s="2"/>
      <c r="CH454" s="2">
        <f t="shared" si="126"/>
        <v>-3009.3750438157685</v>
      </c>
      <c r="CI454" s="45">
        <f>-CH454*'Batt IN'!$E$7</f>
        <v>631.9687592013114</v>
      </c>
      <c r="CJ454" s="48"/>
      <c r="CK454" s="45">
        <f>IF('Batt IN'!$F$4="PV Only",0,IF(C454&gt;'Batt IN'!$H$43*12,0,CC454+CI454))</f>
        <v>0</v>
      </c>
      <c r="CM454" s="10">
        <f t="shared" si="127"/>
        <v>0</v>
      </c>
      <c r="CN454" s="2">
        <f>CK454/(1+('Batt IN'!$G$8))^(C454)</f>
        <v>0</v>
      </c>
      <c r="CO454" s="2" t="e">
        <f>IF(C454&lt;='Batt IN'!$O$30*12,CN454+CO453,NA())</f>
        <v>#N/A</v>
      </c>
      <c r="CQ454" s="2">
        <f>CK454/((1+('Batt IN'!$E$8/12))^BattCalcs!C454)</f>
        <v>0</v>
      </c>
      <c r="CS454" s="10">
        <f t="shared" si="130"/>
        <v>-3009.3750438157685</v>
      </c>
      <c r="CT454" s="10">
        <f t="shared" si="131"/>
        <v>0</v>
      </c>
      <c r="CU454" s="10">
        <f t="shared" si="132"/>
        <v>-3009.3750438157685</v>
      </c>
      <c r="CV454" s="10">
        <f t="shared" si="133"/>
        <v>-3009.3750438157685</v>
      </c>
      <c r="CW454" s="2">
        <f t="shared" si="134"/>
        <v>0</v>
      </c>
      <c r="CX454" s="2">
        <f>-(SUM(CV454:CW454)*'PV IN'!$E$8)</f>
        <v>631.9687592013114</v>
      </c>
      <c r="CY454" s="2">
        <f t="shared" si="135"/>
        <v>-2377.406284614457</v>
      </c>
      <c r="CZ454" s="2">
        <f>IF(C454&lt;='Batt IN'!$H$43*12,CY454/(1+('PV IN'!$G$9))^(C454),0)</f>
        <v>0</v>
      </c>
      <c r="DA454" s="33">
        <f>IF(C454&lt;='Batt IN'!$H$43*12,AE454,0)</f>
        <v>0</v>
      </c>
    </row>
    <row r="455" spans="1:105" x14ac:dyDescent="0.25">
      <c r="A455" t="str">
        <f>IF(C455&lt;='Batt IN'!$H$43*12,C455,"")</f>
        <v/>
      </c>
      <c r="C455">
        <v>451</v>
      </c>
      <c r="D455" s="21">
        <v>881</v>
      </c>
      <c r="E455" s="1">
        <f>1-'Batt IN'!$E$31</f>
        <v>2.0000000000000018E-2</v>
      </c>
      <c r="F455" s="12">
        <f>('Batt IN'!$E$33*365)/8760</f>
        <v>0</v>
      </c>
      <c r="G455" s="22">
        <f>'Batt IN'!$E$32/8760</f>
        <v>5.7077625570776253E-3</v>
      </c>
      <c r="H455" s="22">
        <f>'Batt IN'!$E$13/8760</f>
        <v>5.5936073059360729E-3</v>
      </c>
      <c r="I455" s="23">
        <f>IF(C455&lt;='Batt IN'!$G$14*12,'Batt IN'!$E$15/8760*'Batt IN'!$G$15,0)</f>
        <v>0</v>
      </c>
      <c r="J455" s="12">
        <f>Z455/'Batt IN'!$E$27/730</f>
        <v>2.4999999999999996E-3</v>
      </c>
      <c r="K455" s="23">
        <f>AA455/'Batt IN'!$E$27/730</f>
        <v>1.6027397260273972E-3</v>
      </c>
      <c r="L455" s="23">
        <f>AB455/'Batt IN'!$E$27/730</f>
        <v>2.0547945205479451E-4</v>
      </c>
      <c r="M455" s="23">
        <f>AC455/'Batt IN'!$E$27/730</f>
        <v>4.7945205479452057E-3</v>
      </c>
      <c r="N455" s="23">
        <f>AD455/'Batt IN'!$E$27/730</f>
        <v>3.4246575342465752E-3</v>
      </c>
      <c r="O455" s="12">
        <f t="shared" si="119"/>
        <v>4.3828767123287697E-2</v>
      </c>
      <c r="P455" s="21">
        <f t="shared" si="120"/>
        <v>842.38685616438363</v>
      </c>
      <c r="Q455" s="2">
        <f>IF('Batt IN'!$E$27*'Batt IN'!$E$24&lt;='Batt IN'!$E$28,(('Batt IN'!$E$23*'Batt IN'!$E$27*'Batt IN'!$E$24)/1000)*P455,(('Batt IN'!$E$23*'Batt IN'!$E$28*'Batt IN'!$E$24)/1000)*P455)</f>
        <v>13478.189698630138</v>
      </c>
      <c r="R455" s="2"/>
      <c r="S455" s="77">
        <f>IF(C455&lt;='Batt IN'!$G$14*12,'Batt IN'!$E$15/12,0)</f>
        <v>0</v>
      </c>
      <c r="T455" s="77"/>
      <c r="U455" s="80">
        <f>'Batt IN'!$E$28*('Batt IN'!$G$24/24)*730*(1-O455)</f>
        <v>81433.916666666657</v>
      </c>
      <c r="V455" s="78">
        <f>U455*'Batt IN'!$F$30</f>
        <v>16286.783333333333</v>
      </c>
      <c r="W455" s="78">
        <f>'Batt IN'!$E$28*'Batt IN'!$G$32*('Batt IN'!$E$32/12)*(1+'Batt IN'!$F$30)</f>
        <v>1750.0000000000002</v>
      </c>
      <c r="X455" s="78">
        <f>'Batt IN'!$E$28*'Batt IN'!$G$13*('Batt IN'!$E$13/12)*(1+'Batt IN'!$F$30)</f>
        <v>3184.9999999999995</v>
      </c>
      <c r="Y455" s="33">
        <f>S455*'Batt IN'!$G$15*'Batt IN'!$E$28*(1+'Batt IN'!$F$30)</f>
        <v>0</v>
      </c>
      <c r="Z455" s="33">
        <f>'Batt IN'!$G$16*365/12*(1+'Batt IN'!$F$30)</f>
        <v>1824.9999999999998</v>
      </c>
      <c r="AA455" s="33">
        <f>'Batt IN'!$G$17*'Batt IN'!$E$18*'Batt IN'!$G$18/12*(1+'Batt IN'!$F$30)</f>
        <v>1170</v>
      </c>
      <c r="AB455" s="33">
        <f>'Batt IN'!$G$19*'Batt IN'!$E$20*'Batt IN'!$G$20/12*(1+'Batt IN'!$F$30)</f>
        <v>150</v>
      </c>
      <c r="AC455" s="33">
        <f>'Batt IN'!$G$21*(1+'Batt IN'!$F$30)/12</f>
        <v>3500</v>
      </c>
      <c r="AD455" s="33">
        <f>'Batt IN'!$G$22*(1+'Batt IN'!$F$30)/12</f>
        <v>2500</v>
      </c>
      <c r="AE455" s="33">
        <f t="shared" si="121"/>
        <v>30366.783333333333</v>
      </c>
      <c r="AF455" s="33">
        <f>IF('PV IN'!$F$4="Battery Only",0,AE455*'Batt IN'!$E$29)</f>
        <v>25811.765833333331</v>
      </c>
      <c r="AG455" s="33">
        <f>PVCalcs!L455</f>
        <v>25811.765833333331</v>
      </c>
      <c r="AH455" s="33">
        <f t="shared" si="122"/>
        <v>4555.0175000000017</v>
      </c>
      <c r="AI455" s="33"/>
      <c r="AJ455" s="2">
        <f>IF(AND('Batt IN'!$D$53="Yes",$AL$1&gt;=1),IF($C455='Batt IN'!$H$54*12,-'Batt IN'!$F$54,0),0)</f>
        <v>0</v>
      </c>
      <c r="AK455" s="2">
        <f>IF(AND('Batt IN'!$D$53="Yes",$AL$1&gt;=2),IF($C455='Batt IN'!$H$55*12,-'Batt IN'!$F$55,0),0)</f>
        <v>0</v>
      </c>
      <c r="AL455" s="2">
        <f>IF(AND('Batt IN'!$D$53="Yes",$AL$1&gt;=3),IF($C455='Batt IN'!$H$56*12,-'Batt IN'!$F$56,0),0)</f>
        <v>0</v>
      </c>
      <c r="AM455" s="2">
        <f>IF(AND('Batt IN'!$D$53="Yes",$AL$1&gt;=4),IF($C455='Batt IN'!$H$57*12,-'Batt IN'!$F$57,0),0)</f>
        <v>0</v>
      </c>
      <c r="AN455" s="2">
        <f>IF(AND('Batt IN'!$D$53="Yes",$AL$1&gt;=5),IF($C455='Batt IN'!$H$58*12,-'Batt IN'!$F$58,0),0)</f>
        <v>0</v>
      </c>
      <c r="AO455" s="10">
        <f>IF(AND('Batt IN'!$D$44="YES",$C455&lt;='Batt IN'!$E$44*12),-'Batt IN'!$E$28*'Batt IN'!$E$42/12,0)</f>
        <v>0</v>
      </c>
      <c r="AP455" s="10">
        <f>IF(AND('Batt IN'!$D$46="YES",$C455&lt;='Batt IN'!$E$46*12),-'Batt IN'!$E$28*'Batt IN'!$E$45/12,0)</f>
        <v>0</v>
      </c>
      <c r="AR455" s="10">
        <f>BattLoan!M482</f>
        <v>0</v>
      </c>
      <c r="AS455" s="10">
        <f>'Batt IN'!$G$16*365/12*'Batt IN'!$E$16</f>
        <v>76.041666666666671</v>
      </c>
      <c r="AT455" s="10">
        <f>IF(AND('Batt IN'!$E$18&gt;0,'Batt IN'!$G$18&gt;0),'Batt IN'!$E$17*'Batt IN'!$G$17,0)</f>
        <v>119.44619999999999</v>
      </c>
      <c r="AU455" s="10">
        <f>IF(AND('Batt IN'!$E$20&gt;0,'Batt IN'!$G$20&gt;0),'Batt IN'!$E$19*'Batt IN'!$G$19,0)</f>
        <v>231</v>
      </c>
      <c r="AV455" s="10"/>
      <c r="AW455" s="10"/>
      <c r="AX455" s="10">
        <f>IF('Batt IN'!$E$11="Non-Taxable",Q455,0)</f>
        <v>13478.189698630138</v>
      </c>
      <c r="AY455" s="10">
        <f>IF('Batt IN'!$E$11="Non-Taxable",'Batt IN'!$E$28/1000*'Batt IN'!$G$13*('Batt IN'!$E$13/12)*'Batt IN'!$E$12,0)</f>
        <v>244.42220833333334</v>
      </c>
      <c r="AZ455" s="10">
        <f>IF('Batt IN'!$E$11="Non-Taxable",$S455*'Batt IN'!$G$15*'Batt IN'!$E$28*'Batt IN'!$E$14/1000,0)</f>
        <v>0</v>
      </c>
      <c r="BA455" s="10">
        <f>IF('Batt IN'!$E$11="Non-Taxable",'Batt IN'!$E$21*'Batt IN'!$G$21/12,0)</f>
        <v>437.5</v>
      </c>
      <c r="BB455" s="10">
        <f>IF('Batt IN'!$E$11="Non-Taxable",'Batt IN'!$E$22*'Batt IN'!$G$22/12,0)</f>
        <v>1145.8333333333335</v>
      </c>
      <c r="BC455" s="10">
        <f>IF('Batt IN'!$E$11="Taxable",Q455,0)</f>
        <v>0</v>
      </c>
      <c r="BD455" s="10">
        <f>IF('Batt IN'!$E$11="Taxable",'Batt IN'!$E$28/1000*'Batt IN'!$G$13*('Batt IN'!$E$13/12)*'Batt IN'!$E$12,0)</f>
        <v>0</v>
      </c>
      <c r="BE455" s="10">
        <f>IF('Batt IN'!$E$11="Taxable",$S455*'Batt IN'!$G$15*'Batt IN'!$E$28*'Batt IN'!$E$14/1000,0)</f>
        <v>0</v>
      </c>
      <c r="BF455" s="10">
        <f>IF('Batt IN'!$E$11="Taxable",'Batt IN'!$E$21*'Batt IN'!$G$21/12,0)</f>
        <v>0</v>
      </c>
      <c r="BG455" s="10">
        <f>IF('Batt IN'!$E$11="Taxable",'Batt IN'!$E$22*'Batt IN'!$G$22/12,0)</f>
        <v>0</v>
      </c>
      <c r="BK455" s="10">
        <f>IF('Batt IN'!$N$18="Yes",-BattLoan!H483,-BattLoan!L483)</f>
        <v>0</v>
      </c>
      <c r="BL455" s="10">
        <f>IF('Batt IN'!$N$18="Yes",-BattLoan!F483,0)</f>
        <v>0</v>
      </c>
      <c r="BM455" s="10">
        <f>IF(AND('Batt IN'!$D$44="YES",$C455&lt;='Batt IN'!$E$44*12),0,-'Batt IN'!$E$28*'Batt IN'!$E$42/12)</f>
        <v>-83.333333333333329</v>
      </c>
      <c r="BN455" s="10">
        <f>IF(AND('Batt IN'!$D$46="YES",$C455&lt;='Batt IN'!$E$46*12),0,-'Batt IN'!$E$28*'Batt IN'!$E$45/12)</f>
        <v>-166.66666666666666</v>
      </c>
      <c r="BO455" s="2">
        <f>IF(AND('Batt IN'!$D$41="YES",BattCalcs!C455=ROUNDUP('Batt IN'!$H$41*12,)),-'Batt IN'!$E$41*'Batt IN'!$E$28,0)</f>
        <v>0</v>
      </c>
      <c r="BP455" s="2">
        <f>IF(AND('Batt IN'!$D$53="Yes",$AL$1&gt;=1),0,IF($C455='Batt IN'!$H$54*12,-'Batt IN'!$F$54,0))</f>
        <v>0</v>
      </c>
      <c r="BQ455" s="2">
        <f>IF(AND('Batt IN'!$D$53="Yes",$AL$1&gt;=2),0,IF($C455='Batt IN'!$H$55*12,-'Batt IN'!$F$55,0))</f>
        <v>0</v>
      </c>
      <c r="BR455" s="2">
        <f>IF(AND('Batt IN'!$D$53="Yes",$AL$1&gt;=3),0,IF($C455='Batt IN'!$H$56*12,-'Batt IN'!$F$56,0))</f>
        <v>0</v>
      </c>
      <c r="BS455" s="2">
        <f>IF(AND('Batt IN'!$D$53="Yes",$AL$1&gt;=4),0,IF($C455='Batt IN'!$H$57*12,-'Batt IN'!$F$57,0))</f>
        <v>0</v>
      </c>
      <c r="BT455" s="2">
        <f>IF(AND('Batt IN'!$D$53="Yes",$AL$1&gt;=5),0,IF($C455='Batt IN'!$H$58*12,-'Batt IN'!$F$58,0))</f>
        <v>0</v>
      </c>
      <c r="BU455" s="2">
        <f>-AH455*PVCalcs!F455</f>
        <v>-359.37504381576838</v>
      </c>
      <c r="BV455" s="2">
        <f>-'Batt IN'!$E$47</f>
        <v>-150</v>
      </c>
      <c r="BW455" s="2">
        <f>-'Batt IN'!$E$49</f>
        <v>-2250</v>
      </c>
      <c r="BX455" s="2">
        <f>IF('Batt IN'!$H$50="No",-(BC455*'Batt IN'!$E$50),-(BC455+BE455)*'Batt IN'!$E$50)</f>
        <v>0</v>
      </c>
      <c r="BY455" s="2">
        <f>IF(C455='Batt IN'!$H$43*12,-'Batt IN'!$E$43,0)</f>
        <v>0</v>
      </c>
      <c r="BZ455" s="38"/>
      <c r="CA455" s="10">
        <f t="shared" si="123"/>
        <v>15732.433106963472</v>
      </c>
      <c r="CB455" s="2">
        <f t="shared" si="128"/>
        <v>-3009.3750438157685</v>
      </c>
      <c r="CC455" s="45">
        <f t="shared" si="124"/>
        <v>12723.058063147702</v>
      </c>
      <c r="CD455" s="43"/>
      <c r="CE455" s="2">
        <f t="shared" si="125"/>
        <v>0</v>
      </c>
      <c r="CF455" s="2">
        <f t="shared" si="129"/>
        <v>-3009.3750438157685</v>
      </c>
      <c r="CG455" s="2"/>
      <c r="CH455" s="2">
        <f t="shared" si="126"/>
        <v>-3009.3750438157685</v>
      </c>
      <c r="CI455" s="45">
        <f>-CH455*'Batt IN'!$E$7</f>
        <v>631.9687592013114</v>
      </c>
      <c r="CJ455" s="48"/>
      <c r="CK455" s="45">
        <f>IF('Batt IN'!$F$4="PV Only",0,IF(C455&gt;'Batt IN'!$H$43*12,0,CC455+CI455))</f>
        <v>0</v>
      </c>
      <c r="CM455" s="10">
        <f t="shared" si="127"/>
        <v>0</v>
      </c>
      <c r="CN455" s="2">
        <f>CK455/(1+('Batt IN'!$G$8))^(C455)</f>
        <v>0</v>
      </c>
      <c r="CO455" s="2" t="e">
        <f>IF(C455&lt;='Batt IN'!$O$30*12,CN455+CO454,NA())</f>
        <v>#N/A</v>
      </c>
      <c r="CQ455" s="2">
        <f>CK455/((1+('Batt IN'!$E$8/12))^BattCalcs!C455)</f>
        <v>0</v>
      </c>
      <c r="CS455" s="10">
        <f t="shared" si="130"/>
        <v>-3009.3750438157685</v>
      </c>
      <c r="CT455" s="10">
        <f t="shared" si="131"/>
        <v>0</v>
      </c>
      <c r="CU455" s="10">
        <f t="shared" si="132"/>
        <v>-3009.3750438157685</v>
      </c>
      <c r="CV455" s="10">
        <f t="shared" si="133"/>
        <v>-3009.3750438157685</v>
      </c>
      <c r="CW455" s="2">
        <f t="shared" si="134"/>
        <v>0</v>
      </c>
      <c r="CX455" s="2">
        <f>-(SUM(CV455:CW455)*'PV IN'!$E$8)</f>
        <v>631.9687592013114</v>
      </c>
      <c r="CY455" s="2">
        <f t="shared" si="135"/>
        <v>-2377.406284614457</v>
      </c>
      <c r="CZ455" s="2">
        <f>IF(C455&lt;='Batt IN'!$H$43*12,CY455/(1+('PV IN'!$G$9))^(C455),0)</f>
        <v>0</v>
      </c>
      <c r="DA455" s="33">
        <f>IF(C455&lt;='Batt IN'!$H$43*12,AE455,0)</f>
        <v>0</v>
      </c>
    </row>
    <row r="456" spans="1:105" x14ac:dyDescent="0.25">
      <c r="A456" t="str">
        <f>IF(C456&lt;='Batt IN'!$H$43*12,C456,"")</f>
        <v/>
      </c>
      <c r="C456">
        <v>452</v>
      </c>
      <c r="D456" s="21">
        <v>882</v>
      </c>
      <c r="E456" s="1">
        <f>1-'Batt IN'!$E$31</f>
        <v>2.0000000000000018E-2</v>
      </c>
      <c r="F456" s="12">
        <f>('Batt IN'!$E$33*365)/8760</f>
        <v>0</v>
      </c>
      <c r="G456" s="22">
        <f>'Batt IN'!$E$32/8760</f>
        <v>5.7077625570776253E-3</v>
      </c>
      <c r="H456" s="22">
        <f>'Batt IN'!$E$13/8760</f>
        <v>5.5936073059360729E-3</v>
      </c>
      <c r="I456" s="23">
        <f>IF(C456&lt;='Batt IN'!$G$14*12,'Batt IN'!$E$15/8760*'Batt IN'!$G$15,0)</f>
        <v>0</v>
      </c>
      <c r="J456" s="12">
        <f>Z456/'Batt IN'!$E$27/730</f>
        <v>2.4999999999999996E-3</v>
      </c>
      <c r="K456" s="23">
        <f>AA456/'Batt IN'!$E$27/730</f>
        <v>1.6027397260273972E-3</v>
      </c>
      <c r="L456" s="23">
        <f>AB456/'Batt IN'!$E$27/730</f>
        <v>2.0547945205479451E-4</v>
      </c>
      <c r="M456" s="23">
        <f>AC456/'Batt IN'!$E$27/730</f>
        <v>4.7945205479452057E-3</v>
      </c>
      <c r="N456" s="23">
        <f>AD456/'Batt IN'!$E$27/730</f>
        <v>3.4246575342465752E-3</v>
      </c>
      <c r="O456" s="12">
        <f t="shared" si="119"/>
        <v>4.3828767123287697E-2</v>
      </c>
      <c r="P456" s="21">
        <f t="shared" si="120"/>
        <v>843.34302739726024</v>
      </c>
      <c r="Q456" s="2">
        <f>IF('Batt IN'!$E$27*'Batt IN'!$E$24&lt;='Batt IN'!$E$28,(('Batt IN'!$E$23*'Batt IN'!$E$27*'Batt IN'!$E$24)/1000)*P456,(('Batt IN'!$E$23*'Batt IN'!$E$28*'Batt IN'!$E$24)/1000)*P456)</f>
        <v>13493.488438356164</v>
      </c>
      <c r="R456" s="2"/>
      <c r="S456" s="77">
        <f>IF(C456&lt;='Batt IN'!$G$14*12,'Batt IN'!$E$15/12,0)</f>
        <v>0</v>
      </c>
      <c r="T456" s="77"/>
      <c r="U456" s="80">
        <f>'Batt IN'!$E$28*('Batt IN'!$G$24/24)*730*(1-O456)</f>
        <v>81433.916666666657</v>
      </c>
      <c r="V456" s="78">
        <f>U456*'Batt IN'!$F$30</f>
        <v>16286.783333333333</v>
      </c>
      <c r="W456" s="78">
        <f>'Batt IN'!$E$28*'Batt IN'!$G$32*('Batt IN'!$E$32/12)*(1+'Batt IN'!$F$30)</f>
        <v>1750.0000000000002</v>
      </c>
      <c r="X456" s="78">
        <f>'Batt IN'!$E$28*'Batt IN'!$G$13*('Batt IN'!$E$13/12)*(1+'Batt IN'!$F$30)</f>
        <v>3184.9999999999995</v>
      </c>
      <c r="Y456" s="33">
        <f>S456*'Batt IN'!$G$15*'Batt IN'!$E$28*(1+'Batt IN'!$F$30)</f>
        <v>0</v>
      </c>
      <c r="Z456" s="33">
        <f>'Batt IN'!$G$16*365/12*(1+'Batt IN'!$F$30)</f>
        <v>1824.9999999999998</v>
      </c>
      <c r="AA456" s="33">
        <f>'Batt IN'!$G$17*'Batt IN'!$E$18*'Batt IN'!$G$18/12*(1+'Batt IN'!$F$30)</f>
        <v>1170</v>
      </c>
      <c r="AB456" s="33">
        <f>'Batt IN'!$G$19*'Batt IN'!$E$20*'Batt IN'!$G$20/12*(1+'Batt IN'!$F$30)</f>
        <v>150</v>
      </c>
      <c r="AC456" s="33">
        <f>'Batt IN'!$G$21*(1+'Batt IN'!$F$30)/12</f>
        <v>3500</v>
      </c>
      <c r="AD456" s="33">
        <f>'Batt IN'!$G$22*(1+'Batt IN'!$F$30)/12</f>
        <v>2500</v>
      </c>
      <c r="AE456" s="33">
        <f t="shared" si="121"/>
        <v>30366.783333333333</v>
      </c>
      <c r="AF456" s="33">
        <f>IF('PV IN'!$F$4="Battery Only",0,AE456*'Batt IN'!$E$29)</f>
        <v>25811.765833333331</v>
      </c>
      <c r="AG456" s="33">
        <f>PVCalcs!L456</f>
        <v>25811.765833333331</v>
      </c>
      <c r="AH456" s="33">
        <f t="shared" si="122"/>
        <v>4555.0175000000017</v>
      </c>
      <c r="AI456" s="33"/>
      <c r="AJ456" s="2">
        <f>IF(AND('Batt IN'!$D$53="Yes",$AL$1&gt;=1),IF($C456='Batt IN'!$H$54*12,-'Batt IN'!$F$54,0),0)</f>
        <v>0</v>
      </c>
      <c r="AK456" s="2">
        <f>IF(AND('Batt IN'!$D$53="Yes",$AL$1&gt;=2),IF($C456='Batt IN'!$H$55*12,-'Batt IN'!$F$55,0),0)</f>
        <v>0</v>
      </c>
      <c r="AL456" s="2">
        <f>IF(AND('Batt IN'!$D$53="Yes",$AL$1&gt;=3),IF($C456='Batt IN'!$H$56*12,-'Batt IN'!$F$56,0),0)</f>
        <v>0</v>
      </c>
      <c r="AM456" s="2">
        <f>IF(AND('Batt IN'!$D$53="Yes",$AL$1&gt;=4),IF($C456='Batt IN'!$H$57*12,-'Batt IN'!$F$57,0),0)</f>
        <v>0</v>
      </c>
      <c r="AN456" s="2">
        <f>IF(AND('Batt IN'!$D$53="Yes",$AL$1&gt;=5),IF($C456='Batt IN'!$H$58*12,-'Batt IN'!$F$58,0),0)</f>
        <v>0</v>
      </c>
      <c r="AO456" s="10">
        <f>IF(AND('Batt IN'!$D$44="YES",$C456&lt;='Batt IN'!$E$44*12),-'Batt IN'!$E$28*'Batt IN'!$E$42/12,0)</f>
        <v>0</v>
      </c>
      <c r="AP456" s="10">
        <f>IF(AND('Batt IN'!$D$46="YES",$C456&lt;='Batt IN'!$E$46*12),-'Batt IN'!$E$28*'Batt IN'!$E$45/12,0)</f>
        <v>0</v>
      </c>
      <c r="AR456" s="10">
        <f>BattLoan!M483</f>
        <v>0</v>
      </c>
      <c r="AS456" s="10">
        <f>'Batt IN'!$G$16*365/12*'Batt IN'!$E$16</f>
        <v>76.041666666666671</v>
      </c>
      <c r="AT456" s="10">
        <f>IF(AND('Batt IN'!$E$18&gt;0,'Batt IN'!$G$18&gt;0),'Batt IN'!$E$17*'Batt IN'!$G$17,0)</f>
        <v>119.44619999999999</v>
      </c>
      <c r="AU456" s="10">
        <f>IF(AND('Batt IN'!$E$20&gt;0,'Batt IN'!$G$20&gt;0),'Batt IN'!$E$19*'Batt IN'!$G$19,0)</f>
        <v>231</v>
      </c>
      <c r="AV456" s="10"/>
      <c r="AW456" s="10"/>
      <c r="AX456" s="10">
        <f>IF('Batt IN'!$E$11="Non-Taxable",Q456,0)</f>
        <v>13493.488438356164</v>
      </c>
      <c r="AY456" s="10">
        <f>IF('Batt IN'!$E$11="Non-Taxable",'Batt IN'!$E$28/1000*'Batt IN'!$G$13*('Batt IN'!$E$13/12)*'Batt IN'!$E$12,0)</f>
        <v>244.42220833333334</v>
      </c>
      <c r="AZ456" s="10">
        <f>IF('Batt IN'!$E$11="Non-Taxable",$S456*'Batt IN'!$G$15*'Batt IN'!$E$28*'Batt IN'!$E$14/1000,0)</f>
        <v>0</v>
      </c>
      <c r="BA456" s="10">
        <f>IF('Batt IN'!$E$11="Non-Taxable",'Batt IN'!$E$21*'Batt IN'!$G$21/12,0)</f>
        <v>437.5</v>
      </c>
      <c r="BB456" s="10">
        <f>IF('Batt IN'!$E$11="Non-Taxable",'Batt IN'!$E$22*'Batt IN'!$G$22/12,0)</f>
        <v>1145.8333333333335</v>
      </c>
      <c r="BC456" s="10">
        <f>IF('Batt IN'!$E$11="Taxable",Q456,0)</f>
        <v>0</v>
      </c>
      <c r="BD456" s="10">
        <f>IF('Batt IN'!$E$11="Taxable",'Batt IN'!$E$28/1000*'Batt IN'!$G$13*('Batt IN'!$E$13/12)*'Batt IN'!$E$12,0)</f>
        <v>0</v>
      </c>
      <c r="BE456" s="10">
        <f>IF('Batt IN'!$E$11="Taxable",$S456*'Batt IN'!$G$15*'Batt IN'!$E$28*'Batt IN'!$E$14/1000,0)</f>
        <v>0</v>
      </c>
      <c r="BF456" s="10">
        <f>IF('Batt IN'!$E$11="Taxable",'Batt IN'!$E$21*'Batt IN'!$G$21/12,0)</f>
        <v>0</v>
      </c>
      <c r="BG456" s="10">
        <f>IF('Batt IN'!$E$11="Taxable",'Batt IN'!$E$22*'Batt IN'!$G$22/12,0)</f>
        <v>0</v>
      </c>
      <c r="BK456" s="10">
        <f>IF('Batt IN'!$N$18="Yes",-BattLoan!H484,-BattLoan!L484)</f>
        <v>0</v>
      </c>
      <c r="BL456" s="10">
        <f>IF('Batt IN'!$N$18="Yes",-BattLoan!F484,0)</f>
        <v>0</v>
      </c>
      <c r="BM456" s="10">
        <f>IF(AND('Batt IN'!$D$44="YES",$C456&lt;='Batt IN'!$E$44*12),0,-'Batt IN'!$E$28*'Batt IN'!$E$42/12)</f>
        <v>-83.333333333333329</v>
      </c>
      <c r="BN456" s="10">
        <f>IF(AND('Batt IN'!$D$46="YES",$C456&lt;='Batt IN'!$E$46*12),0,-'Batt IN'!$E$28*'Batt IN'!$E$45/12)</f>
        <v>-166.66666666666666</v>
      </c>
      <c r="BO456" s="2">
        <f>IF(AND('Batt IN'!$D$41="YES",BattCalcs!C456=ROUNDUP('Batt IN'!$H$41*12,)),-'Batt IN'!$E$41*'Batt IN'!$E$28,0)</f>
        <v>0</v>
      </c>
      <c r="BP456" s="2">
        <f>IF(AND('Batt IN'!$D$53="Yes",$AL$1&gt;=1),0,IF($C456='Batt IN'!$H$54*12,-'Batt IN'!$F$54,0))</f>
        <v>0</v>
      </c>
      <c r="BQ456" s="2">
        <f>IF(AND('Batt IN'!$D$53="Yes",$AL$1&gt;=2),0,IF($C456='Batt IN'!$H$55*12,-'Batt IN'!$F$55,0))</f>
        <v>0</v>
      </c>
      <c r="BR456" s="2">
        <f>IF(AND('Batt IN'!$D$53="Yes",$AL$1&gt;=3),0,IF($C456='Batt IN'!$H$56*12,-'Batt IN'!$F$56,0))</f>
        <v>0</v>
      </c>
      <c r="BS456" s="2">
        <f>IF(AND('Batt IN'!$D$53="Yes",$AL$1&gt;=4),0,IF($C456='Batt IN'!$H$57*12,-'Batt IN'!$F$57,0))</f>
        <v>0</v>
      </c>
      <c r="BT456" s="2">
        <f>IF(AND('Batt IN'!$D$53="Yes",$AL$1&gt;=5),0,IF($C456='Batt IN'!$H$58*12,-'Batt IN'!$F$58,0))</f>
        <v>0</v>
      </c>
      <c r="BU456" s="2">
        <f>-AH456*PVCalcs!F456</f>
        <v>-359.37504381576838</v>
      </c>
      <c r="BV456" s="2">
        <f>-'Batt IN'!$E$47</f>
        <v>-150</v>
      </c>
      <c r="BW456" s="2">
        <f>-'Batt IN'!$E$49</f>
        <v>-2250</v>
      </c>
      <c r="BX456" s="2">
        <f>IF('Batt IN'!$H$50="No",-(BC456*'Batt IN'!$E$50),-(BC456+BE456)*'Batt IN'!$E$50)</f>
        <v>0</v>
      </c>
      <c r="BY456" s="2">
        <f>IF(C456='Batt IN'!$H$43*12,-'Batt IN'!$E$43,0)</f>
        <v>0</v>
      </c>
      <c r="BZ456" s="38"/>
      <c r="CA456" s="10">
        <f t="shared" si="123"/>
        <v>15747.731846689498</v>
      </c>
      <c r="CB456" s="2">
        <f t="shared" si="128"/>
        <v>-3009.3750438157685</v>
      </c>
      <c r="CC456" s="45">
        <f t="shared" si="124"/>
        <v>12738.356802873728</v>
      </c>
      <c r="CD456" s="43"/>
      <c r="CE456" s="2">
        <f t="shared" si="125"/>
        <v>0</v>
      </c>
      <c r="CF456" s="2">
        <f t="shared" si="129"/>
        <v>-3009.3750438157685</v>
      </c>
      <c r="CG456" s="2"/>
      <c r="CH456" s="2">
        <f t="shared" si="126"/>
        <v>-3009.3750438157685</v>
      </c>
      <c r="CI456" s="45">
        <f>-CH456*'Batt IN'!$E$7</f>
        <v>631.9687592013114</v>
      </c>
      <c r="CJ456" s="48"/>
      <c r="CK456" s="45">
        <f>IF('Batt IN'!$F$4="PV Only",0,IF(C456&gt;'Batt IN'!$H$43*12,0,CC456+CI456))</f>
        <v>0</v>
      </c>
      <c r="CM456" s="10">
        <f t="shared" si="127"/>
        <v>0</v>
      </c>
      <c r="CN456" s="2">
        <f>CK456/(1+('Batt IN'!$G$8))^(C456)</f>
        <v>0</v>
      </c>
      <c r="CO456" s="2" t="e">
        <f>IF(C456&lt;='Batt IN'!$O$30*12,CN456+CO455,NA())</f>
        <v>#N/A</v>
      </c>
      <c r="CQ456" s="2">
        <f>CK456/((1+('Batt IN'!$E$8/12))^BattCalcs!C456)</f>
        <v>0</v>
      </c>
      <c r="CS456" s="10">
        <f t="shared" si="130"/>
        <v>-3009.3750438157685</v>
      </c>
      <c r="CT456" s="10">
        <f t="shared" si="131"/>
        <v>0</v>
      </c>
      <c r="CU456" s="10">
        <f t="shared" si="132"/>
        <v>-3009.3750438157685</v>
      </c>
      <c r="CV456" s="10">
        <f t="shared" si="133"/>
        <v>-3009.3750438157685</v>
      </c>
      <c r="CW456" s="2">
        <f t="shared" si="134"/>
        <v>0</v>
      </c>
      <c r="CX456" s="2">
        <f>-(SUM(CV456:CW456)*'PV IN'!$E$8)</f>
        <v>631.9687592013114</v>
      </c>
      <c r="CY456" s="2">
        <f t="shared" si="135"/>
        <v>-2377.406284614457</v>
      </c>
      <c r="CZ456" s="2">
        <f>IF(C456&lt;='Batt IN'!$H$43*12,CY456/(1+('PV IN'!$G$9))^(C456),0)</f>
        <v>0</v>
      </c>
      <c r="DA456" s="33">
        <f>IF(C456&lt;='Batt IN'!$H$43*12,AE456,0)</f>
        <v>0</v>
      </c>
    </row>
    <row r="457" spans="1:105" x14ac:dyDescent="0.25">
      <c r="A457" t="str">
        <f>IF(C457&lt;='Batt IN'!$H$43*12,C457,"")</f>
        <v/>
      </c>
      <c r="C457">
        <v>453</v>
      </c>
      <c r="D457" s="21">
        <v>883</v>
      </c>
      <c r="E457" s="1">
        <f>1-'Batt IN'!$E$31</f>
        <v>2.0000000000000018E-2</v>
      </c>
      <c r="F457" s="12">
        <f>('Batt IN'!$E$33*365)/8760</f>
        <v>0</v>
      </c>
      <c r="G457" s="22">
        <f>'Batt IN'!$E$32/8760</f>
        <v>5.7077625570776253E-3</v>
      </c>
      <c r="H457" s="22">
        <f>'Batt IN'!$E$13/8760</f>
        <v>5.5936073059360729E-3</v>
      </c>
      <c r="I457" s="23">
        <f>IF(C457&lt;='Batt IN'!$G$14*12,'Batt IN'!$E$15/8760*'Batt IN'!$G$15,0)</f>
        <v>0</v>
      </c>
      <c r="J457" s="12">
        <f>Z457/'Batt IN'!$E$27/730</f>
        <v>2.4999999999999996E-3</v>
      </c>
      <c r="K457" s="23">
        <f>AA457/'Batt IN'!$E$27/730</f>
        <v>1.6027397260273972E-3</v>
      </c>
      <c r="L457" s="23">
        <f>AB457/'Batt IN'!$E$27/730</f>
        <v>2.0547945205479451E-4</v>
      </c>
      <c r="M457" s="23">
        <f>AC457/'Batt IN'!$E$27/730</f>
        <v>4.7945205479452057E-3</v>
      </c>
      <c r="N457" s="23">
        <f>AD457/'Batt IN'!$E$27/730</f>
        <v>3.4246575342465752E-3</v>
      </c>
      <c r="O457" s="12">
        <f t="shared" si="119"/>
        <v>4.3828767123287697E-2</v>
      </c>
      <c r="P457" s="21">
        <f t="shared" si="120"/>
        <v>844.29919863013697</v>
      </c>
      <c r="Q457" s="2">
        <f>IF('Batt IN'!$E$27*'Batt IN'!$E$24&lt;='Batt IN'!$E$28,(('Batt IN'!$E$23*'Batt IN'!$E$27*'Batt IN'!$E$24)/1000)*P457,(('Batt IN'!$E$23*'Batt IN'!$E$28*'Batt IN'!$E$24)/1000)*P457)</f>
        <v>13508.787178082192</v>
      </c>
      <c r="R457" s="2"/>
      <c r="S457" s="77">
        <f>IF(C457&lt;='Batt IN'!$G$14*12,'Batt IN'!$E$15/12,0)</f>
        <v>0</v>
      </c>
      <c r="T457" s="77"/>
      <c r="U457" s="80">
        <f>'Batt IN'!$E$28*('Batt IN'!$G$24/24)*730*(1-O457)</f>
        <v>81433.916666666657</v>
      </c>
      <c r="V457" s="78">
        <f>U457*'Batt IN'!$F$30</f>
        <v>16286.783333333333</v>
      </c>
      <c r="W457" s="78">
        <f>'Batt IN'!$E$28*'Batt IN'!$G$32*('Batt IN'!$E$32/12)*(1+'Batt IN'!$F$30)</f>
        <v>1750.0000000000002</v>
      </c>
      <c r="X457" s="78">
        <f>'Batt IN'!$E$28*'Batt IN'!$G$13*('Batt IN'!$E$13/12)*(1+'Batt IN'!$F$30)</f>
        <v>3184.9999999999995</v>
      </c>
      <c r="Y457" s="33">
        <f>S457*'Batt IN'!$G$15*'Batt IN'!$E$28*(1+'Batt IN'!$F$30)</f>
        <v>0</v>
      </c>
      <c r="Z457" s="33">
        <f>'Batt IN'!$G$16*365/12*(1+'Batt IN'!$F$30)</f>
        <v>1824.9999999999998</v>
      </c>
      <c r="AA457" s="33">
        <f>'Batt IN'!$G$17*'Batt IN'!$E$18*'Batt IN'!$G$18/12*(1+'Batt IN'!$F$30)</f>
        <v>1170</v>
      </c>
      <c r="AB457" s="33">
        <f>'Batt IN'!$G$19*'Batt IN'!$E$20*'Batt IN'!$G$20/12*(1+'Batt IN'!$F$30)</f>
        <v>150</v>
      </c>
      <c r="AC457" s="33">
        <f>'Batt IN'!$G$21*(1+'Batt IN'!$F$30)/12</f>
        <v>3500</v>
      </c>
      <c r="AD457" s="33">
        <f>'Batt IN'!$G$22*(1+'Batt IN'!$F$30)/12</f>
        <v>2500</v>
      </c>
      <c r="AE457" s="33">
        <f t="shared" si="121"/>
        <v>30366.783333333333</v>
      </c>
      <c r="AF457" s="33">
        <f>IF('PV IN'!$F$4="Battery Only",0,AE457*'Batt IN'!$E$29)</f>
        <v>25811.765833333331</v>
      </c>
      <c r="AG457" s="33">
        <f>PVCalcs!L457</f>
        <v>25811.765833333331</v>
      </c>
      <c r="AH457" s="33">
        <f t="shared" si="122"/>
        <v>4555.0175000000017</v>
      </c>
      <c r="AI457" s="33"/>
      <c r="AJ457" s="2">
        <f>IF(AND('Batt IN'!$D$53="Yes",$AL$1&gt;=1),IF($C457='Batt IN'!$H$54*12,-'Batt IN'!$F$54,0),0)</f>
        <v>0</v>
      </c>
      <c r="AK457" s="2">
        <f>IF(AND('Batt IN'!$D$53="Yes",$AL$1&gt;=2),IF($C457='Batt IN'!$H$55*12,-'Batt IN'!$F$55,0),0)</f>
        <v>0</v>
      </c>
      <c r="AL457" s="2">
        <f>IF(AND('Batt IN'!$D$53="Yes",$AL$1&gt;=3),IF($C457='Batt IN'!$H$56*12,-'Batt IN'!$F$56,0),0)</f>
        <v>0</v>
      </c>
      <c r="AM457" s="2">
        <f>IF(AND('Batt IN'!$D$53="Yes",$AL$1&gt;=4),IF($C457='Batt IN'!$H$57*12,-'Batt IN'!$F$57,0),0)</f>
        <v>0</v>
      </c>
      <c r="AN457" s="2">
        <f>IF(AND('Batt IN'!$D$53="Yes",$AL$1&gt;=5),IF($C457='Batt IN'!$H$58*12,-'Batt IN'!$F$58,0),0)</f>
        <v>0</v>
      </c>
      <c r="AO457" s="10">
        <f>IF(AND('Batt IN'!$D$44="YES",$C457&lt;='Batt IN'!$E$44*12),-'Batt IN'!$E$28*'Batt IN'!$E$42/12,0)</f>
        <v>0</v>
      </c>
      <c r="AP457" s="10">
        <f>IF(AND('Batt IN'!$D$46="YES",$C457&lt;='Batt IN'!$E$46*12),-'Batt IN'!$E$28*'Batt IN'!$E$45/12,0)</f>
        <v>0</v>
      </c>
      <c r="AR457" s="10">
        <f>BattLoan!M484</f>
        <v>0</v>
      </c>
      <c r="AS457" s="10">
        <f>'Batt IN'!$G$16*365/12*'Batt IN'!$E$16</f>
        <v>76.041666666666671</v>
      </c>
      <c r="AT457" s="10">
        <f>IF(AND('Batt IN'!$E$18&gt;0,'Batt IN'!$G$18&gt;0),'Batt IN'!$E$17*'Batt IN'!$G$17,0)</f>
        <v>119.44619999999999</v>
      </c>
      <c r="AU457" s="10">
        <f>IF(AND('Batt IN'!$E$20&gt;0,'Batt IN'!$G$20&gt;0),'Batt IN'!$E$19*'Batt IN'!$G$19,0)</f>
        <v>231</v>
      </c>
      <c r="AV457" s="10"/>
      <c r="AW457" s="10"/>
      <c r="AX457" s="10">
        <f>IF('Batt IN'!$E$11="Non-Taxable",Q457,0)</f>
        <v>13508.787178082192</v>
      </c>
      <c r="AY457" s="10">
        <f>IF('Batt IN'!$E$11="Non-Taxable",'Batt IN'!$E$28/1000*'Batt IN'!$G$13*('Batt IN'!$E$13/12)*'Batt IN'!$E$12,0)</f>
        <v>244.42220833333334</v>
      </c>
      <c r="AZ457" s="10">
        <f>IF('Batt IN'!$E$11="Non-Taxable",$S457*'Batt IN'!$G$15*'Batt IN'!$E$28*'Batt IN'!$E$14/1000,0)</f>
        <v>0</v>
      </c>
      <c r="BA457" s="10">
        <f>IF('Batt IN'!$E$11="Non-Taxable",'Batt IN'!$E$21*'Batt IN'!$G$21/12,0)</f>
        <v>437.5</v>
      </c>
      <c r="BB457" s="10">
        <f>IF('Batt IN'!$E$11="Non-Taxable",'Batt IN'!$E$22*'Batt IN'!$G$22/12,0)</f>
        <v>1145.8333333333335</v>
      </c>
      <c r="BC457" s="10">
        <f>IF('Batt IN'!$E$11="Taxable",Q457,0)</f>
        <v>0</v>
      </c>
      <c r="BD457" s="10">
        <f>IF('Batt IN'!$E$11="Taxable",'Batt IN'!$E$28/1000*'Batt IN'!$G$13*('Batt IN'!$E$13/12)*'Batt IN'!$E$12,0)</f>
        <v>0</v>
      </c>
      <c r="BE457" s="10">
        <f>IF('Batt IN'!$E$11="Taxable",$S457*'Batt IN'!$G$15*'Batt IN'!$E$28*'Batt IN'!$E$14/1000,0)</f>
        <v>0</v>
      </c>
      <c r="BF457" s="10">
        <f>IF('Batt IN'!$E$11="Taxable",'Batt IN'!$E$21*'Batt IN'!$G$21/12,0)</f>
        <v>0</v>
      </c>
      <c r="BG457" s="10">
        <f>IF('Batt IN'!$E$11="Taxable",'Batt IN'!$E$22*'Batt IN'!$G$22/12,0)</f>
        <v>0</v>
      </c>
      <c r="BK457" s="10">
        <f>IF('Batt IN'!$N$18="Yes",-BattLoan!H485,-BattLoan!L485)</f>
        <v>0</v>
      </c>
      <c r="BL457" s="10">
        <f>IF('Batt IN'!$N$18="Yes",-BattLoan!F485,0)</f>
        <v>0</v>
      </c>
      <c r="BM457" s="10">
        <f>IF(AND('Batt IN'!$D$44="YES",$C457&lt;='Batt IN'!$E$44*12),0,-'Batt IN'!$E$28*'Batt IN'!$E$42/12)</f>
        <v>-83.333333333333329</v>
      </c>
      <c r="BN457" s="10">
        <f>IF(AND('Batt IN'!$D$46="YES",$C457&lt;='Batt IN'!$E$46*12),0,-'Batt IN'!$E$28*'Batt IN'!$E$45/12)</f>
        <v>-166.66666666666666</v>
      </c>
      <c r="BO457" s="2">
        <f>IF(AND('Batt IN'!$D$41="YES",BattCalcs!C457=ROUNDUP('Batt IN'!$H$41*12,)),-'Batt IN'!$E$41*'Batt IN'!$E$28,0)</f>
        <v>0</v>
      </c>
      <c r="BP457" s="2">
        <f>IF(AND('Batt IN'!$D$53="Yes",$AL$1&gt;=1),0,IF($C457='Batt IN'!$H$54*12,-'Batt IN'!$F$54,0))</f>
        <v>0</v>
      </c>
      <c r="BQ457" s="2">
        <f>IF(AND('Batt IN'!$D$53="Yes",$AL$1&gt;=2),0,IF($C457='Batt IN'!$H$55*12,-'Batt IN'!$F$55,0))</f>
        <v>0</v>
      </c>
      <c r="BR457" s="2">
        <f>IF(AND('Batt IN'!$D$53="Yes",$AL$1&gt;=3),0,IF($C457='Batt IN'!$H$56*12,-'Batt IN'!$F$56,0))</f>
        <v>0</v>
      </c>
      <c r="BS457" s="2">
        <f>IF(AND('Batt IN'!$D$53="Yes",$AL$1&gt;=4),0,IF($C457='Batt IN'!$H$57*12,-'Batt IN'!$F$57,0))</f>
        <v>0</v>
      </c>
      <c r="BT457" s="2">
        <f>IF(AND('Batt IN'!$D$53="Yes",$AL$1&gt;=5),0,IF($C457='Batt IN'!$H$58*12,-'Batt IN'!$F$58,0))</f>
        <v>0</v>
      </c>
      <c r="BU457" s="2">
        <f>-AH457*PVCalcs!F457</f>
        <v>-359.37504381576838</v>
      </c>
      <c r="BV457" s="2">
        <f>-'Batt IN'!$E$47</f>
        <v>-150</v>
      </c>
      <c r="BW457" s="2">
        <f>-'Batt IN'!$E$49</f>
        <v>-2250</v>
      </c>
      <c r="BX457" s="2">
        <f>IF('Batt IN'!$H$50="No",-(BC457*'Batt IN'!$E$50),-(BC457+BE457)*'Batt IN'!$E$50)</f>
        <v>0</v>
      </c>
      <c r="BY457" s="2">
        <f>IF(C457='Batt IN'!$H$43*12,-'Batt IN'!$E$43,0)</f>
        <v>0</v>
      </c>
      <c r="BZ457" s="38"/>
      <c r="CA457" s="10">
        <f t="shared" si="123"/>
        <v>15763.030586415525</v>
      </c>
      <c r="CB457" s="2">
        <f t="shared" si="128"/>
        <v>-3009.3750438157685</v>
      </c>
      <c r="CC457" s="45">
        <f t="shared" si="124"/>
        <v>12753.655542599758</v>
      </c>
      <c r="CD457" s="43"/>
      <c r="CE457" s="2">
        <f t="shared" si="125"/>
        <v>0</v>
      </c>
      <c r="CF457" s="2">
        <f t="shared" si="129"/>
        <v>-3009.3750438157685</v>
      </c>
      <c r="CG457" s="2"/>
      <c r="CH457" s="2">
        <f t="shared" si="126"/>
        <v>-3009.3750438157685</v>
      </c>
      <c r="CI457" s="45">
        <f>-CH457*'Batt IN'!$E$7</f>
        <v>631.9687592013114</v>
      </c>
      <c r="CJ457" s="48"/>
      <c r="CK457" s="45">
        <f>IF('Batt IN'!$F$4="PV Only",0,IF(C457&gt;'Batt IN'!$H$43*12,0,CC457+CI457))</f>
        <v>0</v>
      </c>
      <c r="CM457" s="10">
        <f t="shared" si="127"/>
        <v>0</v>
      </c>
      <c r="CN457" s="2">
        <f>CK457/(1+('Batt IN'!$G$8))^(C457)</f>
        <v>0</v>
      </c>
      <c r="CO457" s="2" t="e">
        <f>IF(C457&lt;='Batt IN'!$O$30*12,CN457+CO456,NA())</f>
        <v>#N/A</v>
      </c>
      <c r="CQ457" s="2">
        <f>CK457/((1+('Batt IN'!$E$8/12))^BattCalcs!C457)</f>
        <v>0</v>
      </c>
      <c r="CS457" s="10">
        <f t="shared" si="130"/>
        <v>-3009.3750438157685</v>
      </c>
      <c r="CT457" s="10">
        <f t="shared" si="131"/>
        <v>0</v>
      </c>
      <c r="CU457" s="10">
        <f t="shared" si="132"/>
        <v>-3009.3750438157685</v>
      </c>
      <c r="CV457" s="10">
        <f t="shared" si="133"/>
        <v>-3009.3750438157685</v>
      </c>
      <c r="CW457" s="2">
        <f t="shared" si="134"/>
        <v>0</v>
      </c>
      <c r="CX457" s="2">
        <f>-(SUM(CV457:CW457)*'PV IN'!$E$8)</f>
        <v>631.9687592013114</v>
      </c>
      <c r="CY457" s="2">
        <f t="shared" si="135"/>
        <v>-2377.406284614457</v>
      </c>
      <c r="CZ457" s="2">
        <f>IF(C457&lt;='Batt IN'!$H$43*12,CY457/(1+('PV IN'!$G$9))^(C457),0)</f>
        <v>0</v>
      </c>
      <c r="DA457" s="33">
        <f>IF(C457&lt;='Batt IN'!$H$43*12,AE457,0)</f>
        <v>0</v>
      </c>
    </row>
    <row r="458" spans="1:105" x14ac:dyDescent="0.25">
      <c r="A458" t="str">
        <f>IF(C458&lt;='Batt IN'!$H$43*12,C458,"")</f>
        <v/>
      </c>
      <c r="C458">
        <v>454</v>
      </c>
      <c r="D458" s="21">
        <v>884</v>
      </c>
      <c r="E458" s="1">
        <f>1-'Batt IN'!$E$31</f>
        <v>2.0000000000000018E-2</v>
      </c>
      <c r="F458" s="12">
        <f>('Batt IN'!$E$33*365)/8760</f>
        <v>0</v>
      </c>
      <c r="G458" s="22">
        <f>'Batt IN'!$E$32/8760</f>
        <v>5.7077625570776253E-3</v>
      </c>
      <c r="H458" s="22">
        <f>'Batt IN'!$E$13/8760</f>
        <v>5.5936073059360729E-3</v>
      </c>
      <c r="I458" s="23">
        <f>IF(C458&lt;='Batt IN'!$G$14*12,'Batt IN'!$E$15/8760*'Batt IN'!$G$15,0)</f>
        <v>0</v>
      </c>
      <c r="J458" s="12">
        <f>Z458/'Batt IN'!$E$27/730</f>
        <v>2.4999999999999996E-3</v>
      </c>
      <c r="K458" s="23">
        <f>AA458/'Batt IN'!$E$27/730</f>
        <v>1.6027397260273972E-3</v>
      </c>
      <c r="L458" s="23">
        <f>AB458/'Batt IN'!$E$27/730</f>
        <v>2.0547945205479451E-4</v>
      </c>
      <c r="M458" s="23">
        <f>AC458/'Batt IN'!$E$27/730</f>
        <v>4.7945205479452057E-3</v>
      </c>
      <c r="N458" s="23">
        <f>AD458/'Batt IN'!$E$27/730</f>
        <v>3.4246575342465752E-3</v>
      </c>
      <c r="O458" s="12">
        <f t="shared" si="119"/>
        <v>4.3828767123287697E-2</v>
      </c>
      <c r="P458" s="21">
        <f t="shared" si="120"/>
        <v>845.2553698630137</v>
      </c>
      <c r="Q458" s="2">
        <f>IF('Batt IN'!$E$27*'Batt IN'!$E$24&lt;='Batt IN'!$E$28,(('Batt IN'!$E$23*'Batt IN'!$E$27*'Batt IN'!$E$24)/1000)*P458,(('Batt IN'!$E$23*'Batt IN'!$E$28*'Batt IN'!$E$24)/1000)*P458)</f>
        <v>13524.085917808219</v>
      </c>
      <c r="R458" s="2"/>
      <c r="S458" s="77">
        <f>IF(C458&lt;='Batt IN'!$G$14*12,'Batt IN'!$E$15/12,0)</f>
        <v>0</v>
      </c>
      <c r="T458" s="77"/>
      <c r="U458" s="80">
        <f>'Batt IN'!$E$28*('Batt IN'!$G$24/24)*730*(1-O458)</f>
        <v>81433.916666666657</v>
      </c>
      <c r="V458" s="78">
        <f>U458*'Batt IN'!$F$30</f>
        <v>16286.783333333333</v>
      </c>
      <c r="W458" s="78">
        <f>'Batt IN'!$E$28*'Batt IN'!$G$32*('Batt IN'!$E$32/12)*(1+'Batt IN'!$F$30)</f>
        <v>1750.0000000000002</v>
      </c>
      <c r="X458" s="78">
        <f>'Batt IN'!$E$28*'Batt IN'!$G$13*('Batt IN'!$E$13/12)*(1+'Batt IN'!$F$30)</f>
        <v>3184.9999999999995</v>
      </c>
      <c r="Y458" s="33">
        <f>S458*'Batt IN'!$G$15*'Batt IN'!$E$28*(1+'Batt IN'!$F$30)</f>
        <v>0</v>
      </c>
      <c r="Z458" s="33">
        <f>'Batt IN'!$G$16*365/12*(1+'Batt IN'!$F$30)</f>
        <v>1824.9999999999998</v>
      </c>
      <c r="AA458" s="33">
        <f>'Batt IN'!$G$17*'Batt IN'!$E$18*'Batt IN'!$G$18/12*(1+'Batt IN'!$F$30)</f>
        <v>1170</v>
      </c>
      <c r="AB458" s="33">
        <f>'Batt IN'!$G$19*'Batt IN'!$E$20*'Batt IN'!$G$20/12*(1+'Batt IN'!$F$30)</f>
        <v>150</v>
      </c>
      <c r="AC458" s="33">
        <f>'Batt IN'!$G$21*(1+'Batt IN'!$F$30)/12</f>
        <v>3500</v>
      </c>
      <c r="AD458" s="33">
        <f>'Batt IN'!$G$22*(1+'Batt IN'!$F$30)/12</f>
        <v>2500</v>
      </c>
      <c r="AE458" s="33">
        <f t="shared" si="121"/>
        <v>30366.783333333333</v>
      </c>
      <c r="AF458" s="33">
        <f>IF('PV IN'!$F$4="Battery Only",0,AE458*'Batt IN'!$E$29)</f>
        <v>25811.765833333331</v>
      </c>
      <c r="AG458" s="33">
        <f>PVCalcs!L458</f>
        <v>25811.765833333331</v>
      </c>
      <c r="AH458" s="33">
        <f t="shared" si="122"/>
        <v>4555.0175000000017</v>
      </c>
      <c r="AI458" s="33"/>
      <c r="AJ458" s="2">
        <f>IF(AND('Batt IN'!$D$53="Yes",$AL$1&gt;=1),IF($C458='Batt IN'!$H$54*12,-'Batt IN'!$F$54,0),0)</f>
        <v>0</v>
      </c>
      <c r="AK458" s="2">
        <f>IF(AND('Batt IN'!$D$53="Yes",$AL$1&gt;=2),IF($C458='Batt IN'!$H$55*12,-'Batt IN'!$F$55,0),0)</f>
        <v>0</v>
      </c>
      <c r="AL458" s="2">
        <f>IF(AND('Batt IN'!$D$53="Yes",$AL$1&gt;=3),IF($C458='Batt IN'!$H$56*12,-'Batt IN'!$F$56,0),0)</f>
        <v>0</v>
      </c>
      <c r="AM458" s="2">
        <f>IF(AND('Batt IN'!$D$53="Yes",$AL$1&gt;=4),IF($C458='Batt IN'!$H$57*12,-'Batt IN'!$F$57,0),0)</f>
        <v>0</v>
      </c>
      <c r="AN458" s="2">
        <f>IF(AND('Batt IN'!$D$53="Yes",$AL$1&gt;=5),IF($C458='Batt IN'!$H$58*12,-'Batt IN'!$F$58,0),0)</f>
        <v>0</v>
      </c>
      <c r="AO458" s="10">
        <f>IF(AND('Batt IN'!$D$44="YES",$C458&lt;='Batt IN'!$E$44*12),-'Batt IN'!$E$28*'Batt IN'!$E$42/12,0)</f>
        <v>0</v>
      </c>
      <c r="AP458" s="10">
        <f>IF(AND('Batt IN'!$D$46="YES",$C458&lt;='Batt IN'!$E$46*12),-'Batt IN'!$E$28*'Batt IN'!$E$45/12,0)</f>
        <v>0</v>
      </c>
      <c r="AR458" s="10">
        <f>BattLoan!M485</f>
        <v>0</v>
      </c>
      <c r="AS458" s="10">
        <f>'Batt IN'!$G$16*365/12*'Batt IN'!$E$16</f>
        <v>76.041666666666671</v>
      </c>
      <c r="AT458" s="10">
        <f>IF(AND('Batt IN'!$E$18&gt;0,'Batt IN'!$G$18&gt;0),'Batt IN'!$E$17*'Batt IN'!$G$17,0)</f>
        <v>119.44619999999999</v>
      </c>
      <c r="AU458" s="10">
        <f>IF(AND('Batt IN'!$E$20&gt;0,'Batt IN'!$G$20&gt;0),'Batt IN'!$E$19*'Batt IN'!$G$19,0)</f>
        <v>231</v>
      </c>
      <c r="AV458" s="10"/>
      <c r="AW458" s="10"/>
      <c r="AX458" s="10">
        <f>IF('Batt IN'!$E$11="Non-Taxable",Q458,0)</f>
        <v>13524.085917808219</v>
      </c>
      <c r="AY458" s="10">
        <f>IF('Batt IN'!$E$11="Non-Taxable",'Batt IN'!$E$28/1000*'Batt IN'!$G$13*('Batt IN'!$E$13/12)*'Batt IN'!$E$12,0)</f>
        <v>244.42220833333334</v>
      </c>
      <c r="AZ458" s="10">
        <f>IF('Batt IN'!$E$11="Non-Taxable",$S458*'Batt IN'!$G$15*'Batt IN'!$E$28*'Batt IN'!$E$14/1000,0)</f>
        <v>0</v>
      </c>
      <c r="BA458" s="10">
        <f>IF('Batt IN'!$E$11="Non-Taxable",'Batt IN'!$E$21*'Batt IN'!$G$21/12,0)</f>
        <v>437.5</v>
      </c>
      <c r="BB458" s="10">
        <f>IF('Batt IN'!$E$11="Non-Taxable",'Batt IN'!$E$22*'Batt IN'!$G$22/12,0)</f>
        <v>1145.8333333333335</v>
      </c>
      <c r="BC458" s="10">
        <f>IF('Batt IN'!$E$11="Taxable",Q458,0)</f>
        <v>0</v>
      </c>
      <c r="BD458" s="10">
        <f>IF('Batt IN'!$E$11="Taxable",'Batt IN'!$E$28/1000*'Batt IN'!$G$13*('Batt IN'!$E$13/12)*'Batt IN'!$E$12,0)</f>
        <v>0</v>
      </c>
      <c r="BE458" s="10">
        <f>IF('Batt IN'!$E$11="Taxable",$S458*'Batt IN'!$G$15*'Batt IN'!$E$28*'Batt IN'!$E$14/1000,0)</f>
        <v>0</v>
      </c>
      <c r="BF458" s="10">
        <f>IF('Batt IN'!$E$11="Taxable",'Batt IN'!$E$21*'Batt IN'!$G$21/12,0)</f>
        <v>0</v>
      </c>
      <c r="BG458" s="10">
        <f>IF('Batt IN'!$E$11="Taxable",'Batt IN'!$E$22*'Batt IN'!$G$22/12,0)</f>
        <v>0</v>
      </c>
      <c r="BK458" s="10">
        <f>IF('Batt IN'!$N$18="Yes",-BattLoan!H486,-BattLoan!L486)</f>
        <v>0</v>
      </c>
      <c r="BL458" s="10">
        <f>IF('Batt IN'!$N$18="Yes",-BattLoan!F486,0)</f>
        <v>0</v>
      </c>
      <c r="BM458" s="10">
        <f>IF(AND('Batt IN'!$D$44="YES",$C458&lt;='Batt IN'!$E$44*12),0,-'Batt IN'!$E$28*'Batt IN'!$E$42/12)</f>
        <v>-83.333333333333329</v>
      </c>
      <c r="BN458" s="10">
        <f>IF(AND('Batt IN'!$D$46="YES",$C458&lt;='Batt IN'!$E$46*12),0,-'Batt IN'!$E$28*'Batt IN'!$E$45/12)</f>
        <v>-166.66666666666666</v>
      </c>
      <c r="BO458" s="2">
        <f>IF(AND('Batt IN'!$D$41="YES",BattCalcs!C458=ROUNDUP('Batt IN'!$H$41*12,)),-'Batt IN'!$E$41*'Batt IN'!$E$28,0)</f>
        <v>0</v>
      </c>
      <c r="BP458" s="2">
        <f>IF(AND('Batt IN'!$D$53="Yes",$AL$1&gt;=1),0,IF($C458='Batt IN'!$H$54*12,-'Batt IN'!$F$54,0))</f>
        <v>0</v>
      </c>
      <c r="BQ458" s="2">
        <f>IF(AND('Batt IN'!$D$53="Yes",$AL$1&gt;=2),0,IF($C458='Batt IN'!$H$55*12,-'Batt IN'!$F$55,0))</f>
        <v>0</v>
      </c>
      <c r="BR458" s="2">
        <f>IF(AND('Batt IN'!$D$53="Yes",$AL$1&gt;=3),0,IF($C458='Batt IN'!$H$56*12,-'Batt IN'!$F$56,0))</f>
        <v>0</v>
      </c>
      <c r="BS458" s="2">
        <f>IF(AND('Batt IN'!$D$53="Yes",$AL$1&gt;=4),0,IF($C458='Batt IN'!$H$57*12,-'Batt IN'!$F$57,0))</f>
        <v>0</v>
      </c>
      <c r="BT458" s="2">
        <f>IF(AND('Batt IN'!$D$53="Yes",$AL$1&gt;=5),0,IF($C458='Batt IN'!$H$58*12,-'Batt IN'!$F$58,0))</f>
        <v>0</v>
      </c>
      <c r="BU458" s="2">
        <f>-AH458*PVCalcs!F458</f>
        <v>-359.37504381576838</v>
      </c>
      <c r="BV458" s="2">
        <f>-'Batt IN'!$E$47</f>
        <v>-150</v>
      </c>
      <c r="BW458" s="2">
        <f>-'Batt IN'!$E$49</f>
        <v>-2250</v>
      </c>
      <c r="BX458" s="2">
        <f>IF('Batt IN'!$H$50="No",-(BC458*'Batt IN'!$E$50),-(BC458+BE458)*'Batt IN'!$E$50)</f>
        <v>0</v>
      </c>
      <c r="BY458" s="2">
        <f>IF(C458='Batt IN'!$H$43*12,-'Batt IN'!$E$43,0)</f>
        <v>0</v>
      </c>
      <c r="BZ458" s="38"/>
      <c r="CA458" s="10">
        <f t="shared" si="123"/>
        <v>15778.329326141553</v>
      </c>
      <c r="CB458" s="2">
        <f t="shared" si="128"/>
        <v>-3009.3750438157685</v>
      </c>
      <c r="CC458" s="45">
        <f t="shared" si="124"/>
        <v>12768.954282325783</v>
      </c>
      <c r="CD458" s="43"/>
      <c r="CE458" s="2">
        <f t="shared" si="125"/>
        <v>0</v>
      </c>
      <c r="CF458" s="2">
        <f t="shared" si="129"/>
        <v>-3009.3750438157685</v>
      </c>
      <c r="CG458" s="2"/>
      <c r="CH458" s="2">
        <f t="shared" si="126"/>
        <v>-3009.3750438157685</v>
      </c>
      <c r="CI458" s="45">
        <f>-CH458*'Batt IN'!$E$7</f>
        <v>631.9687592013114</v>
      </c>
      <c r="CJ458" s="48"/>
      <c r="CK458" s="45">
        <f>IF('Batt IN'!$F$4="PV Only",0,IF(C458&gt;'Batt IN'!$H$43*12,0,CC458+CI458))</f>
        <v>0</v>
      </c>
      <c r="CM458" s="10">
        <f t="shared" si="127"/>
        <v>0</v>
      </c>
      <c r="CN458" s="2">
        <f>CK458/(1+('Batt IN'!$G$8))^(C458)</f>
        <v>0</v>
      </c>
      <c r="CO458" s="2" t="e">
        <f>IF(C458&lt;='Batt IN'!$O$30*12,CN458+CO457,NA())</f>
        <v>#N/A</v>
      </c>
      <c r="CQ458" s="2">
        <f>CK458/((1+('Batt IN'!$E$8/12))^BattCalcs!C458)</f>
        <v>0</v>
      </c>
      <c r="CS458" s="10">
        <f t="shared" si="130"/>
        <v>-3009.3750438157685</v>
      </c>
      <c r="CT458" s="10">
        <f t="shared" si="131"/>
        <v>0</v>
      </c>
      <c r="CU458" s="10">
        <f t="shared" si="132"/>
        <v>-3009.3750438157685</v>
      </c>
      <c r="CV458" s="10">
        <f t="shared" si="133"/>
        <v>-3009.3750438157685</v>
      </c>
      <c r="CW458" s="2">
        <f t="shared" si="134"/>
        <v>0</v>
      </c>
      <c r="CX458" s="2">
        <f>-(SUM(CV458:CW458)*'PV IN'!$E$8)</f>
        <v>631.9687592013114</v>
      </c>
      <c r="CY458" s="2">
        <f t="shared" si="135"/>
        <v>-2377.406284614457</v>
      </c>
      <c r="CZ458" s="2">
        <f>IF(C458&lt;='Batt IN'!$H$43*12,CY458/(1+('PV IN'!$G$9))^(C458),0)</f>
        <v>0</v>
      </c>
      <c r="DA458" s="33">
        <f>IF(C458&lt;='Batt IN'!$H$43*12,AE458,0)</f>
        <v>0</v>
      </c>
    </row>
    <row r="459" spans="1:105" x14ac:dyDescent="0.25">
      <c r="A459" t="str">
        <f>IF(C459&lt;='Batt IN'!$H$43*12,C459,"")</f>
        <v/>
      </c>
      <c r="C459">
        <v>455</v>
      </c>
      <c r="D459" s="21">
        <v>885</v>
      </c>
      <c r="E459" s="1">
        <f>1-'Batt IN'!$E$31</f>
        <v>2.0000000000000018E-2</v>
      </c>
      <c r="F459" s="12">
        <f>('Batt IN'!$E$33*365)/8760</f>
        <v>0</v>
      </c>
      <c r="G459" s="22">
        <f>'Batt IN'!$E$32/8760</f>
        <v>5.7077625570776253E-3</v>
      </c>
      <c r="H459" s="22">
        <f>'Batt IN'!$E$13/8760</f>
        <v>5.5936073059360729E-3</v>
      </c>
      <c r="I459" s="23">
        <f>IF(C459&lt;='Batt IN'!$G$14*12,'Batt IN'!$E$15/8760*'Batt IN'!$G$15,0)</f>
        <v>0</v>
      </c>
      <c r="J459" s="12">
        <f>Z459/'Batt IN'!$E$27/730</f>
        <v>2.4999999999999996E-3</v>
      </c>
      <c r="K459" s="23">
        <f>AA459/'Batt IN'!$E$27/730</f>
        <v>1.6027397260273972E-3</v>
      </c>
      <c r="L459" s="23">
        <f>AB459/'Batt IN'!$E$27/730</f>
        <v>2.0547945205479451E-4</v>
      </c>
      <c r="M459" s="23">
        <f>AC459/'Batt IN'!$E$27/730</f>
        <v>4.7945205479452057E-3</v>
      </c>
      <c r="N459" s="23">
        <f>AD459/'Batt IN'!$E$27/730</f>
        <v>3.4246575342465752E-3</v>
      </c>
      <c r="O459" s="12">
        <f t="shared" si="119"/>
        <v>4.3828767123287697E-2</v>
      </c>
      <c r="P459" s="21">
        <f t="shared" si="120"/>
        <v>846.21154109589042</v>
      </c>
      <c r="Q459" s="2">
        <f>IF('Batt IN'!$E$27*'Batt IN'!$E$24&lt;='Batt IN'!$E$28,(('Batt IN'!$E$23*'Batt IN'!$E$27*'Batt IN'!$E$24)/1000)*P459,(('Batt IN'!$E$23*'Batt IN'!$E$28*'Batt IN'!$E$24)/1000)*P459)</f>
        <v>13539.384657534247</v>
      </c>
      <c r="R459" s="2"/>
      <c r="S459" s="77">
        <f>IF(C459&lt;='Batt IN'!$G$14*12,'Batt IN'!$E$15/12,0)</f>
        <v>0</v>
      </c>
      <c r="T459" s="77"/>
      <c r="U459" s="80">
        <f>'Batt IN'!$E$28*('Batt IN'!$G$24/24)*730*(1-O459)</f>
        <v>81433.916666666657</v>
      </c>
      <c r="V459" s="78">
        <f>U459*'Batt IN'!$F$30</f>
        <v>16286.783333333333</v>
      </c>
      <c r="W459" s="78">
        <f>'Batt IN'!$E$28*'Batt IN'!$G$32*('Batt IN'!$E$32/12)*(1+'Batt IN'!$F$30)</f>
        <v>1750.0000000000002</v>
      </c>
      <c r="X459" s="78">
        <f>'Batt IN'!$E$28*'Batt IN'!$G$13*('Batt IN'!$E$13/12)*(1+'Batt IN'!$F$30)</f>
        <v>3184.9999999999995</v>
      </c>
      <c r="Y459" s="33">
        <f>S459*'Batt IN'!$G$15*'Batt IN'!$E$28*(1+'Batt IN'!$F$30)</f>
        <v>0</v>
      </c>
      <c r="Z459" s="33">
        <f>'Batt IN'!$G$16*365/12*(1+'Batt IN'!$F$30)</f>
        <v>1824.9999999999998</v>
      </c>
      <c r="AA459" s="33">
        <f>'Batt IN'!$G$17*'Batt IN'!$E$18*'Batt IN'!$G$18/12*(1+'Batt IN'!$F$30)</f>
        <v>1170</v>
      </c>
      <c r="AB459" s="33">
        <f>'Batt IN'!$G$19*'Batt IN'!$E$20*'Batt IN'!$G$20/12*(1+'Batt IN'!$F$30)</f>
        <v>150</v>
      </c>
      <c r="AC459" s="33">
        <f>'Batt IN'!$G$21*(1+'Batt IN'!$F$30)/12</f>
        <v>3500</v>
      </c>
      <c r="AD459" s="33">
        <f>'Batt IN'!$G$22*(1+'Batt IN'!$F$30)/12</f>
        <v>2500</v>
      </c>
      <c r="AE459" s="33">
        <f t="shared" si="121"/>
        <v>30366.783333333333</v>
      </c>
      <c r="AF459" s="33">
        <f>IF('PV IN'!$F$4="Battery Only",0,AE459*'Batt IN'!$E$29)</f>
        <v>25811.765833333331</v>
      </c>
      <c r="AG459" s="33">
        <f>PVCalcs!L459</f>
        <v>25811.765833333331</v>
      </c>
      <c r="AH459" s="33">
        <f t="shared" si="122"/>
        <v>4555.0175000000017</v>
      </c>
      <c r="AI459" s="33"/>
      <c r="AJ459" s="2">
        <f>IF(AND('Batt IN'!$D$53="Yes",$AL$1&gt;=1),IF($C459='Batt IN'!$H$54*12,-'Batt IN'!$F$54,0),0)</f>
        <v>0</v>
      </c>
      <c r="AK459" s="2">
        <f>IF(AND('Batt IN'!$D$53="Yes",$AL$1&gt;=2),IF($C459='Batt IN'!$H$55*12,-'Batt IN'!$F$55,0),0)</f>
        <v>0</v>
      </c>
      <c r="AL459" s="2">
        <f>IF(AND('Batt IN'!$D$53="Yes",$AL$1&gt;=3),IF($C459='Batt IN'!$H$56*12,-'Batt IN'!$F$56,0),0)</f>
        <v>0</v>
      </c>
      <c r="AM459" s="2">
        <f>IF(AND('Batt IN'!$D$53="Yes",$AL$1&gt;=4),IF($C459='Batt IN'!$H$57*12,-'Batt IN'!$F$57,0),0)</f>
        <v>0</v>
      </c>
      <c r="AN459" s="2">
        <f>IF(AND('Batt IN'!$D$53="Yes",$AL$1&gt;=5),IF($C459='Batt IN'!$H$58*12,-'Batt IN'!$F$58,0),0)</f>
        <v>0</v>
      </c>
      <c r="AO459" s="10">
        <f>IF(AND('Batt IN'!$D$44="YES",$C459&lt;='Batt IN'!$E$44*12),-'Batt IN'!$E$28*'Batt IN'!$E$42/12,0)</f>
        <v>0</v>
      </c>
      <c r="AP459" s="10">
        <f>IF(AND('Batt IN'!$D$46="YES",$C459&lt;='Batt IN'!$E$46*12),-'Batt IN'!$E$28*'Batt IN'!$E$45/12,0)</f>
        <v>0</v>
      </c>
      <c r="AR459" s="10">
        <f>BattLoan!M486</f>
        <v>0</v>
      </c>
      <c r="AS459" s="10">
        <f>'Batt IN'!$G$16*365/12*'Batt IN'!$E$16</f>
        <v>76.041666666666671</v>
      </c>
      <c r="AT459" s="10">
        <f>IF(AND('Batt IN'!$E$18&gt;0,'Batt IN'!$G$18&gt;0),'Batt IN'!$E$17*'Batt IN'!$G$17,0)</f>
        <v>119.44619999999999</v>
      </c>
      <c r="AU459" s="10">
        <f>IF(AND('Batt IN'!$E$20&gt;0,'Batt IN'!$G$20&gt;0),'Batt IN'!$E$19*'Batt IN'!$G$19,0)</f>
        <v>231</v>
      </c>
      <c r="AV459" s="10"/>
      <c r="AW459" s="10"/>
      <c r="AX459" s="10">
        <f>IF('Batt IN'!$E$11="Non-Taxable",Q459,0)</f>
        <v>13539.384657534247</v>
      </c>
      <c r="AY459" s="10">
        <f>IF('Batt IN'!$E$11="Non-Taxable",'Batt IN'!$E$28/1000*'Batt IN'!$G$13*('Batt IN'!$E$13/12)*'Batt IN'!$E$12,0)</f>
        <v>244.42220833333334</v>
      </c>
      <c r="AZ459" s="10">
        <f>IF('Batt IN'!$E$11="Non-Taxable",$S459*'Batt IN'!$G$15*'Batt IN'!$E$28*'Batt IN'!$E$14/1000,0)</f>
        <v>0</v>
      </c>
      <c r="BA459" s="10">
        <f>IF('Batt IN'!$E$11="Non-Taxable",'Batt IN'!$E$21*'Batt IN'!$G$21/12,0)</f>
        <v>437.5</v>
      </c>
      <c r="BB459" s="10">
        <f>IF('Batt IN'!$E$11="Non-Taxable",'Batt IN'!$E$22*'Batt IN'!$G$22/12,0)</f>
        <v>1145.8333333333335</v>
      </c>
      <c r="BC459" s="10">
        <f>IF('Batt IN'!$E$11="Taxable",Q459,0)</f>
        <v>0</v>
      </c>
      <c r="BD459" s="10">
        <f>IF('Batt IN'!$E$11="Taxable",'Batt IN'!$E$28/1000*'Batt IN'!$G$13*('Batt IN'!$E$13/12)*'Batt IN'!$E$12,0)</f>
        <v>0</v>
      </c>
      <c r="BE459" s="10">
        <f>IF('Batt IN'!$E$11="Taxable",$S459*'Batt IN'!$G$15*'Batt IN'!$E$28*'Batt IN'!$E$14/1000,0)</f>
        <v>0</v>
      </c>
      <c r="BF459" s="10">
        <f>IF('Batt IN'!$E$11="Taxable",'Batt IN'!$E$21*'Batt IN'!$G$21/12,0)</f>
        <v>0</v>
      </c>
      <c r="BG459" s="10">
        <f>IF('Batt IN'!$E$11="Taxable",'Batt IN'!$E$22*'Batt IN'!$G$22/12,0)</f>
        <v>0</v>
      </c>
      <c r="BK459" s="10">
        <f>IF('Batt IN'!$N$18="Yes",-BattLoan!H487,-BattLoan!L487)</f>
        <v>0</v>
      </c>
      <c r="BL459" s="10">
        <f>IF('Batt IN'!$N$18="Yes",-BattLoan!F487,0)</f>
        <v>0</v>
      </c>
      <c r="BM459" s="10">
        <f>IF(AND('Batt IN'!$D$44="YES",$C459&lt;='Batt IN'!$E$44*12),0,-'Batt IN'!$E$28*'Batt IN'!$E$42/12)</f>
        <v>-83.333333333333329</v>
      </c>
      <c r="BN459" s="10">
        <f>IF(AND('Batt IN'!$D$46="YES",$C459&lt;='Batt IN'!$E$46*12),0,-'Batt IN'!$E$28*'Batt IN'!$E$45/12)</f>
        <v>-166.66666666666666</v>
      </c>
      <c r="BO459" s="2">
        <f>IF(AND('Batt IN'!$D$41="YES",BattCalcs!C459=ROUNDUP('Batt IN'!$H$41*12,)),-'Batt IN'!$E$41*'Batt IN'!$E$28,0)</f>
        <v>0</v>
      </c>
      <c r="BP459" s="2">
        <f>IF(AND('Batt IN'!$D$53="Yes",$AL$1&gt;=1),0,IF($C459='Batt IN'!$H$54*12,-'Batt IN'!$F$54,0))</f>
        <v>0</v>
      </c>
      <c r="BQ459" s="2">
        <f>IF(AND('Batt IN'!$D$53="Yes",$AL$1&gt;=2),0,IF($C459='Batt IN'!$H$55*12,-'Batt IN'!$F$55,0))</f>
        <v>0</v>
      </c>
      <c r="BR459" s="2">
        <f>IF(AND('Batt IN'!$D$53="Yes",$AL$1&gt;=3),0,IF($C459='Batt IN'!$H$56*12,-'Batt IN'!$F$56,0))</f>
        <v>0</v>
      </c>
      <c r="BS459" s="2">
        <f>IF(AND('Batt IN'!$D$53="Yes",$AL$1&gt;=4),0,IF($C459='Batt IN'!$H$57*12,-'Batt IN'!$F$57,0))</f>
        <v>0</v>
      </c>
      <c r="BT459" s="2">
        <f>IF(AND('Batt IN'!$D$53="Yes",$AL$1&gt;=5),0,IF($C459='Batt IN'!$H$58*12,-'Batt IN'!$F$58,0))</f>
        <v>0</v>
      </c>
      <c r="BU459" s="2">
        <f>-AH459*PVCalcs!F459</f>
        <v>-359.37504381576838</v>
      </c>
      <c r="BV459" s="2">
        <f>-'Batt IN'!$E$47</f>
        <v>-150</v>
      </c>
      <c r="BW459" s="2">
        <f>-'Batt IN'!$E$49</f>
        <v>-2250</v>
      </c>
      <c r="BX459" s="2">
        <f>IF('Batt IN'!$H$50="No",-(BC459*'Batt IN'!$E$50),-(BC459+BE459)*'Batt IN'!$E$50)</f>
        <v>0</v>
      </c>
      <c r="BY459" s="2">
        <f>IF(C459='Batt IN'!$H$43*12,-'Batt IN'!$E$43,0)</f>
        <v>0</v>
      </c>
      <c r="BZ459" s="38"/>
      <c r="CA459" s="10">
        <f t="shared" si="123"/>
        <v>15793.628065867581</v>
      </c>
      <c r="CB459" s="2">
        <f t="shared" si="128"/>
        <v>-3009.3750438157685</v>
      </c>
      <c r="CC459" s="45">
        <f t="shared" si="124"/>
        <v>12784.253022051813</v>
      </c>
      <c r="CD459" s="43"/>
      <c r="CE459" s="2">
        <f t="shared" si="125"/>
        <v>0</v>
      </c>
      <c r="CF459" s="2">
        <f t="shared" si="129"/>
        <v>-3009.3750438157685</v>
      </c>
      <c r="CG459" s="2"/>
      <c r="CH459" s="2">
        <f t="shared" si="126"/>
        <v>-3009.3750438157685</v>
      </c>
      <c r="CI459" s="45">
        <f>-CH459*'Batt IN'!$E$7</f>
        <v>631.9687592013114</v>
      </c>
      <c r="CJ459" s="48"/>
      <c r="CK459" s="45">
        <f>IF('Batt IN'!$F$4="PV Only",0,IF(C459&gt;'Batt IN'!$H$43*12,0,CC459+CI459))</f>
        <v>0</v>
      </c>
      <c r="CM459" s="10">
        <f t="shared" si="127"/>
        <v>0</v>
      </c>
      <c r="CN459" s="2">
        <f>CK459/(1+('Batt IN'!$G$8))^(C459)</f>
        <v>0</v>
      </c>
      <c r="CO459" s="2" t="e">
        <f>IF(C459&lt;='Batt IN'!$O$30*12,CN459+CO458,NA())</f>
        <v>#N/A</v>
      </c>
      <c r="CQ459" s="2">
        <f>CK459/((1+('Batt IN'!$E$8/12))^BattCalcs!C459)</f>
        <v>0</v>
      </c>
      <c r="CS459" s="10">
        <f t="shared" si="130"/>
        <v>-3009.3750438157685</v>
      </c>
      <c r="CT459" s="10">
        <f t="shared" si="131"/>
        <v>0</v>
      </c>
      <c r="CU459" s="10">
        <f t="shared" si="132"/>
        <v>-3009.3750438157685</v>
      </c>
      <c r="CV459" s="10">
        <f t="shared" si="133"/>
        <v>-3009.3750438157685</v>
      </c>
      <c r="CW459" s="2">
        <f t="shared" si="134"/>
        <v>0</v>
      </c>
      <c r="CX459" s="2">
        <f>-(SUM(CV459:CW459)*'PV IN'!$E$8)</f>
        <v>631.9687592013114</v>
      </c>
      <c r="CY459" s="2">
        <f t="shared" si="135"/>
        <v>-2377.406284614457</v>
      </c>
      <c r="CZ459" s="2">
        <f>IF(C459&lt;='Batt IN'!$H$43*12,CY459/(1+('PV IN'!$G$9))^(C459),0)</f>
        <v>0</v>
      </c>
      <c r="DA459" s="33">
        <f>IF(C459&lt;='Batt IN'!$H$43*12,AE459,0)</f>
        <v>0</v>
      </c>
    </row>
    <row r="460" spans="1:105" x14ac:dyDescent="0.25">
      <c r="A460" t="str">
        <f>IF(C460&lt;='Batt IN'!$H$43*12,C460,"")</f>
        <v/>
      </c>
      <c r="B460">
        <v>38</v>
      </c>
      <c r="C460">
        <v>456</v>
      </c>
      <c r="D460" s="21">
        <v>886</v>
      </c>
      <c r="E460" s="1">
        <f>1-'Batt IN'!$E$31</f>
        <v>2.0000000000000018E-2</v>
      </c>
      <c r="F460" s="12">
        <f>('Batt IN'!$E$33*365)/8760</f>
        <v>0</v>
      </c>
      <c r="G460" s="22">
        <f>'Batt IN'!$E$32/8760</f>
        <v>5.7077625570776253E-3</v>
      </c>
      <c r="H460" s="22">
        <f>'Batt IN'!$E$13/8760</f>
        <v>5.5936073059360729E-3</v>
      </c>
      <c r="I460" s="23">
        <f>IF(C460&lt;='Batt IN'!$G$14*12,'Batt IN'!$E$15/8760*'Batt IN'!$G$15,0)</f>
        <v>0</v>
      </c>
      <c r="J460" s="12">
        <f>Z460/'Batt IN'!$E$27/730</f>
        <v>2.4999999999999996E-3</v>
      </c>
      <c r="K460" s="23">
        <f>AA460/'Batt IN'!$E$27/730</f>
        <v>1.6027397260273972E-3</v>
      </c>
      <c r="L460" s="23">
        <f>AB460/'Batt IN'!$E$27/730</f>
        <v>2.0547945205479451E-4</v>
      </c>
      <c r="M460" s="23">
        <f>AC460/'Batt IN'!$E$27/730</f>
        <v>4.7945205479452057E-3</v>
      </c>
      <c r="N460" s="23">
        <f>AD460/'Batt IN'!$E$27/730</f>
        <v>3.4246575342465752E-3</v>
      </c>
      <c r="O460" s="12">
        <f t="shared" si="119"/>
        <v>4.3828767123287697E-2</v>
      </c>
      <c r="P460" s="21">
        <f t="shared" si="120"/>
        <v>847.16771232876715</v>
      </c>
      <c r="Q460" s="2">
        <f>IF('Batt IN'!$E$27*'Batt IN'!$E$24&lt;='Batt IN'!$E$28,(('Batt IN'!$E$23*'Batt IN'!$E$27*'Batt IN'!$E$24)/1000)*P460,(('Batt IN'!$E$23*'Batt IN'!$E$28*'Batt IN'!$E$24)/1000)*P460)</f>
        <v>13554.683397260274</v>
      </c>
      <c r="R460" s="2"/>
      <c r="S460" s="77">
        <f>IF(C460&lt;='Batt IN'!$G$14*12,'Batt IN'!$E$15/12,0)</f>
        <v>0</v>
      </c>
      <c r="T460" s="77"/>
      <c r="U460" s="80">
        <f>'Batt IN'!$E$28*('Batt IN'!$G$24/24)*730*(1-O460)</f>
        <v>81433.916666666657</v>
      </c>
      <c r="V460" s="78">
        <f>U460*'Batt IN'!$F$30</f>
        <v>16286.783333333333</v>
      </c>
      <c r="W460" s="78">
        <f>'Batt IN'!$E$28*'Batt IN'!$G$32*('Batt IN'!$E$32/12)*(1+'Batt IN'!$F$30)</f>
        <v>1750.0000000000002</v>
      </c>
      <c r="X460" s="78">
        <f>'Batt IN'!$E$28*'Batt IN'!$G$13*('Batt IN'!$E$13/12)*(1+'Batt IN'!$F$30)</f>
        <v>3184.9999999999995</v>
      </c>
      <c r="Y460" s="33">
        <f>S460*'Batt IN'!$G$15*'Batt IN'!$E$28*(1+'Batt IN'!$F$30)</f>
        <v>0</v>
      </c>
      <c r="Z460" s="33">
        <f>'Batt IN'!$G$16*365/12*(1+'Batt IN'!$F$30)</f>
        <v>1824.9999999999998</v>
      </c>
      <c r="AA460" s="33">
        <f>'Batt IN'!$G$17*'Batt IN'!$E$18*'Batt IN'!$G$18/12*(1+'Batt IN'!$F$30)</f>
        <v>1170</v>
      </c>
      <c r="AB460" s="33">
        <f>'Batt IN'!$G$19*'Batt IN'!$E$20*'Batt IN'!$G$20/12*(1+'Batt IN'!$F$30)</f>
        <v>150</v>
      </c>
      <c r="AC460" s="33">
        <f>'Batt IN'!$G$21*(1+'Batt IN'!$F$30)/12</f>
        <v>3500</v>
      </c>
      <c r="AD460" s="33">
        <f>'Batt IN'!$G$22*(1+'Batt IN'!$F$30)/12</f>
        <v>2500</v>
      </c>
      <c r="AE460" s="33">
        <f t="shared" si="121"/>
        <v>30366.783333333333</v>
      </c>
      <c r="AF460" s="33">
        <f>IF('PV IN'!$F$4="Battery Only",0,AE460*'Batt IN'!$E$29)</f>
        <v>25811.765833333331</v>
      </c>
      <c r="AG460" s="33">
        <f>PVCalcs!L460</f>
        <v>25811.765833333331</v>
      </c>
      <c r="AH460" s="33">
        <f t="shared" si="122"/>
        <v>4555.0175000000017</v>
      </c>
      <c r="AI460" s="33"/>
      <c r="AJ460" s="2">
        <f>IF(AND('Batt IN'!$D$53="Yes",$AL$1&gt;=1),IF($C460='Batt IN'!$H$54*12,-'Batt IN'!$F$54,0),0)</f>
        <v>0</v>
      </c>
      <c r="AK460" s="2">
        <f>IF(AND('Batt IN'!$D$53="Yes",$AL$1&gt;=2),IF($C460='Batt IN'!$H$55*12,-'Batt IN'!$F$55,0),0)</f>
        <v>0</v>
      </c>
      <c r="AL460" s="2">
        <f>IF(AND('Batt IN'!$D$53="Yes",$AL$1&gt;=3),IF($C460='Batt IN'!$H$56*12,-'Batt IN'!$F$56,0),0)</f>
        <v>0</v>
      </c>
      <c r="AM460" s="2">
        <f>IF(AND('Batt IN'!$D$53="Yes",$AL$1&gt;=4),IF($C460='Batt IN'!$H$57*12,-'Batt IN'!$F$57,0),0)</f>
        <v>0</v>
      </c>
      <c r="AN460" s="2">
        <f>IF(AND('Batt IN'!$D$53="Yes",$AL$1&gt;=5),IF($C460='Batt IN'!$H$58*12,-'Batt IN'!$F$58,0),0)</f>
        <v>0</v>
      </c>
      <c r="AO460" s="10">
        <f>IF(AND('Batt IN'!$D$44="YES",$C460&lt;='Batt IN'!$E$44*12),-'Batt IN'!$E$28*'Batt IN'!$E$42/12,0)</f>
        <v>0</v>
      </c>
      <c r="AP460" s="10">
        <f>IF(AND('Batt IN'!$D$46="YES",$C460&lt;='Batt IN'!$E$46*12),-'Batt IN'!$E$28*'Batt IN'!$E$45/12,0)</f>
        <v>0</v>
      </c>
      <c r="AR460" s="10">
        <f>BattLoan!M487</f>
        <v>0</v>
      </c>
      <c r="AS460" s="10">
        <f>'Batt IN'!$G$16*365/12*'Batt IN'!$E$16</f>
        <v>76.041666666666671</v>
      </c>
      <c r="AT460" s="10">
        <f>IF(AND('Batt IN'!$E$18&gt;0,'Batt IN'!$G$18&gt;0),'Batt IN'!$E$17*'Batt IN'!$G$17,0)</f>
        <v>119.44619999999999</v>
      </c>
      <c r="AU460" s="10">
        <f>IF(AND('Batt IN'!$E$20&gt;0,'Batt IN'!$G$20&gt;0),'Batt IN'!$E$19*'Batt IN'!$G$19,0)</f>
        <v>231</v>
      </c>
      <c r="AV460" s="10"/>
      <c r="AW460" s="10"/>
      <c r="AX460" s="10">
        <f>IF('Batt IN'!$E$11="Non-Taxable",Q460,0)</f>
        <v>13554.683397260274</v>
      </c>
      <c r="AY460" s="10">
        <f>IF('Batt IN'!$E$11="Non-Taxable",'Batt IN'!$E$28/1000*'Batt IN'!$G$13*('Batt IN'!$E$13/12)*'Batt IN'!$E$12,0)</f>
        <v>244.42220833333334</v>
      </c>
      <c r="AZ460" s="10">
        <f>IF('Batt IN'!$E$11="Non-Taxable",$S460*'Batt IN'!$G$15*'Batt IN'!$E$28*'Batt IN'!$E$14/1000,0)</f>
        <v>0</v>
      </c>
      <c r="BA460" s="10">
        <f>IF('Batt IN'!$E$11="Non-Taxable",'Batt IN'!$E$21*'Batt IN'!$G$21/12,0)</f>
        <v>437.5</v>
      </c>
      <c r="BB460" s="10">
        <f>IF('Batt IN'!$E$11="Non-Taxable",'Batt IN'!$E$22*'Batt IN'!$G$22/12,0)</f>
        <v>1145.8333333333335</v>
      </c>
      <c r="BC460" s="10">
        <f>IF('Batt IN'!$E$11="Taxable",Q460,0)</f>
        <v>0</v>
      </c>
      <c r="BD460" s="10">
        <f>IF('Batt IN'!$E$11="Taxable",'Batt IN'!$E$28/1000*'Batt IN'!$G$13*('Batt IN'!$E$13/12)*'Batt IN'!$E$12,0)</f>
        <v>0</v>
      </c>
      <c r="BE460" s="10">
        <f>IF('Batt IN'!$E$11="Taxable",$S460*'Batt IN'!$G$15*'Batt IN'!$E$28*'Batt IN'!$E$14/1000,0)</f>
        <v>0</v>
      </c>
      <c r="BF460" s="10">
        <f>IF('Batt IN'!$E$11="Taxable",'Batt IN'!$E$21*'Batt IN'!$G$21/12,0)</f>
        <v>0</v>
      </c>
      <c r="BG460" s="10">
        <f>IF('Batt IN'!$E$11="Taxable",'Batt IN'!$E$22*'Batt IN'!$G$22/12,0)</f>
        <v>0</v>
      </c>
      <c r="BK460" s="10">
        <f>IF('Batt IN'!$N$18="Yes",-BattLoan!H488,-BattLoan!L488)</f>
        <v>0</v>
      </c>
      <c r="BL460" s="10">
        <f>IF('Batt IN'!$N$18="Yes",-BattLoan!F488,0)</f>
        <v>0</v>
      </c>
      <c r="BM460" s="10">
        <f>IF(AND('Batt IN'!$D$44="YES",$C460&lt;='Batt IN'!$E$44*12),0,-'Batt IN'!$E$28*'Batt IN'!$E$42/12)</f>
        <v>-83.333333333333329</v>
      </c>
      <c r="BN460" s="10">
        <f>IF(AND('Batt IN'!$D$46="YES",$C460&lt;='Batt IN'!$E$46*12),0,-'Batt IN'!$E$28*'Batt IN'!$E$45/12)</f>
        <v>-166.66666666666666</v>
      </c>
      <c r="BO460" s="2">
        <f>IF(AND('Batt IN'!$D$41="YES",BattCalcs!C460=ROUNDUP('Batt IN'!$H$41*12,)),-'Batt IN'!$E$41*'Batt IN'!$E$28,0)</f>
        <v>0</v>
      </c>
      <c r="BP460" s="2">
        <f>IF(AND('Batt IN'!$D$53="Yes",$AL$1&gt;=1),0,IF($C460='Batt IN'!$H$54*12,-'Batt IN'!$F$54,0))</f>
        <v>0</v>
      </c>
      <c r="BQ460" s="2">
        <f>IF(AND('Batt IN'!$D$53="Yes",$AL$1&gt;=2),0,IF($C460='Batt IN'!$H$55*12,-'Batt IN'!$F$55,0))</f>
        <v>0</v>
      </c>
      <c r="BR460" s="2">
        <f>IF(AND('Batt IN'!$D$53="Yes",$AL$1&gt;=3),0,IF($C460='Batt IN'!$H$56*12,-'Batt IN'!$F$56,0))</f>
        <v>0</v>
      </c>
      <c r="BS460" s="2">
        <f>IF(AND('Batt IN'!$D$53="Yes",$AL$1&gt;=4),0,IF($C460='Batt IN'!$H$57*12,-'Batt IN'!$F$57,0))</f>
        <v>0</v>
      </c>
      <c r="BT460" s="2">
        <f>IF(AND('Batt IN'!$D$53="Yes",$AL$1&gt;=5),0,IF($C460='Batt IN'!$H$58*12,-'Batt IN'!$F$58,0))</f>
        <v>0</v>
      </c>
      <c r="BU460" s="2">
        <f>-AH460*PVCalcs!F460</f>
        <v>-359.37504381576838</v>
      </c>
      <c r="BV460" s="2">
        <f>-'Batt IN'!$E$47</f>
        <v>-150</v>
      </c>
      <c r="BW460" s="2">
        <f>-'Batt IN'!$E$49</f>
        <v>-2250</v>
      </c>
      <c r="BX460" s="2">
        <f>IF('Batt IN'!$H$50="No",-(BC460*'Batt IN'!$E$50),-(BC460+BE460)*'Batt IN'!$E$50)</f>
        <v>0</v>
      </c>
      <c r="BY460" s="2">
        <f>IF(C460='Batt IN'!$H$43*12,-'Batt IN'!$E$43,0)</f>
        <v>0</v>
      </c>
      <c r="BZ460" s="38"/>
      <c r="CA460" s="10">
        <f t="shared" si="123"/>
        <v>15808.926805593608</v>
      </c>
      <c r="CB460" s="2">
        <f t="shared" si="128"/>
        <v>-3009.3750438157685</v>
      </c>
      <c r="CC460" s="45">
        <f t="shared" si="124"/>
        <v>12799.551761777839</v>
      </c>
      <c r="CD460" s="43"/>
      <c r="CE460" s="2">
        <f t="shared" si="125"/>
        <v>0</v>
      </c>
      <c r="CF460" s="2">
        <f t="shared" si="129"/>
        <v>-3009.3750438157685</v>
      </c>
      <c r="CG460" s="2"/>
      <c r="CH460" s="2">
        <f t="shared" si="126"/>
        <v>-3009.3750438157685</v>
      </c>
      <c r="CI460" s="45">
        <f>-CH460*'Batt IN'!$E$7</f>
        <v>631.9687592013114</v>
      </c>
      <c r="CJ460" s="48"/>
      <c r="CK460" s="45">
        <f>IF('Batt IN'!$F$4="PV Only",0,IF(C460&gt;'Batt IN'!$H$43*12,0,CC460+CI460))</f>
        <v>0</v>
      </c>
      <c r="CM460" s="10">
        <f t="shared" si="127"/>
        <v>0</v>
      </c>
      <c r="CN460" s="2">
        <f>CK460/(1+('Batt IN'!$G$8))^(C460)</f>
        <v>0</v>
      </c>
      <c r="CO460" s="2" t="e">
        <f>IF(C460&lt;='Batt IN'!$O$30*12,CN460+CO459,NA())</f>
        <v>#N/A</v>
      </c>
      <c r="CQ460" s="2">
        <f>CK460/((1+('Batt IN'!$E$8/12))^BattCalcs!C460)</f>
        <v>0</v>
      </c>
      <c r="CS460" s="10">
        <f t="shared" si="130"/>
        <v>-3009.3750438157685</v>
      </c>
      <c r="CT460" s="10">
        <f t="shared" si="131"/>
        <v>0</v>
      </c>
      <c r="CU460" s="10">
        <f t="shared" si="132"/>
        <v>-3009.3750438157685</v>
      </c>
      <c r="CV460" s="10">
        <f t="shared" si="133"/>
        <v>-3009.3750438157685</v>
      </c>
      <c r="CW460" s="2">
        <f t="shared" si="134"/>
        <v>0</v>
      </c>
      <c r="CX460" s="2">
        <f>-(SUM(CV460:CW460)*'PV IN'!$E$8)</f>
        <v>631.9687592013114</v>
      </c>
      <c r="CY460" s="2">
        <f t="shared" si="135"/>
        <v>-2377.406284614457</v>
      </c>
      <c r="CZ460" s="2">
        <f>IF(C460&lt;='Batt IN'!$H$43*12,CY460/(1+('PV IN'!$G$9))^(C460),0)</f>
        <v>0</v>
      </c>
      <c r="DA460" s="33">
        <f>IF(C460&lt;='Batt IN'!$H$43*12,AE460,0)</f>
        <v>0</v>
      </c>
    </row>
    <row r="461" spans="1:105" x14ac:dyDescent="0.25">
      <c r="A461" t="str">
        <f>IF(C461&lt;='Batt IN'!$H$43*12,C461,"")</f>
        <v/>
      </c>
      <c r="C461">
        <v>457</v>
      </c>
      <c r="D461" s="21">
        <v>887</v>
      </c>
      <c r="E461" s="1">
        <f>1-'Batt IN'!$E$31</f>
        <v>2.0000000000000018E-2</v>
      </c>
      <c r="F461" s="12">
        <f>('Batt IN'!$E$33*365)/8760</f>
        <v>0</v>
      </c>
      <c r="G461" s="22">
        <f>'Batt IN'!$E$32/8760</f>
        <v>5.7077625570776253E-3</v>
      </c>
      <c r="H461" s="22">
        <f>'Batt IN'!$E$13/8760</f>
        <v>5.5936073059360729E-3</v>
      </c>
      <c r="I461" s="23">
        <f>IF(C461&lt;='Batt IN'!$G$14*12,'Batt IN'!$E$15/8760*'Batt IN'!$G$15,0)</f>
        <v>0</v>
      </c>
      <c r="J461" s="12">
        <f>Z461/'Batt IN'!$E$27/730</f>
        <v>2.4999999999999996E-3</v>
      </c>
      <c r="K461" s="23">
        <f>AA461/'Batt IN'!$E$27/730</f>
        <v>1.6027397260273972E-3</v>
      </c>
      <c r="L461" s="23">
        <f>AB461/'Batt IN'!$E$27/730</f>
        <v>2.0547945205479451E-4</v>
      </c>
      <c r="M461" s="23">
        <f>AC461/'Batt IN'!$E$27/730</f>
        <v>4.7945205479452057E-3</v>
      </c>
      <c r="N461" s="23">
        <f>AD461/'Batt IN'!$E$27/730</f>
        <v>3.4246575342465752E-3</v>
      </c>
      <c r="O461" s="12">
        <f t="shared" si="119"/>
        <v>4.3828767123287697E-2</v>
      </c>
      <c r="P461" s="21">
        <f t="shared" si="120"/>
        <v>848.12388356164388</v>
      </c>
      <c r="Q461" s="2">
        <f>IF('Batt IN'!$E$27*'Batt IN'!$E$24&lt;='Batt IN'!$E$28,(('Batt IN'!$E$23*'Batt IN'!$E$27*'Batt IN'!$E$24)/1000)*P461,(('Batt IN'!$E$23*'Batt IN'!$E$28*'Batt IN'!$E$24)/1000)*P461)</f>
        <v>13569.982136986302</v>
      </c>
      <c r="R461" s="2"/>
      <c r="S461" s="77">
        <f>IF(C461&lt;='Batt IN'!$G$14*12,'Batt IN'!$E$15/12,0)</f>
        <v>0</v>
      </c>
      <c r="T461" s="77"/>
      <c r="U461" s="80">
        <f>'Batt IN'!$E$28*('Batt IN'!$G$24/24)*730*(1-O461)</f>
        <v>81433.916666666657</v>
      </c>
      <c r="V461" s="78">
        <f>U461*'Batt IN'!$F$30</f>
        <v>16286.783333333333</v>
      </c>
      <c r="W461" s="78">
        <f>'Batt IN'!$E$28*'Batt IN'!$G$32*('Batt IN'!$E$32/12)*(1+'Batt IN'!$F$30)</f>
        <v>1750.0000000000002</v>
      </c>
      <c r="X461" s="78">
        <f>'Batt IN'!$E$28*'Batt IN'!$G$13*('Batt IN'!$E$13/12)*(1+'Batt IN'!$F$30)</f>
        <v>3184.9999999999995</v>
      </c>
      <c r="Y461" s="33">
        <f>S461*'Batt IN'!$G$15*'Batt IN'!$E$28*(1+'Batt IN'!$F$30)</f>
        <v>0</v>
      </c>
      <c r="Z461" s="33">
        <f>'Batt IN'!$G$16*365/12*(1+'Batt IN'!$F$30)</f>
        <v>1824.9999999999998</v>
      </c>
      <c r="AA461" s="33">
        <f>'Batt IN'!$G$17*'Batt IN'!$E$18*'Batt IN'!$G$18/12*(1+'Batt IN'!$F$30)</f>
        <v>1170</v>
      </c>
      <c r="AB461" s="33">
        <f>'Batt IN'!$G$19*'Batt IN'!$E$20*'Batt IN'!$G$20/12*(1+'Batt IN'!$F$30)</f>
        <v>150</v>
      </c>
      <c r="AC461" s="33">
        <f>'Batt IN'!$G$21*(1+'Batt IN'!$F$30)/12</f>
        <v>3500</v>
      </c>
      <c r="AD461" s="33">
        <f>'Batt IN'!$G$22*(1+'Batt IN'!$F$30)/12</f>
        <v>2500</v>
      </c>
      <c r="AE461" s="33">
        <f t="shared" si="121"/>
        <v>30366.783333333333</v>
      </c>
      <c r="AF461" s="33">
        <f>IF('PV IN'!$F$4="Battery Only",0,AE461*'Batt IN'!$E$29)</f>
        <v>25811.765833333331</v>
      </c>
      <c r="AG461" s="33">
        <f>PVCalcs!L461</f>
        <v>25811.765833333331</v>
      </c>
      <c r="AH461" s="33">
        <f t="shared" si="122"/>
        <v>4555.0175000000017</v>
      </c>
      <c r="AI461" s="33"/>
      <c r="AJ461" s="2">
        <f>IF(AND('Batt IN'!$D$53="Yes",$AL$1&gt;=1),IF($C461='Batt IN'!$H$54*12,-'Batt IN'!$F$54,0),0)</f>
        <v>0</v>
      </c>
      <c r="AK461" s="2">
        <f>IF(AND('Batt IN'!$D$53="Yes",$AL$1&gt;=2),IF($C461='Batt IN'!$H$55*12,-'Batt IN'!$F$55,0),0)</f>
        <v>0</v>
      </c>
      <c r="AL461" s="2">
        <f>IF(AND('Batt IN'!$D$53="Yes",$AL$1&gt;=3),IF($C461='Batt IN'!$H$56*12,-'Batt IN'!$F$56,0),0)</f>
        <v>0</v>
      </c>
      <c r="AM461" s="2">
        <f>IF(AND('Batt IN'!$D$53="Yes",$AL$1&gt;=4),IF($C461='Batt IN'!$H$57*12,-'Batt IN'!$F$57,0),0)</f>
        <v>0</v>
      </c>
      <c r="AN461" s="2">
        <f>IF(AND('Batt IN'!$D$53="Yes",$AL$1&gt;=5),IF($C461='Batt IN'!$H$58*12,-'Batt IN'!$F$58,0),0)</f>
        <v>0</v>
      </c>
      <c r="AO461" s="10">
        <f>IF(AND('Batt IN'!$D$44="YES",$C461&lt;='Batt IN'!$E$44*12),-'Batt IN'!$E$28*'Batt IN'!$E$42/12,0)</f>
        <v>0</v>
      </c>
      <c r="AP461" s="10">
        <f>IF(AND('Batt IN'!$D$46="YES",$C461&lt;='Batt IN'!$E$46*12),-'Batt IN'!$E$28*'Batt IN'!$E$45/12,0)</f>
        <v>0</v>
      </c>
      <c r="AR461" s="10">
        <f>BattLoan!M488</f>
        <v>0</v>
      </c>
      <c r="AS461" s="10">
        <f>'Batt IN'!$G$16*365/12*'Batt IN'!$E$16</f>
        <v>76.041666666666671</v>
      </c>
      <c r="AT461" s="10">
        <f>IF(AND('Batt IN'!$E$18&gt;0,'Batt IN'!$G$18&gt;0),'Batt IN'!$E$17*'Batt IN'!$G$17,0)</f>
        <v>119.44619999999999</v>
      </c>
      <c r="AU461" s="10">
        <f>IF(AND('Batt IN'!$E$20&gt;0,'Batt IN'!$G$20&gt;0),'Batt IN'!$E$19*'Batt IN'!$G$19,0)</f>
        <v>231</v>
      </c>
      <c r="AV461" s="10"/>
      <c r="AW461" s="10"/>
      <c r="AX461" s="10">
        <f>IF('Batt IN'!$E$11="Non-Taxable",Q461,0)</f>
        <v>13569.982136986302</v>
      </c>
      <c r="AY461" s="10">
        <f>IF('Batt IN'!$E$11="Non-Taxable",'Batt IN'!$E$28/1000*'Batt IN'!$G$13*('Batt IN'!$E$13/12)*'Batt IN'!$E$12,0)</f>
        <v>244.42220833333334</v>
      </c>
      <c r="AZ461" s="10">
        <f>IF('Batt IN'!$E$11="Non-Taxable",$S461*'Batt IN'!$G$15*'Batt IN'!$E$28*'Batt IN'!$E$14/1000,0)</f>
        <v>0</v>
      </c>
      <c r="BA461" s="10">
        <f>IF('Batt IN'!$E$11="Non-Taxable",'Batt IN'!$E$21*'Batt IN'!$G$21/12,0)</f>
        <v>437.5</v>
      </c>
      <c r="BB461" s="10">
        <f>IF('Batt IN'!$E$11="Non-Taxable",'Batt IN'!$E$22*'Batt IN'!$G$22/12,0)</f>
        <v>1145.8333333333335</v>
      </c>
      <c r="BC461" s="10">
        <f>IF('Batt IN'!$E$11="Taxable",Q461,0)</f>
        <v>0</v>
      </c>
      <c r="BD461" s="10">
        <f>IF('Batt IN'!$E$11="Taxable",'Batt IN'!$E$28/1000*'Batt IN'!$G$13*('Batt IN'!$E$13/12)*'Batt IN'!$E$12,0)</f>
        <v>0</v>
      </c>
      <c r="BE461" s="10">
        <f>IF('Batt IN'!$E$11="Taxable",$S461*'Batt IN'!$G$15*'Batt IN'!$E$28*'Batt IN'!$E$14/1000,0)</f>
        <v>0</v>
      </c>
      <c r="BF461" s="10">
        <f>IF('Batt IN'!$E$11="Taxable",'Batt IN'!$E$21*'Batt IN'!$G$21/12,0)</f>
        <v>0</v>
      </c>
      <c r="BG461" s="10">
        <f>IF('Batt IN'!$E$11="Taxable",'Batt IN'!$E$22*'Batt IN'!$G$22/12,0)</f>
        <v>0</v>
      </c>
      <c r="BK461" s="10">
        <f>IF('Batt IN'!$N$18="Yes",-BattLoan!H489,-BattLoan!L489)</f>
        <v>0</v>
      </c>
      <c r="BL461" s="10">
        <f>IF('Batt IN'!$N$18="Yes",-BattLoan!F489,0)</f>
        <v>0</v>
      </c>
      <c r="BM461" s="10">
        <f>IF(AND('Batt IN'!$D$44="YES",$C461&lt;='Batt IN'!$E$44*12),0,-'Batt IN'!$E$28*'Batt IN'!$E$42/12)</f>
        <v>-83.333333333333329</v>
      </c>
      <c r="BN461" s="10">
        <f>IF(AND('Batt IN'!$D$46="YES",$C461&lt;='Batt IN'!$E$46*12),0,-'Batt IN'!$E$28*'Batt IN'!$E$45/12)</f>
        <v>-166.66666666666666</v>
      </c>
      <c r="BO461" s="2">
        <f>IF(AND('Batt IN'!$D$41="YES",BattCalcs!C461=ROUNDUP('Batt IN'!$H$41*12,)),-'Batt IN'!$E$41*'Batt IN'!$E$28,0)</f>
        <v>0</v>
      </c>
      <c r="BP461" s="2">
        <f>IF(AND('Batt IN'!$D$53="Yes",$AL$1&gt;=1),0,IF($C461='Batt IN'!$H$54*12,-'Batt IN'!$F$54,0))</f>
        <v>0</v>
      </c>
      <c r="BQ461" s="2">
        <f>IF(AND('Batt IN'!$D$53="Yes",$AL$1&gt;=2),0,IF($C461='Batt IN'!$H$55*12,-'Batt IN'!$F$55,0))</f>
        <v>0</v>
      </c>
      <c r="BR461" s="2">
        <f>IF(AND('Batt IN'!$D$53="Yes",$AL$1&gt;=3),0,IF($C461='Batt IN'!$H$56*12,-'Batt IN'!$F$56,0))</f>
        <v>0</v>
      </c>
      <c r="BS461" s="2">
        <f>IF(AND('Batt IN'!$D$53="Yes",$AL$1&gt;=4),0,IF($C461='Batt IN'!$H$57*12,-'Batt IN'!$F$57,0))</f>
        <v>0</v>
      </c>
      <c r="BT461" s="2">
        <f>IF(AND('Batt IN'!$D$53="Yes",$AL$1&gt;=5),0,IF($C461='Batt IN'!$H$58*12,-'Batt IN'!$F$58,0))</f>
        <v>0</v>
      </c>
      <c r="BU461" s="2">
        <f>-AH461*PVCalcs!F461</f>
        <v>-359.37504381576838</v>
      </c>
      <c r="BV461" s="2">
        <f>-'Batt IN'!$E$47</f>
        <v>-150</v>
      </c>
      <c r="BW461" s="2">
        <f>-'Batt IN'!$E$49</f>
        <v>-2250</v>
      </c>
      <c r="BX461" s="2">
        <f>IF('Batt IN'!$H$50="No",-(BC461*'Batt IN'!$E$50),-(BC461+BE461)*'Batt IN'!$E$50)</f>
        <v>0</v>
      </c>
      <c r="BY461" s="2">
        <f>IF(C461='Batt IN'!$H$43*12,-'Batt IN'!$E$43,0)</f>
        <v>0</v>
      </c>
      <c r="BZ461" s="38"/>
      <c r="CA461" s="10">
        <f t="shared" si="123"/>
        <v>15824.225545319636</v>
      </c>
      <c r="CB461" s="2">
        <f t="shared" si="128"/>
        <v>-3009.3750438157685</v>
      </c>
      <c r="CC461" s="45">
        <f t="shared" si="124"/>
        <v>12814.850501503868</v>
      </c>
      <c r="CD461" s="43"/>
      <c r="CE461" s="2">
        <f t="shared" si="125"/>
        <v>0</v>
      </c>
      <c r="CF461" s="2">
        <f t="shared" si="129"/>
        <v>-3009.3750438157685</v>
      </c>
      <c r="CG461" s="2"/>
      <c r="CH461" s="2">
        <f t="shared" si="126"/>
        <v>-3009.3750438157685</v>
      </c>
      <c r="CI461" s="45">
        <f>-CH461*'Batt IN'!$E$7</f>
        <v>631.9687592013114</v>
      </c>
      <c r="CJ461" s="48"/>
      <c r="CK461" s="45">
        <f>IF('Batt IN'!$F$4="PV Only",0,IF(C461&gt;'Batt IN'!$H$43*12,0,CC461+CI461))</f>
        <v>0</v>
      </c>
      <c r="CM461" s="10">
        <f t="shared" si="127"/>
        <v>0</v>
      </c>
      <c r="CN461" s="2">
        <f>CK461/(1+('Batt IN'!$G$8))^(C461)</f>
        <v>0</v>
      </c>
      <c r="CO461" s="2" t="e">
        <f>IF(C461&lt;='Batt IN'!$O$30*12,CN461+CO460,NA())</f>
        <v>#N/A</v>
      </c>
      <c r="CQ461" s="2">
        <f>CK461/((1+('Batt IN'!$E$8/12))^BattCalcs!C461)</f>
        <v>0</v>
      </c>
      <c r="CS461" s="10">
        <f t="shared" si="130"/>
        <v>-3009.3750438157685</v>
      </c>
      <c r="CT461" s="10">
        <f t="shared" si="131"/>
        <v>0</v>
      </c>
      <c r="CU461" s="10">
        <f t="shared" si="132"/>
        <v>-3009.3750438157685</v>
      </c>
      <c r="CV461" s="10">
        <f t="shared" si="133"/>
        <v>-3009.3750438157685</v>
      </c>
      <c r="CW461" s="2">
        <f t="shared" si="134"/>
        <v>0</v>
      </c>
      <c r="CX461" s="2">
        <f>-(SUM(CV461:CW461)*'PV IN'!$E$8)</f>
        <v>631.9687592013114</v>
      </c>
      <c r="CY461" s="2">
        <f t="shared" si="135"/>
        <v>-2377.406284614457</v>
      </c>
      <c r="CZ461" s="2">
        <f>IF(C461&lt;='Batt IN'!$H$43*12,CY461/(1+('PV IN'!$G$9))^(C461),0)</f>
        <v>0</v>
      </c>
      <c r="DA461" s="33">
        <f>IF(C461&lt;='Batt IN'!$H$43*12,AE461,0)</f>
        <v>0</v>
      </c>
    </row>
    <row r="462" spans="1:105" x14ac:dyDescent="0.25">
      <c r="A462" t="str">
        <f>IF(C462&lt;='Batt IN'!$H$43*12,C462,"")</f>
        <v/>
      </c>
      <c r="C462">
        <v>458</v>
      </c>
      <c r="D462" s="21">
        <v>888</v>
      </c>
      <c r="E462" s="1">
        <f>1-'Batt IN'!$E$31</f>
        <v>2.0000000000000018E-2</v>
      </c>
      <c r="F462" s="12">
        <f>('Batt IN'!$E$33*365)/8760</f>
        <v>0</v>
      </c>
      <c r="G462" s="22">
        <f>'Batt IN'!$E$32/8760</f>
        <v>5.7077625570776253E-3</v>
      </c>
      <c r="H462" s="22">
        <f>'Batt IN'!$E$13/8760</f>
        <v>5.5936073059360729E-3</v>
      </c>
      <c r="I462" s="23">
        <f>IF(C462&lt;='Batt IN'!$G$14*12,'Batt IN'!$E$15/8760*'Batt IN'!$G$15,0)</f>
        <v>0</v>
      </c>
      <c r="J462" s="12">
        <f>Z462/'Batt IN'!$E$27/730</f>
        <v>2.4999999999999996E-3</v>
      </c>
      <c r="K462" s="23">
        <f>AA462/'Batt IN'!$E$27/730</f>
        <v>1.6027397260273972E-3</v>
      </c>
      <c r="L462" s="23">
        <f>AB462/'Batt IN'!$E$27/730</f>
        <v>2.0547945205479451E-4</v>
      </c>
      <c r="M462" s="23">
        <f>AC462/'Batt IN'!$E$27/730</f>
        <v>4.7945205479452057E-3</v>
      </c>
      <c r="N462" s="23">
        <f>AD462/'Batt IN'!$E$27/730</f>
        <v>3.4246575342465752E-3</v>
      </c>
      <c r="O462" s="12">
        <f t="shared" si="119"/>
        <v>4.3828767123287697E-2</v>
      </c>
      <c r="P462" s="21">
        <f t="shared" si="120"/>
        <v>849.08005479452061</v>
      </c>
      <c r="Q462" s="2">
        <f>IF('Batt IN'!$E$27*'Batt IN'!$E$24&lt;='Batt IN'!$E$28,(('Batt IN'!$E$23*'Batt IN'!$E$27*'Batt IN'!$E$24)/1000)*P462,(('Batt IN'!$E$23*'Batt IN'!$E$28*'Batt IN'!$E$24)/1000)*P462)</f>
        <v>13585.28087671233</v>
      </c>
      <c r="R462" s="2"/>
      <c r="S462" s="77">
        <f>IF(C462&lt;='Batt IN'!$G$14*12,'Batt IN'!$E$15/12,0)</f>
        <v>0</v>
      </c>
      <c r="T462" s="77"/>
      <c r="U462" s="80">
        <f>'Batt IN'!$E$28*('Batt IN'!$G$24/24)*730*(1-O462)</f>
        <v>81433.916666666657</v>
      </c>
      <c r="V462" s="78">
        <f>U462*'Batt IN'!$F$30</f>
        <v>16286.783333333333</v>
      </c>
      <c r="W462" s="78">
        <f>'Batt IN'!$E$28*'Batt IN'!$G$32*('Batt IN'!$E$32/12)*(1+'Batt IN'!$F$30)</f>
        <v>1750.0000000000002</v>
      </c>
      <c r="X462" s="78">
        <f>'Batt IN'!$E$28*'Batt IN'!$G$13*('Batt IN'!$E$13/12)*(1+'Batt IN'!$F$30)</f>
        <v>3184.9999999999995</v>
      </c>
      <c r="Y462" s="33">
        <f>S462*'Batt IN'!$G$15*'Batt IN'!$E$28*(1+'Batt IN'!$F$30)</f>
        <v>0</v>
      </c>
      <c r="Z462" s="33">
        <f>'Batt IN'!$G$16*365/12*(1+'Batt IN'!$F$30)</f>
        <v>1824.9999999999998</v>
      </c>
      <c r="AA462" s="33">
        <f>'Batt IN'!$G$17*'Batt IN'!$E$18*'Batt IN'!$G$18/12*(1+'Batt IN'!$F$30)</f>
        <v>1170</v>
      </c>
      <c r="AB462" s="33">
        <f>'Batt IN'!$G$19*'Batt IN'!$E$20*'Batt IN'!$G$20/12*(1+'Batt IN'!$F$30)</f>
        <v>150</v>
      </c>
      <c r="AC462" s="33">
        <f>'Batt IN'!$G$21*(1+'Batt IN'!$F$30)/12</f>
        <v>3500</v>
      </c>
      <c r="AD462" s="33">
        <f>'Batt IN'!$G$22*(1+'Batt IN'!$F$30)/12</f>
        <v>2500</v>
      </c>
      <c r="AE462" s="33">
        <f t="shared" si="121"/>
        <v>30366.783333333333</v>
      </c>
      <c r="AF462" s="33">
        <f>IF('PV IN'!$F$4="Battery Only",0,AE462*'Batt IN'!$E$29)</f>
        <v>25811.765833333331</v>
      </c>
      <c r="AG462" s="33">
        <f>PVCalcs!L462</f>
        <v>25811.765833333331</v>
      </c>
      <c r="AH462" s="33">
        <f t="shared" si="122"/>
        <v>4555.0175000000017</v>
      </c>
      <c r="AI462" s="33"/>
      <c r="AJ462" s="2">
        <f>IF(AND('Batt IN'!$D$53="Yes",$AL$1&gt;=1),IF($C462='Batt IN'!$H$54*12,-'Batt IN'!$F$54,0),0)</f>
        <v>0</v>
      </c>
      <c r="AK462" s="2">
        <f>IF(AND('Batt IN'!$D$53="Yes",$AL$1&gt;=2),IF($C462='Batt IN'!$H$55*12,-'Batt IN'!$F$55,0),0)</f>
        <v>0</v>
      </c>
      <c r="AL462" s="2">
        <f>IF(AND('Batt IN'!$D$53="Yes",$AL$1&gt;=3),IF($C462='Batt IN'!$H$56*12,-'Batt IN'!$F$56,0),0)</f>
        <v>0</v>
      </c>
      <c r="AM462" s="2">
        <f>IF(AND('Batt IN'!$D$53="Yes",$AL$1&gt;=4),IF($C462='Batt IN'!$H$57*12,-'Batt IN'!$F$57,0),0)</f>
        <v>0</v>
      </c>
      <c r="AN462" s="2">
        <f>IF(AND('Batt IN'!$D$53="Yes",$AL$1&gt;=5),IF($C462='Batt IN'!$H$58*12,-'Batt IN'!$F$58,0),0)</f>
        <v>0</v>
      </c>
      <c r="AO462" s="10">
        <f>IF(AND('Batt IN'!$D$44="YES",$C462&lt;='Batt IN'!$E$44*12),-'Batt IN'!$E$28*'Batt IN'!$E$42/12,0)</f>
        <v>0</v>
      </c>
      <c r="AP462" s="10">
        <f>IF(AND('Batt IN'!$D$46="YES",$C462&lt;='Batt IN'!$E$46*12),-'Batt IN'!$E$28*'Batt IN'!$E$45/12,0)</f>
        <v>0</v>
      </c>
      <c r="AR462" s="10">
        <f>BattLoan!M489</f>
        <v>0</v>
      </c>
      <c r="AS462" s="10">
        <f>'Batt IN'!$G$16*365/12*'Batt IN'!$E$16</f>
        <v>76.041666666666671</v>
      </c>
      <c r="AT462" s="10">
        <f>IF(AND('Batt IN'!$E$18&gt;0,'Batt IN'!$G$18&gt;0),'Batt IN'!$E$17*'Batt IN'!$G$17,0)</f>
        <v>119.44619999999999</v>
      </c>
      <c r="AU462" s="10">
        <f>IF(AND('Batt IN'!$E$20&gt;0,'Batt IN'!$G$20&gt;0),'Batt IN'!$E$19*'Batt IN'!$G$19,0)</f>
        <v>231</v>
      </c>
      <c r="AV462" s="10"/>
      <c r="AW462" s="10"/>
      <c r="AX462" s="10">
        <f>IF('Batt IN'!$E$11="Non-Taxable",Q462,0)</f>
        <v>13585.28087671233</v>
      </c>
      <c r="AY462" s="10">
        <f>IF('Batt IN'!$E$11="Non-Taxable",'Batt IN'!$E$28/1000*'Batt IN'!$G$13*('Batt IN'!$E$13/12)*'Batt IN'!$E$12,0)</f>
        <v>244.42220833333334</v>
      </c>
      <c r="AZ462" s="10">
        <f>IF('Batt IN'!$E$11="Non-Taxable",$S462*'Batt IN'!$G$15*'Batt IN'!$E$28*'Batt IN'!$E$14/1000,0)</f>
        <v>0</v>
      </c>
      <c r="BA462" s="10">
        <f>IF('Batt IN'!$E$11="Non-Taxable",'Batt IN'!$E$21*'Batt IN'!$G$21/12,0)</f>
        <v>437.5</v>
      </c>
      <c r="BB462" s="10">
        <f>IF('Batt IN'!$E$11="Non-Taxable",'Batt IN'!$E$22*'Batt IN'!$G$22/12,0)</f>
        <v>1145.8333333333335</v>
      </c>
      <c r="BC462" s="10">
        <f>IF('Batt IN'!$E$11="Taxable",Q462,0)</f>
        <v>0</v>
      </c>
      <c r="BD462" s="10">
        <f>IF('Batt IN'!$E$11="Taxable",'Batt IN'!$E$28/1000*'Batt IN'!$G$13*('Batt IN'!$E$13/12)*'Batt IN'!$E$12,0)</f>
        <v>0</v>
      </c>
      <c r="BE462" s="10">
        <f>IF('Batt IN'!$E$11="Taxable",$S462*'Batt IN'!$G$15*'Batt IN'!$E$28*'Batt IN'!$E$14/1000,0)</f>
        <v>0</v>
      </c>
      <c r="BF462" s="10">
        <f>IF('Batt IN'!$E$11="Taxable",'Batt IN'!$E$21*'Batt IN'!$G$21/12,0)</f>
        <v>0</v>
      </c>
      <c r="BG462" s="10">
        <f>IF('Batt IN'!$E$11="Taxable",'Batt IN'!$E$22*'Batt IN'!$G$22/12,0)</f>
        <v>0</v>
      </c>
      <c r="BK462" s="10">
        <f>IF('Batt IN'!$N$18="Yes",-BattLoan!H490,-BattLoan!L490)</f>
        <v>0</v>
      </c>
      <c r="BL462" s="10">
        <f>IF('Batt IN'!$N$18="Yes",-BattLoan!F490,0)</f>
        <v>0</v>
      </c>
      <c r="BM462" s="10">
        <f>IF(AND('Batt IN'!$D$44="YES",$C462&lt;='Batt IN'!$E$44*12),0,-'Batt IN'!$E$28*'Batt IN'!$E$42/12)</f>
        <v>-83.333333333333329</v>
      </c>
      <c r="BN462" s="10">
        <f>IF(AND('Batt IN'!$D$46="YES",$C462&lt;='Batt IN'!$E$46*12),0,-'Batt IN'!$E$28*'Batt IN'!$E$45/12)</f>
        <v>-166.66666666666666</v>
      </c>
      <c r="BO462" s="2">
        <f>IF(AND('Batt IN'!$D$41="YES",BattCalcs!C462=ROUNDUP('Batt IN'!$H$41*12,)),-'Batt IN'!$E$41*'Batt IN'!$E$28,0)</f>
        <v>0</v>
      </c>
      <c r="BP462" s="2">
        <f>IF(AND('Batt IN'!$D$53="Yes",$AL$1&gt;=1),0,IF($C462='Batt IN'!$H$54*12,-'Batt IN'!$F$54,0))</f>
        <v>0</v>
      </c>
      <c r="BQ462" s="2">
        <f>IF(AND('Batt IN'!$D$53="Yes",$AL$1&gt;=2),0,IF($C462='Batt IN'!$H$55*12,-'Batt IN'!$F$55,0))</f>
        <v>0</v>
      </c>
      <c r="BR462" s="2">
        <f>IF(AND('Batt IN'!$D$53="Yes",$AL$1&gt;=3),0,IF($C462='Batt IN'!$H$56*12,-'Batt IN'!$F$56,0))</f>
        <v>0</v>
      </c>
      <c r="BS462" s="2">
        <f>IF(AND('Batt IN'!$D$53="Yes",$AL$1&gt;=4),0,IF($C462='Batt IN'!$H$57*12,-'Batt IN'!$F$57,0))</f>
        <v>0</v>
      </c>
      <c r="BT462" s="2">
        <f>IF(AND('Batt IN'!$D$53="Yes",$AL$1&gt;=5),0,IF($C462='Batt IN'!$H$58*12,-'Batt IN'!$F$58,0))</f>
        <v>0</v>
      </c>
      <c r="BU462" s="2">
        <f>-AH462*PVCalcs!F462</f>
        <v>-359.37504381576838</v>
      </c>
      <c r="BV462" s="2">
        <f>-'Batt IN'!$E$47</f>
        <v>-150</v>
      </c>
      <c r="BW462" s="2">
        <f>-'Batt IN'!$E$49</f>
        <v>-2250</v>
      </c>
      <c r="BX462" s="2">
        <f>IF('Batt IN'!$H$50="No",-(BC462*'Batt IN'!$E$50),-(BC462+BE462)*'Batt IN'!$E$50)</f>
        <v>0</v>
      </c>
      <c r="BY462" s="2">
        <f>IF(C462='Batt IN'!$H$43*12,-'Batt IN'!$E$43,0)</f>
        <v>0</v>
      </c>
      <c r="BZ462" s="38"/>
      <c r="CA462" s="10">
        <f t="shared" si="123"/>
        <v>15839.524285045663</v>
      </c>
      <c r="CB462" s="2">
        <f t="shared" si="128"/>
        <v>-3009.3750438157685</v>
      </c>
      <c r="CC462" s="45">
        <f t="shared" si="124"/>
        <v>12830.149241229894</v>
      </c>
      <c r="CD462" s="43"/>
      <c r="CE462" s="2">
        <f t="shared" si="125"/>
        <v>0</v>
      </c>
      <c r="CF462" s="2">
        <f t="shared" si="129"/>
        <v>-3009.3750438157685</v>
      </c>
      <c r="CG462" s="2"/>
      <c r="CH462" s="2">
        <f t="shared" si="126"/>
        <v>-3009.3750438157685</v>
      </c>
      <c r="CI462" s="45">
        <f>-CH462*'Batt IN'!$E$7</f>
        <v>631.9687592013114</v>
      </c>
      <c r="CJ462" s="48"/>
      <c r="CK462" s="45">
        <f>IF('Batt IN'!$F$4="PV Only",0,IF(C462&gt;'Batt IN'!$H$43*12,0,CC462+CI462))</f>
        <v>0</v>
      </c>
      <c r="CM462" s="10">
        <f t="shared" si="127"/>
        <v>0</v>
      </c>
      <c r="CN462" s="2">
        <f>CK462/(1+('Batt IN'!$G$8))^(C462)</f>
        <v>0</v>
      </c>
      <c r="CO462" s="2" t="e">
        <f>IF(C462&lt;='Batt IN'!$O$30*12,CN462+CO461,NA())</f>
        <v>#N/A</v>
      </c>
      <c r="CQ462" s="2">
        <f>CK462/((1+('Batt IN'!$E$8/12))^BattCalcs!C462)</f>
        <v>0</v>
      </c>
      <c r="CS462" s="10">
        <f t="shared" si="130"/>
        <v>-3009.3750438157685</v>
      </c>
      <c r="CT462" s="10">
        <f t="shared" si="131"/>
        <v>0</v>
      </c>
      <c r="CU462" s="10">
        <f t="shared" si="132"/>
        <v>-3009.3750438157685</v>
      </c>
      <c r="CV462" s="10">
        <f t="shared" si="133"/>
        <v>-3009.3750438157685</v>
      </c>
      <c r="CW462" s="2">
        <f t="shared" si="134"/>
        <v>0</v>
      </c>
      <c r="CX462" s="2">
        <f>-(SUM(CV462:CW462)*'PV IN'!$E$8)</f>
        <v>631.9687592013114</v>
      </c>
      <c r="CY462" s="2">
        <f t="shared" si="135"/>
        <v>-2377.406284614457</v>
      </c>
      <c r="CZ462" s="2">
        <f>IF(C462&lt;='Batt IN'!$H$43*12,CY462/(1+('PV IN'!$G$9))^(C462),0)</f>
        <v>0</v>
      </c>
      <c r="DA462" s="33">
        <f>IF(C462&lt;='Batt IN'!$H$43*12,AE462,0)</f>
        <v>0</v>
      </c>
    </row>
    <row r="463" spans="1:105" x14ac:dyDescent="0.25">
      <c r="A463" t="str">
        <f>IF(C463&lt;='Batt IN'!$H$43*12,C463,"")</f>
        <v/>
      </c>
      <c r="C463">
        <v>459</v>
      </c>
      <c r="D463" s="21">
        <v>889</v>
      </c>
      <c r="E463" s="1">
        <f>1-'Batt IN'!$E$31</f>
        <v>2.0000000000000018E-2</v>
      </c>
      <c r="F463" s="12">
        <f>('Batt IN'!$E$33*365)/8760</f>
        <v>0</v>
      </c>
      <c r="G463" s="22">
        <f>'Batt IN'!$E$32/8760</f>
        <v>5.7077625570776253E-3</v>
      </c>
      <c r="H463" s="22">
        <f>'Batt IN'!$E$13/8760</f>
        <v>5.5936073059360729E-3</v>
      </c>
      <c r="I463" s="23">
        <f>IF(C463&lt;='Batt IN'!$G$14*12,'Batt IN'!$E$15/8760*'Batt IN'!$G$15,0)</f>
        <v>0</v>
      </c>
      <c r="J463" s="12">
        <f>Z463/'Batt IN'!$E$27/730</f>
        <v>2.4999999999999996E-3</v>
      </c>
      <c r="K463" s="23">
        <f>AA463/'Batt IN'!$E$27/730</f>
        <v>1.6027397260273972E-3</v>
      </c>
      <c r="L463" s="23">
        <f>AB463/'Batt IN'!$E$27/730</f>
        <v>2.0547945205479451E-4</v>
      </c>
      <c r="M463" s="23">
        <f>AC463/'Batt IN'!$E$27/730</f>
        <v>4.7945205479452057E-3</v>
      </c>
      <c r="N463" s="23">
        <f>AD463/'Batt IN'!$E$27/730</f>
        <v>3.4246575342465752E-3</v>
      </c>
      <c r="O463" s="12">
        <f t="shared" si="119"/>
        <v>4.3828767123287697E-2</v>
      </c>
      <c r="P463" s="21">
        <f t="shared" si="120"/>
        <v>850.03622602739733</v>
      </c>
      <c r="Q463" s="2">
        <f>IF('Batt IN'!$E$27*'Batt IN'!$E$24&lt;='Batt IN'!$E$28,(('Batt IN'!$E$23*'Batt IN'!$E$27*'Batt IN'!$E$24)/1000)*P463,(('Batt IN'!$E$23*'Batt IN'!$E$28*'Batt IN'!$E$24)/1000)*P463)</f>
        <v>13600.579616438357</v>
      </c>
      <c r="R463" s="2"/>
      <c r="S463" s="77">
        <f>IF(C463&lt;='Batt IN'!$G$14*12,'Batt IN'!$E$15/12,0)</f>
        <v>0</v>
      </c>
      <c r="T463" s="77"/>
      <c r="U463" s="80">
        <f>'Batt IN'!$E$28*('Batt IN'!$G$24/24)*730*(1-O463)</f>
        <v>81433.916666666657</v>
      </c>
      <c r="V463" s="78">
        <f>U463*'Batt IN'!$F$30</f>
        <v>16286.783333333333</v>
      </c>
      <c r="W463" s="78">
        <f>'Batt IN'!$E$28*'Batt IN'!$G$32*('Batt IN'!$E$32/12)*(1+'Batt IN'!$F$30)</f>
        <v>1750.0000000000002</v>
      </c>
      <c r="X463" s="78">
        <f>'Batt IN'!$E$28*'Batt IN'!$G$13*('Batt IN'!$E$13/12)*(1+'Batt IN'!$F$30)</f>
        <v>3184.9999999999995</v>
      </c>
      <c r="Y463" s="33">
        <f>S463*'Batt IN'!$G$15*'Batt IN'!$E$28*(1+'Batt IN'!$F$30)</f>
        <v>0</v>
      </c>
      <c r="Z463" s="33">
        <f>'Batt IN'!$G$16*365/12*(1+'Batt IN'!$F$30)</f>
        <v>1824.9999999999998</v>
      </c>
      <c r="AA463" s="33">
        <f>'Batt IN'!$G$17*'Batt IN'!$E$18*'Batt IN'!$G$18/12*(1+'Batt IN'!$F$30)</f>
        <v>1170</v>
      </c>
      <c r="AB463" s="33">
        <f>'Batt IN'!$G$19*'Batt IN'!$E$20*'Batt IN'!$G$20/12*(1+'Batt IN'!$F$30)</f>
        <v>150</v>
      </c>
      <c r="AC463" s="33">
        <f>'Batt IN'!$G$21*(1+'Batt IN'!$F$30)/12</f>
        <v>3500</v>
      </c>
      <c r="AD463" s="33">
        <f>'Batt IN'!$G$22*(1+'Batt IN'!$F$30)/12</f>
        <v>2500</v>
      </c>
      <c r="AE463" s="33">
        <f t="shared" si="121"/>
        <v>30366.783333333333</v>
      </c>
      <c r="AF463" s="33">
        <f>IF('PV IN'!$F$4="Battery Only",0,AE463*'Batt IN'!$E$29)</f>
        <v>25811.765833333331</v>
      </c>
      <c r="AG463" s="33">
        <f>PVCalcs!L463</f>
        <v>25811.765833333331</v>
      </c>
      <c r="AH463" s="33">
        <f t="shared" si="122"/>
        <v>4555.0175000000017</v>
      </c>
      <c r="AI463" s="33"/>
      <c r="AJ463" s="2">
        <f>IF(AND('Batt IN'!$D$53="Yes",$AL$1&gt;=1),IF($C463='Batt IN'!$H$54*12,-'Batt IN'!$F$54,0),0)</f>
        <v>0</v>
      </c>
      <c r="AK463" s="2">
        <f>IF(AND('Batt IN'!$D$53="Yes",$AL$1&gt;=2),IF($C463='Batt IN'!$H$55*12,-'Batt IN'!$F$55,0),0)</f>
        <v>0</v>
      </c>
      <c r="AL463" s="2">
        <f>IF(AND('Batt IN'!$D$53="Yes",$AL$1&gt;=3),IF($C463='Batt IN'!$H$56*12,-'Batt IN'!$F$56,0),0)</f>
        <v>0</v>
      </c>
      <c r="AM463" s="2">
        <f>IF(AND('Batt IN'!$D$53="Yes",$AL$1&gt;=4),IF($C463='Batt IN'!$H$57*12,-'Batt IN'!$F$57,0),0)</f>
        <v>0</v>
      </c>
      <c r="AN463" s="2">
        <f>IF(AND('Batt IN'!$D$53="Yes",$AL$1&gt;=5),IF($C463='Batt IN'!$H$58*12,-'Batt IN'!$F$58,0),0)</f>
        <v>0</v>
      </c>
      <c r="AO463" s="10">
        <f>IF(AND('Batt IN'!$D$44="YES",$C463&lt;='Batt IN'!$E$44*12),-'Batt IN'!$E$28*'Batt IN'!$E$42/12,0)</f>
        <v>0</v>
      </c>
      <c r="AP463" s="10">
        <f>IF(AND('Batt IN'!$D$46="YES",$C463&lt;='Batt IN'!$E$46*12),-'Batt IN'!$E$28*'Batt IN'!$E$45/12,0)</f>
        <v>0</v>
      </c>
      <c r="AR463" s="10">
        <f>BattLoan!M490</f>
        <v>0</v>
      </c>
      <c r="AS463" s="10">
        <f>'Batt IN'!$G$16*365/12*'Batt IN'!$E$16</f>
        <v>76.041666666666671</v>
      </c>
      <c r="AT463" s="10">
        <f>IF(AND('Batt IN'!$E$18&gt;0,'Batt IN'!$G$18&gt;0),'Batt IN'!$E$17*'Batt IN'!$G$17,0)</f>
        <v>119.44619999999999</v>
      </c>
      <c r="AU463" s="10">
        <f>IF(AND('Batt IN'!$E$20&gt;0,'Batt IN'!$G$20&gt;0),'Batt IN'!$E$19*'Batt IN'!$G$19,0)</f>
        <v>231</v>
      </c>
      <c r="AV463" s="10"/>
      <c r="AW463" s="10"/>
      <c r="AX463" s="10">
        <f>IF('Batt IN'!$E$11="Non-Taxable",Q463,0)</f>
        <v>13600.579616438357</v>
      </c>
      <c r="AY463" s="10">
        <f>IF('Batt IN'!$E$11="Non-Taxable",'Batt IN'!$E$28/1000*'Batt IN'!$G$13*('Batt IN'!$E$13/12)*'Batt IN'!$E$12,0)</f>
        <v>244.42220833333334</v>
      </c>
      <c r="AZ463" s="10">
        <f>IF('Batt IN'!$E$11="Non-Taxable",$S463*'Batt IN'!$G$15*'Batt IN'!$E$28*'Batt IN'!$E$14/1000,0)</f>
        <v>0</v>
      </c>
      <c r="BA463" s="10">
        <f>IF('Batt IN'!$E$11="Non-Taxable",'Batt IN'!$E$21*'Batt IN'!$G$21/12,0)</f>
        <v>437.5</v>
      </c>
      <c r="BB463" s="10">
        <f>IF('Batt IN'!$E$11="Non-Taxable",'Batt IN'!$E$22*'Batt IN'!$G$22/12,0)</f>
        <v>1145.8333333333335</v>
      </c>
      <c r="BC463" s="10">
        <f>IF('Batt IN'!$E$11="Taxable",Q463,0)</f>
        <v>0</v>
      </c>
      <c r="BD463" s="10">
        <f>IF('Batt IN'!$E$11="Taxable",'Batt IN'!$E$28/1000*'Batt IN'!$G$13*('Batt IN'!$E$13/12)*'Batt IN'!$E$12,0)</f>
        <v>0</v>
      </c>
      <c r="BE463" s="10">
        <f>IF('Batt IN'!$E$11="Taxable",$S463*'Batt IN'!$G$15*'Batt IN'!$E$28*'Batt IN'!$E$14/1000,0)</f>
        <v>0</v>
      </c>
      <c r="BF463" s="10">
        <f>IF('Batt IN'!$E$11="Taxable",'Batt IN'!$E$21*'Batt IN'!$G$21/12,0)</f>
        <v>0</v>
      </c>
      <c r="BG463" s="10">
        <f>IF('Batt IN'!$E$11="Taxable",'Batt IN'!$E$22*'Batt IN'!$G$22/12,0)</f>
        <v>0</v>
      </c>
      <c r="BK463" s="10">
        <f>IF('Batt IN'!$N$18="Yes",-BattLoan!H491,-BattLoan!L491)</f>
        <v>0</v>
      </c>
      <c r="BL463" s="10">
        <f>IF('Batt IN'!$N$18="Yes",-BattLoan!F491,0)</f>
        <v>0</v>
      </c>
      <c r="BM463" s="10">
        <f>IF(AND('Batt IN'!$D$44="YES",$C463&lt;='Batt IN'!$E$44*12),0,-'Batt IN'!$E$28*'Batt IN'!$E$42/12)</f>
        <v>-83.333333333333329</v>
      </c>
      <c r="BN463" s="10">
        <f>IF(AND('Batt IN'!$D$46="YES",$C463&lt;='Batt IN'!$E$46*12),0,-'Batt IN'!$E$28*'Batt IN'!$E$45/12)</f>
        <v>-166.66666666666666</v>
      </c>
      <c r="BO463" s="2">
        <f>IF(AND('Batt IN'!$D$41="YES",BattCalcs!C463=ROUNDUP('Batt IN'!$H$41*12,)),-'Batt IN'!$E$41*'Batt IN'!$E$28,0)</f>
        <v>0</v>
      </c>
      <c r="BP463" s="2">
        <f>IF(AND('Batt IN'!$D$53="Yes",$AL$1&gt;=1),0,IF($C463='Batt IN'!$H$54*12,-'Batt IN'!$F$54,0))</f>
        <v>0</v>
      </c>
      <c r="BQ463" s="2">
        <f>IF(AND('Batt IN'!$D$53="Yes",$AL$1&gt;=2),0,IF($C463='Batt IN'!$H$55*12,-'Batt IN'!$F$55,0))</f>
        <v>0</v>
      </c>
      <c r="BR463" s="2">
        <f>IF(AND('Batt IN'!$D$53="Yes",$AL$1&gt;=3),0,IF($C463='Batt IN'!$H$56*12,-'Batt IN'!$F$56,0))</f>
        <v>0</v>
      </c>
      <c r="BS463" s="2">
        <f>IF(AND('Batt IN'!$D$53="Yes",$AL$1&gt;=4),0,IF($C463='Batt IN'!$H$57*12,-'Batt IN'!$F$57,0))</f>
        <v>0</v>
      </c>
      <c r="BT463" s="2">
        <f>IF(AND('Batt IN'!$D$53="Yes",$AL$1&gt;=5),0,IF($C463='Batt IN'!$H$58*12,-'Batt IN'!$F$58,0))</f>
        <v>0</v>
      </c>
      <c r="BU463" s="2">
        <f>-AH463*PVCalcs!F463</f>
        <v>-359.37504381576838</v>
      </c>
      <c r="BV463" s="2">
        <f>-'Batt IN'!$E$47</f>
        <v>-150</v>
      </c>
      <c r="BW463" s="2">
        <f>-'Batt IN'!$E$49</f>
        <v>-2250</v>
      </c>
      <c r="BX463" s="2">
        <f>IF('Batt IN'!$H$50="No",-(BC463*'Batt IN'!$E$50),-(BC463+BE463)*'Batt IN'!$E$50)</f>
        <v>0</v>
      </c>
      <c r="BY463" s="2">
        <f>IF(C463='Batt IN'!$H$43*12,-'Batt IN'!$E$43,0)</f>
        <v>0</v>
      </c>
      <c r="BZ463" s="38"/>
      <c r="CA463" s="10">
        <f t="shared" si="123"/>
        <v>15854.823024771691</v>
      </c>
      <c r="CB463" s="2">
        <f t="shared" si="128"/>
        <v>-3009.3750438157685</v>
      </c>
      <c r="CC463" s="45">
        <f t="shared" si="124"/>
        <v>12845.447980955923</v>
      </c>
      <c r="CD463" s="43"/>
      <c r="CE463" s="2">
        <f t="shared" si="125"/>
        <v>0</v>
      </c>
      <c r="CF463" s="2">
        <f t="shared" si="129"/>
        <v>-3009.3750438157685</v>
      </c>
      <c r="CG463" s="2"/>
      <c r="CH463" s="2">
        <f t="shared" si="126"/>
        <v>-3009.3750438157685</v>
      </c>
      <c r="CI463" s="45">
        <f>-CH463*'Batt IN'!$E$7</f>
        <v>631.9687592013114</v>
      </c>
      <c r="CJ463" s="48"/>
      <c r="CK463" s="45">
        <f>IF('Batt IN'!$F$4="PV Only",0,IF(C463&gt;'Batt IN'!$H$43*12,0,CC463+CI463))</f>
        <v>0</v>
      </c>
      <c r="CM463" s="10">
        <f t="shared" si="127"/>
        <v>0</v>
      </c>
      <c r="CN463" s="2">
        <f>CK463/(1+('Batt IN'!$G$8))^(C463)</f>
        <v>0</v>
      </c>
      <c r="CO463" s="2" t="e">
        <f>IF(C463&lt;='Batt IN'!$O$30*12,CN463+CO462,NA())</f>
        <v>#N/A</v>
      </c>
      <c r="CQ463" s="2">
        <f>CK463/((1+('Batt IN'!$E$8/12))^BattCalcs!C463)</f>
        <v>0</v>
      </c>
      <c r="CS463" s="10">
        <f t="shared" si="130"/>
        <v>-3009.3750438157685</v>
      </c>
      <c r="CT463" s="10">
        <f t="shared" si="131"/>
        <v>0</v>
      </c>
      <c r="CU463" s="10">
        <f t="shared" si="132"/>
        <v>-3009.3750438157685</v>
      </c>
      <c r="CV463" s="10">
        <f t="shared" si="133"/>
        <v>-3009.3750438157685</v>
      </c>
      <c r="CW463" s="2">
        <f t="shared" si="134"/>
        <v>0</v>
      </c>
      <c r="CX463" s="2">
        <f>-(SUM(CV463:CW463)*'PV IN'!$E$8)</f>
        <v>631.9687592013114</v>
      </c>
      <c r="CY463" s="2">
        <f t="shared" si="135"/>
        <v>-2377.406284614457</v>
      </c>
      <c r="CZ463" s="2">
        <f>IF(C463&lt;='Batt IN'!$H$43*12,CY463/(1+('PV IN'!$G$9))^(C463),0)</f>
        <v>0</v>
      </c>
      <c r="DA463" s="33">
        <f>IF(C463&lt;='Batt IN'!$H$43*12,AE463,0)</f>
        <v>0</v>
      </c>
    </row>
    <row r="464" spans="1:105" x14ac:dyDescent="0.25">
      <c r="A464" t="str">
        <f>IF(C464&lt;='Batt IN'!$H$43*12,C464,"")</f>
        <v/>
      </c>
      <c r="C464">
        <v>460</v>
      </c>
      <c r="D464" s="21">
        <v>890</v>
      </c>
      <c r="E464" s="1">
        <f>1-'Batt IN'!$E$31</f>
        <v>2.0000000000000018E-2</v>
      </c>
      <c r="F464" s="12">
        <f>('Batt IN'!$E$33*365)/8760</f>
        <v>0</v>
      </c>
      <c r="G464" s="22">
        <f>'Batt IN'!$E$32/8760</f>
        <v>5.7077625570776253E-3</v>
      </c>
      <c r="H464" s="22">
        <f>'Batt IN'!$E$13/8760</f>
        <v>5.5936073059360729E-3</v>
      </c>
      <c r="I464" s="23">
        <f>IF(C464&lt;='Batt IN'!$G$14*12,'Batt IN'!$E$15/8760*'Batt IN'!$G$15,0)</f>
        <v>0</v>
      </c>
      <c r="J464" s="12">
        <f>Z464/'Batt IN'!$E$27/730</f>
        <v>2.4999999999999996E-3</v>
      </c>
      <c r="K464" s="23">
        <f>AA464/'Batt IN'!$E$27/730</f>
        <v>1.6027397260273972E-3</v>
      </c>
      <c r="L464" s="23">
        <f>AB464/'Batt IN'!$E$27/730</f>
        <v>2.0547945205479451E-4</v>
      </c>
      <c r="M464" s="23">
        <f>AC464/'Batt IN'!$E$27/730</f>
        <v>4.7945205479452057E-3</v>
      </c>
      <c r="N464" s="23">
        <f>AD464/'Batt IN'!$E$27/730</f>
        <v>3.4246575342465752E-3</v>
      </c>
      <c r="O464" s="12">
        <f t="shared" si="119"/>
        <v>4.3828767123287697E-2</v>
      </c>
      <c r="P464" s="21">
        <f t="shared" si="120"/>
        <v>850.99239726027395</v>
      </c>
      <c r="Q464" s="2">
        <f>IF('Batt IN'!$E$27*'Batt IN'!$E$24&lt;='Batt IN'!$E$28,(('Batt IN'!$E$23*'Batt IN'!$E$27*'Batt IN'!$E$24)/1000)*P464,(('Batt IN'!$E$23*'Batt IN'!$E$28*'Batt IN'!$E$24)/1000)*P464)</f>
        <v>13615.878356164383</v>
      </c>
      <c r="R464" s="2"/>
      <c r="S464" s="77">
        <f>IF(C464&lt;='Batt IN'!$G$14*12,'Batt IN'!$E$15/12,0)</f>
        <v>0</v>
      </c>
      <c r="T464" s="77"/>
      <c r="U464" s="80">
        <f>'Batt IN'!$E$28*('Batt IN'!$G$24/24)*730*(1-O464)</f>
        <v>81433.916666666657</v>
      </c>
      <c r="V464" s="78">
        <f>U464*'Batt IN'!$F$30</f>
        <v>16286.783333333333</v>
      </c>
      <c r="W464" s="78">
        <f>'Batt IN'!$E$28*'Batt IN'!$G$32*('Batt IN'!$E$32/12)*(1+'Batt IN'!$F$30)</f>
        <v>1750.0000000000002</v>
      </c>
      <c r="X464" s="78">
        <f>'Batt IN'!$E$28*'Batt IN'!$G$13*('Batt IN'!$E$13/12)*(1+'Batt IN'!$F$30)</f>
        <v>3184.9999999999995</v>
      </c>
      <c r="Y464" s="33">
        <f>S464*'Batt IN'!$G$15*'Batt IN'!$E$28*(1+'Batt IN'!$F$30)</f>
        <v>0</v>
      </c>
      <c r="Z464" s="33">
        <f>'Batt IN'!$G$16*365/12*(1+'Batt IN'!$F$30)</f>
        <v>1824.9999999999998</v>
      </c>
      <c r="AA464" s="33">
        <f>'Batt IN'!$G$17*'Batt IN'!$E$18*'Batt IN'!$G$18/12*(1+'Batt IN'!$F$30)</f>
        <v>1170</v>
      </c>
      <c r="AB464" s="33">
        <f>'Batt IN'!$G$19*'Batt IN'!$E$20*'Batt IN'!$G$20/12*(1+'Batt IN'!$F$30)</f>
        <v>150</v>
      </c>
      <c r="AC464" s="33">
        <f>'Batt IN'!$G$21*(1+'Batt IN'!$F$30)/12</f>
        <v>3500</v>
      </c>
      <c r="AD464" s="33">
        <f>'Batt IN'!$G$22*(1+'Batt IN'!$F$30)/12</f>
        <v>2500</v>
      </c>
      <c r="AE464" s="33">
        <f t="shared" si="121"/>
        <v>30366.783333333333</v>
      </c>
      <c r="AF464" s="33">
        <f>IF('PV IN'!$F$4="Battery Only",0,AE464*'Batt IN'!$E$29)</f>
        <v>25811.765833333331</v>
      </c>
      <c r="AG464" s="33">
        <f>PVCalcs!L464</f>
        <v>25811.765833333331</v>
      </c>
      <c r="AH464" s="33">
        <f t="shared" si="122"/>
        <v>4555.0175000000017</v>
      </c>
      <c r="AI464" s="33"/>
      <c r="AJ464" s="2">
        <f>IF(AND('Batt IN'!$D$53="Yes",$AL$1&gt;=1),IF($C464='Batt IN'!$H$54*12,-'Batt IN'!$F$54,0),0)</f>
        <v>0</v>
      </c>
      <c r="AK464" s="2">
        <f>IF(AND('Batt IN'!$D$53="Yes",$AL$1&gt;=2),IF($C464='Batt IN'!$H$55*12,-'Batt IN'!$F$55,0),0)</f>
        <v>0</v>
      </c>
      <c r="AL464" s="2">
        <f>IF(AND('Batt IN'!$D$53="Yes",$AL$1&gt;=3),IF($C464='Batt IN'!$H$56*12,-'Batt IN'!$F$56,0),0)</f>
        <v>0</v>
      </c>
      <c r="AM464" s="2">
        <f>IF(AND('Batt IN'!$D$53="Yes",$AL$1&gt;=4),IF($C464='Batt IN'!$H$57*12,-'Batt IN'!$F$57,0),0)</f>
        <v>0</v>
      </c>
      <c r="AN464" s="2">
        <f>IF(AND('Batt IN'!$D$53="Yes",$AL$1&gt;=5),IF($C464='Batt IN'!$H$58*12,-'Batt IN'!$F$58,0),0)</f>
        <v>0</v>
      </c>
      <c r="AO464" s="10">
        <f>IF(AND('Batt IN'!$D$44="YES",$C464&lt;='Batt IN'!$E$44*12),-'Batt IN'!$E$28*'Batt IN'!$E$42/12,0)</f>
        <v>0</v>
      </c>
      <c r="AP464" s="10">
        <f>IF(AND('Batt IN'!$D$46="YES",$C464&lt;='Batt IN'!$E$46*12),-'Batt IN'!$E$28*'Batt IN'!$E$45/12,0)</f>
        <v>0</v>
      </c>
      <c r="AR464" s="10">
        <f>BattLoan!M491</f>
        <v>0</v>
      </c>
      <c r="AS464" s="10">
        <f>'Batt IN'!$G$16*365/12*'Batt IN'!$E$16</f>
        <v>76.041666666666671</v>
      </c>
      <c r="AT464" s="10">
        <f>IF(AND('Batt IN'!$E$18&gt;0,'Batt IN'!$G$18&gt;0),'Batt IN'!$E$17*'Batt IN'!$G$17,0)</f>
        <v>119.44619999999999</v>
      </c>
      <c r="AU464" s="10">
        <f>IF(AND('Batt IN'!$E$20&gt;0,'Batt IN'!$G$20&gt;0),'Batt IN'!$E$19*'Batt IN'!$G$19,0)</f>
        <v>231</v>
      </c>
      <c r="AV464" s="10"/>
      <c r="AW464" s="10"/>
      <c r="AX464" s="10">
        <f>IF('Batt IN'!$E$11="Non-Taxable",Q464,0)</f>
        <v>13615.878356164383</v>
      </c>
      <c r="AY464" s="10">
        <f>IF('Batt IN'!$E$11="Non-Taxable",'Batt IN'!$E$28/1000*'Batt IN'!$G$13*('Batt IN'!$E$13/12)*'Batt IN'!$E$12,0)</f>
        <v>244.42220833333334</v>
      </c>
      <c r="AZ464" s="10">
        <f>IF('Batt IN'!$E$11="Non-Taxable",$S464*'Batt IN'!$G$15*'Batt IN'!$E$28*'Batt IN'!$E$14/1000,0)</f>
        <v>0</v>
      </c>
      <c r="BA464" s="10">
        <f>IF('Batt IN'!$E$11="Non-Taxable",'Batt IN'!$E$21*'Batt IN'!$G$21/12,0)</f>
        <v>437.5</v>
      </c>
      <c r="BB464" s="10">
        <f>IF('Batt IN'!$E$11="Non-Taxable",'Batt IN'!$E$22*'Batt IN'!$G$22/12,0)</f>
        <v>1145.8333333333335</v>
      </c>
      <c r="BC464" s="10">
        <f>IF('Batt IN'!$E$11="Taxable",Q464,0)</f>
        <v>0</v>
      </c>
      <c r="BD464" s="10">
        <f>IF('Batt IN'!$E$11="Taxable",'Batt IN'!$E$28/1000*'Batt IN'!$G$13*('Batt IN'!$E$13/12)*'Batt IN'!$E$12,0)</f>
        <v>0</v>
      </c>
      <c r="BE464" s="10">
        <f>IF('Batt IN'!$E$11="Taxable",$S464*'Batt IN'!$G$15*'Batt IN'!$E$28*'Batt IN'!$E$14/1000,0)</f>
        <v>0</v>
      </c>
      <c r="BF464" s="10">
        <f>IF('Batt IN'!$E$11="Taxable",'Batt IN'!$E$21*'Batt IN'!$G$21/12,0)</f>
        <v>0</v>
      </c>
      <c r="BG464" s="10">
        <f>IF('Batt IN'!$E$11="Taxable",'Batt IN'!$E$22*'Batt IN'!$G$22/12,0)</f>
        <v>0</v>
      </c>
      <c r="BK464" s="10">
        <f>IF('Batt IN'!$N$18="Yes",-BattLoan!H492,-BattLoan!L492)</f>
        <v>0</v>
      </c>
      <c r="BL464" s="10">
        <f>IF('Batt IN'!$N$18="Yes",-BattLoan!F492,0)</f>
        <v>0</v>
      </c>
      <c r="BM464" s="10">
        <f>IF(AND('Batt IN'!$D$44="YES",$C464&lt;='Batt IN'!$E$44*12),0,-'Batt IN'!$E$28*'Batt IN'!$E$42/12)</f>
        <v>-83.333333333333329</v>
      </c>
      <c r="BN464" s="10">
        <f>IF(AND('Batt IN'!$D$46="YES",$C464&lt;='Batt IN'!$E$46*12),0,-'Batt IN'!$E$28*'Batt IN'!$E$45/12)</f>
        <v>-166.66666666666666</v>
      </c>
      <c r="BO464" s="2">
        <f>IF(AND('Batt IN'!$D$41="YES",BattCalcs!C464=ROUNDUP('Batt IN'!$H$41*12,)),-'Batt IN'!$E$41*'Batt IN'!$E$28,0)</f>
        <v>0</v>
      </c>
      <c r="BP464" s="2">
        <f>IF(AND('Batt IN'!$D$53="Yes",$AL$1&gt;=1),0,IF($C464='Batt IN'!$H$54*12,-'Batt IN'!$F$54,0))</f>
        <v>0</v>
      </c>
      <c r="BQ464" s="2">
        <f>IF(AND('Batt IN'!$D$53="Yes",$AL$1&gt;=2),0,IF($C464='Batt IN'!$H$55*12,-'Batt IN'!$F$55,0))</f>
        <v>0</v>
      </c>
      <c r="BR464" s="2">
        <f>IF(AND('Batt IN'!$D$53="Yes",$AL$1&gt;=3),0,IF($C464='Batt IN'!$H$56*12,-'Batt IN'!$F$56,0))</f>
        <v>0</v>
      </c>
      <c r="BS464" s="2">
        <f>IF(AND('Batt IN'!$D$53="Yes",$AL$1&gt;=4),0,IF($C464='Batt IN'!$H$57*12,-'Batt IN'!$F$57,0))</f>
        <v>0</v>
      </c>
      <c r="BT464" s="2">
        <f>IF(AND('Batt IN'!$D$53="Yes",$AL$1&gt;=5),0,IF($C464='Batt IN'!$H$58*12,-'Batt IN'!$F$58,0))</f>
        <v>0</v>
      </c>
      <c r="BU464" s="2">
        <f>-AH464*PVCalcs!F464</f>
        <v>-359.37504381576838</v>
      </c>
      <c r="BV464" s="2">
        <f>-'Batt IN'!$E$47</f>
        <v>-150</v>
      </c>
      <c r="BW464" s="2">
        <f>-'Batt IN'!$E$49</f>
        <v>-2250</v>
      </c>
      <c r="BX464" s="2">
        <f>IF('Batt IN'!$H$50="No",-(BC464*'Batt IN'!$E$50),-(BC464+BE464)*'Batt IN'!$E$50)</f>
        <v>0</v>
      </c>
      <c r="BY464" s="2">
        <f>IF(C464='Batt IN'!$H$43*12,-'Batt IN'!$E$43,0)</f>
        <v>0</v>
      </c>
      <c r="BZ464" s="38"/>
      <c r="CA464" s="10">
        <f t="shared" si="123"/>
        <v>15870.121764497717</v>
      </c>
      <c r="CB464" s="2">
        <f t="shared" si="128"/>
        <v>-3009.3750438157685</v>
      </c>
      <c r="CC464" s="45">
        <f t="shared" si="124"/>
        <v>12860.746720681949</v>
      </c>
      <c r="CD464" s="43"/>
      <c r="CE464" s="2">
        <f t="shared" si="125"/>
        <v>0</v>
      </c>
      <c r="CF464" s="2">
        <f t="shared" si="129"/>
        <v>-3009.3750438157685</v>
      </c>
      <c r="CG464" s="2"/>
      <c r="CH464" s="2">
        <f t="shared" si="126"/>
        <v>-3009.3750438157685</v>
      </c>
      <c r="CI464" s="45">
        <f>-CH464*'Batt IN'!$E$7</f>
        <v>631.9687592013114</v>
      </c>
      <c r="CJ464" s="48"/>
      <c r="CK464" s="45">
        <f>IF('Batt IN'!$F$4="PV Only",0,IF(C464&gt;'Batt IN'!$H$43*12,0,CC464+CI464))</f>
        <v>0</v>
      </c>
      <c r="CM464" s="10">
        <f t="shared" si="127"/>
        <v>0</v>
      </c>
      <c r="CN464" s="2">
        <f>CK464/(1+('Batt IN'!$G$8))^(C464)</f>
        <v>0</v>
      </c>
      <c r="CO464" s="2" t="e">
        <f>IF(C464&lt;='Batt IN'!$O$30*12,CN464+CO463,NA())</f>
        <v>#N/A</v>
      </c>
      <c r="CQ464" s="2">
        <f>CK464/((1+('Batt IN'!$E$8/12))^BattCalcs!C464)</f>
        <v>0</v>
      </c>
      <c r="CS464" s="10">
        <f t="shared" si="130"/>
        <v>-3009.3750438157685</v>
      </c>
      <c r="CT464" s="10">
        <f t="shared" si="131"/>
        <v>0</v>
      </c>
      <c r="CU464" s="10">
        <f t="shared" si="132"/>
        <v>-3009.3750438157685</v>
      </c>
      <c r="CV464" s="10">
        <f t="shared" si="133"/>
        <v>-3009.3750438157685</v>
      </c>
      <c r="CW464" s="2">
        <f t="shared" si="134"/>
        <v>0</v>
      </c>
      <c r="CX464" s="2">
        <f>-(SUM(CV464:CW464)*'PV IN'!$E$8)</f>
        <v>631.9687592013114</v>
      </c>
      <c r="CY464" s="2">
        <f t="shared" si="135"/>
        <v>-2377.406284614457</v>
      </c>
      <c r="CZ464" s="2">
        <f>IF(C464&lt;='Batt IN'!$H$43*12,CY464/(1+('PV IN'!$G$9))^(C464),0)</f>
        <v>0</v>
      </c>
      <c r="DA464" s="33">
        <f>IF(C464&lt;='Batt IN'!$H$43*12,AE464,0)</f>
        <v>0</v>
      </c>
    </row>
    <row r="465" spans="1:105" x14ac:dyDescent="0.25">
      <c r="A465" t="str">
        <f>IF(C465&lt;='Batt IN'!$H$43*12,C465,"")</f>
        <v/>
      </c>
      <c r="C465">
        <v>461</v>
      </c>
      <c r="D465" s="21">
        <v>891</v>
      </c>
      <c r="E465" s="1">
        <f>1-'Batt IN'!$E$31</f>
        <v>2.0000000000000018E-2</v>
      </c>
      <c r="F465" s="12">
        <f>('Batt IN'!$E$33*365)/8760</f>
        <v>0</v>
      </c>
      <c r="G465" s="22">
        <f>'Batt IN'!$E$32/8760</f>
        <v>5.7077625570776253E-3</v>
      </c>
      <c r="H465" s="22">
        <f>'Batt IN'!$E$13/8760</f>
        <v>5.5936073059360729E-3</v>
      </c>
      <c r="I465" s="23">
        <f>IF(C465&lt;='Batt IN'!$G$14*12,'Batt IN'!$E$15/8760*'Batt IN'!$G$15,0)</f>
        <v>0</v>
      </c>
      <c r="J465" s="12">
        <f>Z465/'Batt IN'!$E$27/730</f>
        <v>2.4999999999999996E-3</v>
      </c>
      <c r="K465" s="23">
        <f>AA465/'Batt IN'!$E$27/730</f>
        <v>1.6027397260273972E-3</v>
      </c>
      <c r="L465" s="23">
        <f>AB465/'Batt IN'!$E$27/730</f>
        <v>2.0547945205479451E-4</v>
      </c>
      <c r="M465" s="23">
        <f>AC465/'Batt IN'!$E$27/730</f>
        <v>4.7945205479452057E-3</v>
      </c>
      <c r="N465" s="23">
        <f>AD465/'Batt IN'!$E$27/730</f>
        <v>3.4246575342465752E-3</v>
      </c>
      <c r="O465" s="12">
        <f t="shared" si="119"/>
        <v>4.3828767123287697E-2</v>
      </c>
      <c r="P465" s="21">
        <f t="shared" si="120"/>
        <v>851.94856849315067</v>
      </c>
      <c r="Q465" s="2">
        <f>IF('Batt IN'!$E$27*'Batt IN'!$E$24&lt;='Batt IN'!$E$28,(('Batt IN'!$E$23*'Batt IN'!$E$27*'Batt IN'!$E$24)/1000)*P465,(('Batt IN'!$E$23*'Batt IN'!$E$28*'Batt IN'!$E$24)/1000)*P465)</f>
        <v>13631.177095890411</v>
      </c>
      <c r="R465" s="2"/>
      <c r="S465" s="77">
        <f>IF(C465&lt;='Batt IN'!$G$14*12,'Batt IN'!$E$15/12,0)</f>
        <v>0</v>
      </c>
      <c r="T465" s="77"/>
      <c r="U465" s="80">
        <f>'Batt IN'!$E$28*('Batt IN'!$G$24/24)*730*(1-O465)</f>
        <v>81433.916666666657</v>
      </c>
      <c r="V465" s="78">
        <f>U465*'Batt IN'!$F$30</f>
        <v>16286.783333333333</v>
      </c>
      <c r="W465" s="78">
        <f>'Batt IN'!$E$28*'Batt IN'!$G$32*('Batt IN'!$E$32/12)*(1+'Batt IN'!$F$30)</f>
        <v>1750.0000000000002</v>
      </c>
      <c r="X465" s="78">
        <f>'Batt IN'!$E$28*'Batt IN'!$G$13*('Batt IN'!$E$13/12)*(1+'Batt IN'!$F$30)</f>
        <v>3184.9999999999995</v>
      </c>
      <c r="Y465" s="33">
        <f>S465*'Batt IN'!$G$15*'Batt IN'!$E$28*(1+'Batt IN'!$F$30)</f>
        <v>0</v>
      </c>
      <c r="Z465" s="33">
        <f>'Batt IN'!$G$16*365/12*(1+'Batt IN'!$F$30)</f>
        <v>1824.9999999999998</v>
      </c>
      <c r="AA465" s="33">
        <f>'Batt IN'!$G$17*'Batt IN'!$E$18*'Batt IN'!$G$18/12*(1+'Batt IN'!$F$30)</f>
        <v>1170</v>
      </c>
      <c r="AB465" s="33">
        <f>'Batt IN'!$G$19*'Batt IN'!$E$20*'Batt IN'!$G$20/12*(1+'Batt IN'!$F$30)</f>
        <v>150</v>
      </c>
      <c r="AC465" s="33">
        <f>'Batt IN'!$G$21*(1+'Batt IN'!$F$30)/12</f>
        <v>3500</v>
      </c>
      <c r="AD465" s="33">
        <f>'Batt IN'!$G$22*(1+'Batt IN'!$F$30)/12</f>
        <v>2500</v>
      </c>
      <c r="AE465" s="33">
        <f t="shared" si="121"/>
        <v>30366.783333333333</v>
      </c>
      <c r="AF465" s="33">
        <f>IF('PV IN'!$F$4="Battery Only",0,AE465*'Batt IN'!$E$29)</f>
        <v>25811.765833333331</v>
      </c>
      <c r="AG465" s="33">
        <f>PVCalcs!L465</f>
        <v>25811.765833333331</v>
      </c>
      <c r="AH465" s="33">
        <f t="shared" si="122"/>
        <v>4555.0175000000017</v>
      </c>
      <c r="AI465" s="33"/>
      <c r="AJ465" s="2">
        <f>IF(AND('Batt IN'!$D$53="Yes",$AL$1&gt;=1),IF($C465='Batt IN'!$H$54*12,-'Batt IN'!$F$54,0),0)</f>
        <v>0</v>
      </c>
      <c r="AK465" s="2">
        <f>IF(AND('Batt IN'!$D$53="Yes",$AL$1&gt;=2),IF($C465='Batt IN'!$H$55*12,-'Batt IN'!$F$55,0),0)</f>
        <v>0</v>
      </c>
      <c r="AL465" s="2">
        <f>IF(AND('Batt IN'!$D$53="Yes",$AL$1&gt;=3),IF($C465='Batt IN'!$H$56*12,-'Batt IN'!$F$56,0),0)</f>
        <v>0</v>
      </c>
      <c r="AM465" s="2">
        <f>IF(AND('Batt IN'!$D$53="Yes",$AL$1&gt;=4),IF($C465='Batt IN'!$H$57*12,-'Batt IN'!$F$57,0),0)</f>
        <v>0</v>
      </c>
      <c r="AN465" s="2">
        <f>IF(AND('Batt IN'!$D$53="Yes",$AL$1&gt;=5),IF($C465='Batt IN'!$H$58*12,-'Batt IN'!$F$58,0),0)</f>
        <v>0</v>
      </c>
      <c r="AO465" s="10">
        <f>IF(AND('Batt IN'!$D$44="YES",$C465&lt;='Batt IN'!$E$44*12),-'Batt IN'!$E$28*'Batt IN'!$E$42/12,0)</f>
        <v>0</v>
      </c>
      <c r="AP465" s="10">
        <f>IF(AND('Batt IN'!$D$46="YES",$C465&lt;='Batt IN'!$E$46*12),-'Batt IN'!$E$28*'Batt IN'!$E$45/12,0)</f>
        <v>0</v>
      </c>
      <c r="AR465" s="10">
        <f>BattLoan!M492</f>
        <v>0</v>
      </c>
      <c r="AS465" s="10">
        <f>'Batt IN'!$G$16*365/12*'Batt IN'!$E$16</f>
        <v>76.041666666666671</v>
      </c>
      <c r="AT465" s="10">
        <f>IF(AND('Batt IN'!$E$18&gt;0,'Batt IN'!$G$18&gt;0),'Batt IN'!$E$17*'Batt IN'!$G$17,0)</f>
        <v>119.44619999999999</v>
      </c>
      <c r="AU465" s="10">
        <f>IF(AND('Batt IN'!$E$20&gt;0,'Batt IN'!$G$20&gt;0),'Batt IN'!$E$19*'Batt IN'!$G$19,0)</f>
        <v>231</v>
      </c>
      <c r="AV465" s="10"/>
      <c r="AW465" s="10"/>
      <c r="AX465" s="10">
        <f>IF('Batt IN'!$E$11="Non-Taxable",Q465,0)</f>
        <v>13631.177095890411</v>
      </c>
      <c r="AY465" s="10">
        <f>IF('Batt IN'!$E$11="Non-Taxable",'Batt IN'!$E$28/1000*'Batt IN'!$G$13*('Batt IN'!$E$13/12)*'Batt IN'!$E$12,0)</f>
        <v>244.42220833333334</v>
      </c>
      <c r="AZ465" s="10">
        <f>IF('Batt IN'!$E$11="Non-Taxable",$S465*'Batt IN'!$G$15*'Batt IN'!$E$28*'Batt IN'!$E$14/1000,0)</f>
        <v>0</v>
      </c>
      <c r="BA465" s="10">
        <f>IF('Batt IN'!$E$11="Non-Taxable",'Batt IN'!$E$21*'Batt IN'!$G$21/12,0)</f>
        <v>437.5</v>
      </c>
      <c r="BB465" s="10">
        <f>IF('Batt IN'!$E$11="Non-Taxable",'Batt IN'!$E$22*'Batt IN'!$G$22/12,0)</f>
        <v>1145.8333333333335</v>
      </c>
      <c r="BC465" s="10">
        <f>IF('Batt IN'!$E$11="Taxable",Q465,0)</f>
        <v>0</v>
      </c>
      <c r="BD465" s="10">
        <f>IF('Batt IN'!$E$11="Taxable",'Batt IN'!$E$28/1000*'Batt IN'!$G$13*('Batt IN'!$E$13/12)*'Batt IN'!$E$12,0)</f>
        <v>0</v>
      </c>
      <c r="BE465" s="10">
        <f>IF('Batt IN'!$E$11="Taxable",$S465*'Batt IN'!$G$15*'Batt IN'!$E$28*'Batt IN'!$E$14/1000,0)</f>
        <v>0</v>
      </c>
      <c r="BF465" s="10">
        <f>IF('Batt IN'!$E$11="Taxable",'Batt IN'!$E$21*'Batt IN'!$G$21/12,0)</f>
        <v>0</v>
      </c>
      <c r="BG465" s="10">
        <f>IF('Batt IN'!$E$11="Taxable",'Batt IN'!$E$22*'Batt IN'!$G$22/12,0)</f>
        <v>0</v>
      </c>
      <c r="BK465" s="10">
        <f>IF('Batt IN'!$N$18="Yes",-BattLoan!H493,-BattLoan!L493)</f>
        <v>0</v>
      </c>
      <c r="BL465" s="10">
        <f>IF('Batt IN'!$N$18="Yes",-BattLoan!F493,0)</f>
        <v>0</v>
      </c>
      <c r="BM465" s="10">
        <f>IF(AND('Batt IN'!$D$44="YES",$C465&lt;='Batt IN'!$E$44*12),0,-'Batt IN'!$E$28*'Batt IN'!$E$42/12)</f>
        <v>-83.333333333333329</v>
      </c>
      <c r="BN465" s="10">
        <f>IF(AND('Batt IN'!$D$46="YES",$C465&lt;='Batt IN'!$E$46*12),0,-'Batt IN'!$E$28*'Batt IN'!$E$45/12)</f>
        <v>-166.66666666666666</v>
      </c>
      <c r="BO465" s="2">
        <f>IF(AND('Batt IN'!$D$41="YES",BattCalcs!C465=ROUNDUP('Batt IN'!$H$41*12,)),-'Batt IN'!$E$41*'Batt IN'!$E$28,0)</f>
        <v>0</v>
      </c>
      <c r="BP465" s="2">
        <f>IF(AND('Batt IN'!$D$53="Yes",$AL$1&gt;=1),0,IF($C465='Batt IN'!$H$54*12,-'Batt IN'!$F$54,0))</f>
        <v>0</v>
      </c>
      <c r="BQ465" s="2">
        <f>IF(AND('Batt IN'!$D$53="Yes",$AL$1&gt;=2),0,IF($C465='Batt IN'!$H$55*12,-'Batt IN'!$F$55,0))</f>
        <v>0</v>
      </c>
      <c r="BR465" s="2">
        <f>IF(AND('Batt IN'!$D$53="Yes",$AL$1&gt;=3),0,IF($C465='Batt IN'!$H$56*12,-'Batt IN'!$F$56,0))</f>
        <v>0</v>
      </c>
      <c r="BS465" s="2">
        <f>IF(AND('Batt IN'!$D$53="Yes",$AL$1&gt;=4),0,IF($C465='Batt IN'!$H$57*12,-'Batt IN'!$F$57,0))</f>
        <v>0</v>
      </c>
      <c r="BT465" s="2">
        <f>IF(AND('Batt IN'!$D$53="Yes",$AL$1&gt;=5),0,IF($C465='Batt IN'!$H$58*12,-'Batt IN'!$F$58,0))</f>
        <v>0</v>
      </c>
      <c r="BU465" s="2">
        <f>-AH465*PVCalcs!F465</f>
        <v>-359.37504381576838</v>
      </c>
      <c r="BV465" s="2">
        <f>-'Batt IN'!$E$47</f>
        <v>-150</v>
      </c>
      <c r="BW465" s="2">
        <f>-'Batt IN'!$E$49</f>
        <v>-2250</v>
      </c>
      <c r="BX465" s="2">
        <f>IF('Batt IN'!$H$50="No",-(BC465*'Batt IN'!$E$50),-(BC465+BE465)*'Batt IN'!$E$50)</f>
        <v>0</v>
      </c>
      <c r="BY465" s="2">
        <f>IF(C465='Batt IN'!$H$43*12,-'Batt IN'!$E$43,0)</f>
        <v>0</v>
      </c>
      <c r="BZ465" s="38"/>
      <c r="CA465" s="10">
        <f t="shared" si="123"/>
        <v>15885.420504223745</v>
      </c>
      <c r="CB465" s="2">
        <f t="shared" si="128"/>
        <v>-3009.3750438157685</v>
      </c>
      <c r="CC465" s="45">
        <f t="shared" si="124"/>
        <v>12876.045460407975</v>
      </c>
      <c r="CD465" s="43"/>
      <c r="CE465" s="2">
        <f t="shared" si="125"/>
        <v>0</v>
      </c>
      <c r="CF465" s="2">
        <f t="shared" si="129"/>
        <v>-3009.3750438157685</v>
      </c>
      <c r="CG465" s="2"/>
      <c r="CH465" s="2">
        <f t="shared" si="126"/>
        <v>-3009.3750438157685</v>
      </c>
      <c r="CI465" s="45">
        <f>-CH465*'Batt IN'!$E$7</f>
        <v>631.9687592013114</v>
      </c>
      <c r="CJ465" s="48"/>
      <c r="CK465" s="45">
        <f>IF('Batt IN'!$F$4="PV Only",0,IF(C465&gt;'Batt IN'!$H$43*12,0,CC465+CI465))</f>
        <v>0</v>
      </c>
      <c r="CM465" s="10">
        <f t="shared" si="127"/>
        <v>0</v>
      </c>
      <c r="CN465" s="2">
        <f>CK465/(1+('Batt IN'!$G$8))^(C465)</f>
        <v>0</v>
      </c>
      <c r="CO465" s="2" t="e">
        <f>IF(C465&lt;='Batt IN'!$O$30*12,CN465+CO464,NA())</f>
        <v>#N/A</v>
      </c>
      <c r="CQ465" s="2">
        <f>CK465/((1+('Batt IN'!$E$8/12))^BattCalcs!C465)</f>
        <v>0</v>
      </c>
      <c r="CS465" s="10">
        <f t="shared" si="130"/>
        <v>-3009.3750438157685</v>
      </c>
      <c r="CT465" s="10">
        <f t="shared" si="131"/>
        <v>0</v>
      </c>
      <c r="CU465" s="10">
        <f t="shared" si="132"/>
        <v>-3009.3750438157685</v>
      </c>
      <c r="CV465" s="10">
        <f t="shared" si="133"/>
        <v>-3009.3750438157685</v>
      </c>
      <c r="CW465" s="2">
        <f t="shared" si="134"/>
        <v>0</v>
      </c>
      <c r="CX465" s="2">
        <f>-(SUM(CV465:CW465)*'PV IN'!$E$8)</f>
        <v>631.9687592013114</v>
      </c>
      <c r="CY465" s="2">
        <f t="shared" si="135"/>
        <v>-2377.406284614457</v>
      </c>
      <c r="CZ465" s="2">
        <f>IF(C465&lt;='Batt IN'!$H$43*12,CY465/(1+('PV IN'!$G$9))^(C465),0)</f>
        <v>0</v>
      </c>
      <c r="DA465" s="33">
        <f>IF(C465&lt;='Batt IN'!$H$43*12,AE465,0)</f>
        <v>0</v>
      </c>
    </row>
    <row r="466" spans="1:105" x14ac:dyDescent="0.25">
      <c r="A466" t="str">
        <f>IF(C466&lt;='Batt IN'!$H$43*12,C466,"")</f>
        <v/>
      </c>
      <c r="C466">
        <v>462</v>
      </c>
      <c r="D466" s="21">
        <v>892</v>
      </c>
      <c r="E466" s="1">
        <f>1-'Batt IN'!$E$31</f>
        <v>2.0000000000000018E-2</v>
      </c>
      <c r="F466" s="12">
        <f>('Batt IN'!$E$33*365)/8760</f>
        <v>0</v>
      </c>
      <c r="G466" s="22">
        <f>'Batt IN'!$E$32/8760</f>
        <v>5.7077625570776253E-3</v>
      </c>
      <c r="H466" s="22">
        <f>'Batt IN'!$E$13/8760</f>
        <v>5.5936073059360729E-3</v>
      </c>
      <c r="I466" s="23">
        <f>IF(C466&lt;='Batt IN'!$G$14*12,'Batt IN'!$E$15/8760*'Batt IN'!$G$15,0)</f>
        <v>0</v>
      </c>
      <c r="J466" s="12">
        <f>Z466/'Batt IN'!$E$27/730</f>
        <v>2.4999999999999996E-3</v>
      </c>
      <c r="K466" s="23">
        <f>AA466/'Batt IN'!$E$27/730</f>
        <v>1.6027397260273972E-3</v>
      </c>
      <c r="L466" s="23">
        <f>AB466/'Batt IN'!$E$27/730</f>
        <v>2.0547945205479451E-4</v>
      </c>
      <c r="M466" s="23">
        <f>AC466/'Batt IN'!$E$27/730</f>
        <v>4.7945205479452057E-3</v>
      </c>
      <c r="N466" s="23">
        <f>AD466/'Batt IN'!$E$27/730</f>
        <v>3.4246575342465752E-3</v>
      </c>
      <c r="O466" s="12">
        <f t="shared" si="119"/>
        <v>4.3828767123287697E-2</v>
      </c>
      <c r="P466" s="21">
        <f t="shared" si="120"/>
        <v>852.9047397260274</v>
      </c>
      <c r="Q466" s="2">
        <f>IF('Batt IN'!$E$27*'Batt IN'!$E$24&lt;='Batt IN'!$E$28,(('Batt IN'!$E$23*'Batt IN'!$E$27*'Batt IN'!$E$24)/1000)*P466,(('Batt IN'!$E$23*'Batt IN'!$E$28*'Batt IN'!$E$24)/1000)*P466)</f>
        <v>13646.475835616438</v>
      </c>
      <c r="R466" s="2"/>
      <c r="S466" s="77">
        <f>IF(C466&lt;='Batt IN'!$G$14*12,'Batt IN'!$E$15/12,0)</f>
        <v>0</v>
      </c>
      <c r="T466" s="77"/>
      <c r="U466" s="80">
        <f>'Batt IN'!$E$28*('Batt IN'!$G$24/24)*730*(1-O466)</f>
        <v>81433.916666666657</v>
      </c>
      <c r="V466" s="78">
        <f>U466*'Batt IN'!$F$30</f>
        <v>16286.783333333333</v>
      </c>
      <c r="W466" s="78">
        <f>'Batt IN'!$E$28*'Batt IN'!$G$32*('Batt IN'!$E$32/12)*(1+'Batt IN'!$F$30)</f>
        <v>1750.0000000000002</v>
      </c>
      <c r="X466" s="78">
        <f>'Batt IN'!$E$28*'Batt IN'!$G$13*('Batt IN'!$E$13/12)*(1+'Batt IN'!$F$30)</f>
        <v>3184.9999999999995</v>
      </c>
      <c r="Y466" s="33">
        <f>S466*'Batt IN'!$G$15*'Batt IN'!$E$28*(1+'Batt IN'!$F$30)</f>
        <v>0</v>
      </c>
      <c r="Z466" s="33">
        <f>'Batt IN'!$G$16*365/12*(1+'Batt IN'!$F$30)</f>
        <v>1824.9999999999998</v>
      </c>
      <c r="AA466" s="33">
        <f>'Batt IN'!$G$17*'Batt IN'!$E$18*'Batt IN'!$G$18/12*(1+'Batt IN'!$F$30)</f>
        <v>1170</v>
      </c>
      <c r="AB466" s="33">
        <f>'Batt IN'!$G$19*'Batt IN'!$E$20*'Batt IN'!$G$20/12*(1+'Batt IN'!$F$30)</f>
        <v>150</v>
      </c>
      <c r="AC466" s="33">
        <f>'Batt IN'!$G$21*(1+'Batt IN'!$F$30)/12</f>
        <v>3500</v>
      </c>
      <c r="AD466" s="33">
        <f>'Batt IN'!$G$22*(1+'Batt IN'!$F$30)/12</f>
        <v>2500</v>
      </c>
      <c r="AE466" s="33">
        <f t="shared" si="121"/>
        <v>30366.783333333333</v>
      </c>
      <c r="AF466" s="33">
        <f>IF('PV IN'!$F$4="Battery Only",0,AE466*'Batt IN'!$E$29)</f>
        <v>25811.765833333331</v>
      </c>
      <c r="AG466" s="33">
        <f>PVCalcs!L466</f>
        <v>25811.765833333331</v>
      </c>
      <c r="AH466" s="33">
        <f t="shared" si="122"/>
        <v>4555.0175000000017</v>
      </c>
      <c r="AI466" s="33"/>
      <c r="AJ466" s="2">
        <f>IF(AND('Batt IN'!$D$53="Yes",$AL$1&gt;=1),IF($C466='Batt IN'!$H$54*12,-'Batt IN'!$F$54,0),0)</f>
        <v>0</v>
      </c>
      <c r="AK466" s="2">
        <f>IF(AND('Batt IN'!$D$53="Yes",$AL$1&gt;=2),IF($C466='Batt IN'!$H$55*12,-'Batt IN'!$F$55,0),0)</f>
        <v>0</v>
      </c>
      <c r="AL466" s="2">
        <f>IF(AND('Batt IN'!$D$53="Yes",$AL$1&gt;=3),IF($C466='Batt IN'!$H$56*12,-'Batt IN'!$F$56,0),0)</f>
        <v>0</v>
      </c>
      <c r="AM466" s="2">
        <f>IF(AND('Batt IN'!$D$53="Yes",$AL$1&gt;=4),IF($C466='Batt IN'!$H$57*12,-'Batt IN'!$F$57,0),0)</f>
        <v>0</v>
      </c>
      <c r="AN466" s="2">
        <f>IF(AND('Batt IN'!$D$53="Yes",$AL$1&gt;=5),IF($C466='Batt IN'!$H$58*12,-'Batt IN'!$F$58,0),0)</f>
        <v>0</v>
      </c>
      <c r="AO466" s="10">
        <f>IF(AND('Batt IN'!$D$44="YES",$C466&lt;='Batt IN'!$E$44*12),-'Batt IN'!$E$28*'Batt IN'!$E$42/12,0)</f>
        <v>0</v>
      </c>
      <c r="AP466" s="10">
        <f>IF(AND('Batt IN'!$D$46="YES",$C466&lt;='Batt IN'!$E$46*12),-'Batt IN'!$E$28*'Batt IN'!$E$45/12,0)</f>
        <v>0</v>
      </c>
      <c r="AR466" s="10">
        <f>BattLoan!M493</f>
        <v>0</v>
      </c>
      <c r="AS466" s="10">
        <f>'Batt IN'!$G$16*365/12*'Batt IN'!$E$16</f>
        <v>76.041666666666671</v>
      </c>
      <c r="AT466" s="10">
        <f>IF(AND('Batt IN'!$E$18&gt;0,'Batt IN'!$G$18&gt;0),'Batt IN'!$E$17*'Batt IN'!$G$17,0)</f>
        <v>119.44619999999999</v>
      </c>
      <c r="AU466" s="10">
        <f>IF(AND('Batt IN'!$E$20&gt;0,'Batt IN'!$G$20&gt;0),'Batt IN'!$E$19*'Batt IN'!$G$19,0)</f>
        <v>231</v>
      </c>
      <c r="AV466" s="10"/>
      <c r="AW466" s="10"/>
      <c r="AX466" s="10">
        <f>IF('Batt IN'!$E$11="Non-Taxable",Q466,0)</f>
        <v>13646.475835616438</v>
      </c>
      <c r="AY466" s="10">
        <f>IF('Batt IN'!$E$11="Non-Taxable",'Batt IN'!$E$28/1000*'Batt IN'!$G$13*('Batt IN'!$E$13/12)*'Batt IN'!$E$12,0)</f>
        <v>244.42220833333334</v>
      </c>
      <c r="AZ466" s="10">
        <f>IF('Batt IN'!$E$11="Non-Taxable",$S466*'Batt IN'!$G$15*'Batt IN'!$E$28*'Batt IN'!$E$14/1000,0)</f>
        <v>0</v>
      </c>
      <c r="BA466" s="10">
        <f>IF('Batt IN'!$E$11="Non-Taxable",'Batt IN'!$E$21*'Batt IN'!$G$21/12,0)</f>
        <v>437.5</v>
      </c>
      <c r="BB466" s="10">
        <f>IF('Batt IN'!$E$11="Non-Taxable",'Batt IN'!$E$22*'Batt IN'!$G$22/12,0)</f>
        <v>1145.8333333333335</v>
      </c>
      <c r="BC466" s="10">
        <f>IF('Batt IN'!$E$11="Taxable",Q466,0)</f>
        <v>0</v>
      </c>
      <c r="BD466" s="10">
        <f>IF('Batt IN'!$E$11="Taxable",'Batt IN'!$E$28/1000*'Batt IN'!$G$13*('Batt IN'!$E$13/12)*'Batt IN'!$E$12,0)</f>
        <v>0</v>
      </c>
      <c r="BE466" s="10">
        <f>IF('Batt IN'!$E$11="Taxable",$S466*'Batt IN'!$G$15*'Batt IN'!$E$28*'Batt IN'!$E$14/1000,0)</f>
        <v>0</v>
      </c>
      <c r="BF466" s="10">
        <f>IF('Batt IN'!$E$11="Taxable",'Batt IN'!$E$21*'Batt IN'!$G$21/12,0)</f>
        <v>0</v>
      </c>
      <c r="BG466" s="10">
        <f>IF('Batt IN'!$E$11="Taxable",'Batt IN'!$E$22*'Batt IN'!$G$22/12,0)</f>
        <v>0</v>
      </c>
      <c r="BK466" s="10">
        <f>IF('Batt IN'!$N$18="Yes",-BattLoan!H494,-BattLoan!L494)</f>
        <v>0</v>
      </c>
      <c r="BL466" s="10">
        <f>IF('Batt IN'!$N$18="Yes",-BattLoan!F494,0)</f>
        <v>0</v>
      </c>
      <c r="BM466" s="10">
        <f>IF(AND('Batt IN'!$D$44="YES",$C466&lt;='Batt IN'!$E$44*12),0,-'Batt IN'!$E$28*'Batt IN'!$E$42/12)</f>
        <v>-83.333333333333329</v>
      </c>
      <c r="BN466" s="10">
        <f>IF(AND('Batt IN'!$D$46="YES",$C466&lt;='Batt IN'!$E$46*12),0,-'Batt IN'!$E$28*'Batt IN'!$E$45/12)</f>
        <v>-166.66666666666666</v>
      </c>
      <c r="BO466" s="2">
        <f>IF(AND('Batt IN'!$D$41="YES",BattCalcs!C466=ROUNDUP('Batt IN'!$H$41*12,)),-'Batt IN'!$E$41*'Batt IN'!$E$28,0)</f>
        <v>0</v>
      </c>
      <c r="BP466" s="2">
        <f>IF(AND('Batt IN'!$D$53="Yes",$AL$1&gt;=1),0,IF($C466='Batt IN'!$H$54*12,-'Batt IN'!$F$54,0))</f>
        <v>0</v>
      </c>
      <c r="BQ466" s="2">
        <f>IF(AND('Batt IN'!$D$53="Yes",$AL$1&gt;=2),0,IF($C466='Batt IN'!$H$55*12,-'Batt IN'!$F$55,0))</f>
        <v>0</v>
      </c>
      <c r="BR466" s="2">
        <f>IF(AND('Batt IN'!$D$53="Yes",$AL$1&gt;=3),0,IF($C466='Batt IN'!$H$56*12,-'Batt IN'!$F$56,0))</f>
        <v>0</v>
      </c>
      <c r="BS466" s="2">
        <f>IF(AND('Batt IN'!$D$53="Yes",$AL$1&gt;=4),0,IF($C466='Batt IN'!$H$57*12,-'Batt IN'!$F$57,0))</f>
        <v>0</v>
      </c>
      <c r="BT466" s="2">
        <f>IF(AND('Batt IN'!$D$53="Yes",$AL$1&gt;=5),0,IF($C466='Batt IN'!$H$58*12,-'Batt IN'!$F$58,0))</f>
        <v>0</v>
      </c>
      <c r="BU466" s="2">
        <f>-AH466*PVCalcs!F466</f>
        <v>-359.37504381576838</v>
      </c>
      <c r="BV466" s="2">
        <f>-'Batt IN'!$E$47</f>
        <v>-150</v>
      </c>
      <c r="BW466" s="2">
        <f>-'Batt IN'!$E$49</f>
        <v>-2250</v>
      </c>
      <c r="BX466" s="2">
        <f>IF('Batt IN'!$H$50="No",-(BC466*'Batt IN'!$E$50),-(BC466+BE466)*'Batt IN'!$E$50)</f>
        <v>0</v>
      </c>
      <c r="BY466" s="2">
        <f>IF(C466='Batt IN'!$H$43*12,-'Batt IN'!$E$43,0)</f>
        <v>0</v>
      </c>
      <c r="BZ466" s="38"/>
      <c r="CA466" s="10">
        <f t="shared" si="123"/>
        <v>15900.719243949772</v>
      </c>
      <c r="CB466" s="2">
        <f t="shared" si="128"/>
        <v>-3009.3750438157685</v>
      </c>
      <c r="CC466" s="45">
        <f t="shared" si="124"/>
        <v>12891.344200134004</v>
      </c>
      <c r="CD466" s="43"/>
      <c r="CE466" s="2">
        <f t="shared" si="125"/>
        <v>0</v>
      </c>
      <c r="CF466" s="2">
        <f t="shared" si="129"/>
        <v>-3009.3750438157685</v>
      </c>
      <c r="CG466" s="2"/>
      <c r="CH466" s="2">
        <f t="shared" si="126"/>
        <v>-3009.3750438157685</v>
      </c>
      <c r="CI466" s="45">
        <f>-CH466*'Batt IN'!$E$7</f>
        <v>631.9687592013114</v>
      </c>
      <c r="CJ466" s="48"/>
      <c r="CK466" s="45">
        <f>IF('Batt IN'!$F$4="PV Only",0,IF(C466&gt;'Batt IN'!$H$43*12,0,CC466+CI466))</f>
        <v>0</v>
      </c>
      <c r="CM466" s="10">
        <f t="shared" si="127"/>
        <v>0</v>
      </c>
      <c r="CN466" s="2">
        <f>CK466/(1+('Batt IN'!$G$8))^(C466)</f>
        <v>0</v>
      </c>
      <c r="CO466" s="2" t="e">
        <f>IF(C466&lt;='Batt IN'!$O$30*12,CN466+CO465,NA())</f>
        <v>#N/A</v>
      </c>
      <c r="CQ466" s="2">
        <f>CK466/((1+('Batt IN'!$E$8/12))^BattCalcs!C466)</f>
        <v>0</v>
      </c>
      <c r="CS466" s="10">
        <f t="shared" si="130"/>
        <v>-3009.3750438157685</v>
      </c>
      <c r="CT466" s="10">
        <f t="shared" si="131"/>
        <v>0</v>
      </c>
      <c r="CU466" s="10">
        <f t="shared" si="132"/>
        <v>-3009.3750438157685</v>
      </c>
      <c r="CV466" s="10">
        <f t="shared" si="133"/>
        <v>-3009.3750438157685</v>
      </c>
      <c r="CW466" s="2">
        <f t="shared" si="134"/>
        <v>0</v>
      </c>
      <c r="CX466" s="2">
        <f>-(SUM(CV466:CW466)*'PV IN'!$E$8)</f>
        <v>631.9687592013114</v>
      </c>
      <c r="CY466" s="2">
        <f t="shared" si="135"/>
        <v>-2377.406284614457</v>
      </c>
      <c r="CZ466" s="2">
        <f>IF(C466&lt;='Batt IN'!$H$43*12,CY466/(1+('PV IN'!$G$9))^(C466),0)</f>
        <v>0</v>
      </c>
      <c r="DA466" s="33">
        <f>IF(C466&lt;='Batt IN'!$H$43*12,AE466,0)</f>
        <v>0</v>
      </c>
    </row>
    <row r="467" spans="1:105" x14ac:dyDescent="0.25">
      <c r="A467" t="str">
        <f>IF(C467&lt;='Batt IN'!$H$43*12,C467,"")</f>
        <v/>
      </c>
      <c r="C467">
        <v>463</v>
      </c>
      <c r="D467" s="21">
        <v>893</v>
      </c>
      <c r="E467" s="1">
        <f>1-'Batt IN'!$E$31</f>
        <v>2.0000000000000018E-2</v>
      </c>
      <c r="F467" s="12">
        <f>('Batt IN'!$E$33*365)/8760</f>
        <v>0</v>
      </c>
      <c r="G467" s="22">
        <f>'Batt IN'!$E$32/8760</f>
        <v>5.7077625570776253E-3</v>
      </c>
      <c r="H467" s="22">
        <f>'Batt IN'!$E$13/8760</f>
        <v>5.5936073059360729E-3</v>
      </c>
      <c r="I467" s="23">
        <f>IF(C467&lt;='Batt IN'!$G$14*12,'Batt IN'!$E$15/8760*'Batt IN'!$G$15,0)</f>
        <v>0</v>
      </c>
      <c r="J467" s="12">
        <f>Z467/'Batt IN'!$E$27/730</f>
        <v>2.4999999999999996E-3</v>
      </c>
      <c r="K467" s="23">
        <f>AA467/'Batt IN'!$E$27/730</f>
        <v>1.6027397260273972E-3</v>
      </c>
      <c r="L467" s="23">
        <f>AB467/'Batt IN'!$E$27/730</f>
        <v>2.0547945205479451E-4</v>
      </c>
      <c r="M467" s="23">
        <f>AC467/'Batt IN'!$E$27/730</f>
        <v>4.7945205479452057E-3</v>
      </c>
      <c r="N467" s="23">
        <f>AD467/'Batt IN'!$E$27/730</f>
        <v>3.4246575342465752E-3</v>
      </c>
      <c r="O467" s="12">
        <f t="shared" si="119"/>
        <v>4.3828767123287697E-2</v>
      </c>
      <c r="P467" s="21">
        <f t="shared" si="120"/>
        <v>853.86091095890413</v>
      </c>
      <c r="Q467" s="2">
        <f>IF('Batt IN'!$E$27*'Batt IN'!$E$24&lt;='Batt IN'!$E$28,(('Batt IN'!$E$23*'Batt IN'!$E$27*'Batt IN'!$E$24)/1000)*P467,(('Batt IN'!$E$23*'Batt IN'!$E$28*'Batt IN'!$E$24)/1000)*P467)</f>
        <v>13661.774575342466</v>
      </c>
      <c r="R467" s="2"/>
      <c r="S467" s="77">
        <f>IF(C467&lt;='Batt IN'!$G$14*12,'Batt IN'!$E$15/12,0)</f>
        <v>0</v>
      </c>
      <c r="T467" s="77"/>
      <c r="U467" s="80">
        <f>'Batt IN'!$E$28*('Batt IN'!$G$24/24)*730*(1-O467)</f>
        <v>81433.916666666657</v>
      </c>
      <c r="V467" s="78">
        <f>U467*'Batt IN'!$F$30</f>
        <v>16286.783333333333</v>
      </c>
      <c r="W467" s="78">
        <f>'Batt IN'!$E$28*'Batt IN'!$G$32*('Batt IN'!$E$32/12)*(1+'Batt IN'!$F$30)</f>
        <v>1750.0000000000002</v>
      </c>
      <c r="X467" s="78">
        <f>'Batt IN'!$E$28*'Batt IN'!$G$13*('Batt IN'!$E$13/12)*(1+'Batt IN'!$F$30)</f>
        <v>3184.9999999999995</v>
      </c>
      <c r="Y467" s="33">
        <f>S467*'Batt IN'!$G$15*'Batt IN'!$E$28*(1+'Batt IN'!$F$30)</f>
        <v>0</v>
      </c>
      <c r="Z467" s="33">
        <f>'Batt IN'!$G$16*365/12*(1+'Batt IN'!$F$30)</f>
        <v>1824.9999999999998</v>
      </c>
      <c r="AA467" s="33">
        <f>'Batt IN'!$G$17*'Batt IN'!$E$18*'Batt IN'!$G$18/12*(1+'Batt IN'!$F$30)</f>
        <v>1170</v>
      </c>
      <c r="AB467" s="33">
        <f>'Batt IN'!$G$19*'Batt IN'!$E$20*'Batt IN'!$G$20/12*(1+'Batt IN'!$F$30)</f>
        <v>150</v>
      </c>
      <c r="AC467" s="33">
        <f>'Batt IN'!$G$21*(1+'Batt IN'!$F$30)/12</f>
        <v>3500</v>
      </c>
      <c r="AD467" s="33">
        <f>'Batt IN'!$G$22*(1+'Batt IN'!$F$30)/12</f>
        <v>2500</v>
      </c>
      <c r="AE467" s="33">
        <f t="shared" si="121"/>
        <v>30366.783333333333</v>
      </c>
      <c r="AF467" s="33">
        <f>IF('PV IN'!$F$4="Battery Only",0,AE467*'Batt IN'!$E$29)</f>
        <v>25811.765833333331</v>
      </c>
      <c r="AG467" s="33">
        <f>PVCalcs!L467</f>
        <v>25811.765833333331</v>
      </c>
      <c r="AH467" s="33">
        <f t="shared" si="122"/>
        <v>4555.0175000000017</v>
      </c>
      <c r="AI467" s="33"/>
      <c r="AJ467" s="2">
        <f>IF(AND('Batt IN'!$D$53="Yes",$AL$1&gt;=1),IF($C467='Batt IN'!$H$54*12,-'Batt IN'!$F$54,0),0)</f>
        <v>0</v>
      </c>
      <c r="AK467" s="2">
        <f>IF(AND('Batt IN'!$D$53="Yes",$AL$1&gt;=2),IF($C467='Batt IN'!$H$55*12,-'Batt IN'!$F$55,0),0)</f>
        <v>0</v>
      </c>
      <c r="AL467" s="2">
        <f>IF(AND('Batt IN'!$D$53="Yes",$AL$1&gt;=3),IF($C467='Batt IN'!$H$56*12,-'Batt IN'!$F$56,0),0)</f>
        <v>0</v>
      </c>
      <c r="AM467" s="2">
        <f>IF(AND('Batt IN'!$D$53="Yes",$AL$1&gt;=4),IF($C467='Batt IN'!$H$57*12,-'Batt IN'!$F$57,0),0)</f>
        <v>0</v>
      </c>
      <c r="AN467" s="2">
        <f>IF(AND('Batt IN'!$D$53="Yes",$AL$1&gt;=5),IF($C467='Batt IN'!$H$58*12,-'Batt IN'!$F$58,0),0)</f>
        <v>0</v>
      </c>
      <c r="AO467" s="10">
        <f>IF(AND('Batt IN'!$D$44="YES",$C467&lt;='Batt IN'!$E$44*12),-'Batt IN'!$E$28*'Batt IN'!$E$42/12,0)</f>
        <v>0</v>
      </c>
      <c r="AP467" s="10">
        <f>IF(AND('Batt IN'!$D$46="YES",$C467&lt;='Batt IN'!$E$46*12),-'Batt IN'!$E$28*'Batt IN'!$E$45/12,0)</f>
        <v>0</v>
      </c>
      <c r="AR467" s="10">
        <f>BattLoan!M494</f>
        <v>0</v>
      </c>
      <c r="AS467" s="10">
        <f>'Batt IN'!$G$16*365/12*'Batt IN'!$E$16</f>
        <v>76.041666666666671</v>
      </c>
      <c r="AT467" s="10">
        <f>IF(AND('Batt IN'!$E$18&gt;0,'Batt IN'!$G$18&gt;0),'Batt IN'!$E$17*'Batt IN'!$G$17,0)</f>
        <v>119.44619999999999</v>
      </c>
      <c r="AU467" s="10">
        <f>IF(AND('Batt IN'!$E$20&gt;0,'Batt IN'!$G$20&gt;0),'Batt IN'!$E$19*'Batt IN'!$G$19,0)</f>
        <v>231</v>
      </c>
      <c r="AV467" s="10"/>
      <c r="AW467" s="10"/>
      <c r="AX467" s="10">
        <f>IF('Batt IN'!$E$11="Non-Taxable",Q467,0)</f>
        <v>13661.774575342466</v>
      </c>
      <c r="AY467" s="10">
        <f>IF('Batt IN'!$E$11="Non-Taxable",'Batt IN'!$E$28/1000*'Batt IN'!$G$13*('Batt IN'!$E$13/12)*'Batt IN'!$E$12,0)</f>
        <v>244.42220833333334</v>
      </c>
      <c r="AZ467" s="10">
        <f>IF('Batt IN'!$E$11="Non-Taxable",$S467*'Batt IN'!$G$15*'Batt IN'!$E$28*'Batt IN'!$E$14/1000,0)</f>
        <v>0</v>
      </c>
      <c r="BA467" s="10">
        <f>IF('Batt IN'!$E$11="Non-Taxable",'Batt IN'!$E$21*'Batt IN'!$G$21/12,0)</f>
        <v>437.5</v>
      </c>
      <c r="BB467" s="10">
        <f>IF('Batt IN'!$E$11="Non-Taxable",'Batt IN'!$E$22*'Batt IN'!$G$22/12,0)</f>
        <v>1145.8333333333335</v>
      </c>
      <c r="BC467" s="10">
        <f>IF('Batt IN'!$E$11="Taxable",Q467,0)</f>
        <v>0</v>
      </c>
      <c r="BD467" s="10">
        <f>IF('Batt IN'!$E$11="Taxable",'Batt IN'!$E$28/1000*'Batt IN'!$G$13*('Batt IN'!$E$13/12)*'Batt IN'!$E$12,0)</f>
        <v>0</v>
      </c>
      <c r="BE467" s="10">
        <f>IF('Batt IN'!$E$11="Taxable",$S467*'Batt IN'!$G$15*'Batt IN'!$E$28*'Batt IN'!$E$14/1000,0)</f>
        <v>0</v>
      </c>
      <c r="BF467" s="10">
        <f>IF('Batt IN'!$E$11="Taxable",'Batt IN'!$E$21*'Batt IN'!$G$21/12,0)</f>
        <v>0</v>
      </c>
      <c r="BG467" s="10">
        <f>IF('Batt IN'!$E$11="Taxable",'Batt IN'!$E$22*'Batt IN'!$G$22/12,0)</f>
        <v>0</v>
      </c>
      <c r="BK467" s="10">
        <f>IF('Batt IN'!$N$18="Yes",-BattLoan!H495,-BattLoan!L495)</f>
        <v>0</v>
      </c>
      <c r="BL467" s="10">
        <f>IF('Batt IN'!$N$18="Yes",-BattLoan!F495,0)</f>
        <v>0</v>
      </c>
      <c r="BM467" s="10">
        <f>IF(AND('Batt IN'!$D$44="YES",$C467&lt;='Batt IN'!$E$44*12),0,-'Batt IN'!$E$28*'Batt IN'!$E$42/12)</f>
        <v>-83.333333333333329</v>
      </c>
      <c r="BN467" s="10">
        <f>IF(AND('Batt IN'!$D$46="YES",$C467&lt;='Batt IN'!$E$46*12),0,-'Batt IN'!$E$28*'Batt IN'!$E$45/12)</f>
        <v>-166.66666666666666</v>
      </c>
      <c r="BO467" s="2">
        <f>IF(AND('Batt IN'!$D$41="YES",BattCalcs!C467=ROUNDUP('Batt IN'!$H$41*12,)),-'Batt IN'!$E$41*'Batt IN'!$E$28,0)</f>
        <v>0</v>
      </c>
      <c r="BP467" s="2">
        <f>IF(AND('Batt IN'!$D$53="Yes",$AL$1&gt;=1),0,IF($C467='Batt IN'!$H$54*12,-'Batt IN'!$F$54,0))</f>
        <v>0</v>
      </c>
      <c r="BQ467" s="2">
        <f>IF(AND('Batt IN'!$D$53="Yes",$AL$1&gt;=2),0,IF($C467='Batt IN'!$H$55*12,-'Batt IN'!$F$55,0))</f>
        <v>0</v>
      </c>
      <c r="BR467" s="2">
        <f>IF(AND('Batt IN'!$D$53="Yes",$AL$1&gt;=3),0,IF($C467='Batt IN'!$H$56*12,-'Batt IN'!$F$56,0))</f>
        <v>0</v>
      </c>
      <c r="BS467" s="2">
        <f>IF(AND('Batt IN'!$D$53="Yes",$AL$1&gt;=4),0,IF($C467='Batt IN'!$H$57*12,-'Batt IN'!$F$57,0))</f>
        <v>0</v>
      </c>
      <c r="BT467" s="2">
        <f>IF(AND('Batt IN'!$D$53="Yes",$AL$1&gt;=5),0,IF($C467='Batt IN'!$H$58*12,-'Batt IN'!$F$58,0))</f>
        <v>0</v>
      </c>
      <c r="BU467" s="2">
        <f>-AH467*PVCalcs!F467</f>
        <v>-359.37504381576838</v>
      </c>
      <c r="BV467" s="2">
        <f>-'Batt IN'!$E$47</f>
        <v>-150</v>
      </c>
      <c r="BW467" s="2">
        <f>-'Batt IN'!$E$49</f>
        <v>-2250</v>
      </c>
      <c r="BX467" s="2">
        <f>IF('Batt IN'!$H$50="No",-(BC467*'Batt IN'!$E$50),-(BC467+BE467)*'Batt IN'!$E$50)</f>
        <v>0</v>
      </c>
      <c r="BY467" s="2">
        <f>IF(C467='Batt IN'!$H$43*12,-'Batt IN'!$E$43,0)</f>
        <v>0</v>
      </c>
      <c r="BZ467" s="38"/>
      <c r="CA467" s="10">
        <f t="shared" si="123"/>
        <v>15916.0179836758</v>
      </c>
      <c r="CB467" s="2">
        <f t="shared" si="128"/>
        <v>-3009.3750438157685</v>
      </c>
      <c r="CC467" s="45">
        <f t="shared" si="124"/>
        <v>12906.64293986003</v>
      </c>
      <c r="CD467" s="43"/>
      <c r="CE467" s="2">
        <f t="shared" si="125"/>
        <v>0</v>
      </c>
      <c r="CF467" s="2">
        <f t="shared" si="129"/>
        <v>-3009.3750438157685</v>
      </c>
      <c r="CG467" s="2"/>
      <c r="CH467" s="2">
        <f t="shared" si="126"/>
        <v>-3009.3750438157685</v>
      </c>
      <c r="CI467" s="45">
        <f>-CH467*'Batt IN'!$E$7</f>
        <v>631.9687592013114</v>
      </c>
      <c r="CJ467" s="48"/>
      <c r="CK467" s="45">
        <f>IF('Batt IN'!$F$4="PV Only",0,IF(C467&gt;'Batt IN'!$H$43*12,0,CC467+CI467))</f>
        <v>0</v>
      </c>
      <c r="CM467" s="10">
        <f t="shared" si="127"/>
        <v>0</v>
      </c>
      <c r="CN467" s="2">
        <f>CK467/(1+('Batt IN'!$G$8))^(C467)</f>
        <v>0</v>
      </c>
      <c r="CO467" s="2" t="e">
        <f>IF(C467&lt;='Batt IN'!$O$30*12,CN467+CO466,NA())</f>
        <v>#N/A</v>
      </c>
      <c r="CQ467" s="2">
        <f>CK467/((1+('Batt IN'!$E$8/12))^BattCalcs!C467)</f>
        <v>0</v>
      </c>
      <c r="CS467" s="10">
        <f t="shared" si="130"/>
        <v>-3009.3750438157685</v>
      </c>
      <c r="CT467" s="10">
        <f t="shared" si="131"/>
        <v>0</v>
      </c>
      <c r="CU467" s="10">
        <f t="shared" si="132"/>
        <v>-3009.3750438157685</v>
      </c>
      <c r="CV467" s="10">
        <f t="shared" si="133"/>
        <v>-3009.3750438157685</v>
      </c>
      <c r="CW467" s="2">
        <f t="shared" si="134"/>
        <v>0</v>
      </c>
      <c r="CX467" s="2">
        <f>-(SUM(CV467:CW467)*'PV IN'!$E$8)</f>
        <v>631.9687592013114</v>
      </c>
      <c r="CY467" s="2">
        <f t="shared" si="135"/>
        <v>-2377.406284614457</v>
      </c>
      <c r="CZ467" s="2">
        <f>IF(C467&lt;='Batt IN'!$H$43*12,CY467/(1+('PV IN'!$G$9))^(C467),0)</f>
        <v>0</v>
      </c>
      <c r="DA467" s="33">
        <f>IF(C467&lt;='Batt IN'!$H$43*12,AE467,0)</f>
        <v>0</v>
      </c>
    </row>
    <row r="468" spans="1:105" x14ac:dyDescent="0.25">
      <c r="A468" t="str">
        <f>IF(C468&lt;='Batt IN'!$H$43*12,C468,"")</f>
        <v/>
      </c>
      <c r="C468">
        <v>464</v>
      </c>
      <c r="D468" s="21">
        <v>894</v>
      </c>
      <c r="E468" s="1">
        <f>1-'Batt IN'!$E$31</f>
        <v>2.0000000000000018E-2</v>
      </c>
      <c r="F468" s="12">
        <f>('Batt IN'!$E$33*365)/8760</f>
        <v>0</v>
      </c>
      <c r="G468" s="22">
        <f>'Batt IN'!$E$32/8760</f>
        <v>5.7077625570776253E-3</v>
      </c>
      <c r="H468" s="22">
        <f>'Batt IN'!$E$13/8760</f>
        <v>5.5936073059360729E-3</v>
      </c>
      <c r="I468" s="23">
        <f>IF(C468&lt;='Batt IN'!$G$14*12,'Batt IN'!$E$15/8760*'Batt IN'!$G$15,0)</f>
        <v>0</v>
      </c>
      <c r="J468" s="12">
        <f>Z468/'Batt IN'!$E$27/730</f>
        <v>2.4999999999999996E-3</v>
      </c>
      <c r="K468" s="23">
        <f>AA468/'Batt IN'!$E$27/730</f>
        <v>1.6027397260273972E-3</v>
      </c>
      <c r="L468" s="23">
        <f>AB468/'Batt IN'!$E$27/730</f>
        <v>2.0547945205479451E-4</v>
      </c>
      <c r="M468" s="23">
        <f>AC468/'Batt IN'!$E$27/730</f>
        <v>4.7945205479452057E-3</v>
      </c>
      <c r="N468" s="23">
        <f>AD468/'Batt IN'!$E$27/730</f>
        <v>3.4246575342465752E-3</v>
      </c>
      <c r="O468" s="12">
        <f t="shared" si="119"/>
        <v>4.3828767123287697E-2</v>
      </c>
      <c r="P468" s="21">
        <f t="shared" si="120"/>
        <v>854.81708219178086</v>
      </c>
      <c r="Q468" s="2">
        <f>IF('Batt IN'!$E$27*'Batt IN'!$E$24&lt;='Batt IN'!$E$28,(('Batt IN'!$E$23*'Batt IN'!$E$27*'Batt IN'!$E$24)/1000)*P468,(('Batt IN'!$E$23*'Batt IN'!$E$28*'Batt IN'!$E$24)/1000)*P468)</f>
        <v>13677.073315068494</v>
      </c>
      <c r="R468" s="2"/>
      <c r="S468" s="77">
        <f>IF(C468&lt;='Batt IN'!$G$14*12,'Batt IN'!$E$15/12,0)</f>
        <v>0</v>
      </c>
      <c r="T468" s="77"/>
      <c r="U468" s="80">
        <f>'Batt IN'!$E$28*('Batt IN'!$G$24/24)*730*(1-O468)</f>
        <v>81433.916666666657</v>
      </c>
      <c r="V468" s="78">
        <f>U468*'Batt IN'!$F$30</f>
        <v>16286.783333333333</v>
      </c>
      <c r="W468" s="78">
        <f>'Batt IN'!$E$28*'Batt IN'!$G$32*('Batt IN'!$E$32/12)*(1+'Batt IN'!$F$30)</f>
        <v>1750.0000000000002</v>
      </c>
      <c r="X468" s="78">
        <f>'Batt IN'!$E$28*'Batt IN'!$G$13*('Batt IN'!$E$13/12)*(1+'Batt IN'!$F$30)</f>
        <v>3184.9999999999995</v>
      </c>
      <c r="Y468" s="33">
        <f>S468*'Batt IN'!$G$15*'Batt IN'!$E$28*(1+'Batt IN'!$F$30)</f>
        <v>0</v>
      </c>
      <c r="Z468" s="33">
        <f>'Batt IN'!$G$16*365/12*(1+'Batt IN'!$F$30)</f>
        <v>1824.9999999999998</v>
      </c>
      <c r="AA468" s="33">
        <f>'Batt IN'!$G$17*'Batt IN'!$E$18*'Batt IN'!$G$18/12*(1+'Batt IN'!$F$30)</f>
        <v>1170</v>
      </c>
      <c r="AB468" s="33">
        <f>'Batt IN'!$G$19*'Batt IN'!$E$20*'Batt IN'!$G$20/12*(1+'Batt IN'!$F$30)</f>
        <v>150</v>
      </c>
      <c r="AC468" s="33">
        <f>'Batt IN'!$G$21*(1+'Batt IN'!$F$30)/12</f>
        <v>3500</v>
      </c>
      <c r="AD468" s="33">
        <f>'Batt IN'!$G$22*(1+'Batt IN'!$F$30)/12</f>
        <v>2500</v>
      </c>
      <c r="AE468" s="33">
        <f t="shared" si="121"/>
        <v>30366.783333333333</v>
      </c>
      <c r="AF468" s="33">
        <f>IF('PV IN'!$F$4="Battery Only",0,AE468*'Batt IN'!$E$29)</f>
        <v>25811.765833333331</v>
      </c>
      <c r="AG468" s="33">
        <f>PVCalcs!L468</f>
        <v>25811.765833333331</v>
      </c>
      <c r="AH468" s="33">
        <f t="shared" si="122"/>
        <v>4555.0175000000017</v>
      </c>
      <c r="AI468" s="33"/>
      <c r="AJ468" s="2">
        <f>IF(AND('Batt IN'!$D$53="Yes",$AL$1&gt;=1),IF($C468='Batt IN'!$H$54*12,-'Batt IN'!$F$54,0),0)</f>
        <v>0</v>
      </c>
      <c r="AK468" s="2">
        <f>IF(AND('Batt IN'!$D$53="Yes",$AL$1&gt;=2),IF($C468='Batt IN'!$H$55*12,-'Batt IN'!$F$55,0),0)</f>
        <v>0</v>
      </c>
      <c r="AL468" s="2">
        <f>IF(AND('Batt IN'!$D$53="Yes",$AL$1&gt;=3),IF($C468='Batt IN'!$H$56*12,-'Batt IN'!$F$56,0),0)</f>
        <v>0</v>
      </c>
      <c r="AM468" s="2">
        <f>IF(AND('Batt IN'!$D$53="Yes",$AL$1&gt;=4),IF($C468='Batt IN'!$H$57*12,-'Batt IN'!$F$57,0),0)</f>
        <v>0</v>
      </c>
      <c r="AN468" s="2">
        <f>IF(AND('Batt IN'!$D$53="Yes",$AL$1&gt;=5),IF($C468='Batt IN'!$H$58*12,-'Batt IN'!$F$58,0),0)</f>
        <v>0</v>
      </c>
      <c r="AO468" s="10">
        <f>IF(AND('Batt IN'!$D$44="YES",$C468&lt;='Batt IN'!$E$44*12),-'Batt IN'!$E$28*'Batt IN'!$E$42/12,0)</f>
        <v>0</v>
      </c>
      <c r="AP468" s="10">
        <f>IF(AND('Batt IN'!$D$46="YES",$C468&lt;='Batt IN'!$E$46*12),-'Batt IN'!$E$28*'Batt IN'!$E$45/12,0)</f>
        <v>0</v>
      </c>
      <c r="AR468" s="10">
        <f>BattLoan!M495</f>
        <v>0</v>
      </c>
      <c r="AS468" s="10">
        <f>'Batt IN'!$G$16*365/12*'Batt IN'!$E$16</f>
        <v>76.041666666666671</v>
      </c>
      <c r="AT468" s="10">
        <f>IF(AND('Batt IN'!$E$18&gt;0,'Batt IN'!$G$18&gt;0),'Batt IN'!$E$17*'Batt IN'!$G$17,0)</f>
        <v>119.44619999999999</v>
      </c>
      <c r="AU468" s="10">
        <f>IF(AND('Batt IN'!$E$20&gt;0,'Batt IN'!$G$20&gt;0),'Batt IN'!$E$19*'Batt IN'!$G$19,0)</f>
        <v>231</v>
      </c>
      <c r="AV468" s="10"/>
      <c r="AW468" s="10"/>
      <c r="AX468" s="10">
        <f>IF('Batt IN'!$E$11="Non-Taxable",Q468,0)</f>
        <v>13677.073315068494</v>
      </c>
      <c r="AY468" s="10">
        <f>IF('Batt IN'!$E$11="Non-Taxable",'Batt IN'!$E$28/1000*'Batt IN'!$G$13*('Batt IN'!$E$13/12)*'Batt IN'!$E$12,0)</f>
        <v>244.42220833333334</v>
      </c>
      <c r="AZ468" s="10">
        <f>IF('Batt IN'!$E$11="Non-Taxable",$S468*'Batt IN'!$G$15*'Batt IN'!$E$28*'Batt IN'!$E$14/1000,0)</f>
        <v>0</v>
      </c>
      <c r="BA468" s="10">
        <f>IF('Batt IN'!$E$11="Non-Taxable",'Batt IN'!$E$21*'Batt IN'!$G$21/12,0)</f>
        <v>437.5</v>
      </c>
      <c r="BB468" s="10">
        <f>IF('Batt IN'!$E$11="Non-Taxable",'Batt IN'!$E$22*'Batt IN'!$G$22/12,0)</f>
        <v>1145.8333333333335</v>
      </c>
      <c r="BC468" s="10">
        <f>IF('Batt IN'!$E$11="Taxable",Q468,0)</f>
        <v>0</v>
      </c>
      <c r="BD468" s="10">
        <f>IF('Batt IN'!$E$11="Taxable",'Batt IN'!$E$28/1000*'Batt IN'!$G$13*('Batt IN'!$E$13/12)*'Batt IN'!$E$12,0)</f>
        <v>0</v>
      </c>
      <c r="BE468" s="10">
        <f>IF('Batt IN'!$E$11="Taxable",$S468*'Batt IN'!$G$15*'Batt IN'!$E$28*'Batt IN'!$E$14/1000,0)</f>
        <v>0</v>
      </c>
      <c r="BF468" s="10">
        <f>IF('Batt IN'!$E$11="Taxable",'Batt IN'!$E$21*'Batt IN'!$G$21/12,0)</f>
        <v>0</v>
      </c>
      <c r="BG468" s="10">
        <f>IF('Batt IN'!$E$11="Taxable",'Batt IN'!$E$22*'Batt IN'!$G$22/12,0)</f>
        <v>0</v>
      </c>
      <c r="BK468" s="10">
        <f>IF('Batt IN'!$N$18="Yes",-BattLoan!H496,-BattLoan!L496)</f>
        <v>0</v>
      </c>
      <c r="BL468" s="10">
        <f>IF('Batt IN'!$N$18="Yes",-BattLoan!F496,0)</f>
        <v>0</v>
      </c>
      <c r="BM468" s="10">
        <f>IF(AND('Batt IN'!$D$44="YES",$C468&lt;='Batt IN'!$E$44*12),0,-'Batt IN'!$E$28*'Batt IN'!$E$42/12)</f>
        <v>-83.333333333333329</v>
      </c>
      <c r="BN468" s="10">
        <f>IF(AND('Batt IN'!$D$46="YES",$C468&lt;='Batt IN'!$E$46*12),0,-'Batt IN'!$E$28*'Batt IN'!$E$45/12)</f>
        <v>-166.66666666666666</v>
      </c>
      <c r="BO468" s="2">
        <f>IF(AND('Batt IN'!$D$41="YES",BattCalcs!C468=ROUNDUP('Batt IN'!$H$41*12,)),-'Batt IN'!$E$41*'Batt IN'!$E$28,0)</f>
        <v>0</v>
      </c>
      <c r="BP468" s="2">
        <f>IF(AND('Batt IN'!$D$53="Yes",$AL$1&gt;=1),0,IF($C468='Batt IN'!$H$54*12,-'Batt IN'!$F$54,0))</f>
        <v>0</v>
      </c>
      <c r="BQ468" s="2">
        <f>IF(AND('Batt IN'!$D$53="Yes",$AL$1&gt;=2),0,IF($C468='Batt IN'!$H$55*12,-'Batt IN'!$F$55,0))</f>
        <v>0</v>
      </c>
      <c r="BR468" s="2">
        <f>IF(AND('Batt IN'!$D$53="Yes",$AL$1&gt;=3),0,IF($C468='Batt IN'!$H$56*12,-'Batt IN'!$F$56,0))</f>
        <v>0</v>
      </c>
      <c r="BS468" s="2">
        <f>IF(AND('Batt IN'!$D$53="Yes",$AL$1&gt;=4),0,IF($C468='Batt IN'!$H$57*12,-'Batt IN'!$F$57,0))</f>
        <v>0</v>
      </c>
      <c r="BT468" s="2">
        <f>IF(AND('Batt IN'!$D$53="Yes",$AL$1&gt;=5),0,IF($C468='Batt IN'!$H$58*12,-'Batt IN'!$F$58,0))</f>
        <v>0</v>
      </c>
      <c r="BU468" s="2">
        <f>-AH468*PVCalcs!F468</f>
        <v>-359.37504381576838</v>
      </c>
      <c r="BV468" s="2">
        <f>-'Batt IN'!$E$47</f>
        <v>-150</v>
      </c>
      <c r="BW468" s="2">
        <f>-'Batt IN'!$E$49</f>
        <v>-2250</v>
      </c>
      <c r="BX468" s="2">
        <f>IF('Batt IN'!$H$50="No",-(BC468*'Batt IN'!$E$50),-(BC468+BE468)*'Batt IN'!$E$50)</f>
        <v>0</v>
      </c>
      <c r="BY468" s="2">
        <f>IF(C468='Batt IN'!$H$43*12,-'Batt IN'!$E$43,0)</f>
        <v>0</v>
      </c>
      <c r="BZ468" s="38"/>
      <c r="CA468" s="10">
        <f t="shared" si="123"/>
        <v>15931.316723401827</v>
      </c>
      <c r="CB468" s="2">
        <f t="shared" si="128"/>
        <v>-3009.3750438157685</v>
      </c>
      <c r="CC468" s="45">
        <f t="shared" si="124"/>
        <v>12921.94167958606</v>
      </c>
      <c r="CD468" s="43"/>
      <c r="CE468" s="2">
        <f t="shared" si="125"/>
        <v>0</v>
      </c>
      <c r="CF468" s="2">
        <f t="shared" si="129"/>
        <v>-3009.3750438157685</v>
      </c>
      <c r="CG468" s="2"/>
      <c r="CH468" s="2">
        <f t="shared" si="126"/>
        <v>-3009.3750438157685</v>
      </c>
      <c r="CI468" s="45">
        <f>-CH468*'Batt IN'!$E$7</f>
        <v>631.9687592013114</v>
      </c>
      <c r="CJ468" s="48"/>
      <c r="CK468" s="45">
        <f>IF('Batt IN'!$F$4="PV Only",0,IF(C468&gt;'Batt IN'!$H$43*12,0,CC468+CI468))</f>
        <v>0</v>
      </c>
      <c r="CM468" s="10">
        <f t="shared" si="127"/>
        <v>0</v>
      </c>
      <c r="CN468" s="2">
        <f>CK468/(1+('Batt IN'!$G$8))^(C468)</f>
        <v>0</v>
      </c>
      <c r="CO468" s="2" t="e">
        <f>IF(C468&lt;='Batt IN'!$O$30*12,CN468+CO467,NA())</f>
        <v>#N/A</v>
      </c>
      <c r="CQ468" s="2">
        <f>CK468/((1+('Batt IN'!$E$8/12))^BattCalcs!C468)</f>
        <v>0</v>
      </c>
      <c r="CS468" s="10">
        <f t="shared" si="130"/>
        <v>-3009.3750438157685</v>
      </c>
      <c r="CT468" s="10">
        <f t="shared" si="131"/>
        <v>0</v>
      </c>
      <c r="CU468" s="10">
        <f t="shared" si="132"/>
        <v>-3009.3750438157685</v>
      </c>
      <c r="CV468" s="10">
        <f t="shared" si="133"/>
        <v>-3009.3750438157685</v>
      </c>
      <c r="CW468" s="2">
        <f t="shared" si="134"/>
        <v>0</v>
      </c>
      <c r="CX468" s="2">
        <f>-(SUM(CV468:CW468)*'PV IN'!$E$8)</f>
        <v>631.9687592013114</v>
      </c>
      <c r="CY468" s="2">
        <f t="shared" si="135"/>
        <v>-2377.406284614457</v>
      </c>
      <c r="CZ468" s="2">
        <f>IF(C468&lt;='Batt IN'!$H$43*12,CY468/(1+('PV IN'!$G$9))^(C468),0)</f>
        <v>0</v>
      </c>
      <c r="DA468" s="33">
        <f>IF(C468&lt;='Batt IN'!$H$43*12,AE468,0)</f>
        <v>0</v>
      </c>
    </row>
    <row r="469" spans="1:105" x14ac:dyDescent="0.25">
      <c r="A469" t="str">
        <f>IF(C469&lt;='Batt IN'!$H$43*12,C469,"")</f>
        <v/>
      </c>
      <c r="C469">
        <v>465</v>
      </c>
      <c r="D469" s="21">
        <v>895</v>
      </c>
      <c r="E469" s="1">
        <f>1-'Batt IN'!$E$31</f>
        <v>2.0000000000000018E-2</v>
      </c>
      <c r="F469" s="12">
        <f>('Batt IN'!$E$33*365)/8760</f>
        <v>0</v>
      </c>
      <c r="G469" s="22">
        <f>'Batt IN'!$E$32/8760</f>
        <v>5.7077625570776253E-3</v>
      </c>
      <c r="H469" s="22">
        <f>'Batt IN'!$E$13/8760</f>
        <v>5.5936073059360729E-3</v>
      </c>
      <c r="I469" s="23">
        <f>IF(C469&lt;='Batt IN'!$G$14*12,'Batt IN'!$E$15/8760*'Batt IN'!$G$15,0)</f>
        <v>0</v>
      </c>
      <c r="J469" s="12">
        <f>Z469/'Batt IN'!$E$27/730</f>
        <v>2.4999999999999996E-3</v>
      </c>
      <c r="K469" s="23">
        <f>AA469/'Batt IN'!$E$27/730</f>
        <v>1.6027397260273972E-3</v>
      </c>
      <c r="L469" s="23">
        <f>AB469/'Batt IN'!$E$27/730</f>
        <v>2.0547945205479451E-4</v>
      </c>
      <c r="M469" s="23">
        <f>AC469/'Batt IN'!$E$27/730</f>
        <v>4.7945205479452057E-3</v>
      </c>
      <c r="N469" s="23">
        <f>AD469/'Batt IN'!$E$27/730</f>
        <v>3.4246575342465752E-3</v>
      </c>
      <c r="O469" s="12">
        <f t="shared" si="119"/>
        <v>4.3828767123287697E-2</v>
      </c>
      <c r="P469" s="21">
        <f t="shared" si="120"/>
        <v>855.77325342465758</v>
      </c>
      <c r="Q469" s="2">
        <f>IF('Batt IN'!$E$27*'Batt IN'!$E$24&lt;='Batt IN'!$E$28,(('Batt IN'!$E$23*'Batt IN'!$E$27*'Batt IN'!$E$24)/1000)*P469,(('Batt IN'!$E$23*'Batt IN'!$E$28*'Batt IN'!$E$24)/1000)*P469)</f>
        <v>13692.372054794521</v>
      </c>
      <c r="R469" s="2"/>
      <c r="S469" s="77">
        <f>IF(C469&lt;='Batt IN'!$G$14*12,'Batt IN'!$E$15/12,0)</f>
        <v>0</v>
      </c>
      <c r="T469" s="77"/>
      <c r="U469" s="80">
        <f>'Batt IN'!$E$28*('Batt IN'!$G$24/24)*730*(1-O469)</f>
        <v>81433.916666666657</v>
      </c>
      <c r="V469" s="78">
        <f>U469*'Batt IN'!$F$30</f>
        <v>16286.783333333333</v>
      </c>
      <c r="W469" s="78">
        <f>'Batt IN'!$E$28*'Batt IN'!$G$32*('Batt IN'!$E$32/12)*(1+'Batt IN'!$F$30)</f>
        <v>1750.0000000000002</v>
      </c>
      <c r="X469" s="78">
        <f>'Batt IN'!$E$28*'Batt IN'!$G$13*('Batt IN'!$E$13/12)*(1+'Batt IN'!$F$30)</f>
        <v>3184.9999999999995</v>
      </c>
      <c r="Y469" s="33">
        <f>S469*'Batt IN'!$G$15*'Batt IN'!$E$28*(1+'Batt IN'!$F$30)</f>
        <v>0</v>
      </c>
      <c r="Z469" s="33">
        <f>'Batt IN'!$G$16*365/12*(1+'Batt IN'!$F$30)</f>
        <v>1824.9999999999998</v>
      </c>
      <c r="AA469" s="33">
        <f>'Batt IN'!$G$17*'Batt IN'!$E$18*'Batt IN'!$G$18/12*(1+'Batt IN'!$F$30)</f>
        <v>1170</v>
      </c>
      <c r="AB469" s="33">
        <f>'Batt IN'!$G$19*'Batt IN'!$E$20*'Batt IN'!$G$20/12*(1+'Batt IN'!$F$30)</f>
        <v>150</v>
      </c>
      <c r="AC469" s="33">
        <f>'Batt IN'!$G$21*(1+'Batt IN'!$F$30)/12</f>
        <v>3500</v>
      </c>
      <c r="AD469" s="33">
        <f>'Batt IN'!$G$22*(1+'Batt IN'!$F$30)/12</f>
        <v>2500</v>
      </c>
      <c r="AE469" s="33">
        <f t="shared" si="121"/>
        <v>30366.783333333333</v>
      </c>
      <c r="AF469" s="33">
        <f>IF('PV IN'!$F$4="Battery Only",0,AE469*'Batt IN'!$E$29)</f>
        <v>25811.765833333331</v>
      </c>
      <c r="AG469" s="33">
        <f>PVCalcs!L469</f>
        <v>25811.765833333331</v>
      </c>
      <c r="AH469" s="33">
        <f t="shared" si="122"/>
        <v>4555.0175000000017</v>
      </c>
      <c r="AI469" s="33"/>
      <c r="AJ469" s="2">
        <f>IF(AND('Batt IN'!$D$53="Yes",$AL$1&gt;=1),IF($C469='Batt IN'!$H$54*12,-'Batt IN'!$F$54,0),0)</f>
        <v>0</v>
      </c>
      <c r="AK469" s="2">
        <f>IF(AND('Batt IN'!$D$53="Yes",$AL$1&gt;=2),IF($C469='Batt IN'!$H$55*12,-'Batt IN'!$F$55,0),0)</f>
        <v>0</v>
      </c>
      <c r="AL469" s="2">
        <f>IF(AND('Batt IN'!$D$53="Yes",$AL$1&gt;=3),IF($C469='Batt IN'!$H$56*12,-'Batt IN'!$F$56,0),0)</f>
        <v>0</v>
      </c>
      <c r="AM469" s="2">
        <f>IF(AND('Batt IN'!$D$53="Yes",$AL$1&gt;=4),IF($C469='Batt IN'!$H$57*12,-'Batt IN'!$F$57,0),0)</f>
        <v>0</v>
      </c>
      <c r="AN469" s="2">
        <f>IF(AND('Batt IN'!$D$53="Yes",$AL$1&gt;=5),IF($C469='Batt IN'!$H$58*12,-'Batt IN'!$F$58,0),0)</f>
        <v>0</v>
      </c>
      <c r="AO469" s="10">
        <f>IF(AND('Batt IN'!$D$44="YES",$C469&lt;='Batt IN'!$E$44*12),-'Batt IN'!$E$28*'Batt IN'!$E$42/12,0)</f>
        <v>0</v>
      </c>
      <c r="AP469" s="10">
        <f>IF(AND('Batt IN'!$D$46="YES",$C469&lt;='Batt IN'!$E$46*12),-'Batt IN'!$E$28*'Batt IN'!$E$45/12,0)</f>
        <v>0</v>
      </c>
      <c r="AR469" s="10">
        <f>BattLoan!M496</f>
        <v>0</v>
      </c>
      <c r="AS469" s="10">
        <f>'Batt IN'!$G$16*365/12*'Batt IN'!$E$16</f>
        <v>76.041666666666671</v>
      </c>
      <c r="AT469" s="10">
        <f>IF(AND('Batt IN'!$E$18&gt;0,'Batt IN'!$G$18&gt;0),'Batt IN'!$E$17*'Batt IN'!$G$17,0)</f>
        <v>119.44619999999999</v>
      </c>
      <c r="AU469" s="10">
        <f>IF(AND('Batt IN'!$E$20&gt;0,'Batt IN'!$G$20&gt;0),'Batt IN'!$E$19*'Batt IN'!$G$19,0)</f>
        <v>231</v>
      </c>
      <c r="AV469" s="10"/>
      <c r="AW469" s="10"/>
      <c r="AX469" s="10">
        <f>IF('Batt IN'!$E$11="Non-Taxable",Q469,0)</f>
        <v>13692.372054794521</v>
      </c>
      <c r="AY469" s="10">
        <f>IF('Batt IN'!$E$11="Non-Taxable",'Batt IN'!$E$28/1000*'Batt IN'!$G$13*('Batt IN'!$E$13/12)*'Batt IN'!$E$12,0)</f>
        <v>244.42220833333334</v>
      </c>
      <c r="AZ469" s="10">
        <f>IF('Batt IN'!$E$11="Non-Taxable",$S469*'Batt IN'!$G$15*'Batt IN'!$E$28*'Batt IN'!$E$14/1000,0)</f>
        <v>0</v>
      </c>
      <c r="BA469" s="10">
        <f>IF('Batt IN'!$E$11="Non-Taxable",'Batt IN'!$E$21*'Batt IN'!$G$21/12,0)</f>
        <v>437.5</v>
      </c>
      <c r="BB469" s="10">
        <f>IF('Batt IN'!$E$11="Non-Taxable",'Batt IN'!$E$22*'Batt IN'!$G$22/12,0)</f>
        <v>1145.8333333333335</v>
      </c>
      <c r="BC469" s="10">
        <f>IF('Batt IN'!$E$11="Taxable",Q469,0)</f>
        <v>0</v>
      </c>
      <c r="BD469" s="10">
        <f>IF('Batt IN'!$E$11="Taxable",'Batt IN'!$E$28/1000*'Batt IN'!$G$13*('Batt IN'!$E$13/12)*'Batt IN'!$E$12,0)</f>
        <v>0</v>
      </c>
      <c r="BE469" s="10">
        <f>IF('Batt IN'!$E$11="Taxable",$S469*'Batt IN'!$G$15*'Batt IN'!$E$28*'Batt IN'!$E$14/1000,0)</f>
        <v>0</v>
      </c>
      <c r="BF469" s="10">
        <f>IF('Batt IN'!$E$11="Taxable",'Batt IN'!$E$21*'Batt IN'!$G$21/12,0)</f>
        <v>0</v>
      </c>
      <c r="BG469" s="10">
        <f>IF('Batt IN'!$E$11="Taxable",'Batt IN'!$E$22*'Batt IN'!$G$22/12,0)</f>
        <v>0</v>
      </c>
      <c r="BK469" s="10">
        <f>IF('Batt IN'!$N$18="Yes",-BattLoan!H497,-BattLoan!L497)</f>
        <v>0</v>
      </c>
      <c r="BL469" s="10">
        <f>IF('Batt IN'!$N$18="Yes",-BattLoan!F497,0)</f>
        <v>0</v>
      </c>
      <c r="BM469" s="10">
        <f>IF(AND('Batt IN'!$D$44="YES",$C469&lt;='Batt IN'!$E$44*12),0,-'Batt IN'!$E$28*'Batt IN'!$E$42/12)</f>
        <v>-83.333333333333329</v>
      </c>
      <c r="BN469" s="10">
        <f>IF(AND('Batt IN'!$D$46="YES",$C469&lt;='Batt IN'!$E$46*12),0,-'Batt IN'!$E$28*'Batt IN'!$E$45/12)</f>
        <v>-166.66666666666666</v>
      </c>
      <c r="BO469" s="2">
        <f>IF(AND('Batt IN'!$D$41="YES",BattCalcs!C469=ROUNDUP('Batt IN'!$H$41*12,)),-'Batt IN'!$E$41*'Batt IN'!$E$28,0)</f>
        <v>0</v>
      </c>
      <c r="BP469" s="2">
        <f>IF(AND('Batt IN'!$D$53="Yes",$AL$1&gt;=1),0,IF($C469='Batt IN'!$H$54*12,-'Batt IN'!$F$54,0))</f>
        <v>0</v>
      </c>
      <c r="BQ469" s="2">
        <f>IF(AND('Batt IN'!$D$53="Yes",$AL$1&gt;=2),0,IF($C469='Batt IN'!$H$55*12,-'Batt IN'!$F$55,0))</f>
        <v>0</v>
      </c>
      <c r="BR469" s="2">
        <f>IF(AND('Batt IN'!$D$53="Yes",$AL$1&gt;=3),0,IF($C469='Batt IN'!$H$56*12,-'Batt IN'!$F$56,0))</f>
        <v>0</v>
      </c>
      <c r="BS469" s="2">
        <f>IF(AND('Batt IN'!$D$53="Yes",$AL$1&gt;=4),0,IF($C469='Batt IN'!$H$57*12,-'Batt IN'!$F$57,0))</f>
        <v>0</v>
      </c>
      <c r="BT469" s="2">
        <f>IF(AND('Batt IN'!$D$53="Yes",$AL$1&gt;=5),0,IF($C469='Batt IN'!$H$58*12,-'Batt IN'!$F$58,0))</f>
        <v>0</v>
      </c>
      <c r="BU469" s="2">
        <f>-AH469*PVCalcs!F469</f>
        <v>-359.37504381576838</v>
      </c>
      <c r="BV469" s="2">
        <f>-'Batt IN'!$E$47</f>
        <v>-150</v>
      </c>
      <c r="BW469" s="2">
        <f>-'Batt IN'!$E$49</f>
        <v>-2250</v>
      </c>
      <c r="BX469" s="2">
        <f>IF('Batt IN'!$H$50="No",-(BC469*'Batt IN'!$E$50),-(BC469+BE469)*'Batt IN'!$E$50)</f>
        <v>0</v>
      </c>
      <c r="BY469" s="2">
        <f>IF(C469='Batt IN'!$H$43*12,-'Batt IN'!$E$43,0)</f>
        <v>0</v>
      </c>
      <c r="BZ469" s="38"/>
      <c r="CA469" s="10">
        <f t="shared" si="123"/>
        <v>15946.615463127855</v>
      </c>
      <c r="CB469" s="2">
        <f t="shared" si="128"/>
        <v>-3009.3750438157685</v>
      </c>
      <c r="CC469" s="45">
        <f t="shared" si="124"/>
        <v>12937.240419312086</v>
      </c>
      <c r="CD469" s="43"/>
      <c r="CE469" s="2">
        <f t="shared" si="125"/>
        <v>0</v>
      </c>
      <c r="CF469" s="2">
        <f t="shared" si="129"/>
        <v>-3009.3750438157685</v>
      </c>
      <c r="CG469" s="2"/>
      <c r="CH469" s="2">
        <f t="shared" si="126"/>
        <v>-3009.3750438157685</v>
      </c>
      <c r="CI469" s="45">
        <f>-CH469*'Batt IN'!$E$7</f>
        <v>631.9687592013114</v>
      </c>
      <c r="CJ469" s="48"/>
      <c r="CK469" s="45">
        <f>IF('Batt IN'!$F$4="PV Only",0,IF(C469&gt;'Batt IN'!$H$43*12,0,CC469+CI469))</f>
        <v>0</v>
      </c>
      <c r="CM469" s="10">
        <f t="shared" si="127"/>
        <v>0</v>
      </c>
      <c r="CN469" s="2">
        <f>CK469/(1+('Batt IN'!$G$8))^(C469)</f>
        <v>0</v>
      </c>
      <c r="CO469" s="2" t="e">
        <f>IF(C469&lt;='Batt IN'!$O$30*12,CN469+CO468,NA())</f>
        <v>#N/A</v>
      </c>
      <c r="CQ469" s="2">
        <f>CK469/((1+('Batt IN'!$E$8/12))^BattCalcs!C469)</f>
        <v>0</v>
      </c>
      <c r="CS469" s="10">
        <f t="shared" si="130"/>
        <v>-3009.3750438157685</v>
      </c>
      <c r="CT469" s="10">
        <f t="shared" si="131"/>
        <v>0</v>
      </c>
      <c r="CU469" s="10">
        <f t="shared" si="132"/>
        <v>-3009.3750438157685</v>
      </c>
      <c r="CV469" s="10">
        <f t="shared" si="133"/>
        <v>-3009.3750438157685</v>
      </c>
      <c r="CW469" s="2">
        <f t="shared" si="134"/>
        <v>0</v>
      </c>
      <c r="CX469" s="2">
        <f>-(SUM(CV469:CW469)*'PV IN'!$E$8)</f>
        <v>631.9687592013114</v>
      </c>
      <c r="CY469" s="2">
        <f t="shared" si="135"/>
        <v>-2377.406284614457</v>
      </c>
      <c r="CZ469" s="2">
        <f>IF(C469&lt;='Batt IN'!$H$43*12,CY469/(1+('PV IN'!$G$9))^(C469),0)</f>
        <v>0</v>
      </c>
      <c r="DA469" s="33">
        <f>IF(C469&lt;='Batt IN'!$H$43*12,AE469,0)</f>
        <v>0</v>
      </c>
    </row>
    <row r="470" spans="1:105" x14ac:dyDescent="0.25">
      <c r="A470" t="str">
        <f>IF(C470&lt;='Batt IN'!$H$43*12,C470,"")</f>
        <v/>
      </c>
      <c r="C470">
        <v>466</v>
      </c>
      <c r="D470" s="21">
        <v>896</v>
      </c>
      <c r="E470" s="1">
        <f>1-'Batt IN'!$E$31</f>
        <v>2.0000000000000018E-2</v>
      </c>
      <c r="F470" s="12">
        <f>('Batt IN'!$E$33*365)/8760</f>
        <v>0</v>
      </c>
      <c r="G470" s="22">
        <f>'Batt IN'!$E$32/8760</f>
        <v>5.7077625570776253E-3</v>
      </c>
      <c r="H470" s="22">
        <f>'Batt IN'!$E$13/8760</f>
        <v>5.5936073059360729E-3</v>
      </c>
      <c r="I470" s="23">
        <f>IF(C470&lt;='Batt IN'!$G$14*12,'Batt IN'!$E$15/8760*'Batt IN'!$G$15,0)</f>
        <v>0</v>
      </c>
      <c r="J470" s="12">
        <f>Z470/'Batt IN'!$E$27/730</f>
        <v>2.4999999999999996E-3</v>
      </c>
      <c r="K470" s="23">
        <f>AA470/'Batt IN'!$E$27/730</f>
        <v>1.6027397260273972E-3</v>
      </c>
      <c r="L470" s="23">
        <f>AB470/'Batt IN'!$E$27/730</f>
        <v>2.0547945205479451E-4</v>
      </c>
      <c r="M470" s="23">
        <f>AC470/'Batt IN'!$E$27/730</f>
        <v>4.7945205479452057E-3</v>
      </c>
      <c r="N470" s="23">
        <f>AD470/'Batt IN'!$E$27/730</f>
        <v>3.4246575342465752E-3</v>
      </c>
      <c r="O470" s="12">
        <f t="shared" si="119"/>
        <v>4.3828767123287697E-2</v>
      </c>
      <c r="P470" s="21">
        <f t="shared" si="120"/>
        <v>856.72942465753431</v>
      </c>
      <c r="Q470" s="2">
        <f>IF('Batt IN'!$E$27*'Batt IN'!$E$24&lt;='Batt IN'!$E$28,(('Batt IN'!$E$23*'Batt IN'!$E$27*'Batt IN'!$E$24)/1000)*P470,(('Batt IN'!$E$23*'Batt IN'!$E$28*'Batt IN'!$E$24)/1000)*P470)</f>
        <v>13707.670794520549</v>
      </c>
      <c r="R470" s="2"/>
      <c r="S470" s="77">
        <f>IF(C470&lt;='Batt IN'!$G$14*12,'Batt IN'!$E$15/12,0)</f>
        <v>0</v>
      </c>
      <c r="T470" s="77"/>
      <c r="U470" s="80">
        <f>'Batt IN'!$E$28*('Batt IN'!$G$24/24)*730*(1-O470)</f>
        <v>81433.916666666657</v>
      </c>
      <c r="V470" s="78">
        <f>U470*'Batt IN'!$F$30</f>
        <v>16286.783333333333</v>
      </c>
      <c r="W470" s="78">
        <f>'Batt IN'!$E$28*'Batt IN'!$G$32*('Batt IN'!$E$32/12)*(1+'Batt IN'!$F$30)</f>
        <v>1750.0000000000002</v>
      </c>
      <c r="X470" s="78">
        <f>'Batt IN'!$E$28*'Batt IN'!$G$13*('Batt IN'!$E$13/12)*(1+'Batt IN'!$F$30)</f>
        <v>3184.9999999999995</v>
      </c>
      <c r="Y470" s="33">
        <f>S470*'Batt IN'!$G$15*'Batt IN'!$E$28*(1+'Batt IN'!$F$30)</f>
        <v>0</v>
      </c>
      <c r="Z470" s="33">
        <f>'Batt IN'!$G$16*365/12*(1+'Batt IN'!$F$30)</f>
        <v>1824.9999999999998</v>
      </c>
      <c r="AA470" s="33">
        <f>'Batt IN'!$G$17*'Batt IN'!$E$18*'Batt IN'!$G$18/12*(1+'Batt IN'!$F$30)</f>
        <v>1170</v>
      </c>
      <c r="AB470" s="33">
        <f>'Batt IN'!$G$19*'Batt IN'!$E$20*'Batt IN'!$G$20/12*(1+'Batt IN'!$F$30)</f>
        <v>150</v>
      </c>
      <c r="AC470" s="33">
        <f>'Batt IN'!$G$21*(1+'Batt IN'!$F$30)/12</f>
        <v>3500</v>
      </c>
      <c r="AD470" s="33">
        <f>'Batt IN'!$G$22*(1+'Batt IN'!$F$30)/12</f>
        <v>2500</v>
      </c>
      <c r="AE470" s="33">
        <f t="shared" si="121"/>
        <v>30366.783333333333</v>
      </c>
      <c r="AF470" s="33">
        <f>IF('PV IN'!$F$4="Battery Only",0,AE470*'Batt IN'!$E$29)</f>
        <v>25811.765833333331</v>
      </c>
      <c r="AG470" s="33">
        <f>PVCalcs!L470</f>
        <v>25811.765833333331</v>
      </c>
      <c r="AH470" s="33">
        <f t="shared" si="122"/>
        <v>4555.0175000000017</v>
      </c>
      <c r="AI470" s="33"/>
      <c r="AJ470" s="2">
        <f>IF(AND('Batt IN'!$D$53="Yes",$AL$1&gt;=1),IF($C470='Batt IN'!$H$54*12,-'Batt IN'!$F$54,0),0)</f>
        <v>0</v>
      </c>
      <c r="AK470" s="2">
        <f>IF(AND('Batt IN'!$D$53="Yes",$AL$1&gt;=2),IF($C470='Batt IN'!$H$55*12,-'Batt IN'!$F$55,0),0)</f>
        <v>0</v>
      </c>
      <c r="AL470" s="2">
        <f>IF(AND('Batt IN'!$D$53="Yes",$AL$1&gt;=3),IF($C470='Batt IN'!$H$56*12,-'Batt IN'!$F$56,0),0)</f>
        <v>0</v>
      </c>
      <c r="AM470" s="2">
        <f>IF(AND('Batt IN'!$D$53="Yes",$AL$1&gt;=4),IF($C470='Batt IN'!$H$57*12,-'Batt IN'!$F$57,0),0)</f>
        <v>0</v>
      </c>
      <c r="AN470" s="2">
        <f>IF(AND('Batt IN'!$D$53="Yes",$AL$1&gt;=5),IF($C470='Batt IN'!$H$58*12,-'Batt IN'!$F$58,0),0)</f>
        <v>0</v>
      </c>
      <c r="AO470" s="10">
        <f>IF(AND('Batt IN'!$D$44="YES",$C470&lt;='Batt IN'!$E$44*12),-'Batt IN'!$E$28*'Batt IN'!$E$42/12,0)</f>
        <v>0</v>
      </c>
      <c r="AP470" s="10">
        <f>IF(AND('Batt IN'!$D$46="YES",$C470&lt;='Batt IN'!$E$46*12),-'Batt IN'!$E$28*'Batt IN'!$E$45/12,0)</f>
        <v>0</v>
      </c>
      <c r="AR470" s="10">
        <f>BattLoan!M497</f>
        <v>0</v>
      </c>
      <c r="AS470" s="10">
        <f>'Batt IN'!$G$16*365/12*'Batt IN'!$E$16</f>
        <v>76.041666666666671</v>
      </c>
      <c r="AT470" s="10">
        <f>IF(AND('Batt IN'!$E$18&gt;0,'Batt IN'!$G$18&gt;0),'Batt IN'!$E$17*'Batt IN'!$G$17,0)</f>
        <v>119.44619999999999</v>
      </c>
      <c r="AU470" s="10">
        <f>IF(AND('Batt IN'!$E$20&gt;0,'Batt IN'!$G$20&gt;0),'Batt IN'!$E$19*'Batt IN'!$G$19,0)</f>
        <v>231</v>
      </c>
      <c r="AV470" s="10"/>
      <c r="AW470" s="10"/>
      <c r="AX470" s="10">
        <f>IF('Batt IN'!$E$11="Non-Taxable",Q470,0)</f>
        <v>13707.670794520549</v>
      </c>
      <c r="AY470" s="10">
        <f>IF('Batt IN'!$E$11="Non-Taxable",'Batt IN'!$E$28/1000*'Batt IN'!$G$13*('Batt IN'!$E$13/12)*'Batt IN'!$E$12,0)</f>
        <v>244.42220833333334</v>
      </c>
      <c r="AZ470" s="10">
        <f>IF('Batt IN'!$E$11="Non-Taxable",$S470*'Batt IN'!$G$15*'Batt IN'!$E$28*'Batt IN'!$E$14/1000,0)</f>
        <v>0</v>
      </c>
      <c r="BA470" s="10">
        <f>IF('Batt IN'!$E$11="Non-Taxable",'Batt IN'!$E$21*'Batt IN'!$G$21/12,0)</f>
        <v>437.5</v>
      </c>
      <c r="BB470" s="10">
        <f>IF('Batt IN'!$E$11="Non-Taxable",'Batt IN'!$E$22*'Batt IN'!$G$22/12,0)</f>
        <v>1145.8333333333335</v>
      </c>
      <c r="BC470" s="10">
        <f>IF('Batt IN'!$E$11="Taxable",Q470,0)</f>
        <v>0</v>
      </c>
      <c r="BD470" s="10">
        <f>IF('Batt IN'!$E$11="Taxable",'Batt IN'!$E$28/1000*'Batt IN'!$G$13*('Batt IN'!$E$13/12)*'Batt IN'!$E$12,0)</f>
        <v>0</v>
      </c>
      <c r="BE470" s="10">
        <f>IF('Batt IN'!$E$11="Taxable",$S470*'Batt IN'!$G$15*'Batt IN'!$E$28*'Batt IN'!$E$14/1000,0)</f>
        <v>0</v>
      </c>
      <c r="BF470" s="10">
        <f>IF('Batt IN'!$E$11="Taxable",'Batt IN'!$E$21*'Batt IN'!$G$21/12,0)</f>
        <v>0</v>
      </c>
      <c r="BG470" s="10">
        <f>IF('Batt IN'!$E$11="Taxable",'Batt IN'!$E$22*'Batt IN'!$G$22/12,0)</f>
        <v>0</v>
      </c>
      <c r="BK470" s="10">
        <f>IF('Batt IN'!$N$18="Yes",-BattLoan!H498,-BattLoan!L498)</f>
        <v>0</v>
      </c>
      <c r="BL470" s="10">
        <f>IF('Batt IN'!$N$18="Yes",-BattLoan!F498,0)</f>
        <v>0</v>
      </c>
      <c r="BM470" s="10">
        <f>IF(AND('Batt IN'!$D$44="YES",$C470&lt;='Batt IN'!$E$44*12),0,-'Batt IN'!$E$28*'Batt IN'!$E$42/12)</f>
        <v>-83.333333333333329</v>
      </c>
      <c r="BN470" s="10">
        <f>IF(AND('Batt IN'!$D$46="YES",$C470&lt;='Batt IN'!$E$46*12),0,-'Batt IN'!$E$28*'Batt IN'!$E$45/12)</f>
        <v>-166.66666666666666</v>
      </c>
      <c r="BO470" s="2">
        <f>IF(AND('Batt IN'!$D$41="YES",BattCalcs!C470=ROUNDUP('Batt IN'!$H$41*12,)),-'Batt IN'!$E$41*'Batt IN'!$E$28,0)</f>
        <v>0</v>
      </c>
      <c r="BP470" s="2">
        <f>IF(AND('Batt IN'!$D$53="Yes",$AL$1&gt;=1),0,IF($C470='Batt IN'!$H$54*12,-'Batt IN'!$F$54,0))</f>
        <v>0</v>
      </c>
      <c r="BQ470" s="2">
        <f>IF(AND('Batt IN'!$D$53="Yes",$AL$1&gt;=2),0,IF($C470='Batt IN'!$H$55*12,-'Batt IN'!$F$55,0))</f>
        <v>0</v>
      </c>
      <c r="BR470" s="2">
        <f>IF(AND('Batt IN'!$D$53="Yes",$AL$1&gt;=3),0,IF($C470='Batt IN'!$H$56*12,-'Batt IN'!$F$56,0))</f>
        <v>0</v>
      </c>
      <c r="BS470" s="2">
        <f>IF(AND('Batt IN'!$D$53="Yes",$AL$1&gt;=4),0,IF($C470='Batt IN'!$H$57*12,-'Batt IN'!$F$57,0))</f>
        <v>0</v>
      </c>
      <c r="BT470" s="2">
        <f>IF(AND('Batt IN'!$D$53="Yes",$AL$1&gt;=5),0,IF($C470='Batt IN'!$H$58*12,-'Batt IN'!$F$58,0))</f>
        <v>0</v>
      </c>
      <c r="BU470" s="2">
        <f>-AH470*PVCalcs!F470</f>
        <v>-359.37504381576838</v>
      </c>
      <c r="BV470" s="2">
        <f>-'Batt IN'!$E$47</f>
        <v>-150</v>
      </c>
      <c r="BW470" s="2">
        <f>-'Batt IN'!$E$49</f>
        <v>-2250</v>
      </c>
      <c r="BX470" s="2">
        <f>IF('Batt IN'!$H$50="No",-(BC470*'Batt IN'!$E$50),-(BC470+BE470)*'Batt IN'!$E$50)</f>
        <v>0</v>
      </c>
      <c r="BY470" s="2">
        <f>IF(C470='Batt IN'!$H$43*12,-'Batt IN'!$E$43,0)</f>
        <v>0</v>
      </c>
      <c r="BZ470" s="38"/>
      <c r="CA470" s="10">
        <f t="shared" si="123"/>
        <v>15961.914202853883</v>
      </c>
      <c r="CB470" s="2">
        <f t="shared" si="128"/>
        <v>-3009.3750438157685</v>
      </c>
      <c r="CC470" s="45">
        <f t="shared" si="124"/>
        <v>12952.539159038115</v>
      </c>
      <c r="CD470" s="43"/>
      <c r="CE470" s="2">
        <f t="shared" si="125"/>
        <v>0</v>
      </c>
      <c r="CF470" s="2">
        <f t="shared" si="129"/>
        <v>-3009.3750438157685</v>
      </c>
      <c r="CG470" s="2"/>
      <c r="CH470" s="2">
        <f t="shared" si="126"/>
        <v>-3009.3750438157685</v>
      </c>
      <c r="CI470" s="45">
        <f>-CH470*'Batt IN'!$E$7</f>
        <v>631.9687592013114</v>
      </c>
      <c r="CJ470" s="48"/>
      <c r="CK470" s="45">
        <f>IF('Batt IN'!$F$4="PV Only",0,IF(C470&gt;'Batt IN'!$H$43*12,0,CC470+CI470))</f>
        <v>0</v>
      </c>
      <c r="CM470" s="10">
        <f t="shared" si="127"/>
        <v>0</v>
      </c>
      <c r="CN470" s="2">
        <f>CK470/(1+('Batt IN'!$G$8))^(C470)</f>
        <v>0</v>
      </c>
      <c r="CO470" s="2" t="e">
        <f>IF(C470&lt;='Batt IN'!$O$30*12,CN470+CO469,NA())</f>
        <v>#N/A</v>
      </c>
      <c r="CQ470" s="2">
        <f>CK470/((1+('Batt IN'!$E$8/12))^BattCalcs!C470)</f>
        <v>0</v>
      </c>
      <c r="CS470" s="10">
        <f t="shared" si="130"/>
        <v>-3009.3750438157685</v>
      </c>
      <c r="CT470" s="10">
        <f t="shared" si="131"/>
        <v>0</v>
      </c>
      <c r="CU470" s="10">
        <f t="shared" si="132"/>
        <v>-3009.3750438157685</v>
      </c>
      <c r="CV470" s="10">
        <f t="shared" si="133"/>
        <v>-3009.3750438157685</v>
      </c>
      <c r="CW470" s="2">
        <f t="shared" si="134"/>
        <v>0</v>
      </c>
      <c r="CX470" s="2">
        <f>-(SUM(CV470:CW470)*'PV IN'!$E$8)</f>
        <v>631.9687592013114</v>
      </c>
      <c r="CY470" s="2">
        <f t="shared" si="135"/>
        <v>-2377.406284614457</v>
      </c>
      <c r="CZ470" s="2">
        <f>IF(C470&lt;='Batt IN'!$H$43*12,CY470/(1+('PV IN'!$G$9))^(C470),0)</f>
        <v>0</v>
      </c>
      <c r="DA470" s="33">
        <f>IF(C470&lt;='Batt IN'!$H$43*12,AE470,0)</f>
        <v>0</v>
      </c>
    </row>
    <row r="471" spans="1:105" x14ac:dyDescent="0.25">
      <c r="A471" t="str">
        <f>IF(C471&lt;='Batt IN'!$H$43*12,C471,"")</f>
        <v/>
      </c>
      <c r="C471">
        <v>467</v>
      </c>
      <c r="D471" s="21">
        <v>897</v>
      </c>
      <c r="E471" s="1">
        <f>1-'Batt IN'!$E$31</f>
        <v>2.0000000000000018E-2</v>
      </c>
      <c r="F471" s="12">
        <f>('Batt IN'!$E$33*365)/8760</f>
        <v>0</v>
      </c>
      <c r="G471" s="22">
        <f>'Batt IN'!$E$32/8760</f>
        <v>5.7077625570776253E-3</v>
      </c>
      <c r="H471" s="22">
        <f>'Batt IN'!$E$13/8760</f>
        <v>5.5936073059360729E-3</v>
      </c>
      <c r="I471" s="23">
        <f>IF(C471&lt;='Batt IN'!$G$14*12,'Batt IN'!$E$15/8760*'Batt IN'!$G$15,0)</f>
        <v>0</v>
      </c>
      <c r="J471" s="12">
        <f>Z471/'Batt IN'!$E$27/730</f>
        <v>2.4999999999999996E-3</v>
      </c>
      <c r="K471" s="23">
        <f>AA471/'Batt IN'!$E$27/730</f>
        <v>1.6027397260273972E-3</v>
      </c>
      <c r="L471" s="23">
        <f>AB471/'Batt IN'!$E$27/730</f>
        <v>2.0547945205479451E-4</v>
      </c>
      <c r="M471" s="23">
        <f>AC471/'Batt IN'!$E$27/730</f>
        <v>4.7945205479452057E-3</v>
      </c>
      <c r="N471" s="23">
        <f>AD471/'Batt IN'!$E$27/730</f>
        <v>3.4246575342465752E-3</v>
      </c>
      <c r="O471" s="12">
        <f t="shared" si="119"/>
        <v>4.3828767123287697E-2</v>
      </c>
      <c r="P471" s="21">
        <f t="shared" si="120"/>
        <v>857.68559589041092</v>
      </c>
      <c r="Q471" s="2">
        <f>IF('Batt IN'!$E$27*'Batt IN'!$E$24&lt;='Batt IN'!$E$28,(('Batt IN'!$E$23*'Batt IN'!$E$27*'Batt IN'!$E$24)/1000)*P471,(('Batt IN'!$E$23*'Batt IN'!$E$28*'Batt IN'!$E$24)/1000)*P471)</f>
        <v>13722.969534246575</v>
      </c>
      <c r="R471" s="2"/>
      <c r="S471" s="77">
        <f>IF(C471&lt;='Batt IN'!$G$14*12,'Batt IN'!$E$15/12,0)</f>
        <v>0</v>
      </c>
      <c r="T471" s="77"/>
      <c r="U471" s="80">
        <f>'Batt IN'!$E$28*('Batt IN'!$G$24/24)*730*(1-O471)</f>
        <v>81433.916666666657</v>
      </c>
      <c r="V471" s="78">
        <f>U471*'Batt IN'!$F$30</f>
        <v>16286.783333333333</v>
      </c>
      <c r="W471" s="78">
        <f>'Batt IN'!$E$28*'Batt IN'!$G$32*('Batt IN'!$E$32/12)*(1+'Batt IN'!$F$30)</f>
        <v>1750.0000000000002</v>
      </c>
      <c r="X471" s="78">
        <f>'Batt IN'!$E$28*'Batt IN'!$G$13*('Batt IN'!$E$13/12)*(1+'Batt IN'!$F$30)</f>
        <v>3184.9999999999995</v>
      </c>
      <c r="Y471" s="33">
        <f>S471*'Batt IN'!$G$15*'Batt IN'!$E$28*(1+'Batt IN'!$F$30)</f>
        <v>0</v>
      </c>
      <c r="Z471" s="33">
        <f>'Batt IN'!$G$16*365/12*(1+'Batt IN'!$F$30)</f>
        <v>1824.9999999999998</v>
      </c>
      <c r="AA471" s="33">
        <f>'Batt IN'!$G$17*'Batt IN'!$E$18*'Batt IN'!$G$18/12*(1+'Batt IN'!$F$30)</f>
        <v>1170</v>
      </c>
      <c r="AB471" s="33">
        <f>'Batt IN'!$G$19*'Batt IN'!$E$20*'Batt IN'!$G$20/12*(1+'Batt IN'!$F$30)</f>
        <v>150</v>
      </c>
      <c r="AC471" s="33">
        <f>'Batt IN'!$G$21*(1+'Batt IN'!$F$30)/12</f>
        <v>3500</v>
      </c>
      <c r="AD471" s="33">
        <f>'Batt IN'!$G$22*(1+'Batt IN'!$F$30)/12</f>
        <v>2500</v>
      </c>
      <c r="AE471" s="33">
        <f t="shared" si="121"/>
        <v>30366.783333333333</v>
      </c>
      <c r="AF471" s="33">
        <f>IF('PV IN'!$F$4="Battery Only",0,AE471*'Batt IN'!$E$29)</f>
        <v>25811.765833333331</v>
      </c>
      <c r="AG471" s="33">
        <f>PVCalcs!L471</f>
        <v>25811.765833333331</v>
      </c>
      <c r="AH471" s="33">
        <f t="shared" si="122"/>
        <v>4555.0175000000017</v>
      </c>
      <c r="AI471" s="33"/>
      <c r="AJ471" s="2">
        <f>IF(AND('Batt IN'!$D$53="Yes",$AL$1&gt;=1),IF($C471='Batt IN'!$H$54*12,-'Batt IN'!$F$54,0),0)</f>
        <v>0</v>
      </c>
      <c r="AK471" s="2">
        <f>IF(AND('Batt IN'!$D$53="Yes",$AL$1&gt;=2),IF($C471='Batt IN'!$H$55*12,-'Batt IN'!$F$55,0),0)</f>
        <v>0</v>
      </c>
      <c r="AL471" s="2">
        <f>IF(AND('Batt IN'!$D$53="Yes",$AL$1&gt;=3),IF($C471='Batt IN'!$H$56*12,-'Batt IN'!$F$56,0),0)</f>
        <v>0</v>
      </c>
      <c r="AM471" s="2">
        <f>IF(AND('Batt IN'!$D$53="Yes",$AL$1&gt;=4),IF($C471='Batt IN'!$H$57*12,-'Batt IN'!$F$57,0),0)</f>
        <v>0</v>
      </c>
      <c r="AN471" s="2">
        <f>IF(AND('Batt IN'!$D$53="Yes",$AL$1&gt;=5),IF($C471='Batt IN'!$H$58*12,-'Batt IN'!$F$58,0),0)</f>
        <v>0</v>
      </c>
      <c r="AO471" s="10">
        <f>IF(AND('Batt IN'!$D$44="YES",$C471&lt;='Batt IN'!$E$44*12),-'Batt IN'!$E$28*'Batt IN'!$E$42/12,0)</f>
        <v>0</v>
      </c>
      <c r="AP471" s="10">
        <f>IF(AND('Batt IN'!$D$46="YES",$C471&lt;='Batt IN'!$E$46*12),-'Batt IN'!$E$28*'Batt IN'!$E$45/12,0)</f>
        <v>0</v>
      </c>
      <c r="AR471" s="10">
        <f>BattLoan!M498</f>
        <v>0</v>
      </c>
      <c r="AS471" s="10">
        <f>'Batt IN'!$G$16*365/12*'Batt IN'!$E$16</f>
        <v>76.041666666666671</v>
      </c>
      <c r="AT471" s="10">
        <f>IF(AND('Batt IN'!$E$18&gt;0,'Batt IN'!$G$18&gt;0),'Batt IN'!$E$17*'Batt IN'!$G$17,0)</f>
        <v>119.44619999999999</v>
      </c>
      <c r="AU471" s="10">
        <f>IF(AND('Batt IN'!$E$20&gt;0,'Batt IN'!$G$20&gt;0),'Batt IN'!$E$19*'Batt IN'!$G$19,0)</f>
        <v>231</v>
      </c>
      <c r="AV471" s="10"/>
      <c r="AW471" s="10"/>
      <c r="AX471" s="10">
        <f>IF('Batt IN'!$E$11="Non-Taxable",Q471,0)</f>
        <v>13722.969534246575</v>
      </c>
      <c r="AY471" s="10">
        <f>IF('Batt IN'!$E$11="Non-Taxable",'Batt IN'!$E$28/1000*'Batt IN'!$G$13*('Batt IN'!$E$13/12)*'Batt IN'!$E$12,0)</f>
        <v>244.42220833333334</v>
      </c>
      <c r="AZ471" s="10">
        <f>IF('Batt IN'!$E$11="Non-Taxable",$S471*'Batt IN'!$G$15*'Batt IN'!$E$28*'Batt IN'!$E$14/1000,0)</f>
        <v>0</v>
      </c>
      <c r="BA471" s="10">
        <f>IF('Batt IN'!$E$11="Non-Taxable",'Batt IN'!$E$21*'Batt IN'!$G$21/12,0)</f>
        <v>437.5</v>
      </c>
      <c r="BB471" s="10">
        <f>IF('Batt IN'!$E$11="Non-Taxable",'Batt IN'!$E$22*'Batt IN'!$G$22/12,0)</f>
        <v>1145.8333333333335</v>
      </c>
      <c r="BC471" s="10">
        <f>IF('Batt IN'!$E$11="Taxable",Q471,0)</f>
        <v>0</v>
      </c>
      <c r="BD471" s="10">
        <f>IF('Batt IN'!$E$11="Taxable",'Batt IN'!$E$28/1000*'Batt IN'!$G$13*('Batt IN'!$E$13/12)*'Batt IN'!$E$12,0)</f>
        <v>0</v>
      </c>
      <c r="BE471" s="10">
        <f>IF('Batt IN'!$E$11="Taxable",$S471*'Batt IN'!$G$15*'Batt IN'!$E$28*'Batt IN'!$E$14/1000,0)</f>
        <v>0</v>
      </c>
      <c r="BF471" s="10">
        <f>IF('Batt IN'!$E$11="Taxable",'Batt IN'!$E$21*'Batt IN'!$G$21/12,0)</f>
        <v>0</v>
      </c>
      <c r="BG471" s="10">
        <f>IF('Batt IN'!$E$11="Taxable",'Batt IN'!$E$22*'Batt IN'!$G$22/12,0)</f>
        <v>0</v>
      </c>
      <c r="BK471" s="10">
        <f>IF('Batt IN'!$N$18="Yes",-BattLoan!H499,-BattLoan!L499)</f>
        <v>0</v>
      </c>
      <c r="BL471" s="10">
        <f>IF('Batt IN'!$N$18="Yes",-BattLoan!F499,0)</f>
        <v>0</v>
      </c>
      <c r="BM471" s="10">
        <f>IF(AND('Batt IN'!$D$44="YES",$C471&lt;='Batt IN'!$E$44*12),0,-'Batt IN'!$E$28*'Batt IN'!$E$42/12)</f>
        <v>-83.333333333333329</v>
      </c>
      <c r="BN471" s="10">
        <f>IF(AND('Batt IN'!$D$46="YES",$C471&lt;='Batt IN'!$E$46*12),0,-'Batt IN'!$E$28*'Batt IN'!$E$45/12)</f>
        <v>-166.66666666666666</v>
      </c>
      <c r="BO471" s="2">
        <f>IF(AND('Batt IN'!$D$41="YES",BattCalcs!C471=ROUNDUP('Batt IN'!$H$41*12,)),-'Batt IN'!$E$41*'Batt IN'!$E$28,0)</f>
        <v>0</v>
      </c>
      <c r="BP471" s="2">
        <f>IF(AND('Batt IN'!$D$53="Yes",$AL$1&gt;=1),0,IF($C471='Batt IN'!$H$54*12,-'Batt IN'!$F$54,0))</f>
        <v>0</v>
      </c>
      <c r="BQ471" s="2">
        <f>IF(AND('Batt IN'!$D$53="Yes",$AL$1&gt;=2),0,IF($C471='Batt IN'!$H$55*12,-'Batt IN'!$F$55,0))</f>
        <v>0</v>
      </c>
      <c r="BR471" s="2">
        <f>IF(AND('Batt IN'!$D$53="Yes",$AL$1&gt;=3),0,IF($C471='Batt IN'!$H$56*12,-'Batt IN'!$F$56,0))</f>
        <v>0</v>
      </c>
      <c r="BS471" s="2">
        <f>IF(AND('Batt IN'!$D$53="Yes",$AL$1&gt;=4),0,IF($C471='Batt IN'!$H$57*12,-'Batt IN'!$F$57,0))</f>
        <v>0</v>
      </c>
      <c r="BT471" s="2">
        <f>IF(AND('Batt IN'!$D$53="Yes",$AL$1&gt;=5),0,IF($C471='Batt IN'!$H$58*12,-'Batt IN'!$F$58,0))</f>
        <v>0</v>
      </c>
      <c r="BU471" s="2">
        <f>-AH471*PVCalcs!F471</f>
        <v>-359.37504381576838</v>
      </c>
      <c r="BV471" s="2">
        <f>-'Batt IN'!$E$47</f>
        <v>-150</v>
      </c>
      <c r="BW471" s="2">
        <f>-'Batt IN'!$E$49</f>
        <v>-2250</v>
      </c>
      <c r="BX471" s="2">
        <f>IF('Batt IN'!$H$50="No",-(BC471*'Batt IN'!$E$50),-(BC471+BE471)*'Batt IN'!$E$50)</f>
        <v>0</v>
      </c>
      <c r="BY471" s="2">
        <f>IF(C471='Batt IN'!$H$43*12,-'Batt IN'!$E$43,0)</f>
        <v>0</v>
      </c>
      <c r="BZ471" s="38"/>
      <c r="CA471" s="10">
        <f t="shared" si="123"/>
        <v>15977.212942579908</v>
      </c>
      <c r="CB471" s="2">
        <f t="shared" si="128"/>
        <v>-3009.3750438157685</v>
      </c>
      <c r="CC471" s="45">
        <f t="shared" si="124"/>
        <v>12967.837898764141</v>
      </c>
      <c r="CD471" s="43"/>
      <c r="CE471" s="2">
        <f t="shared" si="125"/>
        <v>0</v>
      </c>
      <c r="CF471" s="2">
        <f t="shared" si="129"/>
        <v>-3009.3750438157685</v>
      </c>
      <c r="CG471" s="2"/>
      <c r="CH471" s="2">
        <f t="shared" si="126"/>
        <v>-3009.3750438157685</v>
      </c>
      <c r="CI471" s="45">
        <f>-CH471*'Batt IN'!$E$7</f>
        <v>631.9687592013114</v>
      </c>
      <c r="CJ471" s="48"/>
      <c r="CK471" s="45">
        <f>IF('Batt IN'!$F$4="PV Only",0,IF(C471&gt;'Batt IN'!$H$43*12,0,CC471+CI471))</f>
        <v>0</v>
      </c>
      <c r="CM471" s="10">
        <f t="shared" si="127"/>
        <v>0</v>
      </c>
      <c r="CN471" s="2">
        <f>CK471/(1+('Batt IN'!$G$8))^(C471)</f>
        <v>0</v>
      </c>
      <c r="CO471" s="2" t="e">
        <f>IF(C471&lt;='Batt IN'!$O$30*12,CN471+CO470,NA())</f>
        <v>#N/A</v>
      </c>
      <c r="CQ471" s="2">
        <f>CK471/((1+('Batt IN'!$E$8/12))^BattCalcs!C471)</f>
        <v>0</v>
      </c>
      <c r="CS471" s="10">
        <f t="shared" si="130"/>
        <v>-3009.3750438157685</v>
      </c>
      <c r="CT471" s="10">
        <f t="shared" si="131"/>
        <v>0</v>
      </c>
      <c r="CU471" s="10">
        <f t="shared" si="132"/>
        <v>-3009.3750438157685</v>
      </c>
      <c r="CV471" s="10">
        <f t="shared" si="133"/>
        <v>-3009.3750438157685</v>
      </c>
      <c r="CW471" s="2">
        <f t="shared" si="134"/>
        <v>0</v>
      </c>
      <c r="CX471" s="2">
        <f>-(SUM(CV471:CW471)*'PV IN'!$E$8)</f>
        <v>631.9687592013114</v>
      </c>
      <c r="CY471" s="2">
        <f t="shared" si="135"/>
        <v>-2377.406284614457</v>
      </c>
      <c r="CZ471" s="2">
        <f>IF(C471&lt;='Batt IN'!$H$43*12,CY471/(1+('PV IN'!$G$9))^(C471),0)</f>
        <v>0</v>
      </c>
      <c r="DA471" s="33">
        <f>IF(C471&lt;='Batt IN'!$H$43*12,AE471,0)</f>
        <v>0</v>
      </c>
    </row>
    <row r="472" spans="1:105" x14ac:dyDescent="0.25">
      <c r="A472" t="str">
        <f>IF(C472&lt;='Batt IN'!$H$43*12,C472,"")</f>
        <v/>
      </c>
      <c r="B472">
        <v>39</v>
      </c>
      <c r="C472">
        <v>468</v>
      </c>
      <c r="D472" s="21">
        <v>898</v>
      </c>
      <c r="E472" s="1">
        <f>1-'Batt IN'!$E$31</f>
        <v>2.0000000000000018E-2</v>
      </c>
      <c r="F472" s="12">
        <f>('Batt IN'!$E$33*365)/8760</f>
        <v>0</v>
      </c>
      <c r="G472" s="22">
        <f>'Batt IN'!$E$32/8760</f>
        <v>5.7077625570776253E-3</v>
      </c>
      <c r="H472" s="22">
        <f>'Batt IN'!$E$13/8760</f>
        <v>5.5936073059360729E-3</v>
      </c>
      <c r="I472" s="23">
        <f>IF(C472&lt;='Batt IN'!$G$14*12,'Batt IN'!$E$15/8760*'Batt IN'!$G$15,0)</f>
        <v>0</v>
      </c>
      <c r="J472" s="12">
        <f>Z472/'Batt IN'!$E$27/730</f>
        <v>2.4999999999999996E-3</v>
      </c>
      <c r="K472" s="23">
        <f>AA472/'Batt IN'!$E$27/730</f>
        <v>1.6027397260273972E-3</v>
      </c>
      <c r="L472" s="23">
        <f>AB472/'Batt IN'!$E$27/730</f>
        <v>2.0547945205479451E-4</v>
      </c>
      <c r="M472" s="23">
        <f>AC472/'Batt IN'!$E$27/730</f>
        <v>4.7945205479452057E-3</v>
      </c>
      <c r="N472" s="23">
        <f>AD472/'Batt IN'!$E$27/730</f>
        <v>3.4246575342465752E-3</v>
      </c>
      <c r="O472" s="12">
        <f t="shared" si="119"/>
        <v>4.3828767123287697E-2</v>
      </c>
      <c r="P472" s="21">
        <f t="shared" si="120"/>
        <v>858.64176712328765</v>
      </c>
      <c r="Q472" s="2">
        <f>IF('Batt IN'!$E$27*'Batt IN'!$E$24&lt;='Batt IN'!$E$28,(('Batt IN'!$E$23*'Batt IN'!$E$27*'Batt IN'!$E$24)/1000)*P472,(('Batt IN'!$E$23*'Batt IN'!$E$28*'Batt IN'!$E$24)/1000)*P472)</f>
        <v>13738.268273972602</v>
      </c>
      <c r="R472" s="2"/>
      <c r="S472" s="77">
        <f>IF(C472&lt;='Batt IN'!$G$14*12,'Batt IN'!$E$15/12,0)</f>
        <v>0</v>
      </c>
      <c r="T472" s="77"/>
      <c r="U472" s="80">
        <f>'Batt IN'!$E$28*('Batt IN'!$G$24/24)*730*(1-O472)</f>
        <v>81433.916666666657</v>
      </c>
      <c r="V472" s="78">
        <f>U472*'Batt IN'!$F$30</f>
        <v>16286.783333333333</v>
      </c>
      <c r="W472" s="78">
        <f>'Batt IN'!$E$28*'Batt IN'!$G$32*('Batt IN'!$E$32/12)*(1+'Batt IN'!$F$30)</f>
        <v>1750.0000000000002</v>
      </c>
      <c r="X472" s="78">
        <f>'Batt IN'!$E$28*'Batt IN'!$G$13*('Batt IN'!$E$13/12)*(1+'Batt IN'!$F$30)</f>
        <v>3184.9999999999995</v>
      </c>
      <c r="Y472" s="33">
        <f>S472*'Batt IN'!$G$15*'Batt IN'!$E$28*(1+'Batt IN'!$F$30)</f>
        <v>0</v>
      </c>
      <c r="Z472" s="33">
        <f>'Batt IN'!$G$16*365/12*(1+'Batt IN'!$F$30)</f>
        <v>1824.9999999999998</v>
      </c>
      <c r="AA472" s="33">
        <f>'Batt IN'!$G$17*'Batt IN'!$E$18*'Batt IN'!$G$18/12*(1+'Batt IN'!$F$30)</f>
        <v>1170</v>
      </c>
      <c r="AB472" s="33">
        <f>'Batt IN'!$G$19*'Batt IN'!$E$20*'Batt IN'!$G$20/12*(1+'Batt IN'!$F$30)</f>
        <v>150</v>
      </c>
      <c r="AC472" s="33">
        <f>'Batt IN'!$G$21*(1+'Batt IN'!$F$30)/12</f>
        <v>3500</v>
      </c>
      <c r="AD472" s="33">
        <f>'Batt IN'!$G$22*(1+'Batt IN'!$F$30)/12</f>
        <v>2500</v>
      </c>
      <c r="AE472" s="33">
        <f t="shared" si="121"/>
        <v>30366.783333333333</v>
      </c>
      <c r="AF472" s="33">
        <f>IF('PV IN'!$F$4="Battery Only",0,AE472*'Batt IN'!$E$29)</f>
        <v>25811.765833333331</v>
      </c>
      <c r="AG472" s="33">
        <f>PVCalcs!L472</f>
        <v>25811.765833333331</v>
      </c>
      <c r="AH472" s="33">
        <f t="shared" si="122"/>
        <v>4555.0175000000017</v>
      </c>
      <c r="AI472" s="33"/>
      <c r="AJ472" s="2">
        <f>IF(AND('Batt IN'!$D$53="Yes",$AL$1&gt;=1),IF($C472='Batt IN'!$H$54*12,-'Batt IN'!$F$54,0),0)</f>
        <v>0</v>
      </c>
      <c r="AK472" s="2">
        <f>IF(AND('Batt IN'!$D$53="Yes",$AL$1&gt;=2),IF($C472='Batt IN'!$H$55*12,-'Batt IN'!$F$55,0),0)</f>
        <v>0</v>
      </c>
      <c r="AL472" s="2">
        <f>IF(AND('Batt IN'!$D$53="Yes",$AL$1&gt;=3),IF($C472='Batt IN'!$H$56*12,-'Batt IN'!$F$56,0),0)</f>
        <v>0</v>
      </c>
      <c r="AM472" s="2">
        <f>IF(AND('Batt IN'!$D$53="Yes",$AL$1&gt;=4),IF($C472='Batt IN'!$H$57*12,-'Batt IN'!$F$57,0),0)</f>
        <v>0</v>
      </c>
      <c r="AN472" s="2">
        <f>IF(AND('Batt IN'!$D$53="Yes",$AL$1&gt;=5),IF($C472='Batt IN'!$H$58*12,-'Batt IN'!$F$58,0),0)</f>
        <v>0</v>
      </c>
      <c r="AO472" s="10">
        <f>IF(AND('Batt IN'!$D$44="YES",$C472&lt;='Batt IN'!$E$44*12),-'Batt IN'!$E$28*'Batt IN'!$E$42/12,0)</f>
        <v>0</v>
      </c>
      <c r="AP472" s="10">
        <f>IF(AND('Batt IN'!$D$46="YES",$C472&lt;='Batt IN'!$E$46*12),-'Batt IN'!$E$28*'Batt IN'!$E$45/12,0)</f>
        <v>0</v>
      </c>
      <c r="AR472" s="10">
        <f>BattLoan!M499</f>
        <v>0</v>
      </c>
      <c r="AS472" s="10">
        <f>'Batt IN'!$G$16*365/12*'Batt IN'!$E$16</f>
        <v>76.041666666666671</v>
      </c>
      <c r="AT472" s="10">
        <f>IF(AND('Batt IN'!$E$18&gt;0,'Batt IN'!$G$18&gt;0),'Batt IN'!$E$17*'Batt IN'!$G$17,0)</f>
        <v>119.44619999999999</v>
      </c>
      <c r="AU472" s="10">
        <f>IF(AND('Batt IN'!$E$20&gt;0,'Batt IN'!$G$20&gt;0),'Batt IN'!$E$19*'Batt IN'!$G$19,0)</f>
        <v>231</v>
      </c>
      <c r="AV472" s="10"/>
      <c r="AW472" s="10"/>
      <c r="AX472" s="10">
        <f>IF('Batt IN'!$E$11="Non-Taxable",Q472,0)</f>
        <v>13738.268273972602</v>
      </c>
      <c r="AY472" s="10">
        <f>IF('Batt IN'!$E$11="Non-Taxable",'Batt IN'!$E$28/1000*'Batt IN'!$G$13*('Batt IN'!$E$13/12)*'Batt IN'!$E$12,0)</f>
        <v>244.42220833333334</v>
      </c>
      <c r="AZ472" s="10">
        <f>IF('Batt IN'!$E$11="Non-Taxable",$S472*'Batt IN'!$G$15*'Batt IN'!$E$28*'Batt IN'!$E$14/1000,0)</f>
        <v>0</v>
      </c>
      <c r="BA472" s="10">
        <f>IF('Batt IN'!$E$11="Non-Taxable",'Batt IN'!$E$21*'Batt IN'!$G$21/12,0)</f>
        <v>437.5</v>
      </c>
      <c r="BB472" s="10">
        <f>IF('Batt IN'!$E$11="Non-Taxable",'Batt IN'!$E$22*'Batt IN'!$G$22/12,0)</f>
        <v>1145.8333333333335</v>
      </c>
      <c r="BC472" s="10">
        <f>IF('Batt IN'!$E$11="Taxable",Q472,0)</f>
        <v>0</v>
      </c>
      <c r="BD472" s="10">
        <f>IF('Batt IN'!$E$11="Taxable",'Batt IN'!$E$28/1000*'Batt IN'!$G$13*('Batt IN'!$E$13/12)*'Batt IN'!$E$12,0)</f>
        <v>0</v>
      </c>
      <c r="BE472" s="10">
        <f>IF('Batt IN'!$E$11="Taxable",$S472*'Batt IN'!$G$15*'Batt IN'!$E$28*'Batt IN'!$E$14/1000,0)</f>
        <v>0</v>
      </c>
      <c r="BF472" s="10">
        <f>IF('Batt IN'!$E$11="Taxable",'Batt IN'!$E$21*'Batt IN'!$G$21/12,0)</f>
        <v>0</v>
      </c>
      <c r="BG472" s="10">
        <f>IF('Batt IN'!$E$11="Taxable",'Batt IN'!$E$22*'Batt IN'!$G$22/12,0)</f>
        <v>0</v>
      </c>
      <c r="BK472" s="10">
        <f>IF('Batt IN'!$N$18="Yes",-BattLoan!H500,-BattLoan!L500)</f>
        <v>0</v>
      </c>
      <c r="BL472" s="10">
        <f>IF('Batt IN'!$N$18="Yes",-BattLoan!F500,0)</f>
        <v>0</v>
      </c>
      <c r="BM472" s="10">
        <f>IF(AND('Batt IN'!$D$44="YES",$C472&lt;='Batt IN'!$E$44*12),0,-'Batt IN'!$E$28*'Batt IN'!$E$42/12)</f>
        <v>-83.333333333333329</v>
      </c>
      <c r="BN472" s="10">
        <f>IF(AND('Batt IN'!$D$46="YES",$C472&lt;='Batt IN'!$E$46*12),0,-'Batt IN'!$E$28*'Batt IN'!$E$45/12)</f>
        <v>-166.66666666666666</v>
      </c>
      <c r="BO472" s="2">
        <f>IF(AND('Batt IN'!$D$41="YES",BattCalcs!C472=ROUNDUP('Batt IN'!$H$41*12,)),-'Batt IN'!$E$41*'Batt IN'!$E$28,0)</f>
        <v>0</v>
      </c>
      <c r="BP472" s="2">
        <f>IF(AND('Batt IN'!$D$53="Yes",$AL$1&gt;=1),0,IF($C472='Batt IN'!$H$54*12,-'Batt IN'!$F$54,0))</f>
        <v>0</v>
      </c>
      <c r="BQ472" s="2">
        <f>IF(AND('Batt IN'!$D$53="Yes",$AL$1&gt;=2),0,IF($C472='Batt IN'!$H$55*12,-'Batt IN'!$F$55,0))</f>
        <v>0</v>
      </c>
      <c r="BR472" s="2">
        <f>IF(AND('Batt IN'!$D$53="Yes",$AL$1&gt;=3),0,IF($C472='Batt IN'!$H$56*12,-'Batt IN'!$F$56,0))</f>
        <v>0</v>
      </c>
      <c r="BS472" s="2">
        <f>IF(AND('Batt IN'!$D$53="Yes",$AL$1&gt;=4),0,IF($C472='Batt IN'!$H$57*12,-'Batt IN'!$F$57,0))</f>
        <v>0</v>
      </c>
      <c r="BT472" s="2">
        <f>IF(AND('Batt IN'!$D$53="Yes",$AL$1&gt;=5),0,IF($C472='Batt IN'!$H$58*12,-'Batt IN'!$F$58,0))</f>
        <v>0</v>
      </c>
      <c r="BU472" s="2">
        <f>-AH472*PVCalcs!F472</f>
        <v>-359.37504381576838</v>
      </c>
      <c r="BV472" s="2">
        <f>-'Batt IN'!$E$47</f>
        <v>-150</v>
      </c>
      <c r="BW472" s="2">
        <f>-'Batt IN'!$E$49</f>
        <v>-2250</v>
      </c>
      <c r="BX472" s="2">
        <f>IF('Batt IN'!$H$50="No",-(BC472*'Batt IN'!$E$50),-(BC472+BE472)*'Batt IN'!$E$50)</f>
        <v>0</v>
      </c>
      <c r="BY472" s="2">
        <f>IF(C472='Batt IN'!$H$43*12,-'Batt IN'!$E$43,0)</f>
        <v>0</v>
      </c>
      <c r="BZ472" s="38"/>
      <c r="CA472" s="10">
        <f t="shared" si="123"/>
        <v>15992.511682305936</v>
      </c>
      <c r="CB472" s="2">
        <f t="shared" si="128"/>
        <v>-3009.3750438157685</v>
      </c>
      <c r="CC472" s="45">
        <f t="shared" si="124"/>
        <v>12983.136638490167</v>
      </c>
      <c r="CD472" s="43"/>
      <c r="CE472" s="2">
        <f t="shared" si="125"/>
        <v>0</v>
      </c>
      <c r="CF472" s="2">
        <f t="shared" si="129"/>
        <v>-3009.3750438157685</v>
      </c>
      <c r="CG472" s="2"/>
      <c r="CH472" s="2">
        <f t="shared" si="126"/>
        <v>-3009.3750438157685</v>
      </c>
      <c r="CI472" s="45">
        <f>-CH472*'Batt IN'!$E$7</f>
        <v>631.9687592013114</v>
      </c>
      <c r="CJ472" s="48"/>
      <c r="CK472" s="45">
        <f>IF('Batt IN'!$F$4="PV Only",0,IF(C472&gt;'Batt IN'!$H$43*12,0,CC472+CI472))</f>
        <v>0</v>
      </c>
      <c r="CM472" s="10">
        <f t="shared" si="127"/>
        <v>0</v>
      </c>
      <c r="CN472" s="2">
        <f>CK472/(1+('Batt IN'!$G$8))^(C472)</f>
        <v>0</v>
      </c>
      <c r="CO472" s="2" t="e">
        <f>IF(C472&lt;='Batt IN'!$O$30*12,CN472+CO471,NA())</f>
        <v>#N/A</v>
      </c>
      <c r="CQ472" s="2">
        <f>CK472/((1+('Batt IN'!$E$8/12))^BattCalcs!C472)</f>
        <v>0</v>
      </c>
      <c r="CS472" s="10">
        <f t="shared" si="130"/>
        <v>-3009.3750438157685</v>
      </c>
      <c r="CT472" s="10">
        <f t="shared" si="131"/>
        <v>0</v>
      </c>
      <c r="CU472" s="10">
        <f t="shared" si="132"/>
        <v>-3009.3750438157685</v>
      </c>
      <c r="CV472" s="10">
        <f t="shared" si="133"/>
        <v>-3009.3750438157685</v>
      </c>
      <c r="CW472" s="2">
        <f t="shared" si="134"/>
        <v>0</v>
      </c>
      <c r="CX472" s="2">
        <f>-(SUM(CV472:CW472)*'PV IN'!$E$8)</f>
        <v>631.9687592013114</v>
      </c>
      <c r="CY472" s="2">
        <f t="shared" si="135"/>
        <v>-2377.406284614457</v>
      </c>
      <c r="CZ472" s="2">
        <f>IF(C472&lt;='Batt IN'!$H$43*12,CY472/(1+('PV IN'!$G$9))^(C472),0)</f>
        <v>0</v>
      </c>
      <c r="DA472" s="33">
        <f>IF(C472&lt;='Batt IN'!$H$43*12,AE472,0)</f>
        <v>0</v>
      </c>
    </row>
    <row r="473" spans="1:105" x14ac:dyDescent="0.25">
      <c r="A473" t="str">
        <f>IF(C473&lt;='Batt IN'!$H$43*12,C473,"")</f>
        <v/>
      </c>
      <c r="C473">
        <v>469</v>
      </c>
      <c r="D473" s="21">
        <v>899</v>
      </c>
      <c r="E473" s="1">
        <f>1-'Batt IN'!$E$31</f>
        <v>2.0000000000000018E-2</v>
      </c>
      <c r="F473" s="12">
        <f>('Batt IN'!$E$33*365)/8760</f>
        <v>0</v>
      </c>
      <c r="G473" s="22">
        <f>'Batt IN'!$E$32/8760</f>
        <v>5.7077625570776253E-3</v>
      </c>
      <c r="H473" s="22">
        <f>'Batt IN'!$E$13/8760</f>
        <v>5.5936073059360729E-3</v>
      </c>
      <c r="I473" s="23">
        <f>IF(C473&lt;='Batt IN'!$G$14*12,'Batt IN'!$E$15/8760*'Batt IN'!$G$15,0)</f>
        <v>0</v>
      </c>
      <c r="J473" s="12">
        <f>Z473/'Batt IN'!$E$27/730</f>
        <v>2.4999999999999996E-3</v>
      </c>
      <c r="K473" s="23">
        <f>AA473/'Batt IN'!$E$27/730</f>
        <v>1.6027397260273972E-3</v>
      </c>
      <c r="L473" s="23">
        <f>AB473/'Batt IN'!$E$27/730</f>
        <v>2.0547945205479451E-4</v>
      </c>
      <c r="M473" s="23">
        <f>AC473/'Batt IN'!$E$27/730</f>
        <v>4.7945205479452057E-3</v>
      </c>
      <c r="N473" s="23">
        <f>AD473/'Batt IN'!$E$27/730</f>
        <v>3.4246575342465752E-3</v>
      </c>
      <c r="O473" s="12">
        <f t="shared" si="119"/>
        <v>4.3828767123287697E-2</v>
      </c>
      <c r="P473" s="21">
        <f t="shared" si="120"/>
        <v>859.59793835616438</v>
      </c>
      <c r="Q473" s="2">
        <f>IF('Batt IN'!$E$27*'Batt IN'!$E$24&lt;='Batt IN'!$E$28,(('Batt IN'!$E$23*'Batt IN'!$E$27*'Batt IN'!$E$24)/1000)*P473,(('Batt IN'!$E$23*'Batt IN'!$E$28*'Batt IN'!$E$24)/1000)*P473)</f>
        <v>13753.56701369863</v>
      </c>
      <c r="R473" s="2"/>
      <c r="S473" s="77">
        <f>IF(C473&lt;='Batt IN'!$G$14*12,'Batt IN'!$E$15/12,0)</f>
        <v>0</v>
      </c>
      <c r="T473" s="77"/>
      <c r="U473" s="80">
        <f>'Batt IN'!$E$28*('Batt IN'!$G$24/24)*730*(1-O473)</f>
        <v>81433.916666666657</v>
      </c>
      <c r="V473" s="78">
        <f>U473*'Batt IN'!$F$30</f>
        <v>16286.783333333333</v>
      </c>
      <c r="W473" s="78">
        <f>'Batt IN'!$E$28*'Batt IN'!$G$32*('Batt IN'!$E$32/12)*(1+'Batt IN'!$F$30)</f>
        <v>1750.0000000000002</v>
      </c>
      <c r="X473" s="78">
        <f>'Batt IN'!$E$28*'Batt IN'!$G$13*('Batt IN'!$E$13/12)*(1+'Batt IN'!$F$30)</f>
        <v>3184.9999999999995</v>
      </c>
      <c r="Y473" s="33">
        <f>S473*'Batt IN'!$G$15*'Batt IN'!$E$28*(1+'Batt IN'!$F$30)</f>
        <v>0</v>
      </c>
      <c r="Z473" s="33">
        <f>'Batt IN'!$G$16*365/12*(1+'Batt IN'!$F$30)</f>
        <v>1824.9999999999998</v>
      </c>
      <c r="AA473" s="33">
        <f>'Batt IN'!$G$17*'Batt IN'!$E$18*'Batt IN'!$G$18/12*(1+'Batt IN'!$F$30)</f>
        <v>1170</v>
      </c>
      <c r="AB473" s="33">
        <f>'Batt IN'!$G$19*'Batt IN'!$E$20*'Batt IN'!$G$20/12*(1+'Batt IN'!$F$30)</f>
        <v>150</v>
      </c>
      <c r="AC473" s="33">
        <f>'Batt IN'!$G$21*(1+'Batt IN'!$F$30)/12</f>
        <v>3500</v>
      </c>
      <c r="AD473" s="33">
        <f>'Batt IN'!$G$22*(1+'Batt IN'!$F$30)/12</f>
        <v>2500</v>
      </c>
      <c r="AE473" s="33">
        <f t="shared" si="121"/>
        <v>30366.783333333333</v>
      </c>
      <c r="AF473" s="33">
        <f>IF('PV IN'!$F$4="Battery Only",0,AE473*'Batt IN'!$E$29)</f>
        <v>25811.765833333331</v>
      </c>
      <c r="AG473" s="33">
        <f>PVCalcs!L473</f>
        <v>25811.765833333331</v>
      </c>
      <c r="AH473" s="33">
        <f t="shared" si="122"/>
        <v>4555.0175000000017</v>
      </c>
      <c r="AI473" s="33"/>
      <c r="AJ473" s="2">
        <f>IF(AND('Batt IN'!$D$53="Yes",$AL$1&gt;=1),IF($C473='Batt IN'!$H$54*12,-'Batt IN'!$F$54,0),0)</f>
        <v>0</v>
      </c>
      <c r="AK473" s="2">
        <f>IF(AND('Batt IN'!$D$53="Yes",$AL$1&gt;=2),IF($C473='Batt IN'!$H$55*12,-'Batt IN'!$F$55,0),0)</f>
        <v>0</v>
      </c>
      <c r="AL473" s="2">
        <f>IF(AND('Batt IN'!$D$53="Yes",$AL$1&gt;=3),IF($C473='Batt IN'!$H$56*12,-'Batt IN'!$F$56,0),0)</f>
        <v>0</v>
      </c>
      <c r="AM473" s="2">
        <f>IF(AND('Batt IN'!$D$53="Yes",$AL$1&gt;=4),IF($C473='Batt IN'!$H$57*12,-'Batt IN'!$F$57,0),0)</f>
        <v>0</v>
      </c>
      <c r="AN473" s="2">
        <f>IF(AND('Batt IN'!$D$53="Yes",$AL$1&gt;=5),IF($C473='Batt IN'!$H$58*12,-'Batt IN'!$F$58,0),0)</f>
        <v>0</v>
      </c>
      <c r="AO473" s="10">
        <f>IF(AND('Batt IN'!$D$44="YES",$C473&lt;='Batt IN'!$E$44*12),-'Batt IN'!$E$28*'Batt IN'!$E$42/12,0)</f>
        <v>0</v>
      </c>
      <c r="AP473" s="10">
        <f>IF(AND('Batt IN'!$D$46="YES",$C473&lt;='Batt IN'!$E$46*12),-'Batt IN'!$E$28*'Batt IN'!$E$45/12,0)</f>
        <v>0</v>
      </c>
      <c r="AR473" s="10">
        <f>BattLoan!M500</f>
        <v>0</v>
      </c>
      <c r="AS473" s="10">
        <f>'Batt IN'!$G$16*365/12*'Batt IN'!$E$16</f>
        <v>76.041666666666671</v>
      </c>
      <c r="AT473" s="10">
        <f>IF(AND('Batt IN'!$E$18&gt;0,'Batt IN'!$G$18&gt;0),'Batt IN'!$E$17*'Batt IN'!$G$17,0)</f>
        <v>119.44619999999999</v>
      </c>
      <c r="AU473" s="10">
        <f>IF(AND('Batt IN'!$E$20&gt;0,'Batt IN'!$G$20&gt;0),'Batt IN'!$E$19*'Batt IN'!$G$19,0)</f>
        <v>231</v>
      </c>
      <c r="AV473" s="10"/>
      <c r="AW473" s="10"/>
      <c r="AX473" s="10">
        <f>IF('Batt IN'!$E$11="Non-Taxable",Q473,0)</f>
        <v>13753.56701369863</v>
      </c>
      <c r="AY473" s="10">
        <f>IF('Batt IN'!$E$11="Non-Taxable",'Batt IN'!$E$28/1000*'Batt IN'!$G$13*('Batt IN'!$E$13/12)*'Batt IN'!$E$12,0)</f>
        <v>244.42220833333334</v>
      </c>
      <c r="AZ473" s="10">
        <f>IF('Batt IN'!$E$11="Non-Taxable",$S473*'Batt IN'!$G$15*'Batt IN'!$E$28*'Batt IN'!$E$14/1000,0)</f>
        <v>0</v>
      </c>
      <c r="BA473" s="10">
        <f>IF('Batt IN'!$E$11="Non-Taxable",'Batt IN'!$E$21*'Batt IN'!$G$21/12,0)</f>
        <v>437.5</v>
      </c>
      <c r="BB473" s="10">
        <f>IF('Batt IN'!$E$11="Non-Taxable",'Batt IN'!$E$22*'Batt IN'!$G$22/12,0)</f>
        <v>1145.8333333333335</v>
      </c>
      <c r="BC473" s="10">
        <f>IF('Batt IN'!$E$11="Taxable",Q473,0)</f>
        <v>0</v>
      </c>
      <c r="BD473" s="10">
        <f>IF('Batt IN'!$E$11="Taxable",'Batt IN'!$E$28/1000*'Batt IN'!$G$13*('Batt IN'!$E$13/12)*'Batt IN'!$E$12,0)</f>
        <v>0</v>
      </c>
      <c r="BE473" s="10">
        <f>IF('Batt IN'!$E$11="Taxable",$S473*'Batt IN'!$G$15*'Batt IN'!$E$28*'Batt IN'!$E$14/1000,0)</f>
        <v>0</v>
      </c>
      <c r="BF473" s="10">
        <f>IF('Batt IN'!$E$11="Taxable",'Batt IN'!$E$21*'Batt IN'!$G$21/12,0)</f>
        <v>0</v>
      </c>
      <c r="BG473" s="10">
        <f>IF('Batt IN'!$E$11="Taxable",'Batt IN'!$E$22*'Batt IN'!$G$22/12,0)</f>
        <v>0</v>
      </c>
      <c r="BK473" s="10">
        <f>IF('Batt IN'!$N$18="Yes",-BattLoan!H501,-BattLoan!L501)</f>
        <v>0</v>
      </c>
      <c r="BL473" s="10">
        <f>IF('Batt IN'!$N$18="Yes",-BattLoan!F501,0)</f>
        <v>0</v>
      </c>
      <c r="BM473" s="10">
        <f>IF(AND('Batt IN'!$D$44="YES",$C473&lt;='Batt IN'!$E$44*12),0,-'Batt IN'!$E$28*'Batt IN'!$E$42/12)</f>
        <v>-83.333333333333329</v>
      </c>
      <c r="BN473" s="10">
        <f>IF(AND('Batt IN'!$D$46="YES",$C473&lt;='Batt IN'!$E$46*12),0,-'Batt IN'!$E$28*'Batt IN'!$E$45/12)</f>
        <v>-166.66666666666666</v>
      </c>
      <c r="BO473" s="2">
        <f>IF(AND('Batt IN'!$D$41="YES",BattCalcs!C473=ROUNDUP('Batt IN'!$H$41*12,)),-'Batt IN'!$E$41*'Batt IN'!$E$28,0)</f>
        <v>0</v>
      </c>
      <c r="BP473" s="2">
        <f>IF(AND('Batt IN'!$D$53="Yes",$AL$1&gt;=1),0,IF($C473='Batt IN'!$H$54*12,-'Batt IN'!$F$54,0))</f>
        <v>0</v>
      </c>
      <c r="BQ473" s="2">
        <f>IF(AND('Batt IN'!$D$53="Yes",$AL$1&gt;=2),0,IF($C473='Batt IN'!$H$55*12,-'Batt IN'!$F$55,0))</f>
        <v>0</v>
      </c>
      <c r="BR473" s="2">
        <f>IF(AND('Batt IN'!$D$53="Yes",$AL$1&gt;=3),0,IF($C473='Batt IN'!$H$56*12,-'Batt IN'!$F$56,0))</f>
        <v>0</v>
      </c>
      <c r="BS473" s="2">
        <f>IF(AND('Batt IN'!$D$53="Yes",$AL$1&gt;=4),0,IF($C473='Batt IN'!$H$57*12,-'Batt IN'!$F$57,0))</f>
        <v>0</v>
      </c>
      <c r="BT473" s="2">
        <f>IF(AND('Batt IN'!$D$53="Yes",$AL$1&gt;=5),0,IF($C473='Batt IN'!$H$58*12,-'Batt IN'!$F$58,0))</f>
        <v>0</v>
      </c>
      <c r="BU473" s="2">
        <f>-AH473*PVCalcs!F473</f>
        <v>-359.37504381576838</v>
      </c>
      <c r="BV473" s="2">
        <f>-'Batt IN'!$E$47</f>
        <v>-150</v>
      </c>
      <c r="BW473" s="2">
        <f>-'Batt IN'!$E$49</f>
        <v>-2250</v>
      </c>
      <c r="BX473" s="2">
        <f>IF('Batt IN'!$H$50="No",-(BC473*'Batt IN'!$E$50),-(BC473+BE473)*'Batt IN'!$E$50)</f>
        <v>0</v>
      </c>
      <c r="BY473" s="2">
        <f>IF(C473='Batt IN'!$H$43*12,-'Batt IN'!$E$43,0)</f>
        <v>0</v>
      </c>
      <c r="BZ473" s="38"/>
      <c r="CA473" s="10">
        <f t="shared" si="123"/>
        <v>16007.810422031964</v>
      </c>
      <c r="CB473" s="2">
        <f t="shared" si="128"/>
        <v>-3009.3750438157685</v>
      </c>
      <c r="CC473" s="45">
        <f t="shared" si="124"/>
        <v>12998.435378216196</v>
      </c>
      <c r="CD473" s="43"/>
      <c r="CE473" s="2">
        <f t="shared" si="125"/>
        <v>0</v>
      </c>
      <c r="CF473" s="2">
        <f t="shared" si="129"/>
        <v>-3009.3750438157685</v>
      </c>
      <c r="CG473" s="2"/>
      <c r="CH473" s="2">
        <f t="shared" si="126"/>
        <v>-3009.3750438157685</v>
      </c>
      <c r="CI473" s="45">
        <f>-CH473*'Batt IN'!$E$7</f>
        <v>631.9687592013114</v>
      </c>
      <c r="CJ473" s="48"/>
      <c r="CK473" s="45">
        <f>IF('Batt IN'!$F$4="PV Only",0,IF(C473&gt;'Batt IN'!$H$43*12,0,CC473+CI473))</f>
        <v>0</v>
      </c>
      <c r="CM473" s="10">
        <f t="shared" si="127"/>
        <v>0</v>
      </c>
      <c r="CN473" s="2">
        <f>CK473/(1+('Batt IN'!$G$8))^(C473)</f>
        <v>0</v>
      </c>
      <c r="CO473" s="2" t="e">
        <f>IF(C473&lt;='Batt IN'!$O$30*12,CN473+CO472,NA())</f>
        <v>#N/A</v>
      </c>
      <c r="CQ473" s="2">
        <f>CK473/((1+('Batt IN'!$E$8/12))^BattCalcs!C473)</f>
        <v>0</v>
      </c>
      <c r="CS473" s="10">
        <f t="shared" si="130"/>
        <v>-3009.3750438157685</v>
      </c>
      <c r="CT473" s="10">
        <f t="shared" si="131"/>
        <v>0</v>
      </c>
      <c r="CU473" s="10">
        <f t="shared" si="132"/>
        <v>-3009.3750438157685</v>
      </c>
      <c r="CV473" s="10">
        <f t="shared" si="133"/>
        <v>-3009.3750438157685</v>
      </c>
      <c r="CW473" s="2">
        <f t="shared" si="134"/>
        <v>0</v>
      </c>
      <c r="CX473" s="2">
        <f>-(SUM(CV473:CW473)*'PV IN'!$E$8)</f>
        <v>631.9687592013114</v>
      </c>
      <c r="CY473" s="2">
        <f t="shared" si="135"/>
        <v>-2377.406284614457</v>
      </c>
      <c r="CZ473" s="2">
        <f>IF(C473&lt;='Batt IN'!$H$43*12,CY473/(1+('PV IN'!$G$9))^(C473),0)</f>
        <v>0</v>
      </c>
      <c r="DA473" s="33">
        <f>IF(C473&lt;='Batt IN'!$H$43*12,AE473,0)</f>
        <v>0</v>
      </c>
    </row>
    <row r="474" spans="1:105" x14ac:dyDescent="0.25">
      <c r="A474" t="str">
        <f>IF(C474&lt;='Batt IN'!$H$43*12,C474,"")</f>
        <v/>
      </c>
      <c r="C474">
        <v>470</v>
      </c>
      <c r="D474" s="21">
        <v>900</v>
      </c>
      <c r="E474" s="1">
        <f>1-'Batt IN'!$E$31</f>
        <v>2.0000000000000018E-2</v>
      </c>
      <c r="F474" s="12">
        <f>('Batt IN'!$E$33*365)/8760</f>
        <v>0</v>
      </c>
      <c r="G474" s="22">
        <f>'Batt IN'!$E$32/8760</f>
        <v>5.7077625570776253E-3</v>
      </c>
      <c r="H474" s="22">
        <f>'Batt IN'!$E$13/8760</f>
        <v>5.5936073059360729E-3</v>
      </c>
      <c r="I474" s="23">
        <f>IF(C474&lt;='Batt IN'!$G$14*12,'Batt IN'!$E$15/8760*'Batt IN'!$G$15,0)</f>
        <v>0</v>
      </c>
      <c r="J474" s="12">
        <f>Z474/'Batt IN'!$E$27/730</f>
        <v>2.4999999999999996E-3</v>
      </c>
      <c r="K474" s="23">
        <f>AA474/'Batt IN'!$E$27/730</f>
        <v>1.6027397260273972E-3</v>
      </c>
      <c r="L474" s="23">
        <f>AB474/'Batt IN'!$E$27/730</f>
        <v>2.0547945205479451E-4</v>
      </c>
      <c r="M474" s="23">
        <f>AC474/'Batt IN'!$E$27/730</f>
        <v>4.7945205479452057E-3</v>
      </c>
      <c r="N474" s="23">
        <f>AD474/'Batt IN'!$E$27/730</f>
        <v>3.4246575342465752E-3</v>
      </c>
      <c r="O474" s="12">
        <f t="shared" si="119"/>
        <v>4.3828767123287697E-2</v>
      </c>
      <c r="P474" s="21">
        <f t="shared" si="120"/>
        <v>860.5541095890411</v>
      </c>
      <c r="Q474" s="2">
        <f>IF('Batt IN'!$E$27*'Batt IN'!$E$24&lt;='Batt IN'!$E$28,(('Batt IN'!$E$23*'Batt IN'!$E$27*'Batt IN'!$E$24)/1000)*P474,(('Batt IN'!$E$23*'Batt IN'!$E$28*'Batt IN'!$E$24)/1000)*P474)</f>
        <v>13768.865753424658</v>
      </c>
      <c r="R474" s="2"/>
      <c r="S474" s="77">
        <f>IF(C474&lt;='Batt IN'!$G$14*12,'Batt IN'!$E$15/12,0)</f>
        <v>0</v>
      </c>
      <c r="T474" s="77"/>
      <c r="U474" s="80">
        <f>'Batt IN'!$E$28*('Batt IN'!$G$24/24)*730*(1-O474)</f>
        <v>81433.916666666657</v>
      </c>
      <c r="V474" s="78">
        <f>U474*'Batt IN'!$F$30</f>
        <v>16286.783333333333</v>
      </c>
      <c r="W474" s="78">
        <f>'Batt IN'!$E$28*'Batt IN'!$G$32*('Batt IN'!$E$32/12)*(1+'Batt IN'!$F$30)</f>
        <v>1750.0000000000002</v>
      </c>
      <c r="X474" s="78">
        <f>'Batt IN'!$E$28*'Batt IN'!$G$13*('Batt IN'!$E$13/12)*(1+'Batt IN'!$F$30)</f>
        <v>3184.9999999999995</v>
      </c>
      <c r="Y474" s="33">
        <f>S474*'Batt IN'!$G$15*'Batt IN'!$E$28*(1+'Batt IN'!$F$30)</f>
        <v>0</v>
      </c>
      <c r="Z474" s="33">
        <f>'Batt IN'!$G$16*365/12*(1+'Batt IN'!$F$30)</f>
        <v>1824.9999999999998</v>
      </c>
      <c r="AA474" s="33">
        <f>'Batt IN'!$G$17*'Batt IN'!$E$18*'Batt IN'!$G$18/12*(1+'Batt IN'!$F$30)</f>
        <v>1170</v>
      </c>
      <c r="AB474" s="33">
        <f>'Batt IN'!$G$19*'Batt IN'!$E$20*'Batt IN'!$G$20/12*(1+'Batt IN'!$F$30)</f>
        <v>150</v>
      </c>
      <c r="AC474" s="33">
        <f>'Batt IN'!$G$21*(1+'Batt IN'!$F$30)/12</f>
        <v>3500</v>
      </c>
      <c r="AD474" s="33">
        <f>'Batt IN'!$G$22*(1+'Batt IN'!$F$30)/12</f>
        <v>2500</v>
      </c>
      <c r="AE474" s="33">
        <f t="shared" si="121"/>
        <v>30366.783333333333</v>
      </c>
      <c r="AF474" s="33">
        <f>IF('PV IN'!$F$4="Battery Only",0,AE474*'Batt IN'!$E$29)</f>
        <v>25811.765833333331</v>
      </c>
      <c r="AG474" s="33">
        <f>PVCalcs!L474</f>
        <v>25811.765833333331</v>
      </c>
      <c r="AH474" s="33">
        <f t="shared" si="122"/>
        <v>4555.0175000000017</v>
      </c>
      <c r="AI474" s="33"/>
      <c r="AJ474" s="2">
        <f>IF(AND('Batt IN'!$D$53="Yes",$AL$1&gt;=1),IF($C474='Batt IN'!$H$54*12,-'Batt IN'!$F$54,0),0)</f>
        <v>0</v>
      </c>
      <c r="AK474" s="2">
        <f>IF(AND('Batt IN'!$D$53="Yes",$AL$1&gt;=2),IF($C474='Batt IN'!$H$55*12,-'Batt IN'!$F$55,0),0)</f>
        <v>0</v>
      </c>
      <c r="AL474" s="2">
        <f>IF(AND('Batt IN'!$D$53="Yes",$AL$1&gt;=3),IF($C474='Batt IN'!$H$56*12,-'Batt IN'!$F$56,0),0)</f>
        <v>0</v>
      </c>
      <c r="AM474" s="2">
        <f>IF(AND('Batt IN'!$D$53="Yes",$AL$1&gt;=4),IF($C474='Batt IN'!$H$57*12,-'Batt IN'!$F$57,0),0)</f>
        <v>0</v>
      </c>
      <c r="AN474" s="2">
        <f>IF(AND('Batt IN'!$D$53="Yes",$AL$1&gt;=5),IF($C474='Batt IN'!$H$58*12,-'Batt IN'!$F$58,0),0)</f>
        <v>0</v>
      </c>
      <c r="AO474" s="10">
        <f>IF(AND('Batt IN'!$D$44="YES",$C474&lt;='Batt IN'!$E$44*12),-'Batt IN'!$E$28*'Batt IN'!$E$42/12,0)</f>
        <v>0</v>
      </c>
      <c r="AP474" s="10">
        <f>IF(AND('Batt IN'!$D$46="YES",$C474&lt;='Batt IN'!$E$46*12),-'Batt IN'!$E$28*'Batt IN'!$E$45/12,0)</f>
        <v>0</v>
      </c>
      <c r="AR474" s="10">
        <f>BattLoan!M501</f>
        <v>0</v>
      </c>
      <c r="AS474" s="10">
        <f>'Batt IN'!$G$16*365/12*'Batt IN'!$E$16</f>
        <v>76.041666666666671</v>
      </c>
      <c r="AT474" s="10">
        <f>IF(AND('Batt IN'!$E$18&gt;0,'Batt IN'!$G$18&gt;0),'Batt IN'!$E$17*'Batt IN'!$G$17,0)</f>
        <v>119.44619999999999</v>
      </c>
      <c r="AU474" s="10">
        <f>IF(AND('Batt IN'!$E$20&gt;0,'Batt IN'!$G$20&gt;0),'Batt IN'!$E$19*'Batt IN'!$G$19,0)</f>
        <v>231</v>
      </c>
      <c r="AV474" s="10"/>
      <c r="AW474" s="10"/>
      <c r="AX474" s="10">
        <f>IF('Batt IN'!$E$11="Non-Taxable",Q474,0)</f>
        <v>13768.865753424658</v>
      </c>
      <c r="AY474" s="10">
        <f>IF('Batt IN'!$E$11="Non-Taxable",'Batt IN'!$E$28/1000*'Batt IN'!$G$13*('Batt IN'!$E$13/12)*'Batt IN'!$E$12,0)</f>
        <v>244.42220833333334</v>
      </c>
      <c r="AZ474" s="10">
        <f>IF('Batt IN'!$E$11="Non-Taxable",$S474*'Batt IN'!$G$15*'Batt IN'!$E$28*'Batt IN'!$E$14/1000,0)</f>
        <v>0</v>
      </c>
      <c r="BA474" s="10">
        <f>IF('Batt IN'!$E$11="Non-Taxable",'Batt IN'!$E$21*'Batt IN'!$G$21/12,0)</f>
        <v>437.5</v>
      </c>
      <c r="BB474" s="10">
        <f>IF('Batt IN'!$E$11="Non-Taxable",'Batt IN'!$E$22*'Batt IN'!$G$22/12,0)</f>
        <v>1145.8333333333335</v>
      </c>
      <c r="BC474" s="10">
        <f>IF('Batt IN'!$E$11="Taxable",Q474,0)</f>
        <v>0</v>
      </c>
      <c r="BD474" s="10">
        <f>IF('Batt IN'!$E$11="Taxable",'Batt IN'!$E$28/1000*'Batt IN'!$G$13*('Batt IN'!$E$13/12)*'Batt IN'!$E$12,0)</f>
        <v>0</v>
      </c>
      <c r="BE474" s="10">
        <f>IF('Batt IN'!$E$11="Taxable",$S474*'Batt IN'!$G$15*'Batt IN'!$E$28*'Batt IN'!$E$14/1000,0)</f>
        <v>0</v>
      </c>
      <c r="BF474" s="10">
        <f>IF('Batt IN'!$E$11="Taxable",'Batt IN'!$E$21*'Batt IN'!$G$21/12,0)</f>
        <v>0</v>
      </c>
      <c r="BG474" s="10">
        <f>IF('Batt IN'!$E$11="Taxable",'Batt IN'!$E$22*'Batt IN'!$G$22/12,0)</f>
        <v>0</v>
      </c>
      <c r="BK474" s="10">
        <f>IF('Batt IN'!$N$18="Yes",-BattLoan!H502,-BattLoan!L502)</f>
        <v>0</v>
      </c>
      <c r="BL474" s="10">
        <f>IF('Batt IN'!$N$18="Yes",-BattLoan!F502,0)</f>
        <v>0</v>
      </c>
      <c r="BM474" s="10">
        <f>IF(AND('Batt IN'!$D$44="YES",$C474&lt;='Batt IN'!$E$44*12),0,-'Batt IN'!$E$28*'Batt IN'!$E$42/12)</f>
        <v>-83.333333333333329</v>
      </c>
      <c r="BN474" s="10">
        <f>IF(AND('Batt IN'!$D$46="YES",$C474&lt;='Batt IN'!$E$46*12),0,-'Batt IN'!$E$28*'Batt IN'!$E$45/12)</f>
        <v>-166.66666666666666</v>
      </c>
      <c r="BO474" s="2">
        <f>IF(AND('Batt IN'!$D$41="YES",BattCalcs!C474=ROUNDUP('Batt IN'!$H$41*12,)),-'Batt IN'!$E$41*'Batt IN'!$E$28,0)</f>
        <v>0</v>
      </c>
      <c r="BP474" s="2">
        <f>IF(AND('Batt IN'!$D$53="Yes",$AL$1&gt;=1),0,IF($C474='Batt IN'!$H$54*12,-'Batt IN'!$F$54,0))</f>
        <v>0</v>
      </c>
      <c r="BQ474" s="2">
        <f>IF(AND('Batt IN'!$D$53="Yes",$AL$1&gt;=2),0,IF($C474='Batt IN'!$H$55*12,-'Batt IN'!$F$55,0))</f>
        <v>0</v>
      </c>
      <c r="BR474" s="2">
        <f>IF(AND('Batt IN'!$D$53="Yes",$AL$1&gt;=3),0,IF($C474='Batt IN'!$H$56*12,-'Batt IN'!$F$56,0))</f>
        <v>0</v>
      </c>
      <c r="BS474" s="2">
        <f>IF(AND('Batt IN'!$D$53="Yes",$AL$1&gt;=4),0,IF($C474='Batt IN'!$H$57*12,-'Batt IN'!$F$57,0))</f>
        <v>0</v>
      </c>
      <c r="BT474" s="2">
        <f>IF(AND('Batt IN'!$D$53="Yes",$AL$1&gt;=5),0,IF($C474='Batt IN'!$H$58*12,-'Batt IN'!$F$58,0))</f>
        <v>0</v>
      </c>
      <c r="BU474" s="2">
        <f>-AH474*PVCalcs!F474</f>
        <v>-359.37504381576838</v>
      </c>
      <c r="BV474" s="2">
        <f>-'Batt IN'!$E$47</f>
        <v>-150</v>
      </c>
      <c r="BW474" s="2">
        <f>-'Batt IN'!$E$49</f>
        <v>-2250</v>
      </c>
      <c r="BX474" s="2">
        <f>IF('Batt IN'!$H$50="No",-(BC474*'Batt IN'!$E$50),-(BC474+BE474)*'Batt IN'!$E$50)</f>
        <v>0</v>
      </c>
      <c r="BY474" s="2">
        <f>IF(C474='Batt IN'!$H$43*12,-'Batt IN'!$E$43,0)</f>
        <v>0</v>
      </c>
      <c r="BZ474" s="38"/>
      <c r="CA474" s="10">
        <f t="shared" si="123"/>
        <v>16023.109161757991</v>
      </c>
      <c r="CB474" s="2">
        <f t="shared" si="128"/>
        <v>-3009.3750438157685</v>
      </c>
      <c r="CC474" s="45">
        <f t="shared" si="124"/>
        <v>13013.734117942222</v>
      </c>
      <c r="CD474" s="43"/>
      <c r="CE474" s="2">
        <f t="shared" si="125"/>
        <v>0</v>
      </c>
      <c r="CF474" s="2">
        <f t="shared" si="129"/>
        <v>-3009.3750438157685</v>
      </c>
      <c r="CG474" s="2"/>
      <c r="CH474" s="2">
        <f t="shared" si="126"/>
        <v>-3009.3750438157685</v>
      </c>
      <c r="CI474" s="45">
        <f>-CH474*'Batt IN'!$E$7</f>
        <v>631.9687592013114</v>
      </c>
      <c r="CJ474" s="48"/>
      <c r="CK474" s="45">
        <f>IF('Batt IN'!$F$4="PV Only",0,IF(C474&gt;'Batt IN'!$H$43*12,0,CC474+CI474))</f>
        <v>0</v>
      </c>
      <c r="CM474" s="10">
        <f t="shared" si="127"/>
        <v>0</v>
      </c>
      <c r="CN474" s="2">
        <f>CK474/(1+('Batt IN'!$G$8))^(C474)</f>
        <v>0</v>
      </c>
      <c r="CO474" s="2" t="e">
        <f>IF(C474&lt;='Batt IN'!$O$30*12,CN474+CO473,NA())</f>
        <v>#N/A</v>
      </c>
      <c r="CQ474" s="2">
        <f>CK474/((1+('Batt IN'!$E$8/12))^BattCalcs!C474)</f>
        <v>0</v>
      </c>
      <c r="CS474" s="10">
        <f t="shared" si="130"/>
        <v>-3009.3750438157685</v>
      </c>
      <c r="CT474" s="10">
        <f t="shared" si="131"/>
        <v>0</v>
      </c>
      <c r="CU474" s="10">
        <f t="shared" si="132"/>
        <v>-3009.3750438157685</v>
      </c>
      <c r="CV474" s="10">
        <f t="shared" si="133"/>
        <v>-3009.3750438157685</v>
      </c>
      <c r="CW474" s="2">
        <f t="shared" si="134"/>
        <v>0</v>
      </c>
      <c r="CX474" s="2">
        <f>-(SUM(CV474:CW474)*'PV IN'!$E$8)</f>
        <v>631.9687592013114</v>
      </c>
      <c r="CY474" s="2">
        <f t="shared" si="135"/>
        <v>-2377.406284614457</v>
      </c>
      <c r="CZ474" s="2">
        <f>IF(C474&lt;='Batt IN'!$H$43*12,CY474/(1+('PV IN'!$G$9))^(C474),0)</f>
        <v>0</v>
      </c>
      <c r="DA474" s="33">
        <f>IF(C474&lt;='Batt IN'!$H$43*12,AE474,0)</f>
        <v>0</v>
      </c>
    </row>
    <row r="475" spans="1:105" x14ac:dyDescent="0.25">
      <c r="A475" t="str">
        <f>IF(C475&lt;='Batt IN'!$H$43*12,C475,"")</f>
        <v/>
      </c>
      <c r="C475">
        <v>471</v>
      </c>
      <c r="D475" s="21">
        <v>901</v>
      </c>
      <c r="E475" s="1">
        <f>1-'Batt IN'!$E$31</f>
        <v>2.0000000000000018E-2</v>
      </c>
      <c r="F475" s="12">
        <f>('Batt IN'!$E$33*365)/8760</f>
        <v>0</v>
      </c>
      <c r="G475" s="22">
        <f>'Batt IN'!$E$32/8760</f>
        <v>5.7077625570776253E-3</v>
      </c>
      <c r="H475" s="22">
        <f>'Batt IN'!$E$13/8760</f>
        <v>5.5936073059360729E-3</v>
      </c>
      <c r="I475" s="23">
        <f>IF(C475&lt;='Batt IN'!$G$14*12,'Batt IN'!$E$15/8760*'Batt IN'!$G$15,0)</f>
        <v>0</v>
      </c>
      <c r="J475" s="12">
        <f>Z475/'Batt IN'!$E$27/730</f>
        <v>2.4999999999999996E-3</v>
      </c>
      <c r="K475" s="23">
        <f>AA475/'Batt IN'!$E$27/730</f>
        <v>1.6027397260273972E-3</v>
      </c>
      <c r="L475" s="23">
        <f>AB475/'Batt IN'!$E$27/730</f>
        <v>2.0547945205479451E-4</v>
      </c>
      <c r="M475" s="23">
        <f>AC475/'Batt IN'!$E$27/730</f>
        <v>4.7945205479452057E-3</v>
      </c>
      <c r="N475" s="23">
        <f>AD475/'Batt IN'!$E$27/730</f>
        <v>3.4246575342465752E-3</v>
      </c>
      <c r="O475" s="12">
        <f t="shared" si="119"/>
        <v>4.3828767123287697E-2</v>
      </c>
      <c r="P475" s="21">
        <f t="shared" si="120"/>
        <v>861.51028082191783</v>
      </c>
      <c r="Q475" s="2">
        <f>IF('Batt IN'!$E$27*'Batt IN'!$E$24&lt;='Batt IN'!$E$28,(('Batt IN'!$E$23*'Batt IN'!$E$27*'Batt IN'!$E$24)/1000)*P475,(('Batt IN'!$E$23*'Batt IN'!$E$28*'Batt IN'!$E$24)/1000)*P475)</f>
        <v>13784.164493150685</v>
      </c>
      <c r="R475" s="2"/>
      <c r="S475" s="77">
        <f>IF(C475&lt;='Batt IN'!$G$14*12,'Batt IN'!$E$15/12,0)</f>
        <v>0</v>
      </c>
      <c r="T475" s="77"/>
      <c r="U475" s="80">
        <f>'Batt IN'!$E$28*('Batt IN'!$G$24/24)*730*(1-O475)</f>
        <v>81433.916666666657</v>
      </c>
      <c r="V475" s="78">
        <f>U475*'Batt IN'!$F$30</f>
        <v>16286.783333333333</v>
      </c>
      <c r="W475" s="78">
        <f>'Batt IN'!$E$28*'Batt IN'!$G$32*('Batt IN'!$E$32/12)*(1+'Batt IN'!$F$30)</f>
        <v>1750.0000000000002</v>
      </c>
      <c r="X475" s="78">
        <f>'Batt IN'!$E$28*'Batt IN'!$G$13*('Batt IN'!$E$13/12)*(1+'Batt IN'!$F$30)</f>
        <v>3184.9999999999995</v>
      </c>
      <c r="Y475" s="33">
        <f>S475*'Batt IN'!$G$15*'Batt IN'!$E$28*(1+'Batt IN'!$F$30)</f>
        <v>0</v>
      </c>
      <c r="Z475" s="33">
        <f>'Batt IN'!$G$16*365/12*(1+'Batt IN'!$F$30)</f>
        <v>1824.9999999999998</v>
      </c>
      <c r="AA475" s="33">
        <f>'Batt IN'!$G$17*'Batt IN'!$E$18*'Batt IN'!$G$18/12*(1+'Batt IN'!$F$30)</f>
        <v>1170</v>
      </c>
      <c r="AB475" s="33">
        <f>'Batt IN'!$G$19*'Batt IN'!$E$20*'Batt IN'!$G$20/12*(1+'Batt IN'!$F$30)</f>
        <v>150</v>
      </c>
      <c r="AC475" s="33">
        <f>'Batt IN'!$G$21*(1+'Batt IN'!$F$30)/12</f>
        <v>3500</v>
      </c>
      <c r="AD475" s="33">
        <f>'Batt IN'!$G$22*(1+'Batt IN'!$F$30)/12</f>
        <v>2500</v>
      </c>
      <c r="AE475" s="33">
        <f t="shared" si="121"/>
        <v>30366.783333333333</v>
      </c>
      <c r="AF475" s="33">
        <f>IF('PV IN'!$F$4="Battery Only",0,AE475*'Batt IN'!$E$29)</f>
        <v>25811.765833333331</v>
      </c>
      <c r="AG475" s="33">
        <f>PVCalcs!L475</f>
        <v>25811.765833333331</v>
      </c>
      <c r="AH475" s="33">
        <f t="shared" si="122"/>
        <v>4555.0175000000017</v>
      </c>
      <c r="AI475" s="33"/>
      <c r="AJ475" s="2">
        <f>IF(AND('Batt IN'!$D$53="Yes",$AL$1&gt;=1),IF($C475='Batt IN'!$H$54*12,-'Batt IN'!$F$54,0),0)</f>
        <v>0</v>
      </c>
      <c r="AK475" s="2">
        <f>IF(AND('Batt IN'!$D$53="Yes",$AL$1&gt;=2),IF($C475='Batt IN'!$H$55*12,-'Batt IN'!$F$55,0),0)</f>
        <v>0</v>
      </c>
      <c r="AL475" s="2">
        <f>IF(AND('Batt IN'!$D$53="Yes",$AL$1&gt;=3),IF($C475='Batt IN'!$H$56*12,-'Batt IN'!$F$56,0),0)</f>
        <v>0</v>
      </c>
      <c r="AM475" s="2">
        <f>IF(AND('Batt IN'!$D$53="Yes",$AL$1&gt;=4),IF($C475='Batt IN'!$H$57*12,-'Batt IN'!$F$57,0),0)</f>
        <v>0</v>
      </c>
      <c r="AN475" s="2">
        <f>IF(AND('Batt IN'!$D$53="Yes",$AL$1&gt;=5),IF($C475='Batt IN'!$H$58*12,-'Batt IN'!$F$58,0),0)</f>
        <v>0</v>
      </c>
      <c r="AO475" s="10">
        <f>IF(AND('Batt IN'!$D$44="YES",$C475&lt;='Batt IN'!$E$44*12),-'Batt IN'!$E$28*'Batt IN'!$E$42/12,0)</f>
        <v>0</v>
      </c>
      <c r="AP475" s="10">
        <f>IF(AND('Batt IN'!$D$46="YES",$C475&lt;='Batt IN'!$E$46*12),-'Batt IN'!$E$28*'Batt IN'!$E$45/12,0)</f>
        <v>0</v>
      </c>
      <c r="AR475" s="10">
        <f>BattLoan!M502</f>
        <v>0</v>
      </c>
      <c r="AS475" s="10">
        <f>'Batt IN'!$G$16*365/12*'Batt IN'!$E$16</f>
        <v>76.041666666666671</v>
      </c>
      <c r="AT475" s="10">
        <f>IF(AND('Batt IN'!$E$18&gt;0,'Batt IN'!$G$18&gt;0),'Batt IN'!$E$17*'Batt IN'!$G$17,0)</f>
        <v>119.44619999999999</v>
      </c>
      <c r="AU475" s="10">
        <f>IF(AND('Batt IN'!$E$20&gt;0,'Batt IN'!$G$20&gt;0),'Batt IN'!$E$19*'Batt IN'!$G$19,0)</f>
        <v>231</v>
      </c>
      <c r="AV475" s="10"/>
      <c r="AW475" s="10"/>
      <c r="AX475" s="10">
        <f>IF('Batt IN'!$E$11="Non-Taxable",Q475,0)</f>
        <v>13784.164493150685</v>
      </c>
      <c r="AY475" s="10">
        <f>IF('Batt IN'!$E$11="Non-Taxable",'Batt IN'!$E$28/1000*'Batt IN'!$G$13*('Batt IN'!$E$13/12)*'Batt IN'!$E$12,0)</f>
        <v>244.42220833333334</v>
      </c>
      <c r="AZ475" s="10">
        <f>IF('Batt IN'!$E$11="Non-Taxable",$S475*'Batt IN'!$G$15*'Batt IN'!$E$28*'Batt IN'!$E$14/1000,0)</f>
        <v>0</v>
      </c>
      <c r="BA475" s="10">
        <f>IF('Batt IN'!$E$11="Non-Taxable",'Batt IN'!$E$21*'Batt IN'!$G$21/12,0)</f>
        <v>437.5</v>
      </c>
      <c r="BB475" s="10">
        <f>IF('Batt IN'!$E$11="Non-Taxable",'Batt IN'!$E$22*'Batt IN'!$G$22/12,0)</f>
        <v>1145.8333333333335</v>
      </c>
      <c r="BC475" s="10">
        <f>IF('Batt IN'!$E$11="Taxable",Q475,0)</f>
        <v>0</v>
      </c>
      <c r="BD475" s="10">
        <f>IF('Batt IN'!$E$11="Taxable",'Batt IN'!$E$28/1000*'Batt IN'!$G$13*('Batt IN'!$E$13/12)*'Batt IN'!$E$12,0)</f>
        <v>0</v>
      </c>
      <c r="BE475" s="10">
        <f>IF('Batt IN'!$E$11="Taxable",$S475*'Batt IN'!$G$15*'Batt IN'!$E$28*'Batt IN'!$E$14/1000,0)</f>
        <v>0</v>
      </c>
      <c r="BF475" s="10">
        <f>IF('Batt IN'!$E$11="Taxable",'Batt IN'!$E$21*'Batt IN'!$G$21/12,0)</f>
        <v>0</v>
      </c>
      <c r="BG475" s="10">
        <f>IF('Batt IN'!$E$11="Taxable",'Batt IN'!$E$22*'Batt IN'!$G$22/12,0)</f>
        <v>0</v>
      </c>
      <c r="BK475" s="10">
        <f>IF('Batt IN'!$N$18="Yes",-BattLoan!H503,-BattLoan!L503)</f>
        <v>0</v>
      </c>
      <c r="BL475" s="10">
        <f>IF('Batt IN'!$N$18="Yes",-BattLoan!F503,0)</f>
        <v>0</v>
      </c>
      <c r="BM475" s="10">
        <f>IF(AND('Batt IN'!$D$44="YES",$C475&lt;='Batt IN'!$E$44*12),0,-'Batt IN'!$E$28*'Batt IN'!$E$42/12)</f>
        <v>-83.333333333333329</v>
      </c>
      <c r="BN475" s="10">
        <f>IF(AND('Batt IN'!$D$46="YES",$C475&lt;='Batt IN'!$E$46*12),0,-'Batt IN'!$E$28*'Batt IN'!$E$45/12)</f>
        <v>-166.66666666666666</v>
      </c>
      <c r="BO475" s="2">
        <f>IF(AND('Batt IN'!$D$41="YES",BattCalcs!C475=ROUNDUP('Batt IN'!$H$41*12,)),-'Batt IN'!$E$41*'Batt IN'!$E$28,0)</f>
        <v>0</v>
      </c>
      <c r="BP475" s="2">
        <f>IF(AND('Batt IN'!$D$53="Yes",$AL$1&gt;=1),0,IF($C475='Batt IN'!$H$54*12,-'Batt IN'!$F$54,0))</f>
        <v>0</v>
      </c>
      <c r="BQ475" s="2">
        <f>IF(AND('Batt IN'!$D$53="Yes",$AL$1&gt;=2),0,IF($C475='Batt IN'!$H$55*12,-'Batt IN'!$F$55,0))</f>
        <v>0</v>
      </c>
      <c r="BR475" s="2">
        <f>IF(AND('Batt IN'!$D$53="Yes",$AL$1&gt;=3),0,IF($C475='Batt IN'!$H$56*12,-'Batt IN'!$F$56,0))</f>
        <v>0</v>
      </c>
      <c r="BS475" s="2">
        <f>IF(AND('Batt IN'!$D$53="Yes",$AL$1&gt;=4),0,IF($C475='Batt IN'!$H$57*12,-'Batt IN'!$F$57,0))</f>
        <v>0</v>
      </c>
      <c r="BT475" s="2">
        <f>IF(AND('Batt IN'!$D$53="Yes",$AL$1&gt;=5),0,IF($C475='Batt IN'!$H$58*12,-'Batt IN'!$F$58,0))</f>
        <v>0</v>
      </c>
      <c r="BU475" s="2">
        <f>-AH475*PVCalcs!F475</f>
        <v>-359.37504381576838</v>
      </c>
      <c r="BV475" s="2">
        <f>-'Batt IN'!$E$47</f>
        <v>-150</v>
      </c>
      <c r="BW475" s="2">
        <f>-'Batt IN'!$E$49</f>
        <v>-2250</v>
      </c>
      <c r="BX475" s="2">
        <f>IF('Batt IN'!$H$50="No",-(BC475*'Batt IN'!$E$50),-(BC475+BE475)*'Batt IN'!$E$50)</f>
        <v>0</v>
      </c>
      <c r="BY475" s="2">
        <f>IF(C475='Batt IN'!$H$43*12,-'Batt IN'!$E$43,0)</f>
        <v>0</v>
      </c>
      <c r="BZ475" s="38"/>
      <c r="CA475" s="10">
        <f t="shared" si="123"/>
        <v>16038.407901484019</v>
      </c>
      <c r="CB475" s="2">
        <f t="shared" si="128"/>
        <v>-3009.3750438157685</v>
      </c>
      <c r="CC475" s="45">
        <f t="shared" si="124"/>
        <v>13029.032857668251</v>
      </c>
      <c r="CD475" s="43"/>
      <c r="CE475" s="2">
        <f t="shared" si="125"/>
        <v>0</v>
      </c>
      <c r="CF475" s="2">
        <f t="shared" si="129"/>
        <v>-3009.3750438157685</v>
      </c>
      <c r="CG475" s="2"/>
      <c r="CH475" s="2">
        <f t="shared" si="126"/>
        <v>-3009.3750438157685</v>
      </c>
      <c r="CI475" s="45">
        <f>-CH475*'Batt IN'!$E$7</f>
        <v>631.9687592013114</v>
      </c>
      <c r="CJ475" s="48"/>
      <c r="CK475" s="45">
        <f>IF('Batt IN'!$F$4="PV Only",0,IF(C475&gt;'Batt IN'!$H$43*12,0,CC475+CI475))</f>
        <v>0</v>
      </c>
      <c r="CM475" s="10">
        <f t="shared" si="127"/>
        <v>0</v>
      </c>
      <c r="CN475" s="2">
        <f>CK475/(1+('Batt IN'!$G$8))^(C475)</f>
        <v>0</v>
      </c>
      <c r="CO475" s="2" t="e">
        <f>IF(C475&lt;='Batt IN'!$O$30*12,CN475+CO474,NA())</f>
        <v>#N/A</v>
      </c>
      <c r="CQ475" s="2">
        <f>CK475/((1+('Batt IN'!$E$8/12))^BattCalcs!C475)</f>
        <v>0</v>
      </c>
      <c r="CS475" s="10">
        <f t="shared" si="130"/>
        <v>-3009.3750438157685</v>
      </c>
      <c r="CT475" s="10">
        <f t="shared" si="131"/>
        <v>0</v>
      </c>
      <c r="CU475" s="10">
        <f t="shared" si="132"/>
        <v>-3009.3750438157685</v>
      </c>
      <c r="CV475" s="10">
        <f t="shared" si="133"/>
        <v>-3009.3750438157685</v>
      </c>
      <c r="CW475" s="2">
        <f t="shared" si="134"/>
        <v>0</v>
      </c>
      <c r="CX475" s="2">
        <f>-(SUM(CV475:CW475)*'PV IN'!$E$8)</f>
        <v>631.9687592013114</v>
      </c>
      <c r="CY475" s="2">
        <f t="shared" si="135"/>
        <v>-2377.406284614457</v>
      </c>
      <c r="CZ475" s="2">
        <f>IF(C475&lt;='Batt IN'!$H$43*12,CY475/(1+('PV IN'!$G$9))^(C475),0)</f>
        <v>0</v>
      </c>
      <c r="DA475" s="33">
        <f>IF(C475&lt;='Batt IN'!$H$43*12,AE475,0)</f>
        <v>0</v>
      </c>
    </row>
    <row r="476" spans="1:105" x14ac:dyDescent="0.25">
      <c r="A476" t="str">
        <f>IF(C476&lt;='Batt IN'!$H$43*12,C476,"")</f>
        <v/>
      </c>
      <c r="C476">
        <v>472</v>
      </c>
      <c r="D476" s="21">
        <v>902</v>
      </c>
      <c r="E476" s="1">
        <f>1-'Batt IN'!$E$31</f>
        <v>2.0000000000000018E-2</v>
      </c>
      <c r="F476" s="12">
        <f>('Batt IN'!$E$33*365)/8760</f>
        <v>0</v>
      </c>
      <c r="G476" s="22">
        <f>'Batt IN'!$E$32/8760</f>
        <v>5.7077625570776253E-3</v>
      </c>
      <c r="H476" s="22">
        <f>'Batt IN'!$E$13/8760</f>
        <v>5.5936073059360729E-3</v>
      </c>
      <c r="I476" s="23">
        <f>IF(C476&lt;='Batt IN'!$G$14*12,'Batt IN'!$E$15/8760*'Batt IN'!$G$15,0)</f>
        <v>0</v>
      </c>
      <c r="J476" s="12">
        <f>Z476/'Batt IN'!$E$27/730</f>
        <v>2.4999999999999996E-3</v>
      </c>
      <c r="K476" s="23">
        <f>AA476/'Batt IN'!$E$27/730</f>
        <v>1.6027397260273972E-3</v>
      </c>
      <c r="L476" s="23">
        <f>AB476/'Batt IN'!$E$27/730</f>
        <v>2.0547945205479451E-4</v>
      </c>
      <c r="M476" s="23">
        <f>AC476/'Batt IN'!$E$27/730</f>
        <v>4.7945205479452057E-3</v>
      </c>
      <c r="N476" s="23">
        <f>AD476/'Batt IN'!$E$27/730</f>
        <v>3.4246575342465752E-3</v>
      </c>
      <c r="O476" s="12">
        <f t="shared" si="119"/>
        <v>4.3828767123287697E-2</v>
      </c>
      <c r="P476" s="21">
        <f t="shared" si="120"/>
        <v>862.46645205479456</v>
      </c>
      <c r="Q476" s="2">
        <f>IF('Batt IN'!$E$27*'Batt IN'!$E$24&lt;='Batt IN'!$E$28,(('Batt IN'!$E$23*'Batt IN'!$E$27*'Batt IN'!$E$24)/1000)*P476,(('Batt IN'!$E$23*'Batt IN'!$E$28*'Batt IN'!$E$24)/1000)*P476)</f>
        <v>13799.463232876713</v>
      </c>
      <c r="R476" s="2"/>
      <c r="S476" s="77">
        <f>IF(C476&lt;='Batt IN'!$G$14*12,'Batt IN'!$E$15/12,0)</f>
        <v>0</v>
      </c>
      <c r="T476" s="77"/>
      <c r="U476" s="80">
        <f>'Batt IN'!$E$28*('Batt IN'!$G$24/24)*730*(1-O476)</f>
        <v>81433.916666666657</v>
      </c>
      <c r="V476" s="78">
        <f>U476*'Batt IN'!$F$30</f>
        <v>16286.783333333333</v>
      </c>
      <c r="W476" s="78">
        <f>'Batt IN'!$E$28*'Batt IN'!$G$32*('Batt IN'!$E$32/12)*(1+'Batt IN'!$F$30)</f>
        <v>1750.0000000000002</v>
      </c>
      <c r="X476" s="78">
        <f>'Batt IN'!$E$28*'Batt IN'!$G$13*('Batt IN'!$E$13/12)*(1+'Batt IN'!$F$30)</f>
        <v>3184.9999999999995</v>
      </c>
      <c r="Y476" s="33">
        <f>S476*'Batt IN'!$G$15*'Batt IN'!$E$28*(1+'Batt IN'!$F$30)</f>
        <v>0</v>
      </c>
      <c r="Z476" s="33">
        <f>'Batt IN'!$G$16*365/12*(1+'Batt IN'!$F$30)</f>
        <v>1824.9999999999998</v>
      </c>
      <c r="AA476" s="33">
        <f>'Batt IN'!$G$17*'Batt IN'!$E$18*'Batt IN'!$G$18/12*(1+'Batt IN'!$F$30)</f>
        <v>1170</v>
      </c>
      <c r="AB476" s="33">
        <f>'Batt IN'!$G$19*'Batt IN'!$E$20*'Batt IN'!$G$20/12*(1+'Batt IN'!$F$30)</f>
        <v>150</v>
      </c>
      <c r="AC476" s="33">
        <f>'Batt IN'!$G$21*(1+'Batt IN'!$F$30)/12</f>
        <v>3500</v>
      </c>
      <c r="AD476" s="33">
        <f>'Batt IN'!$G$22*(1+'Batt IN'!$F$30)/12</f>
        <v>2500</v>
      </c>
      <c r="AE476" s="33">
        <f t="shared" si="121"/>
        <v>30366.783333333333</v>
      </c>
      <c r="AF476" s="33">
        <f>IF('PV IN'!$F$4="Battery Only",0,AE476*'Batt IN'!$E$29)</f>
        <v>25811.765833333331</v>
      </c>
      <c r="AG476" s="33">
        <f>PVCalcs!L476</f>
        <v>25811.765833333331</v>
      </c>
      <c r="AH476" s="33">
        <f t="shared" si="122"/>
        <v>4555.0175000000017</v>
      </c>
      <c r="AI476" s="33"/>
      <c r="AJ476" s="2">
        <f>IF(AND('Batt IN'!$D$53="Yes",$AL$1&gt;=1),IF($C476='Batt IN'!$H$54*12,-'Batt IN'!$F$54,0),0)</f>
        <v>0</v>
      </c>
      <c r="AK476" s="2">
        <f>IF(AND('Batt IN'!$D$53="Yes",$AL$1&gt;=2),IF($C476='Batt IN'!$H$55*12,-'Batt IN'!$F$55,0),0)</f>
        <v>0</v>
      </c>
      <c r="AL476" s="2">
        <f>IF(AND('Batt IN'!$D$53="Yes",$AL$1&gt;=3),IF($C476='Batt IN'!$H$56*12,-'Batt IN'!$F$56,0),0)</f>
        <v>0</v>
      </c>
      <c r="AM476" s="2">
        <f>IF(AND('Batt IN'!$D$53="Yes",$AL$1&gt;=4),IF($C476='Batt IN'!$H$57*12,-'Batt IN'!$F$57,0),0)</f>
        <v>0</v>
      </c>
      <c r="AN476" s="2">
        <f>IF(AND('Batt IN'!$D$53="Yes",$AL$1&gt;=5),IF($C476='Batt IN'!$H$58*12,-'Batt IN'!$F$58,0),0)</f>
        <v>0</v>
      </c>
      <c r="AO476" s="10">
        <f>IF(AND('Batt IN'!$D$44="YES",$C476&lt;='Batt IN'!$E$44*12),-'Batt IN'!$E$28*'Batt IN'!$E$42/12,0)</f>
        <v>0</v>
      </c>
      <c r="AP476" s="10">
        <f>IF(AND('Batt IN'!$D$46="YES",$C476&lt;='Batt IN'!$E$46*12),-'Batt IN'!$E$28*'Batt IN'!$E$45/12,0)</f>
        <v>0</v>
      </c>
      <c r="AR476" s="10">
        <f>BattLoan!M503</f>
        <v>0</v>
      </c>
      <c r="AS476" s="10">
        <f>'Batt IN'!$G$16*365/12*'Batt IN'!$E$16</f>
        <v>76.041666666666671</v>
      </c>
      <c r="AT476" s="10">
        <f>IF(AND('Batt IN'!$E$18&gt;0,'Batt IN'!$G$18&gt;0),'Batt IN'!$E$17*'Batt IN'!$G$17,0)</f>
        <v>119.44619999999999</v>
      </c>
      <c r="AU476" s="10">
        <f>IF(AND('Batt IN'!$E$20&gt;0,'Batt IN'!$G$20&gt;0),'Batt IN'!$E$19*'Batt IN'!$G$19,0)</f>
        <v>231</v>
      </c>
      <c r="AV476" s="10"/>
      <c r="AW476" s="10"/>
      <c r="AX476" s="10">
        <f>IF('Batt IN'!$E$11="Non-Taxable",Q476,0)</f>
        <v>13799.463232876713</v>
      </c>
      <c r="AY476" s="10">
        <f>IF('Batt IN'!$E$11="Non-Taxable",'Batt IN'!$E$28/1000*'Batt IN'!$G$13*('Batt IN'!$E$13/12)*'Batt IN'!$E$12,0)</f>
        <v>244.42220833333334</v>
      </c>
      <c r="AZ476" s="10">
        <f>IF('Batt IN'!$E$11="Non-Taxable",$S476*'Batt IN'!$G$15*'Batt IN'!$E$28*'Batt IN'!$E$14/1000,0)</f>
        <v>0</v>
      </c>
      <c r="BA476" s="10">
        <f>IF('Batt IN'!$E$11="Non-Taxable",'Batt IN'!$E$21*'Batt IN'!$G$21/12,0)</f>
        <v>437.5</v>
      </c>
      <c r="BB476" s="10">
        <f>IF('Batt IN'!$E$11="Non-Taxable",'Batt IN'!$E$22*'Batt IN'!$G$22/12,0)</f>
        <v>1145.8333333333335</v>
      </c>
      <c r="BC476" s="10">
        <f>IF('Batt IN'!$E$11="Taxable",Q476,0)</f>
        <v>0</v>
      </c>
      <c r="BD476" s="10">
        <f>IF('Batt IN'!$E$11="Taxable",'Batt IN'!$E$28/1000*'Batt IN'!$G$13*('Batt IN'!$E$13/12)*'Batt IN'!$E$12,0)</f>
        <v>0</v>
      </c>
      <c r="BE476" s="10">
        <f>IF('Batt IN'!$E$11="Taxable",$S476*'Batt IN'!$G$15*'Batt IN'!$E$28*'Batt IN'!$E$14/1000,0)</f>
        <v>0</v>
      </c>
      <c r="BF476" s="10">
        <f>IF('Batt IN'!$E$11="Taxable",'Batt IN'!$E$21*'Batt IN'!$G$21/12,0)</f>
        <v>0</v>
      </c>
      <c r="BG476" s="10">
        <f>IF('Batt IN'!$E$11="Taxable",'Batt IN'!$E$22*'Batt IN'!$G$22/12,0)</f>
        <v>0</v>
      </c>
      <c r="BK476" s="10">
        <f>IF('Batt IN'!$N$18="Yes",-BattLoan!H504,-BattLoan!L504)</f>
        <v>0</v>
      </c>
      <c r="BL476" s="10">
        <f>IF('Batt IN'!$N$18="Yes",-BattLoan!F504,0)</f>
        <v>0</v>
      </c>
      <c r="BM476" s="10">
        <f>IF(AND('Batt IN'!$D$44="YES",$C476&lt;='Batt IN'!$E$44*12),0,-'Batt IN'!$E$28*'Batt IN'!$E$42/12)</f>
        <v>-83.333333333333329</v>
      </c>
      <c r="BN476" s="10">
        <f>IF(AND('Batt IN'!$D$46="YES",$C476&lt;='Batt IN'!$E$46*12),0,-'Batt IN'!$E$28*'Batt IN'!$E$45/12)</f>
        <v>-166.66666666666666</v>
      </c>
      <c r="BO476" s="2">
        <f>IF(AND('Batt IN'!$D$41="YES",BattCalcs!C476=ROUNDUP('Batt IN'!$H$41*12,)),-'Batt IN'!$E$41*'Batt IN'!$E$28,0)</f>
        <v>0</v>
      </c>
      <c r="BP476" s="2">
        <f>IF(AND('Batt IN'!$D$53="Yes",$AL$1&gt;=1),0,IF($C476='Batt IN'!$H$54*12,-'Batt IN'!$F$54,0))</f>
        <v>0</v>
      </c>
      <c r="BQ476" s="2">
        <f>IF(AND('Batt IN'!$D$53="Yes",$AL$1&gt;=2),0,IF($C476='Batt IN'!$H$55*12,-'Batt IN'!$F$55,0))</f>
        <v>0</v>
      </c>
      <c r="BR476" s="2">
        <f>IF(AND('Batt IN'!$D$53="Yes",$AL$1&gt;=3),0,IF($C476='Batt IN'!$H$56*12,-'Batt IN'!$F$56,0))</f>
        <v>0</v>
      </c>
      <c r="BS476" s="2">
        <f>IF(AND('Batt IN'!$D$53="Yes",$AL$1&gt;=4),0,IF($C476='Batt IN'!$H$57*12,-'Batt IN'!$F$57,0))</f>
        <v>0</v>
      </c>
      <c r="BT476" s="2">
        <f>IF(AND('Batt IN'!$D$53="Yes",$AL$1&gt;=5),0,IF($C476='Batt IN'!$H$58*12,-'Batt IN'!$F$58,0))</f>
        <v>0</v>
      </c>
      <c r="BU476" s="2">
        <f>-AH476*PVCalcs!F476</f>
        <v>-359.37504381576838</v>
      </c>
      <c r="BV476" s="2">
        <f>-'Batt IN'!$E$47</f>
        <v>-150</v>
      </c>
      <c r="BW476" s="2">
        <f>-'Batt IN'!$E$49</f>
        <v>-2250</v>
      </c>
      <c r="BX476" s="2">
        <f>IF('Batt IN'!$H$50="No",-(BC476*'Batt IN'!$E$50),-(BC476+BE476)*'Batt IN'!$E$50)</f>
        <v>0</v>
      </c>
      <c r="BY476" s="2">
        <f>IF(C476='Batt IN'!$H$43*12,-'Batt IN'!$E$43,0)</f>
        <v>0</v>
      </c>
      <c r="BZ476" s="38"/>
      <c r="CA476" s="10">
        <f t="shared" si="123"/>
        <v>16053.706641210047</v>
      </c>
      <c r="CB476" s="2">
        <f t="shared" si="128"/>
        <v>-3009.3750438157685</v>
      </c>
      <c r="CC476" s="45">
        <f t="shared" si="124"/>
        <v>13044.331597394277</v>
      </c>
      <c r="CD476" s="43"/>
      <c r="CE476" s="2">
        <f t="shared" si="125"/>
        <v>0</v>
      </c>
      <c r="CF476" s="2">
        <f t="shared" si="129"/>
        <v>-3009.3750438157685</v>
      </c>
      <c r="CG476" s="2"/>
      <c r="CH476" s="2">
        <f t="shared" si="126"/>
        <v>-3009.3750438157685</v>
      </c>
      <c r="CI476" s="45">
        <f>-CH476*'Batt IN'!$E$7</f>
        <v>631.9687592013114</v>
      </c>
      <c r="CJ476" s="48"/>
      <c r="CK476" s="45">
        <f>IF('Batt IN'!$F$4="PV Only",0,IF(C476&gt;'Batt IN'!$H$43*12,0,CC476+CI476))</f>
        <v>0</v>
      </c>
      <c r="CM476" s="10">
        <f t="shared" si="127"/>
        <v>0</v>
      </c>
      <c r="CN476" s="2">
        <f>CK476/(1+('Batt IN'!$G$8))^(C476)</f>
        <v>0</v>
      </c>
      <c r="CO476" s="2" t="e">
        <f>IF(C476&lt;='Batt IN'!$O$30*12,CN476+CO475,NA())</f>
        <v>#N/A</v>
      </c>
      <c r="CQ476" s="2">
        <f>CK476/((1+('Batt IN'!$E$8/12))^BattCalcs!C476)</f>
        <v>0</v>
      </c>
      <c r="CS476" s="10">
        <f t="shared" si="130"/>
        <v>-3009.3750438157685</v>
      </c>
      <c r="CT476" s="10">
        <f t="shared" si="131"/>
        <v>0</v>
      </c>
      <c r="CU476" s="10">
        <f t="shared" si="132"/>
        <v>-3009.3750438157685</v>
      </c>
      <c r="CV476" s="10">
        <f t="shared" si="133"/>
        <v>-3009.3750438157685</v>
      </c>
      <c r="CW476" s="2">
        <f t="shared" si="134"/>
        <v>0</v>
      </c>
      <c r="CX476" s="2">
        <f>-(SUM(CV476:CW476)*'PV IN'!$E$8)</f>
        <v>631.9687592013114</v>
      </c>
      <c r="CY476" s="2">
        <f t="shared" si="135"/>
        <v>-2377.406284614457</v>
      </c>
      <c r="CZ476" s="2">
        <f>IF(C476&lt;='Batt IN'!$H$43*12,CY476/(1+('PV IN'!$G$9))^(C476),0)</f>
        <v>0</v>
      </c>
      <c r="DA476" s="33">
        <f>IF(C476&lt;='Batt IN'!$H$43*12,AE476,0)</f>
        <v>0</v>
      </c>
    </row>
    <row r="477" spans="1:105" x14ac:dyDescent="0.25">
      <c r="A477" t="str">
        <f>IF(C477&lt;='Batt IN'!$H$43*12,C477,"")</f>
        <v/>
      </c>
      <c r="C477">
        <v>473</v>
      </c>
      <c r="D477" s="21">
        <v>903</v>
      </c>
      <c r="E477" s="1">
        <f>1-'Batt IN'!$E$31</f>
        <v>2.0000000000000018E-2</v>
      </c>
      <c r="F477" s="12">
        <f>('Batt IN'!$E$33*365)/8760</f>
        <v>0</v>
      </c>
      <c r="G477" s="22">
        <f>'Batt IN'!$E$32/8760</f>
        <v>5.7077625570776253E-3</v>
      </c>
      <c r="H477" s="22">
        <f>'Batt IN'!$E$13/8760</f>
        <v>5.5936073059360729E-3</v>
      </c>
      <c r="I477" s="23">
        <f>IF(C477&lt;='Batt IN'!$G$14*12,'Batt IN'!$E$15/8760*'Batt IN'!$G$15,0)</f>
        <v>0</v>
      </c>
      <c r="J477" s="12">
        <f>Z477/'Batt IN'!$E$27/730</f>
        <v>2.4999999999999996E-3</v>
      </c>
      <c r="K477" s="23">
        <f>AA477/'Batt IN'!$E$27/730</f>
        <v>1.6027397260273972E-3</v>
      </c>
      <c r="L477" s="23">
        <f>AB477/'Batt IN'!$E$27/730</f>
        <v>2.0547945205479451E-4</v>
      </c>
      <c r="M477" s="23">
        <f>AC477/'Batt IN'!$E$27/730</f>
        <v>4.7945205479452057E-3</v>
      </c>
      <c r="N477" s="23">
        <f>AD477/'Batt IN'!$E$27/730</f>
        <v>3.4246575342465752E-3</v>
      </c>
      <c r="O477" s="12">
        <f t="shared" si="119"/>
        <v>4.3828767123287697E-2</v>
      </c>
      <c r="P477" s="21">
        <f t="shared" si="120"/>
        <v>863.42262328767129</v>
      </c>
      <c r="Q477" s="2">
        <f>IF('Batt IN'!$E$27*'Batt IN'!$E$24&lt;='Batt IN'!$E$28,(('Batt IN'!$E$23*'Batt IN'!$E$27*'Batt IN'!$E$24)/1000)*P477,(('Batt IN'!$E$23*'Batt IN'!$E$28*'Batt IN'!$E$24)/1000)*P477)</f>
        <v>13814.761972602741</v>
      </c>
      <c r="R477" s="2"/>
      <c r="S477" s="77">
        <f>IF(C477&lt;='Batt IN'!$G$14*12,'Batt IN'!$E$15/12,0)</f>
        <v>0</v>
      </c>
      <c r="T477" s="77"/>
      <c r="U477" s="80">
        <f>'Batt IN'!$E$28*('Batt IN'!$G$24/24)*730*(1-O477)</f>
        <v>81433.916666666657</v>
      </c>
      <c r="V477" s="78">
        <f>U477*'Batt IN'!$F$30</f>
        <v>16286.783333333333</v>
      </c>
      <c r="W477" s="78">
        <f>'Batt IN'!$E$28*'Batt IN'!$G$32*('Batt IN'!$E$32/12)*(1+'Batt IN'!$F$30)</f>
        <v>1750.0000000000002</v>
      </c>
      <c r="X477" s="78">
        <f>'Batt IN'!$E$28*'Batt IN'!$G$13*('Batt IN'!$E$13/12)*(1+'Batt IN'!$F$30)</f>
        <v>3184.9999999999995</v>
      </c>
      <c r="Y477" s="33">
        <f>S477*'Batt IN'!$G$15*'Batt IN'!$E$28*(1+'Batt IN'!$F$30)</f>
        <v>0</v>
      </c>
      <c r="Z477" s="33">
        <f>'Batt IN'!$G$16*365/12*(1+'Batt IN'!$F$30)</f>
        <v>1824.9999999999998</v>
      </c>
      <c r="AA477" s="33">
        <f>'Batt IN'!$G$17*'Batt IN'!$E$18*'Batt IN'!$G$18/12*(1+'Batt IN'!$F$30)</f>
        <v>1170</v>
      </c>
      <c r="AB477" s="33">
        <f>'Batt IN'!$G$19*'Batt IN'!$E$20*'Batt IN'!$G$20/12*(1+'Batt IN'!$F$30)</f>
        <v>150</v>
      </c>
      <c r="AC477" s="33">
        <f>'Batt IN'!$G$21*(1+'Batt IN'!$F$30)/12</f>
        <v>3500</v>
      </c>
      <c r="AD477" s="33">
        <f>'Batt IN'!$G$22*(1+'Batt IN'!$F$30)/12</f>
        <v>2500</v>
      </c>
      <c r="AE477" s="33">
        <f t="shared" si="121"/>
        <v>30366.783333333333</v>
      </c>
      <c r="AF477" s="33">
        <f>IF('PV IN'!$F$4="Battery Only",0,AE477*'Batt IN'!$E$29)</f>
        <v>25811.765833333331</v>
      </c>
      <c r="AG477" s="33">
        <f>PVCalcs!L477</f>
        <v>25811.765833333331</v>
      </c>
      <c r="AH477" s="33">
        <f t="shared" si="122"/>
        <v>4555.0175000000017</v>
      </c>
      <c r="AI477" s="33"/>
      <c r="AJ477" s="2">
        <f>IF(AND('Batt IN'!$D$53="Yes",$AL$1&gt;=1),IF($C477='Batt IN'!$H$54*12,-'Batt IN'!$F$54,0),0)</f>
        <v>0</v>
      </c>
      <c r="AK477" s="2">
        <f>IF(AND('Batt IN'!$D$53="Yes",$AL$1&gt;=2),IF($C477='Batt IN'!$H$55*12,-'Batt IN'!$F$55,0),0)</f>
        <v>0</v>
      </c>
      <c r="AL477" s="2">
        <f>IF(AND('Batt IN'!$D$53="Yes",$AL$1&gt;=3),IF($C477='Batt IN'!$H$56*12,-'Batt IN'!$F$56,0),0)</f>
        <v>0</v>
      </c>
      <c r="AM477" s="2">
        <f>IF(AND('Batt IN'!$D$53="Yes",$AL$1&gt;=4),IF($C477='Batt IN'!$H$57*12,-'Batt IN'!$F$57,0),0)</f>
        <v>0</v>
      </c>
      <c r="AN477" s="2">
        <f>IF(AND('Batt IN'!$D$53="Yes",$AL$1&gt;=5),IF($C477='Batt IN'!$H$58*12,-'Batt IN'!$F$58,0),0)</f>
        <v>0</v>
      </c>
      <c r="AO477" s="10">
        <f>IF(AND('Batt IN'!$D$44="YES",$C477&lt;='Batt IN'!$E$44*12),-'Batt IN'!$E$28*'Batt IN'!$E$42/12,0)</f>
        <v>0</v>
      </c>
      <c r="AP477" s="10">
        <f>IF(AND('Batt IN'!$D$46="YES",$C477&lt;='Batt IN'!$E$46*12),-'Batt IN'!$E$28*'Batt IN'!$E$45/12,0)</f>
        <v>0</v>
      </c>
      <c r="AR477" s="10">
        <f>BattLoan!M504</f>
        <v>0</v>
      </c>
      <c r="AS477" s="10">
        <f>'Batt IN'!$G$16*365/12*'Batt IN'!$E$16</f>
        <v>76.041666666666671</v>
      </c>
      <c r="AT477" s="10">
        <f>IF(AND('Batt IN'!$E$18&gt;0,'Batt IN'!$G$18&gt;0),'Batt IN'!$E$17*'Batt IN'!$G$17,0)</f>
        <v>119.44619999999999</v>
      </c>
      <c r="AU477" s="10">
        <f>IF(AND('Batt IN'!$E$20&gt;0,'Batt IN'!$G$20&gt;0),'Batt IN'!$E$19*'Batt IN'!$G$19,0)</f>
        <v>231</v>
      </c>
      <c r="AV477" s="10"/>
      <c r="AW477" s="10"/>
      <c r="AX477" s="10">
        <f>IF('Batt IN'!$E$11="Non-Taxable",Q477,0)</f>
        <v>13814.761972602741</v>
      </c>
      <c r="AY477" s="10">
        <f>IF('Batt IN'!$E$11="Non-Taxable",'Batt IN'!$E$28/1000*'Batt IN'!$G$13*('Batt IN'!$E$13/12)*'Batt IN'!$E$12,0)</f>
        <v>244.42220833333334</v>
      </c>
      <c r="AZ477" s="10">
        <f>IF('Batt IN'!$E$11="Non-Taxable",$S477*'Batt IN'!$G$15*'Batt IN'!$E$28*'Batt IN'!$E$14/1000,0)</f>
        <v>0</v>
      </c>
      <c r="BA477" s="10">
        <f>IF('Batt IN'!$E$11="Non-Taxable",'Batt IN'!$E$21*'Batt IN'!$G$21/12,0)</f>
        <v>437.5</v>
      </c>
      <c r="BB477" s="10">
        <f>IF('Batt IN'!$E$11="Non-Taxable",'Batt IN'!$E$22*'Batt IN'!$G$22/12,0)</f>
        <v>1145.8333333333335</v>
      </c>
      <c r="BC477" s="10">
        <f>IF('Batt IN'!$E$11="Taxable",Q477,0)</f>
        <v>0</v>
      </c>
      <c r="BD477" s="10">
        <f>IF('Batt IN'!$E$11="Taxable",'Batt IN'!$E$28/1000*'Batt IN'!$G$13*('Batt IN'!$E$13/12)*'Batt IN'!$E$12,0)</f>
        <v>0</v>
      </c>
      <c r="BE477" s="10">
        <f>IF('Batt IN'!$E$11="Taxable",$S477*'Batt IN'!$G$15*'Batt IN'!$E$28*'Batt IN'!$E$14/1000,0)</f>
        <v>0</v>
      </c>
      <c r="BF477" s="10">
        <f>IF('Batt IN'!$E$11="Taxable",'Batt IN'!$E$21*'Batt IN'!$G$21/12,0)</f>
        <v>0</v>
      </c>
      <c r="BG477" s="10">
        <f>IF('Batt IN'!$E$11="Taxable",'Batt IN'!$E$22*'Batt IN'!$G$22/12,0)</f>
        <v>0</v>
      </c>
      <c r="BK477" s="10">
        <f>IF('Batt IN'!$N$18="Yes",-BattLoan!H505,-BattLoan!L505)</f>
        <v>0</v>
      </c>
      <c r="BL477" s="10">
        <f>IF('Batt IN'!$N$18="Yes",-BattLoan!F505,0)</f>
        <v>0</v>
      </c>
      <c r="BM477" s="10">
        <f>IF(AND('Batt IN'!$D$44="YES",$C477&lt;='Batt IN'!$E$44*12),0,-'Batt IN'!$E$28*'Batt IN'!$E$42/12)</f>
        <v>-83.333333333333329</v>
      </c>
      <c r="BN477" s="10">
        <f>IF(AND('Batt IN'!$D$46="YES",$C477&lt;='Batt IN'!$E$46*12),0,-'Batt IN'!$E$28*'Batt IN'!$E$45/12)</f>
        <v>-166.66666666666666</v>
      </c>
      <c r="BO477" s="2">
        <f>IF(AND('Batt IN'!$D$41="YES",BattCalcs!C477=ROUNDUP('Batt IN'!$H$41*12,)),-'Batt IN'!$E$41*'Batt IN'!$E$28,0)</f>
        <v>0</v>
      </c>
      <c r="BP477" s="2">
        <f>IF(AND('Batt IN'!$D$53="Yes",$AL$1&gt;=1),0,IF($C477='Batt IN'!$H$54*12,-'Batt IN'!$F$54,0))</f>
        <v>0</v>
      </c>
      <c r="BQ477" s="2">
        <f>IF(AND('Batt IN'!$D$53="Yes",$AL$1&gt;=2),0,IF($C477='Batt IN'!$H$55*12,-'Batt IN'!$F$55,0))</f>
        <v>0</v>
      </c>
      <c r="BR477" s="2">
        <f>IF(AND('Batt IN'!$D$53="Yes",$AL$1&gt;=3),0,IF($C477='Batt IN'!$H$56*12,-'Batt IN'!$F$56,0))</f>
        <v>0</v>
      </c>
      <c r="BS477" s="2">
        <f>IF(AND('Batt IN'!$D$53="Yes",$AL$1&gt;=4),0,IF($C477='Batt IN'!$H$57*12,-'Batt IN'!$F$57,0))</f>
        <v>0</v>
      </c>
      <c r="BT477" s="2">
        <f>IF(AND('Batt IN'!$D$53="Yes",$AL$1&gt;=5),0,IF($C477='Batt IN'!$H$58*12,-'Batt IN'!$F$58,0))</f>
        <v>0</v>
      </c>
      <c r="BU477" s="2">
        <f>-AH477*PVCalcs!F477</f>
        <v>-359.37504381576838</v>
      </c>
      <c r="BV477" s="2">
        <f>-'Batt IN'!$E$47</f>
        <v>-150</v>
      </c>
      <c r="BW477" s="2">
        <f>-'Batt IN'!$E$49</f>
        <v>-2250</v>
      </c>
      <c r="BX477" s="2">
        <f>IF('Batt IN'!$H$50="No",-(BC477*'Batt IN'!$E$50),-(BC477+BE477)*'Batt IN'!$E$50)</f>
        <v>0</v>
      </c>
      <c r="BY477" s="2">
        <f>IF(C477='Batt IN'!$H$43*12,-'Batt IN'!$E$43,0)</f>
        <v>0</v>
      </c>
      <c r="BZ477" s="38"/>
      <c r="CA477" s="10">
        <f t="shared" si="123"/>
        <v>16069.005380936074</v>
      </c>
      <c r="CB477" s="2">
        <f t="shared" si="128"/>
        <v>-3009.3750438157685</v>
      </c>
      <c r="CC477" s="45">
        <f t="shared" si="124"/>
        <v>13059.630337120307</v>
      </c>
      <c r="CD477" s="43"/>
      <c r="CE477" s="2">
        <f t="shared" si="125"/>
        <v>0</v>
      </c>
      <c r="CF477" s="2">
        <f t="shared" si="129"/>
        <v>-3009.3750438157685</v>
      </c>
      <c r="CG477" s="2"/>
      <c r="CH477" s="2">
        <f t="shared" si="126"/>
        <v>-3009.3750438157685</v>
      </c>
      <c r="CI477" s="45">
        <f>-CH477*'Batt IN'!$E$7</f>
        <v>631.9687592013114</v>
      </c>
      <c r="CJ477" s="48"/>
      <c r="CK477" s="45">
        <f>IF('Batt IN'!$F$4="PV Only",0,IF(C477&gt;'Batt IN'!$H$43*12,0,CC477+CI477))</f>
        <v>0</v>
      </c>
      <c r="CM477" s="10">
        <f t="shared" si="127"/>
        <v>0</v>
      </c>
      <c r="CN477" s="2">
        <f>CK477/(1+('Batt IN'!$G$8))^(C477)</f>
        <v>0</v>
      </c>
      <c r="CO477" s="2" t="e">
        <f>IF(C477&lt;='Batt IN'!$O$30*12,CN477+CO476,NA())</f>
        <v>#N/A</v>
      </c>
      <c r="CQ477" s="2">
        <f>CK477/((1+('Batt IN'!$E$8/12))^BattCalcs!C477)</f>
        <v>0</v>
      </c>
      <c r="CS477" s="10">
        <f t="shared" si="130"/>
        <v>-3009.3750438157685</v>
      </c>
      <c r="CT477" s="10">
        <f t="shared" si="131"/>
        <v>0</v>
      </c>
      <c r="CU477" s="10">
        <f t="shared" si="132"/>
        <v>-3009.3750438157685</v>
      </c>
      <c r="CV477" s="10">
        <f t="shared" si="133"/>
        <v>-3009.3750438157685</v>
      </c>
      <c r="CW477" s="2">
        <f t="shared" si="134"/>
        <v>0</v>
      </c>
      <c r="CX477" s="2">
        <f>-(SUM(CV477:CW477)*'PV IN'!$E$8)</f>
        <v>631.9687592013114</v>
      </c>
      <c r="CY477" s="2">
        <f t="shared" si="135"/>
        <v>-2377.406284614457</v>
      </c>
      <c r="CZ477" s="2">
        <f>IF(C477&lt;='Batt IN'!$H$43*12,CY477/(1+('PV IN'!$G$9))^(C477),0)</f>
        <v>0</v>
      </c>
      <c r="DA477" s="33">
        <f>IF(C477&lt;='Batt IN'!$H$43*12,AE477,0)</f>
        <v>0</v>
      </c>
    </row>
    <row r="478" spans="1:105" x14ac:dyDescent="0.25">
      <c r="A478" t="str">
        <f>IF(C478&lt;='Batt IN'!$H$43*12,C478,"")</f>
        <v/>
      </c>
      <c r="C478">
        <v>474</v>
      </c>
      <c r="D478" s="21">
        <v>904</v>
      </c>
      <c r="E478" s="1">
        <f>1-'Batt IN'!$E$31</f>
        <v>2.0000000000000018E-2</v>
      </c>
      <c r="F478" s="12">
        <f>('Batt IN'!$E$33*365)/8760</f>
        <v>0</v>
      </c>
      <c r="G478" s="22">
        <f>'Batt IN'!$E$32/8760</f>
        <v>5.7077625570776253E-3</v>
      </c>
      <c r="H478" s="22">
        <f>'Batt IN'!$E$13/8760</f>
        <v>5.5936073059360729E-3</v>
      </c>
      <c r="I478" s="23">
        <f>IF(C478&lt;='Batt IN'!$G$14*12,'Batt IN'!$E$15/8760*'Batt IN'!$G$15,0)</f>
        <v>0</v>
      </c>
      <c r="J478" s="12">
        <f>Z478/'Batt IN'!$E$27/730</f>
        <v>2.4999999999999996E-3</v>
      </c>
      <c r="K478" s="23">
        <f>AA478/'Batt IN'!$E$27/730</f>
        <v>1.6027397260273972E-3</v>
      </c>
      <c r="L478" s="23">
        <f>AB478/'Batt IN'!$E$27/730</f>
        <v>2.0547945205479451E-4</v>
      </c>
      <c r="M478" s="23">
        <f>AC478/'Batt IN'!$E$27/730</f>
        <v>4.7945205479452057E-3</v>
      </c>
      <c r="N478" s="23">
        <f>AD478/'Batt IN'!$E$27/730</f>
        <v>3.4246575342465752E-3</v>
      </c>
      <c r="O478" s="12">
        <f t="shared" si="119"/>
        <v>4.3828767123287697E-2</v>
      </c>
      <c r="P478" s="21">
        <f t="shared" si="120"/>
        <v>864.37879452054801</v>
      </c>
      <c r="Q478" s="2">
        <f>IF('Batt IN'!$E$27*'Batt IN'!$E$24&lt;='Batt IN'!$E$28,(('Batt IN'!$E$23*'Batt IN'!$E$27*'Batt IN'!$E$24)/1000)*P478,(('Batt IN'!$E$23*'Batt IN'!$E$28*'Batt IN'!$E$24)/1000)*P478)</f>
        <v>13830.060712328768</v>
      </c>
      <c r="R478" s="2"/>
      <c r="S478" s="77">
        <f>IF(C478&lt;='Batt IN'!$G$14*12,'Batt IN'!$E$15/12,0)</f>
        <v>0</v>
      </c>
      <c r="T478" s="77"/>
      <c r="U478" s="80">
        <f>'Batt IN'!$E$28*('Batt IN'!$G$24/24)*730*(1-O478)</f>
        <v>81433.916666666657</v>
      </c>
      <c r="V478" s="78">
        <f>U478*'Batt IN'!$F$30</f>
        <v>16286.783333333333</v>
      </c>
      <c r="W478" s="78">
        <f>'Batt IN'!$E$28*'Batt IN'!$G$32*('Batt IN'!$E$32/12)*(1+'Batt IN'!$F$30)</f>
        <v>1750.0000000000002</v>
      </c>
      <c r="X478" s="78">
        <f>'Batt IN'!$E$28*'Batt IN'!$G$13*('Batt IN'!$E$13/12)*(1+'Batt IN'!$F$30)</f>
        <v>3184.9999999999995</v>
      </c>
      <c r="Y478" s="33">
        <f>S478*'Batt IN'!$G$15*'Batt IN'!$E$28*(1+'Batt IN'!$F$30)</f>
        <v>0</v>
      </c>
      <c r="Z478" s="33">
        <f>'Batt IN'!$G$16*365/12*(1+'Batt IN'!$F$30)</f>
        <v>1824.9999999999998</v>
      </c>
      <c r="AA478" s="33">
        <f>'Batt IN'!$G$17*'Batt IN'!$E$18*'Batt IN'!$G$18/12*(1+'Batt IN'!$F$30)</f>
        <v>1170</v>
      </c>
      <c r="AB478" s="33">
        <f>'Batt IN'!$G$19*'Batt IN'!$E$20*'Batt IN'!$G$20/12*(1+'Batt IN'!$F$30)</f>
        <v>150</v>
      </c>
      <c r="AC478" s="33">
        <f>'Batt IN'!$G$21*(1+'Batt IN'!$F$30)/12</f>
        <v>3500</v>
      </c>
      <c r="AD478" s="33">
        <f>'Batt IN'!$G$22*(1+'Batt IN'!$F$30)/12</f>
        <v>2500</v>
      </c>
      <c r="AE478" s="33">
        <f t="shared" si="121"/>
        <v>30366.783333333333</v>
      </c>
      <c r="AF478" s="33">
        <f>IF('PV IN'!$F$4="Battery Only",0,AE478*'Batt IN'!$E$29)</f>
        <v>25811.765833333331</v>
      </c>
      <c r="AG478" s="33">
        <f>PVCalcs!L478</f>
        <v>25811.765833333331</v>
      </c>
      <c r="AH478" s="33">
        <f t="shared" si="122"/>
        <v>4555.0175000000017</v>
      </c>
      <c r="AI478" s="33"/>
      <c r="AJ478" s="2">
        <f>IF(AND('Batt IN'!$D$53="Yes",$AL$1&gt;=1),IF($C478='Batt IN'!$H$54*12,-'Batt IN'!$F$54,0),0)</f>
        <v>0</v>
      </c>
      <c r="AK478" s="2">
        <f>IF(AND('Batt IN'!$D$53="Yes",$AL$1&gt;=2),IF($C478='Batt IN'!$H$55*12,-'Batt IN'!$F$55,0),0)</f>
        <v>0</v>
      </c>
      <c r="AL478" s="2">
        <f>IF(AND('Batt IN'!$D$53="Yes",$AL$1&gt;=3),IF($C478='Batt IN'!$H$56*12,-'Batt IN'!$F$56,0),0)</f>
        <v>0</v>
      </c>
      <c r="AM478" s="2">
        <f>IF(AND('Batt IN'!$D$53="Yes",$AL$1&gt;=4),IF($C478='Batt IN'!$H$57*12,-'Batt IN'!$F$57,0),0)</f>
        <v>0</v>
      </c>
      <c r="AN478" s="2">
        <f>IF(AND('Batt IN'!$D$53="Yes",$AL$1&gt;=5),IF($C478='Batt IN'!$H$58*12,-'Batt IN'!$F$58,0),0)</f>
        <v>0</v>
      </c>
      <c r="AO478" s="10">
        <f>IF(AND('Batt IN'!$D$44="YES",$C478&lt;='Batt IN'!$E$44*12),-'Batt IN'!$E$28*'Batt IN'!$E$42/12,0)</f>
        <v>0</v>
      </c>
      <c r="AP478" s="10">
        <f>IF(AND('Batt IN'!$D$46="YES",$C478&lt;='Batt IN'!$E$46*12),-'Batt IN'!$E$28*'Batt IN'!$E$45/12,0)</f>
        <v>0</v>
      </c>
      <c r="AR478" s="10">
        <f>BattLoan!M505</f>
        <v>0</v>
      </c>
      <c r="AS478" s="10">
        <f>'Batt IN'!$G$16*365/12*'Batt IN'!$E$16</f>
        <v>76.041666666666671</v>
      </c>
      <c r="AT478" s="10">
        <f>IF(AND('Batt IN'!$E$18&gt;0,'Batt IN'!$G$18&gt;0),'Batt IN'!$E$17*'Batt IN'!$G$17,0)</f>
        <v>119.44619999999999</v>
      </c>
      <c r="AU478" s="10">
        <f>IF(AND('Batt IN'!$E$20&gt;0,'Batt IN'!$G$20&gt;0),'Batt IN'!$E$19*'Batt IN'!$G$19,0)</f>
        <v>231</v>
      </c>
      <c r="AV478" s="10"/>
      <c r="AW478" s="10"/>
      <c r="AX478" s="10">
        <f>IF('Batt IN'!$E$11="Non-Taxable",Q478,0)</f>
        <v>13830.060712328768</v>
      </c>
      <c r="AY478" s="10">
        <f>IF('Batt IN'!$E$11="Non-Taxable",'Batt IN'!$E$28/1000*'Batt IN'!$G$13*('Batt IN'!$E$13/12)*'Batt IN'!$E$12,0)</f>
        <v>244.42220833333334</v>
      </c>
      <c r="AZ478" s="10">
        <f>IF('Batt IN'!$E$11="Non-Taxable",$S478*'Batt IN'!$G$15*'Batt IN'!$E$28*'Batt IN'!$E$14/1000,0)</f>
        <v>0</v>
      </c>
      <c r="BA478" s="10">
        <f>IF('Batt IN'!$E$11="Non-Taxable",'Batt IN'!$E$21*'Batt IN'!$G$21/12,0)</f>
        <v>437.5</v>
      </c>
      <c r="BB478" s="10">
        <f>IF('Batt IN'!$E$11="Non-Taxable",'Batt IN'!$E$22*'Batt IN'!$G$22/12,0)</f>
        <v>1145.8333333333335</v>
      </c>
      <c r="BC478" s="10">
        <f>IF('Batt IN'!$E$11="Taxable",Q478,0)</f>
        <v>0</v>
      </c>
      <c r="BD478" s="10">
        <f>IF('Batt IN'!$E$11="Taxable",'Batt IN'!$E$28/1000*'Batt IN'!$G$13*('Batt IN'!$E$13/12)*'Batt IN'!$E$12,0)</f>
        <v>0</v>
      </c>
      <c r="BE478" s="10">
        <f>IF('Batt IN'!$E$11="Taxable",$S478*'Batt IN'!$G$15*'Batt IN'!$E$28*'Batt IN'!$E$14/1000,0)</f>
        <v>0</v>
      </c>
      <c r="BF478" s="10">
        <f>IF('Batt IN'!$E$11="Taxable",'Batt IN'!$E$21*'Batt IN'!$G$21/12,0)</f>
        <v>0</v>
      </c>
      <c r="BG478" s="10">
        <f>IF('Batt IN'!$E$11="Taxable",'Batt IN'!$E$22*'Batt IN'!$G$22/12,0)</f>
        <v>0</v>
      </c>
      <c r="BK478" s="10">
        <f>IF('Batt IN'!$N$18="Yes",-BattLoan!H506,-BattLoan!L506)</f>
        <v>0</v>
      </c>
      <c r="BL478" s="10">
        <f>IF('Batt IN'!$N$18="Yes",-BattLoan!F506,0)</f>
        <v>0</v>
      </c>
      <c r="BM478" s="10">
        <f>IF(AND('Batt IN'!$D$44="YES",$C478&lt;='Batt IN'!$E$44*12),0,-'Batt IN'!$E$28*'Batt IN'!$E$42/12)</f>
        <v>-83.333333333333329</v>
      </c>
      <c r="BN478" s="10">
        <f>IF(AND('Batt IN'!$D$46="YES",$C478&lt;='Batt IN'!$E$46*12),0,-'Batt IN'!$E$28*'Batt IN'!$E$45/12)</f>
        <v>-166.66666666666666</v>
      </c>
      <c r="BO478" s="2">
        <f>IF(AND('Batt IN'!$D$41="YES",BattCalcs!C478=ROUNDUP('Batt IN'!$H$41*12,)),-'Batt IN'!$E$41*'Batt IN'!$E$28,0)</f>
        <v>0</v>
      </c>
      <c r="BP478" s="2">
        <f>IF(AND('Batt IN'!$D$53="Yes",$AL$1&gt;=1),0,IF($C478='Batt IN'!$H$54*12,-'Batt IN'!$F$54,0))</f>
        <v>0</v>
      </c>
      <c r="BQ478" s="2">
        <f>IF(AND('Batt IN'!$D$53="Yes",$AL$1&gt;=2),0,IF($C478='Batt IN'!$H$55*12,-'Batt IN'!$F$55,0))</f>
        <v>0</v>
      </c>
      <c r="BR478" s="2">
        <f>IF(AND('Batt IN'!$D$53="Yes",$AL$1&gt;=3),0,IF($C478='Batt IN'!$H$56*12,-'Batt IN'!$F$56,0))</f>
        <v>0</v>
      </c>
      <c r="BS478" s="2">
        <f>IF(AND('Batt IN'!$D$53="Yes",$AL$1&gt;=4),0,IF($C478='Batt IN'!$H$57*12,-'Batt IN'!$F$57,0))</f>
        <v>0</v>
      </c>
      <c r="BT478" s="2">
        <f>IF(AND('Batt IN'!$D$53="Yes",$AL$1&gt;=5),0,IF($C478='Batt IN'!$H$58*12,-'Batt IN'!$F$58,0))</f>
        <v>0</v>
      </c>
      <c r="BU478" s="2">
        <f>-AH478*PVCalcs!F478</f>
        <v>-359.37504381576838</v>
      </c>
      <c r="BV478" s="2">
        <f>-'Batt IN'!$E$47</f>
        <v>-150</v>
      </c>
      <c r="BW478" s="2">
        <f>-'Batt IN'!$E$49</f>
        <v>-2250</v>
      </c>
      <c r="BX478" s="2">
        <f>IF('Batt IN'!$H$50="No",-(BC478*'Batt IN'!$E$50),-(BC478+BE478)*'Batt IN'!$E$50)</f>
        <v>0</v>
      </c>
      <c r="BY478" s="2">
        <f>IF(C478='Batt IN'!$H$43*12,-'Batt IN'!$E$43,0)</f>
        <v>0</v>
      </c>
      <c r="BZ478" s="38"/>
      <c r="CA478" s="10">
        <f t="shared" si="123"/>
        <v>16084.304120662102</v>
      </c>
      <c r="CB478" s="2">
        <f t="shared" si="128"/>
        <v>-3009.3750438157685</v>
      </c>
      <c r="CC478" s="45">
        <f t="shared" si="124"/>
        <v>13074.929076846332</v>
      </c>
      <c r="CD478" s="43"/>
      <c r="CE478" s="2">
        <f t="shared" si="125"/>
        <v>0</v>
      </c>
      <c r="CF478" s="2">
        <f t="shared" si="129"/>
        <v>-3009.3750438157685</v>
      </c>
      <c r="CG478" s="2"/>
      <c r="CH478" s="2">
        <f t="shared" si="126"/>
        <v>-3009.3750438157685</v>
      </c>
      <c r="CI478" s="45">
        <f>-CH478*'Batt IN'!$E$7</f>
        <v>631.9687592013114</v>
      </c>
      <c r="CJ478" s="48"/>
      <c r="CK478" s="45">
        <f>IF('Batt IN'!$F$4="PV Only",0,IF(C478&gt;'Batt IN'!$H$43*12,0,CC478+CI478))</f>
        <v>0</v>
      </c>
      <c r="CM478" s="10">
        <f t="shared" si="127"/>
        <v>0</v>
      </c>
      <c r="CN478" s="2">
        <f>CK478/(1+('Batt IN'!$G$8))^(C478)</f>
        <v>0</v>
      </c>
      <c r="CO478" s="2" t="e">
        <f>IF(C478&lt;='Batt IN'!$O$30*12,CN478+CO477,NA())</f>
        <v>#N/A</v>
      </c>
      <c r="CQ478" s="2">
        <f>CK478/((1+('Batt IN'!$E$8/12))^BattCalcs!C478)</f>
        <v>0</v>
      </c>
      <c r="CS478" s="10">
        <f t="shared" si="130"/>
        <v>-3009.3750438157685</v>
      </c>
      <c r="CT478" s="10">
        <f t="shared" si="131"/>
        <v>0</v>
      </c>
      <c r="CU478" s="10">
        <f t="shared" si="132"/>
        <v>-3009.3750438157685</v>
      </c>
      <c r="CV478" s="10">
        <f t="shared" si="133"/>
        <v>-3009.3750438157685</v>
      </c>
      <c r="CW478" s="2">
        <f t="shared" si="134"/>
        <v>0</v>
      </c>
      <c r="CX478" s="2">
        <f>-(SUM(CV478:CW478)*'PV IN'!$E$8)</f>
        <v>631.9687592013114</v>
      </c>
      <c r="CY478" s="2">
        <f t="shared" si="135"/>
        <v>-2377.406284614457</v>
      </c>
      <c r="CZ478" s="2">
        <f>IF(C478&lt;='Batt IN'!$H$43*12,CY478/(1+('PV IN'!$G$9))^(C478),0)</f>
        <v>0</v>
      </c>
      <c r="DA478" s="33">
        <f>IF(C478&lt;='Batt IN'!$H$43*12,AE478,0)</f>
        <v>0</v>
      </c>
    </row>
    <row r="479" spans="1:105" x14ac:dyDescent="0.25">
      <c r="A479" t="str">
        <f>IF(C479&lt;='Batt IN'!$H$43*12,C479,"")</f>
        <v/>
      </c>
      <c r="C479">
        <v>475</v>
      </c>
      <c r="D479" s="21">
        <v>905</v>
      </c>
      <c r="E479" s="1">
        <f>1-'Batt IN'!$E$31</f>
        <v>2.0000000000000018E-2</v>
      </c>
      <c r="F479" s="12">
        <f>('Batt IN'!$E$33*365)/8760</f>
        <v>0</v>
      </c>
      <c r="G479" s="22">
        <f>'Batt IN'!$E$32/8760</f>
        <v>5.7077625570776253E-3</v>
      </c>
      <c r="H479" s="22">
        <f>'Batt IN'!$E$13/8760</f>
        <v>5.5936073059360729E-3</v>
      </c>
      <c r="I479" s="23">
        <f>IF(C479&lt;='Batt IN'!$G$14*12,'Batt IN'!$E$15/8760*'Batt IN'!$G$15,0)</f>
        <v>0</v>
      </c>
      <c r="J479" s="12">
        <f>Z479/'Batt IN'!$E$27/730</f>
        <v>2.4999999999999996E-3</v>
      </c>
      <c r="K479" s="23">
        <f>AA479/'Batt IN'!$E$27/730</f>
        <v>1.6027397260273972E-3</v>
      </c>
      <c r="L479" s="23">
        <f>AB479/'Batt IN'!$E$27/730</f>
        <v>2.0547945205479451E-4</v>
      </c>
      <c r="M479" s="23">
        <f>AC479/'Batt IN'!$E$27/730</f>
        <v>4.7945205479452057E-3</v>
      </c>
      <c r="N479" s="23">
        <f>AD479/'Batt IN'!$E$27/730</f>
        <v>3.4246575342465752E-3</v>
      </c>
      <c r="O479" s="12">
        <f t="shared" si="119"/>
        <v>4.3828767123287697E-2</v>
      </c>
      <c r="P479" s="21">
        <f t="shared" si="120"/>
        <v>865.33496575342463</v>
      </c>
      <c r="Q479" s="2">
        <f>IF('Batt IN'!$E$27*'Batt IN'!$E$24&lt;='Batt IN'!$E$28,(('Batt IN'!$E$23*'Batt IN'!$E$27*'Batt IN'!$E$24)/1000)*P479,(('Batt IN'!$E$23*'Batt IN'!$E$28*'Batt IN'!$E$24)/1000)*P479)</f>
        <v>13845.359452054794</v>
      </c>
      <c r="R479" s="2"/>
      <c r="S479" s="77">
        <f>IF(C479&lt;='Batt IN'!$G$14*12,'Batt IN'!$E$15/12,0)</f>
        <v>0</v>
      </c>
      <c r="T479" s="77"/>
      <c r="U479" s="80">
        <f>'Batt IN'!$E$28*('Batt IN'!$G$24/24)*730*(1-O479)</f>
        <v>81433.916666666657</v>
      </c>
      <c r="V479" s="78">
        <f>U479*'Batt IN'!$F$30</f>
        <v>16286.783333333333</v>
      </c>
      <c r="W479" s="78">
        <f>'Batt IN'!$E$28*'Batt IN'!$G$32*('Batt IN'!$E$32/12)*(1+'Batt IN'!$F$30)</f>
        <v>1750.0000000000002</v>
      </c>
      <c r="X479" s="78">
        <f>'Batt IN'!$E$28*'Batt IN'!$G$13*('Batt IN'!$E$13/12)*(1+'Batt IN'!$F$30)</f>
        <v>3184.9999999999995</v>
      </c>
      <c r="Y479" s="33">
        <f>S479*'Batt IN'!$G$15*'Batt IN'!$E$28*(1+'Batt IN'!$F$30)</f>
        <v>0</v>
      </c>
      <c r="Z479" s="33">
        <f>'Batt IN'!$G$16*365/12*(1+'Batt IN'!$F$30)</f>
        <v>1824.9999999999998</v>
      </c>
      <c r="AA479" s="33">
        <f>'Batt IN'!$G$17*'Batt IN'!$E$18*'Batt IN'!$G$18/12*(1+'Batt IN'!$F$30)</f>
        <v>1170</v>
      </c>
      <c r="AB479" s="33">
        <f>'Batt IN'!$G$19*'Batt IN'!$E$20*'Batt IN'!$G$20/12*(1+'Batt IN'!$F$30)</f>
        <v>150</v>
      </c>
      <c r="AC479" s="33">
        <f>'Batt IN'!$G$21*(1+'Batt IN'!$F$30)/12</f>
        <v>3500</v>
      </c>
      <c r="AD479" s="33">
        <f>'Batt IN'!$G$22*(1+'Batt IN'!$F$30)/12</f>
        <v>2500</v>
      </c>
      <c r="AE479" s="33">
        <f t="shared" si="121"/>
        <v>30366.783333333333</v>
      </c>
      <c r="AF479" s="33">
        <f>IF('PV IN'!$F$4="Battery Only",0,AE479*'Batt IN'!$E$29)</f>
        <v>25811.765833333331</v>
      </c>
      <c r="AG479" s="33">
        <f>PVCalcs!L479</f>
        <v>25811.765833333331</v>
      </c>
      <c r="AH479" s="33">
        <f t="shared" si="122"/>
        <v>4555.0175000000017</v>
      </c>
      <c r="AI479" s="33"/>
      <c r="AJ479" s="2">
        <f>IF(AND('Batt IN'!$D$53="Yes",$AL$1&gt;=1),IF($C479='Batt IN'!$H$54*12,-'Batt IN'!$F$54,0),0)</f>
        <v>0</v>
      </c>
      <c r="AK479" s="2">
        <f>IF(AND('Batt IN'!$D$53="Yes",$AL$1&gt;=2),IF($C479='Batt IN'!$H$55*12,-'Batt IN'!$F$55,0),0)</f>
        <v>0</v>
      </c>
      <c r="AL479" s="2">
        <f>IF(AND('Batt IN'!$D$53="Yes",$AL$1&gt;=3),IF($C479='Batt IN'!$H$56*12,-'Batt IN'!$F$56,0),0)</f>
        <v>0</v>
      </c>
      <c r="AM479" s="2">
        <f>IF(AND('Batt IN'!$D$53="Yes",$AL$1&gt;=4),IF($C479='Batt IN'!$H$57*12,-'Batt IN'!$F$57,0),0)</f>
        <v>0</v>
      </c>
      <c r="AN479" s="2">
        <f>IF(AND('Batt IN'!$D$53="Yes",$AL$1&gt;=5),IF($C479='Batt IN'!$H$58*12,-'Batt IN'!$F$58,0),0)</f>
        <v>0</v>
      </c>
      <c r="AO479" s="10">
        <f>IF(AND('Batt IN'!$D$44="YES",$C479&lt;='Batt IN'!$E$44*12),-'Batt IN'!$E$28*'Batt IN'!$E$42/12,0)</f>
        <v>0</v>
      </c>
      <c r="AP479" s="10">
        <f>IF(AND('Batt IN'!$D$46="YES",$C479&lt;='Batt IN'!$E$46*12),-'Batt IN'!$E$28*'Batt IN'!$E$45/12,0)</f>
        <v>0</v>
      </c>
      <c r="AR479" s="10">
        <f>BattLoan!M506</f>
        <v>0</v>
      </c>
      <c r="AS479" s="10">
        <f>'Batt IN'!$G$16*365/12*'Batt IN'!$E$16</f>
        <v>76.041666666666671</v>
      </c>
      <c r="AT479" s="10">
        <f>IF(AND('Batt IN'!$E$18&gt;0,'Batt IN'!$G$18&gt;0),'Batt IN'!$E$17*'Batt IN'!$G$17,0)</f>
        <v>119.44619999999999</v>
      </c>
      <c r="AU479" s="10">
        <f>IF(AND('Batt IN'!$E$20&gt;0,'Batt IN'!$G$20&gt;0),'Batt IN'!$E$19*'Batt IN'!$G$19,0)</f>
        <v>231</v>
      </c>
      <c r="AV479" s="10"/>
      <c r="AW479" s="10"/>
      <c r="AX479" s="10">
        <f>IF('Batt IN'!$E$11="Non-Taxable",Q479,0)</f>
        <v>13845.359452054794</v>
      </c>
      <c r="AY479" s="10">
        <f>IF('Batt IN'!$E$11="Non-Taxable",'Batt IN'!$E$28/1000*'Batt IN'!$G$13*('Batt IN'!$E$13/12)*'Batt IN'!$E$12,0)</f>
        <v>244.42220833333334</v>
      </c>
      <c r="AZ479" s="10">
        <f>IF('Batt IN'!$E$11="Non-Taxable",$S479*'Batt IN'!$G$15*'Batt IN'!$E$28*'Batt IN'!$E$14/1000,0)</f>
        <v>0</v>
      </c>
      <c r="BA479" s="10">
        <f>IF('Batt IN'!$E$11="Non-Taxable",'Batt IN'!$E$21*'Batt IN'!$G$21/12,0)</f>
        <v>437.5</v>
      </c>
      <c r="BB479" s="10">
        <f>IF('Batt IN'!$E$11="Non-Taxable",'Batt IN'!$E$22*'Batt IN'!$G$22/12,0)</f>
        <v>1145.8333333333335</v>
      </c>
      <c r="BC479" s="10">
        <f>IF('Batt IN'!$E$11="Taxable",Q479,0)</f>
        <v>0</v>
      </c>
      <c r="BD479" s="10">
        <f>IF('Batt IN'!$E$11="Taxable",'Batt IN'!$E$28/1000*'Batt IN'!$G$13*('Batt IN'!$E$13/12)*'Batt IN'!$E$12,0)</f>
        <v>0</v>
      </c>
      <c r="BE479" s="10">
        <f>IF('Batt IN'!$E$11="Taxable",$S479*'Batt IN'!$G$15*'Batt IN'!$E$28*'Batt IN'!$E$14/1000,0)</f>
        <v>0</v>
      </c>
      <c r="BF479" s="10">
        <f>IF('Batt IN'!$E$11="Taxable",'Batt IN'!$E$21*'Batt IN'!$G$21/12,0)</f>
        <v>0</v>
      </c>
      <c r="BG479" s="10">
        <f>IF('Batt IN'!$E$11="Taxable",'Batt IN'!$E$22*'Batt IN'!$G$22/12,0)</f>
        <v>0</v>
      </c>
      <c r="BK479" s="10">
        <f>IF('Batt IN'!$N$18="Yes",-BattLoan!H507,-BattLoan!L507)</f>
        <v>0</v>
      </c>
      <c r="BL479" s="10">
        <f>IF('Batt IN'!$N$18="Yes",-BattLoan!F507,0)</f>
        <v>0</v>
      </c>
      <c r="BM479" s="10">
        <f>IF(AND('Batt IN'!$D$44="YES",$C479&lt;='Batt IN'!$E$44*12),0,-'Batt IN'!$E$28*'Batt IN'!$E$42/12)</f>
        <v>-83.333333333333329</v>
      </c>
      <c r="BN479" s="10">
        <f>IF(AND('Batt IN'!$D$46="YES",$C479&lt;='Batt IN'!$E$46*12),0,-'Batt IN'!$E$28*'Batt IN'!$E$45/12)</f>
        <v>-166.66666666666666</v>
      </c>
      <c r="BO479" s="2">
        <f>IF(AND('Batt IN'!$D$41="YES",BattCalcs!C479=ROUNDUP('Batt IN'!$H$41*12,)),-'Batt IN'!$E$41*'Batt IN'!$E$28,0)</f>
        <v>0</v>
      </c>
      <c r="BP479" s="2">
        <f>IF(AND('Batt IN'!$D$53="Yes",$AL$1&gt;=1),0,IF($C479='Batt IN'!$H$54*12,-'Batt IN'!$F$54,0))</f>
        <v>0</v>
      </c>
      <c r="BQ479" s="2">
        <f>IF(AND('Batt IN'!$D$53="Yes",$AL$1&gt;=2),0,IF($C479='Batt IN'!$H$55*12,-'Batt IN'!$F$55,0))</f>
        <v>0</v>
      </c>
      <c r="BR479" s="2">
        <f>IF(AND('Batt IN'!$D$53="Yes",$AL$1&gt;=3),0,IF($C479='Batt IN'!$H$56*12,-'Batt IN'!$F$56,0))</f>
        <v>0</v>
      </c>
      <c r="BS479" s="2">
        <f>IF(AND('Batt IN'!$D$53="Yes",$AL$1&gt;=4),0,IF($C479='Batt IN'!$H$57*12,-'Batt IN'!$F$57,0))</f>
        <v>0</v>
      </c>
      <c r="BT479" s="2">
        <f>IF(AND('Batt IN'!$D$53="Yes",$AL$1&gt;=5),0,IF($C479='Batt IN'!$H$58*12,-'Batt IN'!$F$58,0))</f>
        <v>0</v>
      </c>
      <c r="BU479" s="2">
        <f>-AH479*PVCalcs!F479</f>
        <v>-359.37504381576838</v>
      </c>
      <c r="BV479" s="2">
        <f>-'Batt IN'!$E$47</f>
        <v>-150</v>
      </c>
      <c r="BW479" s="2">
        <f>-'Batt IN'!$E$49</f>
        <v>-2250</v>
      </c>
      <c r="BX479" s="2">
        <f>IF('Batt IN'!$H$50="No",-(BC479*'Batt IN'!$E$50),-(BC479+BE479)*'Batt IN'!$E$50)</f>
        <v>0</v>
      </c>
      <c r="BY479" s="2">
        <f>IF(C479='Batt IN'!$H$43*12,-'Batt IN'!$E$43,0)</f>
        <v>0</v>
      </c>
      <c r="BZ479" s="38"/>
      <c r="CA479" s="10">
        <f t="shared" si="123"/>
        <v>16099.602860388128</v>
      </c>
      <c r="CB479" s="2">
        <f t="shared" si="128"/>
        <v>-3009.3750438157685</v>
      </c>
      <c r="CC479" s="45">
        <f t="shared" si="124"/>
        <v>13090.227816572358</v>
      </c>
      <c r="CD479" s="43"/>
      <c r="CE479" s="2">
        <f t="shared" si="125"/>
        <v>0</v>
      </c>
      <c r="CF479" s="2">
        <f t="shared" si="129"/>
        <v>-3009.3750438157685</v>
      </c>
      <c r="CG479" s="2"/>
      <c r="CH479" s="2">
        <f t="shared" si="126"/>
        <v>-3009.3750438157685</v>
      </c>
      <c r="CI479" s="45">
        <f>-CH479*'Batt IN'!$E$7</f>
        <v>631.9687592013114</v>
      </c>
      <c r="CJ479" s="48"/>
      <c r="CK479" s="45">
        <f>IF('Batt IN'!$F$4="PV Only",0,IF(C479&gt;'Batt IN'!$H$43*12,0,CC479+CI479))</f>
        <v>0</v>
      </c>
      <c r="CM479" s="10">
        <f t="shared" si="127"/>
        <v>0</v>
      </c>
      <c r="CN479" s="2">
        <f>CK479/(1+('Batt IN'!$G$8))^(C479)</f>
        <v>0</v>
      </c>
      <c r="CO479" s="2" t="e">
        <f>IF(C479&lt;='Batt IN'!$O$30*12,CN479+CO478,NA())</f>
        <v>#N/A</v>
      </c>
      <c r="CQ479" s="2">
        <f>CK479/((1+('Batt IN'!$E$8/12))^BattCalcs!C479)</f>
        <v>0</v>
      </c>
      <c r="CS479" s="10">
        <f t="shared" si="130"/>
        <v>-3009.3750438157685</v>
      </c>
      <c r="CT479" s="10">
        <f t="shared" si="131"/>
        <v>0</v>
      </c>
      <c r="CU479" s="10">
        <f t="shared" si="132"/>
        <v>-3009.3750438157685</v>
      </c>
      <c r="CV479" s="10">
        <f t="shared" si="133"/>
        <v>-3009.3750438157685</v>
      </c>
      <c r="CW479" s="2">
        <f t="shared" si="134"/>
        <v>0</v>
      </c>
      <c r="CX479" s="2">
        <f>-(SUM(CV479:CW479)*'PV IN'!$E$8)</f>
        <v>631.9687592013114</v>
      </c>
      <c r="CY479" s="2">
        <f t="shared" si="135"/>
        <v>-2377.406284614457</v>
      </c>
      <c r="CZ479" s="2">
        <f>IF(C479&lt;='Batt IN'!$H$43*12,CY479/(1+('PV IN'!$G$9))^(C479),0)</f>
        <v>0</v>
      </c>
      <c r="DA479" s="33">
        <f>IF(C479&lt;='Batt IN'!$H$43*12,AE479,0)</f>
        <v>0</v>
      </c>
    </row>
    <row r="480" spans="1:105" x14ac:dyDescent="0.25">
      <c r="A480" t="str">
        <f>IF(C480&lt;='Batt IN'!$H$43*12,C480,"")</f>
        <v/>
      </c>
      <c r="C480">
        <v>476</v>
      </c>
      <c r="D480" s="21">
        <v>906</v>
      </c>
      <c r="E480" s="1">
        <f>1-'Batt IN'!$E$31</f>
        <v>2.0000000000000018E-2</v>
      </c>
      <c r="F480" s="12">
        <f>('Batt IN'!$E$33*365)/8760</f>
        <v>0</v>
      </c>
      <c r="G480" s="22">
        <f>'Batt IN'!$E$32/8760</f>
        <v>5.7077625570776253E-3</v>
      </c>
      <c r="H480" s="22">
        <f>'Batt IN'!$E$13/8760</f>
        <v>5.5936073059360729E-3</v>
      </c>
      <c r="I480" s="23">
        <f>IF(C480&lt;='Batt IN'!$G$14*12,'Batt IN'!$E$15/8760*'Batt IN'!$G$15,0)</f>
        <v>0</v>
      </c>
      <c r="J480" s="12">
        <f>Z480/'Batt IN'!$E$27/730</f>
        <v>2.4999999999999996E-3</v>
      </c>
      <c r="K480" s="23">
        <f>AA480/'Batt IN'!$E$27/730</f>
        <v>1.6027397260273972E-3</v>
      </c>
      <c r="L480" s="23">
        <f>AB480/'Batt IN'!$E$27/730</f>
        <v>2.0547945205479451E-4</v>
      </c>
      <c r="M480" s="23">
        <f>AC480/'Batt IN'!$E$27/730</f>
        <v>4.7945205479452057E-3</v>
      </c>
      <c r="N480" s="23">
        <f>AD480/'Batt IN'!$E$27/730</f>
        <v>3.4246575342465752E-3</v>
      </c>
      <c r="O480" s="12">
        <f t="shared" si="119"/>
        <v>4.3828767123287697E-2</v>
      </c>
      <c r="P480" s="21">
        <f t="shared" si="120"/>
        <v>866.29113698630135</v>
      </c>
      <c r="Q480" s="2">
        <f>IF('Batt IN'!$E$27*'Batt IN'!$E$24&lt;='Batt IN'!$E$28,(('Batt IN'!$E$23*'Batt IN'!$E$27*'Batt IN'!$E$24)/1000)*P480,(('Batt IN'!$E$23*'Batt IN'!$E$28*'Batt IN'!$E$24)/1000)*P480)</f>
        <v>13860.658191780822</v>
      </c>
      <c r="R480" s="2"/>
      <c r="S480" s="77">
        <f>IF(C480&lt;='Batt IN'!$G$14*12,'Batt IN'!$E$15/12,0)</f>
        <v>0</v>
      </c>
      <c r="T480" s="77"/>
      <c r="U480" s="80">
        <f>'Batt IN'!$E$28*('Batt IN'!$G$24/24)*730*(1-O480)</f>
        <v>81433.916666666657</v>
      </c>
      <c r="V480" s="78">
        <f>U480*'Batt IN'!$F$30</f>
        <v>16286.783333333333</v>
      </c>
      <c r="W480" s="78">
        <f>'Batt IN'!$E$28*'Batt IN'!$G$32*('Batt IN'!$E$32/12)*(1+'Batt IN'!$F$30)</f>
        <v>1750.0000000000002</v>
      </c>
      <c r="X480" s="78">
        <f>'Batt IN'!$E$28*'Batt IN'!$G$13*('Batt IN'!$E$13/12)*(1+'Batt IN'!$F$30)</f>
        <v>3184.9999999999995</v>
      </c>
      <c r="Y480" s="33">
        <f>S480*'Batt IN'!$G$15*'Batt IN'!$E$28*(1+'Batt IN'!$F$30)</f>
        <v>0</v>
      </c>
      <c r="Z480" s="33">
        <f>'Batt IN'!$G$16*365/12*(1+'Batt IN'!$F$30)</f>
        <v>1824.9999999999998</v>
      </c>
      <c r="AA480" s="33">
        <f>'Batt IN'!$G$17*'Batt IN'!$E$18*'Batt IN'!$G$18/12*(1+'Batt IN'!$F$30)</f>
        <v>1170</v>
      </c>
      <c r="AB480" s="33">
        <f>'Batt IN'!$G$19*'Batt IN'!$E$20*'Batt IN'!$G$20/12*(1+'Batt IN'!$F$30)</f>
        <v>150</v>
      </c>
      <c r="AC480" s="33">
        <f>'Batt IN'!$G$21*(1+'Batt IN'!$F$30)/12</f>
        <v>3500</v>
      </c>
      <c r="AD480" s="33">
        <f>'Batt IN'!$G$22*(1+'Batt IN'!$F$30)/12</f>
        <v>2500</v>
      </c>
      <c r="AE480" s="33">
        <f t="shared" si="121"/>
        <v>30366.783333333333</v>
      </c>
      <c r="AF480" s="33">
        <f>IF('PV IN'!$F$4="Battery Only",0,AE480*'Batt IN'!$E$29)</f>
        <v>25811.765833333331</v>
      </c>
      <c r="AG480" s="33">
        <f>PVCalcs!L480</f>
        <v>25811.765833333331</v>
      </c>
      <c r="AH480" s="33">
        <f t="shared" si="122"/>
        <v>4555.0175000000017</v>
      </c>
      <c r="AI480" s="33"/>
      <c r="AJ480" s="2">
        <f>IF(AND('Batt IN'!$D$53="Yes",$AL$1&gt;=1),IF($C480='Batt IN'!$H$54*12,-'Batt IN'!$F$54,0),0)</f>
        <v>0</v>
      </c>
      <c r="AK480" s="2">
        <f>IF(AND('Batt IN'!$D$53="Yes",$AL$1&gt;=2),IF($C480='Batt IN'!$H$55*12,-'Batt IN'!$F$55,0),0)</f>
        <v>0</v>
      </c>
      <c r="AL480" s="2">
        <f>IF(AND('Batt IN'!$D$53="Yes",$AL$1&gt;=3),IF($C480='Batt IN'!$H$56*12,-'Batt IN'!$F$56,0),0)</f>
        <v>0</v>
      </c>
      <c r="AM480" s="2">
        <f>IF(AND('Batt IN'!$D$53="Yes",$AL$1&gt;=4),IF($C480='Batt IN'!$H$57*12,-'Batt IN'!$F$57,0),0)</f>
        <v>0</v>
      </c>
      <c r="AN480" s="2">
        <f>IF(AND('Batt IN'!$D$53="Yes",$AL$1&gt;=5),IF($C480='Batt IN'!$H$58*12,-'Batt IN'!$F$58,0),0)</f>
        <v>0</v>
      </c>
      <c r="AO480" s="10">
        <f>IF(AND('Batt IN'!$D$44="YES",$C480&lt;='Batt IN'!$E$44*12),-'Batt IN'!$E$28*'Batt IN'!$E$42/12,0)</f>
        <v>0</v>
      </c>
      <c r="AP480" s="10">
        <f>IF(AND('Batt IN'!$D$46="YES",$C480&lt;='Batt IN'!$E$46*12),-'Batt IN'!$E$28*'Batt IN'!$E$45/12,0)</f>
        <v>0</v>
      </c>
      <c r="AR480" s="10">
        <f>BattLoan!M507</f>
        <v>0</v>
      </c>
      <c r="AS480" s="10">
        <f>'Batt IN'!$G$16*365/12*'Batt IN'!$E$16</f>
        <v>76.041666666666671</v>
      </c>
      <c r="AT480" s="10">
        <f>IF(AND('Batt IN'!$E$18&gt;0,'Batt IN'!$G$18&gt;0),'Batt IN'!$E$17*'Batt IN'!$G$17,0)</f>
        <v>119.44619999999999</v>
      </c>
      <c r="AU480" s="10">
        <f>IF(AND('Batt IN'!$E$20&gt;0,'Batt IN'!$G$20&gt;0),'Batt IN'!$E$19*'Batt IN'!$G$19,0)</f>
        <v>231</v>
      </c>
      <c r="AV480" s="10"/>
      <c r="AW480" s="10"/>
      <c r="AX480" s="10">
        <f>IF('Batt IN'!$E$11="Non-Taxable",Q480,0)</f>
        <v>13860.658191780822</v>
      </c>
      <c r="AY480" s="10">
        <f>IF('Batt IN'!$E$11="Non-Taxable",'Batt IN'!$E$28/1000*'Batt IN'!$G$13*('Batt IN'!$E$13/12)*'Batt IN'!$E$12,0)</f>
        <v>244.42220833333334</v>
      </c>
      <c r="AZ480" s="10">
        <f>IF('Batt IN'!$E$11="Non-Taxable",$S480*'Batt IN'!$G$15*'Batt IN'!$E$28*'Batt IN'!$E$14/1000,0)</f>
        <v>0</v>
      </c>
      <c r="BA480" s="10">
        <f>IF('Batt IN'!$E$11="Non-Taxable",'Batt IN'!$E$21*'Batt IN'!$G$21/12,0)</f>
        <v>437.5</v>
      </c>
      <c r="BB480" s="10">
        <f>IF('Batt IN'!$E$11="Non-Taxable",'Batt IN'!$E$22*'Batt IN'!$G$22/12,0)</f>
        <v>1145.8333333333335</v>
      </c>
      <c r="BC480" s="10">
        <f>IF('Batt IN'!$E$11="Taxable",Q480,0)</f>
        <v>0</v>
      </c>
      <c r="BD480" s="10">
        <f>IF('Batt IN'!$E$11="Taxable",'Batt IN'!$E$28/1000*'Batt IN'!$G$13*('Batt IN'!$E$13/12)*'Batt IN'!$E$12,0)</f>
        <v>0</v>
      </c>
      <c r="BE480" s="10">
        <f>IF('Batt IN'!$E$11="Taxable",$S480*'Batt IN'!$G$15*'Batt IN'!$E$28*'Batt IN'!$E$14/1000,0)</f>
        <v>0</v>
      </c>
      <c r="BF480" s="10">
        <f>IF('Batt IN'!$E$11="Taxable",'Batt IN'!$E$21*'Batt IN'!$G$21/12,0)</f>
        <v>0</v>
      </c>
      <c r="BG480" s="10">
        <f>IF('Batt IN'!$E$11="Taxable",'Batt IN'!$E$22*'Batt IN'!$G$22/12,0)</f>
        <v>0</v>
      </c>
      <c r="BK480" s="10">
        <f>IF('Batt IN'!$N$18="Yes",-BattLoan!H508,-BattLoan!L508)</f>
        <v>0</v>
      </c>
      <c r="BL480" s="10">
        <f>IF('Batt IN'!$N$18="Yes",-BattLoan!F508,0)</f>
        <v>0</v>
      </c>
      <c r="BM480" s="10">
        <f>IF(AND('Batt IN'!$D$44="YES",$C480&lt;='Batt IN'!$E$44*12),0,-'Batt IN'!$E$28*'Batt IN'!$E$42/12)</f>
        <v>-83.333333333333329</v>
      </c>
      <c r="BN480" s="10">
        <f>IF(AND('Batt IN'!$D$46="YES",$C480&lt;='Batt IN'!$E$46*12),0,-'Batt IN'!$E$28*'Batt IN'!$E$45/12)</f>
        <v>-166.66666666666666</v>
      </c>
      <c r="BO480" s="2">
        <f>IF(AND('Batt IN'!$D$41="YES",BattCalcs!C480=ROUNDUP('Batt IN'!$H$41*12,)),-'Batt IN'!$E$41*'Batt IN'!$E$28,0)</f>
        <v>0</v>
      </c>
      <c r="BP480" s="2">
        <f>IF(AND('Batt IN'!$D$53="Yes",$AL$1&gt;=1),0,IF($C480='Batt IN'!$H$54*12,-'Batt IN'!$F$54,0))</f>
        <v>0</v>
      </c>
      <c r="BQ480" s="2">
        <f>IF(AND('Batt IN'!$D$53="Yes",$AL$1&gt;=2),0,IF($C480='Batt IN'!$H$55*12,-'Batt IN'!$F$55,0))</f>
        <v>0</v>
      </c>
      <c r="BR480" s="2">
        <f>IF(AND('Batt IN'!$D$53="Yes",$AL$1&gt;=3),0,IF($C480='Batt IN'!$H$56*12,-'Batt IN'!$F$56,0))</f>
        <v>0</v>
      </c>
      <c r="BS480" s="2">
        <f>IF(AND('Batt IN'!$D$53="Yes",$AL$1&gt;=4),0,IF($C480='Batt IN'!$H$57*12,-'Batt IN'!$F$57,0))</f>
        <v>0</v>
      </c>
      <c r="BT480" s="2">
        <f>IF(AND('Batt IN'!$D$53="Yes",$AL$1&gt;=5),0,IF($C480='Batt IN'!$H$58*12,-'Batt IN'!$F$58,0))</f>
        <v>0</v>
      </c>
      <c r="BU480" s="2">
        <f>-AH480*PVCalcs!F480</f>
        <v>-359.37504381576838</v>
      </c>
      <c r="BV480" s="2">
        <f>-'Batt IN'!$E$47</f>
        <v>-150</v>
      </c>
      <c r="BW480" s="2">
        <f>-'Batt IN'!$E$49</f>
        <v>-2250</v>
      </c>
      <c r="BX480" s="2">
        <f>IF('Batt IN'!$H$50="No",-(BC480*'Batt IN'!$E$50),-(BC480+BE480)*'Batt IN'!$E$50)</f>
        <v>0</v>
      </c>
      <c r="BY480" s="2">
        <f>IF(C480='Batt IN'!$H$43*12,-'Batt IN'!$E$43,0)</f>
        <v>0</v>
      </c>
      <c r="BZ480" s="38"/>
      <c r="CA480" s="10">
        <f t="shared" si="123"/>
        <v>16114.901600114155</v>
      </c>
      <c r="CB480" s="2">
        <f t="shared" si="128"/>
        <v>-3009.3750438157685</v>
      </c>
      <c r="CC480" s="45">
        <f t="shared" si="124"/>
        <v>13105.526556298388</v>
      </c>
      <c r="CD480" s="43"/>
      <c r="CE480" s="2">
        <f t="shared" si="125"/>
        <v>0</v>
      </c>
      <c r="CF480" s="2">
        <f t="shared" si="129"/>
        <v>-3009.3750438157685</v>
      </c>
      <c r="CG480" s="2"/>
      <c r="CH480" s="2">
        <f t="shared" si="126"/>
        <v>-3009.3750438157685</v>
      </c>
      <c r="CI480" s="45">
        <f>-CH480*'Batt IN'!$E$7</f>
        <v>631.9687592013114</v>
      </c>
      <c r="CJ480" s="48"/>
      <c r="CK480" s="45">
        <f>IF('Batt IN'!$F$4="PV Only",0,IF(C480&gt;'Batt IN'!$H$43*12,0,CC480+CI480))</f>
        <v>0</v>
      </c>
      <c r="CM480" s="10">
        <f t="shared" si="127"/>
        <v>0</v>
      </c>
      <c r="CN480" s="2">
        <f>CK480/(1+('Batt IN'!$G$8))^(C480)</f>
        <v>0</v>
      </c>
      <c r="CO480" s="2" t="e">
        <f>IF(C480&lt;='Batt IN'!$O$30*12,CN480+CO479,NA())</f>
        <v>#N/A</v>
      </c>
      <c r="CQ480" s="2">
        <f>CK480/((1+('Batt IN'!$E$8/12))^BattCalcs!C480)</f>
        <v>0</v>
      </c>
      <c r="CS480" s="10">
        <f t="shared" si="130"/>
        <v>-3009.3750438157685</v>
      </c>
      <c r="CT480" s="10">
        <f t="shared" si="131"/>
        <v>0</v>
      </c>
      <c r="CU480" s="10">
        <f t="shared" si="132"/>
        <v>-3009.3750438157685</v>
      </c>
      <c r="CV480" s="10">
        <f t="shared" si="133"/>
        <v>-3009.3750438157685</v>
      </c>
      <c r="CW480" s="2">
        <f t="shared" si="134"/>
        <v>0</v>
      </c>
      <c r="CX480" s="2">
        <f>-(SUM(CV480:CW480)*'PV IN'!$E$8)</f>
        <v>631.9687592013114</v>
      </c>
      <c r="CY480" s="2">
        <f t="shared" si="135"/>
        <v>-2377.406284614457</v>
      </c>
      <c r="CZ480" s="2">
        <f>IF(C480&lt;='Batt IN'!$H$43*12,CY480/(1+('PV IN'!$G$9))^(C480),0)</f>
        <v>0</v>
      </c>
      <c r="DA480" s="33">
        <f>IF(C480&lt;='Batt IN'!$H$43*12,AE480,0)</f>
        <v>0</v>
      </c>
    </row>
    <row r="481" spans="1:105" x14ac:dyDescent="0.25">
      <c r="A481" t="str">
        <f>IF(C481&lt;='Batt IN'!$H$43*12,C481,"")</f>
        <v/>
      </c>
      <c r="C481">
        <v>477</v>
      </c>
      <c r="D481" s="21">
        <v>907</v>
      </c>
      <c r="E481" s="1">
        <f>1-'Batt IN'!$E$31</f>
        <v>2.0000000000000018E-2</v>
      </c>
      <c r="F481" s="12">
        <f>('Batt IN'!$E$33*365)/8760</f>
        <v>0</v>
      </c>
      <c r="G481" s="22">
        <f>'Batt IN'!$E$32/8760</f>
        <v>5.7077625570776253E-3</v>
      </c>
      <c r="H481" s="22">
        <f>'Batt IN'!$E$13/8760</f>
        <v>5.5936073059360729E-3</v>
      </c>
      <c r="I481" s="23">
        <f>IF(C481&lt;='Batt IN'!$G$14*12,'Batt IN'!$E$15/8760*'Batt IN'!$G$15,0)</f>
        <v>0</v>
      </c>
      <c r="J481" s="12">
        <f>Z481/'Batt IN'!$E$27/730</f>
        <v>2.4999999999999996E-3</v>
      </c>
      <c r="K481" s="23">
        <f>AA481/'Batt IN'!$E$27/730</f>
        <v>1.6027397260273972E-3</v>
      </c>
      <c r="L481" s="23">
        <f>AB481/'Batt IN'!$E$27/730</f>
        <v>2.0547945205479451E-4</v>
      </c>
      <c r="M481" s="23">
        <f>AC481/'Batt IN'!$E$27/730</f>
        <v>4.7945205479452057E-3</v>
      </c>
      <c r="N481" s="23">
        <f>AD481/'Batt IN'!$E$27/730</f>
        <v>3.4246575342465752E-3</v>
      </c>
      <c r="O481" s="12">
        <f t="shared" si="119"/>
        <v>4.3828767123287697E-2</v>
      </c>
      <c r="P481" s="21">
        <f t="shared" si="120"/>
        <v>867.24730821917808</v>
      </c>
      <c r="Q481" s="2">
        <f>IF('Batt IN'!$E$27*'Batt IN'!$E$24&lt;='Batt IN'!$E$28,(('Batt IN'!$E$23*'Batt IN'!$E$27*'Batt IN'!$E$24)/1000)*P481,(('Batt IN'!$E$23*'Batt IN'!$E$28*'Batt IN'!$E$24)/1000)*P481)</f>
        <v>13875.956931506849</v>
      </c>
      <c r="R481" s="2"/>
      <c r="S481" s="77">
        <f>IF(C481&lt;='Batt IN'!$G$14*12,'Batt IN'!$E$15/12,0)</f>
        <v>0</v>
      </c>
      <c r="T481" s="77"/>
      <c r="U481" s="80">
        <f>'Batt IN'!$E$28*('Batt IN'!$G$24/24)*730*(1-O481)</f>
        <v>81433.916666666657</v>
      </c>
      <c r="V481" s="78">
        <f>U481*'Batt IN'!$F$30</f>
        <v>16286.783333333333</v>
      </c>
      <c r="W481" s="78">
        <f>'Batt IN'!$E$28*'Batt IN'!$G$32*('Batt IN'!$E$32/12)*(1+'Batt IN'!$F$30)</f>
        <v>1750.0000000000002</v>
      </c>
      <c r="X481" s="78">
        <f>'Batt IN'!$E$28*'Batt IN'!$G$13*('Batt IN'!$E$13/12)*(1+'Batt IN'!$F$30)</f>
        <v>3184.9999999999995</v>
      </c>
      <c r="Y481" s="33">
        <f>S481*'Batt IN'!$G$15*'Batt IN'!$E$28*(1+'Batt IN'!$F$30)</f>
        <v>0</v>
      </c>
      <c r="Z481" s="33">
        <f>'Batt IN'!$G$16*365/12*(1+'Batt IN'!$F$30)</f>
        <v>1824.9999999999998</v>
      </c>
      <c r="AA481" s="33">
        <f>'Batt IN'!$G$17*'Batt IN'!$E$18*'Batt IN'!$G$18/12*(1+'Batt IN'!$F$30)</f>
        <v>1170</v>
      </c>
      <c r="AB481" s="33">
        <f>'Batt IN'!$G$19*'Batt IN'!$E$20*'Batt IN'!$G$20/12*(1+'Batt IN'!$F$30)</f>
        <v>150</v>
      </c>
      <c r="AC481" s="33">
        <f>'Batt IN'!$G$21*(1+'Batt IN'!$F$30)/12</f>
        <v>3500</v>
      </c>
      <c r="AD481" s="33">
        <f>'Batt IN'!$G$22*(1+'Batt IN'!$F$30)/12</f>
        <v>2500</v>
      </c>
      <c r="AE481" s="33">
        <f t="shared" si="121"/>
        <v>30366.783333333333</v>
      </c>
      <c r="AF481" s="33">
        <f>IF('PV IN'!$F$4="Battery Only",0,AE481*'Batt IN'!$E$29)</f>
        <v>25811.765833333331</v>
      </c>
      <c r="AG481" s="33">
        <f>PVCalcs!L481</f>
        <v>25811.765833333331</v>
      </c>
      <c r="AH481" s="33">
        <f t="shared" si="122"/>
        <v>4555.0175000000017</v>
      </c>
      <c r="AI481" s="33"/>
      <c r="AJ481" s="2">
        <f>IF(AND('Batt IN'!$D$53="Yes",$AL$1&gt;=1),IF($C481='Batt IN'!$H$54*12,-'Batt IN'!$F$54,0),0)</f>
        <v>0</v>
      </c>
      <c r="AK481" s="2">
        <f>IF(AND('Batt IN'!$D$53="Yes",$AL$1&gt;=2),IF($C481='Batt IN'!$H$55*12,-'Batt IN'!$F$55,0),0)</f>
        <v>0</v>
      </c>
      <c r="AL481" s="2">
        <f>IF(AND('Batt IN'!$D$53="Yes",$AL$1&gt;=3),IF($C481='Batt IN'!$H$56*12,-'Batt IN'!$F$56,0),0)</f>
        <v>0</v>
      </c>
      <c r="AM481" s="2">
        <f>IF(AND('Batt IN'!$D$53="Yes",$AL$1&gt;=4),IF($C481='Batt IN'!$H$57*12,-'Batt IN'!$F$57,0),0)</f>
        <v>0</v>
      </c>
      <c r="AN481" s="2">
        <f>IF(AND('Batt IN'!$D$53="Yes",$AL$1&gt;=5),IF($C481='Batt IN'!$H$58*12,-'Batt IN'!$F$58,0),0)</f>
        <v>0</v>
      </c>
      <c r="AO481" s="10">
        <f>IF(AND('Batt IN'!$D$44="YES",$C481&lt;='Batt IN'!$E$44*12),-'Batt IN'!$E$28*'Batt IN'!$E$42/12,0)</f>
        <v>0</v>
      </c>
      <c r="AP481" s="10">
        <f>IF(AND('Batt IN'!$D$46="YES",$C481&lt;='Batt IN'!$E$46*12),-'Batt IN'!$E$28*'Batt IN'!$E$45/12,0)</f>
        <v>0</v>
      </c>
      <c r="AR481" s="10">
        <f>BattLoan!M508</f>
        <v>0</v>
      </c>
      <c r="AS481" s="10">
        <f>'Batt IN'!$G$16*365/12*'Batt IN'!$E$16</f>
        <v>76.041666666666671</v>
      </c>
      <c r="AT481" s="10">
        <f>IF(AND('Batt IN'!$E$18&gt;0,'Batt IN'!$G$18&gt;0),'Batt IN'!$E$17*'Batt IN'!$G$17,0)</f>
        <v>119.44619999999999</v>
      </c>
      <c r="AU481" s="10">
        <f>IF(AND('Batt IN'!$E$20&gt;0,'Batt IN'!$G$20&gt;0),'Batt IN'!$E$19*'Batt IN'!$G$19,0)</f>
        <v>231</v>
      </c>
      <c r="AV481" s="10"/>
      <c r="AW481" s="10"/>
      <c r="AX481" s="10">
        <f>IF('Batt IN'!$E$11="Non-Taxable",Q481,0)</f>
        <v>13875.956931506849</v>
      </c>
      <c r="AY481" s="10">
        <f>IF('Batt IN'!$E$11="Non-Taxable",'Batt IN'!$E$28/1000*'Batt IN'!$G$13*('Batt IN'!$E$13/12)*'Batt IN'!$E$12,0)</f>
        <v>244.42220833333334</v>
      </c>
      <c r="AZ481" s="10">
        <f>IF('Batt IN'!$E$11="Non-Taxable",$S481*'Batt IN'!$G$15*'Batt IN'!$E$28*'Batt IN'!$E$14/1000,0)</f>
        <v>0</v>
      </c>
      <c r="BA481" s="10">
        <f>IF('Batt IN'!$E$11="Non-Taxable",'Batt IN'!$E$21*'Batt IN'!$G$21/12,0)</f>
        <v>437.5</v>
      </c>
      <c r="BB481" s="10">
        <f>IF('Batt IN'!$E$11="Non-Taxable",'Batt IN'!$E$22*'Batt IN'!$G$22/12,0)</f>
        <v>1145.8333333333335</v>
      </c>
      <c r="BC481" s="10">
        <f>IF('Batt IN'!$E$11="Taxable",Q481,0)</f>
        <v>0</v>
      </c>
      <c r="BD481" s="10">
        <f>IF('Batt IN'!$E$11="Taxable",'Batt IN'!$E$28/1000*'Batt IN'!$G$13*('Batt IN'!$E$13/12)*'Batt IN'!$E$12,0)</f>
        <v>0</v>
      </c>
      <c r="BE481" s="10">
        <f>IF('Batt IN'!$E$11="Taxable",$S481*'Batt IN'!$G$15*'Batt IN'!$E$28*'Batt IN'!$E$14/1000,0)</f>
        <v>0</v>
      </c>
      <c r="BF481" s="10">
        <f>IF('Batt IN'!$E$11="Taxable",'Batt IN'!$E$21*'Batt IN'!$G$21/12,0)</f>
        <v>0</v>
      </c>
      <c r="BG481" s="10">
        <f>IF('Batt IN'!$E$11="Taxable",'Batt IN'!$E$22*'Batt IN'!$G$22/12,0)</f>
        <v>0</v>
      </c>
      <c r="BK481" s="10">
        <f>IF('Batt IN'!$N$18="Yes",-BattLoan!H509,-BattLoan!L509)</f>
        <v>0</v>
      </c>
      <c r="BL481" s="10">
        <f>IF('Batt IN'!$N$18="Yes",-BattLoan!F509,0)</f>
        <v>0</v>
      </c>
      <c r="BM481" s="10">
        <f>IF(AND('Batt IN'!$D$44="YES",$C481&lt;='Batt IN'!$E$44*12),0,-'Batt IN'!$E$28*'Batt IN'!$E$42/12)</f>
        <v>-83.333333333333329</v>
      </c>
      <c r="BN481" s="10">
        <f>IF(AND('Batt IN'!$D$46="YES",$C481&lt;='Batt IN'!$E$46*12),0,-'Batt IN'!$E$28*'Batt IN'!$E$45/12)</f>
        <v>-166.66666666666666</v>
      </c>
      <c r="BO481" s="2">
        <f>IF(AND('Batt IN'!$D$41="YES",BattCalcs!C481=ROUNDUP('Batt IN'!$H$41*12,)),-'Batt IN'!$E$41*'Batt IN'!$E$28,0)</f>
        <v>0</v>
      </c>
      <c r="BP481" s="2">
        <f>IF(AND('Batt IN'!$D$53="Yes",$AL$1&gt;=1),0,IF($C481='Batt IN'!$H$54*12,-'Batt IN'!$F$54,0))</f>
        <v>0</v>
      </c>
      <c r="BQ481" s="2">
        <f>IF(AND('Batt IN'!$D$53="Yes",$AL$1&gt;=2),0,IF($C481='Batt IN'!$H$55*12,-'Batt IN'!$F$55,0))</f>
        <v>0</v>
      </c>
      <c r="BR481" s="2">
        <f>IF(AND('Batt IN'!$D$53="Yes",$AL$1&gt;=3),0,IF($C481='Batt IN'!$H$56*12,-'Batt IN'!$F$56,0))</f>
        <v>0</v>
      </c>
      <c r="BS481" s="2">
        <f>IF(AND('Batt IN'!$D$53="Yes",$AL$1&gt;=4),0,IF($C481='Batt IN'!$H$57*12,-'Batt IN'!$F$57,0))</f>
        <v>0</v>
      </c>
      <c r="BT481" s="2">
        <f>IF(AND('Batt IN'!$D$53="Yes",$AL$1&gt;=5),0,IF($C481='Batt IN'!$H$58*12,-'Batt IN'!$F$58,0))</f>
        <v>0</v>
      </c>
      <c r="BU481" s="2">
        <f>-AH481*PVCalcs!F481</f>
        <v>-359.37504381576838</v>
      </c>
      <c r="BV481" s="2">
        <f>-'Batt IN'!$E$47</f>
        <v>-150</v>
      </c>
      <c r="BW481" s="2">
        <f>-'Batt IN'!$E$49</f>
        <v>-2250</v>
      </c>
      <c r="BX481" s="2">
        <f>IF('Batt IN'!$H$50="No",-(BC481*'Batt IN'!$E$50),-(BC481+BE481)*'Batt IN'!$E$50)</f>
        <v>0</v>
      </c>
      <c r="BY481" s="2">
        <f>IF(C481='Batt IN'!$H$43*12,-'Batt IN'!$E$43,0)</f>
        <v>0</v>
      </c>
      <c r="BZ481" s="38"/>
      <c r="CA481" s="10">
        <f t="shared" si="123"/>
        <v>16130.200339840183</v>
      </c>
      <c r="CB481" s="2">
        <f t="shared" si="128"/>
        <v>-3009.3750438157685</v>
      </c>
      <c r="CC481" s="45">
        <f t="shared" si="124"/>
        <v>13120.825296024414</v>
      </c>
      <c r="CD481" s="43"/>
      <c r="CE481" s="2">
        <f t="shared" si="125"/>
        <v>0</v>
      </c>
      <c r="CF481" s="2">
        <f t="shared" si="129"/>
        <v>-3009.3750438157685</v>
      </c>
      <c r="CG481" s="2"/>
      <c r="CH481" s="2">
        <f t="shared" si="126"/>
        <v>-3009.3750438157685</v>
      </c>
      <c r="CI481" s="45">
        <f>-CH481*'Batt IN'!$E$7</f>
        <v>631.9687592013114</v>
      </c>
      <c r="CJ481" s="48"/>
      <c r="CK481" s="45">
        <f>IF('Batt IN'!$F$4="PV Only",0,IF(C481&gt;'Batt IN'!$H$43*12,0,CC481+CI481))</f>
        <v>0</v>
      </c>
      <c r="CM481" s="10">
        <f t="shared" si="127"/>
        <v>0</v>
      </c>
      <c r="CN481" s="2">
        <f>CK481/(1+('Batt IN'!$G$8))^(C481)</f>
        <v>0</v>
      </c>
      <c r="CO481" s="2" t="e">
        <f>IF(C481&lt;='Batt IN'!$O$30*12,CN481+CO480,NA())</f>
        <v>#N/A</v>
      </c>
      <c r="CQ481" s="2">
        <f>CK481/((1+('Batt IN'!$E$8/12))^BattCalcs!C481)</f>
        <v>0</v>
      </c>
      <c r="CS481" s="10">
        <f t="shared" si="130"/>
        <v>-3009.3750438157685</v>
      </c>
      <c r="CT481" s="10">
        <f t="shared" si="131"/>
        <v>0</v>
      </c>
      <c r="CU481" s="10">
        <f t="shared" si="132"/>
        <v>-3009.3750438157685</v>
      </c>
      <c r="CV481" s="10">
        <f t="shared" si="133"/>
        <v>-3009.3750438157685</v>
      </c>
      <c r="CW481" s="2">
        <f t="shared" si="134"/>
        <v>0</v>
      </c>
      <c r="CX481" s="2">
        <f>-(SUM(CV481:CW481)*'PV IN'!$E$8)</f>
        <v>631.9687592013114</v>
      </c>
      <c r="CY481" s="2">
        <f t="shared" si="135"/>
        <v>-2377.406284614457</v>
      </c>
      <c r="CZ481" s="2">
        <f>IF(C481&lt;='Batt IN'!$H$43*12,CY481/(1+('PV IN'!$G$9))^(C481),0)</f>
        <v>0</v>
      </c>
      <c r="DA481" s="33">
        <f>IF(C481&lt;='Batt IN'!$H$43*12,AE481,0)</f>
        <v>0</v>
      </c>
    </row>
    <row r="482" spans="1:105" x14ac:dyDescent="0.25">
      <c r="A482" t="str">
        <f>IF(C482&lt;='Batt IN'!$H$43*12,C482,"")</f>
        <v/>
      </c>
      <c r="C482">
        <v>478</v>
      </c>
      <c r="D482" s="21">
        <v>908</v>
      </c>
      <c r="E482" s="1">
        <f>1-'Batt IN'!$E$31</f>
        <v>2.0000000000000018E-2</v>
      </c>
      <c r="F482" s="12">
        <f>('Batt IN'!$E$33*365)/8760</f>
        <v>0</v>
      </c>
      <c r="G482" s="22">
        <f>'Batt IN'!$E$32/8760</f>
        <v>5.7077625570776253E-3</v>
      </c>
      <c r="H482" s="22">
        <f>'Batt IN'!$E$13/8760</f>
        <v>5.5936073059360729E-3</v>
      </c>
      <c r="I482" s="23">
        <f>IF(C482&lt;='Batt IN'!$G$14*12,'Batt IN'!$E$15/8760*'Batt IN'!$G$15,0)</f>
        <v>0</v>
      </c>
      <c r="J482" s="12">
        <f>Z482/'Batt IN'!$E$27/730</f>
        <v>2.4999999999999996E-3</v>
      </c>
      <c r="K482" s="23">
        <f>AA482/'Batt IN'!$E$27/730</f>
        <v>1.6027397260273972E-3</v>
      </c>
      <c r="L482" s="23">
        <f>AB482/'Batt IN'!$E$27/730</f>
        <v>2.0547945205479451E-4</v>
      </c>
      <c r="M482" s="23">
        <f>AC482/'Batt IN'!$E$27/730</f>
        <v>4.7945205479452057E-3</v>
      </c>
      <c r="N482" s="23">
        <f>AD482/'Batt IN'!$E$27/730</f>
        <v>3.4246575342465752E-3</v>
      </c>
      <c r="O482" s="12">
        <f t="shared" si="119"/>
        <v>4.3828767123287697E-2</v>
      </c>
      <c r="P482" s="21">
        <f t="shared" si="120"/>
        <v>868.20347945205481</v>
      </c>
      <c r="Q482" s="2">
        <f>IF('Batt IN'!$E$27*'Batt IN'!$E$24&lt;='Batt IN'!$E$28,(('Batt IN'!$E$23*'Batt IN'!$E$27*'Batt IN'!$E$24)/1000)*P482,(('Batt IN'!$E$23*'Batt IN'!$E$28*'Batt IN'!$E$24)/1000)*P482)</f>
        <v>13891.255671232877</v>
      </c>
      <c r="R482" s="2"/>
      <c r="S482" s="77">
        <f>IF(C482&lt;='Batt IN'!$G$14*12,'Batt IN'!$E$15/12,0)</f>
        <v>0</v>
      </c>
      <c r="T482" s="77"/>
      <c r="U482" s="80">
        <f>'Batt IN'!$E$28*('Batt IN'!$G$24/24)*730*(1-O482)</f>
        <v>81433.916666666657</v>
      </c>
      <c r="V482" s="78">
        <f>U482*'Batt IN'!$F$30</f>
        <v>16286.783333333333</v>
      </c>
      <c r="W482" s="78">
        <f>'Batt IN'!$E$28*'Batt IN'!$G$32*('Batt IN'!$E$32/12)*(1+'Batt IN'!$F$30)</f>
        <v>1750.0000000000002</v>
      </c>
      <c r="X482" s="78">
        <f>'Batt IN'!$E$28*'Batt IN'!$G$13*('Batt IN'!$E$13/12)*(1+'Batt IN'!$F$30)</f>
        <v>3184.9999999999995</v>
      </c>
      <c r="Y482" s="33">
        <f>S482*'Batt IN'!$G$15*'Batt IN'!$E$28*(1+'Batt IN'!$F$30)</f>
        <v>0</v>
      </c>
      <c r="Z482" s="33">
        <f>'Batt IN'!$G$16*365/12*(1+'Batt IN'!$F$30)</f>
        <v>1824.9999999999998</v>
      </c>
      <c r="AA482" s="33">
        <f>'Batt IN'!$G$17*'Batt IN'!$E$18*'Batt IN'!$G$18/12*(1+'Batt IN'!$F$30)</f>
        <v>1170</v>
      </c>
      <c r="AB482" s="33">
        <f>'Batt IN'!$G$19*'Batt IN'!$E$20*'Batt IN'!$G$20/12*(1+'Batt IN'!$F$30)</f>
        <v>150</v>
      </c>
      <c r="AC482" s="33">
        <f>'Batt IN'!$G$21*(1+'Batt IN'!$F$30)/12</f>
        <v>3500</v>
      </c>
      <c r="AD482" s="33">
        <f>'Batt IN'!$G$22*(1+'Batt IN'!$F$30)/12</f>
        <v>2500</v>
      </c>
      <c r="AE482" s="33">
        <f t="shared" si="121"/>
        <v>30366.783333333333</v>
      </c>
      <c r="AF482" s="33">
        <f>IF('PV IN'!$F$4="Battery Only",0,AE482*'Batt IN'!$E$29)</f>
        <v>25811.765833333331</v>
      </c>
      <c r="AG482" s="33">
        <f>PVCalcs!L482</f>
        <v>25811.765833333331</v>
      </c>
      <c r="AH482" s="33">
        <f t="shared" si="122"/>
        <v>4555.0175000000017</v>
      </c>
      <c r="AI482" s="33"/>
      <c r="AJ482" s="2">
        <f>IF(AND('Batt IN'!$D$53="Yes",$AL$1&gt;=1),IF($C482='Batt IN'!$H$54*12,-'Batt IN'!$F$54,0),0)</f>
        <v>0</v>
      </c>
      <c r="AK482" s="2">
        <f>IF(AND('Batt IN'!$D$53="Yes",$AL$1&gt;=2),IF($C482='Batt IN'!$H$55*12,-'Batt IN'!$F$55,0),0)</f>
        <v>0</v>
      </c>
      <c r="AL482" s="2">
        <f>IF(AND('Batt IN'!$D$53="Yes",$AL$1&gt;=3),IF($C482='Batt IN'!$H$56*12,-'Batt IN'!$F$56,0),0)</f>
        <v>0</v>
      </c>
      <c r="AM482" s="2">
        <f>IF(AND('Batt IN'!$D$53="Yes",$AL$1&gt;=4),IF($C482='Batt IN'!$H$57*12,-'Batt IN'!$F$57,0),0)</f>
        <v>0</v>
      </c>
      <c r="AN482" s="2">
        <f>IF(AND('Batt IN'!$D$53="Yes",$AL$1&gt;=5),IF($C482='Batt IN'!$H$58*12,-'Batt IN'!$F$58,0),0)</f>
        <v>0</v>
      </c>
      <c r="AO482" s="10">
        <f>IF(AND('Batt IN'!$D$44="YES",$C482&lt;='Batt IN'!$E$44*12),-'Batt IN'!$E$28*'Batt IN'!$E$42/12,0)</f>
        <v>0</v>
      </c>
      <c r="AP482" s="10">
        <f>IF(AND('Batt IN'!$D$46="YES",$C482&lt;='Batt IN'!$E$46*12),-'Batt IN'!$E$28*'Batt IN'!$E$45/12,0)</f>
        <v>0</v>
      </c>
      <c r="AR482" s="10">
        <f>BattLoan!M509</f>
        <v>0</v>
      </c>
      <c r="AS482" s="10">
        <f>'Batt IN'!$G$16*365/12*'Batt IN'!$E$16</f>
        <v>76.041666666666671</v>
      </c>
      <c r="AT482" s="10">
        <f>IF(AND('Batt IN'!$E$18&gt;0,'Batt IN'!$G$18&gt;0),'Batt IN'!$E$17*'Batt IN'!$G$17,0)</f>
        <v>119.44619999999999</v>
      </c>
      <c r="AU482" s="10">
        <f>IF(AND('Batt IN'!$E$20&gt;0,'Batt IN'!$G$20&gt;0),'Batt IN'!$E$19*'Batt IN'!$G$19,0)</f>
        <v>231</v>
      </c>
      <c r="AV482" s="10"/>
      <c r="AW482" s="10"/>
      <c r="AX482" s="10">
        <f>IF('Batt IN'!$E$11="Non-Taxable",Q482,0)</f>
        <v>13891.255671232877</v>
      </c>
      <c r="AY482" s="10">
        <f>IF('Batt IN'!$E$11="Non-Taxable",'Batt IN'!$E$28/1000*'Batt IN'!$G$13*('Batt IN'!$E$13/12)*'Batt IN'!$E$12,0)</f>
        <v>244.42220833333334</v>
      </c>
      <c r="AZ482" s="10">
        <f>IF('Batt IN'!$E$11="Non-Taxable",$S482*'Batt IN'!$G$15*'Batt IN'!$E$28*'Batt IN'!$E$14/1000,0)</f>
        <v>0</v>
      </c>
      <c r="BA482" s="10">
        <f>IF('Batt IN'!$E$11="Non-Taxable",'Batt IN'!$E$21*'Batt IN'!$G$21/12,0)</f>
        <v>437.5</v>
      </c>
      <c r="BB482" s="10">
        <f>IF('Batt IN'!$E$11="Non-Taxable",'Batt IN'!$E$22*'Batt IN'!$G$22/12,0)</f>
        <v>1145.8333333333335</v>
      </c>
      <c r="BC482" s="10">
        <f>IF('Batt IN'!$E$11="Taxable",Q482,0)</f>
        <v>0</v>
      </c>
      <c r="BD482" s="10">
        <f>IF('Batt IN'!$E$11="Taxable",'Batt IN'!$E$28/1000*'Batt IN'!$G$13*('Batt IN'!$E$13/12)*'Batt IN'!$E$12,0)</f>
        <v>0</v>
      </c>
      <c r="BE482" s="10">
        <f>IF('Batt IN'!$E$11="Taxable",$S482*'Batt IN'!$G$15*'Batt IN'!$E$28*'Batt IN'!$E$14/1000,0)</f>
        <v>0</v>
      </c>
      <c r="BF482" s="10">
        <f>IF('Batt IN'!$E$11="Taxable",'Batt IN'!$E$21*'Batt IN'!$G$21/12,0)</f>
        <v>0</v>
      </c>
      <c r="BG482" s="10">
        <f>IF('Batt IN'!$E$11="Taxable",'Batt IN'!$E$22*'Batt IN'!$G$22/12,0)</f>
        <v>0</v>
      </c>
      <c r="BK482" s="10">
        <f>IF('Batt IN'!$N$18="Yes",-BattLoan!H510,-BattLoan!L510)</f>
        <v>0</v>
      </c>
      <c r="BL482" s="10">
        <f>IF('Batt IN'!$N$18="Yes",-BattLoan!F510,0)</f>
        <v>0</v>
      </c>
      <c r="BM482" s="10">
        <f>IF(AND('Batt IN'!$D$44="YES",$C482&lt;='Batt IN'!$E$44*12),0,-'Batt IN'!$E$28*'Batt IN'!$E$42/12)</f>
        <v>-83.333333333333329</v>
      </c>
      <c r="BN482" s="10">
        <f>IF(AND('Batt IN'!$D$46="YES",$C482&lt;='Batt IN'!$E$46*12),0,-'Batt IN'!$E$28*'Batt IN'!$E$45/12)</f>
        <v>-166.66666666666666</v>
      </c>
      <c r="BO482" s="2">
        <f>IF(AND('Batt IN'!$D$41="YES",BattCalcs!C482=ROUNDUP('Batt IN'!$H$41*12,)),-'Batt IN'!$E$41*'Batt IN'!$E$28,0)</f>
        <v>0</v>
      </c>
      <c r="BP482" s="2">
        <f>IF(AND('Batt IN'!$D$53="Yes",$AL$1&gt;=1),0,IF($C482='Batt IN'!$H$54*12,-'Batt IN'!$F$54,0))</f>
        <v>0</v>
      </c>
      <c r="BQ482" s="2">
        <f>IF(AND('Batt IN'!$D$53="Yes",$AL$1&gt;=2),0,IF($C482='Batt IN'!$H$55*12,-'Batt IN'!$F$55,0))</f>
        <v>0</v>
      </c>
      <c r="BR482" s="2">
        <f>IF(AND('Batt IN'!$D$53="Yes",$AL$1&gt;=3),0,IF($C482='Batt IN'!$H$56*12,-'Batt IN'!$F$56,0))</f>
        <v>0</v>
      </c>
      <c r="BS482" s="2">
        <f>IF(AND('Batt IN'!$D$53="Yes",$AL$1&gt;=4),0,IF($C482='Batt IN'!$H$57*12,-'Batt IN'!$F$57,0))</f>
        <v>0</v>
      </c>
      <c r="BT482" s="2">
        <f>IF(AND('Batt IN'!$D$53="Yes",$AL$1&gt;=5),0,IF($C482='Batt IN'!$H$58*12,-'Batt IN'!$F$58,0))</f>
        <v>0</v>
      </c>
      <c r="BU482" s="2">
        <f>-AH482*PVCalcs!F482</f>
        <v>-359.37504381576838</v>
      </c>
      <c r="BV482" s="2">
        <f>-'Batt IN'!$E$47</f>
        <v>-150</v>
      </c>
      <c r="BW482" s="2">
        <f>-'Batt IN'!$E$49</f>
        <v>-2250</v>
      </c>
      <c r="BX482" s="2">
        <f>IF('Batt IN'!$H$50="No",-(BC482*'Batt IN'!$E$50),-(BC482+BE482)*'Batt IN'!$E$50)</f>
        <v>0</v>
      </c>
      <c r="BY482" s="2">
        <f>IF(C482='Batt IN'!$H$43*12,-'Batt IN'!$E$43,0)</f>
        <v>0</v>
      </c>
      <c r="BZ482" s="38"/>
      <c r="CA482" s="10">
        <f t="shared" si="123"/>
        <v>16145.499079566211</v>
      </c>
      <c r="CB482" s="2">
        <f t="shared" si="128"/>
        <v>-3009.3750438157685</v>
      </c>
      <c r="CC482" s="45">
        <f t="shared" si="124"/>
        <v>13136.124035750443</v>
      </c>
      <c r="CD482" s="43"/>
      <c r="CE482" s="2">
        <f t="shared" si="125"/>
        <v>0</v>
      </c>
      <c r="CF482" s="2">
        <f t="shared" si="129"/>
        <v>-3009.3750438157685</v>
      </c>
      <c r="CG482" s="2"/>
      <c r="CH482" s="2">
        <f t="shared" si="126"/>
        <v>-3009.3750438157685</v>
      </c>
      <c r="CI482" s="45">
        <f>-CH482*'Batt IN'!$E$7</f>
        <v>631.9687592013114</v>
      </c>
      <c r="CJ482" s="48"/>
      <c r="CK482" s="45">
        <f>IF('Batt IN'!$F$4="PV Only",0,IF(C482&gt;'Batt IN'!$H$43*12,0,CC482+CI482))</f>
        <v>0</v>
      </c>
      <c r="CM482" s="10">
        <f t="shared" si="127"/>
        <v>0</v>
      </c>
      <c r="CN482" s="2">
        <f>CK482/(1+('Batt IN'!$G$8))^(C482)</f>
        <v>0</v>
      </c>
      <c r="CO482" s="2" t="e">
        <f>IF(C482&lt;='Batt IN'!$O$30*12,CN482+CO481,NA())</f>
        <v>#N/A</v>
      </c>
      <c r="CQ482" s="2">
        <f>CK482/((1+('Batt IN'!$E$8/12))^BattCalcs!C482)</f>
        <v>0</v>
      </c>
      <c r="CS482" s="10">
        <f t="shared" si="130"/>
        <v>-3009.3750438157685</v>
      </c>
      <c r="CT482" s="10">
        <f t="shared" si="131"/>
        <v>0</v>
      </c>
      <c r="CU482" s="10">
        <f t="shared" si="132"/>
        <v>-3009.3750438157685</v>
      </c>
      <c r="CV482" s="10">
        <f t="shared" si="133"/>
        <v>-3009.3750438157685</v>
      </c>
      <c r="CW482" s="2">
        <f t="shared" si="134"/>
        <v>0</v>
      </c>
      <c r="CX482" s="2">
        <f>-(SUM(CV482:CW482)*'PV IN'!$E$8)</f>
        <v>631.9687592013114</v>
      </c>
      <c r="CY482" s="2">
        <f t="shared" si="135"/>
        <v>-2377.406284614457</v>
      </c>
      <c r="CZ482" s="2">
        <f>IF(C482&lt;='Batt IN'!$H$43*12,CY482/(1+('PV IN'!$G$9))^(C482),0)</f>
        <v>0</v>
      </c>
      <c r="DA482" s="33">
        <f>IF(C482&lt;='Batt IN'!$H$43*12,AE482,0)</f>
        <v>0</v>
      </c>
    </row>
    <row r="483" spans="1:105" x14ac:dyDescent="0.25">
      <c r="A483" t="str">
        <f>IF(C483&lt;='Batt IN'!$H$43*12,C483,"")</f>
        <v/>
      </c>
      <c r="C483">
        <v>479</v>
      </c>
      <c r="D483" s="21">
        <v>909</v>
      </c>
      <c r="E483" s="1">
        <f>1-'Batt IN'!$E$31</f>
        <v>2.0000000000000018E-2</v>
      </c>
      <c r="F483" s="12">
        <f>('Batt IN'!$E$33*365)/8760</f>
        <v>0</v>
      </c>
      <c r="G483" s="22">
        <f>'Batt IN'!$E$32/8760</f>
        <v>5.7077625570776253E-3</v>
      </c>
      <c r="H483" s="22">
        <f>'Batt IN'!$E$13/8760</f>
        <v>5.5936073059360729E-3</v>
      </c>
      <c r="I483" s="23">
        <f>IF(C483&lt;='Batt IN'!$G$14*12,'Batt IN'!$E$15/8760*'Batt IN'!$G$15,0)</f>
        <v>0</v>
      </c>
      <c r="J483" s="12">
        <f>Z483/'Batt IN'!$E$27/730</f>
        <v>2.4999999999999996E-3</v>
      </c>
      <c r="K483" s="23">
        <f>AA483/'Batt IN'!$E$27/730</f>
        <v>1.6027397260273972E-3</v>
      </c>
      <c r="L483" s="23">
        <f>AB483/'Batt IN'!$E$27/730</f>
        <v>2.0547945205479451E-4</v>
      </c>
      <c r="M483" s="23">
        <f>AC483/'Batt IN'!$E$27/730</f>
        <v>4.7945205479452057E-3</v>
      </c>
      <c r="N483" s="23">
        <f>AD483/'Batt IN'!$E$27/730</f>
        <v>3.4246575342465752E-3</v>
      </c>
      <c r="O483" s="12">
        <f t="shared" si="119"/>
        <v>4.3828767123287697E-2</v>
      </c>
      <c r="P483" s="21">
        <f t="shared" si="120"/>
        <v>869.15965068493153</v>
      </c>
      <c r="Q483" s="2">
        <f>IF('Batt IN'!$E$27*'Batt IN'!$E$24&lt;='Batt IN'!$E$28,(('Batt IN'!$E$23*'Batt IN'!$E$27*'Batt IN'!$E$24)/1000)*P483,(('Batt IN'!$E$23*'Batt IN'!$E$28*'Batt IN'!$E$24)/1000)*P483)</f>
        <v>13906.554410958905</v>
      </c>
      <c r="R483" s="2"/>
      <c r="S483" s="77">
        <f>IF(C483&lt;='Batt IN'!$G$14*12,'Batt IN'!$E$15/12,0)</f>
        <v>0</v>
      </c>
      <c r="T483" s="77"/>
      <c r="U483" s="80">
        <f>'Batt IN'!$E$28*('Batt IN'!$G$24/24)*730*(1-O483)</f>
        <v>81433.916666666657</v>
      </c>
      <c r="V483" s="78">
        <f>U483*'Batt IN'!$F$30</f>
        <v>16286.783333333333</v>
      </c>
      <c r="W483" s="78">
        <f>'Batt IN'!$E$28*'Batt IN'!$G$32*('Batt IN'!$E$32/12)*(1+'Batt IN'!$F$30)</f>
        <v>1750.0000000000002</v>
      </c>
      <c r="X483" s="78">
        <f>'Batt IN'!$E$28*'Batt IN'!$G$13*('Batt IN'!$E$13/12)*(1+'Batt IN'!$F$30)</f>
        <v>3184.9999999999995</v>
      </c>
      <c r="Y483" s="33">
        <f>S483*'Batt IN'!$G$15*'Batt IN'!$E$28*(1+'Batt IN'!$F$30)</f>
        <v>0</v>
      </c>
      <c r="Z483" s="33">
        <f>'Batt IN'!$G$16*365/12*(1+'Batt IN'!$F$30)</f>
        <v>1824.9999999999998</v>
      </c>
      <c r="AA483" s="33">
        <f>'Batt IN'!$G$17*'Batt IN'!$E$18*'Batt IN'!$G$18/12*(1+'Batt IN'!$F$30)</f>
        <v>1170</v>
      </c>
      <c r="AB483" s="33">
        <f>'Batt IN'!$G$19*'Batt IN'!$E$20*'Batt IN'!$G$20/12*(1+'Batt IN'!$F$30)</f>
        <v>150</v>
      </c>
      <c r="AC483" s="33">
        <f>'Batt IN'!$G$21*(1+'Batt IN'!$F$30)/12</f>
        <v>3500</v>
      </c>
      <c r="AD483" s="33">
        <f>'Batt IN'!$G$22*(1+'Batt IN'!$F$30)/12</f>
        <v>2500</v>
      </c>
      <c r="AE483" s="33">
        <f t="shared" si="121"/>
        <v>30366.783333333333</v>
      </c>
      <c r="AF483" s="33">
        <f>IF('PV IN'!$F$4="Battery Only",0,AE483*'Batt IN'!$E$29)</f>
        <v>25811.765833333331</v>
      </c>
      <c r="AG483" s="33">
        <f>PVCalcs!L483</f>
        <v>25811.765833333331</v>
      </c>
      <c r="AH483" s="33">
        <f t="shared" si="122"/>
        <v>4555.0175000000017</v>
      </c>
      <c r="AI483" s="33"/>
      <c r="AJ483" s="2">
        <f>IF(AND('Batt IN'!$D$53="Yes",$AL$1&gt;=1),IF($C483='Batt IN'!$H$54*12,-'Batt IN'!$F$54,0),0)</f>
        <v>0</v>
      </c>
      <c r="AK483" s="2">
        <f>IF(AND('Batt IN'!$D$53="Yes",$AL$1&gt;=2),IF($C483='Batt IN'!$H$55*12,-'Batt IN'!$F$55,0),0)</f>
        <v>0</v>
      </c>
      <c r="AL483" s="2">
        <f>IF(AND('Batt IN'!$D$53="Yes",$AL$1&gt;=3),IF($C483='Batt IN'!$H$56*12,-'Batt IN'!$F$56,0),0)</f>
        <v>0</v>
      </c>
      <c r="AM483" s="2">
        <f>IF(AND('Batt IN'!$D$53="Yes",$AL$1&gt;=4),IF($C483='Batt IN'!$H$57*12,-'Batt IN'!$F$57,0),0)</f>
        <v>0</v>
      </c>
      <c r="AN483" s="2">
        <f>IF(AND('Batt IN'!$D$53="Yes",$AL$1&gt;=5),IF($C483='Batt IN'!$H$58*12,-'Batt IN'!$F$58,0),0)</f>
        <v>0</v>
      </c>
      <c r="AO483" s="10">
        <f>IF(AND('Batt IN'!$D$44="YES",$C483&lt;='Batt IN'!$E$44*12),-'Batt IN'!$E$28*'Batt IN'!$E$42/12,0)</f>
        <v>0</v>
      </c>
      <c r="AP483" s="10">
        <f>IF(AND('Batt IN'!$D$46="YES",$C483&lt;='Batt IN'!$E$46*12),-'Batt IN'!$E$28*'Batt IN'!$E$45/12,0)</f>
        <v>0</v>
      </c>
      <c r="AR483" s="10">
        <f>BattLoan!M510</f>
        <v>0</v>
      </c>
      <c r="AS483" s="10">
        <f>'Batt IN'!$G$16*365/12*'Batt IN'!$E$16</f>
        <v>76.041666666666671</v>
      </c>
      <c r="AT483" s="10">
        <f>IF(AND('Batt IN'!$E$18&gt;0,'Batt IN'!$G$18&gt;0),'Batt IN'!$E$17*'Batt IN'!$G$17,0)</f>
        <v>119.44619999999999</v>
      </c>
      <c r="AU483" s="10">
        <f>IF(AND('Batt IN'!$E$20&gt;0,'Batt IN'!$G$20&gt;0),'Batt IN'!$E$19*'Batt IN'!$G$19,0)</f>
        <v>231</v>
      </c>
      <c r="AV483" s="10"/>
      <c r="AW483" s="10"/>
      <c r="AX483" s="10">
        <f>IF('Batt IN'!$E$11="Non-Taxable",Q483,0)</f>
        <v>13906.554410958905</v>
      </c>
      <c r="AY483" s="10">
        <f>IF('Batt IN'!$E$11="Non-Taxable",'Batt IN'!$E$28/1000*'Batt IN'!$G$13*('Batt IN'!$E$13/12)*'Batt IN'!$E$12,0)</f>
        <v>244.42220833333334</v>
      </c>
      <c r="AZ483" s="10">
        <f>IF('Batt IN'!$E$11="Non-Taxable",$S483*'Batt IN'!$G$15*'Batt IN'!$E$28*'Batt IN'!$E$14/1000,0)</f>
        <v>0</v>
      </c>
      <c r="BA483" s="10">
        <f>IF('Batt IN'!$E$11="Non-Taxable",'Batt IN'!$E$21*'Batt IN'!$G$21/12,0)</f>
        <v>437.5</v>
      </c>
      <c r="BB483" s="10">
        <f>IF('Batt IN'!$E$11="Non-Taxable",'Batt IN'!$E$22*'Batt IN'!$G$22/12,0)</f>
        <v>1145.8333333333335</v>
      </c>
      <c r="BC483" s="10">
        <f>IF('Batt IN'!$E$11="Taxable",Q483,0)</f>
        <v>0</v>
      </c>
      <c r="BD483" s="10">
        <f>IF('Batt IN'!$E$11="Taxable",'Batt IN'!$E$28/1000*'Batt IN'!$G$13*('Batt IN'!$E$13/12)*'Batt IN'!$E$12,0)</f>
        <v>0</v>
      </c>
      <c r="BE483" s="10">
        <f>IF('Batt IN'!$E$11="Taxable",$S483*'Batt IN'!$G$15*'Batt IN'!$E$28*'Batt IN'!$E$14/1000,0)</f>
        <v>0</v>
      </c>
      <c r="BF483" s="10">
        <f>IF('Batt IN'!$E$11="Taxable",'Batt IN'!$E$21*'Batt IN'!$G$21/12,0)</f>
        <v>0</v>
      </c>
      <c r="BG483" s="10">
        <f>IF('Batt IN'!$E$11="Taxable",'Batt IN'!$E$22*'Batt IN'!$G$22/12,0)</f>
        <v>0</v>
      </c>
      <c r="BK483" s="10">
        <f>IF('Batt IN'!$N$18="Yes",-BattLoan!H511,-BattLoan!L511)</f>
        <v>0</v>
      </c>
      <c r="BL483" s="10">
        <f>IF('Batt IN'!$N$18="Yes",-BattLoan!F511,0)</f>
        <v>0</v>
      </c>
      <c r="BM483" s="10">
        <f>IF(AND('Batt IN'!$D$44="YES",$C483&lt;='Batt IN'!$E$44*12),0,-'Batt IN'!$E$28*'Batt IN'!$E$42/12)</f>
        <v>-83.333333333333329</v>
      </c>
      <c r="BN483" s="10">
        <f>IF(AND('Batt IN'!$D$46="YES",$C483&lt;='Batt IN'!$E$46*12),0,-'Batt IN'!$E$28*'Batt IN'!$E$45/12)</f>
        <v>-166.66666666666666</v>
      </c>
      <c r="BO483" s="2">
        <f>IF(AND('Batt IN'!$D$41="YES",BattCalcs!C483=ROUNDUP('Batt IN'!$H$41*12,)),-'Batt IN'!$E$41*'Batt IN'!$E$28,0)</f>
        <v>0</v>
      </c>
      <c r="BP483" s="2">
        <f>IF(AND('Batt IN'!$D$53="Yes",$AL$1&gt;=1),0,IF($C483='Batt IN'!$H$54*12,-'Batt IN'!$F$54,0))</f>
        <v>0</v>
      </c>
      <c r="BQ483" s="2">
        <f>IF(AND('Batt IN'!$D$53="Yes",$AL$1&gt;=2),0,IF($C483='Batt IN'!$H$55*12,-'Batt IN'!$F$55,0))</f>
        <v>0</v>
      </c>
      <c r="BR483" s="2">
        <f>IF(AND('Batt IN'!$D$53="Yes",$AL$1&gt;=3),0,IF($C483='Batt IN'!$H$56*12,-'Batt IN'!$F$56,0))</f>
        <v>0</v>
      </c>
      <c r="BS483" s="2">
        <f>IF(AND('Batt IN'!$D$53="Yes",$AL$1&gt;=4),0,IF($C483='Batt IN'!$H$57*12,-'Batt IN'!$F$57,0))</f>
        <v>0</v>
      </c>
      <c r="BT483" s="2">
        <f>IF(AND('Batt IN'!$D$53="Yes",$AL$1&gt;=5),0,IF($C483='Batt IN'!$H$58*12,-'Batt IN'!$F$58,0))</f>
        <v>0</v>
      </c>
      <c r="BU483" s="2">
        <f>-AH483*PVCalcs!F483</f>
        <v>-359.37504381576838</v>
      </c>
      <c r="BV483" s="2">
        <f>-'Batt IN'!$E$47</f>
        <v>-150</v>
      </c>
      <c r="BW483" s="2">
        <f>-'Batt IN'!$E$49</f>
        <v>-2250</v>
      </c>
      <c r="BX483" s="2">
        <f>IF('Batt IN'!$H$50="No",-(BC483*'Batt IN'!$E$50),-(BC483+BE483)*'Batt IN'!$E$50)</f>
        <v>0</v>
      </c>
      <c r="BY483" s="2">
        <f>IF(C483='Batt IN'!$H$43*12,-'Batt IN'!$E$43,0)</f>
        <v>0</v>
      </c>
      <c r="BZ483" s="38"/>
      <c r="CA483" s="10">
        <f t="shared" si="123"/>
        <v>16160.797819292238</v>
      </c>
      <c r="CB483" s="2">
        <f t="shared" si="128"/>
        <v>-3009.3750438157685</v>
      </c>
      <c r="CC483" s="45">
        <f t="shared" si="124"/>
        <v>13151.422775476469</v>
      </c>
      <c r="CD483" s="43"/>
      <c r="CE483" s="2">
        <f t="shared" si="125"/>
        <v>0</v>
      </c>
      <c r="CF483" s="2">
        <f t="shared" si="129"/>
        <v>-3009.3750438157685</v>
      </c>
      <c r="CG483" s="2"/>
      <c r="CH483" s="2">
        <f t="shared" si="126"/>
        <v>-3009.3750438157685</v>
      </c>
      <c r="CI483" s="45">
        <f>-CH483*'Batt IN'!$E$7</f>
        <v>631.9687592013114</v>
      </c>
      <c r="CJ483" s="48"/>
      <c r="CK483" s="45">
        <f>IF('Batt IN'!$F$4="PV Only",0,IF(C483&gt;'Batt IN'!$H$43*12,0,CC483+CI483))</f>
        <v>0</v>
      </c>
      <c r="CM483" s="10">
        <f t="shared" si="127"/>
        <v>0</v>
      </c>
      <c r="CN483" s="2">
        <f>CK483/(1+('Batt IN'!$G$8))^(C483)</f>
        <v>0</v>
      </c>
      <c r="CO483" s="2" t="e">
        <f>IF(C483&lt;='Batt IN'!$O$30*12,CN483+CO482,NA())</f>
        <v>#N/A</v>
      </c>
      <c r="CQ483" s="2">
        <f>CK483/((1+('Batt IN'!$E$8/12))^BattCalcs!C483)</f>
        <v>0</v>
      </c>
      <c r="CS483" s="10">
        <f t="shared" si="130"/>
        <v>-3009.3750438157685</v>
      </c>
      <c r="CT483" s="10">
        <f t="shared" si="131"/>
        <v>0</v>
      </c>
      <c r="CU483" s="10">
        <f t="shared" si="132"/>
        <v>-3009.3750438157685</v>
      </c>
      <c r="CV483" s="10">
        <f t="shared" si="133"/>
        <v>-3009.3750438157685</v>
      </c>
      <c r="CW483" s="2">
        <f t="shared" si="134"/>
        <v>0</v>
      </c>
      <c r="CX483" s="2">
        <f>-(SUM(CV483:CW483)*'PV IN'!$E$8)</f>
        <v>631.9687592013114</v>
      </c>
      <c r="CY483" s="2">
        <f t="shared" si="135"/>
        <v>-2377.406284614457</v>
      </c>
      <c r="CZ483" s="2">
        <f>IF(C483&lt;='Batt IN'!$H$43*12,CY483/(1+('PV IN'!$G$9))^(C483),0)</f>
        <v>0</v>
      </c>
      <c r="DA483" s="33">
        <f>IF(C483&lt;='Batt IN'!$H$43*12,AE483,0)</f>
        <v>0</v>
      </c>
    </row>
    <row r="484" spans="1:105" x14ac:dyDescent="0.25">
      <c r="A484" t="str">
        <f>IF(C484&lt;='Batt IN'!$H$43*12,C484,"")</f>
        <v/>
      </c>
      <c r="B484">
        <v>40</v>
      </c>
      <c r="C484">
        <v>480</v>
      </c>
      <c r="D484" s="21">
        <v>910</v>
      </c>
      <c r="E484" s="1">
        <f>1-'Batt IN'!$E$31</f>
        <v>2.0000000000000018E-2</v>
      </c>
      <c r="F484" s="12">
        <f>('Batt IN'!$E$33*365)/8760</f>
        <v>0</v>
      </c>
      <c r="G484" s="22">
        <f>'Batt IN'!$E$32/8760</f>
        <v>5.7077625570776253E-3</v>
      </c>
      <c r="H484" s="22">
        <f>'Batt IN'!$E$13/8760</f>
        <v>5.5936073059360729E-3</v>
      </c>
      <c r="I484" s="23">
        <f>IF(C484&lt;='Batt IN'!$G$14*12,'Batt IN'!$E$15/8760*'Batt IN'!$G$15,0)</f>
        <v>0</v>
      </c>
      <c r="J484" s="12">
        <f>Z484/'Batt IN'!$E$27/730</f>
        <v>2.4999999999999996E-3</v>
      </c>
      <c r="K484" s="23">
        <f>AA484/'Batt IN'!$E$27/730</f>
        <v>1.6027397260273972E-3</v>
      </c>
      <c r="L484" s="23">
        <f>AB484/'Batt IN'!$E$27/730</f>
        <v>2.0547945205479451E-4</v>
      </c>
      <c r="M484" s="23">
        <f>AC484/'Batt IN'!$E$27/730</f>
        <v>4.7945205479452057E-3</v>
      </c>
      <c r="N484" s="23">
        <f>AD484/'Batt IN'!$E$27/730</f>
        <v>3.4246575342465752E-3</v>
      </c>
      <c r="O484" s="12">
        <f t="shared" si="119"/>
        <v>4.3828767123287697E-2</v>
      </c>
      <c r="P484" s="21">
        <f t="shared" si="120"/>
        <v>870.11582191780826</v>
      </c>
      <c r="Q484" s="2">
        <f>IF('Batt IN'!$E$27*'Batt IN'!$E$24&lt;='Batt IN'!$E$28,(('Batt IN'!$E$23*'Batt IN'!$E$27*'Batt IN'!$E$24)/1000)*P484,(('Batt IN'!$E$23*'Batt IN'!$E$28*'Batt IN'!$E$24)/1000)*P484)</f>
        <v>13921.853150684932</v>
      </c>
      <c r="R484" s="2"/>
      <c r="S484" s="77">
        <f>IF(C484&lt;='Batt IN'!$G$14*12,'Batt IN'!$E$15/12,0)</f>
        <v>0</v>
      </c>
      <c r="T484" s="77"/>
      <c r="U484" s="80">
        <f>'Batt IN'!$E$28*('Batt IN'!$G$24/24)*730*(1-O484)</f>
        <v>81433.916666666657</v>
      </c>
      <c r="V484" s="78">
        <f>U484*'Batt IN'!$F$30</f>
        <v>16286.783333333333</v>
      </c>
      <c r="W484" s="78">
        <f>'Batt IN'!$E$28*'Batt IN'!$G$32*('Batt IN'!$E$32/12)*(1+'Batt IN'!$F$30)</f>
        <v>1750.0000000000002</v>
      </c>
      <c r="X484" s="78">
        <f>'Batt IN'!$E$28*'Batt IN'!$G$13*('Batt IN'!$E$13/12)*(1+'Batt IN'!$F$30)</f>
        <v>3184.9999999999995</v>
      </c>
      <c r="Y484" s="33">
        <f>S484*'Batt IN'!$G$15*'Batt IN'!$E$28*(1+'Batt IN'!$F$30)</f>
        <v>0</v>
      </c>
      <c r="Z484" s="33">
        <f>'Batt IN'!$G$16*365/12*(1+'Batt IN'!$F$30)</f>
        <v>1824.9999999999998</v>
      </c>
      <c r="AA484" s="33">
        <f>'Batt IN'!$G$17*'Batt IN'!$E$18*'Batt IN'!$G$18/12*(1+'Batt IN'!$F$30)</f>
        <v>1170</v>
      </c>
      <c r="AB484" s="33">
        <f>'Batt IN'!$G$19*'Batt IN'!$E$20*'Batt IN'!$G$20/12*(1+'Batt IN'!$F$30)</f>
        <v>150</v>
      </c>
      <c r="AC484" s="33">
        <f>'Batt IN'!$G$21*(1+'Batt IN'!$F$30)/12</f>
        <v>3500</v>
      </c>
      <c r="AD484" s="33">
        <f>'Batt IN'!$G$22*(1+'Batt IN'!$F$30)/12</f>
        <v>2500</v>
      </c>
      <c r="AE484" s="33">
        <f t="shared" si="121"/>
        <v>30366.783333333333</v>
      </c>
      <c r="AF484" s="33">
        <f>IF('PV IN'!$F$4="Battery Only",0,AE484*'Batt IN'!$E$29)</f>
        <v>25811.765833333331</v>
      </c>
      <c r="AG484" s="33">
        <f>PVCalcs!L484</f>
        <v>25811.765833333331</v>
      </c>
      <c r="AH484" s="33">
        <f t="shared" si="122"/>
        <v>4555.0175000000017</v>
      </c>
      <c r="AI484" s="33"/>
      <c r="AJ484" s="2">
        <f>IF(AND('Batt IN'!$D$53="Yes",$AL$1&gt;=1),IF($C484='Batt IN'!$H$54*12,-'Batt IN'!$F$54,0),0)</f>
        <v>0</v>
      </c>
      <c r="AK484" s="2">
        <f>IF(AND('Batt IN'!$D$53="Yes",$AL$1&gt;=2),IF($C484='Batt IN'!$H$55*12,-'Batt IN'!$F$55,0),0)</f>
        <v>0</v>
      </c>
      <c r="AL484" s="2">
        <f>IF(AND('Batt IN'!$D$53="Yes",$AL$1&gt;=3),IF($C484='Batt IN'!$H$56*12,-'Batt IN'!$F$56,0),0)</f>
        <v>0</v>
      </c>
      <c r="AM484" s="2">
        <f>IF(AND('Batt IN'!$D$53="Yes",$AL$1&gt;=4),IF($C484='Batt IN'!$H$57*12,-'Batt IN'!$F$57,0),0)</f>
        <v>0</v>
      </c>
      <c r="AN484" s="2">
        <f>IF(AND('Batt IN'!$D$53="Yes",$AL$1&gt;=5),IF($C484='Batt IN'!$H$58*12,-'Batt IN'!$F$58,0),0)</f>
        <v>0</v>
      </c>
      <c r="AO484" s="10">
        <f>IF(AND('Batt IN'!$D$44="YES",$C484&lt;='Batt IN'!$E$44*12),-'Batt IN'!$E$28*'Batt IN'!$E$42/12,0)</f>
        <v>0</v>
      </c>
      <c r="AP484" s="10">
        <f>IF(AND('Batt IN'!$D$46="YES",$C484&lt;='Batt IN'!$E$46*12),-'Batt IN'!$E$28*'Batt IN'!$E$45/12,0)</f>
        <v>0</v>
      </c>
      <c r="AR484" s="10">
        <f>BattLoan!M511</f>
        <v>0</v>
      </c>
      <c r="AS484" s="10">
        <f>'Batt IN'!$G$16*365/12*'Batt IN'!$E$16</f>
        <v>76.041666666666671</v>
      </c>
      <c r="AT484" s="10">
        <f>IF(AND('Batt IN'!$E$18&gt;0,'Batt IN'!$G$18&gt;0),'Batt IN'!$E$17*'Batt IN'!$G$17,0)</f>
        <v>119.44619999999999</v>
      </c>
      <c r="AU484" s="10">
        <f>IF(AND('Batt IN'!$E$20&gt;0,'Batt IN'!$G$20&gt;0),'Batt IN'!$E$19*'Batt IN'!$G$19,0)</f>
        <v>231</v>
      </c>
      <c r="AV484" s="10"/>
      <c r="AW484" s="10"/>
      <c r="AX484" s="10">
        <f>IF('Batt IN'!$E$11="Non-Taxable",Q484,0)</f>
        <v>13921.853150684932</v>
      </c>
      <c r="AY484" s="10">
        <f>IF('Batt IN'!$E$11="Non-Taxable",'Batt IN'!$E$28/1000*'Batt IN'!$G$13*('Batt IN'!$E$13/12)*'Batt IN'!$E$12,0)</f>
        <v>244.42220833333334</v>
      </c>
      <c r="AZ484" s="10">
        <f>IF('Batt IN'!$E$11="Non-Taxable",$S484*'Batt IN'!$G$15*'Batt IN'!$E$28*'Batt IN'!$E$14/1000,0)</f>
        <v>0</v>
      </c>
      <c r="BA484" s="10">
        <f>IF('Batt IN'!$E$11="Non-Taxable",'Batt IN'!$E$21*'Batt IN'!$G$21/12,0)</f>
        <v>437.5</v>
      </c>
      <c r="BB484" s="10">
        <f>IF('Batt IN'!$E$11="Non-Taxable",'Batt IN'!$E$22*'Batt IN'!$G$22/12,0)</f>
        <v>1145.8333333333335</v>
      </c>
      <c r="BC484" s="10">
        <f>IF('Batt IN'!$E$11="Taxable",Q484,0)</f>
        <v>0</v>
      </c>
      <c r="BD484" s="10">
        <f>IF('Batt IN'!$E$11="Taxable",'Batt IN'!$E$28/1000*'Batt IN'!$G$13*('Batt IN'!$E$13/12)*'Batt IN'!$E$12,0)</f>
        <v>0</v>
      </c>
      <c r="BE484" s="10">
        <f>IF('Batt IN'!$E$11="Taxable",$S484*'Batt IN'!$G$15*'Batt IN'!$E$28*'Batt IN'!$E$14/1000,0)</f>
        <v>0</v>
      </c>
      <c r="BF484" s="10">
        <f>IF('Batt IN'!$E$11="Taxable",'Batt IN'!$E$21*'Batt IN'!$G$21/12,0)</f>
        <v>0</v>
      </c>
      <c r="BG484" s="10">
        <f>IF('Batt IN'!$E$11="Taxable",'Batt IN'!$E$22*'Batt IN'!$G$22/12,0)</f>
        <v>0</v>
      </c>
      <c r="BK484" s="10">
        <f>IF('Batt IN'!$N$18="Yes",-BattLoan!H512,-BattLoan!L512)</f>
        <v>0</v>
      </c>
      <c r="BL484" s="10">
        <f>IF('Batt IN'!$N$18="Yes",-BattLoan!F512,0)</f>
        <v>0</v>
      </c>
      <c r="BM484" s="10">
        <f>IF(AND('Batt IN'!$D$44="YES",$C484&lt;='Batt IN'!$E$44*12),0,-'Batt IN'!$E$28*'Batt IN'!$E$42/12)</f>
        <v>-83.333333333333329</v>
      </c>
      <c r="BN484" s="10">
        <f>IF(AND('Batt IN'!$D$46="YES",$C484&lt;='Batt IN'!$E$46*12),0,-'Batt IN'!$E$28*'Batt IN'!$E$45/12)</f>
        <v>-166.66666666666666</v>
      </c>
      <c r="BO484" s="2">
        <f>IF(AND('Batt IN'!$D$41="YES",BattCalcs!C484=ROUNDUP('Batt IN'!$H$41*12,)),-'Batt IN'!$E$41*'Batt IN'!$E$28,0)</f>
        <v>0</v>
      </c>
      <c r="BP484" s="2">
        <f>IF(AND('Batt IN'!$D$53="Yes",$AL$1&gt;=1),0,IF($C484='Batt IN'!$H$54*12,-'Batt IN'!$F$54,0))</f>
        <v>0</v>
      </c>
      <c r="BQ484" s="2">
        <f>IF(AND('Batt IN'!$D$53="Yes",$AL$1&gt;=2),0,IF($C484='Batt IN'!$H$55*12,-'Batt IN'!$F$55,0))</f>
        <v>0</v>
      </c>
      <c r="BR484" s="2">
        <f>IF(AND('Batt IN'!$D$53="Yes",$AL$1&gt;=3),0,IF($C484='Batt IN'!$H$56*12,-'Batt IN'!$F$56,0))</f>
        <v>0</v>
      </c>
      <c r="BS484" s="2">
        <f>IF(AND('Batt IN'!$D$53="Yes",$AL$1&gt;=4),0,IF($C484='Batt IN'!$H$57*12,-'Batt IN'!$F$57,0))</f>
        <v>0</v>
      </c>
      <c r="BT484" s="2">
        <f>IF(AND('Batt IN'!$D$53="Yes",$AL$1&gt;=5),0,IF($C484='Batt IN'!$H$58*12,-'Batt IN'!$F$58,0))</f>
        <v>0</v>
      </c>
      <c r="BU484" s="2">
        <f>-AH484*PVCalcs!F484</f>
        <v>-359.37504381576838</v>
      </c>
      <c r="BV484" s="2">
        <f>-'Batt IN'!$E$47</f>
        <v>-150</v>
      </c>
      <c r="BW484" s="2">
        <f>-'Batt IN'!$E$49</f>
        <v>-2250</v>
      </c>
      <c r="BX484" s="2">
        <f>IF('Batt IN'!$H$50="No",-(BC484*'Batt IN'!$E$50),-(BC484+BE484)*'Batt IN'!$E$50)</f>
        <v>0</v>
      </c>
      <c r="BY484" s="2">
        <f>IF(C484='Batt IN'!$H$43*12,-'Batt IN'!$E$43,0)</f>
        <v>0</v>
      </c>
      <c r="BZ484" s="38"/>
      <c r="CA484" s="10">
        <f t="shared" si="123"/>
        <v>16176.096559018266</v>
      </c>
      <c r="CB484" s="2">
        <f t="shared" si="128"/>
        <v>-3009.3750438157685</v>
      </c>
      <c r="CC484" s="45">
        <f t="shared" si="124"/>
        <v>13166.721515202498</v>
      </c>
      <c r="CD484" s="43"/>
      <c r="CE484" s="2">
        <f t="shared" si="125"/>
        <v>0</v>
      </c>
      <c r="CF484" s="2">
        <f t="shared" si="129"/>
        <v>-3009.3750438157685</v>
      </c>
      <c r="CG484" s="2"/>
      <c r="CH484" s="2">
        <f t="shared" si="126"/>
        <v>-3009.3750438157685</v>
      </c>
      <c r="CI484" s="45">
        <f>-CH484*'Batt IN'!$E$7</f>
        <v>631.9687592013114</v>
      </c>
      <c r="CJ484" s="48"/>
      <c r="CK484" s="45">
        <f>IF('Batt IN'!$F$4="PV Only",0,IF(C484&gt;'Batt IN'!$H$43*12,0,CC484+CI484))</f>
        <v>0</v>
      </c>
      <c r="CM484" s="10">
        <f t="shared" si="127"/>
        <v>0</v>
      </c>
      <c r="CN484" s="2">
        <f>CK484/(1+('Batt IN'!$G$8))^(C484)</f>
        <v>0</v>
      </c>
      <c r="CO484" s="2" t="e">
        <f>IF(C484&lt;='Batt IN'!$O$30*12,CN484+CO483,NA())</f>
        <v>#N/A</v>
      </c>
      <c r="CQ484" s="2">
        <f>CK484/((1+('Batt IN'!$E$8/12))^BattCalcs!C484)</f>
        <v>0</v>
      </c>
      <c r="CS484" s="10">
        <f t="shared" si="130"/>
        <v>-3009.3750438157685</v>
      </c>
      <c r="CT484" s="10">
        <f t="shared" si="131"/>
        <v>0</v>
      </c>
      <c r="CU484" s="10">
        <f t="shared" si="132"/>
        <v>-3009.3750438157685</v>
      </c>
      <c r="CV484" s="10">
        <f t="shared" si="133"/>
        <v>-3009.3750438157685</v>
      </c>
      <c r="CW484" s="2">
        <f t="shared" si="134"/>
        <v>0</v>
      </c>
      <c r="CX484" s="2">
        <f>-(SUM(CV484:CW484)*'PV IN'!$E$8)</f>
        <v>631.9687592013114</v>
      </c>
      <c r="CY484" s="2">
        <f t="shared" si="135"/>
        <v>-2377.406284614457</v>
      </c>
      <c r="CZ484" s="2">
        <f>IF(C484&lt;='Batt IN'!$H$43*12,CY484/(1+('PV IN'!$G$9))^(C484),0)</f>
        <v>0</v>
      </c>
      <c r="DA484" s="33">
        <f>IF(C484&lt;='Batt IN'!$H$43*12,AE484,0)</f>
        <v>0</v>
      </c>
    </row>
    <row r="487" spans="1:105" x14ac:dyDescent="0.25">
      <c r="B487" t="s">
        <v>49</v>
      </c>
      <c r="AJ487" s="10">
        <f>-SUM(AJ5:AJ484)</f>
        <v>0</v>
      </c>
      <c r="AK487" s="10">
        <f t="shared" ref="AK487:AO487" si="136">-SUM(AK5:AK484)</f>
        <v>0</v>
      </c>
      <c r="AL487" s="10">
        <f t="shared" si="136"/>
        <v>0</v>
      </c>
      <c r="AM487" s="10">
        <f t="shared" si="136"/>
        <v>0</v>
      </c>
      <c r="AN487" s="10">
        <f t="shared" si="136"/>
        <v>0</v>
      </c>
      <c r="AO487" s="10">
        <f t="shared" si="136"/>
        <v>0</v>
      </c>
      <c r="AP487" s="10">
        <f>-SUM(AP5:AP484)</f>
        <v>0</v>
      </c>
      <c r="BE487" s="10"/>
      <c r="BF487" s="10"/>
      <c r="BG487" s="10"/>
      <c r="BP487" s="10"/>
      <c r="BQ487" s="10"/>
      <c r="BR487" s="10"/>
      <c r="BS487" s="10"/>
      <c r="BT487" s="10"/>
      <c r="BU487" s="10"/>
      <c r="BV487" s="10"/>
      <c r="CO487" s="10"/>
      <c r="CP487" s="10"/>
      <c r="CQ487" s="10"/>
    </row>
  </sheetData>
  <mergeCells count="7">
    <mergeCell ref="E2:N2"/>
    <mergeCell ref="U2:AD2"/>
    <mergeCell ref="CS2:DA2"/>
    <mergeCell ref="BC2:BH2"/>
    <mergeCell ref="AR2:AV2"/>
    <mergeCell ref="AJ2:AP2"/>
    <mergeCell ref="BL2:BX2"/>
  </mergeCells>
  <pageMargins left="0.7" right="0.7" top="0.75" bottom="0.75" header="0.3" footer="0.3"/>
  <pageSetup orientation="portrait" horizont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2:CJ484"/>
  <sheetViews>
    <sheetView zoomScale="85" zoomScaleNormal="85" workbookViewId="0">
      <pane xSplit="3" ySplit="3" topLeftCell="W4" activePane="bottomRight" state="frozen"/>
      <selection pane="topRight" activeCell="D1" sqref="D1"/>
      <selection pane="bottomLeft" activeCell="A4" sqref="A4"/>
      <selection pane="bottomRight" activeCell="AF4" sqref="AF4"/>
    </sheetView>
  </sheetViews>
  <sheetFormatPr defaultRowHeight="15" x14ac:dyDescent="0.25"/>
  <cols>
    <col min="2" max="2" width="4.85546875" bestFit="1" customWidth="1"/>
    <col min="3" max="3" width="6.85546875" bestFit="1" customWidth="1"/>
    <col min="4" max="4" width="16" bestFit="1" customWidth="1"/>
    <col min="5" max="7" width="15.28515625" bestFit="1" customWidth="1"/>
    <col min="8" max="8" width="14.5703125" bestFit="1" customWidth="1"/>
    <col min="9" max="9" width="15.5703125" bestFit="1" customWidth="1"/>
    <col min="10" max="10" width="14.5703125" bestFit="1" customWidth="1"/>
    <col min="11" max="11" width="2.85546875" customWidth="1"/>
    <col min="12" max="13" width="15.28515625" bestFit="1" customWidth="1"/>
    <col min="14" max="14" width="3.28515625" customWidth="1"/>
    <col min="15" max="16" width="14.28515625" bestFit="1" customWidth="1"/>
    <col min="17" max="17" width="12.5703125" style="2" bestFit="1" customWidth="1"/>
    <col min="18" max="18" width="13.42578125" bestFit="1" customWidth="1"/>
    <col min="19" max="19" width="1.7109375" style="148" customWidth="1"/>
    <col min="20" max="20" width="10.28515625" bestFit="1" customWidth="1"/>
    <col min="21" max="22" width="10.28515625" customWidth="1"/>
    <col min="24" max="24" width="10.5703125" bestFit="1" customWidth="1"/>
    <col min="25" max="25" width="11.5703125" style="144" bestFit="1" customWidth="1"/>
    <col min="26" max="28" width="9.28515625" bestFit="1" customWidth="1"/>
    <col min="29" max="29" width="10.5703125" bestFit="1" customWidth="1"/>
    <col min="30" max="30" width="20.140625" customWidth="1"/>
    <col min="31" max="31" width="13.5703125" bestFit="1" customWidth="1"/>
    <col min="32" max="32" width="15" bestFit="1" customWidth="1"/>
    <col min="33" max="33" width="9.7109375" bestFit="1" customWidth="1"/>
    <col min="34" max="34" width="13.42578125" bestFit="1" customWidth="1"/>
    <col min="35" max="35" width="9.28515625" bestFit="1" customWidth="1"/>
    <col min="36" max="36" width="12.28515625" bestFit="1" customWidth="1"/>
    <col min="37" max="38" width="9.7109375" bestFit="1" customWidth="1"/>
    <col min="39" max="39" width="11.28515625" bestFit="1" customWidth="1"/>
    <col min="40" max="40" width="12.28515625" bestFit="1" customWidth="1"/>
    <col min="41" max="41" width="11.5703125" bestFit="1" customWidth="1"/>
    <col min="45" max="45" width="12.5703125" bestFit="1" customWidth="1"/>
    <col min="46" max="46" width="15" bestFit="1" customWidth="1"/>
    <col min="47" max="47" width="13.140625" bestFit="1" customWidth="1"/>
    <col min="48" max="48" width="12.5703125" bestFit="1" customWidth="1"/>
    <col min="49" max="49" width="13.42578125" bestFit="1" customWidth="1"/>
    <col min="50" max="51" width="13.42578125" customWidth="1"/>
    <col min="52" max="52" width="12.5703125" customWidth="1"/>
    <col min="53" max="53" width="10.5703125" bestFit="1" customWidth="1"/>
    <col min="54" max="54" width="1.5703125" style="148" customWidth="1"/>
    <col min="55" max="56" width="11.7109375" bestFit="1" customWidth="1"/>
    <col min="57" max="57" width="10.28515625" bestFit="1" customWidth="1"/>
    <col min="58" max="58" width="8" bestFit="1" customWidth="1"/>
    <col min="59" max="59" width="11.5703125" bestFit="1" customWidth="1"/>
    <col min="60" max="60" width="12.5703125" bestFit="1" customWidth="1"/>
    <col min="61" max="63" width="10.5703125" bestFit="1" customWidth="1"/>
    <col min="64" max="64" width="11.5703125" bestFit="1" customWidth="1"/>
    <col min="65" max="65" width="19.7109375" bestFit="1" customWidth="1"/>
    <col min="66" max="66" width="13.7109375" bestFit="1" customWidth="1"/>
    <col min="67" max="67" width="15.140625" bestFit="1" customWidth="1"/>
    <col min="68" max="68" width="11.28515625" bestFit="1" customWidth="1"/>
    <col min="69" max="69" width="9.42578125" bestFit="1" customWidth="1"/>
    <col min="70" max="70" width="11.28515625" bestFit="1" customWidth="1"/>
    <col min="71" max="71" width="9.42578125" bestFit="1" customWidth="1"/>
    <col min="72" max="73" width="11.28515625" bestFit="1" customWidth="1"/>
    <col min="74" max="74" width="12.28515625" bestFit="1" customWidth="1"/>
    <col min="75" max="75" width="7" bestFit="1" customWidth="1"/>
    <col min="76" max="76" width="12.5703125" bestFit="1" customWidth="1"/>
    <col min="77" max="77" width="9" bestFit="1" customWidth="1"/>
    <col min="78" max="79" width="10.5703125" bestFit="1" customWidth="1"/>
    <col min="80" max="83" width="12.5703125" bestFit="1" customWidth="1"/>
    <col min="84" max="84" width="13.42578125" bestFit="1" customWidth="1"/>
    <col min="85" max="86" width="12.28515625" customWidth="1"/>
    <col min="87" max="87" width="12.5703125" bestFit="1" customWidth="1"/>
    <col min="88" max="88" width="9.42578125" bestFit="1" customWidth="1"/>
  </cols>
  <sheetData>
    <row r="2" spans="1:88" x14ac:dyDescent="0.25">
      <c r="D2" s="24"/>
      <c r="E2" s="24"/>
      <c r="F2" s="24"/>
      <c r="G2" s="24">
        <f>INDEX($C$5:$C$304,MATCH(TRUE,INDEX(G5:G304&gt;=0,0),0))/12</f>
        <v>11.5</v>
      </c>
      <c r="H2" s="24"/>
      <c r="I2" s="24"/>
      <c r="J2" s="24">
        <f>INDEX($C$5:$C$304,MATCH(TRUE,INDEX(J5:J304&gt;=0,0),0))/12</f>
        <v>8.3333333333333329E-2</v>
      </c>
      <c r="K2" s="24"/>
      <c r="L2" s="24"/>
      <c r="M2" s="24">
        <f>INDEX($C$5:$C$304,MATCH(TRUE,INDEX(M5:M304&gt;=0,0),0))/12</f>
        <v>11.5</v>
      </c>
      <c r="N2" t="s">
        <v>152</v>
      </c>
      <c r="T2" s="337" t="s">
        <v>137</v>
      </c>
      <c r="U2" s="337"/>
      <c r="V2" s="337"/>
      <c r="W2" s="337"/>
      <c r="X2" s="337"/>
      <c r="Y2" s="337"/>
      <c r="Z2" s="337"/>
      <c r="AA2" s="337"/>
      <c r="AB2" s="337"/>
      <c r="AC2" s="337"/>
      <c r="AD2" t="s">
        <v>482</v>
      </c>
      <c r="AE2" t="s">
        <v>438</v>
      </c>
      <c r="AF2" s="337" t="s">
        <v>86</v>
      </c>
      <c r="AG2" s="337"/>
      <c r="AH2" s="337"/>
      <c r="AI2" s="337"/>
      <c r="AJ2" s="337"/>
      <c r="AK2" s="337"/>
      <c r="AL2" s="337"/>
      <c r="AM2" s="337"/>
      <c r="AN2" s="337"/>
      <c r="AO2" s="337" t="s">
        <v>493</v>
      </c>
      <c r="AP2" s="337"/>
      <c r="AQ2" s="337"/>
      <c r="AR2" s="337"/>
      <c r="AS2" s="337" t="s">
        <v>454</v>
      </c>
      <c r="AT2" s="337"/>
      <c r="AU2" s="337"/>
      <c r="AV2" s="337"/>
      <c r="AW2" s="337"/>
      <c r="AX2" s="337" t="s">
        <v>460</v>
      </c>
      <c r="AY2" s="337"/>
      <c r="AZ2" s="337" t="s">
        <v>472</v>
      </c>
      <c r="BA2" s="337"/>
      <c r="BC2" s="337" t="s">
        <v>137</v>
      </c>
      <c r="BD2" s="337"/>
      <c r="BE2" s="337"/>
      <c r="BF2" s="337"/>
      <c r="BG2" s="337"/>
      <c r="BH2" s="337"/>
      <c r="BI2" s="337"/>
      <c r="BJ2" s="337"/>
      <c r="BK2" s="337"/>
      <c r="BL2" s="337"/>
      <c r="BM2" t="s">
        <v>482</v>
      </c>
      <c r="BN2" t="s">
        <v>438</v>
      </c>
      <c r="BO2" s="337" t="s">
        <v>86</v>
      </c>
      <c r="BP2" s="337"/>
      <c r="BQ2" s="337"/>
      <c r="BR2" s="337"/>
      <c r="BS2" s="337"/>
      <c r="BT2" s="337"/>
      <c r="BU2" s="337"/>
      <c r="BV2" s="337"/>
      <c r="BW2" s="337"/>
      <c r="BX2" s="337" t="s">
        <v>493</v>
      </c>
      <c r="BY2" s="337"/>
      <c r="BZ2" s="337"/>
      <c r="CA2" s="337"/>
      <c r="CB2" s="337" t="s">
        <v>454</v>
      </c>
      <c r="CC2" s="337"/>
      <c r="CD2" s="337"/>
      <c r="CE2" s="337"/>
      <c r="CF2" s="337"/>
      <c r="CG2" s="337" t="s">
        <v>460</v>
      </c>
      <c r="CH2" s="337"/>
      <c r="CI2" s="337" t="s">
        <v>472</v>
      </c>
      <c r="CJ2" s="337"/>
    </row>
    <row r="3" spans="1:88" s="9" customFormat="1" ht="75" x14ac:dyDescent="0.25">
      <c r="A3" s="9" t="s">
        <v>394</v>
      </c>
      <c r="B3" s="9" t="s">
        <v>37</v>
      </c>
      <c r="C3" s="9" t="s">
        <v>18</v>
      </c>
      <c r="D3" s="9" t="s">
        <v>149</v>
      </c>
      <c r="E3" s="9" t="s">
        <v>116</v>
      </c>
      <c r="F3" s="9" t="s">
        <v>117</v>
      </c>
      <c r="G3" s="9" t="s">
        <v>118</v>
      </c>
      <c r="H3" s="9" t="s">
        <v>119</v>
      </c>
      <c r="I3" s="9" t="s">
        <v>120</v>
      </c>
      <c r="J3" s="9" t="s">
        <v>121</v>
      </c>
      <c r="L3" s="9" t="s">
        <v>154</v>
      </c>
      <c r="M3" s="9" t="s">
        <v>395</v>
      </c>
      <c r="O3" s="9" t="s">
        <v>396</v>
      </c>
      <c r="P3" s="9" t="s">
        <v>397</v>
      </c>
      <c r="Q3" s="86" t="s">
        <v>398</v>
      </c>
      <c r="R3" s="9" t="s">
        <v>399</v>
      </c>
      <c r="S3" s="149"/>
      <c r="T3" s="9" t="s">
        <v>430</v>
      </c>
      <c r="U3" s="9" t="s">
        <v>483</v>
      </c>
      <c r="V3" s="9" t="s">
        <v>484</v>
      </c>
      <c r="W3" s="9" t="s">
        <v>432</v>
      </c>
      <c r="X3" s="9" t="s">
        <v>434</v>
      </c>
      <c r="Y3" s="157" t="s">
        <v>481</v>
      </c>
      <c r="Z3" s="9" t="s">
        <v>307</v>
      </c>
      <c r="AA3" s="9" t="s">
        <v>129</v>
      </c>
      <c r="AB3" s="9" t="s">
        <v>317</v>
      </c>
      <c r="AC3" s="9" t="s">
        <v>320</v>
      </c>
      <c r="AD3" s="9" t="str">
        <f>BattCalcs!$BU$3</f>
        <v>Battery Services Energy purchases</v>
      </c>
      <c r="AE3" s="9" t="s">
        <v>439</v>
      </c>
      <c r="AF3" s="9" t="s">
        <v>443</v>
      </c>
      <c r="AG3" s="9" t="s">
        <v>444</v>
      </c>
      <c r="AH3" s="9" t="s">
        <v>445</v>
      </c>
      <c r="AI3" s="9" t="s">
        <v>486</v>
      </c>
      <c r="AJ3" s="9" t="s">
        <v>487</v>
      </c>
      <c r="AK3" s="9" t="s">
        <v>446</v>
      </c>
      <c r="AL3" s="9" t="s">
        <v>488</v>
      </c>
      <c r="AM3" s="9" t="s">
        <v>489</v>
      </c>
      <c r="AN3" s="9" t="s">
        <v>490</v>
      </c>
      <c r="AO3" s="9" t="s">
        <v>494</v>
      </c>
      <c r="AP3" s="9" t="str">
        <f>BattCalcs!$AS$3</f>
        <v>Load Shift Energy Savings</v>
      </c>
      <c r="AQ3" s="9" t="str">
        <f>BattCalcs!$AT$3</f>
        <v>Peak (Demand) Shaving Savings</v>
      </c>
      <c r="AR3" s="9" t="str">
        <f>BattCalcs!$AU$3</f>
        <v>Peak (Capacity) Shaving Savings</v>
      </c>
      <c r="AS3" s="9" t="s">
        <v>24</v>
      </c>
      <c r="AT3" s="9" t="s">
        <v>497</v>
      </c>
      <c r="AU3" s="9" t="s">
        <v>498</v>
      </c>
      <c r="AV3" s="9" t="s">
        <v>499</v>
      </c>
      <c r="AW3" s="9" t="s">
        <v>289</v>
      </c>
      <c r="AX3" s="9" t="s">
        <v>502</v>
      </c>
      <c r="AY3" s="9" t="s">
        <v>503</v>
      </c>
      <c r="AZ3" s="9" t="s">
        <v>500</v>
      </c>
      <c r="BA3" s="9" t="s">
        <v>501</v>
      </c>
      <c r="BB3" s="149"/>
      <c r="BC3" s="9" t="s">
        <v>430</v>
      </c>
      <c r="BD3" s="9" t="s">
        <v>483</v>
      </c>
      <c r="BE3" s="9" t="s">
        <v>484</v>
      </c>
      <c r="BF3" s="9" t="s">
        <v>432</v>
      </c>
      <c r="BG3" s="9" t="s">
        <v>434</v>
      </c>
      <c r="BH3" s="86" t="s">
        <v>481</v>
      </c>
      <c r="BI3" s="9" t="s">
        <v>307</v>
      </c>
      <c r="BJ3" s="9" t="s">
        <v>129</v>
      </c>
      <c r="BK3" s="9" t="s">
        <v>317</v>
      </c>
      <c r="BL3" s="9" t="s">
        <v>320</v>
      </c>
      <c r="BM3" s="9" t="str">
        <f>BattCalcs!$BU$3</f>
        <v>Battery Services Energy purchases</v>
      </c>
      <c r="BN3" s="9" t="s">
        <v>439</v>
      </c>
      <c r="BO3" s="9" t="s">
        <v>443</v>
      </c>
      <c r="BP3" s="9" t="s">
        <v>444</v>
      </c>
      <c r="BQ3" s="9" t="s">
        <v>445</v>
      </c>
      <c r="BR3" s="9" t="s">
        <v>486</v>
      </c>
      <c r="BS3" s="9" t="s">
        <v>487</v>
      </c>
      <c r="BT3" s="9" t="s">
        <v>446</v>
      </c>
      <c r="BU3" s="9" t="s">
        <v>488</v>
      </c>
      <c r="BV3" s="9" t="s">
        <v>489</v>
      </c>
      <c r="BW3" s="9" t="s">
        <v>490</v>
      </c>
      <c r="BX3" s="9" t="s">
        <v>494</v>
      </c>
      <c r="BY3" s="9" t="str">
        <f>BattCalcs!$AS$3</f>
        <v>Load Shift Energy Savings</v>
      </c>
      <c r="BZ3" s="9" t="str">
        <f>BattCalcs!$AT$3</f>
        <v>Peak (Demand) Shaving Savings</v>
      </c>
      <c r="CA3" s="9" t="str">
        <f>BattCalcs!$AU$3</f>
        <v>Peak (Capacity) Shaving Savings</v>
      </c>
      <c r="CB3" s="9" t="s">
        <v>24</v>
      </c>
      <c r="CC3" s="9" t="s">
        <v>497</v>
      </c>
      <c r="CD3" s="9" t="s">
        <v>498</v>
      </c>
      <c r="CE3" s="9" t="s">
        <v>499</v>
      </c>
      <c r="CF3" s="9" t="s">
        <v>289</v>
      </c>
      <c r="CG3" s="9" t="s">
        <v>502</v>
      </c>
      <c r="CH3" s="9" t="s">
        <v>503</v>
      </c>
      <c r="CI3" s="9" t="s">
        <v>500</v>
      </c>
      <c r="CJ3" s="9" t="s">
        <v>501</v>
      </c>
    </row>
    <row r="4" spans="1:88" x14ac:dyDescent="0.25">
      <c r="A4">
        <f>IF(C4&lt;='PV IN'!$O$22*12,C4,"")</f>
        <v>0</v>
      </c>
      <c r="B4">
        <f>'PV IN'!$E$5</f>
        <v>2025</v>
      </c>
      <c r="C4">
        <v>0</v>
      </c>
      <c r="D4" s="2">
        <f>BattCalcs!CK4+PVCalcs!AT4</f>
        <v>-2325000</v>
      </c>
      <c r="E4" s="20">
        <f>PVCalcs!AV4</f>
        <v>-2325000</v>
      </c>
      <c r="F4" s="20">
        <f>PVCalcs!AW4</f>
        <v>-2325000</v>
      </c>
      <c r="G4" s="20">
        <f>E4</f>
        <v>-2325000</v>
      </c>
      <c r="H4" s="20">
        <f>BattCalcs!CM4</f>
        <v>0</v>
      </c>
      <c r="I4" s="20">
        <f>BattCalcs!CN4</f>
        <v>0</v>
      </c>
      <c r="J4" s="20">
        <f>H4</f>
        <v>0</v>
      </c>
      <c r="L4" s="20">
        <f>F4+I4</f>
        <v>-2325000</v>
      </c>
      <c r="M4" s="20">
        <f>G4+BattCalcs!CO4</f>
        <v>-2325000</v>
      </c>
      <c r="O4" s="10">
        <f>PVLoan!G32</f>
        <v>0</v>
      </c>
      <c r="P4" s="10">
        <f>PVLoan!J32</f>
        <v>0</v>
      </c>
      <c r="Q4" s="2">
        <f>BattLoan!G32</f>
        <v>0</v>
      </c>
      <c r="R4" s="10">
        <f>BattLoan!J32</f>
        <v>0</v>
      </c>
      <c r="T4" s="33">
        <f>IF('PV IN'!$F$4="Battery Only",0,PVCalcs!G4)</f>
        <v>0</v>
      </c>
      <c r="U4" s="33">
        <f>IF('PV IN'!$F$4="Battery Only",0,PVCalcs!M4)</f>
        <v>0</v>
      </c>
      <c r="V4" s="33">
        <f>PVCalcs!L4</f>
        <v>0</v>
      </c>
      <c r="W4" s="158">
        <f>PVCalcs!F4</f>
        <v>0</v>
      </c>
      <c r="X4" s="144">
        <f>IF('PV IN'!$F$4="Battery Only",0,PVCalcs!Y4+PVCalcs!Z4)</f>
        <v>0</v>
      </c>
      <c r="Y4" s="144">
        <f>IF('PV IN'!$F$4="PV Only",0,BattCalcs!AX4+BattCalcs!BC4)</f>
        <v>0</v>
      </c>
      <c r="Z4" s="144">
        <f>IF('PV IN'!$F$4="PV Only",0,BattCalcs!AY4+BattCalcs!BD4)</f>
        <v>0</v>
      </c>
      <c r="AA4" s="144">
        <f>IF('PV IN'!$F$4="PV Only",0,BattCalcs!AZ4+BattCalcs!BE4)</f>
        <v>0</v>
      </c>
      <c r="AB4" s="144">
        <f>IF('PV IN'!$F$4="PV Only",0,BattCalcs!BA4+BattCalcs!BF4)</f>
        <v>0</v>
      </c>
      <c r="AC4" s="144">
        <f>IF('PV IN'!$F$4="PV Only",0,BattCalcs!BB4+BattCalcs!BG4)</f>
        <v>0</v>
      </c>
      <c r="AD4" s="144">
        <f>IF('PV IN'!$F$4="PV Only",0,BattCalcs!BU4)</f>
        <v>0</v>
      </c>
      <c r="AE4" s="144">
        <f>IF('PV IN'!$F$4="PV Only",PVCalcs!W4+PVCalcs!AA4,IF('PV IN'!$F$4="Battery Only",BattCalcs!AV4+BattCalcs!BH4,PVCalcs!W4+PVCalcs!AA4+BattCalcs!AV4+BattCalcs!BH4))</f>
        <v>0</v>
      </c>
      <c r="AF4" s="10">
        <f>PVCalcs!AC4+BattCalcs!BJ4</f>
        <v>-2325000</v>
      </c>
      <c r="AG4" s="144">
        <f>IF('PV IN'!$F$4="Battery Only",0,PVCalcs!AG4)</f>
        <v>0</v>
      </c>
      <c r="AH4" s="144">
        <f>IF('PV IN'!$F$4="Battery Only",0,PVCalcs!AI4)</f>
        <v>0</v>
      </c>
      <c r="AI4" s="144">
        <f>IF('PV IN'!$F$4="PV Only",0,BattCalcs!BM4)</f>
        <v>0</v>
      </c>
      <c r="AJ4" s="144">
        <f>IF('PV IN'!$F$4="PV Only",0,SUM(BattCalcs!BO4:BT4))</f>
        <v>0</v>
      </c>
      <c r="AK4" s="144">
        <f>IF('PV IN'!$F$4="PV Only",PVCalcs!AH4,IF('PV IN'!$F$4="Battery Only",BattCalcs!BN4,PVCalcs!AH4+BattCalcs!BN4))</f>
        <v>0</v>
      </c>
      <c r="AL4" s="144">
        <f>IF('PV IN'!$F$4="PV Only",0,BattCalcs!BV4)</f>
        <v>0</v>
      </c>
      <c r="AM4" s="144">
        <f>IF('PV IN'!$F$4="PV Only",0,SUM(BattCalcs!BW4:BX4))</f>
        <v>0</v>
      </c>
      <c r="AN4" s="144">
        <f>IF('PV IN'!$F$4="PV Only",0,BattCalcs!BY4)</f>
        <v>0</v>
      </c>
      <c r="AO4" s="144">
        <f>IF('PV IN'!$F$4="Battery Only",0,PVCalcs!U4)</f>
        <v>0</v>
      </c>
      <c r="AP4" s="10">
        <f>IF('PV IN'!$F$4="PV Only",0,BattCalcs!AS4)</f>
        <v>0</v>
      </c>
      <c r="AQ4" s="10">
        <f>IF('PV IN'!$F$4="PV Only",0,BattCalcs!AT4)</f>
        <v>0</v>
      </c>
      <c r="AR4" s="10">
        <f>IF('PV IN'!$F$4="PV Only",0,BattCalcs!AU4)</f>
        <v>0</v>
      </c>
      <c r="AS4" s="144">
        <f>IF('PV IN'!$F$4="PV Only",PVCalcs!X4,IF('PV IN'!$F$4="Battery Only",BattCalcs!AW4,PVCalcs!X4+BattCalcs!AW4))</f>
        <v>0</v>
      </c>
      <c r="AT4" s="144">
        <f>IF('PV IN'!$F$4="Battery Only",0,-PVCalcs!AQ4*'PV IN'!$E$8)</f>
        <v>0</v>
      </c>
      <c r="AU4" s="144">
        <f>IF('PV IN'!$F$4="PV Only",0,-BattCalcs!CG4*'PV IN'!$E$8)</f>
        <v>0</v>
      </c>
      <c r="AV4" s="144">
        <f>IF('PV IN'!$F$4="PV Only",PVCalcs!Z4+PVCalcs!AA4,IF('PV IN'!$F$4="Battery Only",SUM(BattCalcs!BC4:BH4),PVCalcs!Z4+PVCalcs!AA4+SUM(BattCalcs!BC4:BH4)))</f>
        <v>0</v>
      </c>
      <c r="AW4" s="144">
        <f>IF('PV IN'!$F$4="PV Only",SUM(PVCalcs!AF4:AI4),IF('PV IN'!$F$4="Battery Only",SUM(BattCalcs!BL4:BY4),SUM(PVCalcs!AF4:AI4)+SUM(BattCalcs!BL4:BY4)))</f>
        <v>0</v>
      </c>
      <c r="AX4" s="144">
        <f>IF('PV IN'!$F$4="Battery Only",0,-PVLoan!F32)</f>
        <v>0</v>
      </c>
      <c r="AY4" s="144">
        <f>IF('PV IN'!$F$4="PV Only",0,-BattLoan!F32)</f>
        <v>0</v>
      </c>
      <c r="AZ4" s="144">
        <f>IF('PV IN'!$F$4="Battery Only",0,-PVLoan!H32)</f>
        <v>0</v>
      </c>
      <c r="BA4" s="144">
        <f>IF('PV IN'!$F$4="PV Only",0,-BattLoan!H32)</f>
        <v>0</v>
      </c>
      <c r="BC4" s="33">
        <f t="shared" ref="BC4:CF4" si="0">T4</f>
        <v>0</v>
      </c>
      <c r="BD4" s="33">
        <f t="shared" si="0"/>
        <v>0</v>
      </c>
      <c r="BE4" s="33">
        <f t="shared" si="0"/>
        <v>0</v>
      </c>
      <c r="BF4" s="2">
        <f t="shared" si="0"/>
        <v>0</v>
      </c>
      <c r="BG4" s="2">
        <f t="shared" si="0"/>
        <v>0</v>
      </c>
      <c r="BH4" s="2">
        <f t="shared" si="0"/>
        <v>0</v>
      </c>
      <c r="BI4" s="2">
        <f t="shared" si="0"/>
        <v>0</v>
      </c>
      <c r="BJ4" s="2">
        <f t="shared" si="0"/>
        <v>0</v>
      </c>
      <c r="BK4" s="2">
        <f t="shared" si="0"/>
        <v>0</v>
      </c>
      <c r="BL4" s="2">
        <f t="shared" si="0"/>
        <v>0</v>
      </c>
      <c r="BM4" s="2">
        <f t="shared" si="0"/>
        <v>0</v>
      </c>
      <c r="BN4" s="2">
        <f t="shared" si="0"/>
        <v>0</v>
      </c>
      <c r="BO4" s="2">
        <f t="shared" si="0"/>
        <v>-2325000</v>
      </c>
      <c r="BP4" s="2">
        <f t="shared" si="0"/>
        <v>0</v>
      </c>
      <c r="BQ4" s="2">
        <f t="shared" si="0"/>
        <v>0</v>
      </c>
      <c r="BR4" s="2">
        <f t="shared" si="0"/>
        <v>0</v>
      </c>
      <c r="BS4" s="2">
        <f t="shared" si="0"/>
        <v>0</v>
      </c>
      <c r="BT4" s="2">
        <f t="shared" si="0"/>
        <v>0</v>
      </c>
      <c r="BU4" s="2">
        <f t="shared" si="0"/>
        <v>0</v>
      </c>
      <c r="BV4" s="2">
        <f t="shared" si="0"/>
        <v>0</v>
      </c>
      <c r="BW4" s="2">
        <f t="shared" si="0"/>
        <v>0</v>
      </c>
      <c r="BX4" s="2">
        <f t="shared" si="0"/>
        <v>0</v>
      </c>
      <c r="BY4" s="2">
        <f t="shared" si="0"/>
        <v>0</v>
      </c>
      <c r="BZ4" s="2">
        <f t="shared" si="0"/>
        <v>0</v>
      </c>
      <c r="CA4" s="2">
        <f t="shared" si="0"/>
        <v>0</v>
      </c>
      <c r="CB4" s="2">
        <f t="shared" si="0"/>
        <v>0</v>
      </c>
      <c r="CC4" s="2">
        <f t="shared" si="0"/>
        <v>0</v>
      </c>
      <c r="CD4" s="2">
        <f t="shared" si="0"/>
        <v>0</v>
      </c>
      <c r="CE4" s="2">
        <f t="shared" si="0"/>
        <v>0</v>
      </c>
      <c r="CF4" s="2">
        <f t="shared" si="0"/>
        <v>0</v>
      </c>
      <c r="CG4" s="2">
        <f t="shared" ref="CG4:CH4" si="1">AX4</f>
        <v>0</v>
      </c>
      <c r="CH4" s="2">
        <f t="shared" si="1"/>
        <v>0</v>
      </c>
      <c r="CI4" s="2">
        <f t="shared" ref="CI4:CJ4" si="2">AZ4</f>
        <v>0</v>
      </c>
      <c r="CJ4" s="2">
        <f t="shared" si="2"/>
        <v>0</v>
      </c>
    </row>
    <row r="5" spans="1:88" x14ac:dyDescent="0.25">
      <c r="A5">
        <f>IF(C5&lt;='PV IN'!$O$22*12,C5,"")</f>
        <v>1</v>
      </c>
      <c r="C5">
        <v>1</v>
      </c>
      <c r="D5" s="2">
        <f>BattCalcs!CK5+PVCalcs!AT5</f>
        <v>12785.958332535116</v>
      </c>
      <c r="E5" s="20">
        <f>PVCalcs!AV5</f>
        <v>-2312214.0416674647</v>
      </c>
      <c r="F5" s="20">
        <f>PVCalcs!AW5</f>
        <v>12734.078121995459</v>
      </c>
      <c r="G5" s="20">
        <f>PVCalcs!AX5</f>
        <v>-2312265.9218780044</v>
      </c>
      <c r="H5" s="20">
        <f>BattCalcs!CM5</f>
        <v>0</v>
      </c>
      <c r="I5" s="20">
        <f>BattCalcs!CN5</f>
        <v>0</v>
      </c>
      <c r="J5" s="20">
        <f>IF(C5&lt;='Batt IN'!H$43*12,BattCalcs!CO5,NA())</f>
        <v>0</v>
      </c>
      <c r="L5" s="20">
        <f t="shared" ref="L5:L68" si="3">F5+I5</f>
        <v>12734.078121995459</v>
      </c>
      <c r="M5" s="20">
        <f>G5+BattCalcs!CO5</f>
        <v>-2312265.9218780044</v>
      </c>
      <c r="O5" s="10">
        <f>PVLoan!G33</f>
        <v>0</v>
      </c>
      <c r="P5" s="10">
        <f>PVLoan!J33</f>
        <v>0</v>
      </c>
      <c r="Q5" s="2">
        <f>BattLoan!G33</f>
        <v>0</v>
      </c>
      <c r="R5" s="10">
        <f>BattLoan!J33</f>
        <v>0</v>
      </c>
      <c r="T5" s="33">
        <f>IF('PV IN'!$F$4="Battery Only",0,PVCalcs!G5)</f>
        <v>152500</v>
      </c>
      <c r="U5" s="33">
        <f>IF('PV IN'!$F$4="Battery Only",0,PVCalcs!M5)</f>
        <v>152500</v>
      </c>
      <c r="V5" s="33">
        <f>PVCalcs!L5</f>
        <v>30812.599166666667</v>
      </c>
      <c r="W5" s="158">
        <f>PVCalcs!F5</f>
        <v>7.5965300541213879E-2</v>
      </c>
      <c r="X5" s="144">
        <f>IF('PV IN'!$F$4="Battery Only",0,PVCalcs!Y5+PVCalcs!Z5)</f>
        <v>2287.5</v>
      </c>
      <c r="Y5" s="144">
        <f>IF('PV IN'!$F$4="PV Only",0,BattCalcs!AX5+BattCalcs!BC5)</f>
        <v>0</v>
      </c>
      <c r="Z5" s="144">
        <f>IF('PV IN'!$F$4="PV Only",0,BattCalcs!AY5+BattCalcs!BD5)</f>
        <v>0</v>
      </c>
      <c r="AA5" s="144">
        <f>IF('PV IN'!$F$4="PV Only",0,BattCalcs!AZ5+BattCalcs!BE5)</f>
        <v>0</v>
      </c>
      <c r="AB5" s="144">
        <f>IF('PV IN'!$F$4="PV Only",0,BattCalcs!BA5+BattCalcs!BF5)</f>
        <v>0</v>
      </c>
      <c r="AC5" s="144">
        <f>IF('PV IN'!$F$4="PV Only",0,BattCalcs!BB5+BattCalcs!BG5)</f>
        <v>0</v>
      </c>
      <c r="AD5" s="144">
        <f>IF('PV IN'!$F$4="PV Only",0,BattCalcs!BU5)</f>
        <v>0</v>
      </c>
      <c r="AE5" s="144">
        <f>IF('PV IN'!$F$4="PV Only",PVCalcs!W5+PVCalcs!AA5,IF('PV IN'!$F$4="Battery Only",BattCalcs!AV5+BattCalcs!BH5,PVCalcs!W5+PVCalcs!AA5+BattCalcs!AV5+BattCalcs!BH5))</f>
        <v>0</v>
      </c>
      <c r="AF5" s="10">
        <f>PVCalcs!AC5+BattCalcs!BJ5</f>
        <v>0</v>
      </c>
      <c r="AG5" s="144">
        <f>IF('PV IN'!$F$4="Battery Only",0,PVCalcs!AG5)</f>
        <v>-750</v>
      </c>
      <c r="AH5" s="144">
        <f>IF('PV IN'!$F$4="Battery Only",0,PVCalcs!AI5)</f>
        <v>0</v>
      </c>
      <c r="AI5" s="144">
        <f>IF('PV IN'!$F$4="PV Only",0,BattCalcs!BM5)</f>
        <v>0</v>
      </c>
      <c r="AJ5" s="144">
        <f>IF('PV IN'!$F$4="PV Only",0,SUM(BattCalcs!BO5:BT5))</f>
        <v>0</v>
      </c>
      <c r="AK5" s="144">
        <f>IF('PV IN'!$F$4="PV Only",PVCalcs!AH5,IF('PV IN'!$F$4="Battery Only",BattCalcs!BN5,PVCalcs!AH5+BattCalcs!BN5))</f>
        <v>-625</v>
      </c>
      <c r="AL5" s="144">
        <f>IF('PV IN'!$F$4="PV Only",0,BattCalcs!BV5)</f>
        <v>0</v>
      </c>
      <c r="AM5" s="144">
        <f>IF('PV IN'!$F$4="PV Only",0,SUM(BattCalcs!BW5:BX5))</f>
        <v>0</v>
      </c>
      <c r="AN5" s="144">
        <f>IF('PV IN'!$F$4="PV Only",0,BattCalcs!BY5)</f>
        <v>0</v>
      </c>
      <c r="AO5" s="144">
        <f>IF('PV IN'!$F$4="Battery Only",0,PVCalcs!U5)</f>
        <v>11584.708332535116</v>
      </c>
      <c r="AP5" s="10">
        <f>IF('PV IN'!$F$4="PV Only",0,BattCalcs!AS5)</f>
        <v>0</v>
      </c>
      <c r="AQ5" s="10">
        <f>IF('PV IN'!$F$4="PV Only",0,BattCalcs!AT5)</f>
        <v>0</v>
      </c>
      <c r="AR5" s="10">
        <f>IF('PV IN'!$F$4="PV Only",0,BattCalcs!AU5)</f>
        <v>0</v>
      </c>
      <c r="AS5" s="144">
        <f>IF('PV IN'!$F$4="PV Only",PVCalcs!X5,IF('PV IN'!$F$4="Battery Only",BattCalcs!AW5,PVCalcs!X5+BattCalcs!AW5))</f>
        <v>0</v>
      </c>
      <c r="AT5" s="144">
        <f>IF('PV IN'!$F$4="Battery Only",0,-PVCalcs!AQ5*'PV IN'!$E$8)</f>
        <v>0</v>
      </c>
      <c r="AU5" s="144">
        <f>IF('PV IN'!$F$4="PV Only",0,-BattCalcs!CG5*'PV IN'!$E$8)</f>
        <v>0</v>
      </c>
      <c r="AV5" s="144">
        <f>IF('PV IN'!$F$4="PV Only",PVCalcs!Z5+PVCalcs!AA5,IF('PV IN'!$F$4="Battery Only",SUM(BattCalcs!BC5:BH5),PVCalcs!Z5+PVCalcs!AA5+SUM(BattCalcs!BC5:BH5)))</f>
        <v>0</v>
      </c>
      <c r="AW5" s="144">
        <f>IF('PV IN'!$F$4="PV Only",SUM(PVCalcs!AF5:AI5),IF('PV IN'!$F$4="Battery Only",SUM(BattCalcs!BL5:BY5),SUM(PVCalcs!AF5:AI5)+SUM(BattCalcs!BL5:BY5)))</f>
        <v>-1375</v>
      </c>
      <c r="AX5" s="144">
        <f>IF('PV IN'!$F$4="Battery Only",0,-PVLoan!F33)</f>
        <v>0</v>
      </c>
      <c r="AY5" s="144">
        <f>IF('PV IN'!$F$4="PV Only",0,-BattLoan!F33)</f>
        <v>0</v>
      </c>
      <c r="AZ5" s="144">
        <f>IF('PV IN'!$F$4="Battery Only",0,-PVLoan!H33)</f>
        <v>0</v>
      </c>
      <c r="BA5" s="144">
        <f>IF('PV IN'!$F$4="PV Only",0,-BattLoan!H33)</f>
        <v>0</v>
      </c>
    </row>
    <row r="6" spans="1:88" x14ac:dyDescent="0.25">
      <c r="A6">
        <f>IF(C6&lt;='PV IN'!$O$22*12,C6,"")</f>
        <v>2</v>
      </c>
      <c r="C6">
        <v>2</v>
      </c>
      <c r="D6" s="2">
        <f>BattCalcs!CK6+PVCalcs!AT6</f>
        <v>12776.710193646759</v>
      </c>
      <c r="E6" s="20">
        <f>PVCalcs!AV6</f>
        <v>-2299437.331473818</v>
      </c>
      <c r="F6" s="20">
        <f>PVCalcs!AW6</f>
        <v>12673.235179427196</v>
      </c>
      <c r="G6" s="20">
        <f>PVCalcs!AX6</f>
        <v>-2299592.6866985774</v>
      </c>
      <c r="H6" s="20">
        <f>BattCalcs!CM6</f>
        <v>0</v>
      </c>
      <c r="I6" s="20">
        <f>BattCalcs!CN6</f>
        <v>0</v>
      </c>
      <c r="J6" s="20">
        <f>IF(C6&lt;='Batt IN'!H$43*12,BattCalcs!CO6,NA())</f>
        <v>0</v>
      </c>
      <c r="L6" s="20">
        <f t="shared" si="3"/>
        <v>12673.235179427196</v>
      </c>
      <c r="M6" s="20">
        <f>G6+BattCalcs!CO6</f>
        <v>-2299592.6866985774</v>
      </c>
      <c r="O6" s="10">
        <f>PVLoan!G34</f>
        <v>0</v>
      </c>
      <c r="P6" s="10">
        <f>PVLoan!J34</f>
        <v>0</v>
      </c>
      <c r="Q6" s="2">
        <f>BattLoan!G34</f>
        <v>0</v>
      </c>
      <c r="R6" s="10">
        <f>BattLoan!J34</f>
        <v>0</v>
      </c>
      <c r="T6" s="33">
        <f>IF('PV IN'!$F$4="Battery Only",0,PVCalcs!G6)</f>
        <v>152398.33333333331</v>
      </c>
      <c r="U6" s="33">
        <f>IF('PV IN'!$F$4="Battery Only",0,PVCalcs!M6)</f>
        <v>152398.33333333331</v>
      </c>
      <c r="V6" s="33">
        <f>PVCalcs!L6</f>
        <v>30812.599166666667</v>
      </c>
      <c r="W6" s="158">
        <f>PVCalcs!F6</f>
        <v>7.5965300541213879E-2</v>
      </c>
      <c r="X6" s="144">
        <f>IF('PV IN'!$F$4="Battery Only",0,PVCalcs!Y6+PVCalcs!Z6)</f>
        <v>2285.9749999999995</v>
      </c>
      <c r="Y6" s="144">
        <f>IF('PV IN'!$F$4="PV Only",0,BattCalcs!AX6+BattCalcs!BC6)</f>
        <v>0</v>
      </c>
      <c r="Z6" s="144">
        <f>IF('PV IN'!$F$4="PV Only",0,BattCalcs!AY6+BattCalcs!BD6)</f>
        <v>0</v>
      </c>
      <c r="AA6" s="144">
        <f>IF('PV IN'!$F$4="PV Only",0,BattCalcs!AZ6+BattCalcs!BE6)</f>
        <v>0</v>
      </c>
      <c r="AB6" s="144">
        <f>IF('PV IN'!$F$4="PV Only",0,BattCalcs!BA6+BattCalcs!BF6)</f>
        <v>0</v>
      </c>
      <c r="AC6" s="144">
        <f>IF('PV IN'!$F$4="PV Only",0,BattCalcs!BB6+BattCalcs!BG6)</f>
        <v>0</v>
      </c>
      <c r="AD6" s="144">
        <f>IF('PV IN'!$F$4="PV Only",0,BattCalcs!BU6)</f>
        <v>0</v>
      </c>
      <c r="AE6" s="144">
        <f>IF('PV IN'!$F$4="PV Only",PVCalcs!W6+PVCalcs!AA6,IF('PV IN'!$F$4="Battery Only",BattCalcs!AV6+BattCalcs!BH6,PVCalcs!W6+PVCalcs!AA6+BattCalcs!AV6+BattCalcs!BH6))</f>
        <v>0</v>
      </c>
      <c r="AF6" s="10">
        <f>PVCalcs!AC6+BattCalcs!BJ6</f>
        <v>0</v>
      </c>
      <c r="AG6" s="144">
        <f>IF('PV IN'!$F$4="Battery Only",0,PVCalcs!AG6)</f>
        <v>-750</v>
      </c>
      <c r="AH6" s="144">
        <f>IF('PV IN'!$F$4="Battery Only",0,PVCalcs!AI6)</f>
        <v>0</v>
      </c>
      <c r="AI6" s="144">
        <f>IF('PV IN'!$F$4="PV Only",0,BattCalcs!BM6)</f>
        <v>0</v>
      </c>
      <c r="AJ6" s="144">
        <f>IF('PV IN'!$F$4="PV Only",0,SUM(BattCalcs!BO6:BT6))</f>
        <v>0</v>
      </c>
      <c r="AK6" s="144">
        <f>IF('PV IN'!$F$4="PV Only",PVCalcs!AH6,IF('PV IN'!$F$4="Battery Only",BattCalcs!BN6,PVCalcs!AH6+BattCalcs!BN6))</f>
        <v>-625</v>
      </c>
      <c r="AL6" s="144">
        <f>IF('PV IN'!$F$4="PV Only",0,BattCalcs!BV6)</f>
        <v>0</v>
      </c>
      <c r="AM6" s="144">
        <f>IF('PV IN'!$F$4="PV Only",0,SUM(BattCalcs!BW6:BX6))</f>
        <v>0</v>
      </c>
      <c r="AN6" s="144">
        <f>IF('PV IN'!$F$4="PV Only",0,BattCalcs!BY6)</f>
        <v>0</v>
      </c>
      <c r="AO6" s="144">
        <f>IF('PV IN'!$F$4="Battery Only",0,PVCalcs!U6)</f>
        <v>11576.985193646758</v>
      </c>
      <c r="AP6" s="10">
        <f>IF('PV IN'!$F$4="PV Only",0,BattCalcs!AS6)</f>
        <v>0</v>
      </c>
      <c r="AQ6" s="10">
        <f>IF('PV IN'!$F$4="PV Only",0,BattCalcs!AT6)</f>
        <v>0</v>
      </c>
      <c r="AR6" s="10">
        <f>IF('PV IN'!$F$4="PV Only",0,BattCalcs!AU6)</f>
        <v>0</v>
      </c>
      <c r="AS6" s="144">
        <f>IF('PV IN'!$F$4="PV Only",PVCalcs!X6,IF('PV IN'!$F$4="Battery Only",BattCalcs!AW6,PVCalcs!X6+BattCalcs!AW6))</f>
        <v>0</v>
      </c>
      <c r="AT6" s="144">
        <f>IF('PV IN'!$F$4="Battery Only",0,-PVCalcs!AQ6*'PV IN'!$E$8)</f>
        <v>0</v>
      </c>
      <c r="AU6" s="144">
        <f>IF('PV IN'!$F$4="PV Only",0,-BattCalcs!CG6*'PV IN'!$E$8)</f>
        <v>0</v>
      </c>
      <c r="AV6" s="144">
        <f>IF('PV IN'!$F$4="PV Only",PVCalcs!Z6+PVCalcs!AA6,IF('PV IN'!$F$4="Battery Only",SUM(BattCalcs!BC6:BH6),PVCalcs!Z6+PVCalcs!AA6+SUM(BattCalcs!BC6:BH6)))</f>
        <v>0</v>
      </c>
      <c r="AW6" s="144">
        <f>IF('PV IN'!$F$4="PV Only",SUM(PVCalcs!AF6:AI6),IF('PV IN'!$F$4="Battery Only",SUM(BattCalcs!BL6:BY6),SUM(PVCalcs!AF6:AI6)+SUM(BattCalcs!BL6:BY6)))</f>
        <v>-1375</v>
      </c>
      <c r="AX6" s="144">
        <f>IF('PV IN'!$F$4="Battery Only",0,-PVLoan!F34)</f>
        <v>0</v>
      </c>
      <c r="AY6" s="144">
        <f>IF('PV IN'!$F$4="PV Only",0,-BattLoan!F34)</f>
        <v>0</v>
      </c>
      <c r="AZ6" s="144">
        <f>IF('PV IN'!$F$4="Battery Only",0,-PVLoan!H34)</f>
        <v>0</v>
      </c>
      <c r="BA6" s="144">
        <f>IF('PV IN'!$F$4="PV Only",0,-BattLoan!H34)</f>
        <v>0</v>
      </c>
    </row>
    <row r="7" spans="1:88" x14ac:dyDescent="0.25">
      <c r="A7">
        <f>IF(C7&lt;='PV IN'!$O$22*12,C7,"")</f>
        <v>3</v>
      </c>
      <c r="C7">
        <v>3</v>
      </c>
      <c r="D7" s="2">
        <f>BattCalcs!CK7+PVCalcs!AT7</f>
        <v>12767.468220184328</v>
      </c>
      <c r="E7" s="20">
        <f>PVCalcs!AV7</f>
        <v>-2286669.8632536335</v>
      </c>
      <c r="F7" s="20">
        <f>PVCalcs!AW7</f>
        <v>12612.68242468951</v>
      </c>
      <c r="G7" s="20">
        <f>PVCalcs!AX7</f>
        <v>-2286980.0042738877</v>
      </c>
      <c r="H7" s="20">
        <f>BattCalcs!CM7</f>
        <v>0</v>
      </c>
      <c r="I7" s="20">
        <f>BattCalcs!CN7</f>
        <v>0</v>
      </c>
      <c r="J7" s="20">
        <f>IF(C7&lt;='Batt IN'!H$43*12,BattCalcs!CO7,NA())</f>
        <v>0</v>
      </c>
      <c r="L7" s="20">
        <f t="shared" si="3"/>
        <v>12612.68242468951</v>
      </c>
      <c r="M7" s="20">
        <f>G7+BattCalcs!CO7</f>
        <v>-2286980.0042738877</v>
      </c>
      <c r="O7" s="10">
        <f>PVLoan!G35</f>
        <v>0</v>
      </c>
      <c r="P7" s="10">
        <f>PVLoan!J35</f>
        <v>0</v>
      </c>
      <c r="Q7" s="2">
        <f>BattLoan!G35</f>
        <v>0</v>
      </c>
      <c r="R7" s="10">
        <f>BattLoan!J35</f>
        <v>0</v>
      </c>
      <c r="T7" s="33">
        <f>IF('PV IN'!$F$4="Battery Only",0,PVCalcs!G7)</f>
        <v>152296.73444444445</v>
      </c>
      <c r="U7" s="33">
        <f>IF('PV IN'!$F$4="Battery Only",0,PVCalcs!M7)</f>
        <v>152296.73444444445</v>
      </c>
      <c r="V7" s="33">
        <f>PVCalcs!L7</f>
        <v>30812.599166666667</v>
      </c>
      <c r="W7" s="158">
        <f>PVCalcs!F7</f>
        <v>7.5965300541213879E-2</v>
      </c>
      <c r="X7" s="144">
        <f>IF('PV IN'!$F$4="Battery Only",0,PVCalcs!Y7+PVCalcs!Z7)</f>
        <v>2284.4510166666664</v>
      </c>
      <c r="Y7" s="144">
        <f>IF('PV IN'!$F$4="PV Only",0,BattCalcs!AX7+BattCalcs!BC7)</f>
        <v>0</v>
      </c>
      <c r="Z7" s="144">
        <f>IF('PV IN'!$F$4="PV Only",0,BattCalcs!AY7+BattCalcs!BD7)</f>
        <v>0</v>
      </c>
      <c r="AA7" s="144">
        <f>IF('PV IN'!$F$4="PV Only",0,BattCalcs!AZ7+BattCalcs!BE7)</f>
        <v>0</v>
      </c>
      <c r="AB7" s="144">
        <f>IF('PV IN'!$F$4="PV Only",0,BattCalcs!BA7+BattCalcs!BF7)</f>
        <v>0</v>
      </c>
      <c r="AC7" s="144">
        <f>IF('PV IN'!$F$4="PV Only",0,BattCalcs!BB7+BattCalcs!BG7)</f>
        <v>0</v>
      </c>
      <c r="AD7" s="144">
        <f>IF('PV IN'!$F$4="PV Only",0,BattCalcs!BU7)</f>
        <v>0</v>
      </c>
      <c r="AE7" s="144">
        <f>IF('PV IN'!$F$4="PV Only",PVCalcs!W7+PVCalcs!AA7,IF('PV IN'!$F$4="Battery Only",BattCalcs!AV7+BattCalcs!BH7,PVCalcs!W7+PVCalcs!AA7+BattCalcs!AV7+BattCalcs!BH7))</f>
        <v>0</v>
      </c>
      <c r="AF7" s="10">
        <f>PVCalcs!AC7+BattCalcs!BJ7</f>
        <v>0</v>
      </c>
      <c r="AG7" s="144">
        <f>IF('PV IN'!$F$4="Battery Only",0,PVCalcs!AG7)</f>
        <v>-750</v>
      </c>
      <c r="AH7" s="144">
        <f>IF('PV IN'!$F$4="Battery Only",0,PVCalcs!AI7)</f>
        <v>0</v>
      </c>
      <c r="AI7" s="144">
        <f>IF('PV IN'!$F$4="PV Only",0,BattCalcs!BM7)</f>
        <v>0</v>
      </c>
      <c r="AJ7" s="144">
        <f>IF('PV IN'!$F$4="PV Only",0,SUM(BattCalcs!BO7:BT7))</f>
        <v>0</v>
      </c>
      <c r="AK7" s="144">
        <f>IF('PV IN'!$F$4="PV Only",PVCalcs!AH7,IF('PV IN'!$F$4="Battery Only",BattCalcs!BN7,PVCalcs!AH7+BattCalcs!BN7))</f>
        <v>-625</v>
      </c>
      <c r="AL7" s="144">
        <f>IF('PV IN'!$F$4="PV Only",0,BattCalcs!BV7)</f>
        <v>0</v>
      </c>
      <c r="AM7" s="144">
        <f>IF('PV IN'!$F$4="PV Only",0,SUM(BattCalcs!BW7:BX7))</f>
        <v>0</v>
      </c>
      <c r="AN7" s="144">
        <f>IF('PV IN'!$F$4="PV Only",0,BattCalcs!BY7)</f>
        <v>0</v>
      </c>
      <c r="AO7" s="144">
        <f>IF('PV IN'!$F$4="Battery Only",0,PVCalcs!U7)</f>
        <v>11569.267203517662</v>
      </c>
      <c r="AP7" s="10">
        <f>IF('PV IN'!$F$4="PV Only",0,BattCalcs!AS7)</f>
        <v>0</v>
      </c>
      <c r="AQ7" s="10">
        <f>IF('PV IN'!$F$4="PV Only",0,BattCalcs!AT7)</f>
        <v>0</v>
      </c>
      <c r="AR7" s="10">
        <f>IF('PV IN'!$F$4="PV Only",0,BattCalcs!AU7)</f>
        <v>0</v>
      </c>
      <c r="AS7" s="144">
        <f>IF('PV IN'!$F$4="PV Only",PVCalcs!X7,IF('PV IN'!$F$4="Battery Only",BattCalcs!AW7,PVCalcs!X7+BattCalcs!AW7))</f>
        <v>0</v>
      </c>
      <c r="AT7" s="144">
        <f>IF('PV IN'!$F$4="Battery Only",0,-PVCalcs!AQ7*'PV IN'!$E$8)</f>
        <v>0</v>
      </c>
      <c r="AU7" s="144">
        <f>IF('PV IN'!$F$4="PV Only",0,-BattCalcs!CG7*'PV IN'!$E$8)</f>
        <v>0</v>
      </c>
      <c r="AV7" s="144">
        <f>IF('PV IN'!$F$4="PV Only",PVCalcs!Z7+PVCalcs!AA7,IF('PV IN'!$F$4="Battery Only",SUM(BattCalcs!BC7:BH7),PVCalcs!Z7+PVCalcs!AA7+SUM(BattCalcs!BC7:BH7)))</f>
        <v>0</v>
      </c>
      <c r="AW7" s="144">
        <f>IF('PV IN'!$F$4="PV Only",SUM(PVCalcs!AF7:AI7),IF('PV IN'!$F$4="Battery Only",SUM(BattCalcs!BL7:BY7),SUM(PVCalcs!AF7:AI7)+SUM(BattCalcs!BL7:BY7)))</f>
        <v>-1375</v>
      </c>
      <c r="AX7" s="144">
        <f>IF('PV IN'!$F$4="Battery Only",0,-PVLoan!F35)</f>
        <v>0</v>
      </c>
      <c r="AY7" s="144">
        <f>IF('PV IN'!$F$4="PV Only",0,-BattLoan!F35)</f>
        <v>0</v>
      </c>
      <c r="AZ7" s="144">
        <f>IF('PV IN'!$F$4="Battery Only",0,-PVLoan!H35)</f>
        <v>0</v>
      </c>
      <c r="BA7" s="144">
        <f>IF('PV IN'!$F$4="PV Only",0,-BattLoan!H35)</f>
        <v>0</v>
      </c>
    </row>
    <row r="8" spans="1:88" x14ac:dyDescent="0.25">
      <c r="A8">
        <f>IF(C8&lt;='PV IN'!$O$22*12,C8,"")</f>
        <v>4</v>
      </c>
      <c r="C8">
        <v>4</v>
      </c>
      <c r="D8" s="2">
        <f>BattCalcs!CK8+PVCalcs!AT8</f>
        <v>12758.232408037537</v>
      </c>
      <c r="E8" s="20">
        <f>PVCalcs!AV8</f>
        <v>-2273911.6308455961</v>
      </c>
      <c r="F8" s="20">
        <f>PVCalcs!AW8</f>
        <v>12552.418475818651</v>
      </c>
      <c r="G8" s="20">
        <f>PVCalcs!AX8</f>
        <v>-2274427.5857980689</v>
      </c>
      <c r="H8" s="20">
        <f>BattCalcs!CM8</f>
        <v>0</v>
      </c>
      <c r="I8" s="20">
        <f>BattCalcs!CN8</f>
        <v>0</v>
      </c>
      <c r="J8" s="20">
        <f>IF(C8&lt;='Batt IN'!H$43*12,BattCalcs!CO8,NA())</f>
        <v>0</v>
      </c>
      <c r="L8" s="20">
        <f t="shared" si="3"/>
        <v>12552.418475818651</v>
      </c>
      <c r="M8" s="20">
        <f>G8+BattCalcs!CO8</f>
        <v>-2274427.5857980689</v>
      </c>
      <c r="O8" s="10">
        <f>PVLoan!G36</f>
        <v>0</v>
      </c>
      <c r="P8" s="10">
        <f>PVLoan!J36</f>
        <v>0</v>
      </c>
      <c r="Q8" s="2">
        <f>BattLoan!G36</f>
        <v>0</v>
      </c>
      <c r="R8" s="10">
        <f>BattLoan!J36</f>
        <v>0</v>
      </c>
      <c r="T8" s="33">
        <f>IF('PV IN'!$F$4="Battery Only",0,PVCalcs!G8)</f>
        <v>152195.20328814813</v>
      </c>
      <c r="U8" s="33">
        <f>IF('PV IN'!$F$4="Battery Only",0,PVCalcs!M8)</f>
        <v>152195.20328814813</v>
      </c>
      <c r="V8" s="33">
        <f>PVCalcs!L8</f>
        <v>30812.599166666667</v>
      </c>
      <c r="W8" s="158">
        <f>PVCalcs!F8</f>
        <v>7.5965300541213879E-2</v>
      </c>
      <c r="X8" s="144">
        <f>IF('PV IN'!$F$4="Battery Only",0,PVCalcs!Y8+PVCalcs!Z8)</f>
        <v>2282.9280493222218</v>
      </c>
      <c r="Y8" s="144">
        <f>IF('PV IN'!$F$4="PV Only",0,BattCalcs!AX8+BattCalcs!BC8)</f>
        <v>0</v>
      </c>
      <c r="Z8" s="144">
        <f>IF('PV IN'!$F$4="PV Only",0,BattCalcs!AY8+BattCalcs!BD8)</f>
        <v>0</v>
      </c>
      <c r="AA8" s="144">
        <f>IF('PV IN'!$F$4="PV Only",0,BattCalcs!AZ8+BattCalcs!BE8)</f>
        <v>0</v>
      </c>
      <c r="AB8" s="144">
        <f>IF('PV IN'!$F$4="PV Only",0,BattCalcs!BA8+BattCalcs!BF8)</f>
        <v>0</v>
      </c>
      <c r="AC8" s="144">
        <f>IF('PV IN'!$F$4="PV Only",0,BattCalcs!BB8+BattCalcs!BG8)</f>
        <v>0</v>
      </c>
      <c r="AD8" s="144">
        <f>IF('PV IN'!$F$4="PV Only",0,BattCalcs!BU8)</f>
        <v>0</v>
      </c>
      <c r="AE8" s="144">
        <f>IF('PV IN'!$F$4="PV Only",PVCalcs!W8+PVCalcs!AA8,IF('PV IN'!$F$4="Battery Only",BattCalcs!AV8+BattCalcs!BH8,PVCalcs!W8+PVCalcs!AA8+BattCalcs!AV8+BattCalcs!BH8))</f>
        <v>0</v>
      </c>
      <c r="AF8" s="10">
        <f>PVCalcs!AC8+BattCalcs!BJ8</f>
        <v>0</v>
      </c>
      <c r="AG8" s="144">
        <f>IF('PV IN'!$F$4="Battery Only",0,PVCalcs!AG8)</f>
        <v>-750</v>
      </c>
      <c r="AH8" s="144">
        <f>IF('PV IN'!$F$4="Battery Only",0,PVCalcs!AI8)</f>
        <v>0</v>
      </c>
      <c r="AI8" s="144">
        <f>IF('PV IN'!$F$4="PV Only",0,BattCalcs!BM8)</f>
        <v>0</v>
      </c>
      <c r="AJ8" s="144">
        <f>IF('PV IN'!$F$4="PV Only",0,SUM(BattCalcs!BO8:BT8))</f>
        <v>0</v>
      </c>
      <c r="AK8" s="144">
        <f>IF('PV IN'!$F$4="PV Only",PVCalcs!AH8,IF('PV IN'!$F$4="Battery Only",BattCalcs!BN8,PVCalcs!AH8+BattCalcs!BN8))</f>
        <v>-625</v>
      </c>
      <c r="AL8" s="144">
        <f>IF('PV IN'!$F$4="PV Only",0,BattCalcs!BV8)</f>
        <v>0</v>
      </c>
      <c r="AM8" s="144">
        <f>IF('PV IN'!$F$4="PV Only",0,SUM(BattCalcs!BW8:BX8))</f>
        <v>0</v>
      </c>
      <c r="AN8" s="144">
        <f>IF('PV IN'!$F$4="PV Only",0,BattCalcs!BY8)</f>
        <v>0</v>
      </c>
      <c r="AO8" s="144">
        <f>IF('PV IN'!$F$4="Battery Only",0,PVCalcs!U8)</f>
        <v>11561.554358715315</v>
      </c>
      <c r="AP8" s="10">
        <f>IF('PV IN'!$F$4="PV Only",0,BattCalcs!AS8)</f>
        <v>0</v>
      </c>
      <c r="AQ8" s="10">
        <f>IF('PV IN'!$F$4="PV Only",0,BattCalcs!AT8)</f>
        <v>0</v>
      </c>
      <c r="AR8" s="10">
        <f>IF('PV IN'!$F$4="PV Only",0,BattCalcs!AU8)</f>
        <v>0</v>
      </c>
      <c r="AS8" s="144">
        <f>IF('PV IN'!$F$4="PV Only",PVCalcs!X8,IF('PV IN'!$F$4="Battery Only",BattCalcs!AW8,PVCalcs!X8+BattCalcs!AW8))</f>
        <v>0</v>
      </c>
      <c r="AT8" s="144">
        <f>IF('PV IN'!$F$4="Battery Only",0,-PVCalcs!AQ8*'PV IN'!$E$8)</f>
        <v>0</v>
      </c>
      <c r="AU8" s="144">
        <f>IF('PV IN'!$F$4="PV Only",0,-BattCalcs!CG8*'PV IN'!$E$8)</f>
        <v>0</v>
      </c>
      <c r="AV8" s="144">
        <f>IF('PV IN'!$F$4="PV Only",PVCalcs!Z8+PVCalcs!AA8,IF('PV IN'!$F$4="Battery Only",SUM(BattCalcs!BC8:BH8),PVCalcs!Z8+PVCalcs!AA8+SUM(BattCalcs!BC8:BH8)))</f>
        <v>0</v>
      </c>
      <c r="AW8" s="144">
        <f>IF('PV IN'!$F$4="PV Only",SUM(PVCalcs!AF8:AI8),IF('PV IN'!$F$4="Battery Only",SUM(BattCalcs!BL8:BY8),SUM(PVCalcs!AF8:AI8)+SUM(BattCalcs!BL8:BY8)))</f>
        <v>-1375</v>
      </c>
      <c r="AX8" s="144">
        <f>IF('PV IN'!$F$4="Battery Only",0,-PVLoan!F36)</f>
        <v>0</v>
      </c>
      <c r="AY8" s="144">
        <f>IF('PV IN'!$F$4="PV Only",0,-BattLoan!F36)</f>
        <v>0</v>
      </c>
      <c r="AZ8" s="144">
        <f>IF('PV IN'!$F$4="Battery Only",0,-PVLoan!H36)</f>
        <v>0</v>
      </c>
      <c r="BA8" s="144">
        <f>IF('PV IN'!$F$4="PV Only",0,-BattLoan!H36)</f>
        <v>0</v>
      </c>
    </row>
    <row r="9" spans="1:88" x14ac:dyDescent="0.25">
      <c r="A9">
        <f>IF(C9&lt;='PV IN'!$O$22*12,C9,"")</f>
        <v>5</v>
      </c>
      <c r="C9">
        <v>5</v>
      </c>
      <c r="D9" s="2">
        <f>BattCalcs!CK9+PVCalcs!AT9</f>
        <v>12749.002753098845</v>
      </c>
      <c r="E9" s="20">
        <f>PVCalcs!AV9</f>
        <v>-2261162.6280924971</v>
      </c>
      <c r="F9" s="20">
        <f>PVCalcs!AW9</f>
        <v>12492.441957423873</v>
      </c>
      <c r="G9" s="20">
        <f>PVCalcs!AX9</f>
        <v>-2261935.143840645</v>
      </c>
      <c r="H9" s="20">
        <f>BattCalcs!CM9</f>
        <v>0</v>
      </c>
      <c r="I9" s="20">
        <f>BattCalcs!CN9</f>
        <v>0</v>
      </c>
      <c r="J9" s="20">
        <f>IF(C9&lt;='Batt IN'!H$43*12,BattCalcs!CO9,NA())</f>
        <v>0</v>
      </c>
      <c r="L9" s="20">
        <f t="shared" si="3"/>
        <v>12492.441957423873</v>
      </c>
      <c r="M9" s="20">
        <f>G9+BattCalcs!CO9</f>
        <v>-2261935.143840645</v>
      </c>
      <c r="O9" s="10">
        <f>PVLoan!G37</f>
        <v>0</v>
      </c>
      <c r="P9" s="10">
        <f>PVLoan!J37</f>
        <v>0</v>
      </c>
      <c r="Q9" s="2">
        <f>BattLoan!G37</f>
        <v>0</v>
      </c>
      <c r="R9" s="10">
        <f>BattLoan!J37</f>
        <v>0</v>
      </c>
      <c r="T9" s="33">
        <f>IF('PV IN'!$F$4="Battery Only",0,PVCalcs!G9)</f>
        <v>152093.73981928936</v>
      </c>
      <c r="U9" s="33">
        <f>IF('PV IN'!$F$4="Battery Only",0,PVCalcs!M9)</f>
        <v>152093.73981928936</v>
      </c>
      <c r="V9" s="33">
        <f>PVCalcs!L9</f>
        <v>30812.599166666667</v>
      </c>
      <c r="W9" s="158">
        <f>PVCalcs!F9</f>
        <v>7.5965300541213879E-2</v>
      </c>
      <c r="X9" s="144">
        <f>IF('PV IN'!$F$4="Battery Only",0,PVCalcs!Y9+PVCalcs!Z9)</f>
        <v>2281.4060972893408</v>
      </c>
      <c r="Y9" s="144">
        <f>IF('PV IN'!$F$4="PV Only",0,BattCalcs!AX9+BattCalcs!BC9)</f>
        <v>0</v>
      </c>
      <c r="Z9" s="144">
        <f>IF('PV IN'!$F$4="PV Only",0,BattCalcs!AY9+BattCalcs!BD9)</f>
        <v>0</v>
      </c>
      <c r="AA9" s="144">
        <f>IF('PV IN'!$F$4="PV Only",0,BattCalcs!AZ9+BattCalcs!BE9)</f>
        <v>0</v>
      </c>
      <c r="AB9" s="144">
        <f>IF('PV IN'!$F$4="PV Only",0,BattCalcs!BA9+BattCalcs!BF9)</f>
        <v>0</v>
      </c>
      <c r="AC9" s="144">
        <f>IF('PV IN'!$F$4="PV Only",0,BattCalcs!BB9+BattCalcs!BG9)</f>
        <v>0</v>
      </c>
      <c r="AD9" s="144">
        <f>IF('PV IN'!$F$4="PV Only",0,BattCalcs!BU9)</f>
        <v>0</v>
      </c>
      <c r="AE9" s="144">
        <f>IF('PV IN'!$F$4="PV Only",PVCalcs!W9+PVCalcs!AA9,IF('PV IN'!$F$4="Battery Only",BattCalcs!AV9+BattCalcs!BH9,PVCalcs!W9+PVCalcs!AA9+BattCalcs!AV9+BattCalcs!BH9))</f>
        <v>0</v>
      </c>
      <c r="AF9" s="10">
        <f>PVCalcs!AC9+BattCalcs!BJ9</f>
        <v>0</v>
      </c>
      <c r="AG9" s="144">
        <f>IF('PV IN'!$F$4="Battery Only",0,PVCalcs!AG9)</f>
        <v>-750</v>
      </c>
      <c r="AH9" s="144">
        <f>IF('PV IN'!$F$4="Battery Only",0,PVCalcs!AI9)</f>
        <v>0</v>
      </c>
      <c r="AI9" s="144">
        <f>IF('PV IN'!$F$4="PV Only",0,BattCalcs!BM9)</f>
        <v>0</v>
      </c>
      <c r="AJ9" s="144">
        <f>IF('PV IN'!$F$4="PV Only",0,SUM(BattCalcs!BO9:BT9))</f>
        <v>0</v>
      </c>
      <c r="AK9" s="144">
        <f>IF('PV IN'!$F$4="PV Only",PVCalcs!AH9,IF('PV IN'!$F$4="Battery Only",BattCalcs!BN9,PVCalcs!AH9+BattCalcs!BN9))</f>
        <v>-625</v>
      </c>
      <c r="AL9" s="144">
        <f>IF('PV IN'!$F$4="PV Only",0,BattCalcs!BV9)</f>
        <v>0</v>
      </c>
      <c r="AM9" s="144">
        <f>IF('PV IN'!$F$4="PV Only",0,SUM(BattCalcs!BW9:BX9))</f>
        <v>0</v>
      </c>
      <c r="AN9" s="144">
        <f>IF('PV IN'!$F$4="PV Only",0,BattCalcs!BY9)</f>
        <v>0</v>
      </c>
      <c r="AO9" s="144">
        <f>IF('PV IN'!$F$4="Battery Only",0,PVCalcs!U9)</f>
        <v>11553.846655809504</v>
      </c>
      <c r="AP9" s="10">
        <f>IF('PV IN'!$F$4="PV Only",0,BattCalcs!AS9)</f>
        <v>0</v>
      </c>
      <c r="AQ9" s="10">
        <f>IF('PV IN'!$F$4="PV Only",0,BattCalcs!AT9)</f>
        <v>0</v>
      </c>
      <c r="AR9" s="10">
        <f>IF('PV IN'!$F$4="PV Only",0,BattCalcs!AU9)</f>
        <v>0</v>
      </c>
      <c r="AS9" s="144">
        <f>IF('PV IN'!$F$4="PV Only",PVCalcs!X9,IF('PV IN'!$F$4="Battery Only",BattCalcs!AW9,PVCalcs!X9+BattCalcs!AW9))</f>
        <v>0</v>
      </c>
      <c r="AT9" s="144">
        <f>IF('PV IN'!$F$4="Battery Only",0,-PVCalcs!AQ9*'PV IN'!$E$8)</f>
        <v>0</v>
      </c>
      <c r="AU9" s="144">
        <f>IF('PV IN'!$F$4="PV Only",0,-BattCalcs!CG9*'PV IN'!$E$8)</f>
        <v>0</v>
      </c>
      <c r="AV9" s="144">
        <f>IF('PV IN'!$F$4="PV Only",PVCalcs!Z9+PVCalcs!AA9,IF('PV IN'!$F$4="Battery Only",SUM(BattCalcs!BC9:BH9),PVCalcs!Z9+PVCalcs!AA9+SUM(BattCalcs!BC9:BH9)))</f>
        <v>0</v>
      </c>
      <c r="AW9" s="144">
        <f>IF('PV IN'!$F$4="PV Only",SUM(PVCalcs!AF9:AI9),IF('PV IN'!$F$4="Battery Only",SUM(BattCalcs!BL9:BY9),SUM(PVCalcs!AF9:AI9)+SUM(BattCalcs!BL9:BY9)))</f>
        <v>-1375</v>
      </c>
      <c r="AX9" s="144">
        <f>IF('PV IN'!$F$4="Battery Only",0,-PVLoan!F37)</f>
        <v>0</v>
      </c>
      <c r="AY9" s="144">
        <f>IF('PV IN'!$F$4="PV Only",0,-BattLoan!F37)</f>
        <v>0</v>
      </c>
      <c r="AZ9" s="144">
        <f>IF('PV IN'!$F$4="Battery Only",0,-PVLoan!H37)</f>
        <v>0</v>
      </c>
      <c r="BA9" s="144">
        <f>IF('PV IN'!$F$4="PV Only",0,-BattLoan!H37)</f>
        <v>0</v>
      </c>
    </row>
    <row r="10" spans="1:88" x14ac:dyDescent="0.25">
      <c r="A10">
        <f>IF(C10&lt;='PV IN'!$O$22*12,C10,"")</f>
        <v>6</v>
      </c>
      <c r="C10">
        <v>6</v>
      </c>
      <c r="D10" s="2">
        <f>BattCalcs!CK10+PVCalcs!AT10</f>
        <v>12739.779251263448</v>
      </c>
      <c r="E10" s="20">
        <f>PVCalcs!AV10</f>
        <v>-2248422.8488412336</v>
      </c>
      <c r="F10" s="20">
        <f>PVCalcs!AW10</f>
        <v>12432.751500656201</v>
      </c>
      <c r="G10" s="20">
        <f>PVCalcs!AX10</f>
        <v>-2249502.3923399886</v>
      </c>
      <c r="H10" s="20">
        <f>BattCalcs!CM10</f>
        <v>0</v>
      </c>
      <c r="I10" s="20">
        <f>BattCalcs!CN10</f>
        <v>0</v>
      </c>
      <c r="J10" s="20">
        <f>IF(C10&lt;='Batt IN'!H$43*12,BattCalcs!CO10,NA())</f>
        <v>0</v>
      </c>
      <c r="L10" s="20">
        <f t="shared" si="3"/>
        <v>12432.751500656201</v>
      </c>
      <c r="M10" s="20">
        <f>G10+BattCalcs!CO10</f>
        <v>-2249502.3923399886</v>
      </c>
      <c r="O10" s="10">
        <f>PVLoan!G38</f>
        <v>0</v>
      </c>
      <c r="P10" s="10">
        <f>PVLoan!J38</f>
        <v>0</v>
      </c>
      <c r="Q10" s="2">
        <f>BattLoan!G38</f>
        <v>0</v>
      </c>
      <c r="R10" s="10">
        <f>BattLoan!J38</f>
        <v>0</v>
      </c>
      <c r="T10" s="33">
        <f>IF('PV IN'!$F$4="Battery Only",0,PVCalcs!G10)</f>
        <v>151992.34399274318</v>
      </c>
      <c r="U10" s="33">
        <f>IF('PV IN'!$F$4="Battery Only",0,PVCalcs!M10)</f>
        <v>151992.34399274318</v>
      </c>
      <c r="V10" s="33">
        <f>PVCalcs!L10</f>
        <v>30812.599166666667</v>
      </c>
      <c r="W10" s="158">
        <f>PVCalcs!F10</f>
        <v>7.5965300541213879E-2</v>
      </c>
      <c r="X10" s="144">
        <f>IF('PV IN'!$F$4="Battery Only",0,PVCalcs!Y10+PVCalcs!Z10)</f>
        <v>2279.8851598911479</v>
      </c>
      <c r="Y10" s="144">
        <f>IF('PV IN'!$F$4="PV Only",0,BattCalcs!AX10+BattCalcs!BC10)</f>
        <v>0</v>
      </c>
      <c r="Z10" s="144">
        <f>IF('PV IN'!$F$4="PV Only",0,BattCalcs!AY10+BattCalcs!BD10)</f>
        <v>0</v>
      </c>
      <c r="AA10" s="144">
        <f>IF('PV IN'!$F$4="PV Only",0,BattCalcs!AZ10+BattCalcs!BE10)</f>
        <v>0</v>
      </c>
      <c r="AB10" s="144">
        <f>IF('PV IN'!$F$4="PV Only",0,BattCalcs!BA10+BattCalcs!BF10)</f>
        <v>0</v>
      </c>
      <c r="AC10" s="144">
        <f>IF('PV IN'!$F$4="PV Only",0,BattCalcs!BB10+BattCalcs!BG10)</f>
        <v>0</v>
      </c>
      <c r="AD10" s="144">
        <f>IF('PV IN'!$F$4="PV Only",0,BattCalcs!BU10)</f>
        <v>0</v>
      </c>
      <c r="AE10" s="144">
        <f>IF('PV IN'!$F$4="PV Only",PVCalcs!W10+PVCalcs!AA10,IF('PV IN'!$F$4="Battery Only",BattCalcs!AV10+BattCalcs!BH10,PVCalcs!W10+PVCalcs!AA10+BattCalcs!AV10+BattCalcs!BH10))</f>
        <v>0</v>
      </c>
      <c r="AF10" s="10">
        <f>PVCalcs!AC10+BattCalcs!BJ10</f>
        <v>0</v>
      </c>
      <c r="AG10" s="144">
        <f>IF('PV IN'!$F$4="Battery Only",0,PVCalcs!AG10)</f>
        <v>-750</v>
      </c>
      <c r="AH10" s="144">
        <f>IF('PV IN'!$F$4="Battery Only",0,PVCalcs!AI10)</f>
        <v>0</v>
      </c>
      <c r="AI10" s="144">
        <f>IF('PV IN'!$F$4="PV Only",0,BattCalcs!BM10)</f>
        <v>0</v>
      </c>
      <c r="AJ10" s="144">
        <f>IF('PV IN'!$F$4="PV Only",0,SUM(BattCalcs!BO10:BT10))</f>
        <v>0</v>
      </c>
      <c r="AK10" s="144">
        <f>IF('PV IN'!$F$4="PV Only",PVCalcs!AH10,IF('PV IN'!$F$4="Battery Only",BattCalcs!BN10,PVCalcs!AH10+BattCalcs!BN10))</f>
        <v>-625</v>
      </c>
      <c r="AL10" s="144">
        <f>IF('PV IN'!$F$4="PV Only",0,BattCalcs!BV10)</f>
        <v>0</v>
      </c>
      <c r="AM10" s="144">
        <f>IF('PV IN'!$F$4="PV Only",0,SUM(BattCalcs!BW10:BX10))</f>
        <v>0</v>
      </c>
      <c r="AN10" s="144">
        <f>IF('PV IN'!$F$4="PV Only",0,BattCalcs!BY10)</f>
        <v>0</v>
      </c>
      <c r="AO10" s="144">
        <f>IF('PV IN'!$F$4="Battery Only",0,PVCalcs!U10)</f>
        <v>11546.1440913723</v>
      </c>
      <c r="AP10" s="10">
        <f>IF('PV IN'!$F$4="PV Only",0,BattCalcs!AS10)</f>
        <v>0</v>
      </c>
      <c r="AQ10" s="10">
        <f>IF('PV IN'!$F$4="PV Only",0,BattCalcs!AT10)</f>
        <v>0</v>
      </c>
      <c r="AR10" s="10">
        <f>IF('PV IN'!$F$4="PV Only",0,BattCalcs!AU10)</f>
        <v>0</v>
      </c>
      <c r="AS10" s="144">
        <f>IF('PV IN'!$F$4="PV Only",PVCalcs!X10,IF('PV IN'!$F$4="Battery Only",BattCalcs!AW10,PVCalcs!X10+BattCalcs!AW10))</f>
        <v>0</v>
      </c>
      <c r="AT10" s="144">
        <f>IF('PV IN'!$F$4="Battery Only",0,-PVCalcs!AQ10*'PV IN'!$E$8)</f>
        <v>0</v>
      </c>
      <c r="AU10" s="144">
        <f>IF('PV IN'!$F$4="PV Only",0,-BattCalcs!CG10*'PV IN'!$E$8)</f>
        <v>0</v>
      </c>
      <c r="AV10" s="144">
        <f>IF('PV IN'!$F$4="PV Only",PVCalcs!Z10+PVCalcs!AA10,IF('PV IN'!$F$4="Battery Only",SUM(BattCalcs!BC10:BH10),PVCalcs!Z10+PVCalcs!AA10+SUM(BattCalcs!BC10:BH10)))</f>
        <v>0</v>
      </c>
      <c r="AW10" s="144">
        <f>IF('PV IN'!$F$4="PV Only",SUM(PVCalcs!AF10:AI10),IF('PV IN'!$F$4="Battery Only",SUM(BattCalcs!BL10:BY10),SUM(PVCalcs!AF10:AI10)+SUM(BattCalcs!BL10:BY10)))</f>
        <v>-1375</v>
      </c>
      <c r="AX10" s="144">
        <f>IF('PV IN'!$F$4="Battery Only",0,-PVLoan!F38)</f>
        <v>0</v>
      </c>
      <c r="AY10" s="144">
        <f>IF('PV IN'!$F$4="PV Only",0,-BattLoan!F38)</f>
        <v>0</v>
      </c>
      <c r="AZ10" s="144">
        <f>IF('PV IN'!$F$4="Battery Only",0,-PVLoan!H38)</f>
        <v>0</v>
      </c>
      <c r="BA10" s="144">
        <f>IF('PV IN'!$F$4="PV Only",0,-BattLoan!H38)</f>
        <v>0</v>
      </c>
    </row>
    <row r="11" spans="1:88" x14ac:dyDescent="0.25">
      <c r="A11">
        <f>IF(C11&lt;='PV IN'!$O$22*12,C11,"")</f>
        <v>7</v>
      </c>
      <c r="C11">
        <v>7</v>
      </c>
      <c r="D11" s="2">
        <f>BattCalcs!CK11+PVCalcs!AT11</f>
        <v>12730.561898429271</v>
      </c>
      <c r="E11" s="20">
        <f>PVCalcs!AV11</f>
        <v>-2235692.2869428042</v>
      </c>
      <c r="F11" s="20">
        <f>PVCalcs!AW11</f>
        <v>12373.345743177353</v>
      </c>
      <c r="G11" s="20">
        <f>PVCalcs!AX11</f>
        <v>-2237129.0465968112</v>
      </c>
      <c r="H11" s="20">
        <f>BattCalcs!CM11</f>
        <v>0</v>
      </c>
      <c r="I11" s="20">
        <f>BattCalcs!CN11</f>
        <v>0</v>
      </c>
      <c r="J11" s="20">
        <f>IF(C11&lt;='Batt IN'!H$43*12,BattCalcs!CO11,NA())</f>
        <v>0</v>
      </c>
      <c r="L11" s="20">
        <f t="shared" si="3"/>
        <v>12373.345743177353</v>
      </c>
      <c r="M11" s="20">
        <f>G11+BattCalcs!CO11</f>
        <v>-2237129.0465968112</v>
      </c>
      <c r="O11" s="10">
        <f>PVLoan!G39</f>
        <v>0</v>
      </c>
      <c r="P11" s="10">
        <f>PVLoan!J39</f>
        <v>0</v>
      </c>
      <c r="Q11" s="2">
        <f>BattLoan!G39</f>
        <v>0</v>
      </c>
      <c r="R11" s="10">
        <f>BattLoan!J39</f>
        <v>0</v>
      </c>
      <c r="T11" s="33">
        <f>IF('PV IN'!$F$4="Battery Only",0,PVCalcs!G11)</f>
        <v>151891.01576341467</v>
      </c>
      <c r="U11" s="33">
        <f>IF('PV IN'!$F$4="Battery Only",0,PVCalcs!M11)</f>
        <v>151891.01576341467</v>
      </c>
      <c r="V11" s="33">
        <f>PVCalcs!L11</f>
        <v>30812.599166666667</v>
      </c>
      <c r="W11" s="158">
        <f>PVCalcs!F11</f>
        <v>7.5965300541213879E-2</v>
      </c>
      <c r="X11" s="144">
        <f>IF('PV IN'!$F$4="Battery Only",0,PVCalcs!Y11+PVCalcs!Z11)</f>
        <v>2278.3652364512204</v>
      </c>
      <c r="Y11" s="144">
        <f>IF('PV IN'!$F$4="PV Only",0,BattCalcs!AX11+BattCalcs!BC11)</f>
        <v>0</v>
      </c>
      <c r="Z11" s="144">
        <f>IF('PV IN'!$F$4="PV Only",0,BattCalcs!AY11+BattCalcs!BD11)</f>
        <v>0</v>
      </c>
      <c r="AA11" s="144">
        <f>IF('PV IN'!$F$4="PV Only",0,BattCalcs!AZ11+BattCalcs!BE11)</f>
        <v>0</v>
      </c>
      <c r="AB11" s="144">
        <f>IF('PV IN'!$F$4="PV Only",0,BattCalcs!BA11+BattCalcs!BF11)</f>
        <v>0</v>
      </c>
      <c r="AC11" s="144">
        <f>IF('PV IN'!$F$4="PV Only",0,BattCalcs!BB11+BattCalcs!BG11)</f>
        <v>0</v>
      </c>
      <c r="AD11" s="144">
        <f>IF('PV IN'!$F$4="PV Only",0,BattCalcs!BU11)</f>
        <v>0</v>
      </c>
      <c r="AE11" s="144">
        <f>IF('PV IN'!$F$4="PV Only",PVCalcs!W11+PVCalcs!AA11,IF('PV IN'!$F$4="Battery Only",BattCalcs!AV11+BattCalcs!BH11,PVCalcs!W11+PVCalcs!AA11+BattCalcs!AV11+BattCalcs!BH11))</f>
        <v>0</v>
      </c>
      <c r="AF11" s="10">
        <f>PVCalcs!AC11+BattCalcs!BJ11</f>
        <v>0</v>
      </c>
      <c r="AG11" s="144">
        <f>IF('PV IN'!$F$4="Battery Only",0,PVCalcs!AG11)</f>
        <v>-750</v>
      </c>
      <c r="AH11" s="144">
        <f>IF('PV IN'!$F$4="Battery Only",0,PVCalcs!AI11)</f>
        <v>0</v>
      </c>
      <c r="AI11" s="144">
        <f>IF('PV IN'!$F$4="PV Only",0,BattCalcs!BM11)</f>
        <v>0</v>
      </c>
      <c r="AJ11" s="144">
        <f>IF('PV IN'!$F$4="PV Only",0,SUM(BattCalcs!BO11:BT11))</f>
        <v>0</v>
      </c>
      <c r="AK11" s="144">
        <f>IF('PV IN'!$F$4="PV Only",PVCalcs!AH11,IF('PV IN'!$F$4="Battery Only",BattCalcs!BN11,PVCalcs!AH11+BattCalcs!BN11))</f>
        <v>-625</v>
      </c>
      <c r="AL11" s="144">
        <f>IF('PV IN'!$F$4="PV Only",0,BattCalcs!BV11)</f>
        <v>0</v>
      </c>
      <c r="AM11" s="144">
        <f>IF('PV IN'!$F$4="PV Only",0,SUM(BattCalcs!BW11:BX11))</f>
        <v>0</v>
      </c>
      <c r="AN11" s="144">
        <f>IF('PV IN'!$F$4="PV Only",0,BattCalcs!BY11)</f>
        <v>0</v>
      </c>
      <c r="AO11" s="144">
        <f>IF('PV IN'!$F$4="Battery Only",0,PVCalcs!U11)</f>
        <v>11538.446661978051</v>
      </c>
      <c r="AP11" s="10">
        <f>IF('PV IN'!$F$4="PV Only",0,BattCalcs!AS11)</f>
        <v>0</v>
      </c>
      <c r="AQ11" s="10">
        <f>IF('PV IN'!$F$4="PV Only",0,BattCalcs!AT11)</f>
        <v>0</v>
      </c>
      <c r="AR11" s="10">
        <f>IF('PV IN'!$F$4="PV Only",0,BattCalcs!AU11)</f>
        <v>0</v>
      </c>
      <c r="AS11" s="144">
        <f>IF('PV IN'!$F$4="PV Only",PVCalcs!X11,IF('PV IN'!$F$4="Battery Only",BattCalcs!AW11,PVCalcs!X11+BattCalcs!AW11))</f>
        <v>0</v>
      </c>
      <c r="AT11" s="144">
        <f>IF('PV IN'!$F$4="Battery Only",0,-PVCalcs!AQ11*'PV IN'!$E$8)</f>
        <v>0</v>
      </c>
      <c r="AU11" s="144">
        <f>IF('PV IN'!$F$4="PV Only",0,-BattCalcs!CG11*'PV IN'!$E$8)</f>
        <v>0</v>
      </c>
      <c r="AV11" s="144">
        <f>IF('PV IN'!$F$4="PV Only",PVCalcs!Z11+PVCalcs!AA11,IF('PV IN'!$F$4="Battery Only",SUM(BattCalcs!BC11:BH11),PVCalcs!Z11+PVCalcs!AA11+SUM(BattCalcs!BC11:BH11)))</f>
        <v>0</v>
      </c>
      <c r="AW11" s="144">
        <f>IF('PV IN'!$F$4="PV Only",SUM(PVCalcs!AF11:AI11),IF('PV IN'!$F$4="Battery Only",SUM(BattCalcs!BL11:BY11),SUM(PVCalcs!AF11:AI11)+SUM(BattCalcs!BL11:BY11)))</f>
        <v>-1375</v>
      </c>
      <c r="AX11" s="144">
        <f>IF('PV IN'!$F$4="Battery Only",0,-PVLoan!F39)</f>
        <v>0</v>
      </c>
      <c r="AY11" s="144">
        <f>IF('PV IN'!$F$4="PV Only",0,-BattLoan!F39)</f>
        <v>0</v>
      </c>
      <c r="AZ11" s="144">
        <f>IF('PV IN'!$F$4="Battery Only",0,-PVLoan!H39)</f>
        <v>0</v>
      </c>
      <c r="BA11" s="144">
        <f>IF('PV IN'!$F$4="PV Only",0,-BattLoan!H39)</f>
        <v>0</v>
      </c>
    </row>
    <row r="12" spans="1:88" x14ac:dyDescent="0.25">
      <c r="A12">
        <f>IF(C12&lt;='PV IN'!$O$22*12,C12,"")</f>
        <v>8</v>
      </c>
      <c r="C12">
        <v>8</v>
      </c>
      <c r="D12" s="2">
        <f>BattCalcs!CK12+PVCalcs!AT12</f>
        <v>12721.350690496984</v>
      </c>
      <c r="E12" s="20">
        <f>PVCalcs!AV12</f>
        <v>-2222970.9362523071</v>
      </c>
      <c r="F12" s="20">
        <f>PVCalcs!AW12</f>
        <v>12314.223329128805</v>
      </c>
      <c r="G12" s="20">
        <f>PVCalcs!AX12</f>
        <v>-2224814.8232676825</v>
      </c>
      <c r="H12" s="20">
        <f>BattCalcs!CM12</f>
        <v>0</v>
      </c>
      <c r="I12" s="20">
        <f>BattCalcs!CN12</f>
        <v>0</v>
      </c>
      <c r="J12" s="20">
        <f>IF(C12&lt;='Batt IN'!H$43*12,BattCalcs!CO12,NA())</f>
        <v>0</v>
      </c>
      <c r="L12" s="20">
        <f t="shared" si="3"/>
        <v>12314.223329128805</v>
      </c>
      <c r="M12" s="20">
        <f>G12+BattCalcs!CO12</f>
        <v>-2224814.8232676825</v>
      </c>
      <c r="O12" s="10">
        <f>PVLoan!G40</f>
        <v>0</v>
      </c>
      <c r="P12" s="10">
        <f>PVLoan!J40</f>
        <v>0</v>
      </c>
      <c r="Q12" s="2">
        <f>BattLoan!G40</f>
        <v>0</v>
      </c>
      <c r="R12" s="10">
        <f>BattLoan!J40</f>
        <v>0</v>
      </c>
      <c r="T12" s="33">
        <f>IF('PV IN'!$F$4="Battery Only",0,PVCalcs!G12)</f>
        <v>151789.75508623905</v>
      </c>
      <c r="U12" s="33">
        <f>IF('PV IN'!$F$4="Battery Only",0,PVCalcs!M12)</f>
        <v>151789.75508623905</v>
      </c>
      <c r="V12" s="33">
        <f>PVCalcs!L12</f>
        <v>30812.599166666667</v>
      </c>
      <c r="W12" s="158">
        <f>PVCalcs!F12</f>
        <v>7.5965300541213879E-2</v>
      </c>
      <c r="X12" s="144">
        <f>IF('PV IN'!$F$4="Battery Only",0,PVCalcs!Y12+PVCalcs!Z12)</f>
        <v>2276.8463262935857</v>
      </c>
      <c r="Y12" s="144">
        <f>IF('PV IN'!$F$4="PV Only",0,BattCalcs!AX12+BattCalcs!BC12)</f>
        <v>0</v>
      </c>
      <c r="Z12" s="144">
        <f>IF('PV IN'!$F$4="PV Only",0,BattCalcs!AY12+BattCalcs!BD12)</f>
        <v>0</v>
      </c>
      <c r="AA12" s="144">
        <f>IF('PV IN'!$F$4="PV Only",0,BattCalcs!AZ12+BattCalcs!BE12)</f>
        <v>0</v>
      </c>
      <c r="AB12" s="144">
        <f>IF('PV IN'!$F$4="PV Only",0,BattCalcs!BA12+BattCalcs!BF12)</f>
        <v>0</v>
      </c>
      <c r="AC12" s="144">
        <f>IF('PV IN'!$F$4="PV Only",0,BattCalcs!BB12+BattCalcs!BG12)</f>
        <v>0</v>
      </c>
      <c r="AD12" s="144">
        <f>IF('PV IN'!$F$4="PV Only",0,BattCalcs!BU12)</f>
        <v>0</v>
      </c>
      <c r="AE12" s="144">
        <f>IF('PV IN'!$F$4="PV Only",PVCalcs!W12+PVCalcs!AA12,IF('PV IN'!$F$4="Battery Only",BattCalcs!AV12+BattCalcs!BH12,PVCalcs!W12+PVCalcs!AA12+BattCalcs!AV12+BattCalcs!BH12))</f>
        <v>0</v>
      </c>
      <c r="AF12" s="10">
        <f>PVCalcs!AC12+BattCalcs!BJ12</f>
        <v>0</v>
      </c>
      <c r="AG12" s="144">
        <f>IF('PV IN'!$F$4="Battery Only",0,PVCalcs!AG12)</f>
        <v>-750</v>
      </c>
      <c r="AH12" s="144">
        <f>IF('PV IN'!$F$4="Battery Only",0,PVCalcs!AI12)</f>
        <v>0</v>
      </c>
      <c r="AI12" s="144">
        <f>IF('PV IN'!$F$4="PV Only",0,BattCalcs!BM12)</f>
        <v>0</v>
      </c>
      <c r="AJ12" s="144">
        <f>IF('PV IN'!$F$4="PV Only",0,SUM(BattCalcs!BO12:BT12))</f>
        <v>0</v>
      </c>
      <c r="AK12" s="144">
        <f>IF('PV IN'!$F$4="PV Only",PVCalcs!AH12,IF('PV IN'!$F$4="Battery Only",BattCalcs!BN12,PVCalcs!AH12+BattCalcs!BN12))</f>
        <v>-625</v>
      </c>
      <c r="AL12" s="144">
        <f>IF('PV IN'!$F$4="PV Only",0,BattCalcs!BV12)</f>
        <v>0</v>
      </c>
      <c r="AM12" s="144">
        <f>IF('PV IN'!$F$4="PV Only",0,SUM(BattCalcs!BW12:BX12))</f>
        <v>0</v>
      </c>
      <c r="AN12" s="144">
        <f>IF('PV IN'!$F$4="PV Only",0,BattCalcs!BY12)</f>
        <v>0</v>
      </c>
      <c r="AO12" s="144">
        <f>IF('PV IN'!$F$4="Battery Only",0,PVCalcs!U12)</f>
        <v>11530.754364203398</v>
      </c>
      <c r="AP12" s="10">
        <f>IF('PV IN'!$F$4="PV Only",0,BattCalcs!AS12)</f>
        <v>0</v>
      </c>
      <c r="AQ12" s="10">
        <f>IF('PV IN'!$F$4="PV Only",0,BattCalcs!AT12)</f>
        <v>0</v>
      </c>
      <c r="AR12" s="10">
        <f>IF('PV IN'!$F$4="PV Only",0,BattCalcs!AU12)</f>
        <v>0</v>
      </c>
      <c r="AS12" s="144">
        <f>IF('PV IN'!$F$4="PV Only",PVCalcs!X12,IF('PV IN'!$F$4="Battery Only",BattCalcs!AW12,PVCalcs!X12+BattCalcs!AW12))</f>
        <v>0</v>
      </c>
      <c r="AT12" s="144">
        <f>IF('PV IN'!$F$4="Battery Only",0,-PVCalcs!AQ12*'PV IN'!$E$8)</f>
        <v>0</v>
      </c>
      <c r="AU12" s="144">
        <f>IF('PV IN'!$F$4="PV Only",0,-BattCalcs!CG12*'PV IN'!$E$8)</f>
        <v>0</v>
      </c>
      <c r="AV12" s="144">
        <f>IF('PV IN'!$F$4="PV Only",PVCalcs!Z12+PVCalcs!AA12,IF('PV IN'!$F$4="Battery Only",SUM(BattCalcs!BC12:BH12),PVCalcs!Z12+PVCalcs!AA12+SUM(BattCalcs!BC12:BH12)))</f>
        <v>0</v>
      </c>
      <c r="AW12" s="144">
        <f>IF('PV IN'!$F$4="PV Only",SUM(PVCalcs!AF12:AI12),IF('PV IN'!$F$4="Battery Only",SUM(BattCalcs!BL12:BY12),SUM(PVCalcs!AF12:AI12)+SUM(BattCalcs!BL12:BY12)))</f>
        <v>-1375</v>
      </c>
      <c r="AX12" s="144">
        <f>IF('PV IN'!$F$4="Battery Only",0,-PVLoan!F40)</f>
        <v>0</v>
      </c>
      <c r="AY12" s="144">
        <f>IF('PV IN'!$F$4="PV Only",0,-BattLoan!F40)</f>
        <v>0</v>
      </c>
      <c r="AZ12" s="144">
        <f>IF('PV IN'!$F$4="Battery Only",0,-PVLoan!H40)</f>
        <v>0</v>
      </c>
      <c r="BA12" s="144">
        <f>IF('PV IN'!$F$4="PV Only",0,-BattLoan!H40)</f>
        <v>0</v>
      </c>
    </row>
    <row r="13" spans="1:88" x14ac:dyDescent="0.25">
      <c r="A13">
        <f>IF(C13&lt;='PV IN'!$O$22*12,C13,"")</f>
        <v>9</v>
      </c>
      <c r="C13">
        <v>9</v>
      </c>
      <c r="D13" s="2">
        <f>BattCalcs!CK13+PVCalcs!AT13</f>
        <v>12712.145623369985</v>
      </c>
      <c r="E13" s="20">
        <f>PVCalcs!AV13</f>
        <v>-2210258.7906289371</v>
      </c>
      <c r="F13" s="20">
        <f>PVCalcs!AW13</f>
        <v>12255.382909101005</v>
      </c>
      <c r="G13" s="20">
        <f>PVCalcs!AX13</f>
        <v>-2212559.4403585815</v>
      </c>
      <c r="H13" s="20">
        <f>BattCalcs!CM13</f>
        <v>0</v>
      </c>
      <c r="I13" s="20">
        <f>BattCalcs!CN13</f>
        <v>0</v>
      </c>
      <c r="J13" s="20">
        <f>IF(C13&lt;='Batt IN'!H$43*12,BattCalcs!CO13,NA())</f>
        <v>0</v>
      </c>
      <c r="L13" s="20">
        <f t="shared" si="3"/>
        <v>12255.382909101005</v>
      </c>
      <c r="M13" s="20">
        <f>G13+BattCalcs!CO13</f>
        <v>-2212559.4403585815</v>
      </c>
      <c r="O13" s="10">
        <f>PVLoan!G41</f>
        <v>0</v>
      </c>
      <c r="P13" s="10">
        <f>PVLoan!J41</f>
        <v>0</v>
      </c>
      <c r="Q13" s="2">
        <f>BattLoan!G41</f>
        <v>0</v>
      </c>
      <c r="R13" s="10">
        <f>BattLoan!J41</f>
        <v>0</v>
      </c>
      <c r="T13" s="33">
        <f>IF('PV IN'!$F$4="Battery Only",0,PVCalcs!G13)</f>
        <v>151688.56191618156</v>
      </c>
      <c r="U13" s="33">
        <f>IF('PV IN'!$F$4="Battery Only",0,PVCalcs!M13)</f>
        <v>151688.56191618156</v>
      </c>
      <c r="V13" s="33">
        <f>PVCalcs!L13</f>
        <v>30812.599166666667</v>
      </c>
      <c r="W13" s="158">
        <f>PVCalcs!F13</f>
        <v>7.5965300541213879E-2</v>
      </c>
      <c r="X13" s="144">
        <f>IF('PV IN'!$F$4="Battery Only",0,PVCalcs!Y13+PVCalcs!Z13)</f>
        <v>2275.3284287427236</v>
      </c>
      <c r="Y13" s="144">
        <f>IF('PV IN'!$F$4="PV Only",0,BattCalcs!AX13+BattCalcs!BC13)</f>
        <v>0</v>
      </c>
      <c r="Z13" s="144">
        <f>IF('PV IN'!$F$4="PV Only",0,BattCalcs!AY13+BattCalcs!BD13)</f>
        <v>0</v>
      </c>
      <c r="AA13" s="144">
        <f>IF('PV IN'!$F$4="PV Only",0,BattCalcs!AZ13+BattCalcs!BE13)</f>
        <v>0</v>
      </c>
      <c r="AB13" s="144">
        <f>IF('PV IN'!$F$4="PV Only",0,BattCalcs!BA13+BattCalcs!BF13)</f>
        <v>0</v>
      </c>
      <c r="AC13" s="144">
        <f>IF('PV IN'!$F$4="PV Only",0,BattCalcs!BB13+BattCalcs!BG13)</f>
        <v>0</v>
      </c>
      <c r="AD13" s="144">
        <f>IF('PV IN'!$F$4="PV Only",0,BattCalcs!BU13)</f>
        <v>0</v>
      </c>
      <c r="AE13" s="144">
        <f>IF('PV IN'!$F$4="PV Only",PVCalcs!W13+PVCalcs!AA13,IF('PV IN'!$F$4="Battery Only",BattCalcs!AV13+BattCalcs!BH13,PVCalcs!W13+PVCalcs!AA13+BattCalcs!AV13+BattCalcs!BH13))</f>
        <v>0</v>
      </c>
      <c r="AF13" s="10">
        <f>PVCalcs!AC13+BattCalcs!BJ13</f>
        <v>0</v>
      </c>
      <c r="AG13" s="144">
        <f>IF('PV IN'!$F$4="Battery Only",0,PVCalcs!AG13)</f>
        <v>-750</v>
      </c>
      <c r="AH13" s="144">
        <f>IF('PV IN'!$F$4="Battery Only",0,PVCalcs!AI13)</f>
        <v>0</v>
      </c>
      <c r="AI13" s="144">
        <f>IF('PV IN'!$F$4="PV Only",0,BattCalcs!BM13)</f>
        <v>0</v>
      </c>
      <c r="AJ13" s="144">
        <f>IF('PV IN'!$F$4="PV Only",0,SUM(BattCalcs!BO13:BT13))</f>
        <v>0</v>
      </c>
      <c r="AK13" s="144">
        <f>IF('PV IN'!$F$4="PV Only",PVCalcs!AH13,IF('PV IN'!$F$4="Battery Only",BattCalcs!BN13,PVCalcs!AH13+BattCalcs!BN13))</f>
        <v>-625</v>
      </c>
      <c r="AL13" s="144">
        <f>IF('PV IN'!$F$4="PV Only",0,BattCalcs!BV13)</f>
        <v>0</v>
      </c>
      <c r="AM13" s="144">
        <f>IF('PV IN'!$F$4="PV Only",0,SUM(BattCalcs!BW13:BX13))</f>
        <v>0</v>
      </c>
      <c r="AN13" s="144">
        <f>IF('PV IN'!$F$4="PV Only",0,BattCalcs!BY13)</f>
        <v>0</v>
      </c>
      <c r="AO13" s="144">
        <f>IF('PV IN'!$F$4="Battery Only",0,PVCalcs!U13)</f>
        <v>11523.067194627261</v>
      </c>
      <c r="AP13" s="10">
        <f>IF('PV IN'!$F$4="PV Only",0,BattCalcs!AS13)</f>
        <v>0</v>
      </c>
      <c r="AQ13" s="10">
        <f>IF('PV IN'!$F$4="PV Only",0,BattCalcs!AT13)</f>
        <v>0</v>
      </c>
      <c r="AR13" s="10">
        <f>IF('PV IN'!$F$4="PV Only",0,BattCalcs!AU13)</f>
        <v>0</v>
      </c>
      <c r="AS13" s="144">
        <f>IF('PV IN'!$F$4="PV Only",PVCalcs!X13,IF('PV IN'!$F$4="Battery Only",BattCalcs!AW13,PVCalcs!X13+BattCalcs!AW13))</f>
        <v>0</v>
      </c>
      <c r="AT13" s="144">
        <f>IF('PV IN'!$F$4="Battery Only",0,-PVCalcs!AQ13*'PV IN'!$E$8)</f>
        <v>0</v>
      </c>
      <c r="AU13" s="144">
        <f>IF('PV IN'!$F$4="PV Only",0,-BattCalcs!CG13*'PV IN'!$E$8)</f>
        <v>0</v>
      </c>
      <c r="AV13" s="144">
        <f>IF('PV IN'!$F$4="PV Only",PVCalcs!Z13+PVCalcs!AA13,IF('PV IN'!$F$4="Battery Only",SUM(BattCalcs!BC13:BH13),PVCalcs!Z13+PVCalcs!AA13+SUM(BattCalcs!BC13:BH13)))</f>
        <v>0</v>
      </c>
      <c r="AW13" s="144">
        <f>IF('PV IN'!$F$4="PV Only",SUM(PVCalcs!AF13:AI13),IF('PV IN'!$F$4="Battery Only",SUM(BattCalcs!BL13:BY13),SUM(PVCalcs!AF13:AI13)+SUM(BattCalcs!BL13:BY13)))</f>
        <v>-1375</v>
      </c>
      <c r="AX13" s="144">
        <f>IF('PV IN'!$F$4="Battery Only",0,-PVLoan!F41)</f>
        <v>0</v>
      </c>
      <c r="AY13" s="144">
        <f>IF('PV IN'!$F$4="PV Only",0,-BattLoan!F41)</f>
        <v>0</v>
      </c>
      <c r="AZ13" s="144">
        <f>IF('PV IN'!$F$4="Battery Only",0,-PVLoan!H41)</f>
        <v>0</v>
      </c>
      <c r="BA13" s="144">
        <f>IF('PV IN'!$F$4="PV Only",0,-BattLoan!H41)</f>
        <v>0</v>
      </c>
    </row>
    <row r="14" spans="1:88" x14ac:dyDescent="0.25">
      <c r="A14">
        <f>IF(C14&lt;='PV IN'!$O$22*12,C14,"")</f>
        <v>10</v>
      </c>
      <c r="C14">
        <v>10</v>
      </c>
      <c r="D14" s="2">
        <f>BattCalcs!CK14+PVCalcs!AT14</f>
        <v>12702.946692954405</v>
      </c>
      <c r="E14" s="20">
        <f>PVCalcs!AV14</f>
        <v>-2197555.8439359828</v>
      </c>
      <c r="F14" s="20">
        <f>PVCalcs!AW14</f>
        <v>12196.823140102735</v>
      </c>
      <c r="G14" s="20">
        <f>PVCalcs!AX14</f>
        <v>-2200362.6172184786</v>
      </c>
      <c r="H14" s="20">
        <f>BattCalcs!CM14</f>
        <v>0</v>
      </c>
      <c r="I14" s="20">
        <f>BattCalcs!CN14</f>
        <v>0</v>
      </c>
      <c r="J14" s="20">
        <f>IF(C14&lt;='Batt IN'!H$43*12,BattCalcs!CO14,NA())</f>
        <v>0</v>
      </c>
      <c r="L14" s="20">
        <f t="shared" si="3"/>
        <v>12196.823140102735</v>
      </c>
      <c r="M14" s="20">
        <f>G14+BattCalcs!CO14</f>
        <v>-2200362.6172184786</v>
      </c>
      <c r="O14" s="10">
        <f>PVLoan!G42</f>
        <v>0</v>
      </c>
      <c r="P14" s="10">
        <f>PVLoan!J42</f>
        <v>0</v>
      </c>
      <c r="Q14" s="2">
        <f>BattLoan!G42</f>
        <v>0</v>
      </c>
      <c r="R14" s="10">
        <f>BattLoan!J42</f>
        <v>0</v>
      </c>
      <c r="T14" s="33">
        <f>IF('PV IN'!$F$4="Battery Only",0,PVCalcs!G14)</f>
        <v>151587.43620823743</v>
      </c>
      <c r="U14" s="33">
        <f>IF('PV IN'!$F$4="Battery Only",0,PVCalcs!M14)</f>
        <v>151587.43620823743</v>
      </c>
      <c r="V14" s="33">
        <f>PVCalcs!L14</f>
        <v>30812.599166666667</v>
      </c>
      <c r="W14" s="158">
        <f>PVCalcs!F14</f>
        <v>7.5965300541213879E-2</v>
      </c>
      <c r="X14" s="144">
        <f>IF('PV IN'!$F$4="Battery Only",0,PVCalcs!Y14+PVCalcs!Z14)</f>
        <v>2273.8115431235615</v>
      </c>
      <c r="Y14" s="144">
        <f>IF('PV IN'!$F$4="PV Only",0,BattCalcs!AX14+BattCalcs!BC14)</f>
        <v>0</v>
      </c>
      <c r="Z14" s="144">
        <f>IF('PV IN'!$F$4="PV Only",0,BattCalcs!AY14+BattCalcs!BD14)</f>
        <v>0</v>
      </c>
      <c r="AA14" s="144">
        <f>IF('PV IN'!$F$4="PV Only",0,BattCalcs!AZ14+BattCalcs!BE14)</f>
        <v>0</v>
      </c>
      <c r="AB14" s="144">
        <f>IF('PV IN'!$F$4="PV Only",0,BattCalcs!BA14+BattCalcs!BF14)</f>
        <v>0</v>
      </c>
      <c r="AC14" s="144">
        <f>IF('PV IN'!$F$4="PV Only",0,BattCalcs!BB14+BattCalcs!BG14)</f>
        <v>0</v>
      </c>
      <c r="AD14" s="144">
        <f>IF('PV IN'!$F$4="PV Only",0,BattCalcs!BU14)</f>
        <v>0</v>
      </c>
      <c r="AE14" s="144">
        <f>IF('PV IN'!$F$4="PV Only",PVCalcs!W14+PVCalcs!AA14,IF('PV IN'!$F$4="Battery Only",BattCalcs!AV14+BattCalcs!BH14,PVCalcs!W14+PVCalcs!AA14+BattCalcs!AV14+BattCalcs!BH14))</f>
        <v>0</v>
      </c>
      <c r="AF14" s="10">
        <f>PVCalcs!AC14+BattCalcs!BJ14</f>
        <v>0</v>
      </c>
      <c r="AG14" s="144">
        <f>IF('PV IN'!$F$4="Battery Only",0,PVCalcs!AG14)</f>
        <v>-750</v>
      </c>
      <c r="AH14" s="144">
        <f>IF('PV IN'!$F$4="Battery Only",0,PVCalcs!AI14)</f>
        <v>0</v>
      </c>
      <c r="AI14" s="144">
        <f>IF('PV IN'!$F$4="PV Only",0,BattCalcs!BM14)</f>
        <v>0</v>
      </c>
      <c r="AJ14" s="144">
        <f>IF('PV IN'!$F$4="PV Only",0,SUM(BattCalcs!BO14:BT14))</f>
        <v>0</v>
      </c>
      <c r="AK14" s="144">
        <f>IF('PV IN'!$F$4="PV Only",PVCalcs!AH14,IF('PV IN'!$F$4="Battery Only",BattCalcs!BN14,PVCalcs!AH14+BattCalcs!BN14))</f>
        <v>-625</v>
      </c>
      <c r="AL14" s="144">
        <f>IF('PV IN'!$F$4="PV Only",0,BattCalcs!BV14)</f>
        <v>0</v>
      </c>
      <c r="AM14" s="144">
        <f>IF('PV IN'!$F$4="PV Only",0,SUM(BattCalcs!BW14:BX14))</f>
        <v>0</v>
      </c>
      <c r="AN14" s="144">
        <f>IF('PV IN'!$F$4="PV Only",0,BattCalcs!BY14)</f>
        <v>0</v>
      </c>
      <c r="AO14" s="144">
        <f>IF('PV IN'!$F$4="Battery Only",0,PVCalcs!U14)</f>
        <v>11515.385149830843</v>
      </c>
      <c r="AP14" s="10">
        <f>IF('PV IN'!$F$4="PV Only",0,BattCalcs!AS14)</f>
        <v>0</v>
      </c>
      <c r="AQ14" s="10">
        <f>IF('PV IN'!$F$4="PV Only",0,BattCalcs!AT14)</f>
        <v>0</v>
      </c>
      <c r="AR14" s="10">
        <f>IF('PV IN'!$F$4="PV Only",0,BattCalcs!AU14)</f>
        <v>0</v>
      </c>
      <c r="AS14" s="144">
        <f>IF('PV IN'!$F$4="PV Only",PVCalcs!X14,IF('PV IN'!$F$4="Battery Only",BattCalcs!AW14,PVCalcs!X14+BattCalcs!AW14))</f>
        <v>0</v>
      </c>
      <c r="AT14" s="144">
        <f>IF('PV IN'!$F$4="Battery Only",0,-PVCalcs!AQ14*'PV IN'!$E$8)</f>
        <v>0</v>
      </c>
      <c r="AU14" s="144">
        <f>IF('PV IN'!$F$4="PV Only",0,-BattCalcs!CG14*'PV IN'!$E$8)</f>
        <v>0</v>
      </c>
      <c r="AV14" s="144">
        <f>IF('PV IN'!$F$4="PV Only",PVCalcs!Z14+PVCalcs!AA14,IF('PV IN'!$F$4="Battery Only",SUM(BattCalcs!BC14:BH14),PVCalcs!Z14+PVCalcs!AA14+SUM(BattCalcs!BC14:BH14)))</f>
        <v>0</v>
      </c>
      <c r="AW14" s="144">
        <f>IF('PV IN'!$F$4="PV Only",SUM(PVCalcs!AF14:AI14),IF('PV IN'!$F$4="Battery Only",SUM(BattCalcs!BL14:BY14),SUM(PVCalcs!AF14:AI14)+SUM(BattCalcs!BL14:BY14)))</f>
        <v>-1375</v>
      </c>
      <c r="AX14" s="144">
        <f>IF('PV IN'!$F$4="Battery Only",0,-PVLoan!F42)</f>
        <v>0</v>
      </c>
      <c r="AY14" s="144">
        <f>IF('PV IN'!$F$4="PV Only",0,-BattLoan!F42)</f>
        <v>0</v>
      </c>
      <c r="AZ14" s="144">
        <f>IF('PV IN'!$F$4="Battery Only",0,-PVLoan!H42)</f>
        <v>0</v>
      </c>
      <c r="BA14" s="144">
        <f>IF('PV IN'!$F$4="PV Only",0,-BattLoan!H42)</f>
        <v>0</v>
      </c>
    </row>
    <row r="15" spans="1:88" x14ac:dyDescent="0.25">
      <c r="A15">
        <f>IF(C15&lt;='PV IN'!$O$22*12,C15,"")</f>
        <v>11</v>
      </c>
      <c r="C15">
        <v>11</v>
      </c>
      <c r="D15" s="2">
        <f>BattCalcs!CK15+PVCalcs!AT15</f>
        <v>12693.753895159101</v>
      </c>
      <c r="E15" s="20">
        <f>PVCalcs!AV15</f>
        <v>-2184862.0900408239</v>
      </c>
      <c r="F15" s="20">
        <f>PVCalcs!AW15</f>
        <v>12138.542685530605</v>
      </c>
      <c r="G15" s="20">
        <f>PVCalcs!AX15</f>
        <v>-2188224.074532948</v>
      </c>
      <c r="H15" s="20">
        <f>BattCalcs!CM15</f>
        <v>0</v>
      </c>
      <c r="I15" s="20">
        <f>BattCalcs!CN15</f>
        <v>0</v>
      </c>
      <c r="J15" s="20">
        <f>IF(C15&lt;='Batt IN'!H$43*12,BattCalcs!CO15,NA())</f>
        <v>0</v>
      </c>
      <c r="L15" s="20">
        <f t="shared" si="3"/>
        <v>12138.542685530605</v>
      </c>
      <c r="M15" s="20">
        <f>G15+BattCalcs!CO15</f>
        <v>-2188224.074532948</v>
      </c>
      <c r="O15" s="10">
        <f>PVLoan!G43</f>
        <v>0</v>
      </c>
      <c r="P15" s="10">
        <f>PVLoan!J43</f>
        <v>0</v>
      </c>
      <c r="Q15" s="2">
        <f>BattLoan!G43</f>
        <v>0</v>
      </c>
      <c r="R15" s="10">
        <f>BattLoan!J43</f>
        <v>0</v>
      </c>
      <c r="T15" s="33">
        <f>IF('PV IN'!$F$4="Battery Only",0,PVCalcs!G15)</f>
        <v>151486.37791743194</v>
      </c>
      <c r="U15" s="33">
        <f>IF('PV IN'!$F$4="Battery Only",0,PVCalcs!M15)</f>
        <v>151486.37791743194</v>
      </c>
      <c r="V15" s="33">
        <f>PVCalcs!L15</f>
        <v>30812.599166666667</v>
      </c>
      <c r="W15" s="158">
        <f>PVCalcs!F15</f>
        <v>7.5965300541213879E-2</v>
      </c>
      <c r="X15" s="144">
        <f>IF('PV IN'!$F$4="Battery Only",0,PVCalcs!Y15+PVCalcs!Z15)</f>
        <v>2272.2956687614792</v>
      </c>
      <c r="Y15" s="144">
        <f>IF('PV IN'!$F$4="PV Only",0,BattCalcs!AX15+BattCalcs!BC15)</f>
        <v>0</v>
      </c>
      <c r="Z15" s="144">
        <f>IF('PV IN'!$F$4="PV Only",0,BattCalcs!AY15+BattCalcs!BD15)</f>
        <v>0</v>
      </c>
      <c r="AA15" s="144">
        <f>IF('PV IN'!$F$4="PV Only",0,BattCalcs!AZ15+BattCalcs!BE15)</f>
        <v>0</v>
      </c>
      <c r="AB15" s="144">
        <f>IF('PV IN'!$F$4="PV Only",0,BattCalcs!BA15+BattCalcs!BF15)</f>
        <v>0</v>
      </c>
      <c r="AC15" s="144">
        <f>IF('PV IN'!$F$4="PV Only",0,BattCalcs!BB15+BattCalcs!BG15)</f>
        <v>0</v>
      </c>
      <c r="AD15" s="144">
        <f>IF('PV IN'!$F$4="PV Only",0,BattCalcs!BU15)</f>
        <v>0</v>
      </c>
      <c r="AE15" s="144">
        <f>IF('PV IN'!$F$4="PV Only",PVCalcs!W15+PVCalcs!AA15,IF('PV IN'!$F$4="Battery Only",BattCalcs!AV15+BattCalcs!BH15,PVCalcs!W15+PVCalcs!AA15+BattCalcs!AV15+BattCalcs!BH15))</f>
        <v>0</v>
      </c>
      <c r="AF15" s="10">
        <f>PVCalcs!AC15+BattCalcs!BJ15</f>
        <v>0</v>
      </c>
      <c r="AG15" s="144">
        <f>IF('PV IN'!$F$4="Battery Only",0,PVCalcs!AG15)</f>
        <v>-750</v>
      </c>
      <c r="AH15" s="144">
        <f>IF('PV IN'!$F$4="Battery Only",0,PVCalcs!AI15)</f>
        <v>0</v>
      </c>
      <c r="AI15" s="144">
        <f>IF('PV IN'!$F$4="PV Only",0,BattCalcs!BM15)</f>
        <v>0</v>
      </c>
      <c r="AJ15" s="144">
        <f>IF('PV IN'!$F$4="PV Only",0,SUM(BattCalcs!BO15:BT15))</f>
        <v>0</v>
      </c>
      <c r="AK15" s="144">
        <f>IF('PV IN'!$F$4="PV Only",PVCalcs!AH15,IF('PV IN'!$F$4="Battery Only",BattCalcs!BN15,PVCalcs!AH15+BattCalcs!BN15))</f>
        <v>-625</v>
      </c>
      <c r="AL15" s="144">
        <f>IF('PV IN'!$F$4="PV Only",0,BattCalcs!BV15)</f>
        <v>0</v>
      </c>
      <c r="AM15" s="144">
        <f>IF('PV IN'!$F$4="PV Only",0,SUM(BattCalcs!BW15:BX15))</f>
        <v>0</v>
      </c>
      <c r="AN15" s="144">
        <f>IF('PV IN'!$F$4="PV Only",0,BattCalcs!BY15)</f>
        <v>0</v>
      </c>
      <c r="AO15" s="144">
        <f>IF('PV IN'!$F$4="Battery Only",0,PVCalcs!U15)</f>
        <v>11507.708226397623</v>
      </c>
      <c r="AP15" s="10">
        <f>IF('PV IN'!$F$4="PV Only",0,BattCalcs!AS15)</f>
        <v>0</v>
      </c>
      <c r="AQ15" s="10">
        <f>IF('PV IN'!$F$4="PV Only",0,BattCalcs!AT15)</f>
        <v>0</v>
      </c>
      <c r="AR15" s="10">
        <f>IF('PV IN'!$F$4="PV Only",0,BattCalcs!AU15)</f>
        <v>0</v>
      </c>
      <c r="AS15" s="144">
        <f>IF('PV IN'!$F$4="PV Only",PVCalcs!X15,IF('PV IN'!$F$4="Battery Only",BattCalcs!AW15,PVCalcs!X15+BattCalcs!AW15))</f>
        <v>0</v>
      </c>
      <c r="AT15" s="144">
        <f>IF('PV IN'!$F$4="Battery Only",0,-PVCalcs!AQ15*'PV IN'!$E$8)</f>
        <v>0</v>
      </c>
      <c r="AU15" s="144">
        <f>IF('PV IN'!$F$4="PV Only",0,-BattCalcs!CG15*'PV IN'!$E$8)</f>
        <v>0</v>
      </c>
      <c r="AV15" s="144">
        <f>IF('PV IN'!$F$4="PV Only",PVCalcs!Z15+PVCalcs!AA15,IF('PV IN'!$F$4="Battery Only",SUM(BattCalcs!BC15:BH15),PVCalcs!Z15+PVCalcs!AA15+SUM(BattCalcs!BC15:BH15)))</f>
        <v>0</v>
      </c>
      <c r="AW15" s="144">
        <f>IF('PV IN'!$F$4="PV Only",SUM(PVCalcs!AF15:AI15),IF('PV IN'!$F$4="Battery Only",SUM(BattCalcs!BL15:BY15),SUM(PVCalcs!AF15:AI15)+SUM(BattCalcs!BL15:BY15)))</f>
        <v>-1375</v>
      </c>
      <c r="AX15" s="144">
        <f>IF('PV IN'!$F$4="Battery Only",0,-PVLoan!F43)</f>
        <v>0</v>
      </c>
      <c r="AY15" s="144">
        <f>IF('PV IN'!$F$4="PV Only",0,-BattLoan!F43)</f>
        <v>0</v>
      </c>
      <c r="AZ15" s="144">
        <f>IF('PV IN'!$F$4="Battery Only",0,-PVLoan!H43)</f>
        <v>0</v>
      </c>
      <c r="BA15" s="144">
        <f>IF('PV IN'!$F$4="PV Only",0,-BattLoan!H43)</f>
        <v>0</v>
      </c>
    </row>
    <row r="16" spans="1:88" x14ac:dyDescent="0.25">
      <c r="A16">
        <f>IF(C16&lt;='PV IN'!$O$22*12,C16,"")</f>
        <v>12</v>
      </c>
      <c r="B16">
        <f>B4+1</f>
        <v>2026</v>
      </c>
      <c r="C16">
        <v>12</v>
      </c>
      <c r="D16" s="2">
        <f>BattCalcs!CK16+PVCalcs!AT16</f>
        <v>959192.06722589571</v>
      </c>
      <c r="E16" s="20">
        <f>PVCalcs!AV16</f>
        <v>-1225670.0228149281</v>
      </c>
      <c r="F16" s="20">
        <f>PVCalcs!AW16</f>
        <v>913516.25450085208</v>
      </c>
      <c r="G16" s="20">
        <f>PVCalcs!AX16</f>
        <v>-1274707.820032096</v>
      </c>
      <c r="H16" s="20">
        <f>BattCalcs!CM16</f>
        <v>0</v>
      </c>
      <c r="I16" s="20">
        <f>BattCalcs!CN16</f>
        <v>0</v>
      </c>
      <c r="J16" s="20">
        <f>IF(C16&lt;='Batt IN'!H$43*12,BattCalcs!CO16,NA())</f>
        <v>0</v>
      </c>
      <c r="L16" s="20">
        <f t="shared" si="3"/>
        <v>913516.25450085208</v>
      </c>
      <c r="M16" s="20">
        <f>G16+BattCalcs!CO16</f>
        <v>-1274707.820032096</v>
      </c>
      <c r="O16" s="10">
        <f>PVLoan!G44</f>
        <v>0</v>
      </c>
      <c r="P16" s="10">
        <f>PVLoan!J44</f>
        <v>0</v>
      </c>
      <c r="Q16" s="2">
        <f>BattLoan!G44</f>
        <v>0</v>
      </c>
      <c r="R16" s="10">
        <f>BattLoan!J44</f>
        <v>0</v>
      </c>
      <c r="T16" s="33">
        <f>IF('PV IN'!$F$4="Battery Only",0,PVCalcs!G16)</f>
        <v>151385.38699882029</v>
      </c>
      <c r="U16" s="33">
        <f>IF('PV IN'!$F$4="Battery Only",0,PVCalcs!M16)</f>
        <v>151385.38699882029</v>
      </c>
      <c r="V16" s="33">
        <f>PVCalcs!L16</f>
        <v>30812.599166666667</v>
      </c>
      <c r="W16" s="158">
        <f>PVCalcs!F16</f>
        <v>7.5965300541213879E-2</v>
      </c>
      <c r="X16" s="144">
        <f>IF('PV IN'!$F$4="Battery Only",0,PVCalcs!Y16+PVCalcs!Z16)</f>
        <v>2270.7808049823047</v>
      </c>
      <c r="Y16" s="144">
        <f>IF('PV IN'!$F$4="PV Only",0,BattCalcs!AX16+BattCalcs!BC16)</f>
        <v>0</v>
      </c>
      <c r="Z16" s="144">
        <f>IF('PV IN'!$F$4="PV Only",0,BattCalcs!AY16+BattCalcs!BD16)</f>
        <v>0</v>
      </c>
      <c r="AA16" s="144">
        <f>IF('PV IN'!$F$4="PV Only",0,BattCalcs!AZ16+BattCalcs!BE16)</f>
        <v>0</v>
      </c>
      <c r="AB16" s="144">
        <f>IF('PV IN'!$F$4="PV Only",0,BattCalcs!BA16+BattCalcs!BF16)</f>
        <v>0</v>
      </c>
      <c r="AC16" s="144">
        <f>IF('PV IN'!$F$4="PV Only",0,BattCalcs!BB16+BattCalcs!BG16)</f>
        <v>0</v>
      </c>
      <c r="AD16" s="144">
        <f>IF('PV IN'!$F$4="PV Only",0,BattCalcs!BU16)</f>
        <v>0</v>
      </c>
      <c r="AE16" s="144">
        <f>IF('PV IN'!$F$4="PV Only",PVCalcs!W16+PVCalcs!AA16,IF('PV IN'!$F$4="Battery Only",BattCalcs!AV16+BattCalcs!BH16,PVCalcs!W16+PVCalcs!AA16+BattCalcs!AV16+BattCalcs!BH16))</f>
        <v>0</v>
      </c>
      <c r="AF16" s="10">
        <f>PVCalcs!AC16+BattCalcs!BJ16</f>
        <v>0</v>
      </c>
      <c r="AG16" s="144">
        <f>IF('PV IN'!$F$4="Battery Only",0,PVCalcs!AG16)</f>
        <v>-750</v>
      </c>
      <c r="AH16" s="144">
        <f>IF('PV IN'!$F$4="Battery Only",0,PVCalcs!AI16)</f>
        <v>0</v>
      </c>
      <c r="AI16" s="144">
        <f>IF('PV IN'!$F$4="PV Only",0,BattCalcs!BM16)</f>
        <v>0</v>
      </c>
      <c r="AJ16" s="144">
        <f>IF('PV IN'!$F$4="PV Only",0,SUM(BattCalcs!BO16:BT16))</f>
        <v>0</v>
      </c>
      <c r="AK16" s="144">
        <f>IF('PV IN'!$F$4="PV Only",PVCalcs!AH16,IF('PV IN'!$F$4="Battery Only",BattCalcs!BN16,PVCalcs!AH16+BattCalcs!BN16))</f>
        <v>-625</v>
      </c>
      <c r="AL16" s="144">
        <f>IF('PV IN'!$F$4="PV Only",0,BattCalcs!BV16)</f>
        <v>0</v>
      </c>
      <c r="AM16" s="144">
        <f>IF('PV IN'!$F$4="PV Only",0,SUM(BattCalcs!BW16:BX16))</f>
        <v>0</v>
      </c>
      <c r="AN16" s="144">
        <f>IF('PV IN'!$F$4="PV Only",0,BattCalcs!BY16)</f>
        <v>0</v>
      </c>
      <c r="AO16" s="144">
        <f>IF('PV IN'!$F$4="Battery Only",0,PVCalcs!U16)</f>
        <v>11500.036420913355</v>
      </c>
      <c r="AP16" s="10">
        <f>IF('PV IN'!$F$4="PV Only",0,BattCalcs!AS16)</f>
        <v>0</v>
      </c>
      <c r="AQ16" s="10">
        <f>IF('PV IN'!$F$4="PV Only",0,BattCalcs!AT16)</f>
        <v>0</v>
      </c>
      <c r="AR16" s="10">
        <f>IF('PV IN'!$F$4="PV Only",0,BattCalcs!AU16)</f>
        <v>0</v>
      </c>
      <c r="AS16" s="144">
        <f>IF('PV IN'!$F$4="PV Only",PVCalcs!X16,IF('PV IN'!$F$4="Battery Only",BattCalcs!AW16,PVCalcs!X16+BattCalcs!AW16))</f>
        <v>697500</v>
      </c>
      <c r="AT16" s="144">
        <f>IF('PV IN'!$F$4="Battery Only",0,-PVCalcs!AQ16*'PV IN'!$E$8)</f>
        <v>249007.50000000003</v>
      </c>
      <c r="AU16" s="144">
        <f>IF('PV IN'!$F$4="PV Only",0,-BattCalcs!CG16*'PV IN'!$E$8)</f>
        <v>0</v>
      </c>
      <c r="AV16" s="144">
        <f>IF('PV IN'!$F$4="PV Only",PVCalcs!Z16+PVCalcs!AA16,IF('PV IN'!$F$4="Battery Only",SUM(BattCalcs!BC16:BH16),PVCalcs!Z16+PVCalcs!AA16+SUM(BattCalcs!BC16:BH16)))</f>
        <v>0</v>
      </c>
      <c r="AW16" s="144">
        <f>IF('PV IN'!$F$4="PV Only",SUM(PVCalcs!AF16:AI16),IF('PV IN'!$F$4="Battery Only",SUM(BattCalcs!BL16:BY16),SUM(PVCalcs!AF16:AI16)+SUM(BattCalcs!BL16:BY16)))</f>
        <v>-1375</v>
      </c>
      <c r="AX16" s="144">
        <f>IF('PV IN'!$F$4="Battery Only",0,-PVLoan!F44)</f>
        <v>0</v>
      </c>
      <c r="AY16" s="144">
        <f>IF('PV IN'!$F$4="PV Only",0,-BattLoan!F44)</f>
        <v>0</v>
      </c>
      <c r="AZ16" s="144">
        <f>IF('PV IN'!$F$4="Battery Only",0,-PVLoan!H44)</f>
        <v>0</v>
      </c>
      <c r="BA16" s="144">
        <f>IF('PV IN'!$F$4="PV Only",0,-BattLoan!H44)</f>
        <v>0</v>
      </c>
      <c r="BC16" s="33">
        <f>SUM(T5:T16)</f>
        <v>1823304.8887682834</v>
      </c>
      <c r="BD16" s="33">
        <f>SUM(U5:U16)</f>
        <v>1823304.8887682834</v>
      </c>
      <c r="BE16" s="33">
        <f>SUM(V5:V16)</f>
        <v>369751.19000000012</v>
      </c>
      <c r="BF16" s="50">
        <f>W16</f>
        <v>7.5965300541213879E-2</v>
      </c>
      <c r="BG16" s="2">
        <f t="shared" ref="BG16:CF16" si="4">SUM(X5:X16)</f>
        <v>27349.573331524247</v>
      </c>
      <c r="BH16" s="2">
        <f t="shared" si="4"/>
        <v>0</v>
      </c>
      <c r="BI16" s="2">
        <f t="shared" si="4"/>
        <v>0</v>
      </c>
      <c r="BJ16" s="2">
        <f t="shared" si="4"/>
        <v>0</v>
      </c>
      <c r="BK16" s="2">
        <f t="shared" si="4"/>
        <v>0</v>
      </c>
      <c r="BL16" s="2">
        <f t="shared" si="4"/>
        <v>0</v>
      </c>
      <c r="BM16" s="2">
        <f t="shared" si="4"/>
        <v>0</v>
      </c>
      <c r="BN16" s="2">
        <f t="shared" si="4"/>
        <v>0</v>
      </c>
      <c r="BO16" s="2">
        <f t="shared" si="4"/>
        <v>0</v>
      </c>
      <c r="BP16" s="2">
        <f t="shared" si="4"/>
        <v>-9000</v>
      </c>
      <c r="BQ16" s="2">
        <f t="shared" si="4"/>
        <v>0</v>
      </c>
      <c r="BR16" s="2">
        <f t="shared" si="4"/>
        <v>0</v>
      </c>
      <c r="BS16" s="2">
        <f t="shared" si="4"/>
        <v>0</v>
      </c>
      <c r="BT16" s="2">
        <f t="shared" si="4"/>
        <v>-7500</v>
      </c>
      <c r="BU16" s="2">
        <f t="shared" si="4"/>
        <v>0</v>
      </c>
      <c r="BV16" s="2">
        <f t="shared" si="4"/>
        <v>0</v>
      </c>
      <c r="BW16" s="2">
        <f t="shared" si="4"/>
        <v>0</v>
      </c>
      <c r="BX16" s="2">
        <f t="shared" si="4"/>
        <v>138507.90385354718</v>
      </c>
      <c r="BY16" s="2">
        <f t="shared" si="4"/>
        <v>0</v>
      </c>
      <c r="BZ16" s="2">
        <f t="shared" si="4"/>
        <v>0</v>
      </c>
      <c r="CA16" s="2">
        <f t="shared" si="4"/>
        <v>0</v>
      </c>
      <c r="CB16" s="2">
        <f t="shared" si="4"/>
        <v>697500</v>
      </c>
      <c r="CC16" s="2">
        <f t="shared" si="4"/>
        <v>249007.50000000003</v>
      </c>
      <c r="CD16" s="2">
        <f t="shared" si="4"/>
        <v>0</v>
      </c>
      <c r="CE16" s="2">
        <f t="shared" si="4"/>
        <v>0</v>
      </c>
      <c r="CF16" s="2">
        <f t="shared" si="4"/>
        <v>-16500</v>
      </c>
      <c r="CG16" s="2">
        <f t="shared" ref="CG16:CH16" si="5">SUM(AX5:AX16)</f>
        <v>0</v>
      </c>
      <c r="CH16" s="2">
        <f t="shared" si="5"/>
        <v>0</v>
      </c>
      <c r="CI16" s="2">
        <f>SUM(AZ5:AZ16)</f>
        <v>0</v>
      </c>
      <c r="CJ16" s="2">
        <f>SUM(BA5:BA16)</f>
        <v>0</v>
      </c>
    </row>
    <row r="17" spans="1:88" x14ac:dyDescent="0.25">
      <c r="A17">
        <f>IF(C17&lt;='PV IN'!$O$22*12,C17,"")</f>
        <v>13</v>
      </c>
      <c r="C17">
        <v>13</v>
      </c>
      <c r="D17" s="2">
        <f>BattCalcs!CK17+PVCalcs!AT17</f>
        <v>12533.622005100304</v>
      </c>
      <c r="E17" s="20">
        <f>PVCalcs!AV17</f>
        <v>-1213136.4008098277</v>
      </c>
      <c r="F17" s="20">
        <f>PVCalcs!AW17</f>
        <v>11888.348259607516</v>
      </c>
      <c r="G17" s="20">
        <f>PVCalcs!AX17</f>
        <v>-1262819.4717724884</v>
      </c>
      <c r="H17" s="20">
        <f>BattCalcs!CM17</f>
        <v>0</v>
      </c>
      <c r="I17" s="20">
        <f>BattCalcs!CN17</f>
        <v>0</v>
      </c>
      <c r="J17" s="20">
        <f>IF(C17&lt;='Batt IN'!H$43*12,BattCalcs!CO17,NA())</f>
        <v>0</v>
      </c>
      <c r="L17" s="20">
        <f t="shared" si="3"/>
        <v>11888.348259607516</v>
      </c>
      <c r="M17" s="20">
        <f>G17+BattCalcs!CO17</f>
        <v>-1262819.4717724884</v>
      </c>
      <c r="O17" s="10">
        <f>PVLoan!G45</f>
        <v>0</v>
      </c>
      <c r="P17" s="10">
        <f>PVLoan!J45</f>
        <v>0</v>
      </c>
      <c r="Q17" s="2">
        <f>BattLoan!G45</f>
        <v>0</v>
      </c>
      <c r="R17" s="10">
        <f>BattLoan!J45</f>
        <v>0</v>
      </c>
      <c r="T17" s="33">
        <f>IF('PV IN'!$F$4="Battery Only",0,PVCalcs!G17)</f>
        <v>151284.46340748775</v>
      </c>
      <c r="U17" s="33">
        <f>IF('PV IN'!$F$4="Battery Only",0,PVCalcs!M17)</f>
        <v>151284.46340748775</v>
      </c>
      <c r="V17" s="33">
        <f>PVCalcs!L17</f>
        <v>30812.599166666667</v>
      </c>
      <c r="W17" s="158">
        <f>PVCalcs!F17</f>
        <v>7.5028226946311755E-2</v>
      </c>
      <c r="X17" s="144">
        <f>IF('PV IN'!$F$4="Battery Only",0,PVCalcs!Y17+PVCalcs!Z17)</f>
        <v>2269.2669511123163</v>
      </c>
      <c r="Y17" s="144">
        <f>IF('PV IN'!$F$4="PV Only",0,BattCalcs!AX17+BattCalcs!BC17)</f>
        <v>0</v>
      </c>
      <c r="Z17" s="144">
        <f>IF('PV IN'!$F$4="PV Only",0,BattCalcs!AY17+BattCalcs!BD17)</f>
        <v>0</v>
      </c>
      <c r="AA17" s="144">
        <f>IF('PV IN'!$F$4="PV Only",0,BattCalcs!AZ17+BattCalcs!BE17)</f>
        <v>0</v>
      </c>
      <c r="AB17" s="144">
        <f>IF('PV IN'!$F$4="PV Only",0,BattCalcs!BA17+BattCalcs!BF17)</f>
        <v>0</v>
      </c>
      <c r="AC17" s="144">
        <f>IF('PV IN'!$F$4="PV Only",0,BattCalcs!BB17+BattCalcs!BG17)</f>
        <v>0</v>
      </c>
      <c r="AD17" s="144">
        <f>IF('PV IN'!$F$4="PV Only",0,BattCalcs!BU17)</f>
        <v>0</v>
      </c>
      <c r="AE17" s="144">
        <f>IF('PV IN'!$F$4="PV Only",PVCalcs!W17+PVCalcs!AA17,IF('PV IN'!$F$4="Battery Only",BattCalcs!AV17+BattCalcs!BH17,PVCalcs!W17+PVCalcs!AA17+BattCalcs!AV17+BattCalcs!BH17))</f>
        <v>0</v>
      </c>
      <c r="AF17" s="10">
        <f>PVCalcs!AC17+BattCalcs!BJ17</f>
        <v>0</v>
      </c>
      <c r="AG17" s="144">
        <f>IF('PV IN'!$F$4="Battery Only",0,PVCalcs!AG17)</f>
        <v>-750</v>
      </c>
      <c r="AH17" s="144">
        <f>IF('PV IN'!$F$4="Battery Only",0,PVCalcs!AI17)</f>
        <v>0</v>
      </c>
      <c r="AI17" s="144">
        <f>IF('PV IN'!$F$4="PV Only",0,BattCalcs!BM17)</f>
        <v>0</v>
      </c>
      <c r="AJ17" s="144">
        <f>IF('PV IN'!$F$4="PV Only",0,SUM(BattCalcs!BO17:BT17))</f>
        <v>0</v>
      </c>
      <c r="AK17" s="144">
        <f>IF('PV IN'!$F$4="PV Only",PVCalcs!AH17,IF('PV IN'!$F$4="Battery Only",BattCalcs!BN17,PVCalcs!AH17+BattCalcs!BN17))</f>
        <v>-625</v>
      </c>
      <c r="AL17" s="144">
        <f>IF('PV IN'!$F$4="PV Only",0,BattCalcs!BV17)</f>
        <v>0</v>
      </c>
      <c r="AM17" s="144">
        <f>IF('PV IN'!$F$4="PV Only",0,SUM(BattCalcs!BW17:BX17))</f>
        <v>0</v>
      </c>
      <c r="AN17" s="144">
        <f>IF('PV IN'!$F$4="PV Only",0,BattCalcs!BY17)</f>
        <v>0</v>
      </c>
      <c r="AO17" s="144">
        <f>IF('PV IN'!$F$4="Battery Only",0,PVCalcs!U17)</f>
        <v>11350.605053987987</v>
      </c>
      <c r="AP17" s="10">
        <f>IF('PV IN'!$F$4="PV Only",0,BattCalcs!AS17)</f>
        <v>0</v>
      </c>
      <c r="AQ17" s="10">
        <f>IF('PV IN'!$F$4="PV Only",0,BattCalcs!AT17)</f>
        <v>0</v>
      </c>
      <c r="AR17" s="10">
        <f>IF('PV IN'!$F$4="PV Only",0,BattCalcs!AU17)</f>
        <v>0</v>
      </c>
      <c r="AS17" s="144">
        <f>IF('PV IN'!$F$4="PV Only",PVCalcs!X17,IF('PV IN'!$F$4="Battery Only",BattCalcs!AW17,PVCalcs!X17+BattCalcs!AW17))</f>
        <v>0</v>
      </c>
      <c r="AT17" s="144">
        <f>IF('PV IN'!$F$4="Battery Only",0,-PVCalcs!AQ17*'PV IN'!$E$8)</f>
        <v>0</v>
      </c>
      <c r="AU17" s="144">
        <f>IF('PV IN'!$F$4="PV Only",0,-BattCalcs!CG17*'PV IN'!$E$8)</f>
        <v>0</v>
      </c>
      <c r="AV17" s="144">
        <f>IF('PV IN'!$F$4="PV Only",PVCalcs!Z17+PVCalcs!AA17,IF('PV IN'!$F$4="Battery Only",SUM(BattCalcs!BC17:BH17),PVCalcs!Z17+PVCalcs!AA17+SUM(BattCalcs!BC17:BH17)))</f>
        <v>0</v>
      </c>
      <c r="AW17" s="144">
        <f>IF('PV IN'!$F$4="PV Only",SUM(PVCalcs!AF17:AI17),IF('PV IN'!$F$4="Battery Only",SUM(BattCalcs!BL17:BY17),SUM(PVCalcs!AF17:AI17)+SUM(BattCalcs!BL17:BY17)))</f>
        <v>-1375</v>
      </c>
      <c r="AX17" s="144">
        <f>IF('PV IN'!$F$4="Battery Only",0,-PVLoan!F45)</f>
        <v>0</v>
      </c>
      <c r="AY17" s="144">
        <f>IF('PV IN'!$F$4="PV Only",0,-BattLoan!F45)</f>
        <v>0</v>
      </c>
      <c r="AZ17" s="144">
        <f>IF('PV IN'!$F$4="Battery Only",0,-PVLoan!H45)</f>
        <v>0</v>
      </c>
      <c r="BA17" s="144">
        <f>IF('PV IN'!$F$4="PV Only",0,-BattLoan!H45)</f>
        <v>0</v>
      </c>
    </row>
    <row r="18" spans="1:88" x14ac:dyDescent="0.25">
      <c r="A18">
        <f>IF(C18&lt;='PV IN'!$O$22*12,C18,"")</f>
        <v>14</v>
      </c>
      <c r="C18">
        <v>14</v>
      </c>
      <c r="D18" s="2">
        <f>BattCalcs!CK18+PVCalcs!AT18</f>
        <v>12524.542090430237</v>
      </c>
      <c r="E18" s="20">
        <f>PVCalcs!AV18</f>
        <v>-1200611.8587193976</v>
      </c>
      <c r="F18" s="20">
        <f>PVCalcs!AW18</f>
        <v>11831.532681318258</v>
      </c>
      <c r="G18" s="20">
        <f>PVCalcs!AX18</f>
        <v>-1250987.9390911702</v>
      </c>
      <c r="H18" s="20">
        <f>BattCalcs!CM18</f>
        <v>0</v>
      </c>
      <c r="I18" s="20">
        <f>BattCalcs!CN18</f>
        <v>0</v>
      </c>
      <c r="J18" s="20">
        <f>IF(C18&lt;='Batt IN'!H$43*12,BattCalcs!CO18,NA())</f>
        <v>0</v>
      </c>
      <c r="L18" s="20">
        <f t="shared" si="3"/>
        <v>11831.532681318258</v>
      </c>
      <c r="M18" s="20">
        <f>G18+BattCalcs!CO18</f>
        <v>-1250987.9390911702</v>
      </c>
      <c r="O18" s="10">
        <f>PVLoan!G46</f>
        <v>0</v>
      </c>
      <c r="P18" s="10">
        <f>PVLoan!J46</f>
        <v>0</v>
      </c>
      <c r="Q18" s="2">
        <f>BattLoan!G46</f>
        <v>0</v>
      </c>
      <c r="R18" s="10">
        <f>BattLoan!J46</f>
        <v>0</v>
      </c>
      <c r="T18" s="33">
        <f>IF('PV IN'!$F$4="Battery Only",0,PVCalcs!G18)</f>
        <v>151183.60709854943</v>
      </c>
      <c r="U18" s="33">
        <f>IF('PV IN'!$F$4="Battery Only",0,PVCalcs!M18)</f>
        <v>151183.60709854943</v>
      </c>
      <c r="V18" s="33">
        <f>PVCalcs!L18</f>
        <v>30812.599166666667</v>
      </c>
      <c r="W18" s="158">
        <f>PVCalcs!F18</f>
        <v>7.5028226946311755E-2</v>
      </c>
      <c r="X18" s="144">
        <f>IF('PV IN'!$F$4="Battery Only",0,PVCalcs!Y18+PVCalcs!Z18)</f>
        <v>2267.7541064782413</v>
      </c>
      <c r="Y18" s="144">
        <f>IF('PV IN'!$F$4="PV Only",0,BattCalcs!AX18+BattCalcs!BC18)</f>
        <v>0</v>
      </c>
      <c r="Z18" s="144">
        <f>IF('PV IN'!$F$4="PV Only",0,BattCalcs!AY18+BattCalcs!BD18)</f>
        <v>0</v>
      </c>
      <c r="AA18" s="144">
        <f>IF('PV IN'!$F$4="PV Only",0,BattCalcs!AZ18+BattCalcs!BE18)</f>
        <v>0</v>
      </c>
      <c r="AB18" s="144">
        <f>IF('PV IN'!$F$4="PV Only",0,BattCalcs!BA18+BattCalcs!BF18)</f>
        <v>0</v>
      </c>
      <c r="AC18" s="144">
        <f>IF('PV IN'!$F$4="PV Only",0,BattCalcs!BB18+BattCalcs!BG18)</f>
        <v>0</v>
      </c>
      <c r="AD18" s="144">
        <f>IF('PV IN'!$F$4="PV Only",0,BattCalcs!BU18)</f>
        <v>0</v>
      </c>
      <c r="AE18" s="144">
        <f>IF('PV IN'!$F$4="PV Only",PVCalcs!W18+PVCalcs!AA18,IF('PV IN'!$F$4="Battery Only",BattCalcs!AV18+BattCalcs!BH18,PVCalcs!W18+PVCalcs!AA18+BattCalcs!AV18+BattCalcs!BH18))</f>
        <v>0</v>
      </c>
      <c r="AF18" s="10">
        <f>PVCalcs!AC18+BattCalcs!BJ18</f>
        <v>0</v>
      </c>
      <c r="AG18" s="144">
        <f>IF('PV IN'!$F$4="Battery Only",0,PVCalcs!AG18)</f>
        <v>-750</v>
      </c>
      <c r="AH18" s="144">
        <f>IF('PV IN'!$F$4="Battery Only",0,PVCalcs!AI18)</f>
        <v>0</v>
      </c>
      <c r="AI18" s="144">
        <f>IF('PV IN'!$F$4="PV Only",0,BattCalcs!BM18)</f>
        <v>0</v>
      </c>
      <c r="AJ18" s="144">
        <f>IF('PV IN'!$F$4="PV Only",0,SUM(BattCalcs!BO18:BT18))</f>
        <v>0</v>
      </c>
      <c r="AK18" s="144">
        <f>IF('PV IN'!$F$4="PV Only",PVCalcs!AH18,IF('PV IN'!$F$4="Battery Only",BattCalcs!BN18,PVCalcs!AH18+BattCalcs!BN18))</f>
        <v>-625</v>
      </c>
      <c r="AL18" s="144">
        <f>IF('PV IN'!$F$4="PV Only",0,BattCalcs!BV18)</f>
        <v>0</v>
      </c>
      <c r="AM18" s="144">
        <f>IF('PV IN'!$F$4="PV Only",0,SUM(BattCalcs!BW18:BX18))</f>
        <v>0</v>
      </c>
      <c r="AN18" s="144">
        <f>IF('PV IN'!$F$4="PV Only",0,BattCalcs!BY18)</f>
        <v>0</v>
      </c>
      <c r="AO18" s="144">
        <f>IF('PV IN'!$F$4="Battery Only",0,PVCalcs!U18)</f>
        <v>11343.037983951996</v>
      </c>
      <c r="AP18" s="10">
        <f>IF('PV IN'!$F$4="PV Only",0,BattCalcs!AS18)</f>
        <v>0</v>
      </c>
      <c r="AQ18" s="10">
        <f>IF('PV IN'!$F$4="PV Only",0,BattCalcs!AT18)</f>
        <v>0</v>
      </c>
      <c r="AR18" s="10">
        <f>IF('PV IN'!$F$4="PV Only",0,BattCalcs!AU18)</f>
        <v>0</v>
      </c>
      <c r="AS18" s="144">
        <f>IF('PV IN'!$F$4="PV Only",PVCalcs!X18,IF('PV IN'!$F$4="Battery Only",BattCalcs!AW18,PVCalcs!X18+BattCalcs!AW18))</f>
        <v>0</v>
      </c>
      <c r="AT18" s="144">
        <f>IF('PV IN'!$F$4="Battery Only",0,-PVCalcs!AQ18*'PV IN'!$E$8)</f>
        <v>0</v>
      </c>
      <c r="AU18" s="144">
        <f>IF('PV IN'!$F$4="PV Only",0,-BattCalcs!CG18*'PV IN'!$E$8)</f>
        <v>0</v>
      </c>
      <c r="AV18" s="144">
        <f>IF('PV IN'!$F$4="PV Only",PVCalcs!Z18+PVCalcs!AA18,IF('PV IN'!$F$4="Battery Only",SUM(BattCalcs!BC18:BH18),PVCalcs!Z18+PVCalcs!AA18+SUM(BattCalcs!BC18:BH18)))</f>
        <v>0</v>
      </c>
      <c r="AW18" s="144">
        <f>IF('PV IN'!$F$4="PV Only",SUM(PVCalcs!AF18:AI18),IF('PV IN'!$F$4="Battery Only",SUM(BattCalcs!BL18:BY18),SUM(PVCalcs!AF18:AI18)+SUM(BattCalcs!BL18:BY18)))</f>
        <v>-1375</v>
      </c>
      <c r="AX18" s="144">
        <f>IF('PV IN'!$F$4="Battery Only",0,-PVLoan!F46)</f>
        <v>0</v>
      </c>
      <c r="AY18" s="144">
        <f>IF('PV IN'!$F$4="PV Only",0,-BattLoan!F46)</f>
        <v>0</v>
      </c>
      <c r="AZ18" s="144">
        <f>IF('PV IN'!$F$4="Battery Only",0,-PVLoan!H46)</f>
        <v>0</v>
      </c>
      <c r="BA18" s="144">
        <f>IF('PV IN'!$F$4="PV Only",0,-BattLoan!H46)</f>
        <v>0</v>
      </c>
    </row>
    <row r="19" spans="1:88" x14ac:dyDescent="0.25">
      <c r="A19">
        <f>IF(C19&lt;='PV IN'!$O$22*12,C19,"")</f>
        <v>15</v>
      </c>
      <c r="C19">
        <v>15</v>
      </c>
      <c r="D19" s="2">
        <f>BattCalcs!CK19+PVCalcs!AT19</f>
        <v>12515.468229036616</v>
      </c>
      <c r="E19" s="20">
        <f>PVCalcs!AV19</f>
        <v>-1188096.390490361</v>
      </c>
      <c r="F19" s="20">
        <f>PVCalcs!AW19</f>
        <v>11774.988136651287</v>
      </c>
      <c r="G19" s="20">
        <f>PVCalcs!AX19</f>
        <v>-1239212.950954519</v>
      </c>
      <c r="H19" s="20">
        <f>BattCalcs!CM19</f>
        <v>0</v>
      </c>
      <c r="I19" s="20">
        <f>BattCalcs!CN19</f>
        <v>0</v>
      </c>
      <c r="J19" s="20">
        <f>IF(C19&lt;='Batt IN'!H$43*12,BattCalcs!CO19,NA())</f>
        <v>0</v>
      </c>
      <c r="L19" s="20">
        <f t="shared" si="3"/>
        <v>11774.988136651287</v>
      </c>
      <c r="M19" s="20">
        <f>G19+BattCalcs!CO19</f>
        <v>-1239212.950954519</v>
      </c>
      <c r="O19" s="10">
        <f>PVLoan!G47</f>
        <v>0</v>
      </c>
      <c r="P19" s="10">
        <f>PVLoan!J47</f>
        <v>0</v>
      </c>
      <c r="Q19" s="2">
        <f>BattLoan!G47</f>
        <v>0</v>
      </c>
      <c r="R19" s="10">
        <f>BattLoan!J47</f>
        <v>0</v>
      </c>
      <c r="T19" s="33">
        <f>IF('PV IN'!$F$4="Battery Only",0,PVCalcs!G19)</f>
        <v>151082.81802715038</v>
      </c>
      <c r="U19" s="33">
        <f>IF('PV IN'!$F$4="Battery Only",0,PVCalcs!M19)</f>
        <v>151082.81802715038</v>
      </c>
      <c r="V19" s="33">
        <f>PVCalcs!L19</f>
        <v>30812.599166666667</v>
      </c>
      <c r="W19" s="158">
        <f>PVCalcs!F19</f>
        <v>7.5028226946311755E-2</v>
      </c>
      <c r="X19" s="144">
        <f>IF('PV IN'!$F$4="Battery Only",0,PVCalcs!Y19+PVCalcs!Z19)</f>
        <v>2266.2422704072555</v>
      </c>
      <c r="Y19" s="144">
        <f>IF('PV IN'!$F$4="PV Only",0,BattCalcs!AX19+BattCalcs!BC19)</f>
        <v>0</v>
      </c>
      <c r="Z19" s="144">
        <f>IF('PV IN'!$F$4="PV Only",0,BattCalcs!AY19+BattCalcs!BD19)</f>
        <v>0</v>
      </c>
      <c r="AA19" s="144">
        <f>IF('PV IN'!$F$4="PV Only",0,BattCalcs!AZ19+BattCalcs!BE19)</f>
        <v>0</v>
      </c>
      <c r="AB19" s="144">
        <f>IF('PV IN'!$F$4="PV Only",0,BattCalcs!BA19+BattCalcs!BF19)</f>
        <v>0</v>
      </c>
      <c r="AC19" s="144">
        <f>IF('PV IN'!$F$4="PV Only",0,BattCalcs!BB19+BattCalcs!BG19)</f>
        <v>0</v>
      </c>
      <c r="AD19" s="144">
        <f>IF('PV IN'!$F$4="PV Only",0,BattCalcs!BU19)</f>
        <v>0</v>
      </c>
      <c r="AE19" s="144">
        <f>IF('PV IN'!$F$4="PV Only",PVCalcs!W19+PVCalcs!AA19,IF('PV IN'!$F$4="Battery Only",BattCalcs!AV19+BattCalcs!BH19,PVCalcs!W19+PVCalcs!AA19+BattCalcs!AV19+BattCalcs!BH19))</f>
        <v>0</v>
      </c>
      <c r="AF19" s="10">
        <f>PVCalcs!AC19+BattCalcs!BJ19</f>
        <v>0</v>
      </c>
      <c r="AG19" s="144">
        <f>IF('PV IN'!$F$4="Battery Only",0,PVCalcs!AG19)</f>
        <v>-750</v>
      </c>
      <c r="AH19" s="144">
        <f>IF('PV IN'!$F$4="Battery Only",0,PVCalcs!AI19)</f>
        <v>0</v>
      </c>
      <c r="AI19" s="144">
        <f>IF('PV IN'!$F$4="PV Only",0,BattCalcs!BM19)</f>
        <v>0</v>
      </c>
      <c r="AJ19" s="144">
        <f>IF('PV IN'!$F$4="PV Only",0,SUM(BattCalcs!BO19:BT19))</f>
        <v>0</v>
      </c>
      <c r="AK19" s="144">
        <f>IF('PV IN'!$F$4="PV Only",PVCalcs!AH19,IF('PV IN'!$F$4="Battery Only",BattCalcs!BN19,PVCalcs!AH19+BattCalcs!BN19))</f>
        <v>-625</v>
      </c>
      <c r="AL19" s="144">
        <f>IF('PV IN'!$F$4="PV Only",0,BattCalcs!BV19)</f>
        <v>0</v>
      </c>
      <c r="AM19" s="144">
        <f>IF('PV IN'!$F$4="PV Only",0,SUM(BattCalcs!BW19:BX19))</f>
        <v>0</v>
      </c>
      <c r="AN19" s="144">
        <f>IF('PV IN'!$F$4="PV Only",0,BattCalcs!BY19)</f>
        <v>0</v>
      </c>
      <c r="AO19" s="144">
        <f>IF('PV IN'!$F$4="Battery Only",0,PVCalcs!U19)</f>
        <v>11335.47595862936</v>
      </c>
      <c r="AP19" s="10">
        <f>IF('PV IN'!$F$4="PV Only",0,BattCalcs!AS19)</f>
        <v>0</v>
      </c>
      <c r="AQ19" s="10">
        <f>IF('PV IN'!$F$4="PV Only",0,BattCalcs!AT19)</f>
        <v>0</v>
      </c>
      <c r="AR19" s="10">
        <f>IF('PV IN'!$F$4="PV Only",0,BattCalcs!AU19)</f>
        <v>0</v>
      </c>
      <c r="AS19" s="144">
        <f>IF('PV IN'!$F$4="PV Only",PVCalcs!X19,IF('PV IN'!$F$4="Battery Only",BattCalcs!AW19,PVCalcs!X19+BattCalcs!AW19))</f>
        <v>0</v>
      </c>
      <c r="AT19" s="144">
        <f>IF('PV IN'!$F$4="Battery Only",0,-PVCalcs!AQ19*'PV IN'!$E$8)</f>
        <v>0</v>
      </c>
      <c r="AU19" s="144">
        <f>IF('PV IN'!$F$4="PV Only",0,-BattCalcs!CG19*'PV IN'!$E$8)</f>
        <v>0</v>
      </c>
      <c r="AV19" s="144">
        <f>IF('PV IN'!$F$4="PV Only",PVCalcs!Z19+PVCalcs!AA19,IF('PV IN'!$F$4="Battery Only",SUM(BattCalcs!BC19:BH19),PVCalcs!Z19+PVCalcs!AA19+SUM(BattCalcs!BC19:BH19)))</f>
        <v>0</v>
      </c>
      <c r="AW19" s="144">
        <f>IF('PV IN'!$F$4="PV Only",SUM(PVCalcs!AF19:AI19),IF('PV IN'!$F$4="Battery Only",SUM(BattCalcs!BL19:BY19),SUM(PVCalcs!AF19:AI19)+SUM(BattCalcs!BL19:BY19)))</f>
        <v>-1375</v>
      </c>
      <c r="AX19" s="144">
        <f>IF('PV IN'!$F$4="Battery Only",0,-PVLoan!F47)</f>
        <v>0</v>
      </c>
      <c r="AY19" s="144">
        <f>IF('PV IN'!$F$4="PV Only",0,-BattLoan!F47)</f>
        <v>0</v>
      </c>
      <c r="AZ19" s="144">
        <f>IF('PV IN'!$F$4="Battery Only",0,-PVLoan!H47)</f>
        <v>0</v>
      </c>
      <c r="BA19" s="144">
        <f>IF('PV IN'!$F$4="PV Only",0,-BattLoan!H47)</f>
        <v>0</v>
      </c>
    </row>
    <row r="20" spans="1:88" x14ac:dyDescent="0.25">
      <c r="A20">
        <f>IF(C20&lt;='PV IN'!$O$22*12,C20,"")</f>
        <v>16</v>
      </c>
      <c r="C20">
        <v>16</v>
      </c>
      <c r="D20" s="2">
        <f>BattCalcs!CK20+PVCalcs!AT20</f>
        <v>12506.400416883924</v>
      </c>
      <c r="E20" s="20">
        <f>PVCalcs!AV20</f>
        <v>-1175589.9900734772</v>
      </c>
      <c r="F20" s="20">
        <f>PVCalcs!AW20</f>
        <v>11718.713334643635</v>
      </c>
      <c r="G20" s="20">
        <f>PVCalcs!AX20</f>
        <v>-1227494.2376198752</v>
      </c>
      <c r="H20" s="20">
        <f>BattCalcs!CM20</f>
        <v>0</v>
      </c>
      <c r="I20" s="20">
        <f>BattCalcs!CN20</f>
        <v>0</v>
      </c>
      <c r="J20" s="20">
        <f>IF(C20&lt;='Batt IN'!H$43*12,BattCalcs!CO20,NA())</f>
        <v>0</v>
      </c>
      <c r="L20" s="20">
        <f t="shared" si="3"/>
        <v>11718.713334643635</v>
      </c>
      <c r="M20" s="20">
        <f>G20+BattCalcs!CO20</f>
        <v>-1227494.2376198752</v>
      </c>
      <c r="O20" s="10">
        <f>PVLoan!G48</f>
        <v>0</v>
      </c>
      <c r="P20" s="10">
        <f>PVLoan!J48</f>
        <v>0</v>
      </c>
      <c r="Q20" s="2">
        <f>BattLoan!G48</f>
        <v>0</v>
      </c>
      <c r="R20" s="10">
        <f>BattLoan!J48</f>
        <v>0</v>
      </c>
      <c r="T20" s="33">
        <f>IF('PV IN'!$F$4="Battery Only",0,PVCalcs!G20)</f>
        <v>150982.09614846561</v>
      </c>
      <c r="U20" s="33">
        <f>IF('PV IN'!$F$4="Battery Only",0,PVCalcs!M20)</f>
        <v>150982.09614846561</v>
      </c>
      <c r="V20" s="33">
        <f>PVCalcs!L20</f>
        <v>30812.599166666667</v>
      </c>
      <c r="W20" s="158">
        <f>PVCalcs!F20</f>
        <v>7.5028226946311755E-2</v>
      </c>
      <c r="X20" s="144">
        <f>IF('PV IN'!$F$4="Battery Only",0,PVCalcs!Y20+PVCalcs!Z20)</f>
        <v>2264.7314422269842</v>
      </c>
      <c r="Y20" s="144">
        <f>IF('PV IN'!$F$4="PV Only",0,BattCalcs!AX20+BattCalcs!BC20)</f>
        <v>0</v>
      </c>
      <c r="Z20" s="144">
        <f>IF('PV IN'!$F$4="PV Only",0,BattCalcs!AY20+BattCalcs!BD20)</f>
        <v>0</v>
      </c>
      <c r="AA20" s="144">
        <f>IF('PV IN'!$F$4="PV Only",0,BattCalcs!AZ20+BattCalcs!BE20)</f>
        <v>0</v>
      </c>
      <c r="AB20" s="144">
        <f>IF('PV IN'!$F$4="PV Only",0,BattCalcs!BA20+BattCalcs!BF20)</f>
        <v>0</v>
      </c>
      <c r="AC20" s="144">
        <f>IF('PV IN'!$F$4="PV Only",0,BattCalcs!BB20+BattCalcs!BG20)</f>
        <v>0</v>
      </c>
      <c r="AD20" s="144">
        <f>IF('PV IN'!$F$4="PV Only",0,BattCalcs!BU20)</f>
        <v>0</v>
      </c>
      <c r="AE20" s="144">
        <f>IF('PV IN'!$F$4="PV Only",PVCalcs!W20+PVCalcs!AA20,IF('PV IN'!$F$4="Battery Only",BattCalcs!AV20+BattCalcs!BH20,PVCalcs!W20+PVCalcs!AA20+BattCalcs!AV20+BattCalcs!BH20))</f>
        <v>0</v>
      </c>
      <c r="AF20" s="10">
        <f>PVCalcs!AC20+BattCalcs!BJ20</f>
        <v>0</v>
      </c>
      <c r="AG20" s="144">
        <f>IF('PV IN'!$F$4="Battery Only",0,PVCalcs!AG20)</f>
        <v>-750</v>
      </c>
      <c r="AH20" s="144">
        <f>IF('PV IN'!$F$4="Battery Only",0,PVCalcs!AI20)</f>
        <v>0</v>
      </c>
      <c r="AI20" s="144">
        <f>IF('PV IN'!$F$4="PV Only",0,BattCalcs!BM20)</f>
        <v>0</v>
      </c>
      <c r="AJ20" s="144">
        <f>IF('PV IN'!$F$4="PV Only",0,SUM(BattCalcs!BO20:BT20))</f>
        <v>0</v>
      </c>
      <c r="AK20" s="144">
        <f>IF('PV IN'!$F$4="PV Only",PVCalcs!AH20,IF('PV IN'!$F$4="Battery Only",BattCalcs!BN20,PVCalcs!AH20+BattCalcs!BN20))</f>
        <v>-625</v>
      </c>
      <c r="AL20" s="144">
        <f>IF('PV IN'!$F$4="PV Only",0,BattCalcs!BV20)</f>
        <v>0</v>
      </c>
      <c r="AM20" s="144">
        <f>IF('PV IN'!$F$4="PV Only",0,SUM(BattCalcs!BW20:BX20))</f>
        <v>0</v>
      </c>
      <c r="AN20" s="144">
        <f>IF('PV IN'!$F$4="PV Only",0,BattCalcs!BY20)</f>
        <v>0</v>
      </c>
      <c r="AO20" s="144">
        <f>IF('PV IN'!$F$4="Battery Only",0,PVCalcs!U20)</f>
        <v>11327.918974656939</v>
      </c>
      <c r="AP20" s="10">
        <f>IF('PV IN'!$F$4="PV Only",0,BattCalcs!AS20)</f>
        <v>0</v>
      </c>
      <c r="AQ20" s="10">
        <f>IF('PV IN'!$F$4="PV Only",0,BattCalcs!AT20)</f>
        <v>0</v>
      </c>
      <c r="AR20" s="10">
        <f>IF('PV IN'!$F$4="PV Only",0,BattCalcs!AU20)</f>
        <v>0</v>
      </c>
      <c r="AS20" s="144">
        <f>IF('PV IN'!$F$4="PV Only",PVCalcs!X20,IF('PV IN'!$F$4="Battery Only",BattCalcs!AW20,PVCalcs!X20+BattCalcs!AW20))</f>
        <v>0</v>
      </c>
      <c r="AT20" s="144">
        <f>IF('PV IN'!$F$4="Battery Only",0,-PVCalcs!AQ20*'PV IN'!$E$8)</f>
        <v>0</v>
      </c>
      <c r="AU20" s="144">
        <f>IF('PV IN'!$F$4="PV Only",0,-BattCalcs!CG20*'PV IN'!$E$8)</f>
        <v>0</v>
      </c>
      <c r="AV20" s="144">
        <f>IF('PV IN'!$F$4="PV Only",PVCalcs!Z20+PVCalcs!AA20,IF('PV IN'!$F$4="Battery Only",SUM(BattCalcs!BC20:BH20),PVCalcs!Z20+PVCalcs!AA20+SUM(BattCalcs!BC20:BH20)))</f>
        <v>0</v>
      </c>
      <c r="AW20" s="144">
        <f>IF('PV IN'!$F$4="PV Only",SUM(PVCalcs!AF20:AI20),IF('PV IN'!$F$4="Battery Only",SUM(BattCalcs!BL20:BY20),SUM(PVCalcs!AF20:AI20)+SUM(BattCalcs!BL20:BY20)))</f>
        <v>-1375</v>
      </c>
      <c r="AX20" s="144">
        <f>IF('PV IN'!$F$4="Battery Only",0,-PVLoan!F48)</f>
        <v>0</v>
      </c>
      <c r="AY20" s="144">
        <f>IF('PV IN'!$F$4="PV Only",0,-BattLoan!F48)</f>
        <v>0</v>
      </c>
      <c r="AZ20" s="144">
        <f>IF('PV IN'!$F$4="Battery Only",0,-PVLoan!H48)</f>
        <v>0</v>
      </c>
      <c r="BA20" s="144">
        <f>IF('PV IN'!$F$4="PV Only",0,-BattLoan!H48)</f>
        <v>0</v>
      </c>
    </row>
    <row r="21" spans="1:88" x14ac:dyDescent="0.25">
      <c r="A21">
        <f>IF(C21&lt;='PV IN'!$O$22*12,C21,"")</f>
        <v>17</v>
      </c>
      <c r="C21">
        <v>17</v>
      </c>
      <c r="D21" s="2">
        <f>BattCalcs!CK21+PVCalcs!AT21</f>
        <v>12497.338649939335</v>
      </c>
      <c r="E21" s="20">
        <f>PVCalcs!AV21</f>
        <v>-1163092.6514235379</v>
      </c>
      <c r="F21" s="20">
        <f>PVCalcs!AW21</f>
        <v>11662.706990473396</v>
      </c>
      <c r="G21" s="20">
        <f>PVCalcs!AX21</f>
        <v>-1215831.5306294018</v>
      </c>
      <c r="H21" s="20">
        <f>BattCalcs!CM21</f>
        <v>0</v>
      </c>
      <c r="I21" s="20">
        <f>BattCalcs!CN21</f>
        <v>0</v>
      </c>
      <c r="J21" s="20">
        <f>IF(C21&lt;='Batt IN'!H$43*12,BattCalcs!CO21,NA())</f>
        <v>0</v>
      </c>
      <c r="L21" s="20">
        <f t="shared" si="3"/>
        <v>11662.706990473396</v>
      </c>
      <c r="M21" s="20">
        <f>G21+BattCalcs!CO21</f>
        <v>-1215831.5306294018</v>
      </c>
      <c r="O21" s="10">
        <f>PVLoan!G49</f>
        <v>0</v>
      </c>
      <c r="P21" s="10">
        <f>PVLoan!J49</f>
        <v>0</v>
      </c>
      <c r="Q21" s="2">
        <f>BattLoan!G49</f>
        <v>0</v>
      </c>
      <c r="R21" s="10">
        <f>BattLoan!J49</f>
        <v>0</v>
      </c>
      <c r="T21" s="33">
        <f>IF('PV IN'!$F$4="Battery Only",0,PVCalcs!G21)</f>
        <v>150881.44141769997</v>
      </c>
      <c r="U21" s="33">
        <f>IF('PV IN'!$F$4="Battery Only",0,PVCalcs!M21)</f>
        <v>150881.44141769997</v>
      </c>
      <c r="V21" s="33">
        <f>PVCalcs!L21</f>
        <v>30812.599166666667</v>
      </c>
      <c r="W21" s="158">
        <f>PVCalcs!F21</f>
        <v>7.5028226946311755E-2</v>
      </c>
      <c r="X21" s="144">
        <f>IF('PV IN'!$F$4="Battery Only",0,PVCalcs!Y21+PVCalcs!Z21)</f>
        <v>2263.2216212654994</v>
      </c>
      <c r="Y21" s="144">
        <f>IF('PV IN'!$F$4="PV Only",0,BattCalcs!AX21+BattCalcs!BC21)</f>
        <v>0</v>
      </c>
      <c r="Z21" s="144">
        <f>IF('PV IN'!$F$4="PV Only",0,BattCalcs!AY21+BattCalcs!BD21)</f>
        <v>0</v>
      </c>
      <c r="AA21" s="144">
        <f>IF('PV IN'!$F$4="PV Only",0,BattCalcs!AZ21+BattCalcs!BE21)</f>
        <v>0</v>
      </c>
      <c r="AB21" s="144">
        <f>IF('PV IN'!$F$4="PV Only",0,BattCalcs!BA21+BattCalcs!BF21)</f>
        <v>0</v>
      </c>
      <c r="AC21" s="144">
        <f>IF('PV IN'!$F$4="PV Only",0,BattCalcs!BB21+BattCalcs!BG21)</f>
        <v>0</v>
      </c>
      <c r="AD21" s="144">
        <f>IF('PV IN'!$F$4="PV Only",0,BattCalcs!BU21)</f>
        <v>0</v>
      </c>
      <c r="AE21" s="144">
        <f>IF('PV IN'!$F$4="PV Only",PVCalcs!W21+PVCalcs!AA21,IF('PV IN'!$F$4="Battery Only",BattCalcs!AV21+BattCalcs!BH21,PVCalcs!W21+PVCalcs!AA21+BattCalcs!AV21+BattCalcs!BH21))</f>
        <v>0</v>
      </c>
      <c r="AF21" s="10">
        <f>PVCalcs!AC21+BattCalcs!BJ21</f>
        <v>0</v>
      </c>
      <c r="AG21" s="144">
        <f>IF('PV IN'!$F$4="Battery Only",0,PVCalcs!AG21)</f>
        <v>-750</v>
      </c>
      <c r="AH21" s="144">
        <f>IF('PV IN'!$F$4="Battery Only",0,PVCalcs!AI21)</f>
        <v>0</v>
      </c>
      <c r="AI21" s="144">
        <f>IF('PV IN'!$F$4="PV Only",0,BattCalcs!BM21)</f>
        <v>0</v>
      </c>
      <c r="AJ21" s="144">
        <f>IF('PV IN'!$F$4="PV Only",0,SUM(BattCalcs!BO21:BT21))</f>
        <v>0</v>
      </c>
      <c r="AK21" s="144">
        <f>IF('PV IN'!$F$4="PV Only",PVCalcs!AH21,IF('PV IN'!$F$4="Battery Only",BattCalcs!BN21,PVCalcs!AH21+BattCalcs!BN21))</f>
        <v>-625</v>
      </c>
      <c r="AL21" s="144">
        <f>IF('PV IN'!$F$4="PV Only",0,BattCalcs!BV21)</f>
        <v>0</v>
      </c>
      <c r="AM21" s="144">
        <f>IF('PV IN'!$F$4="PV Only",0,SUM(BattCalcs!BW21:BX21))</f>
        <v>0</v>
      </c>
      <c r="AN21" s="144">
        <f>IF('PV IN'!$F$4="PV Only",0,BattCalcs!BY21)</f>
        <v>0</v>
      </c>
      <c r="AO21" s="144">
        <f>IF('PV IN'!$F$4="Battery Only",0,PVCalcs!U21)</f>
        <v>11320.367028673836</v>
      </c>
      <c r="AP21" s="10">
        <f>IF('PV IN'!$F$4="PV Only",0,BattCalcs!AS21)</f>
        <v>0</v>
      </c>
      <c r="AQ21" s="10">
        <f>IF('PV IN'!$F$4="PV Only",0,BattCalcs!AT21)</f>
        <v>0</v>
      </c>
      <c r="AR21" s="10">
        <f>IF('PV IN'!$F$4="PV Only",0,BattCalcs!AU21)</f>
        <v>0</v>
      </c>
      <c r="AS21" s="144">
        <f>IF('PV IN'!$F$4="PV Only",PVCalcs!X21,IF('PV IN'!$F$4="Battery Only",BattCalcs!AW21,PVCalcs!X21+BattCalcs!AW21))</f>
        <v>0</v>
      </c>
      <c r="AT21" s="144">
        <f>IF('PV IN'!$F$4="Battery Only",0,-PVCalcs!AQ21*'PV IN'!$E$8)</f>
        <v>0</v>
      </c>
      <c r="AU21" s="144">
        <f>IF('PV IN'!$F$4="PV Only",0,-BattCalcs!CG21*'PV IN'!$E$8)</f>
        <v>0</v>
      </c>
      <c r="AV21" s="144">
        <f>IF('PV IN'!$F$4="PV Only",PVCalcs!Z21+PVCalcs!AA21,IF('PV IN'!$F$4="Battery Only",SUM(BattCalcs!BC21:BH21),PVCalcs!Z21+PVCalcs!AA21+SUM(BattCalcs!BC21:BH21)))</f>
        <v>0</v>
      </c>
      <c r="AW21" s="144">
        <f>IF('PV IN'!$F$4="PV Only",SUM(PVCalcs!AF21:AI21),IF('PV IN'!$F$4="Battery Only",SUM(BattCalcs!BL21:BY21),SUM(PVCalcs!AF21:AI21)+SUM(BattCalcs!BL21:BY21)))</f>
        <v>-1375</v>
      </c>
      <c r="AX21" s="144">
        <f>IF('PV IN'!$F$4="Battery Only",0,-PVLoan!F49)</f>
        <v>0</v>
      </c>
      <c r="AY21" s="144">
        <f>IF('PV IN'!$F$4="PV Only",0,-BattLoan!F49)</f>
        <v>0</v>
      </c>
      <c r="AZ21" s="144">
        <f>IF('PV IN'!$F$4="Battery Only",0,-PVLoan!H49)</f>
        <v>0</v>
      </c>
      <c r="BA21" s="144">
        <f>IF('PV IN'!$F$4="PV Only",0,-BattLoan!H49)</f>
        <v>0</v>
      </c>
    </row>
    <row r="22" spans="1:88" x14ac:dyDescent="0.25">
      <c r="A22">
        <f>IF(C22&lt;='PV IN'!$O$22*12,C22,"")</f>
        <v>18</v>
      </c>
      <c r="C22">
        <v>18</v>
      </c>
      <c r="D22" s="2">
        <f>BattCalcs!CK22+PVCalcs!AT22</f>
        <v>12488.282924172707</v>
      </c>
      <c r="E22" s="20">
        <f>PVCalcs!AV22</f>
        <v>-1150604.3684993652</v>
      </c>
      <c r="F22" s="20">
        <f>PVCalcs!AW22</f>
        <v>11606.96782543052</v>
      </c>
      <c r="G22" s="20">
        <f>PVCalcs!AX22</f>
        <v>-1204224.5628039713</v>
      </c>
      <c r="H22" s="20">
        <f>BattCalcs!CM22</f>
        <v>0</v>
      </c>
      <c r="I22" s="20">
        <f>BattCalcs!CN22</f>
        <v>0</v>
      </c>
      <c r="J22" s="20">
        <f>IF(C22&lt;='Batt IN'!H$43*12,BattCalcs!CO22,NA())</f>
        <v>0</v>
      </c>
      <c r="L22" s="20">
        <f t="shared" si="3"/>
        <v>11606.96782543052</v>
      </c>
      <c r="M22" s="20">
        <f>G22+BattCalcs!CO22</f>
        <v>-1204224.5628039713</v>
      </c>
      <c r="O22" s="10">
        <f>PVLoan!G50</f>
        <v>0</v>
      </c>
      <c r="P22" s="10">
        <f>PVLoan!J50</f>
        <v>0</v>
      </c>
      <c r="Q22" s="2">
        <f>BattLoan!G50</f>
        <v>0</v>
      </c>
      <c r="R22" s="10">
        <f>BattLoan!J50</f>
        <v>0</v>
      </c>
      <c r="T22" s="33">
        <f>IF('PV IN'!$F$4="Battery Only",0,PVCalcs!G22)</f>
        <v>150780.85379008815</v>
      </c>
      <c r="U22" s="33">
        <f>IF('PV IN'!$F$4="Battery Only",0,PVCalcs!M22)</f>
        <v>150780.85379008815</v>
      </c>
      <c r="V22" s="33">
        <f>PVCalcs!L22</f>
        <v>30812.599166666667</v>
      </c>
      <c r="W22" s="158">
        <f>PVCalcs!F22</f>
        <v>7.5028226946311755E-2</v>
      </c>
      <c r="X22" s="144">
        <f>IF('PV IN'!$F$4="Battery Only",0,PVCalcs!Y22+PVCalcs!Z22)</f>
        <v>2261.7128068513225</v>
      </c>
      <c r="Y22" s="144">
        <f>IF('PV IN'!$F$4="PV Only",0,BattCalcs!AX22+BattCalcs!BC22)</f>
        <v>0</v>
      </c>
      <c r="Z22" s="144">
        <f>IF('PV IN'!$F$4="PV Only",0,BattCalcs!AY22+BattCalcs!BD22)</f>
        <v>0</v>
      </c>
      <c r="AA22" s="144">
        <f>IF('PV IN'!$F$4="PV Only",0,BattCalcs!AZ22+BattCalcs!BE22)</f>
        <v>0</v>
      </c>
      <c r="AB22" s="144">
        <f>IF('PV IN'!$F$4="PV Only",0,BattCalcs!BA22+BattCalcs!BF22)</f>
        <v>0</v>
      </c>
      <c r="AC22" s="144">
        <f>IF('PV IN'!$F$4="PV Only",0,BattCalcs!BB22+BattCalcs!BG22)</f>
        <v>0</v>
      </c>
      <c r="AD22" s="144">
        <f>IF('PV IN'!$F$4="PV Only",0,BattCalcs!BU22)</f>
        <v>0</v>
      </c>
      <c r="AE22" s="144">
        <f>IF('PV IN'!$F$4="PV Only",PVCalcs!W22+PVCalcs!AA22,IF('PV IN'!$F$4="Battery Only",BattCalcs!AV22+BattCalcs!BH22,PVCalcs!W22+PVCalcs!AA22+BattCalcs!AV22+BattCalcs!BH22))</f>
        <v>0</v>
      </c>
      <c r="AF22" s="10">
        <f>PVCalcs!AC22+BattCalcs!BJ22</f>
        <v>0</v>
      </c>
      <c r="AG22" s="144">
        <f>IF('PV IN'!$F$4="Battery Only",0,PVCalcs!AG22)</f>
        <v>-750</v>
      </c>
      <c r="AH22" s="144">
        <f>IF('PV IN'!$F$4="Battery Only",0,PVCalcs!AI22)</f>
        <v>0</v>
      </c>
      <c r="AI22" s="144">
        <f>IF('PV IN'!$F$4="PV Only",0,BattCalcs!BM22)</f>
        <v>0</v>
      </c>
      <c r="AJ22" s="144">
        <f>IF('PV IN'!$F$4="PV Only",0,SUM(BattCalcs!BO22:BT22))</f>
        <v>0</v>
      </c>
      <c r="AK22" s="144">
        <f>IF('PV IN'!$F$4="PV Only",PVCalcs!AH22,IF('PV IN'!$F$4="Battery Only",BattCalcs!BN22,PVCalcs!AH22+BattCalcs!BN22))</f>
        <v>-625</v>
      </c>
      <c r="AL22" s="144">
        <f>IF('PV IN'!$F$4="PV Only",0,BattCalcs!BV22)</f>
        <v>0</v>
      </c>
      <c r="AM22" s="144">
        <f>IF('PV IN'!$F$4="PV Only",0,SUM(BattCalcs!BW22:BX22))</f>
        <v>0</v>
      </c>
      <c r="AN22" s="144">
        <f>IF('PV IN'!$F$4="PV Only",0,BattCalcs!BY22)</f>
        <v>0</v>
      </c>
      <c r="AO22" s="144">
        <f>IF('PV IN'!$F$4="Battery Only",0,PVCalcs!U22)</f>
        <v>11312.820117321384</v>
      </c>
      <c r="AP22" s="10">
        <f>IF('PV IN'!$F$4="PV Only",0,BattCalcs!AS22)</f>
        <v>0</v>
      </c>
      <c r="AQ22" s="10">
        <f>IF('PV IN'!$F$4="PV Only",0,BattCalcs!AT22)</f>
        <v>0</v>
      </c>
      <c r="AR22" s="10">
        <f>IF('PV IN'!$F$4="PV Only",0,BattCalcs!AU22)</f>
        <v>0</v>
      </c>
      <c r="AS22" s="144">
        <f>IF('PV IN'!$F$4="PV Only",PVCalcs!X22,IF('PV IN'!$F$4="Battery Only",BattCalcs!AW22,PVCalcs!X22+BattCalcs!AW22))</f>
        <v>0</v>
      </c>
      <c r="AT22" s="144">
        <f>IF('PV IN'!$F$4="Battery Only",0,-PVCalcs!AQ22*'PV IN'!$E$8)</f>
        <v>0</v>
      </c>
      <c r="AU22" s="144">
        <f>IF('PV IN'!$F$4="PV Only",0,-BattCalcs!CG22*'PV IN'!$E$8)</f>
        <v>0</v>
      </c>
      <c r="AV22" s="144">
        <f>IF('PV IN'!$F$4="PV Only",PVCalcs!Z22+PVCalcs!AA22,IF('PV IN'!$F$4="Battery Only",SUM(BattCalcs!BC22:BH22),PVCalcs!Z22+PVCalcs!AA22+SUM(BattCalcs!BC22:BH22)))</f>
        <v>0</v>
      </c>
      <c r="AW22" s="144">
        <f>IF('PV IN'!$F$4="PV Only",SUM(PVCalcs!AF22:AI22),IF('PV IN'!$F$4="Battery Only",SUM(BattCalcs!BL22:BY22),SUM(PVCalcs!AF22:AI22)+SUM(BattCalcs!BL22:BY22)))</f>
        <v>-1375</v>
      </c>
      <c r="AX22" s="144">
        <f>IF('PV IN'!$F$4="Battery Only",0,-PVLoan!F50)</f>
        <v>0</v>
      </c>
      <c r="AY22" s="144">
        <f>IF('PV IN'!$F$4="PV Only",0,-BattLoan!F50)</f>
        <v>0</v>
      </c>
      <c r="AZ22" s="144">
        <f>IF('PV IN'!$F$4="Battery Only",0,-PVLoan!H50)</f>
        <v>0</v>
      </c>
      <c r="BA22" s="144">
        <f>IF('PV IN'!$F$4="PV Only",0,-BattLoan!H50)</f>
        <v>0</v>
      </c>
    </row>
    <row r="23" spans="1:88" x14ac:dyDescent="0.25">
      <c r="A23">
        <f>IF(C23&lt;='PV IN'!$O$22*12,C23,"")</f>
        <v>19</v>
      </c>
      <c r="C23">
        <v>19</v>
      </c>
      <c r="D23" s="2">
        <f>BattCalcs!CK23+PVCalcs!AT23</f>
        <v>12479.233235556594</v>
      </c>
      <c r="E23" s="20">
        <f>PVCalcs!AV23</f>
        <v>-1138125.1352638085</v>
      </c>
      <c r="F23" s="20">
        <f>PVCalcs!AW23</f>
        <v>11551.494566887804</v>
      </c>
      <c r="G23" s="20">
        <f>PVCalcs!AX23</f>
        <v>-1192673.0682370835</v>
      </c>
      <c r="H23" s="20">
        <f>BattCalcs!CM23</f>
        <v>0</v>
      </c>
      <c r="I23" s="20">
        <f>BattCalcs!CN23</f>
        <v>0</v>
      </c>
      <c r="J23" s="20">
        <f>IF(C23&lt;='Batt IN'!H$43*12,BattCalcs!CO23,NA())</f>
        <v>0</v>
      </c>
      <c r="L23" s="20">
        <f t="shared" si="3"/>
        <v>11551.494566887804</v>
      </c>
      <c r="M23" s="20">
        <f>G23+BattCalcs!CO23</f>
        <v>-1192673.0682370835</v>
      </c>
      <c r="O23" s="10">
        <f>PVLoan!G51</f>
        <v>0</v>
      </c>
      <c r="P23" s="10">
        <f>PVLoan!J51</f>
        <v>0</v>
      </c>
      <c r="Q23" s="2">
        <f>BattLoan!G51</f>
        <v>0</v>
      </c>
      <c r="R23" s="10">
        <f>BattLoan!J51</f>
        <v>0</v>
      </c>
      <c r="T23" s="33">
        <f>IF('PV IN'!$F$4="Battery Only",0,PVCalcs!G23)</f>
        <v>150680.33322089477</v>
      </c>
      <c r="U23" s="33">
        <f>IF('PV IN'!$F$4="Battery Only",0,PVCalcs!M23)</f>
        <v>150680.33322089477</v>
      </c>
      <c r="V23" s="33">
        <f>PVCalcs!L23</f>
        <v>30812.599166666667</v>
      </c>
      <c r="W23" s="158">
        <f>PVCalcs!F23</f>
        <v>7.5028226946311755E-2</v>
      </c>
      <c r="X23" s="144">
        <f>IF('PV IN'!$F$4="Battery Only",0,PVCalcs!Y23+PVCalcs!Z23)</f>
        <v>2260.2049983134216</v>
      </c>
      <c r="Y23" s="144">
        <f>IF('PV IN'!$F$4="PV Only",0,BattCalcs!AX23+BattCalcs!BC23)</f>
        <v>0</v>
      </c>
      <c r="Z23" s="144">
        <f>IF('PV IN'!$F$4="PV Only",0,BattCalcs!AY23+BattCalcs!BD23)</f>
        <v>0</v>
      </c>
      <c r="AA23" s="144">
        <f>IF('PV IN'!$F$4="PV Only",0,BattCalcs!AZ23+BattCalcs!BE23)</f>
        <v>0</v>
      </c>
      <c r="AB23" s="144">
        <f>IF('PV IN'!$F$4="PV Only",0,BattCalcs!BA23+BattCalcs!BF23)</f>
        <v>0</v>
      </c>
      <c r="AC23" s="144">
        <f>IF('PV IN'!$F$4="PV Only",0,BattCalcs!BB23+BattCalcs!BG23)</f>
        <v>0</v>
      </c>
      <c r="AD23" s="144">
        <f>IF('PV IN'!$F$4="PV Only",0,BattCalcs!BU23)</f>
        <v>0</v>
      </c>
      <c r="AE23" s="144">
        <f>IF('PV IN'!$F$4="PV Only",PVCalcs!W23+PVCalcs!AA23,IF('PV IN'!$F$4="Battery Only",BattCalcs!AV23+BattCalcs!BH23,PVCalcs!W23+PVCalcs!AA23+BattCalcs!AV23+BattCalcs!BH23))</f>
        <v>0</v>
      </c>
      <c r="AF23" s="10">
        <f>PVCalcs!AC23+BattCalcs!BJ23</f>
        <v>0</v>
      </c>
      <c r="AG23" s="144">
        <f>IF('PV IN'!$F$4="Battery Only",0,PVCalcs!AG23)</f>
        <v>-750</v>
      </c>
      <c r="AH23" s="144">
        <f>IF('PV IN'!$F$4="Battery Only",0,PVCalcs!AI23)</f>
        <v>0</v>
      </c>
      <c r="AI23" s="144">
        <f>IF('PV IN'!$F$4="PV Only",0,BattCalcs!BM23)</f>
        <v>0</v>
      </c>
      <c r="AJ23" s="144">
        <f>IF('PV IN'!$F$4="PV Only",0,SUM(BattCalcs!BO23:BT23))</f>
        <v>0</v>
      </c>
      <c r="AK23" s="144">
        <f>IF('PV IN'!$F$4="PV Only",PVCalcs!AH23,IF('PV IN'!$F$4="Battery Only",BattCalcs!BN23,PVCalcs!AH23+BattCalcs!BN23))</f>
        <v>-625</v>
      </c>
      <c r="AL23" s="144">
        <f>IF('PV IN'!$F$4="PV Only",0,BattCalcs!BV23)</f>
        <v>0</v>
      </c>
      <c r="AM23" s="144">
        <f>IF('PV IN'!$F$4="PV Only",0,SUM(BattCalcs!BW23:BX23))</f>
        <v>0</v>
      </c>
      <c r="AN23" s="144">
        <f>IF('PV IN'!$F$4="PV Only",0,BattCalcs!BY23)</f>
        <v>0</v>
      </c>
      <c r="AO23" s="144">
        <f>IF('PV IN'!$F$4="Battery Only",0,PVCalcs!U23)</f>
        <v>11305.278237243172</v>
      </c>
      <c r="AP23" s="10">
        <f>IF('PV IN'!$F$4="PV Only",0,BattCalcs!AS23)</f>
        <v>0</v>
      </c>
      <c r="AQ23" s="10">
        <f>IF('PV IN'!$F$4="PV Only",0,BattCalcs!AT23)</f>
        <v>0</v>
      </c>
      <c r="AR23" s="10">
        <f>IF('PV IN'!$F$4="PV Only",0,BattCalcs!AU23)</f>
        <v>0</v>
      </c>
      <c r="AS23" s="144">
        <f>IF('PV IN'!$F$4="PV Only",PVCalcs!X23,IF('PV IN'!$F$4="Battery Only",BattCalcs!AW23,PVCalcs!X23+BattCalcs!AW23))</f>
        <v>0</v>
      </c>
      <c r="AT23" s="144">
        <f>IF('PV IN'!$F$4="Battery Only",0,-PVCalcs!AQ23*'PV IN'!$E$8)</f>
        <v>0</v>
      </c>
      <c r="AU23" s="144">
        <f>IF('PV IN'!$F$4="PV Only",0,-BattCalcs!CG23*'PV IN'!$E$8)</f>
        <v>0</v>
      </c>
      <c r="AV23" s="144">
        <f>IF('PV IN'!$F$4="PV Only",PVCalcs!Z23+PVCalcs!AA23,IF('PV IN'!$F$4="Battery Only",SUM(BattCalcs!BC23:BH23),PVCalcs!Z23+PVCalcs!AA23+SUM(BattCalcs!BC23:BH23)))</f>
        <v>0</v>
      </c>
      <c r="AW23" s="144">
        <f>IF('PV IN'!$F$4="PV Only",SUM(PVCalcs!AF23:AI23),IF('PV IN'!$F$4="Battery Only",SUM(BattCalcs!BL23:BY23),SUM(PVCalcs!AF23:AI23)+SUM(BattCalcs!BL23:BY23)))</f>
        <v>-1375</v>
      </c>
      <c r="AX23" s="144">
        <f>IF('PV IN'!$F$4="Battery Only",0,-PVLoan!F51)</f>
        <v>0</v>
      </c>
      <c r="AY23" s="144">
        <f>IF('PV IN'!$F$4="PV Only",0,-BattLoan!F51)</f>
        <v>0</v>
      </c>
      <c r="AZ23" s="144">
        <f>IF('PV IN'!$F$4="Battery Only",0,-PVLoan!H51)</f>
        <v>0</v>
      </c>
      <c r="BA23" s="144">
        <f>IF('PV IN'!$F$4="PV Only",0,-BattLoan!H51)</f>
        <v>0</v>
      </c>
    </row>
    <row r="24" spans="1:88" x14ac:dyDescent="0.25">
      <c r="A24">
        <f>IF(C24&lt;='PV IN'!$O$22*12,C24,"")</f>
        <v>20</v>
      </c>
      <c r="C24">
        <v>20</v>
      </c>
      <c r="D24" s="2">
        <f>BattCalcs!CK24+PVCalcs!AT24</f>
        <v>12470.189580066221</v>
      </c>
      <c r="E24" s="20">
        <f>PVCalcs!AV24</f>
        <v>-1125654.9456837424</v>
      </c>
      <c r="F24" s="20">
        <f>PVCalcs!AW24</f>
        <v>11496.285948271956</v>
      </c>
      <c r="G24" s="20">
        <f>PVCalcs!AX24</f>
        <v>-1181176.7822888116</v>
      </c>
      <c r="H24" s="20">
        <f>BattCalcs!CM24</f>
        <v>0</v>
      </c>
      <c r="I24" s="20">
        <f>BattCalcs!CN24</f>
        <v>0</v>
      </c>
      <c r="J24" s="20">
        <f>IF(C24&lt;='Batt IN'!H$43*12,BattCalcs!CO24,NA())</f>
        <v>0</v>
      </c>
      <c r="L24" s="20">
        <f t="shared" si="3"/>
        <v>11496.285948271956</v>
      </c>
      <c r="M24" s="20">
        <f>G24+BattCalcs!CO24</f>
        <v>-1181176.7822888116</v>
      </c>
      <c r="O24" s="10">
        <f>PVLoan!G52</f>
        <v>0</v>
      </c>
      <c r="P24" s="10">
        <f>PVLoan!J52</f>
        <v>0</v>
      </c>
      <c r="Q24" s="2">
        <f>BattLoan!G52</f>
        <v>0</v>
      </c>
      <c r="R24" s="10">
        <f>BattLoan!J52</f>
        <v>0</v>
      </c>
      <c r="T24" s="33">
        <f>IF('PV IN'!$F$4="Battery Only",0,PVCalcs!G24)</f>
        <v>150579.87966541416</v>
      </c>
      <c r="U24" s="33">
        <f>IF('PV IN'!$F$4="Battery Only",0,PVCalcs!M24)</f>
        <v>150579.87966541416</v>
      </c>
      <c r="V24" s="33">
        <f>PVCalcs!L24</f>
        <v>30812.599166666667</v>
      </c>
      <c r="W24" s="158">
        <f>PVCalcs!F24</f>
        <v>7.5028226946311755E-2</v>
      </c>
      <c r="X24" s="144">
        <f>IF('PV IN'!$F$4="Battery Only",0,PVCalcs!Y24+PVCalcs!Z24)</f>
        <v>2258.6981949812121</v>
      </c>
      <c r="Y24" s="144">
        <f>IF('PV IN'!$F$4="PV Only",0,BattCalcs!AX24+BattCalcs!BC24)</f>
        <v>0</v>
      </c>
      <c r="Z24" s="144">
        <f>IF('PV IN'!$F$4="PV Only",0,BattCalcs!AY24+BattCalcs!BD24)</f>
        <v>0</v>
      </c>
      <c r="AA24" s="144">
        <f>IF('PV IN'!$F$4="PV Only",0,BattCalcs!AZ24+BattCalcs!BE24)</f>
        <v>0</v>
      </c>
      <c r="AB24" s="144">
        <f>IF('PV IN'!$F$4="PV Only",0,BattCalcs!BA24+BattCalcs!BF24)</f>
        <v>0</v>
      </c>
      <c r="AC24" s="144">
        <f>IF('PV IN'!$F$4="PV Only",0,BattCalcs!BB24+BattCalcs!BG24)</f>
        <v>0</v>
      </c>
      <c r="AD24" s="144">
        <f>IF('PV IN'!$F$4="PV Only",0,BattCalcs!BU24)</f>
        <v>0</v>
      </c>
      <c r="AE24" s="144">
        <f>IF('PV IN'!$F$4="PV Only",PVCalcs!W24+PVCalcs!AA24,IF('PV IN'!$F$4="Battery Only",BattCalcs!AV24+BattCalcs!BH24,PVCalcs!W24+PVCalcs!AA24+BattCalcs!AV24+BattCalcs!BH24))</f>
        <v>0</v>
      </c>
      <c r="AF24" s="10">
        <f>PVCalcs!AC24+BattCalcs!BJ24</f>
        <v>0</v>
      </c>
      <c r="AG24" s="144">
        <f>IF('PV IN'!$F$4="Battery Only",0,PVCalcs!AG24)</f>
        <v>-750</v>
      </c>
      <c r="AH24" s="144">
        <f>IF('PV IN'!$F$4="Battery Only",0,PVCalcs!AI24)</f>
        <v>0</v>
      </c>
      <c r="AI24" s="144">
        <f>IF('PV IN'!$F$4="PV Only",0,BattCalcs!BM24)</f>
        <v>0</v>
      </c>
      <c r="AJ24" s="144">
        <f>IF('PV IN'!$F$4="PV Only",0,SUM(BattCalcs!BO24:BT24))</f>
        <v>0</v>
      </c>
      <c r="AK24" s="144">
        <f>IF('PV IN'!$F$4="PV Only",PVCalcs!AH24,IF('PV IN'!$F$4="Battery Only",BattCalcs!BN24,PVCalcs!AH24+BattCalcs!BN24))</f>
        <v>-625</v>
      </c>
      <c r="AL24" s="144">
        <f>IF('PV IN'!$F$4="PV Only",0,BattCalcs!BV24)</f>
        <v>0</v>
      </c>
      <c r="AM24" s="144">
        <f>IF('PV IN'!$F$4="PV Only",0,SUM(BattCalcs!BW24:BX24))</f>
        <v>0</v>
      </c>
      <c r="AN24" s="144">
        <f>IF('PV IN'!$F$4="PV Only",0,BattCalcs!BY24)</f>
        <v>0</v>
      </c>
      <c r="AO24" s="144">
        <f>IF('PV IN'!$F$4="Battery Only",0,PVCalcs!U24)</f>
        <v>11297.741385085008</v>
      </c>
      <c r="AP24" s="10">
        <f>IF('PV IN'!$F$4="PV Only",0,BattCalcs!AS24)</f>
        <v>0</v>
      </c>
      <c r="AQ24" s="10">
        <f>IF('PV IN'!$F$4="PV Only",0,BattCalcs!AT24)</f>
        <v>0</v>
      </c>
      <c r="AR24" s="10">
        <f>IF('PV IN'!$F$4="PV Only",0,BattCalcs!AU24)</f>
        <v>0</v>
      </c>
      <c r="AS24" s="144">
        <f>IF('PV IN'!$F$4="PV Only",PVCalcs!X24,IF('PV IN'!$F$4="Battery Only",BattCalcs!AW24,PVCalcs!X24+BattCalcs!AW24))</f>
        <v>0</v>
      </c>
      <c r="AT24" s="144">
        <f>IF('PV IN'!$F$4="Battery Only",0,-PVCalcs!AQ24*'PV IN'!$E$8)</f>
        <v>0</v>
      </c>
      <c r="AU24" s="144">
        <f>IF('PV IN'!$F$4="PV Only",0,-BattCalcs!CG24*'PV IN'!$E$8)</f>
        <v>0</v>
      </c>
      <c r="AV24" s="144">
        <f>IF('PV IN'!$F$4="PV Only",PVCalcs!Z24+PVCalcs!AA24,IF('PV IN'!$F$4="Battery Only",SUM(BattCalcs!BC24:BH24),PVCalcs!Z24+PVCalcs!AA24+SUM(BattCalcs!BC24:BH24)))</f>
        <v>0</v>
      </c>
      <c r="AW24" s="144">
        <f>IF('PV IN'!$F$4="PV Only",SUM(PVCalcs!AF24:AI24),IF('PV IN'!$F$4="Battery Only",SUM(BattCalcs!BL24:BY24),SUM(PVCalcs!AF24:AI24)+SUM(BattCalcs!BL24:BY24)))</f>
        <v>-1375</v>
      </c>
      <c r="AX24" s="144">
        <f>IF('PV IN'!$F$4="Battery Only",0,-PVLoan!F52)</f>
        <v>0</v>
      </c>
      <c r="AY24" s="144">
        <f>IF('PV IN'!$F$4="PV Only",0,-BattLoan!F52)</f>
        <v>0</v>
      </c>
      <c r="AZ24" s="144">
        <f>IF('PV IN'!$F$4="Battery Only",0,-PVLoan!H52)</f>
        <v>0</v>
      </c>
      <c r="BA24" s="144">
        <f>IF('PV IN'!$F$4="PV Only",0,-BattLoan!H52)</f>
        <v>0</v>
      </c>
    </row>
    <row r="25" spans="1:88" x14ac:dyDescent="0.25">
      <c r="A25">
        <f>IF(C25&lt;='PV IN'!$O$22*12,C25,"")</f>
        <v>21</v>
      </c>
      <c r="C25">
        <v>21</v>
      </c>
      <c r="D25" s="2">
        <f>BattCalcs!CK25+PVCalcs!AT25</f>
        <v>12461.151953679511</v>
      </c>
      <c r="E25" s="20">
        <f>PVCalcs!AV25</f>
        <v>-1113193.7937300629</v>
      </c>
      <c r="F25" s="20">
        <f>PVCalcs!AW25</f>
        <v>11441.340709034852</v>
      </c>
      <c r="G25" s="20">
        <f>PVCalcs!AX25</f>
        <v>-1169735.4415797768</v>
      </c>
      <c r="H25" s="20">
        <f>BattCalcs!CM25</f>
        <v>0</v>
      </c>
      <c r="I25" s="20">
        <f>BattCalcs!CN25</f>
        <v>0</v>
      </c>
      <c r="J25" s="20">
        <f>IF(C25&lt;='Batt IN'!H$43*12,BattCalcs!CO25,NA())</f>
        <v>0</v>
      </c>
      <c r="L25" s="20">
        <f t="shared" si="3"/>
        <v>11441.340709034852</v>
      </c>
      <c r="M25" s="20">
        <f>G25+BattCalcs!CO25</f>
        <v>-1169735.4415797768</v>
      </c>
      <c r="O25" s="10">
        <f>PVLoan!G53</f>
        <v>0</v>
      </c>
      <c r="P25" s="10">
        <f>PVLoan!J53</f>
        <v>0</v>
      </c>
      <c r="Q25" s="2">
        <f>BattLoan!G53</f>
        <v>0</v>
      </c>
      <c r="R25" s="10">
        <f>BattLoan!J53</f>
        <v>0</v>
      </c>
      <c r="T25" s="33">
        <f>IF('PV IN'!$F$4="Battery Only",0,PVCalcs!G25)</f>
        <v>150479.49307897055</v>
      </c>
      <c r="U25" s="33">
        <f>IF('PV IN'!$F$4="Battery Only",0,PVCalcs!M25)</f>
        <v>150479.49307897055</v>
      </c>
      <c r="V25" s="33">
        <f>PVCalcs!L25</f>
        <v>30812.599166666667</v>
      </c>
      <c r="W25" s="158">
        <f>PVCalcs!F25</f>
        <v>7.5028226946311755E-2</v>
      </c>
      <c r="X25" s="144">
        <f>IF('PV IN'!$F$4="Battery Only",0,PVCalcs!Y25+PVCalcs!Z25)</f>
        <v>2257.1923961845587</v>
      </c>
      <c r="Y25" s="144">
        <f>IF('PV IN'!$F$4="PV Only",0,BattCalcs!AX25+BattCalcs!BC25)</f>
        <v>0</v>
      </c>
      <c r="Z25" s="144">
        <f>IF('PV IN'!$F$4="PV Only",0,BattCalcs!AY25+BattCalcs!BD25)</f>
        <v>0</v>
      </c>
      <c r="AA25" s="144">
        <f>IF('PV IN'!$F$4="PV Only",0,BattCalcs!AZ25+BattCalcs!BE25)</f>
        <v>0</v>
      </c>
      <c r="AB25" s="144">
        <f>IF('PV IN'!$F$4="PV Only",0,BattCalcs!BA25+BattCalcs!BF25)</f>
        <v>0</v>
      </c>
      <c r="AC25" s="144">
        <f>IF('PV IN'!$F$4="PV Only",0,BattCalcs!BB25+BattCalcs!BG25)</f>
        <v>0</v>
      </c>
      <c r="AD25" s="144">
        <f>IF('PV IN'!$F$4="PV Only",0,BattCalcs!BU25)</f>
        <v>0</v>
      </c>
      <c r="AE25" s="144">
        <f>IF('PV IN'!$F$4="PV Only",PVCalcs!W25+PVCalcs!AA25,IF('PV IN'!$F$4="Battery Only",BattCalcs!AV25+BattCalcs!BH25,PVCalcs!W25+PVCalcs!AA25+BattCalcs!AV25+BattCalcs!BH25))</f>
        <v>0</v>
      </c>
      <c r="AF25" s="10">
        <f>PVCalcs!AC25+BattCalcs!BJ25</f>
        <v>0</v>
      </c>
      <c r="AG25" s="144">
        <f>IF('PV IN'!$F$4="Battery Only",0,PVCalcs!AG25)</f>
        <v>-750</v>
      </c>
      <c r="AH25" s="144">
        <f>IF('PV IN'!$F$4="Battery Only",0,PVCalcs!AI25)</f>
        <v>0</v>
      </c>
      <c r="AI25" s="144">
        <f>IF('PV IN'!$F$4="PV Only",0,BattCalcs!BM25)</f>
        <v>0</v>
      </c>
      <c r="AJ25" s="144">
        <f>IF('PV IN'!$F$4="PV Only",0,SUM(BattCalcs!BO25:BT25))</f>
        <v>0</v>
      </c>
      <c r="AK25" s="144">
        <f>IF('PV IN'!$F$4="PV Only",PVCalcs!AH25,IF('PV IN'!$F$4="Battery Only",BattCalcs!BN25,PVCalcs!AH25+BattCalcs!BN25))</f>
        <v>-625</v>
      </c>
      <c r="AL25" s="144">
        <f>IF('PV IN'!$F$4="PV Only",0,BattCalcs!BV25)</f>
        <v>0</v>
      </c>
      <c r="AM25" s="144">
        <f>IF('PV IN'!$F$4="PV Only",0,SUM(BattCalcs!BW25:BX25))</f>
        <v>0</v>
      </c>
      <c r="AN25" s="144">
        <f>IF('PV IN'!$F$4="PV Only",0,BattCalcs!BY25)</f>
        <v>0</v>
      </c>
      <c r="AO25" s="144">
        <f>IF('PV IN'!$F$4="Battery Only",0,PVCalcs!U25)</f>
        <v>11290.209557494953</v>
      </c>
      <c r="AP25" s="10">
        <f>IF('PV IN'!$F$4="PV Only",0,BattCalcs!AS25)</f>
        <v>0</v>
      </c>
      <c r="AQ25" s="10">
        <f>IF('PV IN'!$F$4="PV Only",0,BattCalcs!AT25)</f>
        <v>0</v>
      </c>
      <c r="AR25" s="10">
        <f>IF('PV IN'!$F$4="PV Only",0,BattCalcs!AU25)</f>
        <v>0</v>
      </c>
      <c r="AS25" s="144">
        <f>IF('PV IN'!$F$4="PV Only",PVCalcs!X25,IF('PV IN'!$F$4="Battery Only",BattCalcs!AW25,PVCalcs!X25+BattCalcs!AW25))</f>
        <v>0</v>
      </c>
      <c r="AT25" s="144">
        <f>IF('PV IN'!$F$4="Battery Only",0,-PVCalcs!AQ25*'PV IN'!$E$8)</f>
        <v>0</v>
      </c>
      <c r="AU25" s="144">
        <f>IF('PV IN'!$F$4="PV Only",0,-BattCalcs!CG25*'PV IN'!$E$8)</f>
        <v>0</v>
      </c>
      <c r="AV25" s="144">
        <f>IF('PV IN'!$F$4="PV Only",PVCalcs!Z25+PVCalcs!AA25,IF('PV IN'!$F$4="Battery Only",SUM(BattCalcs!BC25:BH25),PVCalcs!Z25+PVCalcs!AA25+SUM(BattCalcs!BC25:BH25)))</f>
        <v>0</v>
      </c>
      <c r="AW25" s="144">
        <f>IF('PV IN'!$F$4="PV Only",SUM(PVCalcs!AF25:AI25),IF('PV IN'!$F$4="Battery Only",SUM(BattCalcs!BL25:BY25),SUM(PVCalcs!AF25:AI25)+SUM(BattCalcs!BL25:BY25)))</f>
        <v>-1375</v>
      </c>
      <c r="AX25" s="144">
        <f>IF('PV IN'!$F$4="Battery Only",0,-PVLoan!F53)</f>
        <v>0</v>
      </c>
      <c r="AY25" s="144">
        <f>IF('PV IN'!$F$4="PV Only",0,-BattLoan!F53)</f>
        <v>0</v>
      </c>
      <c r="AZ25" s="144">
        <f>IF('PV IN'!$F$4="Battery Only",0,-PVLoan!H53)</f>
        <v>0</v>
      </c>
      <c r="BA25" s="144">
        <f>IF('PV IN'!$F$4="PV Only",0,-BattLoan!H53)</f>
        <v>0</v>
      </c>
    </row>
    <row r="26" spans="1:88" x14ac:dyDescent="0.25">
      <c r="A26">
        <f>IF(C26&lt;='PV IN'!$O$22*12,C26,"")</f>
        <v>22</v>
      </c>
      <c r="C26">
        <v>22</v>
      </c>
      <c r="D26" s="2">
        <f>BattCalcs!CK26+PVCalcs!AT26</f>
        <v>12452.120352377055</v>
      </c>
      <c r="E26" s="20">
        <f>PVCalcs!AV26</f>
        <v>-1100741.6733776859</v>
      </c>
      <c r="F26" s="20">
        <f>PVCalcs!AW26</f>
        <v>11386.657594624883</v>
      </c>
      <c r="G26" s="20">
        <f>PVCalcs!AX26</f>
        <v>-1158348.7839851519</v>
      </c>
      <c r="H26" s="20">
        <f>BattCalcs!CM26</f>
        <v>0</v>
      </c>
      <c r="I26" s="20">
        <f>BattCalcs!CN26</f>
        <v>0</v>
      </c>
      <c r="J26" s="20">
        <f>IF(C26&lt;='Batt IN'!H$43*12,BattCalcs!CO26,NA())</f>
        <v>0</v>
      </c>
      <c r="L26" s="20">
        <f t="shared" si="3"/>
        <v>11386.657594624883</v>
      </c>
      <c r="M26" s="20">
        <f>G26+BattCalcs!CO26</f>
        <v>-1158348.7839851519</v>
      </c>
      <c r="O26" s="10">
        <f>PVLoan!G54</f>
        <v>0</v>
      </c>
      <c r="P26" s="10">
        <f>PVLoan!J54</f>
        <v>0</v>
      </c>
      <c r="Q26" s="2">
        <f>BattLoan!G54</f>
        <v>0</v>
      </c>
      <c r="R26" s="10">
        <f>BattLoan!J54</f>
        <v>0</v>
      </c>
      <c r="T26" s="33">
        <f>IF('PV IN'!$F$4="Battery Only",0,PVCalcs!G26)</f>
        <v>150379.17341691788</v>
      </c>
      <c r="U26" s="33">
        <f>IF('PV IN'!$F$4="Battery Only",0,PVCalcs!M26)</f>
        <v>150379.17341691788</v>
      </c>
      <c r="V26" s="33">
        <f>PVCalcs!L26</f>
        <v>30812.599166666667</v>
      </c>
      <c r="W26" s="158">
        <f>PVCalcs!F26</f>
        <v>7.5028226946311755E-2</v>
      </c>
      <c r="X26" s="144">
        <f>IF('PV IN'!$F$4="Battery Only",0,PVCalcs!Y26+PVCalcs!Z26)</f>
        <v>2255.6876012537682</v>
      </c>
      <c r="Y26" s="144">
        <f>IF('PV IN'!$F$4="PV Only",0,BattCalcs!AX26+BattCalcs!BC26)</f>
        <v>0</v>
      </c>
      <c r="Z26" s="144">
        <f>IF('PV IN'!$F$4="PV Only",0,BattCalcs!AY26+BattCalcs!BD26)</f>
        <v>0</v>
      </c>
      <c r="AA26" s="144">
        <f>IF('PV IN'!$F$4="PV Only",0,BattCalcs!AZ26+BattCalcs!BE26)</f>
        <v>0</v>
      </c>
      <c r="AB26" s="144">
        <f>IF('PV IN'!$F$4="PV Only",0,BattCalcs!BA26+BattCalcs!BF26)</f>
        <v>0</v>
      </c>
      <c r="AC26" s="144">
        <f>IF('PV IN'!$F$4="PV Only",0,BattCalcs!BB26+BattCalcs!BG26)</f>
        <v>0</v>
      </c>
      <c r="AD26" s="144">
        <f>IF('PV IN'!$F$4="PV Only",0,BattCalcs!BU26)</f>
        <v>0</v>
      </c>
      <c r="AE26" s="144">
        <f>IF('PV IN'!$F$4="PV Only",PVCalcs!W26+PVCalcs!AA26,IF('PV IN'!$F$4="Battery Only",BattCalcs!AV26+BattCalcs!BH26,PVCalcs!W26+PVCalcs!AA26+BattCalcs!AV26+BattCalcs!BH26))</f>
        <v>0</v>
      </c>
      <c r="AF26" s="10">
        <f>PVCalcs!AC26+BattCalcs!BJ26</f>
        <v>0</v>
      </c>
      <c r="AG26" s="144">
        <f>IF('PV IN'!$F$4="Battery Only",0,PVCalcs!AG26)</f>
        <v>-750</v>
      </c>
      <c r="AH26" s="144">
        <f>IF('PV IN'!$F$4="Battery Only",0,PVCalcs!AI26)</f>
        <v>0</v>
      </c>
      <c r="AI26" s="144">
        <f>IF('PV IN'!$F$4="PV Only",0,BattCalcs!BM26)</f>
        <v>0</v>
      </c>
      <c r="AJ26" s="144">
        <f>IF('PV IN'!$F$4="PV Only",0,SUM(BattCalcs!BO26:BT26))</f>
        <v>0</v>
      </c>
      <c r="AK26" s="144">
        <f>IF('PV IN'!$F$4="PV Only",PVCalcs!AH26,IF('PV IN'!$F$4="Battery Only",BattCalcs!BN26,PVCalcs!AH26+BattCalcs!BN26))</f>
        <v>-625</v>
      </c>
      <c r="AL26" s="144">
        <f>IF('PV IN'!$F$4="PV Only",0,BattCalcs!BV26)</f>
        <v>0</v>
      </c>
      <c r="AM26" s="144">
        <f>IF('PV IN'!$F$4="PV Only",0,SUM(BattCalcs!BW26:BX26))</f>
        <v>0</v>
      </c>
      <c r="AN26" s="144">
        <f>IF('PV IN'!$F$4="PV Only",0,BattCalcs!BY26)</f>
        <v>0</v>
      </c>
      <c r="AO26" s="144">
        <f>IF('PV IN'!$F$4="Battery Only",0,PVCalcs!U26)</f>
        <v>11282.682751123286</v>
      </c>
      <c r="AP26" s="10">
        <f>IF('PV IN'!$F$4="PV Only",0,BattCalcs!AS26)</f>
        <v>0</v>
      </c>
      <c r="AQ26" s="10">
        <f>IF('PV IN'!$F$4="PV Only",0,BattCalcs!AT26)</f>
        <v>0</v>
      </c>
      <c r="AR26" s="10">
        <f>IF('PV IN'!$F$4="PV Only",0,BattCalcs!AU26)</f>
        <v>0</v>
      </c>
      <c r="AS26" s="144">
        <f>IF('PV IN'!$F$4="PV Only",PVCalcs!X26,IF('PV IN'!$F$4="Battery Only",BattCalcs!AW26,PVCalcs!X26+BattCalcs!AW26))</f>
        <v>0</v>
      </c>
      <c r="AT26" s="144">
        <f>IF('PV IN'!$F$4="Battery Only",0,-PVCalcs!AQ26*'PV IN'!$E$8)</f>
        <v>0</v>
      </c>
      <c r="AU26" s="144">
        <f>IF('PV IN'!$F$4="PV Only",0,-BattCalcs!CG26*'PV IN'!$E$8)</f>
        <v>0</v>
      </c>
      <c r="AV26" s="144">
        <f>IF('PV IN'!$F$4="PV Only",PVCalcs!Z26+PVCalcs!AA26,IF('PV IN'!$F$4="Battery Only",SUM(BattCalcs!BC26:BH26),PVCalcs!Z26+PVCalcs!AA26+SUM(BattCalcs!BC26:BH26)))</f>
        <v>0</v>
      </c>
      <c r="AW26" s="144">
        <f>IF('PV IN'!$F$4="PV Only",SUM(PVCalcs!AF26:AI26),IF('PV IN'!$F$4="Battery Only",SUM(BattCalcs!BL26:BY26),SUM(PVCalcs!AF26:AI26)+SUM(BattCalcs!BL26:BY26)))</f>
        <v>-1375</v>
      </c>
      <c r="AX26" s="144">
        <f>IF('PV IN'!$F$4="Battery Only",0,-PVLoan!F54)</f>
        <v>0</v>
      </c>
      <c r="AY26" s="144">
        <f>IF('PV IN'!$F$4="PV Only",0,-BattLoan!F54)</f>
        <v>0</v>
      </c>
      <c r="AZ26" s="144">
        <f>IF('PV IN'!$F$4="Battery Only",0,-PVLoan!H54)</f>
        <v>0</v>
      </c>
      <c r="BA26" s="144">
        <f>IF('PV IN'!$F$4="PV Only",0,-BattLoan!H54)</f>
        <v>0</v>
      </c>
    </row>
    <row r="27" spans="1:88" x14ac:dyDescent="0.25">
      <c r="A27">
        <f>IF(C27&lt;='PV IN'!$O$22*12,C27,"")</f>
        <v>23</v>
      </c>
      <c r="C27">
        <v>23</v>
      </c>
      <c r="D27" s="2">
        <f>BattCalcs!CK27+PVCalcs!AT27</f>
        <v>12443.094772142136</v>
      </c>
      <c r="E27" s="20">
        <f>PVCalcs!AV27</f>
        <v>-1088298.5786055438</v>
      </c>
      <c r="F27" s="20">
        <f>PVCalcs!AW27</f>
        <v>11332.23535645849</v>
      </c>
      <c r="G27" s="20">
        <f>PVCalcs!AX27</f>
        <v>-1147016.5486286934</v>
      </c>
      <c r="H27" s="20">
        <f>BattCalcs!CM27</f>
        <v>0</v>
      </c>
      <c r="I27" s="20">
        <f>BattCalcs!CN27</f>
        <v>0</v>
      </c>
      <c r="J27" s="20">
        <f>IF(C27&lt;='Batt IN'!H$43*12,BattCalcs!CO27,NA())</f>
        <v>0</v>
      </c>
      <c r="L27" s="20">
        <f t="shared" si="3"/>
        <v>11332.23535645849</v>
      </c>
      <c r="M27" s="20">
        <f>G27+BattCalcs!CO27</f>
        <v>-1147016.5486286934</v>
      </c>
      <c r="O27" s="10">
        <f>PVLoan!G55</f>
        <v>0</v>
      </c>
      <c r="P27" s="10">
        <f>PVLoan!J55</f>
        <v>0</v>
      </c>
      <c r="Q27" s="2">
        <f>BattLoan!G55</f>
        <v>0</v>
      </c>
      <c r="R27" s="10">
        <f>BattLoan!J55</f>
        <v>0</v>
      </c>
      <c r="T27" s="33">
        <f>IF('PV IN'!$F$4="Battery Only",0,PVCalcs!G27)</f>
        <v>150278.92063463994</v>
      </c>
      <c r="U27" s="33">
        <f>IF('PV IN'!$F$4="Battery Only",0,PVCalcs!M27)</f>
        <v>150278.92063463994</v>
      </c>
      <c r="V27" s="33">
        <f>PVCalcs!L27</f>
        <v>30812.599166666667</v>
      </c>
      <c r="W27" s="158">
        <f>PVCalcs!F27</f>
        <v>7.5028226946311755E-2</v>
      </c>
      <c r="X27" s="144">
        <f>IF('PV IN'!$F$4="Battery Only",0,PVCalcs!Y27+PVCalcs!Z27)</f>
        <v>2254.183809519599</v>
      </c>
      <c r="Y27" s="144">
        <f>IF('PV IN'!$F$4="PV Only",0,BattCalcs!AX27+BattCalcs!BC27)</f>
        <v>0</v>
      </c>
      <c r="Z27" s="144">
        <f>IF('PV IN'!$F$4="PV Only",0,BattCalcs!AY27+BattCalcs!BD27)</f>
        <v>0</v>
      </c>
      <c r="AA27" s="144">
        <f>IF('PV IN'!$F$4="PV Only",0,BattCalcs!AZ27+BattCalcs!BE27)</f>
        <v>0</v>
      </c>
      <c r="AB27" s="144">
        <f>IF('PV IN'!$F$4="PV Only",0,BattCalcs!BA27+BattCalcs!BF27)</f>
        <v>0</v>
      </c>
      <c r="AC27" s="144">
        <f>IF('PV IN'!$F$4="PV Only",0,BattCalcs!BB27+BattCalcs!BG27)</f>
        <v>0</v>
      </c>
      <c r="AD27" s="144">
        <f>IF('PV IN'!$F$4="PV Only",0,BattCalcs!BU27)</f>
        <v>0</v>
      </c>
      <c r="AE27" s="144">
        <f>IF('PV IN'!$F$4="PV Only",PVCalcs!W27+PVCalcs!AA27,IF('PV IN'!$F$4="Battery Only",BattCalcs!AV27+BattCalcs!BH27,PVCalcs!W27+PVCalcs!AA27+BattCalcs!AV27+BattCalcs!BH27))</f>
        <v>0</v>
      </c>
      <c r="AF27" s="10">
        <f>PVCalcs!AC27+BattCalcs!BJ27</f>
        <v>0</v>
      </c>
      <c r="AG27" s="144">
        <f>IF('PV IN'!$F$4="Battery Only",0,PVCalcs!AG27)</f>
        <v>-750</v>
      </c>
      <c r="AH27" s="144">
        <f>IF('PV IN'!$F$4="Battery Only",0,PVCalcs!AI27)</f>
        <v>0</v>
      </c>
      <c r="AI27" s="144">
        <f>IF('PV IN'!$F$4="PV Only",0,BattCalcs!BM27)</f>
        <v>0</v>
      </c>
      <c r="AJ27" s="144">
        <f>IF('PV IN'!$F$4="PV Only",0,SUM(BattCalcs!BO27:BT27))</f>
        <v>0</v>
      </c>
      <c r="AK27" s="144">
        <f>IF('PV IN'!$F$4="PV Only",PVCalcs!AH27,IF('PV IN'!$F$4="Battery Only",BattCalcs!BN27,PVCalcs!AH27+BattCalcs!BN27))</f>
        <v>-625</v>
      </c>
      <c r="AL27" s="144">
        <f>IF('PV IN'!$F$4="PV Only",0,BattCalcs!BV27)</f>
        <v>0</v>
      </c>
      <c r="AM27" s="144">
        <f>IF('PV IN'!$F$4="PV Only",0,SUM(BattCalcs!BW27:BX27))</f>
        <v>0</v>
      </c>
      <c r="AN27" s="144">
        <f>IF('PV IN'!$F$4="PV Only",0,BattCalcs!BY27)</f>
        <v>0</v>
      </c>
      <c r="AO27" s="144">
        <f>IF('PV IN'!$F$4="Battery Only",0,PVCalcs!U27)</f>
        <v>11275.160962622538</v>
      </c>
      <c r="AP27" s="10">
        <f>IF('PV IN'!$F$4="PV Only",0,BattCalcs!AS27)</f>
        <v>0</v>
      </c>
      <c r="AQ27" s="10">
        <f>IF('PV IN'!$F$4="PV Only",0,BattCalcs!AT27)</f>
        <v>0</v>
      </c>
      <c r="AR27" s="10">
        <f>IF('PV IN'!$F$4="PV Only",0,BattCalcs!AU27)</f>
        <v>0</v>
      </c>
      <c r="AS27" s="144">
        <f>IF('PV IN'!$F$4="PV Only",PVCalcs!X27,IF('PV IN'!$F$4="Battery Only",BattCalcs!AW27,PVCalcs!X27+BattCalcs!AW27))</f>
        <v>0</v>
      </c>
      <c r="AT27" s="144">
        <f>IF('PV IN'!$F$4="Battery Only",0,-PVCalcs!AQ27*'PV IN'!$E$8)</f>
        <v>0</v>
      </c>
      <c r="AU27" s="144">
        <f>IF('PV IN'!$F$4="PV Only",0,-BattCalcs!CG27*'PV IN'!$E$8)</f>
        <v>0</v>
      </c>
      <c r="AV27" s="144">
        <f>IF('PV IN'!$F$4="PV Only",PVCalcs!Z27+PVCalcs!AA27,IF('PV IN'!$F$4="Battery Only",SUM(BattCalcs!BC27:BH27),PVCalcs!Z27+PVCalcs!AA27+SUM(BattCalcs!BC27:BH27)))</f>
        <v>0</v>
      </c>
      <c r="AW27" s="144">
        <f>IF('PV IN'!$F$4="PV Only",SUM(PVCalcs!AF27:AI27),IF('PV IN'!$F$4="Battery Only",SUM(BattCalcs!BL27:BY27),SUM(PVCalcs!AF27:AI27)+SUM(BattCalcs!BL27:BY27)))</f>
        <v>-1375</v>
      </c>
      <c r="AX27" s="144">
        <f>IF('PV IN'!$F$4="Battery Only",0,-PVLoan!F55)</f>
        <v>0</v>
      </c>
      <c r="AY27" s="144">
        <f>IF('PV IN'!$F$4="PV Only",0,-BattLoan!F55)</f>
        <v>0</v>
      </c>
      <c r="AZ27" s="144">
        <f>IF('PV IN'!$F$4="Battery Only",0,-PVLoan!H55)</f>
        <v>0</v>
      </c>
      <c r="BA27" s="144">
        <f>IF('PV IN'!$F$4="PV Only",0,-BattLoan!H55)</f>
        <v>0</v>
      </c>
    </row>
    <row r="28" spans="1:88" x14ac:dyDescent="0.25">
      <c r="A28">
        <f>IF(C28&lt;='PV IN'!$O$22*12,C28,"")</f>
        <v>24</v>
      </c>
      <c r="B28">
        <f>B16+1</f>
        <v>2027</v>
      </c>
      <c r="C28">
        <v>24</v>
      </c>
      <c r="D28" s="2">
        <f>BattCalcs!CK28+PVCalcs!AT28</f>
        <v>145238.07520896071</v>
      </c>
      <c r="E28" s="20">
        <f>PVCalcs!AV28</f>
        <v>-943060.50339658314</v>
      </c>
      <c r="F28" s="20">
        <f>PVCalcs!AW28</f>
        <v>131735.21560903438</v>
      </c>
      <c r="G28" s="20">
        <f>PVCalcs!AX28</f>
        <v>-1015281.333019659</v>
      </c>
      <c r="H28" s="20">
        <f>BattCalcs!CM28</f>
        <v>0</v>
      </c>
      <c r="I28" s="20">
        <f>BattCalcs!CN28</f>
        <v>0</v>
      </c>
      <c r="J28" s="20">
        <f>IF(C28&lt;='Batt IN'!H$43*12,BattCalcs!CO28,NA())</f>
        <v>0</v>
      </c>
      <c r="L28" s="20">
        <f t="shared" si="3"/>
        <v>131735.21560903438</v>
      </c>
      <c r="M28" s="20">
        <f>G28+BattCalcs!CO28</f>
        <v>-1015281.333019659</v>
      </c>
      <c r="O28" s="10">
        <f>PVLoan!G56</f>
        <v>0</v>
      </c>
      <c r="P28" s="10">
        <f>PVLoan!J56</f>
        <v>0</v>
      </c>
      <c r="Q28" s="2">
        <f>BattLoan!G56</f>
        <v>0</v>
      </c>
      <c r="R28" s="10">
        <f>BattLoan!J56</f>
        <v>0</v>
      </c>
      <c r="T28" s="33">
        <f>IF('PV IN'!$F$4="Battery Only",0,PVCalcs!G28)</f>
        <v>150178.73468755017</v>
      </c>
      <c r="U28" s="33">
        <f>IF('PV IN'!$F$4="Battery Only",0,PVCalcs!M28)</f>
        <v>150178.73468755017</v>
      </c>
      <c r="V28" s="33">
        <f>PVCalcs!L28</f>
        <v>30812.599166666667</v>
      </c>
      <c r="W28" s="158">
        <f>PVCalcs!F28</f>
        <v>7.5028226946311755E-2</v>
      </c>
      <c r="X28" s="144">
        <f>IF('PV IN'!$F$4="Battery Only",0,PVCalcs!Y28+PVCalcs!Z28)</f>
        <v>2252.6810203132527</v>
      </c>
      <c r="Y28" s="144">
        <f>IF('PV IN'!$F$4="PV Only",0,BattCalcs!AX28+BattCalcs!BC28)</f>
        <v>0</v>
      </c>
      <c r="Z28" s="144">
        <f>IF('PV IN'!$F$4="PV Only",0,BattCalcs!AY28+BattCalcs!BD28)</f>
        <v>0</v>
      </c>
      <c r="AA28" s="144">
        <f>IF('PV IN'!$F$4="PV Only",0,BattCalcs!AZ28+BattCalcs!BE28)</f>
        <v>0</v>
      </c>
      <c r="AB28" s="144">
        <f>IF('PV IN'!$F$4="PV Only",0,BattCalcs!BA28+BattCalcs!BF28)</f>
        <v>0</v>
      </c>
      <c r="AC28" s="144">
        <f>IF('PV IN'!$F$4="PV Only",0,BattCalcs!BB28+BattCalcs!BG28)</f>
        <v>0</v>
      </c>
      <c r="AD28" s="144">
        <f>IF('PV IN'!$F$4="PV Only",0,BattCalcs!BU28)</f>
        <v>0</v>
      </c>
      <c r="AE28" s="144">
        <f>IF('PV IN'!$F$4="PV Only",PVCalcs!W28+PVCalcs!AA28,IF('PV IN'!$F$4="Battery Only",BattCalcs!AV28+BattCalcs!BH28,PVCalcs!W28+PVCalcs!AA28+BattCalcs!AV28+BattCalcs!BH28))</f>
        <v>0</v>
      </c>
      <c r="AF28" s="10">
        <f>PVCalcs!AC28+BattCalcs!BJ28</f>
        <v>0</v>
      </c>
      <c r="AG28" s="144">
        <f>IF('PV IN'!$F$4="Battery Only",0,PVCalcs!AG28)</f>
        <v>-750</v>
      </c>
      <c r="AH28" s="144">
        <f>IF('PV IN'!$F$4="Battery Only",0,PVCalcs!AI28)</f>
        <v>0</v>
      </c>
      <c r="AI28" s="144">
        <f>IF('PV IN'!$F$4="PV Only",0,BattCalcs!BM28)</f>
        <v>0</v>
      </c>
      <c r="AJ28" s="144">
        <f>IF('PV IN'!$F$4="PV Only",0,SUM(BattCalcs!BO28:BT28))</f>
        <v>0</v>
      </c>
      <c r="AK28" s="144">
        <f>IF('PV IN'!$F$4="PV Only",PVCalcs!AH28,IF('PV IN'!$F$4="Battery Only",BattCalcs!BN28,PVCalcs!AH28+BattCalcs!BN28))</f>
        <v>-625</v>
      </c>
      <c r="AL28" s="144">
        <f>IF('PV IN'!$F$4="PV Only",0,BattCalcs!BV28)</f>
        <v>0</v>
      </c>
      <c r="AM28" s="144">
        <f>IF('PV IN'!$F$4="PV Only",0,SUM(BattCalcs!BW28:BX28))</f>
        <v>0</v>
      </c>
      <c r="AN28" s="144">
        <f>IF('PV IN'!$F$4="PV Only",0,BattCalcs!BY28)</f>
        <v>0</v>
      </c>
      <c r="AO28" s="144">
        <f>IF('PV IN'!$F$4="Battery Only",0,PVCalcs!U28)</f>
        <v>11267.644188647455</v>
      </c>
      <c r="AP28" s="10">
        <f>IF('PV IN'!$F$4="PV Only",0,BattCalcs!AS28)</f>
        <v>0</v>
      </c>
      <c r="AQ28" s="10">
        <f>IF('PV IN'!$F$4="PV Only",0,BattCalcs!AT28)</f>
        <v>0</v>
      </c>
      <c r="AR28" s="10">
        <f>IF('PV IN'!$F$4="PV Only",0,BattCalcs!AU28)</f>
        <v>0</v>
      </c>
      <c r="AS28" s="144">
        <f>IF('PV IN'!$F$4="PV Only",PVCalcs!X28,IF('PV IN'!$F$4="Battery Only",BattCalcs!AW28,PVCalcs!X28+BattCalcs!AW28))</f>
        <v>0</v>
      </c>
      <c r="AT28" s="144">
        <f>IF('PV IN'!$F$4="Battery Only",0,-PVCalcs!AQ28*'PV IN'!$E$8)</f>
        <v>132804</v>
      </c>
      <c r="AU28" s="144">
        <f>IF('PV IN'!$F$4="PV Only",0,-BattCalcs!CG28*'PV IN'!$E$8)</f>
        <v>0</v>
      </c>
      <c r="AV28" s="144">
        <f>IF('PV IN'!$F$4="PV Only",PVCalcs!Z28+PVCalcs!AA28,IF('PV IN'!$F$4="Battery Only",SUM(BattCalcs!BC28:BH28),PVCalcs!Z28+PVCalcs!AA28+SUM(BattCalcs!BC28:BH28)))</f>
        <v>0</v>
      </c>
      <c r="AW28" s="144">
        <f>IF('PV IN'!$F$4="PV Only",SUM(PVCalcs!AF28:AI28),IF('PV IN'!$F$4="Battery Only",SUM(BattCalcs!BL28:BY28),SUM(PVCalcs!AF28:AI28)+SUM(BattCalcs!BL28:BY28)))</f>
        <v>-1375</v>
      </c>
      <c r="AX28" s="144">
        <f>IF('PV IN'!$F$4="Battery Only",0,-PVLoan!F56)</f>
        <v>0</v>
      </c>
      <c r="AY28" s="144">
        <f>IF('PV IN'!$F$4="PV Only",0,-BattLoan!F56)</f>
        <v>0</v>
      </c>
      <c r="AZ28" s="144">
        <f>IF('PV IN'!$F$4="Battery Only",0,-PVLoan!H56)</f>
        <v>0</v>
      </c>
      <c r="BA28" s="144">
        <f>IF('PV IN'!$F$4="PV Only",0,-BattLoan!H56)</f>
        <v>0</v>
      </c>
      <c r="BC28" s="33">
        <f t="shared" ref="BC28" si="6">SUM(T17:T28)</f>
        <v>1808771.8145938287</v>
      </c>
      <c r="BD28" s="33">
        <f t="shared" ref="BD28" si="7">SUM(U17:U28)</f>
        <v>1808771.8145938287</v>
      </c>
      <c r="BE28" s="33">
        <f t="shared" ref="BE28" si="8">SUM(V17:V28)</f>
        <v>369751.19000000012</v>
      </c>
      <c r="BF28" s="50">
        <f t="shared" ref="BF28" si="9">W28</f>
        <v>7.5028226946311755E-2</v>
      </c>
      <c r="BG28" s="2">
        <f t="shared" ref="BG28" si="10">SUM(X17:X28)</f>
        <v>27131.577218907431</v>
      </c>
      <c r="BH28" s="2">
        <f t="shared" ref="BH28" si="11">SUM(Y17:Y28)</f>
        <v>0</v>
      </c>
      <c r="BI28" s="2">
        <f t="shared" ref="BI28" si="12">SUM(Z17:Z28)</f>
        <v>0</v>
      </c>
      <c r="BJ28" s="2">
        <f t="shared" ref="BJ28" si="13">SUM(AA17:AA28)</f>
        <v>0</v>
      </c>
      <c r="BK28" s="2">
        <f t="shared" ref="BK28" si="14">SUM(AB17:AB28)</f>
        <v>0</v>
      </c>
      <c r="BL28" s="2">
        <f t="shared" ref="BL28" si="15">SUM(AC17:AC28)</f>
        <v>0</v>
      </c>
      <c r="BM28" s="2">
        <f t="shared" ref="BM28" si="16">SUM(AD17:AD28)</f>
        <v>0</v>
      </c>
      <c r="BN28" s="2">
        <f t="shared" ref="BN28" si="17">SUM(AE17:AE28)</f>
        <v>0</v>
      </c>
      <c r="BO28" s="2">
        <f t="shared" ref="BO28" si="18">SUM(AF17:AF28)</f>
        <v>0</v>
      </c>
      <c r="BP28" s="2">
        <f t="shared" ref="BP28" si="19">SUM(AG17:AG28)</f>
        <v>-9000</v>
      </c>
      <c r="BQ28" s="2">
        <f t="shared" ref="BQ28" si="20">SUM(AH17:AH28)</f>
        <v>0</v>
      </c>
      <c r="BR28" s="2">
        <f t="shared" ref="BR28" si="21">SUM(AI17:AI28)</f>
        <v>0</v>
      </c>
      <c r="BS28" s="2">
        <f t="shared" ref="BS28" si="22">SUM(AJ17:AJ28)</f>
        <v>0</v>
      </c>
      <c r="BT28" s="2">
        <f t="shared" ref="BT28" si="23">SUM(AK17:AK28)</f>
        <v>-7500</v>
      </c>
      <c r="BU28" s="2">
        <f t="shared" ref="BU28" si="24">SUM(AL17:AL28)</f>
        <v>0</v>
      </c>
      <c r="BV28" s="2">
        <f t="shared" ref="BV28" si="25">SUM(AM17:AM28)</f>
        <v>0</v>
      </c>
      <c r="BW28" s="2">
        <f t="shared" ref="BW28" si="26">SUM(AN17:AN28)</f>
        <v>0</v>
      </c>
      <c r="BX28" s="2">
        <f t="shared" ref="BX28" si="27">SUM(AO17:AO28)</f>
        <v>135708.94219943791</v>
      </c>
      <c r="BY28" s="2">
        <f t="shared" ref="BY28" si="28">SUM(AP17:AP28)</f>
        <v>0</v>
      </c>
      <c r="BZ28" s="2">
        <f t="shared" ref="BZ28" si="29">SUM(AQ17:AQ28)</f>
        <v>0</v>
      </c>
      <c r="CA28" s="2">
        <f t="shared" ref="CA28" si="30">SUM(AR17:AR28)</f>
        <v>0</v>
      </c>
      <c r="CB28" s="2">
        <f t="shared" ref="CB28" si="31">SUM(AS17:AS28)</f>
        <v>0</v>
      </c>
      <c r="CC28" s="2">
        <f t="shared" ref="CC28" si="32">SUM(AT17:AT28)</f>
        <v>132804</v>
      </c>
      <c r="CD28" s="2">
        <f t="shared" ref="CD28" si="33">SUM(AU17:AU28)</f>
        <v>0</v>
      </c>
      <c r="CE28" s="2">
        <f t="shared" ref="CE28" si="34">SUM(AV17:AV28)</f>
        <v>0</v>
      </c>
      <c r="CF28" s="2">
        <f t="shared" ref="CF28" si="35">SUM(AW17:AW28)</f>
        <v>-16500</v>
      </c>
      <c r="CG28" s="2">
        <f t="shared" ref="CG28" si="36">SUM(AX17:AX28)</f>
        <v>0</v>
      </c>
      <c r="CH28" s="2">
        <f t="shared" ref="CH28" si="37">SUM(AY17:AY28)</f>
        <v>0</v>
      </c>
      <c r="CI28" s="2">
        <f t="shared" ref="CI28" si="38">SUM(AZ17:AZ28)</f>
        <v>0</v>
      </c>
      <c r="CJ28" s="2">
        <f t="shared" ref="CJ28" si="39">SUM(BA17:BA28)</f>
        <v>0</v>
      </c>
    </row>
    <row r="29" spans="1:88" x14ac:dyDescent="0.25">
      <c r="A29">
        <f>IF(C29&lt;='PV IN'!$O$22*12,C29,"")</f>
        <v>25</v>
      </c>
      <c r="C29">
        <v>25</v>
      </c>
      <c r="D29" s="2">
        <f>BattCalcs!CK29+PVCalcs!AT29</f>
        <v>12139.831878120403</v>
      </c>
      <c r="E29" s="20">
        <f>PVCalcs!AV29</f>
        <v>-930920.67151846271</v>
      </c>
      <c r="F29" s="20">
        <f>PVCalcs!AW29</f>
        <v>10966.506472138261</v>
      </c>
      <c r="G29" s="20">
        <f>PVCalcs!AX29</f>
        <v>-1004314.8265475208</v>
      </c>
      <c r="H29" s="20">
        <f>BattCalcs!CM29</f>
        <v>0</v>
      </c>
      <c r="I29" s="20">
        <f>BattCalcs!CN29</f>
        <v>0</v>
      </c>
      <c r="J29" s="20">
        <f>IF(C29&lt;='Batt IN'!H$43*12,BattCalcs!CO29,NA())</f>
        <v>0</v>
      </c>
      <c r="L29" s="20">
        <f t="shared" si="3"/>
        <v>10966.506472138261</v>
      </c>
      <c r="M29" s="20">
        <f>G29+BattCalcs!CO29</f>
        <v>-1004314.8265475208</v>
      </c>
      <c r="O29" s="10">
        <f>PVLoan!G57</f>
        <v>0</v>
      </c>
      <c r="P29" s="10">
        <f>PVLoan!J57</f>
        <v>0</v>
      </c>
      <c r="Q29" s="2">
        <f>BattLoan!G57</f>
        <v>0</v>
      </c>
      <c r="R29" s="10">
        <f>BattLoan!J57</f>
        <v>0</v>
      </c>
      <c r="T29" s="33">
        <f>IF('PV IN'!$F$4="Battery Only",0,PVCalcs!G29)</f>
        <v>150078.61553109181</v>
      </c>
      <c r="U29" s="33">
        <f>IF('PV IN'!$F$4="Battery Only",0,PVCalcs!M29)</f>
        <v>150078.61553109181</v>
      </c>
      <c r="V29" s="33">
        <f>PVCalcs!L29</f>
        <v>30812.599166666667</v>
      </c>
      <c r="W29" s="158">
        <f>PVCalcs!F29</f>
        <v>7.5127691152510362E-2</v>
      </c>
      <c r="X29" s="144">
        <f>IF('PV IN'!$F$4="Battery Only",0,PVCalcs!Y29+PVCalcs!Z29)</f>
        <v>1951.0220019041935</v>
      </c>
      <c r="Y29" s="144">
        <f>IF('PV IN'!$F$4="PV Only",0,BattCalcs!AX29+BattCalcs!BC29)</f>
        <v>0</v>
      </c>
      <c r="Z29" s="144">
        <f>IF('PV IN'!$F$4="PV Only",0,BattCalcs!AY29+BattCalcs!BD29)</f>
        <v>0</v>
      </c>
      <c r="AA29" s="144">
        <f>IF('PV IN'!$F$4="PV Only",0,BattCalcs!AZ29+BattCalcs!BE29)</f>
        <v>0</v>
      </c>
      <c r="AB29" s="144">
        <f>IF('PV IN'!$F$4="PV Only",0,BattCalcs!BA29+BattCalcs!BF29)</f>
        <v>0</v>
      </c>
      <c r="AC29" s="144">
        <f>IF('PV IN'!$F$4="PV Only",0,BattCalcs!BB29+BattCalcs!BG29)</f>
        <v>0</v>
      </c>
      <c r="AD29" s="144">
        <f>IF('PV IN'!$F$4="PV Only",0,BattCalcs!BU29)</f>
        <v>0</v>
      </c>
      <c r="AE29" s="144">
        <f>IF('PV IN'!$F$4="PV Only",PVCalcs!W29+PVCalcs!AA29,IF('PV IN'!$F$4="Battery Only",BattCalcs!AV29+BattCalcs!BH29,PVCalcs!W29+PVCalcs!AA29+BattCalcs!AV29+BattCalcs!BH29))</f>
        <v>0</v>
      </c>
      <c r="AF29" s="10">
        <f>PVCalcs!AC29+BattCalcs!BJ29</f>
        <v>0</v>
      </c>
      <c r="AG29" s="144">
        <f>IF('PV IN'!$F$4="Battery Only",0,PVCalcs!AG29)</f>
        <v>-750</v>
      </c>
      <c r="AH29" s="144">
        <f>IF('PV IN'!$F$4="Battery Only",0,PVCalcs!AI29)</f>
        <v>0</v>
      </c>
      <c r="AI29" s="144">
        <f>IF('PV IN'!$F$4="PV Only",0,BattCalcs!BM29)</f>
        <v>0</v>
      </c>
      <c r="AJ29" s="144">
        <f>IF('PV IN'!$F$4="PV Only",0,SUM(BattCalcs!BO29:BT29))</f>
        <v>0</v>
      </c>
      <c r="AK29" s="144">
        <f>IF('PV IN'!$F$4="PV Only",PVCalcs!AH29,IF('PV IN'!$F$4="Battery Only",BattCalcs!BN29,PVCalcs!AH29+BattCalcs!BN29))</f>
        <v>-625</v>
      </c>
      <c r="AL29" s="144">
        <f>IF('PV IN'!$F$4="PV Only",0,BattCalcs!BV29)</f>
        <v>0</v>
      </c>
      <c r="AM29" s="144">
        <f>IF('PV IN'!$F$4="PV Only",0,SUM(BattCalcs!BW29:BX29))</f>
        <v>0</v>
      </c>
      <c r="AN29" s="144">
        <f>IF('PV IN'!$F$4="PV Only",0,BattCalcs!BY29)</f>
        <v>0</v>
      </c>
      <c r="AO29" s="144">
        <f>IF('PV IN'!$F$4="Battery Only",0,PVCalcs!U29)</f>
        <v>11275.05987621621</v>
      </c>
      <c r="AP29" s="10">
        <f>IF('PV IN'!$F$4="PV Only",0,BattCalcs!AS29)</f>
        <v>0</v>
      </c>
      <c r="AQ29" s="10">
        <f>IF('PV IN'!$F$4="PV Only",0,BattCalcs!AT29)</f>
        <v>0</v>
      </c>
      <c r="AR29" s="10">
        <f>IF('PV IN'!$F$4="PV Only",0,BattCalcs!AU29)</f>
        <v>0</v>
      </c>
      <c r="AS29" s="144">
        <f>IF('PV IN'!$F$4="PV Only",PVCalcs!X29,IF('PV IN'!$F$4="Battery Only",BattCalcs!AW29,PVCalcs!X29+BattCalcs!AW29))</f>
        <v>0</v>
      </c>
      <c r="AT29" s="144">
        <f>IF('PV IN'!$F$4="Battery Only",0,-PVCalcs!AQ29*'PV IN'!$E$8)</f>
        <v>0</v>
      </c>
      <c r="AU29" s="144">
        <f>IF('PV IN'!$F$4="PV Only",0,-BattCalcs!CG29*'PV IN'!$E$8)</f>
        <v>0</v>
      </c>
      <c r="AV29" s="144">
        <f>IF('PV IN'!$F$4="PV Only",PVCalcs!Z29+PVCalcs!AA29,IF('PV IN'!$F$4="Battery Only",SUM(BattCalcs!BC29:BH29),PVCalcs!Z29+PVCalcs!AA29+SUM(BattCalcs!BC29:BH29)))</f>
        <v>0</v>
      </c>
      <c r="AW29" s="144">
        <f>IF('PV IN'!$F$4="PV Only",SUM(PVCalcs!AF29:AI29),IF('PV IN'!$F$4="Battery Only",SUM(BattCalcs!BL29:BY29),SUM(PVCalcs!AF29:AI29)+SUM(BattCalcs!BL29:BY29)))</f>
        <v>-1375</v>
      </c>
      <c r="AX29" s="144">
        <f>IF('PV IN'!$F$4="Battery Only",0,-PVLoan!F57)</f>
        <v>0</v>
      </c>
      <c r="AY29" s="144">
        <f>IF('PV IN'!$F$4="PV Only",0,-BattLoan!F57)</f>
        <v>0</v>
      </c>
      <c r="AZ29" s="144">
        <f>IF('PV IN'!$F$4="Battery Only",0,-PVLoan!H57)</f>
        <v>0</v>
      </c>
      <c r="BA29" s="144">
        <f>IF('PV IN'!$F$4="PV Only",0,-BattLoan!H57)</f>
        <v>0</v>
      </c>
    </row>
    <row r="30" spans="1:88" x14ac:dyDescent="0.25">
      <c r="A30">
        <f>IF(C30&lt;='PV IN'!$O$22*12,C30,"")</f>
        <v>26</v>
      </c>
      <c r="C30">
        <v>26</v>
      </c>
      <c r="D30" s="2">
        <f>BattCalcs!CK30+PVCalcs!AT30</f>
        <v>12131.014490201655</v>
      </c>
      <c r="E30" s="20">
        <f>PVCalcs!AV30</f>
        <v>-918789.65702826111</v>
      </c>
      <c r="F30" s="20">
        <f>PVCalcs!AW30</f>
        <v>10914.075995909277</v>
      </c>
      <c r="G30" s="20">
        <f>PVCalcs!AX30</f>
        <v>-993400.75055161153</v>
      </c>
      <c r="H30" s="20">
        <f>BattCalcs!CM30</f>
        <v>0</v>
      </c>
      <c r="I30" s="20">
        <f>BattCalcs!CN30</f>
        <v>0</v>
      </c>
      <c r="J30" s="20">
        <f>IF(C30&lt;='Batt IN'!H$43*12,BattCalcs!CO30,NA())</f>
        <v>0</v>
      </c>
      <c r="L30" s="20">
        <f t="shared" si="3"/>
        <v>10914.075995909277</v>
      </c>
      <c r="M30" s="20">
        <f>G30+BattCalcs!CO30</f>
        <v>-993400.75055161153</v>
      </c>
      <c r="O30" s="10">
        <f>PVLoan!G58</f>
        <v>0</v>
      </c>
      <c r="P30" s="10">
        <f>PVLoan!J58</f>
        <v>0</v>
      </c>
      <c r="Q30" s="2">
        <f>BattLoan!G58</f>
        <v>0</v>
      </c>
      <c r="R30" s="10">
        <f>BattLoan!J58</f>
        <v>0</v>
      </c>
      <c r="T30" s="33">
        <f>IF('PV IN'!$F$4="Battery Only",0,PVCalcs!G30)</f>
        <v>149978.56312073773</v>
      </c>
      <c r="U30" s="33">
        <f>IF('PV IN'!$F$4="Battery Only",0,PVCalcs!M30)</f>
        <v>149978.56312073773</v>
      </c>
      <c r="V30" s="33">
        <f>PVCalcs!L30</f>
        <v>30812.599166666667</v>
      </c>
      <c r="W30" s="158">
        <f>PVCalcs!F30</f>
        <v>7.5127691152510362E-2</v>
      </c>
      <c r="X30" s="144">
        <f>IF('PV IN'!$F$4="Battery Only",0,PVCalcs!Y30+PVCalcs!Z30)</f>
        <v>1949.7213205695905</v>
      </c>
      <c r="Y30" s="144">
        <f>IF('PV IN'!$F$4="PV Only",0,BattCalcs!AX30+BattCalcs!BC30)</f>
        <v>0</v>
      </c>
      <c r="Z30" s="144">
        <f>IF('PV IN'!$F$4="PV Only",0,BattCalcs!AY30+BattCalcs!BD30)</f>
        <v>0</v>
      </c>
      <c r="AA30" s="144">
        <f>IF('PV IN'!$F$4="PV Only",0,BattCalcs!AZ30+BattCalcs!BE30)</f>
        <v>0</v>
      </c>
      <c r="AB30" s="144">
        <f>IF('PV IN'!$F$4="PV Only",0,BattCalcs!BA30+BattCalcs!BF30)</f>
        <v>0</v>
      </c>
      <c r="AC30" s="144">
        <f>IF('PV IN'!$F$4="PV Only",0,BattCalcs!BB30+BattCalcs!BG30)</f>
        <v>0</v>
      </c>
      <c r="AD30" s="144">
        <f>IF('PV IN'!$F$4="PV Only",0,BattCalcs!BU30)</f>
        <v>0</v>
      </c>
      <c r="AE30" s="144">
        <f>IF('PV IN'!$F$4="PV Only",PVCalcs!W30+PVCalcs!AA30,IF('PV IN'!$F$4="Battery Only",BattCalcs!AV30+BattCalcs!BH30,PVCalcs!W30+PVCalcs!AA30+BattCalcs!AV30+BattCalcs!BH30))</f>
        <v>0</v>
      </c>
      <c r="AF30" s="10">
        <f>PVCalcs!AC30+BattCalcs!BJ30</f>
        <v>0</v>
      </c>
      <c r="AG30" s="144">
        <f>IF('PV IN'!$F$4="Battery Only",0,PVCalcs!AG30)</f>
        <v>-750</v>
      </c>
      <c r="AH30" s="144">
        <f>IF('PV IN'!$F$4="Battery Only",0,PVCalcs!AI30)</f>
        <v>0</v>
      </c>
      <c r="AI30" s="144">
        <f>IF('PV IN'!$F$4="PV Only",0,BattCalcs!BM30)</f>
        <v>0</v>
      </c>
      <c r="AJ30" s="144">
        <f>IF('PV IN'!$F$4="PV Only",0,SUM(BattCalcs!BO30:BT30))</f>
        <v>0</v>
      </c>
      <c r="AK30" s="144">
        <f>IF('PV IN'!$F$4="PV Only",PVCalcs!AH30,IF('PV IN'!$F$4="Battery Only",BattCalcs!BN30,PVCalcs!AH30+BattCalcs!BN30))</f>
        <v>-625</v>
      </c>
      <c r="AL30" s="144">
        <f>IF('PV IN'!$F$4="PV Only",0,BattCalcs!BV30)</f>
        <v>0</v>
      </c>
      <c r="AM30" s="144">
        <f>IF('PV IN'!$F$4="PV Only",0,SUM(BattCalcs!BW30:BX30))</f>
        <v>0</v>
      </c>
      <c r="AN30" s="144">
        <f>IF('PV IN'!$F$4="PV Only",0,BattCalcs!BY30)</f>
        <v>0</v>
      </c>
      <c r="AO30" s="144">
        <f>IF('PV IN'!$F$4="Battery Only",0,PVCalcs!U30)</f>
        <v>11267.543169632065</v>
      </c>
      <c r="AP30" s="10">
        <f>IF('PV IN'!$F$4="PV Only",0,BattCalcs!AS30)</f>
        <v>0</v>
      </c>
      <c r="AQ30" s="10">
        <f>IF('PV IN'!$F$4="PV Only",0,BattCalcs!AT30)</f>
        <v>0</v>
      </c>
      <c r="AR30" s="10">
        <f>IF('PV IN'!$F$4="PV Only",0,BattCalcs!AU30)</f>
        <v>0</v>
      </c>
      <c r="AS30" s="144">
        <f>IF('PV IN'!$F$4="PV Only",PVCalcs!X30,IF('PV IN'!$F$4="Battery Only",BattCalcs!AW30,PVCalcs!X30+BattCalcs!AW30))</f>
        <v>0</v>
      </c>
      <c r="AT30" s="144">
        <f>IF('PV IN'!$F$4="Battery Only",0,-PVCalcs!AQ30*'PV IN'!$E$8)</f>
        <v>0</v>
      </c>
      <c r="AU30" s="144">
        <f>IF('PV IN'!$F$4="PV Only",0,-BattCalcs!CG30*'PV IN'!$E$8)</f>
        <v>0</v>
      </c>
      <c r="AV30" s="144">
        <f>IF('PV IN'!$F$4="PV Only",PVCalcs!Z30+PVCalcs!AA30,IF('PV IN'!$F$4="Battery Only",SUM(BattCalcs!BC30:BH30),PVCalcs!Z30+PVCalcs!AA30+SUM(BattCalcs!BC30:BH30)))</f>
        <v>0</v>
      </c>
      <c r="AW30" s="144">
        <f>IF('PV IN'!$F$4="PV Only",SUM(PVCalcs!AF30:AI30),IF('PV IN'!$F$4="Battery Only",SUM(BattCalcs!BL30:BY30),SUM(PVCalcs!AF30:AI30)+SUM(BattCalcs!BL30:BY30)))</f>
        <v>-1375</v>
      </c>
      <c r="AX30" s="144">
        <f>IF('PV IN'!$F$4="Battery Only",0,-PVLoan!F58)</f>
        <v>0</v>
      </c>
      <c r="AY30" s="144">
        <f>IF('PV IN'!$F$4="PV Only",0,-BattLoan!F58)</f>
        <v>0</v>
      </c>
      <c r="AZ30" s="144">
        <f>IF('PV IN'!$F$4="Battery Only",0,-PVLoan!H58)</f>
        <v>0</v>
      </c>
      <c r="BA30" s="144">
        <f>IF('PV IN'!$F$4="PV Only",0,-BattLoan!H58)</f>
        <v>0</v>
      </c>
    </row>
    <row r="31" spans="1:88" x14ac:dyDescent="0.25">
      <c r="A31">
        <f>IF(C31&lt;='PV IN'!$O$22*12,C31,"")</f>
        <v>27</v>
      </c>
      <c r="C31">
        <v>27</v>
      </c>
      <c r="D31" s="2">
        <f>BattCalcs!CK31+PVCalcs!AT31</f>
        <v>12122.202980541519</v>
      </c>
      <c r="E31" s="20">
        <f>PVCalcs!AV31</f>
        <v>-906667.4540477196</v>
      </c>
      <c r="F31" s="20">
        <f>PVCalcs!AW31</f>
        <v>10861.895716624966</v>
      </c>
      <c r="G31" s="20">
        <f>PVCalcs!AX31</f>
        <v>-982538.85483498662</v>
      </c>
      <c r="H31" s="20">
        <f>BattCalcs!CM31</f>
        <v>0</v>
      </c>
      <c r="I31" s="20">
        <f>BattCalcs!CN31</f>
        <v>0</v>
      </c>
      <c r="J31" s="20">
        <f>IF(C31&lt;='Batt IN'!H$43*12,BattCalcs!CO31,NA())</f>
        <v>0</v>
      </c>
      <c r="L31" s="20">
        <f t="shared" si="3"/>
        <v>10861.895716624966</v>
      </c>
      <c r="M31" s="20">
        <f>G31+BattCalcs!CO31</f>
        <v>-982538.85483498662</v>
      </c>
      <c r="O31" s="10">
        <f>PVLoan!G59</f>
        <v>0</v>
      </c>
      <c r="P31" s="10">
        <f>PVLoan!J59</f>
        <v>0</v>
      </c>
      <c r="Q31" s="2">
        <f>BattLoan!G59</f>
        <v>0</v>
      </c>
      <c r="R31" s="10">
        <f>BattLoan!J59</f>
        <v>0</v>
      </c>
      <c r="T31" s="33">
        <f>IF('PV IN'!$F$4="Battery Only",0,PVCalcs!G31)</f>
        <v>149878.57741199055</v>
      </c>
      <c r="U31" s="33">
        <f>IF('PV IN'!$F$4="Battery Only",0,PVCalcs!M31)</f>
        <v>149878.57741199055</v>
      </c>
      <c r="V31" s="33">
        <f>PVCalcs!L31</f>
        <v>30812.599166666667</v>
      </c>
      <c r="W31" s="158">
        <f>PVCalcs!F31</f>
        <v>7.5127691152510362E-2</v>
      </c>
      <c r="X31" s="144">
        <f>IF('PV IN'!$F$4="Battery Only",0,PVCalcs!Y31+PVCalcs!Z31)</f>
        <v>1948.4215063558772</v>
      </c>
      <c r="Y31" s="144">
        <f>IF('PV IN'!$F$4="PV Only",0,BattCalcs!AX31+BattCalcs!BC31)</f>
        <v>0</v>
      </c>
      <c r="Z31" s="144">
        <f>IF('PV IN'!$F$4="PV Only",0,BattCalcs!AY31+BattCalcs!BD31)</f>
        <v>0</v>
      </c>
      <c r="AA31" s="144">
        <f>IF('PV IN'!$F$4="PV Only",0,BattCalcs!AZ31+BattCalcs!BE31)</f>
        <v>0</v>
      </c>
      <c r="AB31" s="144">
        <f>IF('PV IN'!$F$4="PV Only",0,BattCalcs!BA31+BattCalcs!BF31)</f>
        <v>0</v>
      </c>
      <c r="AC31" s="144">
        <f>IF('PV IN'!$F$4="PV Only",0,BattCalcs!BB31+BattCalcs!BG31)</f>
        <v>0</v>
      </c>
      <c r="AD31" s="144">
        <f>IF('PV IN'!$F$4="PV Only",0,BattCalcs!BU31)</f>
        <v>0</v>
      </c>
      <c r="AE31" s="144">
        <f>IF('PV IN'!$F$4="PV Only",PVCalcs!W31+PVCalcs!AA31,IF('PV IN'!$F$4="Battery Only",BattCalcs!AV31+BattCalcs!BH31,PVCalcs!W31+PVCalcs!AA31+BattCalcs!AV31+BattCalcs!BH31))</f>
        <v>0</v>
      </c>
      <c r="AF31" s="10">
        <f>PVCalcs!AC31+BattCalcs!BJ31</f>
        <v>0</v>
      </c>
      <c r="AG31" s="144">
        <f>IF('PV IN'!$F$4="Battery Only",0,PVCalcs!AG31)</f>
        <v>-750</v>
      </c>
      <c r="AH31" s="144">
        <f>IF('PV IN'!$F$4="Battery Only",0,PVCalcs!AI31)</f>
        <v>0</v>
      </c>
      <c r="AI31" s="144">
        <f>IF('PV IN'!$F$4="PV Only",0,BattCalcs!BM31)</f>
        <v>0</v>
      </c>
      <c r="AJ31" s="144">
        <f>IF('PV IN'!$F$4="PV Only",0,SUM(BattCalcs!BO31:BT31))</f>
        <v>0</v>
      </c>
      <c r="AK31" s="144">
        <f>IF('PV IN'!$F$4="PV Only",PVCalcs!AH31,IF('PV IN'!$F$4="Battery Only",BattCalcs!BN31,PVCalcs!AH31+BattCalcs!BN31))</f>
        <v>-625</v>
      </c>
      <c r="AL31" s="144">
        <f>IF('PV IN'!$F$4="PV Only",0,BattCalcs!BV31)</f>
        <v>0</v>
      </c>
      <c r="AM31" s="144">
        <f>IF('PV IN'!$F$4="PV Only",0,SUM(BattCalcs!BW31:BX31))</f>
        <v>0</v>
      </c>
      <c r="AN31" s="144">
        <f>IF('PV IN'!$F$4="PV Only",0,BattCalcs!BY31)</f>
        <v>0</v>
      </c>
      <c r="AO31" s="144">
        <f>IF('PV IN'!$F$4="Battery Only",0,PVCalcs!U31)</f>
        <v>11260.031474185642</v>
      </c>
      <c r="AP31" s="10">
        <f>IF('PV IN'!$F$4="PV Only",0,BattCalcs!AS31)</f>
        <v>0</v>
      </c>
      <c r="AQ31" s="10">
        <f>IF('PV IN'!$F$4="PV Only",0,BattCalcs!AT31)</f>
        <v>0</v>
      </c>
      <c r="AR31" s="10">
        <f>IF('PV IN'!$F$4="PV Only",0,BattCalcs!AU31)</f>
        <v>0</v>
      </c>
      <c r="AS31" s="144">
        <f>IF('PV IN'!$F$4="PV Only",PVCalcs!X31,IF('PV IN'!$F$4="Battery Only",BattCalcs!AW31,PVCalcs!X31+BattCalcs!AW31))</f>
        <v>0</v>
      </c>
      <c r="AT31" s="144">
        <f>IF('PV IN'!$F$4="Battery Only",0,-PVCalcs!AQ31*'PV IN'!$E$8)</f>
        <v>0</v>
      </c>
      <c r="AU31" s="144">
        <f>IF('PV IN'!$F$4="PV Only",0,-BattCalcs!CG31*'PV IN'!$E$8)</f>
        <v>0</v>
      </c>
      <c r="AV31" s="144">
        <f>IF('PV IN'!$F$4="PV Only",PVCalcs!Z31+PVCalcs!AA31,IF('PV IN'!$F$4="Battery Only",SUM(BattCalcs!BC31:BH31),PVCalcs!Z31+PVCalcs!AA31+SUM(BattCalcs!BC31:BH31)))</f>
        <v>0</v>
      </c>
      <c r="AW31" s="144">
        <f>IF('PV IN'!$F$4="PV Only",SUM(PVCalcs!AF31:AI31),IF('PV IN'!$F$4="Battery Only",SUM(BattCalcs!BL31:BY31),SUM(PVCalcs!AF31:AI31)+SUM(BattCalcs!BL31:BY31)))</f>
        <v>-1375</v>
      </c>
      <c r="AX31" s="144">
        <f>IF('PV IN'!$F$4="Battery Only",0,-PVLoan!F59)</f>
        <v>0</v>
      </c>
      <c r="AY31" s="144">
        <f>IF('PV IN'!$F$4="PV Only",0,-BattLoan!F59)</f>
        <v>0</v>
      </c>
      <c r="AZ31" s="144">
        <f>IF('PV IN'!$F$4="Battery Only",0,-PVLoan!H59)</f>
        <v>0</v>
      </c>
      <c r="BA31" s="144">
        <f>IF('PV IN'!$F$4="PV Only",0,-BattLoan!H59)</f>
        <v>0</v>
      </c>
    </row>
    <row r="32" spans="1:88" x14ac:dyDescent="0.25">
      <c r="A32">
        <f>IF(C32&lt;='PV IN'!$O$22*12,C32,"")</f>
        <v>28</v>
      </c>
      <c r="C32">
        <v>28</v>
      </c>
      <c r="D32" s="2">
        <f>BattCalcs!CK32+PVCalcs!AT32</f>
        <v>12113.397345221159</v>
      </c>
      <c r="E32" s="20">
        <f>PVCalcs!AV32</f>
        <v>-894554.05670249846</v>
      </c>
      <c r="F32" s="20">
        <f>PVCalcs!AW32</f>
        <v>10809.964442240198</v>
      </c>
      <c r="G32" s="20">
        <f>PVCalcs!AX32</f>
        <v>-971728.89039274643</v>
      </c>
      <c r="H32" s="20">
        <f>BattCalcs!CM32</f>
        <v>0</v>
      </c>
      <c r="I32" s="20">
        <f>BattCalcs!CN32</f>
        <v>0</v>
      </c>
      <c r="J32" s="20">
        <f>IF(C32&lt;='Batt IN'!H$43*12,BattCalcs!CO32,NA())</f>
        <v>0</v>
      </c>
      <c r="L32" s="20">
        <f t="shared" si="3"/>
        <v>10809.964442240198</v>
      </c>
      <c r="M32" s="20">
        <f>G32+BattCalcs!CO32</f>
        <v>-971728.89039274643</v>
      </c>
      <c r="O32" s="10">
        <f>PVLoan!G60</f>
        <v>0</v>
      </c>
      <c r="P32" s="10">
        <f>PVLoan!J60</f>
        <v>0</v>
      </c>
      <c r="Q32" s="2">
        <f>BattLoan!G60</f>
        <v>0</v>
      </c>
      <c r="R32" s="10">
        <f>BattLoan!J60</f>
        <v>0</v>
      </c>
      <c r="T32" s="33">
        <f>IF('PV IN'!$F$4="Battery Only",0,PVCalcs!G32)</f>
        <v>149778.65836038257</v>
      </c>
      <c r="U32" s="33">
        <f>IF('PV IN'!$F$4="Battery Only",0,PVCalcs!M32)</f>
        <v>149778.65836038257</v>
      </c>
      <c r="V32" s="33">
        <f>PVCalcs!L32</f>
        <v>30812.599166666667</v>
      </c>
      <c r="W32" s="158">
        <f>PVCalcs!F32</f>
        <v>7.5127691152510362E-2</v>
      </c>
      <c r="X32" s="144">
        <f>IF('PV IN'!$F$4="Battery Only",0,PVCalcs!Y32+PVCalcs!Z32)</f>
        <v>1947.1225586849735</v>
      </c>
      <c r="Y32" s="144">
        <f>IF('PV IN'!$F$4="PV Only",0,BattCalcs!AX32+BattCalcs!BC32)</f>
        <v>0</v>
      </c>
      <c r="Z32" s="144">
        <f>IF('PV IN'!$F$4="PV Only",0,BattCalcs!AY32+BattCalcs!BD32)</f>
        <v>0</v>
      </c>
      <c r="AA32" s="144">
        <f>IF('PV IN'!$F$4="PV Only",0,BattCalcs!AZ32+BattCalcs!BE32)</f>
        <v>0</v>
      </c>
      <c r="AB32" s="144">
        <f>IF('PV IN'!$F$4="PV Only",0,BattCalcs!BA32+BattCalcs!BF32)</f>
        <v>0</v>
      </c>
      <c r="AC32" s="144">
        <f>IF('PV IN'!$F$4="PV Only",0,BattCalcs!BB32+BattCalcs!BG32)</f>
        <v>0</v>
      </c>
      <c r="AD32" s="144">
        <f>IF('PV IN'!$F$4="PV Only",0,BattCalcs!BU32)</f>
        <v>0</v>
      </c>
      <c r="AE32" s="144">
        <f>IF('PV IN'!$F$4="PV Only",PVCalcs!W32+PVCalcs!AA32,IF('PV IN'!$F$4="Battery Only",BattCalcs!AV32+BattCalcs!BH32,PVCalcs!W32+PVCalcs!AA32+BattCalcs!AV32+BattCalcs!BH32))</f>
        <v>0</v>
      </c>
      <c r="AF32" s="10">
        <f>PVCalcs!AC32+BattCalcs!BJ32</f>
        <v>0</v>
      </c>
      <c r="AG32" s="144">
        <f>IF('PV IN'!$F$4="Battery Only",0,PVCalcs!AG32)</f>
        <v>-750</v>
      </c>
      <c r="AH32" s="144">
        <f>IF('PV IN'!$F$4="Battery Only",0,PVCalcs!AI32)</f>
        <v>0</v>
      </c>
      <c r="AI32" s="144">
        <f>IF('PV IN'!$F$4="PV Only",0,BattCalcs!BM32)</f>
        <v>0</v>
      </c>
      <c r="AJ32" s="144">
        <f>IF('PV IN'!$F$4="PV Only",0,SUM(BattCalcs!BO32:BT32))</f>
        <v>0</v>
      </c>
      <c r="AK32" s="144">
        <f>IF('PV IN'!$F$4="PV Only",PVCalcs!AH32,IF('PV IN'!$F$4="Battery Only",BattCalcs!BN32,PVCalcs!AH32+BattCalcs!BN32))</f>
        <v>-625</v>
      </c>
      <c r="AL32" s="144">
        <f>IF('PV IN'!$F$4="PV Only",0,BattCalcs!BV32)</f>
        <v>0</v>
      </c>
      <c r="AM32" s="144">
        <f>IF('PV IN'!$F$4="PV Only",0,SUM(BattCalcs!BW32:BX32))</f>
        <v>0</v>
      </c>
      <c r="AN32" s="144">
        <f>IF('PV IN'!$F$4="PV Only",0,BattCalcs!BY32)</f>
        <v>0</v>
      </c>
      <c r="AO32" s="144">
        <f>IF('PV IN'!$F$4="Battery Only",0,PVCalcs!U32)</f>
        <v>11252.524786536185</v>
      </c>
      <c r="AP32" s="10">
        <f>IF('PV IN'!$F$4="PV Only",0,BattCalcs!AS32)</f>
        <v>0</v>
      </c>
      <c r="AQ32" s="10">
        <f>IF('PV IN'!$F$4="PV Only",0,BattCalcs!AT32)</f>
        <v>0</v>
      </c>
      <c r="AR32" s="10">
        <f>IF('PV IN'!$F$4="PV Only",0,BattCalcs!AU32)</f>
        <v>0</v>
      </c>
      <c r="AS32" s="144">
        <f>IF('PV IN'!$F$4="PV Only",PVCalcs!X32,IF('PV IN'!$F$4="Battery Only",BattCalcs!AW32,PVCalcs!X32+BattCalcs!AW32))</f>
        <v>0</v>
      </c>
      <c r="AT32" s="144">
        <f>IF('PV IN'!$F$4="Battery Only",0,-PVCalcs!AQ32*'PV IN'!$E$8)</f>
        <v>0</v>
      </c>
      <c r="AU32" s="144">
        <f>IF('PV IN'!$F$4="PV Only",0,-BattCalcs!CG32*'PV IN'!$E$8)</f>
        <v>0</v>
      </c>
      <c r="AV32" s="144">
        <f>IF('PV IN'!$F$4="PV Only",PVCalcs!Z32+PVCalcs!AA32,IF('PV IN'!$F$4="Battery Only",SUM(BattCalcs!BC32:BH32),PVCalcs!Z32+PVCalcs!AA32+SUM(BattCalcs!BC32:BH32)))</f>
        <v>0</v>
      </c>
      <c r="AW32" s="144">
        <f>IF('PV IN'!$F$4="PV Only",SUM(PVCalcs!AF32:AI32),IF('PV IN'!$F$4="Battery Only",SUM(BattCalcs!BL32:BY32),SUM(PVCalcs!AF32:AI32)+SUM(BattCalcs!BL32:BY32)))</f>
        <v>-1375</v>
      </c>
      <c r="AX32" s="144">
        <f>IF('PV IN'!$F$4="Battery Only",0,-PVLoan!F60)</f>
        <v>0</v>
      </c>
      <c r="AY32" s="144">
        <f>IF('PV IN'!$F$4="PV Only",0,-BattLoan!F60)</f>
        <v>0</v>
      </c>
      <c r="AZ32" s="144">
        <f>IF('PV IN'!$F$4="Battery Only",0,-PVLoan!H60)</f>
        <v>0</v>
      </c>
      <c r="BA32" s="144">
        <f>IF('PV IN'!$F$4="PV Only",0,-BattLoan!H60)</f>
        <v>0</v>
      </c>
    </row>
    <row r="33" spans="1:88" x14ac:dyDescent="0.25">
      <c r="A33">
        <f>IF(C33&lt;='PV IN'!$O$22*12,C33,"")</f>
        <v>29</v>
      </c>
      <c r="C33">
        <v>29</v>
      </c>
      <c r="D33" s="2">
        <f>BattCalcs!CK33+PVCalcs!AT33</f>
        <v>12104.597580324347</v>
      </c>
      <c r="E33" s="20">
        <f>PVCalcs!AV33</f>
        <v>-882449.45912217407</v>
      </c>
      <c r="F33" s="20">
        <f>PVCalcs!AW33</f>
        <v>10758.280986381676</v>
      </c>
      <c r="G33" s="20">
        <f>PVCalcs!AX33</f>
        <v>-960970.60940636473</v>
      </c>
      <c r="H33" s="20">
        <f>BattCalcs!CM33</f>
        <v>0</v>
      </c>
      <c r="I33" s="20">
        <f>BattCalcs!CN33</f>
        <v>0</v>
      </c>
      <c r="J33" s="20">
        <f>IF(C33&lt;='Batt IN'!H$43*12,BattCalcs!CO33,NA())</f>
        <v>0</v>
      </c>
      <c r="L33" s="20">
        <f t="shared" si="3"/>
        <v>10758.280986381676</v>
      </c>
      <c r="M33" s="20">
        <f>G33+BattCalcs!CO33</f>
        <v>-960970.60940636473</v>
      </c>
      <c r="O33" s="10">
        <f>PVLoan!G61</f>
        <v>0</v>
      </c>
      <c r="P33" s="10">
        <f>PVLoan!J61</f>
        <v>0</v>
      </c>
      <c r="Q33" s="2">
        <f>BattLoan!G61</f>
        <v>0</v>
      </c>
      <c r="R33" s="10">
        <f>BattLoan!J61</f>
        <v>0</v>
      </c>
      <c r="T33" s="33">
        <f>IF('PV IN'!$F$4="Battery Only",0,PVCalcs!G33)</f>
        <v>149678.80592147566</v>
      </c>
      <c r="U33" s="33">
        <f>IF('PV IN'!$F$4="Battery Only",0,PVCalcs!M33)</f>
        <v>149678.80592147566</v>
      </c>
      <c r="V33" s="33">
        <f>PVCalcs!L33</f>
        <v>30812.599166666667</v>
      </c>
      <c r="W33" s="158">
        <f>PVCalcs!F33</f>
        <v>7.5127691152510362E-2</v>
      </c>
      <c r="X33" s="144">
        <f>IF('PV IN'!$F$4="Battery Only",0,PVCalcs!Y33+PVCalcs!Z33)</f>
        <v>1945.8244769791838</v>
      </c>
      <c r="Y33" s="144">
        <f>IF('PV IN'!$F$4="PV Only",0,BattCalcs!AX33+BattCalcs!BC33)</f>
        <v>0</v>
      </c>
      <c r="Z33" s="144">
        <f>IF('PV IN'!$F$4="PV Only",0,BattCalcs!AY33+BattCalcs!BD33)</f>
        <v>0</v>
      </c>
      <c r="AA33" s="144">
        <f>IF('PV IN'!$F$4="PV Only",0,BattCalcs!AZ33+BattCalcs!BE33)</f>
        <v>0</v>
      </c>
      <c r="AB33" s="144">
        <f>IF('PV IN'!$F$4="PV Only",0,BattCalcs!BA33+BattCalcs!BF33)</f>
        <v>0</v>
      </c>
      <c r="AC33" s="144">
        <f>IF('PV IN'!$F$4="PV Only",0,BattCalcs!BB33+BattCalcs!BG33)</f>
        <v>0</v>
      </c>
      <c r="AD33" s="144">
        <f>IF('PV IN'!$F$4="PV Only",0,BattCalcs!BU33)</f>
        <v>0</v>
      </c>
      <c r="AE33" s="144">
        <f>IF('PV IN'!$F$4="PV Only",PVCalcs!W33+PVCalcs!AA33,IF('PV IN'!$F$4="Battery Only",BattCalcs!AV33+BattCalcs!BH33,PVCalcs!W33+PVCalcs!AA33+BattCalcs!AV33+BattCalcs!BH33))</f>
        <v>0</v>
      </c>
      <c r="AF33" s="10">
        <f>PVCalcs!AC33+BattCalcs!BJ33</f>
        <v>0</v>
      </c>
      <c r="AG33" s="144">
        <f>IF('PV IN'!$F$4="Battery Only",0,PVCalcs!AG33)</f>
        <v>-750</v>
      </c>
      <c r="AH33" s="144">
        <f>IF('PV IN'!$F$4="Battery Only",0,PVCalcs!AI33)</f>
        <v>0</v>
      </c>
      <c r="AI33" s="144">
        <f>IF('PV IN'!$F$4="PV Only",0,BattCalcs!BM33)</f>
        <v>0</v>
      </c>
      <c r="AJ33" s="144">
        <f>IF('PV IN'!$F$4="PV Only",0,SUM(BattCalcs!BO33:BT33))</f>
        <v>0</v>
      </c>
      <c r="AK33" s="144">
        <f>IF('PV IN'!$F$4="PV Only",PVCalcs!AH33,IF('PV IN'!$F$4="Battery Only",BattCalcs!BN33,PVCalcs!AH33+BattCalcs!BN33))</f>
        <v>-625</v>
      </c>
      <c r="AL33" s="144">
        <f>IF('PV IN'!$F$4="PV Only",0,BattCalcs!BV33)</f>
        <v>0</v>
      </c>
      <c r="AM33" s="144">
        <f>IF('PV IN'!$F$4="PV Only",0,SUM(BattCalcs!BW33:BX33))</f>
        <v>0</v>
      </c>
      <c r="AN33" s="144">
        <f>IF('PV IN'!$F$4="PV Only",0,BattCalcs!BY33)</f>
        <v>0</v>
      </c>
      <c r="AO33" s="144">
        <f>IF('PV IN'!$F$4="Battery Only",0,PVCalcs!U33)</f>
        <v>11245.023103345164</v>
      </c>
      <c r="AP33" s="10">
        <f>IF('PV IN'!$F$4="PV Only",0,BattCalcs!AS33)</f>
        <v>0</v>
      </c>
      <c r="AQ33" s="10">
        <f>IF('PV IN'!$F$4="PV Only",0,BattCalcs!AT33)</f>
        <v>0</v>
      </c>
      <c r="AR33" s="10">
        <f>IF('PV IN'!$F$4="PV Only",0,BattCalcs!AU33)</f>
        <v>0</v>
      </c>
      <c r="AS33" s="144">
        <f>IF('PV IN'!$F$4="PV Only",PVCalcs!X33,IF('PV IN'!$F$4="Battery Only",BattCalcs!AW33,PVCalcs!X33+BattCalcs!AW33))</f>
        <v>0</v>
      </c>
      <c r="AT33" s="144">
        <f>IF('PV IN'!$F$4="Battery Only",0,-PVCalcs!AQ33*'PV IN'!$E$8)</f>
        <v>0</v>
      </c>
      <c r="AU33" s="144">
        <f>IF('PV IN'!$F$4="PV Only",0,-BattCalcs!CG33*'PV IN'!$E$8)</f>
        <v>0</v>
      </c>
      <c r="AV33" s="144">
        <f>IF('PV IN'!$F$4="PV Only",PVCalcs!Z33+PVCalcs!AA33,IF('PV IN'!$F$4="Battery Only",SUM(BattCalcs!BC33:BH33),PVCalcs!Z33+PVCalcs!AA33+SUM(BattCalcs!BC33:BH33)))</f>
        <v>0</v>
      </c>
      <c r="AW33" s="144">
        <f>IF('PV IN'!$F$4="PV Only",SUM(PVCalcs!AF33:AI33),IF('PV IN'!$F$4="Battery Only",SUM(BattCalcs!BL33:BY33),SUM(PVCalcs!AF33:AI33)+SUM(BattCalcs!BL33:BY33)))</f>
        <v>-1375</v>
      </c>
      <c r="AX33" s="144">
        <f>IF('PV IN'!$F$4="Battery Only",0,-PVLoan!F61)</f>
        <v>0</v>
      </c>
      <c r="AY33" s="144">
        <f>IF('PV IN'!$F$4="PV Only",0,-BattLoan!F61)</f>
        <v>0</v>
      </c>
      <c r="AZ33" s="144">
        <f>IF('PV IN'!$F$4="Battery Only",0,-PVLoan!H61)</f>
        <v>0</v>
      </c>
      <c r="BA33" s="144">
        <f>IF('PV IN'!$F$4="PV Only",0,-BattLoan!H61)</f>
        <v>0</v>
      </c>
    </row>
    <row r="34" spans="1:88" x14ac:dyDescent="0.25">
      <c r="A34">
        <f>IF(C34&lt;='PV IN'!$O$22*12,C34,"")</f>
        <v>30</v>
      </c>
      <c r="C34">
        <v>30</v>
      </c>
      <c r="D34" s="2">
        <f>BattCalcs!CK34+PVCalcs!AT34</f>
        <v>12095.803681937465</v>
      </c>
      <c r="E34" s="20">
        <f>PVCalcs!AV34</f>
        <v>-870353.65544023656</v>
      </c>
      <c r="F34" s="20">
        <f>PVCalcs!AW34</f>
        <v>10706.844168320977</v>
      </c>
      <c r="G34" s="20">
        <f>PVCalcs!AX34</f>
        <v>-950263.76523804374</v>
      </c>
      <c r="H34" s="20">
        <f>BattCalcs!CM34</f>
        <v>0</v>
      </c>
      <c r="I34" s="20">
        <f>BattCalcs!CN34</f>
        <v>0</v>
      </c>
      <c r="J34" s="20">
        <f>IF(C34&lt;='Batt IN'!H$43*12,BattCalcs!CO34,NA())</f>
        <v>0</v>
      </c>
      <c r="L34" s="20">
        <f t="shared" si="3"/>
        <v>10706.844168320977</v>
      </c>
      <c r="M34" s="20">
        <f>G34+BattCalcs!CO34</f>
        <v>-950263.76523804374</v>
      </c>
      <c r="O34" s="10">
        <f>PVLoan!G62</f>
        <v>0</v>
      </c>
      <c r="P34" s="10">
        <f>PVLoan!J62</f>
        <v>0</v>
      </c>
      <c r="Q34" s="2">
        <f>BattLoan!G62</f>
        <v>0</v>
      </c>
      <c r="R34" s="10">
        <f>BattLoan!J62</f>
        <v>0</v>
      </c>
      <c r="T34" s="33">
        <f>IF('PV IN'!$F$4="Battery Only",0,PVCalcs!G34)</f>
        <v>149579.02005086135</v>
      </c>
      <c r="U34" s="33">
        <f>IF('PV IN'!$F$4="Battery Only",0,PVCalcs!M34)</f>
        <v>149579.02005086135</v>
      </c>
      <c r="V34" s="33">
        <f>PVCalcs!L34</f>
        <v>30812.599166666667</v>
      </c>
      <c r="W34" s="158">
        <f>PVCalcs!F34</f>
        <v>7.5127691152510362E-2</v>
      </c>
      <c r="X34" s="144">
        <f>IF('PV IN'!$F$4="Battery Only",0,PVCalcs!Y34+PVCalcs!Z34)</f>
        <v>1944.5272606611975</v>
      </c>
      <c r="Y34" s="144">
        <f>IF('PV IN'!$F$4="PV Only",0,BattCalcs!AX34+BattCalcs!BC34)</f>
        <v>0</v>
      </c>
      <c r="Z34" s="144">
        <f>IF('PV IN'!$F$4="PV Only",0,BattCalcs!AY34+BattCalcs!BD34)</f>
        <v>0</v>
      </c>
      <c r="AA34" s="144">
        <f>IF('PV IN'!$F$4="PV Only",0,BattCalcs!AZ34+BattCalcs!BE34)</f>
        <v>0</v>
      </c>
      <c r="AB34" s="144">
        <f>IF('PV IN'!$F$4="PV Only",0,BattCalcs!BA34+BattCalcs!BF34)</f>
        <v>0</v>
      </c>
      <c r="AC34" s="144">
        <f>IF('PV IN'!$F$4="PV Only",0,BattCalcs!BB34+BattCalcs!BG34)</f>
        <v>0</v>
      </c>
      <c r="AD34" s="144">
        <f>IF('PV IN'!$F$4="PV Only",0,BattCalcs!BU34)</f>
        <v>0</v>
      </c>
      <c r="AE34" s="144">
        <f>IF('PV IN'!$F$4="PV Only",PVCalcs!W34+PVCalcs!AA34,IF('PV IN'!$F$4="Battery Only",BattCalcs!AV34+BattCalcs!BH34,PVCalcs!W34+PVCalcs!AA34+BattCalcs!AV34+BattCalcs!BH34))</f>
        <v>0</v>
      </c>
      <c r="AF34" s="10">
        <f>PVCalcs!AC34+BattCalcs!BJ34</f>
        <v>0</v>
      </c>
      <c r="AG34" s="144">
        <f>IF('PV IN'!$F$4="Battery Only",0,PVCalcs!AG34)</f>
        <v>-750</v>
      </c>
      <c r="AH34" s="144">
        <f>IF('PV IN'!$F$4="Battery Only",0,PVCalcs!AI34)</f>
        <v>0</v>
      </c>
      <c r="AI34" s="144">
        <f>IF('PV IN'!$F$4="PV Only",0,BattCalcs!BM34)</f>
        <v>0</v>
      </c>
      <c r="AJ34" s="144">
        <f>IF('PV IN'!$F$4="PV Only",0,SUM(BattCalcs!BO34:BT34))</f>
        <v>0</v>
      </c>
      <c r="AK34" s="144">
        <f>IF('PV IN'!$F$4="PV Only",PVCalcs!AH34,IF('PV IN'!$F$4="Battery Only",BattCalcs!BN34,PVCalcs!AH34+BattCalcs!BN34))</f>
        <v>-625</v>
      </c>
      <c r="AL34" s="144">
        <f>IF('PV IN'!$F$4="PV Only",0,BattCalcs!BV34)</f>
        <v>0</v>
      </c>
      <c r="AM34" s="144">
        <f>IF('PV IN'!$F$4="PV Only",0,SUM(BattCalcs!BW34:BX34))</f>
        <v>0</v>
      </c>
      <c r="AN34" s="144">
        <f>IF('PV IN'!$F$4="PV Only",0,BattCalcs!BY34)</f>
        <v>0</v>
      </c>
      <c r="AO34" s="144">
        <f>IF('PV IN'!$F$4="Battery Only",0,PVCalcs!U34)</f>
        <v>11237.526421276267</v>
      </c>
      <c r="AP34" s="10">
        <f>IF('PV IN'!$F$4="PV Only",0,BattCalcs!AS34)</f>
        <v>0</v>
      </c>
      <c r="AQ34" s="10">
        <f>IF('PV IN'!$F$4="PV Only",0,BattCalcs!AT34)</f>
        <v>0</v>
      </c>
      <c r="AR34" s="10">
        <f>IF('PV IN'!$F$4="PV Only",0,BattCalcs!AU34)</f>
        <v>0</v>
      </c>
      <c r="AS34" s="144">
        <f>IF('PV IN'!$F$4="PV Only",PVCalcs!X34,IF('PV IN'!$F$4="Battery Only",BattCalcs!AW34,PVCalcs!X34+BattCalcs!AW34))</f>
        <v>0</v>
      </c>
      <c r="AT34" s="144">
        <f>IF('PV IN'!$F$4="Battery Only",0,-PVCalcs!AQ34*'PV IN'!$E$8)</f>
        <v>0</v>
      </c>
      <c r="AU34" s="144">
        <f>IF('PV IN'!$F$4="PV Only",0,-BattCalcs!CG34*'PV IN'!$E$8)</f>
        <v>0</v>
      </c>
      <c r="AV34" s="144">
        <f>IF('PV IN'!$F$4="PV Only",PVCalcs!Z34+PVCalcs!AA34,IF('PV IN'!$F$4="Battery Only",SUM(BattCalcs!BC34:BH34),PVCalcs!Z34+PVCalcs!AA34+SUM(BattCalcs!BC34:BH34)))</f>
        <v>0</v>
      </c>
      <c r="AW34" s="144">
        <f>IF('PV IN'!$F$4="PV Only",SUM(PVCalcs!AF34:AI34),IF('PV IN'!$F$4="Battery Only",SUM(BattCalcs!BL34:BY34),SUM(PVCalcs!AF34:AI34)+SUM(BattCalcs!BL34:BY34)))</f>
        <v>-1375</v>
      </c>
      <c r="AX34" s="144">
        <f>IF('PV IN'!$F$4="Battery Only",0,-PVLoan!F62)</f>
        <v>0</v>
      </c>
      <c r="AY34" s="144">
        <f>IF('PV IN'!$F$4="PV Only",0,-BattLoan!F62)</f>
        <v>0</v>
      </c>
      <c r="AZ34" s="144">
        <f>IF('PV IN'!$F$4="Battery Only",0,-PVLoan!H62)</f>
        <v>0</v>
      </c>
      <c r="BA34" s="144">
        <f>IF('PV IN'!$F$4="PV Only",0,-BattLoan!H62)</f>
        <v>0</v>
      </c>
    </row>
    <row r="35" spans="1:88" x14ac:dyDescent="0.25">
      <c r="A35">
        <f>IF(C35&lt;='PV IN'!$O$22*12,C35,"")</f>
        <v>31</v>
      </c>
      <c r="C35">
        <v>31</v>
      </c>
      <c r="D35" s="2">
        <f>BattCalcs!CK35+PVCalcs!AT35</f>
        <v>12087.015646149503</v>
      </c>
      <c r="E35" s="20">
        <f>PVCalcs!AV35</f>
        <v>-858266.63979408704</v>
      </c>
      <c r="F35" s="20">
        <f>PVCalcs!AW35</f>
        <v>10655.652812947717</v>
      </c>
      <c r="G35" s="20">
        <f>PVCalcs!AX35</f>
        <v>-939608.11242509598</v>
      </c>
      <c r="H35" s="20">
        <f>BattCalcs!CM35</f>
        <v>0</v>
      </c>
      <c r="I35" s="20">
        <f>BattCalcs!CN35</f>
        <v>0</v>
      </c>
      <c r="J35" s="20">
        <f>IF(C35&lt;='Batt IN'!H$43*12,BattCalcs!CO35,NA())</f>
        <v>0</v>
      </c>
      <c r="L35" s="20">
        <f t="shared" si="3"/>
        <v>10655.652812947717</v>
      </c>
      <c r="M35" s="20">
        <f>G35+BattCalcs!CO35</f>
        <v>-939608.11242509598</v>
      </c>
      <c r="O35" s="10">
        <f>PVLoan!G63</f>
        <v>0</v>
      </c>
      <c r="P35" s="10">
        <f>PVLoan!J63</f>
        <v>0</v>
      </c>
      <c r="Q35" s="2">
        <f>BattLoan!G63</f>
        <v>0</v>
      </c>
      <c r="R35" s="10">
        <f>BattLoan!J63</f>
        <v>0</v>
      </c>
      <c r="T35" s="33">
        <f>IF('PV IN'!$F$4="Battery Only",0,PVCalcs!G35)</f>
        <v>149479.30070416073</v>
      </c>
      <c r="U35" s="33">
        <f>IF('PV IN'!$F$4="Battery Only",0,PVCalcs!M35)</f>
        <v>149479.30070416073</v>
      </c>
      <c r="V35" s="33">
        <f>PVCalcs!L35</f>
        <v>30812.599166666667</v>
      </c>
      <c r="W35" s="158">
        <f>PVCalcs!F35</f>
        <v>7.5127691152510362E-2</v>
      </c>
      <c r="X35" s="144">
        <f>IF('PV IN'!$F$4="Battery Only",0,PVCalcs!Y35+PVCalcs!Z35)</f>
        <v>1943.2309091540897</v>
      </c>
      <c r="Y35" s="144">
        <f>IF('PV IN'!$F$4="PV Only",0,BattCalcs!AX35+BattCalcs!BC35)</f>
        <v>0</v>
      </c>
      <c r="Z35" s="144">
        <f>IF('PV IN'!$F$4="PV Only",0,BattCalcs!AY35+BattCalcs!BD35)</f>
        <v>0</v>
      </c>
      <c r="AA35" s="144">
        <f>IF('PV IN'!$F$4="PV Only",0,BattCalcs!AZ35+BattCalcs!BE35)</f>
        <v>0</v>
      </c>
      <c r="AB35" s="144">
        <f>IF('PV IN'!$F$4="PV Only",0,BattCalcs!BA35+BattCalcs!BF35)</f>
        <v>0</v>
      </c>
      <c r="AC35" s="144">
        <f>IF('PV IN'!$F$4="PV Only",0,BattCalcs!BB35+BattCalcs!BG35)</f>
        <v>0</v>
      </c>
      <c r="AD35" s="144">
        <f>IF('PV IN'!$F$4="PV Only",0,BattCalcs!BU35)</f>
        <v>0</v>
      </c>
      <c r="AE35" s="144">
        <f>IF('PV IN'!$F$4="PV Only",PVCalcs!W35+PVCalcs!AA35,IF('PV IN'!$F$4="Battery Only",BattCalcs!AV35+BattCalcs!BH35,PVCalcs!W35+PVCalcs!AA35+BattCalcs!AV35+BattCalcs!BH35))</f>
        <v>0</v>
      </c>
      <c r="AF35" s="10">
        <f>PVCalcs!AC35+BattCalcs!BJ35</f>
        <v>0</v>
      </c>
      <c r="AG35" s="144">
        <f>IF('PV IN'!$F$4="Battery Only",0,PVCalcs!AG35)</f>
        <v>-750</v>
      </c>
      <c r="AH35" s="144">
        <f>IF('PV IN'!$F$4="Battery Only",0,PVCalcs!AI35)</f>
        <v>0</v>
      </c>
      <c r="AI35" s="144">
        <f>IF('PV IN'!$F$4="PV Only",0,BattCalcs!BM35)</f>
        <v>0</v>
      </c>
      <c r="AJ35" s="144">
        <f>IF('PV IN'!$F$4="PV Only",0,SUM(BattCalcs!BO35:BT35))</f>
        <v>0</v>
      </c>
      <c r="AK35" s="144">
        <f>IF('PV IN'!$F$4="PV Only",PVCalcs!AH35,IF('PV IN'!$F$4="Battery Only",BattCalcs!BN35,PVCalcs!AH35+BattCalcs!BN35))</f>
        <v>-625</v>
      </c>
      <c r="AL35" s="144">
        <f>IF('PV IN'!$F$4="PV Only",0,BattCalcs!BV35)</f>
        <v>0</v>
      </c>
      <c r="AM35" s="144">
        <f>IF('PV IN'!$F$4="PV Only",0,SUM(BattCalcs!BW35:BX35))</f>
        <v>0</v>
      </c>
      <c r="AN35" s="144">
        <f>IF('PV IN'!$F$4="PV Only",0,BattCalcs!BY35)</f>
        <v>0</v>
      </c>
      <c r="AO35" s="144">
        <f>IF('PV IN'!$F$4="Battery Only",0,PVCalcs!U35)</f>
        <v>11230.034736995412</v>
      </c>
      <c r="AP35" s="10">
        <f>IF('PV IN'!$F$4="PV Only",0,BattCalcs!AS35)</f>
        <v>0</v>
      </c>
      <c r="AQ35" s="10">
        <f>IF('PV IN'!$F$4="PV Only",0,BattCalcs!AT35)</f>
        <v>0</v>
      </c>
      <c r="AR35" s="10">
        <f>IF('PV IN'!$F$4="PV Only",0,BattCalcs!AU35)</f>
        <v>0</v>
      </c>
      <c r="AS35" s="144">
        <f>IF('PV IN'!$F$4="PV Only",PVCalcs!X35,IF('PV IN'!$F$4="Battery Only",BattCalcs!AW35,PVCalcs!X35+BattCalcs!AW35))</f>
        <v>0</v>
      </c>
      <c r="AT35" s="144">
        <f>IF('PV IN'!$F$4="Battery Only",0,-PVCalcs!AQ35*'PV IN'!$E$8)</f>
        <v>0</v>
      </c>
      <c r="AU35" s="144">
        <f>IF('PV IN'!$F$4="PV Only",0,-BattCalcs!CG35*'PV IN'!$E$8)</f>
        <v>0</v>
      </c>
      <c r="AV35" s="144">
        <f>IF('PV IN'!$F$4="PV Only",PVCalcs!Z35+PVCalcs!AA35,IF('PV IN'!$F$4="Battery Only",SUM(BattCalcs!BC35:BH35),PVCalcs!Z35+PVCalcs!AA35+SUM(BattCalcs!BC35:BH35)))</f>
        <v>0</v>
      </c>
      <c r="AW35" s="144">
        <f>IF('PV IN'!$F$4="PV Only",SUM(PVCalcs!AF35:AI35),IF('PV IN'!$F$4="Battery Only",SUM(BattCalcs!BL35:BY35),SUM(PVCalcs!AF35:AI35)+SUM(BattCalcs!BL35:BY35)))</f>
        <v>-1375</v>
      </c>
      <c r="AX35" s="144">
        <f>IF('PV IN'!$F$4="Battery Only",0,-PVLoan!F63)</f>
        <v>0</v>
      </c>
      <c r="AY35" s="144">
        <f>IF('PV IN'!$F$4="PV Only",0,-BattLoan!F63)</f>
        <v>0</v>
      </c>
      <c r="AZ35" s="144">
        <f>IF('PV IN'!$F$4="Battery Only",0,-PVLoan!H63)</f>
        <v>0</v>
      </c>
      <c r="BA35" s="144">
        <f>IF('PV IN'!$F$4="PV Only",0,-BattLoan!H63)</f>
        <v>0</v>
      </c>
    </row>
    <row r="36" spans="1:88" x14ac:dyDescent="0.25">
      <c r="A36">
        <f>IF(C36&lt;='PV IN'!$O$22*12,C36,"")</f>
        <v>32</v>
      </c>
      <c r="C36">
        <v>32</v>
      </c>
      <c r="D36" s="2">
        <f>BattCalcs!CK36+PVCalcs!AT36</f>
        <v>12078.233469052071</v>
      </c>
      <c r="E36" s="20">
        <f>PVCalcs!AV36</f>
        <v>-846188.40632503491</v>
      </c>
      <c r="F36" s="20">
        <f>PVCalcs!AW36</f>
        <v>10604.705750742871</v>
      </c>
      <c r="G36" s="20">
        <f>PVCalcs!AX36</f>
        <v>-929003.40667435306</v>
      </c>
      <c r="H36" s="20">
        <f>BattCalcs!CM36</f>
        <v>0</v>
      </c>
      <c r="I36" s="20">
        <f>BattCalcs!CN36</f>
        <v>0</v>
      </c>
      <c r="J36" s="20">
        <f>IF(C36&lt;='Batt IN'!H$43*12,BattCalcs!CO36,NA())</f>
        <v>0</v>
      </c>
      <c r="L36" s="20">
        <f t="shared" si="3"/>
        <v>10604.705750742871</v>
      </c>
      <c r="M36" s="20">
        <f>G36+BattCalcs!CO36</f>
        <v>-929003.40667435306</v>
      </c>
      <c r="O36" s="10">
        <f>PVLoan!G64</f>
        <v>0</v>
      </c>
      <c r="P36" s="10">
        <f>PVLoan!J64</f>
        <v>0</v>
      </c>
      <c r="Q36" s="2">
        <f>BattLoan!G64</f>
        <v>0</v>
      </c>
      <c r="R36" s="10">
        <f>BattLoan!J64</f>
        <v>0</v>
      </c>
      <c r="T36" s="33">
        <f>IF('PV IN'!$F$4="Battery Only",0,PVCalcs!G36)</f>
        <v>149379.64783702465</v>
      </c>
      <c r="U36" s="33">
        <f>IF('PV IN'!$F$4="Battery Only",0,PVCalcs!M36)</f>
        <v>149379.64783702465</v>
      </c>
      <c r="V36" s="33">
        <f>PVCalcs!L36</f>
        <v>30812.599166666667</v>
      </c>
      <c r="W36" s="158">
        <f>PVCalcs!F36</f>
        <v>7.5127691152510362E-2</v>
      </c>
      <c r="X36" s="144">
        <f>IF('PV IN'!$F$4="Battery Only",0,PVCalcs!Y36+PVCalcs!Z36)</f>
        <v>1941.9354218813205</v>
      </c>
      <c r="Y36" s="144">
        <f>IF('PV IN'!$F$4="PV Only",0,BattCalcs!AX36+BattCalcs!BC36)</f>
        <v>0</v>
      </c>
      <c r="Z36" s="144">
        <f>IF('PV IN'!$F$4="PV Only",0,BattCalcs!AY36+BattCalcs!BD36)</f>
        <v>0</v>
      </c>
      <c r="AA36" s="144">
        <f>IF('PV IN'!$F$4="PV Only",0,BattCalcs!AZ36+BattCalcs!BE36)</f>
        <v>0</v>
      </c>
      <c r="AB36" s="144">
        <f>IF('PV IN'!$F$4="PV Only",0,BattCalcs!BA36+BattCalcs!BF36)</f>
        <v>0</v>
      </c>
      <c r="AC36" s="144">
        <f>IF('PV IN'!$F$4="PV Only",0,BattCalcs!BB36+BattCalcs!BG36)</f>
        <v>0</v>
      </c>
      <c r="AD36" s="144">
        <f>IF('PV IN'!$F$4="PV Only",0,BattCalcs!BU36)</f>
        <v>0</v>
      </c>
      <c r="AE36" s="144">
        <f>IF('PV IN'!$F$4="PV Only",PVCalcs!W36+PVCalcs!AA36,IF('PV IN'!$F$4="Battery Only",BattCalcs!AV36+BattCalcs!BH36,PVCalcs!W36+PVCalcs!AA36+BattCalcs!AV36+BattCalcs!BH36))</f>
        <v>0</v>
      </c>
      <c r="AF36" s="10">
        <f>PVCalcs!AC36+BattCalcs!BJ36</f>
        <v>0</v>
      </c>
      <c r="AG36" s="144">
        <f>IF('PV IN'!$F$4="Battery Only",0,PVCalcs!AG36)</f>
        <v>-750</v>
      </c>
      <c r="AH36" s="144">
        <f>IF('PV IN'!$F$4="Battery Only",0,PVCalcs!AI36)</f>
        <v>0</v>
      </c>
      <c r="AI36" s="144">
        <f>IF('PV IN'!$F$4="PV Only",0,BattCalcs!BM36)</f>
        <v>0</v>
      </c>
      <c r="AJ36" s="144">
        <f>IF('PV IN'!$F$4="PV Only",0,SUM(BattCalcs!BO36:BT36))</f>
        <v>0</v>
      </c>
      <c r="AK36" s="144">
        <f>IF('PV IN'!$F$4="PV Only",PVCalcs!AH36,IF('PV IN'!$F$4="Battery Only",BattCalcs!BN36,PVCalcs!AH36+BattCalcs!BN36))</f>
        <v>-625</v>
      </c>
      <c r="AL36" s="144">
        <f>IF('PV IN'!$F$4="PV Only",0,BattCalcs!BV36)</f>
        <v>0</v>
      </c>
      <c r="AM36" s="144">
        <f>IF('PV IN'!$F$4="PV Only",0,SUM(BattCalcs!BW36:BX36))</f>
        <v>0</v>
      </c>
      <c r="AN36" s="144">
        <f>IF('PV IN'!$F$4="PV Only",0,BattCalcs!BY36)</f>
        <v>0</v>
      </c>
      <c r="AO36" s="144">
        <f>IF('PV IN'!$F$4="Battery Only",0,PVCalcs!U36)</f>
        <v>11222.548047170751</v>
      </c>
      <c r="AP36" s="10">
        <f>IF('PV IN'!$F$4="PV Only",0,BattCalcs!AS36)</f>
        <v>0</v>
      </c>
      <c r="AQ36" s="10">
        <f>IF('PV IN'!$F$4="PV Only",0,BattCalcs!AT36)</f>
        <v>0</v>
      </c>
      <c r="AR36" s="10">
        <f>IF('PV IN'!$F$4="PV Only",0,BattCalcs!AU36)</f>
        <v>0</v>
      </c>
      <c r="AS36" s="144">
        <f>IF('PV IN'!$F$4="PV Only",PVCalcs!X36,IF('PV IN'!$F$4="Battery Only",BattCalcs!AW36,PVCalcs!X36+BattCalcs!AW36))</f>
        <v>0</v>
      </c>
      <c r="AT36" s="144">
        <f>IF('PV IN'!$F$4="Battery Only",0,-PVCalcs!AQ36*'PV IN'!$E$8)</f>
        <v>0</v>
      </c>
      <c r="AU36" s="144">
        <f>IF('PV IN'!$F$4="PV Only",0,-BattCalcs!CG36*'PV IN'!$E$8)</f>
        <v>0</v>
      </c>
      <c r="AV36" s="144">
        <f>IF('PV IN'!$F$4="PV Only",PVCalcs!Z36+PVCalcs!AA36,IF('PV IN'!$F$4="Battery Only",SUM(BattCalcs!BC36:BH36),PVCalcs!Z36+PVCalcs!AA36+SUM(BattCalcs!BC36:BH36)))</f>
        <v>0</v>
      </c>
      <c r="AW36" s="144">
        <f>IF('PV IN'!$F$4="PV Only",SUM(PVCalcs!AF36:AI36),IF('PV IN'!$F$4="Battery Only",SUM(BattCalcs!BL36:BY36),SUM(PVCalcs!AF36:AI36)+SUM(BattCalcs!BL36:BY36)))</f>
        <v>-1375</v>
      </c>
      <c r="AX36" s="144">
        <f>IF('PV IN'!$F$4="Battery Only",0,-PVLoan!F64)</f>
        <v>0</v>
      </c>
      <c r="AY36" s="144">
        <f>IF('PV IN'!$F$4="PV Only",0,-BattLoan!F64)</f>
        <v>0</v>
      </c>
      <c r="AZ36" s="144">
        <f>IF('PV IN'!$F$4="Battery Only",0,-PVLoan!H64)</f>
        <v>0</v>
      </c>
      <c r="BA36" s="144">
        <f>IF('PV IN'!$F$4="PV Only",0,-BattLoan!H64)</f>
        <v>0</v>
      </c>
    </row>
    <row r="37" spans="1:88" x14ac:dyDescent="0.25">
      <c r="A37">
        <f>IF(C37&lt;='PV IN'!$O$22*12,C37,"")</f>
        <v>33</v>
      </c>
      <c r="C37">
        <v>33</v>
      </c>
      <c r="D37" s="2">
        <f>BattCalcs!CK37+PVCalcs!AT37</f>
        <v>12069.457146739369</v>
      </c>
      <c r="E37" s="20">
        <f>PVCalcs!AV37</f>
        <v>-834118.94917829556</v>
      </c>
      <c r="F37" s="20">
        <f>PVCalcs!AW37</f>
        <v>10554.001817752174</v>
      </c>
      <c r="G37" s="20">
        <f>PVCalcs!AX37</f>
        <v>-918449.40485660092</v>
      </c>
      <c r="H37" s="20">
        <f>BattCalcs!CM37</f>
        <v>0</v>
      </c>
      <c r="I37" s="20">
        <f>BattCalcs!CN37</f>
        <v>0</v>
      </c>
      <c r="J37" s="20">
        <f>IF(C37&lt;='Batt IN'!H$43*12,BattCalcs!CO37,NA())</f>
        <v>0</v>
      </c>
      <c r="L37" s="20">
        <f t="shared" si="3"/>
        <v>10554.001817752174</v>
      </c>
      <c r="M37" s="20">
        <f>G37+BattCalcs!CO37</f>
        <v>-918449.40485660092</v>
      </c>
      <c r="O37" s="10">
        <f>PVLoan!G65</f>
        <v>0</v>
      </c>
      <c r="P37" s="10">
        <f>PVLoan!J65</f>
        <v>0</v>
      </c>
      <c r="Q37" s="2">
        <f>BattLoan!G65</f>
        <v>0</v>
      </c>
      <c r="R37" s="10">
        <f>BattLoan!J65</f>
        <v>0</v>
      </c>
      <c r="T37" s="33">
        <f>IF('PV IN'!$F$4="Battery Only",0,PVCalcs!G37)</f>
        <v>149280.06140513328</v>
      </c>
      <c r="U37" s="33">
        <f>IF('PV IN'!$F$4="Battery Only",0,PVCalcs!M37)</f>
        <v>149280.06140513328</v>
      </c>
      <c r="V37" s="33">
        <f>PVCalcs!L37</f>
        <v>30812.599166666667</v>
      </c>
      <c r="W37" s="158">
        <f>PVCalcs!F37</f>
        <v>7.5127691152510362E-2</v>
      </c>
      <c r="X37" s="144">
        <f>IF('PV IN'!$F$4="Battery Only",0,PVCalcs!Y37+PVCalcs!Z37)</f>
        <v>1940.6407982667326</v>
      </c>
      <c r="Y37" s="144">
        <f>IF('PV IN'!$F$4="PV Only",0,BattCalcs!AX37+BattCalcs!BC37)</f>
        <v>0</v>
      </c>
      <c r="Z37" s="144">
        <f>IF('PV IN'!$F$4="PV Only",0,BattCalcs!AY37+BattCalcs!BD37)</f>
        <v>0</v>
      </c>
      <c r="AA37" s="144">
        <f>IF('PV IN'!$F$4="PV Only",0,BattCalcs!AZ37+BattCalcs!BE37)</f>
        <v>0</v>
      </c>
      <c r="AB37" s="144">
        <f>IF('PV IN'!$F$4="PV Only",0,BattCalcs!BA37+BattCalcs!BF37)</f>
        <v>0</v>
      </c>
      <c r="AC37" s="144">
        <f>IF('PV IN'!$F$4="PV Only",0,BattCalcs!BB37+BattCalcs!BG37)</f>
        <v>0</v>
      </c>
      <c r="AD37" s="144">
        <f>IF('PV IN'!$F$4="PV Only",0,BattCalcs!BU37)</f>
        <v>0</v>
      </c>
      <c r="AE37" s="144">
        <f>IF('PV IN'!$F$4="PV Only",PVCalcs!W37+PVCalcs!AA37,IF('PV IN'!$F$4="Battery Only",BattCalcs!AV37+BattCalcs!BH37,PVCalcs!W37+PVCalcs!AA37+BattCalcs!AV37+BattCalcs!BH37))</f>
        <v>0</v>
      </c>
      <c r="AF37" s="10">
        <f>PVCalcs!AC37+BattCalcs!BJ37</f>
        <v>0</v>
      </c>
      <c r="AG37" s="144">
        <f>IF('PV IN'!$F$4="Battery Only",0,PVCalcs!AG37)</f>
        <v>-750</v>
      </c>
      <c r="AH37" s="144">
        <f>IF('PV IN'!$F$4="Battery Only",0,PVCalcs!AI37)</f>
        <v>0</v>
      </c>
      <c r="AI37" s="144">
        <f>IF('PV IN'!$F$4="PV Only",0,BattCalcs!BM37)</f>
        <v>0</v>
      </c>
      <c r="AJ37" s="144">
        <f>IF('PV IN'!$F$4="PV Only",0,SUM(BattCalcs!BO37:BT37))</f>
        <v>0</v>
      </c>
      <c r="AK37" s="144">
        <f>IF('PV IN'!$F$4="PV Only",PVCalcs!AH37,IF('PV IN'!$F$4="Battery Only",BattCalcs!BN37,PVCalcs!AH37+BattCalcs!BN37))</f>
        <v>-625</v>
      </c>
      <c r="AL37" s="144">
        <f>IF('PV IN'!$F$4="PV Only",0,BattCalcs!BV37)</f>
        <v>0</v>
      </c>
      <c r="AM37" s="144">
        <f>IF('PV IN'!$F$4="PV Only",0,SUM(BattCalcs!BW37:BX37))</f>
        <v>0</v>
      </c>
      <c r="AN37" s="144">
        <f>IF('PV IN'!$F$4="PV Only",0,BattCalcs!BY37)</f>
        <v>0</v>
      </c>
      <c r="AO37" s="144">
        <f>IF('PV IN'!$F$4="Battery Only",0,PVCalcs!U37)</f>
        <v>11215.066348472636</v>
      </c>
      <c r="AP37" s="10">
        <f>IF('PV IN'!$F$4="PV Only",0,BattCalcs!AS37)</f>
        <v>0</v>
      </c>
      <c r="AQ37" s="10">
        <f>IF('PV IN'!$F$4="PV Only",0,BattCalcs!AT37)</f>
        <v>0</v>
      </c>
      <c r="AR37" s="10">
        <f>IF('PV IN'!$F$4="PV Only",0,BattCalcs!AU37)</f>
        <v>0</v>
      </c>
      <c r="AS37" s="144">
        <f>IF('PV IN'!$F$4="PV Only",PVCalcs!X37,IF('PV IN'!$F$4="Battery Only",BattCalcs!AW37,PVCalcs!X37+BattCalcs!AW37))</f>
        <v>0</v>
      </c>
      <c r="AT37" s="144">
        <f>IF('PV IN'!$F$4="Battery Only",0,-PVCalcs!AQ37*'PV IN'!$E$8)</f>
        <v>0</v>
      </c>
      <c r="AU37" s="144">
        <f>IF('PV IN'!$F$4="PV Only",0,-BattCalcs!CG37*'PV IN'!$E$8)</f>
        <v>0</v>
      </c>
      <c r="AV37" s="144">
        <f>IF('PV IN'!$F$4="PV Only",PVCalcs!Z37+PVCalcs!AA37,IF('PV IN'!$F$4="Battery Only",SUM(BattCalcs!BC37:BH37),PVCalcs!Z37+PVCalcs!AA37+SUM(BattCalcs!BC37:BH37)))</f>
        <v>0</v>
      </c>
      <c r="AW37" s="144">
        <f>IF('PV IN'!$F$4="PV Only",SUM(PVCalcs!AF37:AI37),IF('PV IN'!$F$4="Battery Only",SUM(BattCalcs!BL37:BY37),SUM(PVCalcs!AF37:AI37)+SUM(BattCalcs!BL37:BY37)))</f>
        <v>-1375</v>
      </c>
      <c r="AX37" s="144">
        <f>IF('PV IN'!$F$4="Battery Only",0,-PVLoan!F65)</f>
        <v>0</v>
      </c>
      <c r="AY37" s="144">
        <f>IF('PV IN'!$F$4="PV Only",0,-BattLoan!F65)</f>
        <v>0</v>
      </c>
      <c r="AZ37" s="144">
        <f>IF('PV IN'!$F$4="Battery Only",0,-PVLoan!H65)</f>
        <v>0</v>
      </c>
      <c r="BA37" s="144">
        <f>IF('PV IN'!$F$4="PV Only",0,-BattLoan!H65)</f>
        <v>0</v>
      </c>
    </row>
    <row r="38" spans="1:88" x14ac:dyDescent="0.25">
      <c r="A38">
        <f>IF(C38&lt;='PV IN'!$O$22*12,C38,"")</f>
        <v>34</v>
      </c>
      <c r="C38">
        <v>34</v>
      </c>
      <c r="D38" s="2">
        <f>BattCalcs!CK38+PVCalcs!AT38</f>
        <v>12060.686675308207</v>
      </c>
      <c r="E38" s="20">
        <f>PVCalcs!AV38</f>
        <v>-822058.2625029874</v>
      </c>
      <c r="F38" s="20">
        <f>PVCalcs!AW38</f>
        <v>10503.539855559678</v>
      </c>
      <c r="G38" s="20">
        <f>PVCalcs!AX38</f>
        <v>-907945.86500104121</v>
      </c>
      <c r="H38" s="20">
        <f>BattCalcs!CM38</f>
        <v>0</v>
      </c>
      <c r="I38" s="20">
        <f>BattCalcs!CN38</f>
        <v>0</v>
      </c>
      <c r="J38" s="20">
        <f>IF(C38&lt;='Batt IN'!H$43*12,BattCalcs!CO38,NA())</f>
        <v>0</v>
      </c>
      <c r="L38" s="20">
        <f t="shared" si="3"/>
        <v>10503.539855559678</v>
      </c>
      <c r="M38" s="20">
        <f>G38+BattCalcs!CO38</f>
        <v>-907945.86500104121</v>
      </c>
      <c r="O38" s="10">
        <f>PVLoan!G66</f>
        <v>0</v>
      </c>
      <c r="P38" s="10">
        <f>PVLoan!J66</f>
        <v>0</v>
      </c>
      <c r="Q38" s="2">
        <f>BattLoan!G66</f>
        <v>0</v>
      </c>
      <c r="R38" s="10">
        <f>BattLoan!J66</f>
        <v>0</v>
      </c>
      <c r="T38" s="33">
        <f>IF('PV IN'!$F$4="Battery Only",0,PVCalcs!G38)</f>
        <v>149180.54136419651</v>
      </c>
      <c r="U38" s="33">
        <f>IF('PV IN'!$F$4="Battery Only",0,PVCalcs!M38)</f>
        <v>149180.54136419651</v>
      </c>
      <c r="V38" s="33">
        <f>PVCalcs!L38</f>
        <v>30812.599166666667</v>
      </c>
      <c r="W38" s="158">
        <f>PVCalcs!F38</f>
        <v>7.5127691152510362E-2</v>
      </c>
      <c r="X38" s="144">
        <f>IF('PV IN'!$F$4="Battery Only",0,PVCalcs!Y38+PVCalcs!Z38)</f>
        <v>1939.3470377345545</v>
      </c>
      <c r="Y38" s="144">
        <f>IF('PV IN'!$F$4="PV Only",0,BattCalcs!AX38+BattCalcs!BC38)</f>
        <v>0</v>
      </c>
      <c r="Z38" s="144">
        <f>IF('PV IN'!$F$4="PV Only",0,BattCalcs!AY38+BattCalcs!BD38)</f>
        <v>0</v>
      </c>
      <c r="AA38" s="144">
        <f>IF('PV IN'!$F$4="PV Only",0,BattCalcs!AZ38+BattCalcs!BE38)</f>
        <v>0</v>
      </c>
      <c r="AB38" s="144">
        <f>IF('PV IN'!$F$4="PV Only",0,BattCalcs!BA38+BattCalcs!BF38)</f>
        <v>0</v>
      </c>
      <c r="AC38" s="144">
        <f>IF('PV IN'!$F$4="PV Only",0,BattCalcs!BB38+BattCalcs!BG38)</f>
        <v>0</v>
      </c>
      <c r="AD38" s="144">
        <f>IF('PV IN'!$F$4="PV Only",0,BattCalcs!BU38)</f>
        <v>0</v>
      </c>
      <c r="AE38" s="144">
        <f>IF('PV IN'!$F$4="PV Only",PVCalcs!W38+PVCalcs!AA38,IF('PV IN'!$F$4="Battery Only",BattCalcs!AV38+BattCalcs!BH38,PVCalcs!W38+PVCalcs!AA38+BattCalcs!AV38+BattCalcs!BH38))</f>
        <v>0</v>
      </c>
      <c r="AF38" s="10">
        <f>PVCalcs!AC38+BattCalcs!BJ38</f>
        <v>0</v>
      </c>
      <c r="AG38" s="144">
        <f>IF('PV IN'!$F$4="Battery Only",0,PVCalcs!AG38)</f>
        <v>-750</v>
      </c>
      <c r="AH38" s="144">
        <f>IF('PV IN'!$F$4="Battery Only",0,PVCalcs!AI38)</f>
        <v>0</v>
      </c>
      <c r="AI38" s="144">
        <f>IF('PV IN'!$F$4="PV Only",0,BattCalcs!BM38)</f>
        <v>0</v>
      </c>
      <c r="AJ38" s="144">
        <f>IF('PV IN'!$F$4="PV Only",0,SUM(BattCalcs!BO38:BT38))</f>
        <v>0</v>
      </c>
      <c r="AK38" s="144">
        <f>IF('PV IN'!$F$4="PV Only",PVCalcs!AH38,IF('PV IN'!$F$4="Battery Only",BattCalcs!BN38,PVCalcs!AH38+BattCalcs!BN38))</f>
        <v>-625</v>
      </c>
      <c r="AL38" s="144">
        <f>IF('PV IN'!$F$4="PV Only",0,BattCalcs!BV38)</f>
        <v>0</v>
      </c>
      <c r="AM38" s="144">
        <f>IF('PV IN'!$F$4="PV Only",0,SUM(BattCalcs!BW38:BX38))</f>
        <v>0</v>
      </c>
      <c r="AN38" s="144">
        <f>IF('PV IN'!$F$4="PV Only",0,BattCalcs!BY38)</f>
        <v>0</v>
      </c>
      <c r="AO38" s="144">
        <f>IF('PV IN'!$F$4="Battery Only",0,PVCalcs!U38)</f>
        <v>11207.589637573652</v>
      </c>
      <c r="AP38" s="10">
        <f>IF('PV IN'!$F$4="PV Only",0,BattCalcs!AS38)</f>
        <v>0</v>
      </c>
      <c r="AQ38" s="10">
        <f>IF('PV IN'!$F$4="PV Only",0,BattCalcs!AT38)</f>
        <v>0</v>
      </c>
      <c r="AR38" s="10">
        <f>IF('PV IN'!$F$4="PV Only",0,BattCalcs!AU38)</f>
        <v>0</v>
      </c>
      <c r="AS38" s="144">
        <f>IF('PV IN'!$F$4="PV Only",PVCalcs!X38,IF('PV IN'!$F$4="Battery Only",BattCalcs!AW38,PVCalcs!X38+BattCalcs!AW38))</f>
        <v>0</v>
      </c>
      <c r="AT38" s="144">
        <f>IF('PV IN'!$F$4="Battery Only",0,-PVCalcs!AQ38*'PV IN'!$E$8)</f>
        <v>0</v>
      </c>
      <c r="AU38" s="144">
        <f>IF('PV IN'!$F$4="PV Only",0,-BattCalcs!CG38*'PV IN'!$E$8)</f>
        <v>0</v>
      </c>
      <c r="AV38" s="144">
        <f>IF('PV IN'!$F$4="PV Only",PVCalcs!Z38+PVCalcs!AA38,IF('PV IN'!$F$4="Battery Only",SUM(BattCalcs!BC38:BH38),PVCalcs!Z38+PVCalcs!AA38+SUM(BattCalcs!BC38:BH38)))</f>
        <v>0</v>
      </c>
      <c r="AW38" s="144">
        <f>IF('PV IN'!$F$4="PV Only",SUM(PVCalcs!AF38:AI38),IF('PV IN'!$F$4="Battery Only",SUM(BattCalcs!BL38:BY38),SUM(PVCalcs!AF38:AI38)+SUM(BattCalcs!BL38:BY38)))</f>
        <v>-1375</v>
      </c>
      <c r="AX38" s="144">
        <f>IF('PV IN'!$F$4="Battery Only",0,-PVLoan!F66)</f>
        <v>0</v>
      </c>
      <c r="AY38" s="144">
        <f>IF('PV IN'!$F$4="PV Only",0,-BattLoan!F66)</f>
        <v>0</v>
      </c>
      <c r="AZ38" s="144">
        <f>IF('PV IN'!$F$4="Battery Only",0,-PVLoan!H66)</f>
        <v>0</v>
      </c>
      <c r="BA38" s="144">
        <f>IF('PV IN'!$F$4="PV Only",0,-BattLoan!H66)</f>
        <v>0</v>
      </c>
    </row>
    <row r="39" spans="1:88" x14ac:dyDescent="0.25">
      <c r="A39">
        <f>IF(C39&lt;='PV IN'!$O$22*12,C39,"")</f>
        <v>35</v>
      </c>
      <c r="C39">
        <v>35</v>
      </c>
      <c r="D39" s="2">
        <f>BattCalcs!CK39+PVCalcs!AT39</f>
        <v>12051.922050858</v>
      </c>
      <c r="E39" s="20">
        <f>PVCalcs!AV39</f>
        <v>-810006.34045212937</v>
      </c>
      <c r="F39" s="20">
        <f>PVCalcs!AW39</f>
        <v>10453.318711261451</v>
      </c>
      <c r="G39" s="20">
        <f>PVCalcs!AX39</f>
        <v>-897492.54628977971</v>
      </c>
      <c r="H39" s="20">
        <f>BattCalcs!CM39</f>
        <v>0</v>
      </c>
      <c r="I39" s="20">
        <f>BattCalcs!CN39</f>
        <v>0</v>
      </c>
      <c r="J39" s="20">
        <f>IF(C39&lt;='Batt IN'!H$43*12,BattCalcs!CO39,NA())</f>
        <v>0</v>
      </c>
      <c r="L39" s="20">
        <f t="shared" si="3"/>
        <v>10453.318711261451</v>
      </c>
      <c r="M39" s="20">
        <f>G39+BattCalcs!CO39</f>
        <v>-897492.54628977971</v>
      </c>
      <c r="O39" s="10">
        <f>PVLoan!G67</f>
        <v>0</v>
      </c>
      <c r="P39" s="10">
        <f>PVLoan!J67</f>
        <v>0</v>
      </c>
      <c r="Q39" s="2">
        <f>BattLoan!G67</f>
        <v>0</v>
      </c>
      <c r="R39" s="10">
        <f>BattLoan!J67</f>
        <v>0</v>
      </c>
      <c r="T39" s="33">
        <f>IF('PV IN'!$F$4="Battery Only",0,PVCalcs!G39)</f>
        <v>149081.0876699537</v>
      </c>
      <c r="U39" s="33">
        <f>IF('PV IN'!$F$4="Battery Only",0,PVCalcs!M39)</f>
        <v>149081.0876699537</v>
      </c>
      <c r="V39" s="33">
        <f>PVCalcs!L39</f>
        <v>30812.599166666667</v>
      </c>
      <c r="W39" s="158">
        <f>PVCalcs!F39</f>
        <v>7.5127691152510362E-2</v>
      </c>
      <c r="X39" s="144">
        <f>IF('PV IN'!$F$4="Battery Only",0,PVCalcs!Y39+PVCalcs!Z39)</f>
        <v>1938.0541397093982</v>
      </c>
      <c r="Y39" s="144">
        <f>IF('PV IN'!$F$4="PV Only",0,BattCalcs!AX39+BattCalcs!BC39)</f>
        <v>0</v>
      </c>
      <c r="Z39" s="144">
        <f>IF('PV IN'!$F$4="PV Only",0,BattCalcs!AY39+BattCalcs!BD39)</f>
        <v>0</v>
      </c>
      <c r="AA39" s="144">
        <f>IF('PV IN'!$F$4="PV Only",0,BattCalcs!AZ39+BattCalcs!BE39)</f>
        <v>0</v>
      </c>
      <c r="AB39" s="144">
        <f>IF('PV IN'!$F$4="PV Only",0,BattCalcs!BA39+BattCalcs!BF39)</f>
        <v>0</v>
      </c>
      <c r="AC39" s="144">
        <f>IF('PV IN'!$F$4="PV Only",0,BattCalcs!BB39+BattCalcs!BG39)</f>
        <v>0</v>
      </c>
      <c r="AD39" s="144">
        <f>IF('PV IN'!$F$4="PV Only",0,BattCalcs!BU39)</f>
        <v>0</v>
      </c>
      <c r="AE39" s="144">
        <f>IF('PV IN'!$F$4="PV Only",PVCalcs!W39+PVCalcs!AA39,IF('PV IN'!$F$4="Battery Only",BattCalcs!AV39+BattCalcs!BH39,PVCalcs!W39+PVCalcs!AA39+BattCalcs!AV39+BattCalcs!BH39))</f>
        <v>0</v>
      </c>
      <c r="AF39" s="10">
        <f>PVCalcs!AC39+BattCalcs!BJ39</f>
        <v>0</v>
      </c>
      <c r="AG39" s="144">
        <f>IF('PV IN'!$F$4="Battery Only",0,PVCalcs!AG39)</f>
        <v>-750</v>
      </c>
      <c r="AH39" s="144">
        <f>IF('PV IN'!$F$4="Battery Only",0,PVCalcs!AI39)</f>
        <v>0</v>
      </c>
      <c r="AI39" s="144">
        <f>IF('PV IN'!$F$4="PV Only",0,BattCalcs!BM39)</f>
        <v>0</v>
      </c>
      <c r="AJ39" s="144">
        <f>IF('PV IN'!$F$4="PV Only",0,SUM(BattCalcs!BO39:BT39))</f>
        <v>0</v>
      </c>
      <c r="AK39" s="144">
        <f>IF('PV IN'!$F$4="PV Only",PVCalcs!AH39,IF('PV IN'!$F$4="Battery Only",BattCalcs!BN39,PVCalcs!AH39+BattCalcs!BN39))</f>
        <v>-625</v>
      </c>
      <c r="AL39" s="144">
        <f>IF('PV IN'!$F$4="PV Only",0,BattCalcs!BV39)</f>
        <v>0</v>
      </c>
      <c r="AM39" s="144">
        <f>IF('PV IN'!$F$4="PV Only",0,SUM(BattCalcs!BW39:BX39))</f>
        <v>0</v>
      </c>
      <c r="AN39" s="144">
        <f>IF('PV IN'!$F$4="PV Only",0,BattCalcs!BY39)</f>
        <v>0</v>
      </c>
      <c r="AO39" s="144">
        <f>IF('PV IN'!$F$4="Battery Only",0,PVCalcs!U39)</f>
        <v>11200.117911148602</v>
      </c>
      <c r="AP39" s="10">
        <f>IF('PV IN'!$F$4="PV Only",0,BattCalcs!AS39)</f>
        <v>0</v>
      </c>
      <c r="AQ39" s="10">
        <f>IF('PV IN'!$F$4="PV Only",0,BattCalcs!AT39)</f>
        <v>0</v>
      </c>
      <c r="AR39" s="10">
        <f>IF('PV IN'!$F$4="PV Only",0,BattCalcs!AU39)</f>
        <v>0</v>
      </c>
      <c r="AS39" s="144">
        <f>IF('PV IN'!$F$4="PV Only",PVCalcs!X39,IF('PV IN'!$F$4="Battery Only",BattCalcs!AW39,PVCalcs!X39+BattCalcs!AW39))</f>
        <v>0</v>
      </c>
      <c r="AT39" s="144">
        <f>IF('PV IN'!$F$4="Battery Only",0,-PVCalcs!AQ39*'PV IN'!$E$8)</f>
        <v>0</v>
      </c>
      <c r="AU39" s="144">
        <f>IF('PV IN'!$F$4="PV Only",0,-BattCalcs!CG39*'PV IN'!$E$8)</f>
        <v>0</v>
      </c>
      <c r="AV39" s="144">
        <f>IF('PV IN'!$F$4="PV Only",PVCalcs!Z39+PVCalcs!AA39,IF('PV IN'!$F$4="Battery Only",SUM(BattCalcs!BC39:BH39),PVCalcs!Z39+PVCalcs!AA39+SUM(BattCalcs!BC39:BH39)))</f>
        <v>0</v>
      </c>
      <c r="AW39" s="144">
        <f>IF('PV IN'!$F$4="PV Only",SUM(PVCalcs!AF39:AI39),IF('PV IN'!$F$4="Battery Only",SUM(BattCalcs!BL39:BY39),SUM(PVCalcs!AF39:AI39)+SUM(BattCalcs!BL39:BY39)))</f>
        <v>-1375</v>
      </c>
      <c r="AX39" s="144">
        <f>IF('PV IN'!$F$4="Battery Only",0,-PVLoan!F67)</f>
        <v>0</v>
      </c>
      <c r="AY39" s="144">
        <f>IF('PV IN'!$F$4="PV Only",0,-BattLoan!F67)</f>
        <v>0</v>
      </c>
      <c r="AZ39" s="144">
        <f>IF('PV IN'!$F$4="Battery Only",0,-PVLoan!H67)</f>
        <v>0</v>
      </c>
      <c r="BA39" s="144">
        <f>IF('PV IN'!$F$4="PV Only",0,-BattLoan!H67)</f>
        <v>0</v>
      </c>
    </row>
    <row r="40" spans="1:88" x14ac:dyDescent="0.25">
      <c r="A40">
        <f>IF(C40&lt;='PV IN'!$O$22*12,C40,"")</f>
        <v>36</v>
      </c>
      <c r="B40">
        <f>B28+1</f>
        <v>2028</v>
      </c>
      <c r="C40">
        <v>36</v>
      </c>
      <c r="D40" s="2">
        <f>BattCalcs!CK40+PVCalcs!AT40</f>
        <v>45244.163269490702</v>
      </c>
      <c r="E40" s="20">
        <f>PVCalcs!AV40</f>
        <v>-764762.17718263867</v>
      </c>
      <c r="F40" s="20">
        <f>PVCalcs!AW40</f>
        <v>39083.609346282734</v>
      </c>
      <c r="G40" s="20">
        <f>PVCalcs!AX40</f>
        <v>-858408.93694349693</v>
      </c>
      <c r="H40" s="20">
        <f>BattCalcs!CM40</f>
        <v>0</v>
      </c>
      <c r="I40" s="20">
        <f>BattCalcs!CN40</f>
        <v>0</v>
      </c>
      <c r="J40" s="20">
        <f>IF(C40&lt;='Batt IN'!H$43*12,BattCalcs!CO40,NA())</f>
        <v>0</v>
      </c>
      <c r="L40" s="20">
        <f t="shared" si="3"/>
        <v>39083.609346282734</v>
      </c>
      <c r="M40" s="20">
        <f>G40+BattCalcs!CO40</f>
        <v>-858408.93694349693</v>
      </c>
      <c r="O40" s="10">
        <f>PVLoan!G68</f>
        <v>0</v>
      </c>
      <c r="P40" s="10">
        <f>PVLoan!J68</f>
        <v>0</v>
      </c>
      <c r="Q40" s="2">
        <f>BattLoan!G68</f>
        <v>0</v>
      </c>
      <c r="R40" s="10">
        <f>BattLoan!J68</f>
        <v>0</v>
      </c>
      <c r="T40" s="33">
        <f>IF('PV IN'!$F$4="Battery Only",0,PVCalcs!G40)</f>
        <v>148981.70027817375</v>
      </c>
      <c r="U40" s="33">
        <f>IF('PV IN'!$F$4="Battery Only",0,PVCalcs!M40)</f>
        <v>148981.70027817375</v>
      </c>
      <c r="V40" s="33">
        <f>PVCalcs!L40</f>
        <v>30812.599166666667</v>
      </c>
      <c r="W40" s="158">
        <f>PVCalcs!F40</f>
        <v>7.5127691152510362E-2</v>
      </c>
      <c r="X40" s="144">
        <f>IF('PV IN'!$F$4="Battery Only",0,PVCalcs!Y40+PVCalcs!Z40)</f>
        <v>1936.7621036162589</v>
      </c>
      <c r="Y40" s="144">
        <f>IF('PV IN'!$F$4="PV Only",0,BattCalcs!AX40+BattCalcs!BC40)</f>
        <v>0</v>
      </c>
      <c r="Z40" s="144">
        <f>IF('PV IN'!$F$4="PV Only",0,BattCalcs!AY40+BattCalcs!BD40)</f>
        <v>0</v>
      </c>
      <c r="AA40" s="144">
        <f>IF('PV IN'!$F$4="PV Only",0,BattCalcs!AZ40+BattCalcs!BE40)</f>
        <v>0</v>
      </c>
      <c r="AB40" s="144">
        <f>IF('PV IN'!$F$4="PV Only",0,BattCalcs!BA40+BattCalcs!BF40)</f>
        <v>0</v>
      </c>
      <c r="AC40" s="144">
        <f>IF('PV IN'!$F$4="PV Only",0,BattCalcs!BB40+BattCalcs!BG40)</f>
        <v>0</v>
      </c>
      <c r="AD40" s="144">
        <f>IF('PV IN'!$F$4="PV Only",0,BattCalcs!BU40)</f>
        <v>0</v>
      </c>
      <c r="AE40" s="144">
        <f>IF('PV IN'!$F$4="PV Only",PVCalcs!W40+PVCalcs!AA40,IF('PV IN'!$F$4="Battery Only",BattCalcs!AV40+BattCalcs!BH40,PVCalcs!W40+PVCalcs!AA40+BattCalcs!AV40+BattCalcs!BH40))</f>
        <v>0</v>
      </c>
      <c r="AF40" s="10">
        <f>PVCalcs!AC40+BattCalcs!BJ40</f>
        <v>0</v>
      </c>
      <c r="AG40" s="144">
        <f>IF('PV IN'!$F$4="Battery Only",0,PVCalcs!AG40)</f>
        <v>-750</v>
      </c>
      <c r="AH40" s="144">
        <f>IF('PV IN'!$F$4="Battery Only",0,PVCalcs!AI40)</f>
        <v>0</v>
      </c>
      <c r="AI40" s="144">
        <f>IF('PV IN'!$F$4="PV Only",0,BattCalcs!BM40)</f>
        <v>0</v>
      </c>
      <c r="AJ40" s="144">
        <f>IF('PV IN'!$F$4="PV Only",0,SUM(BattCalcs!BO40:BT40))</f>
        <v>0</v>
      </c>
      <c r="AK40" s="144">
        <f>IF('PV IN'!$F$4="PV Only",PVCalcs!AH40,IF('PV IN'!$F$4="Battery Only",BattCalcs!BN40,PVCalcs!AH40+BattCalcs!BN40))</f>
        <v>-625</v>
      </c>
      <c r="AL40" s="144">
        <f>IF('PV IN'!$F$4="PV Only",0,BattCalcs!BV40)</f>
        <v>0</v>
      </c>
      <c r="AM40" s="144">
        <f>IF('PV IN'!$F$4="PV Only",0,SUM(BattCalcs!BW40:BX40))</f>
        <v>0</v>
      </c>
      <c r="AN40" s="144">
        <f>IF('PV IN'!$F$4="PV Only",0,BattCalcs!BY40)</f>
        <v>0</v>
      </c>
      <c r="AO40" s="144">
        <f>IF('PV IN'!$F$4="Battery Only",0,PVCalcs!U40)</f>
        <v>11192.651165874506</v>
      </c>
      <c r="AP40" s="10">
        <f>IF('PV IN'!$F$4="PV Only",0,BattCalcs!AS40)</f>
        <v>0</v>
      </c>
      <c r="AQ40" s="10">
        <f>IF('PV IN'!$F$4="PV Only",0,BattCalcs!AT40)</f>
        <v>0</v>
      </c>
      <c r="AR40" s="10">
        <f>IF('PV IN'!$F$4="PV Only",0,BattCalcs!AU40)</f>
        <v>0</v>
      </c>
      <c r="AS40" s="144">
        <f>IF('PV IN'!$F$4="PV Only",PVCalcs!X40,IF('PV IN'!$F$4="Battery Only",BattCalcs!AW40,PVCalcs!X40+BattCalcs!AW40))</f>
        <v>0</v>
      </c>
      <c r="AT40" s="144">
        <f>IF('PV IN'!$F$4="Battery Only",0,-PVCalcs!AQ40*'PV IN'!$E$8)</f>
        <v>33200.999999999935</v>
      </c>
      <c r="AU40" s="144">
        <f>IF('PV IN'!$F$4="PV Only",0,-BattCalcs!CG40*'PV IN'!$E$8)</f>
        <v>0</v>
      </c>
      <c r="AV40" s="144">
        <f>IF('PV IN'!$F$4="PV Only",PVCalcs!Z40+PVCalcs!AA40,IF('PV IN'!$F$4="Battery Only",SUM(BattCalcs!BC40:BH40),PVCalcs!Z40+PVCalcs!AA40+SUM(BattCalcs!BC40:BH40)))</f>
        <v>0</v>
      </c>
      <c r="AW40" s="144">
        <f>IF('PV IN'!$F$4="PV Only",SUM(PVCalcs!AF40:AI40),IF('PV IN'!$F$4="Battery Only",SUM(BattCalcs!BL40:BY40),SUM(PVCalcs!AF40:AI40)+SUM(BattCalcs!BL40:BY40)))</f>
        <v>-1375</v>
      </c>
      <c r="AX40" s="144">
        <f>IF('PV IN'!$F$4="Battery Only",0,-PVLoan!F68)</f>
        <v>0</v>
      </c>
      <c r="AY40" s="144">
        <f>IF('PV IN'!$F$4="PV Only",0,-BattLoan!F68)</f>
        <v>0</v>
      </c>
      <c r="AZ40" s="144">
        <f>IF('PV IN'!$F$4="Battery Only",0,-PVLoan!H68)</f>
        <v>0</v>
      </c>
      <c r="BA40" s="144">
        <f>IF('PV IN'!$F$4="PV Only",0,-BattLoan!H68)</f>
        <v>0</v>
      </c>
      <c r="BC40" s="33">
        <f t="shared" ref="BC40" si="40">SUM(T29:T40)</f>
        <v>1794354.5796551821</v>
      </c>
      <c r="BD40" s="33">
        <f t="shared" ref="BD40" si="41">SUM(U29:U40)</f>
        <v>1794354.5796551821</v>
      </c>
      <c r="BE40" s="33">
        <f t="shared" ref="BE40" si="42">SUM(V29:V40)</f>
        <v>369751.19000000012</v>
      </c>
      <c r="BF40" s="50">
        <f t="shared" ref="BF40" si="43">W40</f>
        <v>7.5127691152510362E-2</v>
      </c>
      <c r="BG40" s="2">
        <f t="shared" ref="BG40" si="44">SUM(X29:X40)</f>
        <v>23326.609535517375</v>
      </c>
      <c r="BH40" s="2">
        <f t="shared" ref="BH40" si="45">SUM(Y29:Y40)</f>
        <v>0</v>
      </c>
      <c r="BI40" s="2">
        <f t="shared" ref="BI40" si="46">SUM(Z29:Z40)</f>
        <v>0</v>
      </c>
      <c r="BJ40" s="2">
        <f t="shared" ref="BJ40" si="47">SUM(AA29:AA40)</f>
        <v>0</v>
      </c>
      <c r="BK40" s="2">
        <f t="shared" ref="BK40" si="48">SUM(AB29:AB40)</f>
        <v>0</v>
      </c>
      <c r="BL40" s="2">
        <f t="shared" ref="BL40" si="49">SUM(AC29:AC40)</f>
        <v>0</v>
      </c>
      <c r="BM40" s="2">
        <f t="shared" ref="BM40" si="50">SUM(AD29:AD40)</f>
        <v>0</v>
      </c>
      <c r="BN40" s="2">
        <f t="shared" ref="BN40" si="51">SUM(AE29:AE40)</f>
        <v>0</v>
      </c>
      <c r="BO40" s="2">
        <f t="shared" ref="BO40" si="52">SUM(AF29:AF40)</f>
        <v>0</v>
      </c>
      <c r="BP40" s="2">
        <f t="shared" ref="BP40" si="53">SUM(AG29:AG40)</f>
        <v>-9000</v>
      </c>
      <c r="BQ40" s="2">
        <f t="shared" ref="BQ40" si="54">SUM(AH29:AH40)</f>
        <v>0</v>
      </c>
      <c r="BR40" s="2">
        <f t="shared" ref="BR40" si="55">SUM(AI29:AI40)</f>
        <v>0</v>
      </c>
      <c r="BS40" s="2">
        <f t="shared" ref="BS40" si="56">SUM(AJ29:AJ40)</f>
        <v>0</v>
      </c>
      <c r="BT40" s="2">
        <f t="shared" ref="BT40" si="57">SUM(AK29:AK40)</f>
        <v>-7500</v>
      </c>
      <c r="BU40" s="2">
        <f t="shared" ref="BU40" si="58">SUM(AL29:AL40)</f>
        <v>0</v>
      </c>
      <c r="BV40" s="2">
        <f t="shared" ref="BV40" si="59">SUM(AM29:AM40)</f>
        <v>0</v>
      </c>
      <c r="BW40" s="2">
        <f t="shared" ref="BW40" si="60">SUM(AN29:AN40)</f>
        <v>0</v>
      </c>
      <c r="BX40" s="2">
        <f t="shared" ref="BX40" si="61">SUM(AO29:AO40)</f>
        <v>134805.7166784271</v>
      </c>
      <c r="BY40" s="2">
        <f t="shared" ref="BY40" si="62">SUM(AP29:AP40)</f>
        <v>0</v>
      </c>
      <c r="BZ40" s="2">
        <f t="shared" ref="BZ40" si="63">SUM(AQ29:AQ40)</f>
        <v>0</v>
      </c>
      <c r="CA40" s="2">
        <f t="shared" ref="CA40" si="64">SUM(AR29:AR40)</f>
        <v>0</v>
      </c>
      <c r="CB40" s="2">
        <f t="shared" ref="CB40" si="65">SUM(AS29:AS40)</f>
        <v>0</v>
      </c>
      <c r="CC40" s="2">
        <f t="shared" ref="CC40" si="66">SUM(AT29:AT40)</f>
        <v>33200.999999999935</v>
      </c>
      <c r="CD40" s="2">
        <f t="shared" ref="CD40" si="67">SUM(AU29:AU40)</f>
        <v>0</v>
      </c>
      <c r="CE40" s="2">
        <f t="shared" ref="CE40" si="68">SUM(AV29:AV40)</f>
        <v>0</v>
      </c>
      <c r="CF40" s="2">
        <f t="shared" ref="CF40" si="69">SUM(AW29:AW40)</f>
        <v>-16500</v>
      </c>
      <c r="CG40" s="2">
        <f t="shared" ref="CG40" si="70">SUM(AX29:AX40)</f>
        <v>0</v>
      </c>
      <c r="CH40" s="2">
        <f t="shared" ref="CH40" si="71">SUM(AY29:AY40)</f>
        <v>0</v>
      </c>
      <c r="CI40" s="2">
        <f t="shared" ref="CI40" si="72">SUM(AZ29:AZ40)</f>
        <v>0</v>
      </c>
      <c r="CJ40" s="2">
        <f t="shared" ref="CJ40" si="73">SUM(BA29:BA40)</f>
        <v>0</v>
      </c>
    </row>
    <row r="41" spans="1:88" x14ac:dyDescent="0.25">
      <c r="A41">
        <f>IF(C41&lt;='PV IN'!$O$22*12,C41,"")</f>
        <v>37</v>
      </c>
      <c r="C41">
        <v>37</v>
      </c>
      <c r="D41" s="2">
        <f>BattCalcs!CK41+PVCalcs!AT41</f>
        <v>12146.135363701651</v>
      </c>
      <c r="E41" s="20">
        <f>PVCalcs!AV41</f>
        <v>-752616.04181893705</v>
      </c>
      <c r="F41" s="20">
        <f>PVCalcs!AW41</f>
        <v>10449.714971719608</v>
      </c>
      <c r="G41" s="20">
        <f>PVCalcs!AX41</f>
        <v>-847959.22197177727</v>
      </c>
      <c r="H41" s="20">
        <f>BattCalcs!CM41</f>
        <v>0</v>
      </c>
      <c r="I41" s="20">
        <f>BattCalcs!CN41</f>
        <v>0</v>
      </c>
      <c r="J41" s="20">
        <f>IF(C41&lt;='Batt IN'!H$43*12,BattCalcs!CO41,NA())</f>
        <v>0</v>
      </c>
      <c r="L41" s="20">
        <f t="shared" si="3"/>
        <v>10449.714971719608</v>
      </c>
      <c r="M41" s="20">
        <f>G41+BattCalcs!CO41</f>
        <v>-847959.22197177727</v>
      </c>
      <c r="O41" s="10">
        <f>PVLoan!G69</f>
        <v>0</v>
      </c>
      <c r="P41" s="10">
        <f>PVLoan!J69</f>
        <v>0</v>
      </c>
      <c r="Q41" s="2">
        <f>BattLoan!G69</f>
        <v>0</v>
      </c>
      <c r="R41" s="10">
        <f>BattLoan!J69</f>
        <v>0</v>
      </c>
      <c r="T41" s="33">
        <f>IF('PV IN'!$F$4="Battery Only",0,PVCalcs!G41)</f>
        <v>148882.37914465496</v>
      </c>
      <c r="U41" s="33">
        <f>IF('PV IN'!$F$4="Battery Only",0,PVCalcs!M41)</f>
        <v>148882.37914465496</v>
      </c>
      <c r="V41" s="33">
        <f>PVCalcs!L41</f>
        <v>25811.765833333331</v>
      </c>
      <c r="W41" s="158">
        <f>PVCalcs!F41</f>
        <v>7.5878115998166518E-2</v>
      </c>
      <c r="X41" s="144">
        <f>IF('PV IN'!$F$4="Battery Only",0,PVCalcs!Y41+PVCalcs!Z41)</f>
        <v>1935.4709288805145</v>
      </c>
      <c r="Y41" s="144">
        <f>IF('PV IN'!$F$4="PV Only",0,BattCalcs!AX41+BattCalcs!BC41)</f>
        <v>0</v>
      </c>
      <c r="Z41" s="144">
        <f>IF('PV IN'!$F$4="PV Only",0,BattCalcs!AY41+BattCalcs!BD41)</f>
        <v>0</v>
      </c>
      <c r="AA41" s="144">
        <f>IF('PV IN'!$F$4="PV Only",0,BattCalcs!AZ41+BattCalcs!BE41)</f>
        <v>0</v>
      </c>
      <c r="AB41" s="144">
        <f>IF('PV IN'!$F$4="PV Only",0,BattCalcs!BA41+BattCalcs!BF41)</f>
        <v>0</v>
      </c>
      <c r="AC41" s="144">
        <f>IF('PV IN'!$F$4="PV Only",0,BattCalcs!BB41+BattCalcs!BG41)</f>
        <v>0</v>
      </c>
      <c r="AD41" s="144">
        <f>IF('PV IN'!$F$4="PV Only",0,BattCalcs!BU41)</f>
        <v>0</v>
      </c>
      <c r="AE41" s="144">
        <f>IF('PV IN'!$F$4="PV Only",PVCalcs!W41+PVCalcs!AA41,IF('PV IN'!$F$4="Battery Only",BattCalcs!AV41+BattCalcs!BH41,PVCalcs!W41+PVCalcs!AA41+BattCalcs!AV41+BattCalcs!BH41))</f>
        <v>0</v>
      </c>
      <c r="AF41" s="10">
        <f>PVCalcs!AC41+BattCalcs!BJ41</f>
        <v>0</v>
      </c>
      <c r="AG41" s="144">
        <f>IF('PV IN'!$F$4="Battery Only",0,PVCalcs!AG41)</f>
        <v>-750</v>
      </c>
      <c r="AH41" s="144">
        <f>IF('PV IN'!$F$4="Battery Only",0,PVCalcs!AI41)</f>
        <v>0</v>
      </c>
      <c r="AI41" s="144">
        <f>IF('PV IN'!$F$4="PV Only",0,BattCalcs!BM41)</f>
        <v>0</v>
      </c>
      <c r="AJ41" s="144">
        <f>IF('PV IN'!$F$4="PV Only",0,SUM(BattCalcs!BO41:BT41))</f>
        <v>0</v>
      </c>
      <c r="AK41" s="144">
        <f>IF('PV IN'!$F$4="PV Only",PVCalcs!AH41,IF('PV IN'!$F$4="Battery Only",BattCalcs!BN41,PVCalcs!AH41+BattCalcs!BN41))</f>
        <v>-625</v>
      </c>
      <c r="AL41" s="144">
        <f>IF('PV IN'!$F$4="PV Only",0,BattCalcs!BV41)</f>
        <v>0</v>
      </c>
      <c r="AM41" s="144">
        <f>IF('PV IN'!$F$4="PV Only",0,SUM(BattCalcs!BW41:BX41))</f>
        <v>0</v>
      </c>
      <c r="AN41" s="144">
        <f>IF('PV IN'!$F$4="PV Only",0,BattCalcs!BY41)</f>
        <v>0</v>
      </c>
      <c r="AO41" s="144">
        <f>IF('PV IN'!$F$4="Battery Only",0,PVCalcs!U41)</f>
        <v>11296.914434821136</v>
      </c>
      <c r="AP41" s="10">
        <f>IF('PV IN'!$F$4="PV Only",0,BattCalcs!AS41)</f>
        <v>0</v>
      </c>
      <c r="AQ41" s="10">
        <f>IF('PV IN'!$F$4="PV Only",0,BattCalcs!AT41)</f>
        <v>0</v>
      </c>
      <c r="AR41" s="10">
        <f>IF('PV IN'!$F$4="PV Only",0,BattCalcs!AU41)</f>
        <v>0</v>
      </c>
      <c r="AS41" s="144">
        <f>IF('PV IN'!$F$4="PV Only",PVCalcs!X41,IF('PV IN'!$F$4="Battery Only",BattCalcs!AW41,PVCalcs!X41+BattCalcs!AW41))</f>
        <v>0</v>
      </c>
      <c r="AT41" s="144">
        <f>IF('PV IN'!$F$4="Battery Only",0,-PVCalcs!AQ41*'PV IN'!$E$8)</f>
        <v>0</v>
      </c>
      <c r="AU41" s="144">
        <f>IF('PV IN'!$F$4="PV Only",0,-BattCalcs!CG41*'PV IN'!$E$8)</f>
        <v>0</v>
      </c>
      <c r="AV41" s="144">
        <f>IF('PV IN'!$F$4="PV Only",PVCalcs!Z41+PVCalcs!AA41,IF('PV IN'!$F$4="Battery Only",SUM(BattCalcs!BC41:BH41),PVCalcs!Z41+PVCalcs!AA41+SUM(BattCalcs!BC41:BH41)))</f>
        <v>0</v>
      </c>
      <c r="AW41" s="144">
        <f>IF('PV IN'!$F$4="PV Only",SUM(PVCalcs!AF41:AI41),IF('PV IN'!$F$4="Battery Only",SUM(BattCalcs!BL41:BY41),SUM(PVCalcs!AF41:AI41)+SUM(BattCalcs!BL41:BY41)))</f>
        <v>-1375</v>
      </c>
      <c r="AX41" s="144">
        <f>IF('PV IN'!$F$4="Battery Only",0,-PVLoan!F69)</f>
        <v>0</v>
      </c>
      <c r="AY41" s="144">
        <f>IF('PV IN'!$F$4="PV Only",0,-BattLoan!F69)</f>
        <v>0</v>
      </c>
      <c r="AZ41" s="144">
        <f>IF('PV IN'!$F$4="Battery Only",0,-PVLoan!H69)</f>
        <v>0</v>
      </c>
      <c r="BA41" s="144">
        <f>IF('PV IN'!$F$4="PV Only",0,-BattLoan!H69)</f>
        <v>0</v>
      </c>
    </row>
    <row r="42" spans="1:88" x14ac:dyDescent="0.25">
      <c r="A42">
        <f>IF(C42&lt;='PV IN'!$O$22*12,C42,"")</f>
        <v>38</v>
      </c>
      <c r="C42">
        <v>38</v>
      </c>
      <c r="D42" s="2">
        <f>BattCalcs!CK42+PVCalcs!AT42</f>
        <v>12137.313773459182</v>
      </c>
      <c r="E42" s="20">
        <f>PVCalcs!AV42</f>
        <v>-740478.72804547788</v>
      </c>
      <c r="F42" s="20">
        <f>PVCalcs!AW42</f>
        <v>10399.755579404713</v>
      </c>
      <c r="G42" s="20">
        <f>PVCalcs!AX42</f>
        <v>-837559.4663923725</v>
      </c>
      <c r="H42" s="20">
        <f>BattCalcs!CM42</f>
        <v>0</v>
      </c>
      <c r="I42" s="20">
        <f>BattCalcs!CN42</f>
        <v>0</v>
      </c>
      <c r="J42" s="20">
        <f>IF(C42&lt;='Batt IN'!H$43*12,BattCalcs!CO42,NA())</f>
        <v>0</v>
      </c>
      <c r="L42" s="20">
        <f t="shared" si="3"/>
        <v>10399.755579404713</v>
      </c>
      <c r="M42" s="20">
        <f>G42+BattCalcs!CO42</f>
        <v>-837559.4663923725</v>
      </c>
      <c r="O42" s="10">
        <f>PVLoan!G70</f>
        <v>0</v>
      </c>
      <c r="P42" s="10">
        <f>PVLoan!J70</f>
        <v>0</v>
      </c>
      <c r="Q42" s="2">
        <f>BattLoan!G70</f>
        <v>0</v>
      </c>
      <c r="R42" s="10">
        <f>BattLoan!J70</f>
        <v>0</v>
      </c>
      <c r="T42" s="33">
        <f>IF('PV IN'!$F$4="Battery Only",0,PVCalcs!G42)</f>
        <v>148783.12422522518</v>
      </c>
      <c r="U42" s="33">
        <f>IF('PV IN'!$F$4="Battery Only",0,PVCalcs!M42)</f>
        <v>148783.12422522518</v>
      </c>
      <c r="V42" s="33">
        <f>PVCalcs!L42</f>
        <v>25811.765833333331</v>
      </c>
      <c r="W42" s="158">
        <f>PVCalcs!F42</f>
        <v>7.5878115998166518E-2</v>
      </c>
      <c r="X42" s="144">
        <f>IF('PV IN'!$F$4="Battery Only",0,PVCalcs!Y42+PVCalcs!Z42)</f>
        <v>1934.1806149279275</v>
      </c>
      <c r="Y42" s="144">
        <f>IF('PV IN'!$F$4="PV Only",0,BattCalcs!AX42+BattCalcs!BC42)</f>
        <v>0</v>
      </c>
      <c r="Z42" s="144">
        <f>IF('PV IN'!$F$4="PV Only",0,BattCalcs!AY42+BattCalcs!BD42)</f>
        <v>0</v>
      </c>
      <c r="AA42" s="144">
        <f>IF('PV IN'!$F$4="PV Only",0,BattCalcs!AZ42+BattCalcs!BE42)</f>
        <v>0</v>
      </c>
      <c r="AB42" s="144">
        <f>IF('PV IN'!$F$4="PV Only",0,BattCalcs!BA42+BattCalcs!BF42)</f>
        <v>0</v>
      </c>
      <c r="AC42" s="144">
        <f>IF('PV IN'!$F$4="PV Only",0,BattCalcs!BB42+BattCalcs!BG42)</f>
        <v>0</v>
      </c>
      <c r="AD42" s="144">
        <f>IF('PV IN'!$F$4="PV Only",0,BattCalcs!BU42)</f>
        <v>0</v>
      </c>
      <c r="AE42" s="144">
        <f>IF('PV IN'!$F$4="PV Only",PVCalcs!W42+PVCalcs!AA42,IF('PV IN'!$F$4="Battery Only",BattCalcs!AV42+BattCalcs!BH42,PVCalcs!W42+PVCalcs!AA42+BattCalcs!AV42+BattCalcs!BH42))</f>
        <v>0</v>
      </c>
      <c r="AF42" s="10">
        <f>PVCalcs!AC42+BattCalcs!BJ42</f>
        <v>0</v>
      </c>
      <c r="AG42" s="144">
        <f>IF('PV IN'!$F$4="Battery Only",0,PVCalcs!AG42)</f>
        <v>-750</v>
      </c>
      <c r="AH42" s="144">
        <f>IF('PV IN'!$F$4="Battery Only",0,PVCalcs!AI42)</f>
        <v>0</v>
      </c>
      <c r="AI42" s="144">
        <f>IF('PV IN'!$F$4="PV Only",0,BattCalcs!BM42)</f>
        <v>0</v>
      </c>
      <c r="AJ42" s="144">
        <f>IF('PV IN'!$F$4="PV Only",0,SUM(BattCalcs!BO42:BT42))</f>
        <v>0</v>
      </c>
      <c r="AK42" s="144">
        <f>IF('PV IN'!$F$4="PV Only",PVCalcs!AH42,IF('PV IN'!$F$4="Battery Only",BattCalcs!BN42,PVCalcs!AH42+BattCalcs!BN42))</f>
        <v>-625</v>
      </c>
      <c r="AL42" s="144">
        <f>IF('PV IN'!$F$4="PV Only",0,BattCalcs!BV42)</f>
        <v>0</v>
      </c>
      <c r="AM42" s="144">
        <f>IF('PV IN'!$F$4="PV Only",0,SUM(BattCalcs!BW42:BX42))</f>
        <v>0</v>
      </c>
      <c r="AN42" s="144">
        <f>IF('PV IN'!$F$4="PV Only",0,BattCalcs!BY42)</f>
        <v>0</v>
      </c>
      <c r="AO42" s="144">
        <f>IF('PV IN'!$F$4="Battery Only",0,PVCalcs!U42)</f>
        <v>11289.383158531255</v>
      </c>
      <c r="AP42" s="10">
        <f>IF('PV IN'!$F$4="PV Only",0,BattCalcs!AS42)</f>
        <v>0</v>
      </c>
      <c r="AQ42" s="10">
        <f>IF('PV IN'!$F$4="PV Only",0,BattCalcs!AT42)</f>
        <v>0</v>
      </c>
      <c r="AR42" s="10">
        <f>IF('PV IN'!$F$4="PV Only",0,BattCalcs!AU42)</f>
        <v>0</v>
      </c>
      <c r="AS42" s="144">
        <f>IF('PV IN'!$F$4="PV Only",PVCalcs!X42,IF('PV IN'!$F$4="Battery Only",BattCalcs!AW42,PVCalcs!X42+BattCalcs!AW42))</f>
        <v>0</v>
      </c>
      <c r="AT42" s="144">
        <f>IF('PV IN'!$F$4="Battery Only",0,-PVCalcs!AQ42*'PV IN'!$E$8)</f>
        <v>0</v>
      </c>
      <c r="AU42" s="144">
        <f>IF('PV IN'!$F$4="PV Only",0,-BattCalcs!CG42*'PV IN'!$E$8)</f>
        <v>0</v>
      </c>
      <c r="AV42" s="144">
        <f>IF('PV IN'!$F$4="PV Only",PVCalcs!Z42+PVCalcs!AA42,IF('PV IN'!$F$4="Battery Only",SUM(BattCalcs!BC42:BH42),PVCalcs!Z42+PVCalcs!AA42+SUM(BattCalcs!BC42:BH42)))</f>
        <v>0</v>
      </c>
      <c r="AW42" s="144">
        <f>IF('PV IN'!$F$4="PV Only",SUM(PVCalcs!AF42:AI42),IF('PV IN'!$F$4="Battery Only",SUM(BattCalcs!BL42:BY42),SUM(PVCalcs!AF42:AI42)+SUM(BattCalcs!BL42:BY42)))</f>
        <v>-1375</v>
      </c>
      <c r="AX42" s="144">
        <f>IF('PV IN'!$F$4="Battery Only",0,-PVLoan!F70)</f>
        <v>0</v>
      </c>
      <c r="AY42" s="144">
        <f>IF('PV IN'!$F$4="PV Only",0,-BattLoan!F70)</f>
        <v>0</v>
      </c>
      <c r="AZ42" s="144">
        <f>IF('PV IN'!$F$4="Battery Only",0,-PVLoan!H70)</f>
        <v>0</v>
      </c>
      <c r="BA42" s="144">
        <f>IF('PV IN'!$F$4="PV Only",0,-BattLoan!H70)</f>
        <v>0</v>
      </c>
    </row>
    <row r="43" spans="1:88" x14ac:dyDescent="0.25">
      <c r="A43">
        <f>IF(C43&lt;='PV IN'!$O$22*12,C43,"")</f>
        <v>39</v>
      </c>
      <c r="C43">
        <v>39</v>
      </c>
      <c r="D43" s="2">
        <f>BattCalcs!CK43+PVCalcs!AT43</f>
        <v>12128.498064276875</v>
      </c>
      <c r="E43" s="20">
        <f>PVCalcs!AV43</f>
        <v>-728350.229981201</v>
      </c>
      <c r="F43" s="20">
        <f>PVCalcs!AW43</f>
        <v>10350.034590791693</v>
      </c>
      <c r="G43" s="20">
        <f>PVCalcs!AX43</f>
        <v>-827209.43180158082</v>
      </c>
      <c r="H43" s="20">
        <f>BattCalcs!CM43</f>
        <v>0</v>
      </c>
      <c r="I43" s="20">
        <f>BattCalcs!CN43</f>
        <v>0</v>
      </c>
      <c r="J43" s="20">
        <f>IF(C43&lt;='Batt IN'!H$43*12,BattCalcs!CO43,NA())</f>
        <v>0</v>
      </c>
      <c r="L43" s="20">
        <f t="shared" si="3"/>
        <v>10350.034590791693</v>
      </c>
      <c r="M43" s="20">
        <f>G43+BattCalcs!CO43</f>
        <v>-827209.43180158082</v>
      </c>
      <c r="O43" s="10">
        <f>PVLoan!G71</f>
        <v>0</v>
      </c>
      <c r="P43" s="10">
        <f>PVLoan!J71</f>
        <v>0</v>
      </c>
      <c r="Q43" s="2">
        <f>BattLoan!G71</f>
        <v>0</v>
      </c>
      <c r="R43" s="10">
        <f>BattLoan!J71</f>
        <v>0</v>
      </c>
      <c r="T43" s="33">
        <f>IF('PV IN'!$F$4="Battery Only",0,PVCalcs!G43)</f>
        <v>148683.93547574169</v>
      </c>
      <c r="U43" s="33">
        <f>IF('PV IN'!$F$4="Battery Only",0,PVCalcs!M43)</f>
        <v>148683.93547574169</v>
      </c>
      <c r="V43" s="33">
        <f>PVCalcs!L43</f>
        <v>25811.765833333331</v>
      </c>
      <c r="W43" s="158">
        <f>PVCalcs!F43</f>
        <v>7.5878115998166518E-2</v>
      </c>
      <c r="X43" s="144">
        <f>IF('PV IN'!$F$4="Battery Only",0,PVCalcs!Y43+PVCalcs!Z43)</f>
        <v>1932.891161184642</v>
      </c>
      <c r="Y43" s="144">
        <f>IF('PV IN'!$F$4="PV Only",0,BattCalcs!AX43+BattCalcs!BC43)</f>
        <v>0</v>
      </c>
      <c r="Z43" s="144">
        <f>IF('PV IN'!$F$4="PV Only",0,BattCalcs!AY43+BattCalcs!BD43)</f>
        <v>0</v>
      </c>
      <c r="AA43" s="144">
        <f>IF('PV IN'!$F$4="PV Only",0,BattCalcs!AZ43+BattCalcs!BE43)</f>
        <v>0</v>
      </c>
      <c r="AB43" s="144">
        <f>IF('PV IN'!$F$4="PV Only",0,BattCalcs!BA43+BattCalcs!BF43)</f>
        <v>0</v>
      </c>
      <c r="AC43" s="144">
        <f>IF('PV IN'!$F$4="PV Only",0,BattCalcs!BB43+BattCalcs!BG43)</f>
        <v>0</v>
      </c>
      <c r="AD43" s="144">
        <f>IF('PV IN'!$F$4="PV Only",0,BattCalcs!BU43)</f>
        <v>0</v>
      </c>
      <c r="AE43" s="144">
        <f>IF('PV IN'!$F$4="PV Only",PVCalcs!W43+PVCalcs!AA43,IF('PV IN'!$F$4="Battery Only",BattCalcs!AV43+BattCalcs!BH43,PVCalcs!W43+PVCalcs!AA43+BattCalcs!AV43+BattCalcs!BH43))</f>
        <v>0</v>
      </c>
      <c r="AF43" s="10">
        <f>PVCalcs!AC43+BattCalcs!BJ43</f>
        <v>0</v>
      </c>
      <c r="AG43" s="144">
        <f>IF('PV IN'!$F$4="Battery Only",0,PVCalcs!AG43)</f>
        <v>-750</v>
      </c>
      <c r="AH43" s="144">
        <f>IF('PV IN'!$F$4="Battery Only",0,PVCalcs!AI43)</f>
        <v>0</v>
      </c>
      <c r="AI43" s="144">
        <f>IF('PV IN'!$F$4="PV Only",0,BattCalcs!BM43)</f>
        <v>0</v>
      </c>
      <c r="AJ43" s="144">
        <f>IF('PV IN'!$F$4="PV Only",0,SUM(BattCalcs!BO43:BT43))</f>
        <v>0</v>
      </c>
      <c r="AK43" s="144">
        <f>IF('PV IN'!$F$4="PV Only",PVCalcs!AH43,IF('PV IN'!$F$4="Battery Only",BattCalcs!BN43,PVCalcs!AH43+BattCalcs!BN43))</f>
        <v>-625</v>
      </c>
      <c r="AL43" s="144">
        <f>IF('PV IN'!$F$4="PV Only",0,BattCalcs!BV43)</f>
        <v>0</v>
      </c>
      <c r="AM43" s="144">
        <f>IF('PV IN'!$F$4="PV Only",0,SUM(BattCalcs!BW43:BX43))</f>
        <v>0</v>
      </c>
      <c r="AN43" s="144">
        <f>IF('PV IN'!$F$4="PV Only",0,BattCalcs!BY43)</f>
        <v>0</v>
      </c>
      <c r="AO43" s="144">
        <f>IF('PV IN'!$F$4="Battery Only",0,PVCalcs!U43)</f>
        <v>11281.856903092234</v>
      </c>
      <c r="AP43" s="10">
        <f>IF('PV IN'!$F$4="PV Only",0,BattCalcs!AS43)</f>
        <v>0</v>
      </c>
      <c r="AQ43" s="10">
        <f>IF('PV IN'!$F$4="PV Only",0,BattCalcs!AT43)</f>
        <v>0</v>
      </c>
      <c r="AR43" s="10">
        <f>IF('PV IN'!$F$4="PV Only",0,BattCalcs!AU43)</f>
        <v>0</v>
      </c>
      <c r="AS43" s="144">
        <f>IF('PV IN'!$F$4="PV Only",PVCalcs!X43,IF('PV IN'!$F$4="Battery Only",BattCalcs!AW43,PVCalcs!X43+BattCalcs!AW43))</f>
        <v>0</v>
      </c>
      <c r="AT43" s="144">
        <f>IF('PV IN'!$F$4="Battery Only",0,-PVCalcs!AQ43*'PV IN'!$E$8)</f>
        <v>0</v>
      </c>
      <c r="AU43" s="144">
        <f>IF('PV IN'!$F$4="PV Only",0,-BattCalcs!CG43*'PV IN'!$E$8)</f>
        <v>0</v>
      </c>
      <c r="AV43" s="144">
        <f>IF('PV IN'!$F$4="PV Only",PVCalcs!Z43+PVCalcs!AA43,IF('PV IN'!$F$4="Battery Only",SUM(BattCalcs!BC43:BH43),PVCalcs!Z43+PVCalcs!AA43+SUM(BattCalcs!BC43:BH43)))</f>
        <v>0</v>
      </c>
      <c r="AW43" s="144">
        <f>IF('PV IN'!$F$4="PV Only",SUM(PVCalcs!AF43:AI43),IF('PV IN'!$F$4="Battery Only",SUM(BattCalcs!BL43:BY43),SUM(PVCalcs!AF43:AI43)+SUM(BattCalcs!BL43:BY43)))</f>
        <v>-1375</v>
      </c>
      <c r="AX43" s="144">
        <f>IF('PV IN'!$F$4="Battery Only",0,-PVLoan!F71)</f>
        <v>0</v>
      </c>
      <c r="AY43" s="144">
        <f>IF('PV IN'!$F$4="PV Only",0,-BattLoan!F71)</f>
        <v>0</v>
      </c>
      <c r="AZ43" s="144">
        <f>IF('PV IN'!$F$4="Battery Only",0,-PVLoan!H71)</f>
        <v>0</v>
      </c>
      <c r="BA43" s="144">
        <f>IF('PV IN'!$F$4="PV Only",0,-BattLoan!H71)</f>
        <v>0</v>
      </c>
    </row>
    <row r="44" spans="1:88" x14ac:dyDescent="0.25">
      <c r="A44">
        <f>IF(C44&lt;='PV IN'!$O$22*12,C44,"")</f>
        <v>40</v>
      </c>
      <c r="C44">
        <v>40</v>
      </c>
      <c r="D44" s="2">
        <f>BattCalcs!CK44+PVCalcs!AT44</f>
        <v>12119.688232234023</v>
      </c>
      <c r="E44" s="20">
        <f>PVCalcs!AV44</f>
        <v>-716230.54174896702</v>
      </c>
      <c r="F44" s="20">
        <f>PVCalcs!AW44</f>
        <v>10300.550870028652</v>
      </c>
      <c r="G44" s="20">
        <f>PVCalcs!AX44</f>
        <v>-816908.88093155215</v>
      </c>
      <c r="H44" s="20">
        <f>BattCalcs!CM44</f>
        <v>0</v>
      </c>
      <c r="I44" s="20">
        <f>BattCalcs!CN44</f>
        <v>0</v>
      </c>
      <c r="J44" s="20">
        <f>IF(C44&lt;='Batt IN'!H$43*12,BattCalcs!CO44,NA())</f>
        <v>0</v>
      </c>
      <c r="L44" s="20">
        <f t="shared" si="3"/>
        <v>10300.550870028652</v>
      </c>
      <c r="M44" s="20">
        <f>G44+BattCalcs!CO44</f>
        <v>-816908.88093155215</v>
      </c>
      <c r="O44" s="10">
        <f>PVLoan!G72</f>
        <v>0</v>
      </c>
      <c r="P44" s="10">
        <f>PVLoan!J72</f>
        <v>0</v>
      </c>
      <c r="Q44" s="2">
        <f>BattLoan!G72</f>
        <v>0</v>
      </c>
      <c r="R44" s="10">
        <f>BattLoan!J72</f>
        <v>0</v>
      </c>
      <c r="T44" s="33">
        <f>IF('PV IN'!$F$4="Battery Only",0,PVCalcs!G44)</f>
        <v>148584.81285209119</v>
      </c>
      <c r="U44" s="33">
        <f>IF('PV IN'!$F$4="Battery Only",0,PVCalcs!M44)</f>
        <v>148584.81285209119</v>
      </c>
      <c r="V44" s="33">
        <f>PVCalcs!L44</f>
        <v>25811.765833333331</v>
      </c>
      <c r="W44" s="158">
        <f>PVCalcs!F44</f>
        <v>7.5878115998166518E-2</v>
      </c>
      <c r="X44" s="144">
        <f>IF('PV IN'!$F$4="Battery Only",0,PVCalcs!Y44+PVCalcs!Z44)</f>
        <v>1931.6025670771855</v>
      </c>
      <c r="Y44" s="144">
        <f>IF('PV IN'!$F$4="PV Only",0,BattCalcs!AX44+BattCalcs!BC44)</f>
        <v>0</v>
      </c>
      <c r="Z44" s="144">
        <f>IF('PV IN'!$F$4="PV Only",0,BattCalcs!AY44+BattCalcs!BD44)</f>
        <v>0</v>
      </c>
      <c r="AA44" s="144">
        <f>IF('PV IN'!$F$4="PV Only",0,BattCalcs!AZ44+BattCalcs!BE44)</f>
        <v>0</v>
      </c>
      <c r="AB44" s="144">
        <f>IF('PV IN'!$F$4="PV Only",0,BattCalcs!BA44+BattCalcs!BF44)</f>
        <v>0</v>
      </c>
      <c r="AC44" s="144">
        <f>IF('PV IN'!$F$4="PV Only",0,BattCalcs!BB44+BattCalcs!BG44)</f>
        <v>0</v>
      </c>
      <c r="AD44" s="144">
        <f>IF('PV IN'!$F$4="PV Only",0,BattCalcs!BU44)</f>
        <v>0</v>
      </c>
      <c r="AE44" s="144">
        <f>IF('PV IN'!$F$4="PV Only",PVCalcs!W44+PVCalcs!AA44,IF('PV IN'!$F$4="Battery Only",BattCalcs!AV44+BattCalcs!BH44,PVCalcs!W44+PVCalcs!AA44+BattCalcs!AV44+BattCalcs!BH44))</f>
        <v>0</v>
      </c>
      <c r="AF44" s="10">
        <f>PVCalcs!AC44+BattCalcs!BJ44</f>
        <v>0</v>
      </c>
      <c r="AG44" s="144">
        <f>IF('PV IN'!$F$4="Battery Only",0,PVCalcs!AG44)</f>
        <v>-750</v>
      </c>
      <c r="AH44" s="144">
        <f>IF('PV IN'!$F$4="Battery Only",0,PVCalcs!AI44)</f>
        <v>0</v>
      </c>
      <c r="AI44" s="144">
        <f>IF('PV IN'!$F$4="PV Only",0,BattCalcs!BM44)</f>
        <v>0</v>
      </c>
      <c r="AJ44" s="144">
        <f>IF('PV IN'!$F$4="PV Only",0,SUM(BattCalcs!BO44:BT44))</f>
        <v>0</v>
      </c>
      <c r="AK44" s="144">
        <f>IF('PV IN'!$F$4="PV Only",PVCalcs!AH44,IF('PV IN'!$F$4="Battery Only",BattCalcs!BN44,PVCalcs!AH44+BattCalcs!BN44))</f>
        <v>-625</v>
      </c>
      <c r="AL44" s="144">
        <f>IF('PV IN'!$F$4="PV Only",0,BattCalcs!BV44)</f>
        <v>0</v>
      </c>
      <c r="AM44" s="144">
        <f>IF('PV IN'!$F$4="PV Only",0,SUM(BattCalcs!BW44:BX44))</f>
        <v>0</v>
      </c>
      <c r="AN44" s="144">
        <f>IF('PV IN'!$F$4="PV Only",0,BattCalcs!BY44)</f>
        <v>0</v>
      </c>
      <c r="AO44" s="144">
        <f>IF('PV IN'!$F$4="Battery Only",0,PVCalcs!U44)</f>
        <v>11274.335665156837</v>
      </c>
      <c r="AP44" s="10">
        <f>IF('PV IN'!$F$4="PV Only",0,BattCalcs!AS44)</f>
        <v>0</v>
      </c>
      <c r="AQ44" s="10">
        <f>IF('PV IN'!$F$4="PV Only",0,BattCalcs!AT44)</f>
        <v>0</v>
      </c>
      <c r="AR44" s="10">
        <f>IF('PV IN'!$F$4="PV Only",0,BattCalcs!AU44)</f>
        <v>0</v>
      </c>
      <c r="AS44" s="144">
        <f>IF('PV IN'!$F$4="PV Only",PVCalcs!X44,IF('PV IN'!$F$4="Battery Only",BattCalcs!AW44,PVCalcs!X44+BattCalcs!AW44))</f>
        <v>0</v>
      </c>
      <c r="AT44" s="144">
        <f>IF('PV IN'!$F$4="Battery Only",0,-PVCalcs!AQ44*'PV IN'!$E$8)</f>
        <v>0</v>
      </c>
      <c r="AU44" s="144">
        <f>IF('PV IN'!$F$4="PV Only",0,-BattCalcs!CG44*'PV IN'!$E$8)</f>
        <v>0</v>
      </c>
      <c r="AV44" s="144">
        <f>IF('PV IN'!$F$4="PV Only",PVCalcs!Z44+PVCalcs!AA44,IF('PV IN'!$F$4="Battery Only",SUM(BattCalcs!BC44:BH44),PVCalcs!Z44+PVCalcs!AA44+SUM(BattCalcs!BC44:BH44)))</f>
        <v>0</v>
      </c>
      <c r="AW44" s="144">
        <f>IF('PV IN'!$F$4="PV Only",SUM(PVCalcs!AF44:AI44),IF('PV IN'!$F$4="Battery Only",SUM(BattCalcs!BL44:BY44),SUM(PVCalcs!AF44:AI44)+SUM(BattCalcs!BL44:BY44)))</f>
        <v>-1375</v>
      </c>
      <c r="AX44" s="144">
        <f>IF('PV IN'!$F$4="Battery Only",0,-PVLoan!F72)</f>
        <v>0</v>
      </c>
      <c r="AY44" s="144">
        <f>IF('PV IN'!$F$4="PV Only",0,-BattLoan!F72)</f>
        <v>0</v>
      </c>
      <c r="AZ44" s="144">
        <f>IF('PV IN'!$F$4="Battery Only",0,-PVLoan!H72)</f>
        <v>0</v>
      </c>
      <c r="BA44" s="144">
        <f>IF('PV IN'!$F$4="PV Only",0,-BattLoan!H72)</f>
        <v>0</v>
      </c>
    </row>
    <row r="45" spans="1:88" x14ac:dyDescent="0.25">
      <c r="A45">
        <f>IF(C45&lt;='PV IN'!$O$22*12,C45,"")</f>
        <v>41</v>
      </c>
      <c r="C45">
        <v>41</v>
      </c>
      <c r="D45" s="2">
        <f>BattCalcs!CK45+PVCalcs!AT45</f>
        <v>12110.884273412534</v>
      </c>
      <c r="E45" s="20">
        <f>PVCalcs!AV45</f>
        <v>-704119.6574755545</v>
      </c>
      <c r="F45" s="20">
        <f>PVCalcs!AW45</f>
        <v>10251.303286668128</v>
      </c>
      <c r="G45" s="20">
        <f>PVCalcs!AX45</f>
        <v>-806657.577644884</v>
      </c>
      <c r="H45" s="20">
        <f>BattCalcs!CM45</f>
        <v>0</v>
      </c>
      <c r="I45" s="20">
        <f>BattCalcs!CN45</f>
        <v>0</v>
      </c>
      <c r="J45" s="20">
        <f>IF(C45&lt;='Batt IN'!H$43*12,BattCalcs!CO45,NA())</f>
        <v>0</v>
      </c>
      <c r="L45" s="20">
        <f t="shared" si="3"/>
        <v>10251.303286668128</v>
      </c>
      <c r="M45" s="20">
        <f>G45+BattCalcs!CO45</f>
        <v>-806657.577644884</v>
      </c>
      <c r="O45" s="10">
        <f>PVLoan!G73</f>
        <v>0</v>
      </c>
      <c r="P45" s="10">
        <f>PVLoan!J73</f>
        <v>0</v>
      </c>
      <c r="Q45" s="2">
        <f>BattLoan!G73</f>
        <v>0</v>
      </c>
      <c r="R45" s="10">
        <f>BattLoan!J73</f>
        <v>0</v>
      </c>
      <c r="T45" s="33">
        <f>IF('PV IN'!$F$4="Battery Only",0,PVCalcs!G45)</f>
        <v>148485.75631018978</v>
      </c>
      <c r="U45" s="33">
        <f>IF('PV IN'!$F$4="Battery Only",0,PVCalcs!M45)</f>
        <v>148485.75631018978</v>
      </c>
      <c r="V45" s="33">
        <f>PVCalcs!L45</f>
        <v>25811.765833333331</v>
      </c>
      <c r="W45" s="158">
        <f>PVCalcs!F45</f>
        <v>7.5878115998166518E-2</v>
      </c>
      <c r="X45" s="144">
        <f>IF('PV IN'!$F$4="Battery Only",0,PVCalcs!Y45+PVCalcs!Z45)</f>
        <v>1930.3148320324672</v>
      </c>
      <c r="Y45" s="144">
        <f>IF('PV IN'!$F$4="PV Only",0,BattCalcs!AX45+BattCalcs!BC45)</f>
        <v>0</v>
      </c>
      <c r="Z45" s="144">
        <f>IF('PV IN'!$F$4="PV Only",0,BattCalcs!AY45+BattCalcs!BD45)</f>
        <v>0</v>
      </c>
      <c r="AA45" s="144">
        <f>IF('PV IN'!$F$4="PV Only",0,BattCalcs!AZ45+BattCalcs!BE45)</f>
        <v>0</v>
      </c>
      <c r="AB45" s="144">
        <f>IF('PV IN'!$F$4="PV Only",0,BattCalcs!BA45+BattCalcs!BF45)</f>
        <v>0</v>
      </c>
      <c r="AC45" s="144">
        <f>IF('PV IN'!$F$4="PV Only",0,BattCalcs!BB45+BattCalcs!BG45)</f>
        <v>0</v>
      </c>
      <c r="AD45" s="144">
        <f>IF('PV IN'!$F$4="PV Only",0,BattCalcs!BU45)</f>
        <v>0</v>
      </c>
      <c r="AE45" s="144">
        <f>IF('PV IN'!$F$4="PV Only",PVCalcs!W45+PVCalcs!AA45,IF('PV IN'!$F$4="Battery Only",BattCalcs!AV45+BattCalcs!BH45,PVCalcs!W45+PVCalcs!AA45+BattCalcs!AV45+BattCalcs!BH45))</f>
        <v>0</v>
      </c>
      <c r="AF45" s="10">
        <f>PVCalcs!AC45+BattCalcs!BJ45</f>
        <v>0</v>
      </c>
      <c r="AG45" s="144">
        <f>IF('PV IN'!$F$4="Battery Only",0,PVCalcs!AG45)</f>
        <v>-750</v>
      </c>
      <c r="AH45" s="144">
        <f>IF('PV IN'!$F$4="Battery Only",0,PVCalcs!AI45)</f>
        <v>0</v>
      </c>
      <c r="AI45" s="144">
        <f>IF('PV IN'!$F$4="PV Only",0,BattCalcs!BM45)</f>
        <v>0</v>
      </c>
      <c r="AJ45" s="144">
        <f>IF('PV IN'!$F$4="PV Only",0,SUM(BattCalcs!BO45:BT45))</f>
        <v>0</v>
      </c>
      <c r="AK45" s="144">
        <f>IF('PV IN'!$F$4="PV Only",PVCalcs!AH45,IF('PV IN'!$F$4="Battery Only",BattCalcs!BN45,PVCalcs!AH45+BattCalcs!BN45))</f>
        <v>-625</v>
      </c>
      <c r="AL45" s="144">
        <f>IF('PV IN'!$F$4="PV Only",0,BattCalcs!BV45)</f>
        <v>0</v>
      </c>
      <c r="AM45" s="144">
        <f>IF('PV IN'!$F$4="PV Only",0,SUM(BattCalcs!BW45:BX45))</f>
        <v>0</v>
      </c>
      <c r="AN45" s="144">
        <f>IF('PV IN'!$F$4="PV Only",0,BattCalcs!BY45)</f>
        <v>0</v>
      </c>
      <c r="AO45" s="144">
        <f>IF('PV IN'!$F$4="Battery Only",0,PVCalcs!U45)</f>
        <v>11266.819441380067</v>
      </c>
      <c r="AP45" s="10">
        <f>IF('PV IN'!$F$4="PV Only",0,BattCalcs!AS45)</f>
        <v>0</v>
      </c>
      <c r="AQ45" s="10">
        <f>IF('PV IN'!$F$4="PV Only",0,BattCalcs!AT45)</f>
        <v>0</v>
      </c>
      <c r="AR45" s="10">
        <f>IF('PV IN'!$F$4="PV Only",0,BattCalcs!AU45)</f>
        <v>0</v>
      </c>
      <c r="AS45" s="144">
        <f>IF('PV IN'!$F$4="PV Only",PVCalcs!X45,IF('PV IN'!$F$4="Battery Only",BattCalcs!AW45,PVCalcs!X45+BattCalcs!AW45))</f>
        <v>0</v>
      </c>
      <c r="AT45" s="144">
        <f>IF('PV IN'!$F$4="Battery Only",0,-PVCalcs!AQ45*'PV IN'!$E$8)</f>
        <v>0</v>
      </c>
      <c r="AU45" s="144">
        <f>IF('PV IN'!$F$4="PV Only",0,-BattCalcs!CG45*'PV IN'!$E$8)</f>
        <v>0</v>
      </c>
      <c r="AV45" s="144">
        <f>IF('PV IN'!$F$4="PV Only",PVCalcs!Z45+PVCalcs!AA45,IF('PV IN'!$F$4="Battery Only",SUM(BattCalcs!BC45:BH45),PVCalcs!Z45+PVCalcs!AA45+SUM(BattCalcs!BC45:BH45)))</f>
        <v>0</v>
      </c>
      <c r="AW45" s="144">
        <f>IF('PV IN'!$F$4="PV Only",SUM(PVCalcs!AF45:AI45),IF('PV IN'!$F$4="Battery Only",SUM(BattCalcs!BL45:BY45),SUM(PVCalcs!AF45:AI45)+SUM(BattCalcs!BL45:BY45)))</f>
        <v>-1375</v>
      </c>
      <c r="AX45" s="144">
        <f>IF('PV IN'!$F$4="Battery Only",0,-PVLoan!F73)</f>
        <v>0</v>
      </c>
      <c r="AY45" s="144">
        <f>IF('PV IN'!$F$4="PV Only",0,-BattLoan!F73)</f>
        <v>0</v>
      </c>
      <c r="AZ45" s="144">
        <f>IF('PV IN'!$F$4="Battery Only",0,-PVLoan!H73)</f>
        <v>0</v>
      </c>
      <c r="BA45" s="144">
        <f>IF('PV IN'!$F$4="PV Only",0,-BattLoan!H73)</f>
        <v>0</v>
      </c>
    </row>
    <row r="46" spans="1:88" x14ac:dyDescent="0.25">
      <c r="A46">
        <f>IF(C46&lt;='PV IN'!$O$22*12,C46,"")</f>
        <v>42</v>
      </c>
      <c r="C46">
        <v>42</v>
      </c>
      <c r="D46" s="2">
        <f>BattCalcs!CK46+PVCalcs!AT46</f>
        <v>12102.086183896925</v>
      </c>
      <c r="E46" s="20">
        <f>PVCalcs!AV46</f>
        <v>-692017.57129165763</v>
      </c>
      <c r="F46" s="20">
        <f>PVCalcs!AW46</f>
        <v>10202.290715641419</v>
      </c>
      <c r="G46" s="20">
        <f>PVCalcs!AX46</f>
        <v>-796455.28692924255</v>
      </c>
      <c r="H46" s="20">
        <f>BattCalcs!CM46</f>
        <v>0</v>
      </c>
      <c r="I46" s="20">
        <f>BattCalcs!CN46</f>
        <v>0</v>
      </c>
      <c r="J46" s="20">
        <f>IF(C46&lt;='Batt IN'!H$43*12,BattCalcs!CO46,NA())</f>
        <v>0</v>
      </c>
      <c r="L46" s="20">
        <f t="shared" si="3"/>
        <v>10202.290715641419</v>
      </c>
      <c r="M46" s="20">
        <f>G46+BattCalcs!CO46</f>
        <v>-796455.28692924255</v>
      </c>
      <c r="O46" s="10">
        <f>PVLoan!G74</f>
        <v>0</v>
      </c>
      <c r="P46" s="10">
        <f>PVLoan!J74</f>
        <v>0</v>
      </c>
      <c r="Q46" s="2">
        <f>BattLoan!G74</f>
        <v>0</v>
      </c>
      <c r="R46" s="10">
        <f>BattLoan!J74</f>
        <v>0</v>
      </c>
      <c r="T46" s="33">
        <f>IF('PV IN'!$F$4="Battery Only",0,PVCalcs!G46)</f>
        <v>148386.76580598298</v>
      </c>
      <c r="U46" s="33">
        <f>IF('PV IN'!$F$4="Battery Only",0,PVCalcs!M46)</f>
        <v>148386.76580598298</v>
      </c>
      <c r="V46" s="33">
        <f>PVCalcs!L46</f>
        <v>25811.765833333331</v>
      </c>
      <c r="W46" s="158">
        <f>PVCalcs!F46</f>
        <v>7.5878115998166518E-2</v>
      </c>
      <c r="X46" s="144">
        <f>IF('PV IN'!$F$4="Battery Only",0,PVCalcs!Y46+PVCalcs!Z46)</f>
        <v>1929.0279554777787</v>
      </c>
      <c r="Y46" s="144">
        <f>IF('PV IN'!$F$4="PV Only",0,BattCalcs!AX46+BattCalcs!BC46)</f>
        <v>0</v>
      </c>
      <c r="Z46" s="144">
        <f>IF('PV IN'!$F$4="PV Only",0,BattCalcs!AY46+BattCalcs!BD46)</f>
        <v>0</v>
      </c>
      <c r="AA46" s="144">
        <f>IF('PV IN'!$F$4="PV Only",0,BattCalcs!AZ46+BattCalcs!BE46)</f>
        <v>0</v>
      </c>
      <c r="AB46" s="144">
        <f>IF('PV IN'!$F$4="PV Only",0,BattCalcs!BA46+BattCalcs!BF46)</f>
        <v>0</v>
      </c>
      <c r="AC46" s="144">
        <f>IF('PV IN'!$F$4="PV Only",0,BattCalcs!BB46+BattCalcs!BG46)</f>
        <v>0</v>
      </c>
      <c r="AD46" s="144">
        <f>IF('PV IN'!$F$4="PV Only",0,BattCalcs!BU46)</f>
        <v>0</v>
      </c>
      <c r="AE46" s="144">
        <f>IF('PV IN'!$F$4="PV Only",PVCalcs!W46+PVCalcs!AA46,IF('PV IN'!$F$4="Battery Only",BattCalcs!AV46+BattCalcs!BH46,PVCalcs!W46+PVCalcs!AA46+BattCalcs!AV46+BattCalcs!BH46))</f>
        <v>0</v>
      </c>
      <c r="AF46" s="10">
        <f>PVCalcs!AC46+BattCalcs!BJ46</f>
        <v>0</v>
      </c>
      <c r="AG46" s="144">
        <f>IF('PV IN'!$F$4="Battery Only",0,PVCalcs!AG46)</f>
        <v>-750</v>
      </c>
      <c r="AH46" s="144">
        <f>IF('PV IN'!$F$4="Battery Only",0,PVCalcs!AI46)</f>
        <v>0</v>
      </c>
      <c r="AI46" s="144">
        <f>IF('PV IN'!$F$4="PV Only",0,BattCalcs!BM46)</f>
        <v>0</v>
      </c>
      <c r="AJ46" s="144">
        <f>IF('PV IN'!$F$4="PV Only",0,SUM(BattCalcs!BO46:BT46))</f>
        <v>0</v>
      </c>
      <c r="AK46" s="144">
        <f>IF('PV IN'!$F$4="PV Only",PVCalcs!AH46,IF('PV IN'!$F$4="Battery Only",BattCalcs!BN46,PVCalcs!AH46+BattCalcs!BN46))</f>
        <v>-625</v>
      </c>
      <c r="AL46" s="144">
        <f>IF('PV IN'!$F$4="PV Only",0,BattCalcs!BV46)</f>
        <v>0</v>
      </c>
      <c r="AM46" s="144">
        <f>IF('PV IN'!$F$4="PV Only",0,SUM(BattCalcs!BW46:BX46))</f>
        <v>0</v>
      </c>
      <c r="AN46" s="144">
        <f>IF('PV IN'!$F$4="PV Only",0,BattCalcs!BY46)</f>
        <v>0</v>
      </c>
      <c r="AO46" s="144">
        <f>IF('PV IN'!$F$4="Battery Only",0,PVCalcs!U46)</f>
        <v>11259.308228419146</v>
      </c>
      <c r="AP46" s="10">
        <f>IF('PV IN'!$F$4="PV Only",0,BattCalcs!AS46)</f>
        <v>0</v>
      </c>
      <c r="AQ46" s="10">
        <f>IF('PV IN'!$F$4="PV Only",0,BattCalcs!AT46)</f>
        <v>0</v>
      </c>
      <c r="AR46" s="10">
        <f>IF('PV IN'!$F$4="PV Only",0,BattCalcs!AU46)</f>
        <v>0</v>
      </c>
      <c r="AS46" s="144">
        <f>IF('PV IN'!$F$4="PV Only",PVCalcs!X46,IF('PV IN'!$F$4="Battery Only",BattCalcs!AW46,PVCalcs!X46+BattCalcs!AW46))</f>
        <v>0</v>
      </c>
      <c r="AT46" s="144">
        <f>IF('PV IN'!$F$4="Battery Only",0,-PVCalcs!AQ46*'PV IN'!$E$8)</f>
        <v>0</v>
      </c>
      <c r="AU46" s="144">
        <f>IF('PV IN'!$F$4="PV Only",0,-BattCalcs!CG46*'PV IN'!$E$8)</f>
        <v>0</v>
      </c>
      <c r="AV46" s="144">
        <f>IF('PV IN'!$F$4="PV Only",PVCalcs!Z46+PVCalcs!AA46,IF('PV IN'!$F$4="Battery Only",SUM(BattCalcs!BC46:BH46),PVCalcs!Z46+PVCalcs!AA46+SUM(BattCalcs!BC46:BH46)))</f>
        <v>0</v>
      </c>
      <c r="AW46" s="144">
        <f>IF('PV IN'!$F$4="PV Only",SUM(PVCalcs!AF46:AI46),IF('PV IN'!$F$4="Battery Only",SUM(BattCalcs!BL46:BY46),SUM(PVCalcs!AF46:AI46)+SUM(BattCalcs!BL46:BY46)))</f>
        <v>-1375</v>
      </c>
      <c r="AX46" s="144">
        <f>IF('PV IN'!$F$4="Battery Only",0,-PVLoan!F74)</f>
        <v>0</v>
      </c>
      <c r="AY46" s="144">
        <f>IF('PV IN'!$F$4="PV Only",0,-BattLoan!F74)</f>
        <v>0</v>
      </c>
      <c r="AZ46" s="144">
        <f>IF('PV IN'!$F$4="Battery Only",0,-PVLoan!H74)</f>
        <v>0</v>
      </c>
      <c r="BA46" s="144">
        <f>IF('PV IN'!$F$4="PV Only",0,-BattLoan!H74)</f>
        <v>0</v>
      </c>
    </row>
    <row r="47" spans="1:88" x14ac:dyDescent="0.25">
      <c r="A47">
        <f>IF(C47&lt;='PV IN'!$O$22*12,C47,"")</f>
        <v>43</v>
      </c>
      <c r="C47">
        <v>43</v>
      </c>
      <c r="D47" s="2">
        <f>BattCalcs!CK47+PVCalcs!AT47</f>
        <v>12093.293959774326</v>
      </c>
      <c r="E47" s="20">
        <f>PVCalcs!AV47</f>
        <v>-679924.27733188332</v>
      </c>
      <c r="F47" s="20">
        <f>PVCalcs!AW47</f>
        <v>10153.512037233006</v>
      </c>
      <c r="G47" s="20">
        <f>PVCalcs!AX47</f>
        <v>-786301.77489200956</v>
      </c>
      <c r="H47" s="20">
        <f>BattCalcs!CM47</f>
        <v>0</v>
      </c>
      <c r="I47" s="20">
        <f>BattCalcs!CN47</f>
        <v>0</v>
      </c>
      <c r="J47" s="20">
        <f>IF(C47&lt;='Batt IN'!H$43*12,BattCalcs!CO47,NA())</f>
        <v>0</v>
      </c>
      <c r="L47" s="20">
        <f t="shared" si="3"/>
        <v>10153.512037233006</v>
      </c>
      <c r="M47" s="20">
        <f>G47+BattCalcs!CO47</f>
        <v>-786301.77489200956</v>
      </c>
      <c r="O47" s="10">
        <f>PVLoan!G75</f>
        <v>0</v>
      </c>
      <c r="P47" s="10">
        <f>PVLoan!J75</f>
        <v>0</v>
      </c>
      <c r="Q47" s="2">
        <f>BattLoan!G75</f>
        <v>0</v>
      </c>
      <c r="R47" s="10">
        <f>BattLoan!J75</f>
        <v>0</v>
      </c>
      <c r="T47" s="33">
        <f>IF('PV IN'!$F$4="Battery Only",0,PVCalcs!G47)</f>
        <v>148287.84129544566</v>
      </c>
      <c r="U47" s="33">
        <f>IF('PV IN'!$F$4="Battery Only",0,PVCalcs!M47)</f>
        <v>148287.84129544566</v>
      </c>
      <c r="V47" s="33">
        <f>PVCalcs!L47</f>
        <v>25811.765833333331</v>
      </c>
      <c r="W47" s="158">
        <f>PVCalcs!F47</f>
        <v>7.5878115998166518E-2</v>
      </c>
      <c r="X47" s="144">
        <f>IF('PV IN'!$F$4="Battery Only",0,PVCalcs!Y47+PVCalcs!Z47)</f>
        <v>1927.7419368407936</v>
      </c>
      <c r="Y47" s="144">
        <f>IF('PV IN'!$F$4="PV Only",0,BattCalcs!AX47+BattCalcs!BC47)</f>
        <v>0</v>
      </c>
      <c r="Z47" s="144">
        <f>IF('PV IN'!$F$4="PV Only",0,BattCalcs!AY47+BattCalcs!BD47)</f>
        <v>0</v>
      </c>
      <c r="AA47" s="144">
        <f>IF('PV IN'!$F$4="PV Only",0,BattCalcs!AZ47+BattCalcs!BE47)</f>
        <v>0</v>
      </c>
      <c r="AB47" s="144">
        <f>IF('PV IN'!$F$4="PV Only",0,BattCalcs!BA47+BattCalcs!BF47)</f>
        <v>0</v>
      </c>
      <c r="AC47" s="144">
        <f>IF('PV IN'!$F$4="PV Only",0,BattCalcs!BB47+BattCalcs!BG47)</f>
        <v>0</v>
      </c>
      <c r="AD47" s="144">
        <f>IF('PV IN'!$F$4="PV Only",0,BattCalcs!BU47)</f>
        <v>0</v>
      </c>
      <c r="AE47" s="144">
        <f>IF('PV IN'!$F$4="PV Only",PVCalcs!W47+PVCalcs!AA47,IF('PV IN'!$F$4="Battery Only",BattCalcs!AV47+BattCalcs!BH47,PVCalcs!W47+PVCalcs!AA47+BattCalcs!AV47+BattCalcs!BH47))</f>
        <v>0</v>
      </c>
      <c r="AF47" s="10">
        <f>PVCalcs!AC47+BattCalcs!BJ47</f>
        <v>0</v>
      </c>
      <c r="AG47" s="144">
        <f>IF('PV IN'!$F$4="Battery Only",0,PVCalcs!AG47)</f>
        <v>-750</v>
      </c>
      <c r="AH47" s="144">
        <f>IF('PV IN'!$F$4="Battery Only",0,PVCalcs!AI47)</f>
        <v>0</v>
      </c>
      <c r="AI47" s="144">
        <f>IF('PV IN'!$F$4="PV Only",0,BattCalcs!BM47)</f>
        <v>0</v>
      </c>
      <c r="AJ47" s="144">
        <f>IF('PV IN'!$F$4="PV Only",0,SUM(BattCalcs!BO47:BT47))</f>
        <v>0</v>
      </c>
      <c r="AK47" s="144">
        <f>IF('PV IN'!$F$4="PV Only",PVCalcs!AH47,IF('PV IN'!$F$4="Battery Only",BattCalcs!BN47,PVCalcs!AH47+BattCalcs!BN47))</f>
        <v>-625</v>
      </c>
      <c r="AL47" s="144">
        <f>IF('PV IN'!$F$4="PV Only",0,BattCalcs!BV47)</f>
        <v>0</v>
      </c>
      <c r="AM47" s="144">
        <f>IF('PV IN'!$F$4="PV Only",0,SUM(BattCalcs!BW47:BX47))</f>
        <v>0</v>
      </c>
      <c r="AN47" s="144">
        <f>IF('PV IN'!$F$4="PV Only",0,BattCalcs!BY47)</f>
        <v>0</v>
      </c>
      <c r="AO47" s="144">
        <f>IF('PV IN'!$F$4="Battery Only",0,PVCalcs!U47)</f>
        <v>11251.802022933532</v>
      </c>
      <c r="AP47" s="10">
        <f>IF('PV IN'!$F$4="PV Only",0,BattCalcs!AS47)</f>
        <v>0</v>
      </c>
      <c r="AQ47" s="10">
        <f>IF('PV IN'!$F$4="PV Only",0,BattCalcs!AT47)</f>
        <v>0</v>
      </c>
      <c r="AR47" s="10">
        <f>IF('PV IN'!$F$4="PV Only",0,BattCalcs!AU47)</f>
        <v>0</v>
      </c>
      <c r="AS47" s="144">
        <f>IF('PV IN'!$F$4="PV Only",PVCalcs!X47,IF('PV IN'!$F$4="Battery Only",BattCalcs!AW47,PVCalcs!X47+BattCalcs!AW47))</f>
        <v>0</v>
      </c>
      <c r="AT47" s="144">
        <f>IF('PV IN'!$F$4="Battery Only",0,-PVCalcs!AQ47*'PV IN'!$E$8)</f>
        <v>0</v>
      </c>
      <c r="AU47" s="144">
        <f>IF('PV IN'!$F$4="PV Only",0,-BattCalcs!CG47*'PV IN'!$E$8)</f>
        <v>0</v>
      </c>
      <c r="AV47" s="144">
        <f>IF('PV IN'!$F$4="PV Only",PVCalcs!Z47+PVCalcs!AA47,IF('PV IN'!$F$4="Battery Only",SUM(BattCalcs!BC47:BH47),PVCalcs!Z47+PVCalcs!AA47+SUM(BattCalcs!BC47:BH47)))</f>
        <v>0</v>
      </c>
      <c r="AW47" s="144">
        <f>IF('PV IN'!$F$4="PV Only",SUM(PVCalcs!AF47:AI47),IF('PV IN'!$F$4="Battery Only",SUM(BattCalcs!BL47:BY47),SUM(PVCalcs!AF47:AI47)+SUM(BattCalcs!BL47:BY47)))</f>
        <v>-1375</v>
      </c>
      <c r="AX47" s="144">
        <f>IF('PV IN'!$F$4="Battery Only",0,-PVLoan!F75)</f>
        <v>0</v>
      </c>
      <c r="AY47" s="144">
        <f>IF('PV IN'!$F$4="PV Only",0,-BattLoan!F75)</f>
        <v>0</v>
      </c>
      <c r="AZ47" s="144">
        <f>IF('PV IN'!$F$4="Battery Only",0,-PVLoan!H75)</f>
        <v>0</v>
      </c>
      <c r="BA47" s="144">
        <f>IF('PV IN'!$F$4="PV Only",0,-BattLoan!H75)</f>
        <v>0</v>
      </c>
    </row>
    <row r="48" spans="1:88" x14ac:dyDescent="0.25">
      <c r="A48">
        <f>IF(C48&lt;='PV IN'!$O$22*12,C48,"")</f>
        <v>44</v>
      </c>
      <c r="C48">
        <v>44</v>
      </c>
      <c r="D48" s="2">
        <f>BattCalcs!CK48+PVCalcs!AT48</f>
        <v>12084.507597134478</v>
      </c>
      <c r="E48" s="20">
        <f>PVCalcs!AV48</f>
        <v>-667839.76973474887</v>
      </c>
      <c r="F48" s="20">
        <f>PVCalcs!AW48</f>
        <v>10104.966137055118</v>
      </c>
      <c r="G48" s="20">
        <f>PVCalcs!AX48</f>
        <v>-776196.80875495449</v>
      </c>
      <c r="H48" s="20">
        <f>BattCalcs!CM48</f>
        <v>0</v>
      </c>
      <c r="I48" s="20">
        <f>BattCalcs!CN48</f>
        <v>0</v>
      </c>
      <c r="J48" s="20">
        <f>IF(C48&lt;='Batt IN'!H$43*12,BattCalcs!CO48,NA())</f>
        <v>0</v>
      </c>
      <c r="L48" s="20">
        <f t="shared" si="3"/>
        <v>10104.966137055118</v>
      </c>
      <c r="M48" s="20">
        <f>G48+BattCalcs!CO48</f>
        <v>-776196.80875495449</v>
      </c>
      <c r="O48" s="10">
        <f>PVLoan!G76</f>
        <v>0</v>
      </c>
      <c r="P48" s="10">
        <f>PVLoan!J76</f>
        <v>0</v>
      </c>
      <c r="Q48" s="2">
        <f>BattLoan!G76</f>
        <v>0</v>
      </c>
      <c r="R48" s="10">
        <f>BattLoan!J76</f>
        <v>0</v>
      </c>
      <c r="T48" s="33">
        <f>IF('PV IN'!$F$4="Battery Only",0,PVCalcs!G48)</f>
        <v>148188.98273458204</v>
      </c>
      <c r="U48" s="33">
        <f>IF('PV IN'!$F$4="Battery Only",0,PVCalcs!M48)</f>
        <v>148188.98273458204</v>
      </c>
      <c r="V48" s="33">
        <f>PVCalcs!L48</f>
        <v>25811.765833333331</v>
      </c>
      <c r="W48" s="158">
        <f>PVCalcs!F48</f>
        <v>7.5878115998166518E-2</v>
      </c>
      <c r="X48" s="144">
        <f>IF('PV IN'!$F$4="Battery Only",0,PVCalcs!Y48+PVCalcs!Z48)</f>
        <v>1926.4567755495664</v>
      </c>
      <c r="Y48" s="144">
        <f>IF('PV IN'!$F$4="PV Only",0,BattCalcs!AX48+BattCalcs!BC48)</f>
        <v>0</v>
      </c>
      <c r="Z48" s="144">
        <f>IF('PV IN'!$F$4="PV Only",0,BattCalcs!AY48+BattCalcs!BD48)</f>
        <v>0</v>
      </c>
      <c r="AA48" s="144">
        <f>IF('PV IN'!$F$4="PV Only",0,BattCalcs!AZ48+BattCalcs!BE48)</f>
        <v>0</v>
      </c>
      <c r="AB48" s="144">
        <f>IF('PV IN'!$F$4="PV Only",0,BattCalcs!BA48+BattCalcs!BF48)</f>
        <v>0</v>
      </c>
      <c r="AC48" s="144">
        <f>IF('PV IN'!$F$4="PV Only",0,BattCalcs!BB48+BattCalcs!BG48)</f>
        <v>0</v>
      </c>
      <c r="AD48" s="144">
        <f>IF('PV IN'!$F$4="PV Only",0,BattCalcs!BU48)</f>
        <v>0</v>
      </c>
      <c r="AE48" s="144">
        <f>IF('PV IN'!$F$4="PV Only",PVCalcs!W48+PVCalcs!AA48,IF('PV IN'!$F$4="Battery Only",BattCalcs!AV48+BattCalcs!BH48,PVCalcs!W48+PVCalcs!AA48+BattCalcs!AV48+BattCalcs!BH48))</f>
        <v>0</v>
      </c>
      <c r="AF48" s="10">
        <f>PVCalcs!AC48+BattCalcs!BJ48</f>
        <v>0</v>
      </c>
      <c r="AG48" s="144">
        <f>IF('PV IN'!$F$4="Battery Only",0,PVCalcs!AG48)</f>
        <v>-750</v>
      </c>
      <c r="AH48" s="144">
        <f>IF('PV IN'!$F$4="Battery Only",0,PVCalcs!AI48)</f>
        <v>0</v>
      </c>
      <c r="AI48" s="144">
        <f>IF('PV IN'!$F$4="PV Only",0,BattCalcs!BM48)</f>
        <v>0</v>
      </c>
      <c r="AJ48" s="144">
        <f>IF('PV IN'!$F$4="PV Only",0,SUM(BattCalcs!BO48:BT48))</f>
        <v>0</v>
      </c>
      <c r="AK48" s="144">
        <f>IF('PV IN'!$F$4="PV Only",PVCalcs!AH48,IF('PV IN'!$F$4="Battery Only",BattCalcs!BN48,PVCalcs!AH48+BattCalcs!BN48))</f>
        <v>-625</v>
      </c>
      <c r="AL48" s="144">
        <f>IF('PV IN'!$F$4="PV Only",0,BattCalcs!BV48)</f>
        <v>0</v>
      </c>
      <c r="AM48" s="144">
        <f>IF('PV IN'!$F$4="PV Only",0,SUM(BattCalcs!BW48:BX48))</f>
        <v>0</v>
      </c>
      <c r="AN48" s="144">
        <f>IF('PV IN'!$F$4="PV Only",0,BattCalcs!BY48)</f>
        <v>0</v>
      </c>
      <c r="AO48" s="144">
        <f>IF('PV IN'!$F$4="Battery Only",0,PVCalcs!U48)</f>
        <v>11244.300821584911</v>
      </c>
      <c r="AP48" s="10">
        <f>IF('PV IN'!$F$4="PV Only",0,BattCalcs!AS48)</f>
        <v>0</v>
      </c>
      <c r="AQ48" s="10">
        <f>IF('PV IN'!$F$4="PV Only",0,BattCalcs!AT48)</f>
        <v>0</v>
      </c>
      <c r="AR48" s="10">
        <f>IF('PV IN'!$F$4="PV Only",0,BattCalcs!AU48)</f>
        <v>0</v>
      </c>
      <c r="AS48" s="144">
        <f>IF('PV IN'!$F$4="PV Only",PVCalcs!X48,IF('PV IN'!$F$4="Battery Only",BattCalcs!AW48,PVCalcs!X48+BattCalcs!AW48))</f>
        <v>0</v>
      </c>
      <c r="AT48" s="144">
        <f>IF('PV IN'!$F$4="Battery Only",0,-PVCalcs!AQ48*'PV IN'!$E$8)</f>
        <v>0</v>
      </c>
      <c r="AU48" s="144">
        <f>IF('PV IN'!$F$4="PV Only",0,-BattCalcs!CG48*'PV IN'!$E$8)</f>
        <v>0</v>
      </c>
      <c r="AV48" s="144">
        <f>IF('PV IN'!$F$4="PV Only",PVCalcs!Z48+PVCalcs!AA48,IF('PV IN'!$F$4="Battery Only",SUM(BattCalcs!BC48:BH48),PVCalcs!Z48+PVCalcs!AA48+SUM(BattCalcs!BC48:BH48)))</f>
        <v>0</v>
      </c>
      <c r="AW48" s="144">
        <f>IF('PV IN'!$F$4="PV Only",SUM(PVCalcs!AF48:AI48),IF('PV IN'!$F$4="Battery Only",SUM(BattCalcs!BL48:BY48),SUM(PVCalcs!AF48:AI48)+SUM(BattCalcs!BL48:BY48)))</f>
        <v>-1375</v>
      </c>
      <c r="AX48" s="144">
        <f>IF('PV IN'!$F$4="Battery Only",0,-PVLoan!F76)</f>
        <v>0</v>
      </c>
      <c r="AY48" s="144">
        <f>IF('PV IN'!$F$4="PV Only",0,-BattLoan!F76)</f>
        <v>0</v>
      </c>
      <c r="AZ48" s="144">
        <f>IF('PV IN'!$F$4="Battery Only",0,-PVLoan!H76)</f>
        <v>0</v>
      </c>
      <c r="BA48" s="144">
        <f>IF('PV IN'!$F$4="PV Only",0,-BattLoan!H76)</f>
        <v>0</v>
      </c>
    </row>
    <row r="49" spans="1:88" x14ac:dyDescent="0.25">
      <c r="A49">
        <f>IF(C49&lt;='PV IN'!$O$22*12,C49,"")</f>
        <v>45</v>
      </c>
      <c r="C49">
        <v>45</v>
      </c>
      <c r="D49" s="2">
        <f>BattCalcs!CK49+PVCalcs!AT49</f>
        <v>12075.727092069719</v>
      </c>
      <c r="E49" s="20">
        <f>PVCalcs!AV49</f>
        <v>-655764.04264267918</v>
      </c>
      <c r="F49" s="20">
        <f>PVCalcs!AW49</f>
        <v>10056.651906022407</v>
      </c>
      <c r="G49" s="20">
        <f>PVCalcs!AX49</f>
        <v>-766140.15684893203</v>
      </c>
      <c r="H49" s="20">
        <f>BattCalcs!CM49</f>
        <v>0</v>
      </c>
      <c r="I49" s="20">
        <f>BattCalcs!CN49</f>
        <v>0</v>
      </c>
      <c r="J49" s="20">
        <f>IF(C49&lt;='Batt IN'!H$43*12,BattCalcs!CO49,NA())</f>
        <v>0</v>
      </c>
      <c r="L49" s="20">
        <f t="shared" si="3"/>
        <v>10056.651906022407</v>
      </c>
      <c r="M49" s="20">
        <f>G49+BattCalcs!CO49</f>
        <v>-766140.15684893203</v>
      </c>
      <c r="O49" s="10">
        <f>PVLoan!G77</f>
        <v>0</v>
      </c>
      <c r="P49" s="10">
        <f>PVLoan!J77</f>
        <v>0</v>
      </c>
      <c r="Q49" s="2">
        <f>BattLoan!G77</f>
        <v>0</v>
      </c>
      <c r="R49" s="10">
        <f>BattLoan!J77</f>
        <v>0</v>
      </c>
      <c r="T49" s="33">
        <f>IF('PV IN'!$F$4="Battery Only",0,PVCalcs!G49)</f>
        <v>148090.19007942564</v>
      </c>
      <c r="U49" s="33">
        <f>IF('PV IN'!$F$4="Battery Only",0,PVCalcs!M49)</f>
        <v>148090.19007942564</v>
      </c>
      <c r="V49" s="33">
        <f>PVCalcs!L49</f>
        <v>25811.765833333331</v>
      </c>
      <c r="W49" s="158">
        <f>PVCalcs!F49</f>
        <v>7.5878115998166518E-2</v>
      </c>
      <c r="X49" s="144">
        <f>IF('PV IN'!$F$4="Battery Only",0,PVCalcs!Y49+PVCalcs!Z49)</f>
        <v>1925.1724710325334</v>
      </c>
      <c r="Y49" s="144">
        <f>IF('PV IN'!$F$4="PV Only",0,BattCalcs!AX49+BattCalcs!BC49)</f>
        <v>0</v>
      </c>
      <c r="Z49" s="144">
        <f>IF('PV IN'!$F$4="PV Only",0,BattCalcs!AY49+BattCalcs!BD49)</f>
        <v>0</v>
      </c>
      <c r="AA49" s="144">
        <f>IF('PV IN'!$F$4="PV Only",0,BattCalcs!AZ49+BattCalcs!BE49)</f>
        <v>0</v>
      </c>
      <c r="AB49" s="144">
        <f>IF('PV IN'!$F$4="PV Only",0,BattCalcs!BA49+BattCalcs!BF49)</f>
        <v>0</v>
      </c>
      <c r="AC49" s="144">
        <f>IF('PV IN'!$F$4="PV Only",0,BattCalcs!BB49+BattCalcs!BG49)</f>
        <v>0</v>
      </c>
      <c r="AD49" s="144">
        <f>IF('PV IN'!$F$4="PV Only",0,BattCalcs!BU49)</f>
        <v>0</v>
      </c>
      <c r="AE49" s="144">
        <f>IF('PV IN'!$F$4="PV Only",PVCalcs!W49+PVCalcs!AA49,IF('PV IN'!$F$4="Battery Only",BattCalcs!AV49+BattCalcs!BH49,PVCalcs!W49+PVCalcs!AA49+BattCalcs!AV49+BattCalcs!BH49))</f>
        <v>0</v>
      </c>
      <c r="AF49" s="10">
        <f>PVCalcs!AC49+BattCalcs!BJ49</f>
        <v>0</v>
      </c>
      <c r="AG49" s="144">
        <f>IF('PV IN'!$F$4="Battery Only",0,PVCalcs!AG49)</f>
        <v>-750</v>
      </c>
      <c r="AH49" s="144">
        <f>IF('PV IN'!$F$4="Battery Only",0,PVCalcs!AI49)</f>
        <v>0</v>
      </c>
      <c r="AI49" s="144">
        <f>IF('PV IN'!$F$4="PV Only",0,BattCalcs!BM49)</f>
        <v>0</v>
      </c>
      <c r="AJ49" s="144">
        <f>IF('PV IN'!$F$4="PV Only",0,SUM(BattCalcs!BO49:BT49))</f>
        <v>0</v>
      </c>
      <c r="AK49" s="144">
        <f>IF('PV IN'!$F$4="PV Only",PVCalcs!AH49,IF('PV IN'!$F$4="Battery Only",BattCalcs!BN49,PVCalcs!AH49+BattCalcs!BN49))</f>
        <v>-625</v>
      </c>
      <c r="AL49" s="144">
        <f>IF('PV IN'!$F$4="PV Only",0,BattCalcs!BV49)</f>
        <v>0</v>
      </c>
      <c r="AM49" s="144">
        <f>IF('PV IN'!$F$4="PV Only",0,SUM(BattCalcs!BW49:BX49))</f>
        <v>0</v>
      </c>
      <c r="AN49" s="144">
        <f>IF('PV IN'!$F$4="PV Only",0,BattCalcs!BY49)</f>
        <v>0</v>
      </c>
      <c r="AO49" s="144">
        <f>IF('PV IN'!$F$4="Battery Only",0,PVCalcs!U49)</f>
        <v>11236.804621037187</v>
      </c>
      <c r="AP49" s="10">
        <f>IF('PV IN'!$F$4="PV Only",0,BattCalcs!AS49)</f>
        <v>0</v>
      </c>
      <c r="AQ49" s="10">
        <f>IF('PV IN'!$F$4="PV Only",0,BattCalcs!AT49)</f>
        <v>0</v>
      </c>
      <c r="AR49" s="10">
        <f>IF('PV IN'!$F$4="PV Only",0,BattCalcs!AU49)</f>
        <v>0</v>
      </c>
      <c r="AS49" s="144">
        <f>IF('PV IN'!$F$4="PV Only",PVCalcs!X49,IF('PV IN'!$F$4="Battery Only",BattCalcs!AW49,PVCalcs!X49+BattCalcs!AW49))</f>
        <v>0</v>
      </c>
      <c r="AT49" s="144">
        <f>IF('PV IN'!$F$4="Battery Only",0,-PVCalcs!AQ49*'PV IN'!$E$8)</f>
        <v>0</v>
      </c>
      <c r="AU49" s="144">
        <f>IF('PV IN'!$F$4="PV Only",0,-BattCalcs!CG49*'PV IN'!$E$8)</f>
        <v>0</v>
      </c>
      <c r="AV49" s="144">
        <f>IF('PV IN'!$F$4="PV Only",PVCalcs!Z49+PVCalcs!AA49,IF('PV IN'!$F$4="Battery Only",SUM(BattCalcs!BC49:BH49),PVCalcs!Z49+PVCalcs!AA49+SUM(BattCalcs!BC49:BH49)))</f>
        <v>0</v>
      </c>
      <c r="AW49" s="144">
        <f>IF('PV IN'!$F$4="PV Only",SUM(PVCalcs!AF49:AI49),IF('PV IN'!$F$4="Battery Only",SUM(BattCalcs!BL49:BY49),SUM(PVCalcs!AF49:AI49)+SUM(BattCalcs!BL49:BY49)))</f>
        <v>-1375</v>
      </c>
      <c r="AX49" s="144">
        <f>IF('PV IN'!$F$4="Battery Only",0,-PVLoan!F77)</f>
        <v>0</v>
      </c>
      <c r="AY49" s="144">
        <f>IF('PV IN'!$F$4="PV Only",0,-BattLoan!F77)</f>
        <v>0</v>
      </c>
      <c r="AZ49" s="144">
        <f>IF('PV IN'!$F$4="Battery Only",0,-PVLoan!H77)</f>
        <v>0</v>
      </c>
      <c r="BA49" s="144">
        <f>IF('PV IN'!$F$4="PV Only",0,-BattLoan!H77)</f>
        <v>0</v>
      </c>
    </row>
    <row r="50" spans="1:88" x14ac:dyDescent="0.25">
      <c r="A50">
        <f>IF(C50&lt;='PV IN'!$O$22*12,C50,"")</f>
        <v>46</v>
      </c>
      <c r="C50">
        <v>46</v>
      </c>
      <c r="D50" s="2">
        <f>BattCalcs!CK50+PVCalcs!AT50</f>
        <v>12066.952440675008</v>
      </c>
      <c r="E50" s="20">
        <f>PVCalcs!AV50</f>
        <v>-643697.09020200418</v>
      </c>
      <c r="F50" s="20">
        <f>PVCalcs!AW50</f>
        <v>10008.568240326762</v>
      </c>
      <c r="G50" s="20">
        <f>PVCalcs!AX50</f>
        <v>-756131.58860860532</v>
      </c>
      <c r="H50" s="20">
        <f>BattCalcs!CM50</f>
        <v>0</v>
      </c>
      <c r="I50" s="20">
        <f>BattCalcs!CN50</f>
        <v>0</v>
      </c>
      <c r="J50" s="20">
        <f>IF(C50&lt;='Batt IN'!H$43*12,BattCalcs!CO50,NA())</f>
        <v>0</v>
      </c>
      <c r="L50" s="20">
        <f t="shared" si="3"/>
        <v>10008.568240326762</v>
      </c>
      <c r="M50" s="20">
        <f>G50+BattCalcs!CO50</f>
        <v>-756131.58860860532</v>
      </c>
      <c r="O50" s="10">
        <f>PVLoan!G78</f>
        <v>0</v>
      </c>
      <c r="P50" s="10">
        <f>PVLoan!J78</f>
        <v>0</v>
      </c>
      <c r="Q50" s="2">
        <f>BattLoan!G78</f>
        <v>0</v>
      </c>
      <c r="R50" s="10">
        <f>BattLoan!J78</f>
        <v>0</v>
      </c>
      <c r="T50" s="33">
        <f>IF('PV IN'!$F$4="Battery Only",0,PVCalcs!G50)</f>
        <v>147991.46328603936</v>
      </c>
      <c r="U50" s="33">
        <f>IF('PV IN'!$F$4="Battery Only",0,PVCalcs!M50)</f>
        <v>147991.46328603936</v>
      </c>
      <c r="V50" s="33">
        <f>PVCalcs!L50</f>
        <v>25811.765833333331</v>
      </c>
      <c r="W50" s="158">
        <f>PVCalcs!F50</f>
        <v>7.5878115998166518E-2</v>
      </c>
      <c r="X50" s="144">
        <f>IF('PV IN'!$F$4="Battery Only",0,PVCalcs!Y50+PVCalcs!Z50)</f>
        <v>1923.8890227185118</v>
      </c>
      <c r="Y50" s="144">
        <f>IF('PV IN'!$F$4="PV Only",0,BattCalcs!AX50+BattCalcs!BC50)</f>
        <v>0</v>
      </c>
      <c r="Z50" s="144">
        <f>IF('PV IN'!$F$4="PV Only",0,BattCalcs!AY50+BattCalcs!BD50)</f>
        <v>0</v>
      </c>
      <c r="AA50" s="144">
        <f>IF('PV IN'!$F$4="PV Only",0,BattCalcs!AZ50+BattCalcs!BE50)</f>
        <v>0</v>
      </c>
      <c r="AB50" s="144">
        <f>IF('PV IN'!$F$4="PV Only",0,BattCalcs!BA50+BattCalcs!BF50)</f>
        <v>0</v>
      </c>
      <c r="AC50" s="144">
        <f>IF('PV IN'!$F$4="PV Only",0,BattCalcs!BB50+BattCalcs!BG50)</f>
        <v>0</v>
      </c>
      <c r="AD50" s="144">
        <f>IF('PV IN'!$F$4="PV Only",0,BattCalcs!BU50)</f>
        <v>0</v>
      </c>
      <c r="AE50" s="144">
        <f>IF('PV IN'!$F$4="PV Only",PVCalcs!W50+PVCalcs!AA50,IF('PV IN'!$F$4="Battery Only",BattCalcs!AV50+BattCalcs!BH50,PVCalcs!W50+PVCalcs!AA50+BattCalcs!AV50+BattCalcs!BH50))</f>
        <v>0</v>
      </c>
      <c r="AF50" s="10">
        <f>PVCalcs!AC50+BattCalcs!BJ50</f>
        <v>0</v>
      </c>
      <c r="AG50" s="144">
        <f>IF('PV IN'!$F$4="Battery Only",0,PVCalcs!AG50)</f>
        <v>-750</v>
      </c>
      <c r="AH50" s="144">
        <f>IF('PV IN'!$F$4="Battery Only",0,PVCalcs!AI50)</f>
        <v>0</v>
      </c>
      <c r="AI50" s="144">
        <f>IF('PV IN'!$F$4="PV Only",0,BattCalcs!BM50)</f>
        <v>0</v>
      </c>
      <c r="AJ50" s="144">
        <f>IF('PV IN'!$F$4="PV Only",0,SUM(BattCalcs!BO50:BT50))</f>
        <v>0</v>
      </c>
      <c r="AK50" s="144">
        <f>IF('PV IN'!$F$4="PV Only",PVCalcs!AH50,IF('PV IN'!$F$4="Battery Only",BattCalcs!BN50,PVCalcs!AH50+BattCalcs!BN50))</f>
        <v>-625</v>
      </c>
      <c r="AL50" s="144">
        <f>IF('PV IN'!$F$4="PV Only",0,BattCalcs!BV50)</f>
        <v>0</v>
      </c>
      <c r="AM50" s="144">
        <f>IF('PV IN'!$F$4="PV Only",0,SUM(BattCalcs!BW50:BX50))</f>
        <v>0</v>
      </c>
      <c r="AN50" s="144">
        <f>IF('PV IN'!$F$4="PV Only",0,BattCalcs!BY50)</f>
        <v>0</v>
      </c>
      <c r="AO50" s="144">
        <f>IF('PV IN'!$F$4="Battery Only",0,PVCalcs!U50)</f>
        <v>11229.313417956497</v>
      </c>
      <c r="AP50" s="10">
        <f>IF('PV IN'!$F$4="PV Only",0,BattCalcs!AS50)</f>
        <v>0</v>
      </c>
      <c r="AQ50" s="10">
        <f>IF('PV IN'!$F$4="PV Only",0,BattCalcs!AT50)</f>
        <v>0</v>
      </c>
      <c r="AR50" s="10">
        <f>IF('PV IN'!$F$4="PV Only",0,BattCalcs!AU50)</f>
        <v>0</v>
      </c>
      <c r="AS50" s="144">
        <f>IF('PV IN'!$F$4="PV Only",PVCalcs!X50,IF('PV IN'!$F$4="Battery Only",BattCalcs!AW50,PVCalcs!X50+BattCalcs!AW50))</f>
        <v>0</v>
      </c>
      <c r="AT50" s="144">
        <f>IF('PV IN'!$F$4="Battery Only",0,-PVCalcs!AQ50*'PV IN'!$E$8)</f>
        <v>0</v>
      </c>
      <c r="AU50" s="144">
        <f>IF('PV IN'!$F$4="PV Only",0,-BattCalcs!CG50*'PV IN'!$E$8)</f>
        <v>0</v>
      </c>
      <c r="AV50" s="144">
        <f>IF('PV IN'!$F$4="PV Only",PVCalcs!Z50+PVCalcs!AA50,IF('PV IN'!$F$4="Battery Only",SUM(BattCalcs!BC50:BH50),PVCalcs!Z50+PVCalcs!AA50+SUM(BattCalcs!BC50:BH50)))</f>
        <v>0</v>
      </c>
      <c r="AW50" s="144">
        <f>IF('PV IN'!$F$4="PV Only",SUM(PVCalcs!AF50:AI50),IF('PV IN'!$F$4="Battery Only",SUM(BattCalcs!BL50:BY50),SUM(PVCalcs!AF50:AI50)+SUM(BattCalcs!BL50:BY50)))</f>
        <v>-1375</v>
      </c>
      <c r="AX50" s="144">
        <f>IF('PV IN'!$F$4="Battery Only",0,-PVLoan!F78)</f>
        <v>0</v>
      </c>
      <c r="AY50" s="144">
        <f>IF('PV IN'!$F$4="PV Only",0,-BattLoan!F78)</f>
        <v>0</v>
      </c>
      <c r="AZ50" s="144">
        <f>IF('PV IN'!$F$4="Battery Only",0,-PVLoan!H78)</f>
        <v>0</v>
      </c>
      <c r="BA50" s="144">
        <f>IF('PV IN'!$F$4="PV Only",0,-BattLoan!H78)</f>
        <v>0</v>
      </c>
    </row>
    <row r="51" spans="1:88" x14ac:dyDescent="0.25">
      <c r="A51">
        <f>IF(C51&lt;='PV IN'!$O$22*12,C51,"")</f>
        <v>47</v>
      </c>
      <c r="C51">
        <v>47</v>
      </c>
      <c r="D51" s="2">
        <f>BattCalcs!CK51+PVCalcs!AT51</f>
        <v>12058.183639047889</v>
      </c>
      <c r="E51" s="20">
        <f>PVCalcs!AV51</f>
        <v>-631638.90656295628</v>
      </c>
      <c r="F51" s="20">
        <f>PVCalcs!AW51</f>
        <v>9960.7140414121932</v>
      </c>
      <c r="G51" s="20">
        <f>PVCalcs!AX51</f>
        <v>-746170.8745671931</v>
      </c>
      <c r="H51" s="20">
        <f>BattCalcs!CM51</f>
        <v>0</v>
      </c>
      <c r="I51" s="20">
        <f>BattCalcs!CN51</f>
        <v>0</v>
      </c>
      <c r="J51" s="20">
        <f>IF(C51&lt;='Batt IN'!H$43*12,BattCalcs!CO51,NA())</f>
        <v>0</v>
      </c>
      <c r="L51" s="20">
        <f t="shared" si="3"/>
        <v>9960.7140414121932</v>
      </c>
      <c r="M51" s="20">
        <f>G51+BattCalcs!CO51</f>
        <v>-746170.8745671931</v>
      </c>
      <c r="O51" s="10">
        <f>PVLoan!G79</f>
        <v>0</v>
      </c>
      <c r="P51" s="10">
        <f>PVLoan!J79</f>
        <v>0</v>
      </c>
      <c r="Q51" s="2">
        <f>BattLoan!G79</f>
        <v>0</v>
      </c>
      <c r="R51" s="10">
        <f>BattLoan!J79</f>
        <v>0</v>
      </c>
      <c r="T51" s="33">
        <f>IF('PV IN'!$F$4="Battery Only",0,PVCalcs!G51)</f>
        <v>147892.80231051531</v>
      </c>
      <c r="U51" s="33">
        <f>IF('PV IN'!$F$4="Battery Only",0,PVCalcs!M51)</f>
        <v>147892.80231051531</v>
      </c>
      <c r="V51" s="33">
        <f>PVCalcs!L51</f>
        <v>25811.765833333331</v>
      </c>
      <c r="W51" s="158">
        <f>PVCalcs!F51</f>
        <v>7.5878115998166518E-2</v>
      </c>
      <c r="X51" s="144">
        <f>IF('PV IN'!$F$4="Battery Only",0,PVCalcs!Y51+PVCalcs!Z51)</f>
        <v>1922.6064300366988</v>
      </c>
      <c r="Y51" s="144">
        <f>IF('PV IN'!$F$4="PV Only",0,BattCalcs!AX51+BattCalcs!BC51)</f>
        <v>0</v>
      </c>
      <c r="Z51" s="144">
        <f>IF('PV IN'!$F$4="PV Only",0,BattCalcs!AY51+BattCalcs!BD51)</f>
        <v>0</v>
      </c>
      <c r="AA51" s="144">
        <f>IF('PV IN'!$F$4="PV Only",0,BattCalcs!AZ51+BattCalcs!BE51)</f>
        <v>0</v>
      </c>
      <c r="AB51" s="144">
        <f>IF('PV IN'!$F$4="PV Only",0,BattCalcs!BA51+BattCalcs!BF51)</f>
        <v>0</v>
      </c>
      <c r="AC51" s="144">
        <f>IF('PV IN'!$F$4="PV Only",0,BattCalcs!BB51+BattCalcs!BG51)</f>
        <v>0</v>
      </c>
      <c r="AD51" s="144">
        <f>IF('PV IN'!$F$4="PV Only",0,BattCalcs!BU51)</f>
        <v>0</v>
      </c>
      <c r="AE51" s="144">
        <f>IF('PV IN'!$F$4="PV Only",PVCalcs!W51+PVCalcs!AA51,IF('PV IN'!$F$4="Battery Only",BattCalcs!AV51+BattCalcs!BH51,PVCalcs!W51+PVCalcs!AA51+BattCalcs!AV51+BattCalcs!BH51))</f>
        <v>0</v>
      </c>
      <c r="AF51" s="10">
        <f>PVCalcs!AC51+BattCalcs!BJ51</f>
        <v>0</v>
      </c>
      <c r="AG51" s="144">
        <f>IF('PV IN'!$F$4="Battery Only",0,PVCalcs!AG51)</f>
        <v>-750</v>
      </c>
      <c r="AH51" s="144">
        <f>IF('PV IN'!$F$4="Battery Only",0,PVCalcs!AI51)</f>
        <v>0</v>
      </c>
      <c r="AI51" s="144">
        <f>IF('PV IN'!$F$4="PV Only",0,BattCalcs!BM51)</f>
        <v>0</v>
      </c>
      <c r="AJ51" s="144">
        <f>IF('PV IN'!$F$4="PV Only",0,SUM(BattCalcs!BO51:BT51))</f>
        <v>0</v>
      </c>
      <c r="AK51" s="144">
        <f>IF('PV IN'!$F$4="PV Only",PVCalcs!AH51,IF('PV IN'!$F$4="Battery Only",BattCalcs!BN51,PVCalcs!AH51+BattCalcs!BN51))</f>
        <v>-625</v>
      </c>
      <c r="AL51" s="144">
        <f>IF('PV IN'!$F$4="PV Only",0,BattCalcs!BV51)</f>
        <v>0</v>
      </c>
      <c r="AM51" s="144">
        <f>IF('PV IN'!$F$4="PV Only",0,SUM(BattCalcs!BW51:BX51))</f>
        <v>0</v>
      </c>
      <c r="AN51" s="144">
        <f>IF('PV IN'!$F$4="PV Only",0,BattCalcs!BY51)</f>
        <v>0</v>
      </c>
      <c r="AO51" s="144">
        <f>IF('PV IN'!$F$4="Battery Only",0,PVCalcs!U51)</f>
        <v>11221.82720901119</v>
      </c>
      <c r="AP51" s="10">
        <f>IF('PV IN'!$F$4="PV Only",0,BattCalcs!AS51)</f>
        <v>0</v>
      </c>
      <c r="AQ51" s="10">
        <f>IF('PV IN'!$F$4="PV Only",0,BattCalcs!AT51)</f>
        <v>0</v>
      </c>
      <c r="AR51" s="10">
        <f>IF('PV IN'!$F$4="PV Only",0,BattCalcs!AU51)</f>
        <v>0</v>
      </c>
      <c r="AS51" s="144">
        <f>IF('PV IN'!$F$4="PV Only",PVCalcs!X51,IF('PV IN'!$F$4="Battery Only",BattCalcs!AW51,PVCalcs!X51+BattCalcs!AW51))</f>
        <v>0</v>
      </c>
      <c r="AT51" s="144">
        <f>IF('PV IN'!$F$4="Battery Only",0,-PVCalcs!AQ51*'PV IN'!$E$8)</f>
        <v>0</v>
      </c>
      <c r="AU51" s="144">
        <f>IF('PV IN'!$F$4="PV Only",0,-BattCalcs!CG51*'PV IN'!$E$8)</f>
        <v>0</v>
      </c>
      <c r="AV51" s="144">
        <f>IF('PV IN'!$F$4="PV Only",PVCalcs!Z51+PVCalcs!AA51,IF('PV IN'!$F$4="Battery Only",SUM(BattCalcs!BC51:BH51),PVCalcs!Z51+PVCalcs!AA51+SUM(BattCalcs!BC51:BH51)))</f>
        <v>0</v>
      </c>
      <c r="AW51" s="144">
        <f>IF('PV IN'!$F$4="PV Only",SUM(PVCalcs!AF51:AI51),IF('PV IN'!$F$4="Battery Only",SUM(BattCalcs!BL51:BY51),SUM(PVCalcs!AF51:AI51)+SUM(BattCalcs!BL51:BY51)))</f>
        <v>-1375</v>
      </c>
      <c r="AX51" s="144">
        <f>IF('PV IN'!$F$4="Battery Only",0,-PVLoan!F79)</f>
        <v>0</v>
      </c>
      <c r="AY51" s="144">
        <f>IF('PV IN'!$F$4="PV Only",0,-BattLoan!F79)</f>
        <v>0</v>
      </c>
      <c r="AZ51" s="144">
        <f>IF('PV IN'!$F$4="Battery Only",0,-PVLoan!H79)</f>
        <v>0</v>
      </c>
      <c r="BA51" s="144">
        <f>IF('PV IN'!$F$4="PV Only",0,-BattLoan!H79)</f>
        <v>0</v>
      </c>
    </row>
    <row r="52" spans="1:88" x14ac:dyDescent="0.25">
      <c r="A52">
        <f>IF(C52&lt;='PV IN'!$O$22*12,C52,"")</f>
        <v>48</v>
      </c>
      <c r="B52">
        <f>B40+1</f>
        <v>2029</v>
      </c>
      <c r="C52">
        <v>48</v>
      </c>
      <c r="D52" s="2">
        <f>BattCalcs!CK52+PVCalcs!AT52</f>
        <v>12049.420683288525</v>
      </c>
      <c r="E52" s="20">
        <f>PVCalcs!AV52</f>
        <v>-619589.4858796678</v>
      </c>
      <c r="F52" s="20">
        <f>PVCalcs!AW52</f>
        <v>9913.0882159499142</v>
      </c>
      <c r="G52" s="20">
        <f>PVCalcs!AX52</f>
        <v>-736257.78635124315</v>
      </c>
      <c r="H52" s="20">
        <f>BattCalcs!CM52</f>
        <v>0</v>
      </c>
      <c r="I52" s="20">
        <f>BattCalcs!CN52</f>
        <v>0</v>
      </c>
      <c r="J52" s="20">
        <f>IF(C52&lt;='Batt IN'!H$43*12,BattCalcs!CO52,NA())</f>
        <v>0</v>
      </c>
      <c r="L52" s="20">
        <f t="shared" si="3"/>
        <v>9913.0882159499142</v>
      </c>
      <c r="M52" s="20">
        <f>G52+BattCalcs!CO52</f>
        <v>-736257.78635124315</v>
      </c>
      <c r="O52" s="10">
        <f>PVLoan!G80</f>
        <v>0</v>
      </c>
      <c r="P52" s="10">
        <f>PVLoan!J80</f>
        <v>0</v>
      </c>
      <c r="Q52" s="2">
        <f>BattLoan!G80</f>
        <v>0</v>
      </c>
      <c r="R52" s="10">
        <f>BattLoan!J80</f>
        <v>0</v>
      </c>
      <c r="T52" s="33">
        <f>IF('PV IN'!$F$4="Battery Only",0,PVCalcs!G52)</f>
        <v>147794.20710897498</v>
      </c>
      <c r="U52" s="33">
        <f>IF('PV IN'!$F$4="Battery Only",0,PVCalcs!M52)</f>
        <v>147794.20710897498</v>
      </c>
      <c r="V52" s="33">
        <f>PVCalcs!L52</f>
        <v>25811.765833333331</v>
      </c>
      <c r="W52" s="158">
        <f>PVCalcs!F52</f>
        <v>7.5878115998166518E-2</v>
      </c>
      <c r="X52" s="144">
        <f>IF('PV IN'!$F$4="Battery Only",0,PVCalcs!Y52+PVCalcs!Z52)</f>
        <v>1921.3246924166747</v>
      </c>
      <c r="Y52" s="144">
        <f>IF('PV IN'!$F$4="PV Only",0,BattCalcs!AX52+BattCalcs!BC52)</f>
        <v>0</v>
      </c>
      <c r="Z52" s="144">
        <f>IF('PV IN'!$F$4="PV Only",0,BattCalcs!AY52+BattCalcs!BD52)</f>
        <v>0</v>
      </c>
      <c r="AA52" s="144">
        <f>IF('PV IN'!$F$4="PV Only",0,BattCalcs!AZ52+BattCalcs!BE52)</f>
        <v>0</v>
      </c>
      <c r="AB52" s="144">
        <f>IF('PV IN'!$F$4="PV Only",0,BattCalcs!BA52+BattCalcs!BF52)</f>
        <v>0</v>
      </c>
      <c r="AC52" s="144">
        <f>IF('PV IN'!$F$4="PV Only",0,BattCalcs!BB52+BattCalcs!BG52)</f>
        <v>0</v>
      </c>
      <c r="AD52" s="144">
        <f>IF('PV IN'!$F$4="PV Only",0,BattCalcs!BU52)</f>
        <v>0</v>
      </c>
      <c r="AE52" s="144">
        <f>IF('PV IN'!$F$4="PV Only",PVCalcs!W52+PVCalcs!AA52,IF('PV IN'!$F$4="Battery Only",BattCalcs!AV52+BattCalcs!BH52,PVCalcs!W52+PVCalcs!AA52+BattCalcs!AV52+BattCalcs!BH52))</f>
        <v>0</v>
      </c>
      <c r="AF52" s="10">
        <f>PVCalcs!AC52+BattCalcs!BJ52</f>
        <v>0</v>
      </c>
      <c r="AG52" s="144">
        <f>IF('PV IN'!$F$4="Battery Only",0,PVCalcs!AG52)</f>
        <v>-750</v>
      </c>
      <c r="AH52" s="144">
        <f>IF('PV IN'!$F$4="Battery Only",0,PVCalcs!AI52)</f>
        <v>0</v>
      </c>
      <c r="AI52" s="144">
        <f>IF('PV IN'!$F$4="PV Only",0,BattCalcs!BM52)</f>
        <v>0</v>
      </c>
      <c r="AJ52" s="144">
        <f>IF('PV IN'!$F$4="PV Only",0,SUM(BattCalcs!BO52:BT52))</f>
        <v>0</v>
      </c>
      <c r="AK52" s="144">
        <f>IF('PV IN'!$F$4="PV Only",PVCalcs!AH52,IF('PV IN'!$F$4="Battery Only",BattCalcs!BN52,PVCalcs!AH52+BattCalcs!BN52))</f>
        <v>-625</v>
      </c>
      <c r="AL52" s="144">
        <f>IF('PV IN'!$F$4="PV Only",0,BattCalcs!BV52)</f>
        <v>0</v>
      </c>
      <c r="AM52" s="144">
        <f>IF('PV IN'!$F$4="PV Only",0,SUM(BattCalcs!BW52:BX52))</f>
        <v>0</v>
      </c>
      <c r="AN52" s="144">
        <f>IF('PV IN'!$F$4="PV Only",0,BattCalcs!BY52)</f>
        <v>0</v>
      </c>
      <c r="AO52" s="144">
        <f>IF('PV IN'!$F$4="Battery Only",0,PVCalcs!U52)</f>
        <v>11214.345990871851</v>
      </c>
      <c r="AP52" s="10">
        <f>IF('PV IN'!$F$4="PV Only",0,BattCalcs!AS52)</f>
        <v>0</v>
      </c>
      <c r="AQ52" s="10">
        <f>IF('PV IN'!$F$4="PV Only",0,BattCalcs!AT52)</f>
        <v>0</v>
      </c>
      <c r="AR52" s="10">
        <f>IF('PV IN'!$F$4="PV Only",0,BattCalcs!AU52)</f>
        <v>0</v>
      </c>
      <c r="AS52" s="144">
        <f>IF('PV IN'!$F$4="PV Only",PVCalcs!X52,IF('PV IN'!$F$4="Battery Only",BattCalcs!AW52,PVCalcs!X52+BattCalcs!AW52))</f>
        <v>0</v>
      </c>
      <c r="AT52" s="144">
        <f>IF('PV IN'!$F$4="Battery Only",0,-PVCalcs!AQ52*'PV IN'!$E$8)</f>
        <v>0</v>
      </c>
      <c r="AU52" s="144">
        <f>IF('PV IN'!$F$4="PV Only",0,-BattCalcs!CG52*'PV IN'!$E$8)</f>
        <v>0</v>
      </c>
      <c r="AV52" s="144">
        <f>IF('PV IN'!$F$4="PV Only",PVCalcs!Z52+PVCalcs!AA52,IF('PV IN'!$F$4="Battery Only",SUM(BattCalcs!BC52:BH52),PVCalcs!Z52+PVCalcs!AA52+SUM(BattCalcs!BC52:BH52)))</f>
        <v>0</v>
      </c>
      <c r="AW52" s="144">
        <f>IF('PV IN'!$F$4="PV Only",SUM(PVCalcs!AF52:AI52),IF('PV IN'!$F$4="Battery Only",SUM(BattCalcs!BL52:BY52),SUM(PVCalcs!AF52:AI52)+SUM(BattCalcs!BL52:BY52)))</f>
        <v>-1375</v>
      </c>
      <c r="AX52" s="144">
        <f>IF('PV IN'!$F$4="Battery Only",0,-PVLoan!F80)</f>
        <v>0</v>
      </c>
      <c r="AY52" s="144">
        <f>IF('PV IN'!$F$4="PV Only",0,-BattLoan!F80)</f>
        <v>0</v>
      </c>
      <c r="AZ52" s="144">
        <f>IF('PV IN'!$F$4="Battery Only",0,-PVLoan!H80)</f>
        <v>0</v>
      </c>
      <c r="BA52" s="144">
        <f>IF('PV IN'!$F$4="PV Only",0,-BattLoan!H80)</f>
        <v>0</v>
      </c>
      <c r="BC52" s="33">
        <f t="shared" ref="BC52" si="74">SUM(T41:T52)</f>
        <v>1780052.2606288688</v>
      </c>
      <c r="BD52" s="33">
        <f t="shared" ref="BD52" si="75">SUM(U41:U52)</f>
        <v>1780052.2606288688</v>
      </c>
      <c r="BE52" s="33">
        <f t="shared" ref="BE52" si="76">SUM(V41:V52)</f>
        <v>309741.19</v>
      </c>
      <c r="BF52" s="50">
        <f t="shared" ref="BF52" si="77">W52</f>
        <v>7.5878115998166518E-2</v>
      </c>
      <c r="BG52" s="2">
        <f t="shared" ref="BG52" si="78">SUM(X41:X52)</f>
        <v>23140.679388175293</v>
      </c>
      <c r="BH52" s="2">
        <f t="shared" ref="BH52" si="79">SUM(Y41:Y52)</f>
        <v>0</v>
      </c>
      <c r="BI52" s="2">
        <f t="shared" ref="BI52" si="80">SUM(Z41:Z52)</f>
        <v>0</v>
      </c>
      <c r="BJ52" s="2">
        <f t="shared" ref="BJ52" si="81">SUM(AA41:AA52)</f>
        <v>0</v>
      </c>
      <c r="BK52" s="2">
        <f t="shared" ref="BK52" si="82">SUM(AB41:AB52)</f>
        <v>0</v>
      </c>
      <c r="BL52" s="2">
        <f t="shared" ref="BL52" si="83">SUM(AC41:AC52)</f>
        <v>0</v>
      </c>
      <c r="BM52" s="2">
        <f t="shared" ref="BM52" si="84">SUM(AD41:AD52)</f>
        <v>0</v>
      </c>
      <c r="BN52" s="2">
        <f t="shared" ref="BN52" si="85">SUM(AE41:AE52)</f>
        <v>0</v>
      </c>
      <c r="BO52" s="2">
        <f t="shared" ref="BO52" si="86">SUM(AF41:AF52)</f>
        <v>0</v>
      </c>
      <c r="BP52" s="2">
        <f t="shared" ref="BP52" si="87">SUM(AG41:AG52)</f>
        <v>-9000</v>
      </c>
      <c r="BQ52" s="2">
        <f t="shared" ref="BQ52" si="88">SUM(AH41:AH52)</f>
        <v>0</v>
      </c>
      <c r="BR52" s="2">
        <f t="shared" ref="BR52" si="89">SUM(AI41:AI52)</f>
        <v>0</v>
      </c>
      <c r="BS52" s="2">
        <f t="shared" ref="BS52" si="90">SUM(AJ41:AJ52)</f>
        <v>0</v>
      </c>
      <c r="BT52" s="2">
        <f t="shared" ref="BT52" si="91">SUM(AK41:AK52)</f>
        <v>-7500</v>
      </c>
      <c r="BU52" s="2">
        <f t="shared" ref="BU52" si="92">SUM(AL41:AL52)</f>
        <v>0</v>
      </c>
      <c r="BV52" s="2">
        <f t="shared" ref="BV52" si="93">SUM(AM41:AM52)</f>
        <v>0</v>
      </c>
      <c r="BW52" s="2">
        <f t="shared" ref="BW52" si="94">SUM(AN41:AN52)</f>
        <v>0</v>
      </c>
      <c r="BX52" s="2">
        <f t="shared" ref="BX52" si="95">SUM(AO41:AO52)</f>
        <v>135067.01191479585</v>
      </c>
      <c r="BY52" s="2">
        <f t="shared" ref="BY52" si="96">SUM(AP41:AP52)</f>
        <v>0</v>
      </c>
      <c r="BZ52" s="2">
        <f t="shared" ref="BZ52" si="97">SUM(AQ41:AQ52)</f>
        <v>0</v>
      </c>
      <c r="CA52" s="2">
        <f t="shared" ref="CA52" si="98">SUM(AR41:AR52)</f>
        <v>0</v>
      </c>
      <c r="CB52" s="2">
        <f t="shared" ref="CB52" si="99">SUM(AS41:AS52)</f>
        <v>0</v>
      </c>
      <c r="CC52" s="2">
        <f t="shared" ref="CC52" si="100">SUM(AT41:AT52)</f>
        <v>0</v>
      </c>
      <c r="CD52" s="2">
        <f t="shared" ref="CD52" si="101">SUM(AU41:AU52)</f>
        <v>0</v>
      </c>
      <c r="CE52" s="2">
        <f t="shared" ref="CE52" si="102">SUM(AV41:AV52)</f>
        <v>0</v>
      </c>
      <c r="CF52" s="2">
        <f t="shared" ref="CF52" si="103">SUM(AW41:AW52)</f>
        <v>-16500</v>
      </c>
      <c r="CG52" s="2">
        <f t="shared" ref="CG52" si="104">SUM(AX41:AX52)</f>
        <v>0</v>
      </c>
      <c r="CH52" s="2">
        <f t="shared" ref="CH52" si="105">SUM(AY41:AY52)</f>
        <v>0</v>
      </c>
      <c r="CI52" s="2">
        <f t="shared" ref="CI52" si="106">SUM(AZ41:AZ52)</f>
        <v>0</v>
      </c>
      <c r="CJ52" s="2">
        <f t="shared" ref="CJ52" si="107">SUM(BA41:BA52)</f>
        <v>0</v>
      </c>
    </row>
    <row r="53" spans="1:88" x14ac:dyDescent="0.25">
      <c r="A53">
        <f>IF(C53&lt;='PV IN'!$O$22*12,C53,"")</f>
        <v>49</v>
      </c>
      <c r="C53">
        <v>49</v>
      </c>
      <c r="D53" s="2">
        <f>BattCalcs!CK53+PVCalcs!AT53</f>
        <v>12051.334647406722</v>
      </c>
      <c r="E53" s="20">
        <f>PVCalcs!AV53</f>
        <v>-607538.15123226109</v>
      </c>
      <c r="F53" s="20">
        <f>PVCalcs!AW53</f>
        <v>9874.4331759145789</v>
      </c>
      <c r="G53" s="20">
        <f>PVCalcs!AX53</f>
        <v>-726383.35317532858</v>
      </c>
      <c r="H53" s="20">
        <f>BattCalcs!CM53</f>
        <v>0</v>
      </c>
      <c r="I53" s="20">
        <f>BattCalcs!CN53</f>
        <v>0</v>
      </c>
      <c r="J53" s="20">
        <f>IF(C53&lt;='Batt IN'!H$43*12,BattCalcs!CO53,NA())</f>
        <v>0</v>
      </c>
      <c r="L53" s="20">
        <f t="shared" si="3"/>
        <v>9874.4331759145789</v>
      </c>
      <c r="M53" s="20">
        <f>G53+BattCalcs!CO53</f>
        <v>-726383.35317532858</v>
      </c>
      <c r="O53" s="10">
        <f>PVLoan!G81</f>
        <v>0</v>
      </c>
      <c r="P53" s="10">
        <f>PVLoan!J81</f>
        <v>0</v>
      </c>
      <c r="Q53" s="2">
        <f>BattLoan!G81</f>
        <v>0</v>
      </c>
      <c r="R53" s="10">
        <f>BattLoan!J81</f>
        <v>0</v>
      </c>
      <c r="T53" s="33">
        <f>IF('PV IN'!$F$4="Battery Only",0,PVCalcs!G53)</f>
        <v>147695.677637569</v>
      </c>
      <c r="U53" s="33">
        <f>IF('PV IN'!$F$4="Battery Only",0,PVCalcs!M53)</f>
        <v>147695.677637569</v>
      </c>
      <c r="V53" s="33">
        <f>PVCalcs!L53</f>
        <v>25811.765833333331</v>
      </c>
      <c r="W53" s="158">
        <f>PVCalcs!F53</f>
        <v>7.5950366439599487E-2</v>
      </c>
      <c r="X53" s="144">
        <f>IF('PV IN'!$F$4="Battery Only",0,PVCalcs!Y53+PVCalcs!Z53)</f>
        <v>1920.0438092883969</v>
      </c>
      <c r="Y53" s="144">
        <f>IF('PV IN'!$F$4="PV Only",0,BattCalcs!AX53+BattCalcs!BC53)</f>
        <v>0</v>
      </c>
      <c r="Z53" s="144">
        <f>IF('PV IN'!$F$4="PV Only",0,BattCalcs!AY53+BattCalcs!BD53)</f>
        <v>0</v>
      </c>
      <c r="AA53" s="144">
        <f>IF('PV IN'!$F$4="PV Only",0,BattCalcs!AZ53+BattCalcs!BE53)</f>
        <v>0</v>
      </c>
      <c r="AB53" s="144">
        <f>IF('PV IN'!$F$4="PV Only",0,BattCalcs!BA53+BattCalcs!BF53)</f>
        <v>0</v>
      </c>
      <c r="AC53" s="144">
        <f>IF('PV IN'!$F$4="PV Only",0,BattCalcs!BB53+BattCalcs!BG53)</f>
        <v>0</v>
      </c>
      <c r="AD53" s="144">
        <f>IF('PV IN'!$F$4="PV Only",0,BattCalcs!BU53)</f>
        <v>0</v>
      </c>
      <c r="AE53" s="144">
        <f>IF('PV IN'!$F$4="PV Only",PVCalcs!W53+PVCalcs!AA53,IF('PV IN'!$F$4="Battery Only",BattCalcs!AV53+BattCalcs!BH53,PVCalcs!W53+PVCalcs!AA53+BattCalcs!AV53+BattCalcs!BH53))</f>
        <v>0</v>
      </c>
      <c r="AF53" s="10">
        <f>PVCalcs!AC53+BattCalcs!BJ53</f>
        <v>0</v>
      </c>
      <c r="AG53" s="144">
        <f>IF('PV IN'!$F$4="Battery Only",0,PVCalcs!AG53)</f>
        <v>-750</v>
      </c>
      <c r="AH53" s="144">
        <f>IF('PV IN'!$F$4="Battery Only",0,PVCalcs!AI53)</f>
        <v>0</v>
      </c>
      <c r="AI53" s="144">
        <f>IF('PV IN'!$F$4="PV Only",0,BattCalcs!BM53)</f>
        <v>0</v>
      </c>
      <c r="AJ53" s="144">
        <f>IF('PV IN'!$F$4="PV Only",0,SUM(BattCalcs!BO53:BT53))</f>
        <v>0</v>
      </c>
      <c r="AK53" s="144">
        <f>IF('PV IN'!$F$4="PV Only",PVCalcs!AH53,IF('PV IN'!$F$4="Battery Only",BattCalcs!BN53,PVCalcs!AH53+BattCalcs!BN53))</f>
        <v>-625</v>
      </c>
      <c r="AL53" s="144">
        <f>IF('PV IN'!$F$4="PV Only",0,BattCalcs!BV53)</f>
        <v>0</v>
      </c>
      <c r="AM53" s="144">
        <f>IF('PV IN'!$F$4="PV Only",0,SUM(BattCalcs!BW53:BX53))</f>
        <v>0</v>
      </c>
      <c r="AN53" s="144">
        <f>IF('PV IN'!$F$4="PV Only",0,BattCalcs!BY53)</f>
        <v>0</v>
      </c>
      <c r="AO53" s="144">
        <f>IF('PV IN'!$F$4="Battery Only",0,PVCalcs!U53)</f>
        <v>11217.540838118324</v>
      </c>
      <c r="AP53" s="10">
        <f>IF('PV IN'!$F$4="PV Only",0,BattCalcs!AS53)</f>
        <v>0</v>
      </c>
      <c r="AQ53" s="10">
        <f>IF('PV IN'!$F$4="PV Only",0,BattCalcs!AT53)</f>
        <v>0</v>
      </c>
      <c r="AR53" s="10">
        <f>IF('PV IN'!$F$4="PV Only",0,BattCalcs!AU53)</f>
        <v>0</v>
      </c>
      <c r="AS53" s="144">
        <f>IF('PV IN'!$F$4="PV Only",PVCalcs!X53,IF('PV IN'!$F$4="Battery Only",BattCalcs!AW53,PVCalcs!X53+BattCalcs!AW53))</f>
        <v>0</v>
      </c>
      <c r="AT53" s="144">
        <f>IF('PV IN'!$F$4="Battery Only",0,-PVCalcs!AQ53*'PV IN'!$E$8)</f>
        <v>0</v>
      </c>
      <c r="AU53" s="144">
        <f>IF('PV IN'!$F$4="PV Only",0,-BattCalcs!CG53*'PV IN'!$E$8)</f>
        <v>0</v>
      </c>
      <c r="AV53" s="144">
        <f>IF('PV IN'!$F$4="PV Only",PVCalcs!Z53+PVCalcs!AA53,IF('PV IN'!$F$4="Battery Only",SUM(BattCalcs!BC53:BH53),PVCalcs!Z53+PVCalcs!AA53+SUM(BattCalcs!BC53:BH53)))</f>
        <v>0</v>
      </c>
      <c r="AW53" s="144">
        <f>IF('PV IN'!$F$4="PV Only",SUM(PVCalcs!AF53:AI53),IF('PV IN'!$F$4="Battery Only",SUM(BattCalcs!BL53:BY53),SUM(PVCalcs!AF53:AI53)+SUM(BattCalcs!BL53:BY53)))</f>
        <v>-1375</v>
      </c>
      <c r="AX53" s="144">
        <f>IF('PV IN'!$F$4="Battery Only",0,-PVLoan!F81)</f>
        <v>0</v>
      </c>
      <c r="AY53" s="144">
        <f>IF('PV IN'!$F$4="PV Only",0,-BattLoan!F81)</f>
        <v>0</v>
      </c>
      <c r="AZ53" s="144">
        <f>IF('PV IN'!$F$4="Battery Only",0,-PVLoan!H81)</f>
        <v>0</v>
      </c>
      <c r="BA53" s="144">
        <f>IF('PV IN'!$F$4="PV Only",0,-BattLoan!H81)</f>
        <v>0</v>
      </c>
    </row>
    <row r="54" spans="1:88" x14ac:dyDescent="0.25">
      <c r="A54">
        <f>IF(C54&lt;='PV IN'!$O$22*12,C54,"")</f>
        <v>50</v>
      </c>
      <c r="C54">
        <v>50</v>
      </c>
      <c r="D54" s="2">
        <f>BattCalcs!CK54+PVCalcs!AT54</f>
        <v>12042.576257641782</v>
      </c>
      <c r="E54" s="20">
        <f>PVCalcs!AV54</f>
        <v>-595495.57497461932</v>
      </c>
      <c r="F54" s="20">
        <f>PVCalcs!AW54</f>
        <v>9827.2195552450012</v>
      </c>
      <c r="G54" s="20">
        <f>PVCalcs!AX54</f>
        <v>-716556.13362008356</v>
      </c>
      <c r="H54" s="20">
        <f>BattCalcs!CM54</f>
        <v>0</v>
      </c>
      <c r="I54" s="20">
        <f>BattCalcs!CN54</f>
        <v>0</v>
      </c>
      <c r="J54" s="20">
        <f>IF(C54&lt;='Batt IN'!H$43*12,BattCalcs!CO54,NA())</f>
        <v>0</v>
      </c>
      <c r="L54" s="20">
        <f t="shared" si="3"/>
        <v>9827.2195552450012</v>
      </c>
      <c r="M54" s="20">
        <f>G54+BattCalcs!CO54</f>
        <v>-716556.13362008356</v>
      </c>
      <c r="O54" s="10">
        <f>PVLoan!G82</f>
        <v>0</v>
      </c>
      <c r="P54" s="10">
        <f>PVLoan!J82</f>
        <v>0</v>
      </c>
      <c r="Q54" s="2">
        <f>BattLoan!G82</f>
        <v>0</v>
      </c>
      <c r="R54" s="10">
        <f>BattLoan!J82</f>
        <v>0</v>
      </c>
      <c r="T54" s="33">
        <f>IF('PV IN'!$F$4="Battery Only",0,PVCalcs!G54)</f>
        <v>147597.21385247726</v>
      </c>
      <c r="U54" s="33">
        <f>IF('PV IN'!$F$4="Battery Only",0,PVCalcs!M54)</f>
        <v>147597.21385247726</v>
      </c>
      <c r="V54" s="33">
        <f>PVCalcs!L54</f>
        <v>25811.765833333331</v>
      </c>
      <c r="W54" s="158">
        <f>PVCalcs!F54</f>
        <v>7.5950366439599487E-2</v>
      </c>
      <c r="X54" s="144">
        <f>IF('PV IN'!$F$4="Battery Only",0,PVCalcs!Y54+PVCalcs!Z54)</f>
        <v>1918.7637800822044</v>
      </c>
      <c r="Y54" s="144">
        <f>IF('PV IN'!$F$4="PV Only",0,BattCalcs!AX54+BattCalcs!BC54)</f>
        <v>0</v>
      </c>
      <c r="Z54" s="144">
        <f>IF('PV IN'!$F$4="PV Only",0,BattCalcs!AY54+BattCalcs!BD54)</f>
        <v>0</v>
      </c>
      <c r="AA54" s="144">
        <f>IF('PV IN'!$F$4="PV Only",0,BattCalcs!AZ54+BattCalcs!BE54)</f>
        <v>0</v>
      </c>
      <c r="AB54" s="144">
        <f>IF('PV IN'!$F$4="PV Only",0,BattCalcs!BA54+BattCalcs!BF54)</f>
        <v>0</v>
      </c>
      <c r="AC54" s="144">
        <f>IF('PV IN'!$F$4="PV Only",0,BattCalcs!BB54+BattCalcs!BG54)</f>
        <v>0</v>
      </c>
      <c r="AD54" s="144">
        <f>IF('PV IN'!$F$4="PV Only",0,BattCalcs!BU54)</f>
        <v>0</v>
      </c>
      <c r="AE54" s="144">
        <f>IF('PV IN'!$F$4="PV Only",PVCalcs!W54+PVCalcs!AA54,IF('PV IN'!$F$4="Battery Only",BattCalcs!AV54+BattCalcs!BH54,PVCalcs!W54+PVCalcs!AA54+BattCalcs!AV54+BattCalcs!BH54))</f>
        <v>0</v>
      </c>
      <c r="AF54" s="10">
        <f>PVCalcs!AC54+BattCalcs!BJ54</f>
        <v>0</v>
      </c>
      <c r="AG54" s="144">
        <f>IF('PV IN'!$F$4="Battery Only",0,PVCalcs!AG54)</f>
        <v>-750</v>
      </c>
      <c r="AH54" s="144">
        <f>IF('PV IN'!$F$4="Battery Only",0,PVCalcs!AI54)</f>
        <v>0</v>
      </c>
      <c r="AI54" s="144">
        <f>IF('PV IN'!$F$4="PV Only",0,BattCalcs!BM54)</f>
        <v>0</v>
      </c>
      <c r="AJ54" s="144">
        <f>IF('PV IN'!$F$4="PV Only",0,SUM(BattCalcs!BO54:BT54))</f>
        <v>0</v>
      </c>
      <c r="AK54" s="144">
        <f>IF('PV IN'!$F$4="PV Only",PVCalcs!AH54,IF('PV IN'!$F$4="Battery Only",BattCalcs!BN54,PVCalcs!AH54+BattCalcs!BN54))</f>
        <v>-625</v>
      </c>
      <c r="AL54" s="144">
        <f>IF('PV IN'!$F$4="PV Only",0,BattCalcs!BV54)</f>
        <v>0</v>
      </c>
      <c r="AM54" s="144">
        <f>IF('PV IN'!$F$4="PV Only",0,SUM(BattCalcs!BW54:BX54))</f>
        <v>0</v>
      </c>
      <c r="AN54" s="144">
        <f>IF('PV IN'!$F$4="PV Only",0,BattCalcs!BY54)</f>
        <v>0</v>
      </c>
      <c r="AO54" s="144">
        <f>IF('PV IN'!$F$4="Battery Only",0,PVCalcs!U54)</f>
        <v>11210.062477559577</v>
      </c>
      <c r="AP54" s="10">
        <f>IF('PV IN'!$F$4="PV Only",0,BattCalcs!AS54)</f>
        <v>0</v>
      </c>
      <c r="AQ54" s="10">
        <f>IF('PV IN'!$F$4="PV Only",0,BattCalcs!AT54)</f>
        <v>0</v>
      </c>
      <c r="AR54" s="10">
        <f>IF('PV IN'!$F$4="PV Only",0,BattCalcs!AU54)</f>
        <v>0</v>
      </c>
      <c r="AS54" s="144">
        <f>IF('PV IN'!$F$4="PV Only",PVCalcs!X54,IF('PV IN'!$F$4="Battery Only",BattCalcs!AW54,PVCalcs!X54+BattCalcs!AW54))</f>
        <v>0</v>
      </c>
      <c r="AT54" s="144">
        <f>IF('PV IN'!$F$4="Battery Only",0,-PVCalcs!AQ54*'PV IN'!$E$8)</f>
        <v>0</v>
      </c>
      <c r="AU54" s="144">
        <f>IF('PV IN'!$F$4="PV Only",0,-BattCalcs!CG54*'PV IN'!$E$8)</f>
        <v>0</v>
      </c>
      <c r="AV54" s="144">
        <f>IF('PV IN'!$F$4="PV Only",PVCalcs!Z54+PVCalcs!AA54,IF('PV IN'!$F$4="Battery Only",SUM(BattCalcs!BC54:BH54),PVCalcs!Z54+PVCalcs!AA54+SUM(BattCalcs!BC54:BH54)))</f>
        <v>0</v>
      </c>
      <c r="AW54" s="144">
        <f>IF('PV IN'!$F$4="PV Only",SUM(PVCalcs!AF54:AI54),IF('PV IN'!$F$4="Battery Only",SUM(BattCalcs!BL54:BY54),SUM(PVCalcs!AF54:AI54)+SUM(BattCalcs!BL54:BY54)))</f>
        <v>-1375</v>
      </c>
      <c r="AX54" s="144">
        <f>IF('PV IN'!$F$4="Battery Only",0,-PVLoan!F82)</f>
        <v>0</v>
      </c>
      <c r="AY54" s="144">
        <f>IF('PV IN'!$F$4="PV Only",0,-BattLoan!F82)</f>
        <v>0</v>
      </c>
      <c r="AZ54" s="144">
        <f>IF('PV IN'!$F$4="Battery Only",0,-PVLoan!H82)</f>
        <v>0</v>
      </c>
      <c r="BA54" s="144">
        <f>IF('PV IN'!$F$4="PV Only",0,-BattLoan!H82)</f>
        <v>0</v>
      </c>
    </row>
    <row r="55" spans="1:88" x14ac:dyDescent="0.25">
      <c r="A55">
        <f>IF(C55&lt;='PV IN'!$O$22*12,C55,"")</f>
        <v>51</v>
      </c>
      <c r="C55">
        <v>51</v>
      </c>
      <c r="D55" s="2">
        <f>BattCalcs!CK55+PVCalcs!AT55</f>
        <v>12033.823706803356</v>
      </c>
      <c r="E55" s="20">
        <f>PVCalcs!AV55</f>
        <v>-583461.75126781594</v>
      </c>
      <c r="F55" s="20">
        <f>PVCalcs!AW55</f>
        <v>9780.231254076054</v>
      </c>
      <c r="G55" s="20">
        <f>PVCalcs!AX55</f>
        <v>-706775.90236600756</v>
      </c>
      <c r="H55" s="20">
        <f>BattCalcs!CM55</f>
        <v>0</v>
      </c>
      <c r="I55" s="20">
        <f>BattCalcs!CN55</f>
        <v>0</v>
      </c>
      <c r="J55" s="20">
        <f>IF(C55&lt;='Batt IN'!H$43*12,BattCalcs!CO55,NA())</f>
        <v>0</v>
      </c>
      <c r="L55" s="20">
        <f t="shared" si="3"/>
        <v>9780.231254076054</v>
      </c>
      <c r="M55" s="20">
        <f>G55+BattCalcs!CO55</f>
        <v>-706775.90236600756</v>
      </c>
      <c r="O55" s="10">
        <f>PVLoan!G83</f>
        <v>0</v>
      </c>
      <c r="P55" s="10">
        <f>PVLoan!J83</f>
        <v>0</v>
      </c>
      <c r="Q55" s="2">
        <f>BattLoan!G83</f>
        <v>0</v>
      </c>
      <c r="R55" s="10">
        <f>BattLoan!J83</f>
        <v>0</v>
      </c>
      <c r="T55" s="33">
        <f>IF('PV IN'!$F$4="Battery Only",0,PVCalcs!G55)</f>
        <v>147498.81570990896</v>
      </c>
      <c r="U55" s="33">
        <f>IF('PV IN'!$F$4="Battery Only",0,PVCalcs!M55)</f>
        <v>147498.81570990896</v>
      </c>
      <c r="V55" s="33">
        <f>PVCalcs!L55</f>
        <v>25811.765833333331</v>
      </c>
      <c r="W55" s="158">
        <f>PVCalcs!F55</f>
        <v>7.5950366439599487E-2</v>
      </c>
      <c r="X55" s="144">
        <f>IF('PV IN'!$F$4="Battery Only",0,PVCalcs!Y55+PVCalcs!Z55)</f>
        <v>1917.4846042288164</v>
      </c>
      <c r="Y55" s="144">
        <f>IF('PV IN'!$F$4="PV Only",0,BattCalcs!AX55+BattCalcs!BC55)</f>
        <v>0</v>
      </c>
      <c r="Z55" s="144">
        <f>IF('PV IN'!$F$4="PV Only",0,BattCalcs!AY55+BattCalcs!BD55)</f>
        <v>0</v>
      </c>
      <c r="AA55" s="144">
        <f>IF('PV IN'!$F$4="PV Only",0,BattCalcs!AZ55+BattCalcs!BE55)</f>
        <v>0</v>
      </c>
      <c r="AB55" s="144">
        <f>IF('PV IN'!$F$4="PV Only",0,BattCalcs!BA55+BattCalcs!BF55)</f>
        <v>0</v>
      </c>
      <c r="AC55" s="144">
        <f>IF('PV IN'!$F$4="PV Only",0,BattCalcs!BB55+BattCalcs!BG55)</f>
        <v>0</v>
      </c>
      <c r="AD55" s="144">
        <f>IF('PV IN'!$F$4="PV Only",0,BattCalcs!BU55)</f>
        <v>0</v>
      </c>
      <c r="AE55" s="144">
        <f>IF('PV IN'!$F$4="PV Only",PVCalcs!W55+PVCalcs!AA55,IF('PV IN'!$F$4="Battery Only",BattCalcs!AV55+BattCalcs!BH55,PVCalcs!W55+PVCalcs!AA55+BattCalcs!AV55+BattCalcs!BH55))</f>
        <v>0</v>
      </c>
      <c r="AF55" s="10">
        <f>PVCalcs!AC55+BattCalcs!BJ55</f>
        <v>0</v>
      </c>
      <c r="AG55" s="144">
        <f>IF('PV IN'!$F$4="Battery Only",0,PVCalcs!AG55)</f>
        <v>-750</v>
      </c>
      <c r="AH55" s="144">
        <f>IF('PV IN'!$F$4="Battery Only",0,PVCalcs!AI55)</f>
        <v>0</v>
      </c>
      <c r="AI55" s="144">
        <f>IF('PV IN'!$F$4="PV Only",0,BattCalcs!BM55)</f>
        <v>0</v>
      </c>
      <c r="AJ55" s="144">
        <f>IF('PV IN'!$F$4="PV Only",0,SUM(BattCalcs!BO55:BT55))</f>
        <v>0</v>
      </c>
      <c r="AK55" s="144">
        <f>IF('PV IN'!$F$4="PV Only",PVCalcs!AH55,IF('PV IN'!$F$4="Battery Only",BattCalcs!BN55,PVCalcs!AH55+BattCalcs!BN55))</f>
        <v>-625</v>
      </c>
      <c r="AL55" s="144">
        <f>IF('PV IN'!$F$4="PV Only",0,BattCalcs!BV55)</f>
        <v>0</v>
      </c>
      <c r="AM55" s="144">
        <f>IF('PV IN'!$F$4="PV Only",0,SUM(BattCalcs!BW55:BX55))</f>
        <v>0</v>
      </c>
      <c r="AN55" s="144">
        <f>IF('PV IN'!$F$4="PV Only",0,BattCalcs!BY55)</f>
        <v>0</v>
      </c>
      <c r="AO55" s="144">
        <f>IF('PV IN'!$F$4="Battery Only",0,PVCalcs!U55)</f>
        <v>11202.589102574539</v>
      </c>
      <c r="AP55" s="10">
        <f>IF('PV IN'!$F$4="PV Only",0,BattCalcs!AS55)</f>
        <v>0</v>
      </c>
      <c r="AQ55" s="10">
        <f>IF('PV IN'!$F$4="PV Only",0,BattCalcs!AT55)</f>
        <v>0</v>
      </c>
      <c r="AR55" s="10">
        <f>IF('PV IN'!$F$4="PV Only",0,BattCalcs!AU55)</f>
        <v>0</v>
      </c>
      <c r="AS55" s="144">
        <f>IF('PV IN'!$F$4="PV Only",PVCalcs!X55,IF('PV IN'!$F$4="Battery Only",BattCalcs!AW55,PVCalcs!X55+BattCalcs!AW55))</f>
        <v>0</v>
      </c>
      <c r="AT55" s="144">
        <f>IF('PV IN'!$F$4="Battery Only",0,-PVCalcs!AQ55*'PV IN'!$E$8)</f>
        <v>0</v>
      </c>
      <c r="AU55" s="144">
        <f>IF('PV IN'!$F$4="PV Only",0,-BattCalcs!CG55*'PV IN'!$E$8)</f>
        <v>0</v>
      </c>
      <c r="AV55" s="144">
        <f>IF('PV IN'!$F$4="PV Only",PVCalcs!Z55+PVCalcs!AA55,IF('PV IN'!$F$4="Battery Only",SUM(BattCalcs!BC55:BH55),PVCalcs!Z55+PVCalcs!AA55+SUM(BattCalcs!BC55:BH55)))</f>
        <v>0</v>
      </c>
      <c r="AW55" s="144">
        <f>IF('PV IN'!$F$4="PV Only",SUM(PVCalcs!AF55:AI55),IF('PV IN'!$F$4="Battery Only",SUM(BattCalcs!BL55:BY55),SUM(PVCalcs!AF55:AI55)+SUM(BattCalcs!BL55:BY55)))</f>
        <v>-1375</v>
      </c>
      <c r="AX55" s="144">
        <f>IF('PV IN'!$F$4="Battery Only",0,-PVLoan!F83)</f>
        <v>0</v>
      </c>
      <c r="AY55" s="144">
        <f>IF('PV IN'!$F$4="PV Only",0,-BattLoan!F83)</f>
        <v>0</v>
      </c>
      <c r="AZ55" s="144">
        <f>IF('PV IN'!$F$4="Battery Only",0,-PVLoan!H83)</f>
        <v>0</v>
      </c>
      <c r="BA55" s="144">
        <f>IF('PV IN'!$F$4="PV Only",0,-BattLoan!H83)</f>
        <v>0</v>
      </c>
    </row>
    <row r="56" spans="1:88" x14ac:dyDescent="0.25">
      <c r="A56">
        <f>IF(C56&lt;='PV IN'!$O$22*12,C56,"")</f>
        <v>52</v>
      </c>
      <c r="C56">
        <v>52</v>
      </c>
      <c r="D56" s="2">
        <f>BattCalcs!CK56+PVCalcs!AT56</f>
        <v>12025.076990998821</v>
      </c>
      <c r="E56" s="20">
        <f>PVCalcs!AV56</f>
        <v>-571436.67427681712</v>
      </c>
      <c r="F56" s="20">
        <f>PVCalcs!AW56</f>
        <v>9733.4671988200735</v>
      </c>
      <c r="G56" s="20">
        <f>PVCalcs!AX56</f>
        <v>-697042.43516718748</v>
      </c>
      <c r="H56" s="20">
        <f>BattCalcs!CM56</f>
        <v>0</v>
      </c>
      <c r="I56" s="20">
        <f>BattCalcs!CN56</f>
        <v>0</v>
      </c>
      <c r="J56" s="20">
        <f>IF(C56&lt;='Batt IN'!H$43*12,BattCalcs!CO56,NA())</f>
        <v>0</v>
      </c>
      <c r="L56" s="20">
        <f t="shared" si="3"/>
        <v>9733.4671988200735</v>
      </c>
      <c r="M56" s="20">
        <f>G56+BattCalcs!CO56</f>
        <v>-697042.43516718748</v>
      </c>
      <c r="O56" s="10">
        <f>PVLoan!G84</f>
        <v>0</v>
      </c>
      <c r="P56" s="10">
        <f>PVLoan!J84</f>
        <v>0</v>
      </c>
      <c r="Q56" s="2">
        <f>BattLoan!G84</f>
        <v>0</v>
      </c>
      <c r="R56" s="10">
        <f>BattLoan!J84</f>
        <v>0</v>
      </c>
      <c r="T56" s="33">
        <f>IF('PV IN'!$F$4="Battery Only",0,PVCalcs!G56)</f>
        <v>147400.48316610235</v>
      </c>
      <c r="U56" s="33">
        <f>IF('PV IN'!$F$4="Battery Only",0,PVCalcs!M56)</f>
        <v>147400.48316610235</v>
      </c>
      <c r="V56" s="33">
        <f>PVCalcs!L56</f>
        <v>25811.765833333331</v>
      </c>
      <c r="W56" s="158">
        <f>PVCalcs!F56</f>
        <v>7.5950366439599487E-2</v>
      </c>
      <c r="X56" s="144">
        <f>IF('PV IN'!$F$4="Battery Only",0,PVCalcs!Y56+PVCalcs!Z56)</f>
        <v>1916.2062811593307</v>
      </c>
      <c r="Y56" s="144">
        <f>IF('PV IN'!$F$4="PV Only",0,BattCalcs!AX56+BattCalcs!BC56)</f>
        <v>0</v>
      </c>
      <c r="Z56" s="144">
        <f>IF('PV IN'!$F$4="PV Only",0,BattCalcs!AY56+BattCalcs!BD56)</f>
        <v>0</v>
      </c>
      <c r="AA56" s="144">
        <f>IF('PV IN'!$F$4="PV Only",0,BattCalcs!AZ56+BattCalcs!BE56)</f>
        <v>0</v>
      </c>
      <c r="AB56" s="144">
        <f>IF('PV IN'!$F$4="PV Only",0,BattCalcs!BA56+BattCalcs!BF56)</f>
        <v>0</v>
      </c>
      <c r="AC56" s="144">
        <f>IF('PV IN'!$F$4="PV Only",0,BattCalcs!BB56+BattCalcs!BG56)</f>
        <v>0</v>
      </c>
      <c r="AD56" s="144">
        <f>IF('PV IN'!$F$4="PV Only",0,BattCalcs!BU56)</f>
        <v>0</v>
      </c>
      <c r="AE56" s="144">
        <f>IF('PV IN'!$F$4="PV Only",PVCalcs!W56+PVCalcs!AA56,IF('PV IN'!$F$4="Battery Only",BattCalcs!AV56+BattCalcs!BH56,PVCalcs!W56+PVCalcs!AA56+BattCalcs!AV56+BattCalcs!BH56))</f>
        <v>0</v>
      </c>
      <c r="AF56" s="10">
        <f>PVCalcs!AC56+BattCalcs!BJ56</f>
        <v>0</v>
      </c>
      <c r="AG56" s="144">
        <f>IF('PV IN'!$F$4="Battery Only",0,PVCalcs!AG56)</f>
        <v>-750</v>
      </c>
      <c r="AH56" s="144">
        <f>IF('PV IN'!$F$4="Battery Only",0,PVCalcs!AI56)</f>
        <v>0</v>
      </c>
      <c r="AI56" s="144">
        <f>IF('PV IN'!$F$4="PV Only",0,BattCalcs!BM56)</f>
        <v>0</v>
      </c>
      <c r="AJ56" s="144">
        <f>IF('PV IN'!$F$4="PV Only",0,SUM(BattCalcs!BO56:BT56))</f>
        <v>0</v>
      </c>
      <c r="AK56" s="144">
        <f>IF('PV IN'!$F$4="PV Only",PVCalcs!AH56,IF('PV IN'!$F$4="Battery Only",BattCalcs!BN56,PVCalcs!AH56+BattCalcs!BN56))</f>
        <v>-625</v>
      </c>
      <c r="AL56" s="144">
        <f>IF('PV IN'!$F$4="PV Only",0,BattCalcs!BV56)</f>
        <v>0</v>
      </c>
      <c r="AM56" s="144">
        <f>IF('PV IN'!$F$4="PV Only",0,SUM(BattCalcs!BW56:BX56))</f>
        <v>0</v>
      </c>
      <c r="AN56" s="144">
        <f>IF('PV IN'!$F$4="PV Only",0,BattCalcs!BY56)</f>
        <v>0</v>
      </c>
      <c r="AO56" s="144">
        <f>IF('PV IN'!$F$4="Battery Only",0,PVCalcs!U56)</f>
        <v>11195.12070983949</v>
      </c>
      <c r="AP56" s="10">
        <f>IF('PV IN'!$F$4="PV Only",0,BattCalcs!AS56)</f>
        <v>0</v>
      </c>
      <c r="AQ56" s="10">
        <f>IF('PV IN'!$F$4="PV Only",0,BattCalcs!AT56)</f>
        <v>0</v>
      </c>
      <c r="AR56" s="10">
        <f>IF('PV IN'!$F$4="PV Only",0,BattCalcs!AU56)</f>
        <v>0</v>
      </c>
      <c r="AS56" s="144">
        <f>IF('PV IN'!$F$4="PV Only",PVCalcs!X56,IF('PV IN'!$F$4="Battery Only",BattCalcs!AW56,PVCalcs!X56+BattCalcs!AW56))</f>
        <v>0</v>
      </c>
      <c r="AT56" s="144">
        <f>IF('PV IN'!$F$4="Battery Only",0,-PVCalcs!AQ56*'PV IN'!$E$8)</f>
        <v>0</v>
      </c>
      <c r="AU56" s="144">
        <f>IF('PV IN'!$F$4="PV Only",0,-BattCalcs!CG56*'PV IN'!$E$8)</f>
        <v>0</v>
      </c>
      <c r="AV56" s="144">
        <f>IF('PV IN'!$F$4="PV Only",PVCalcs!Z56+PVCalcs!AA56,IF('PV IN'!$F$4="Battery Only",SUM(BattCalcs!BC56:BH56),PVCalcs!Z56+PVCalcs!AA56+SUM(BattCalcs!BC56:BH56)))</f>
        <v>0</v>
      </c>
      <c r="AW56" s="144">
        <f>IF('PV IN'!$F$4="PV Only",SUM(PVCalcs!AF56:AI56),IF('PV IN'!$F$4="Battery Only",SUM(BattCalcs!BL56:BY56),SUM(PVCalcs!AF56:AI56)+SUM(BattCalcs!BL56:BY56)))</f>
        <v>-1375</v>
      </c>
      <c r="AX56" s="144">
        <f>IF('PV IN'!$F$4="Battery Only",0,-PVLoan!F84)</f>
        <v>0</v>
      </c>
      <c r="AY56" s="144">
        <f>IF('PV IN'!$F$4="PV Only",0,-BattLoan!F84)</f>
        <v>0</v>
      </c>
      <c r="AZ56" s="144">
        <f>IF('PV IN'!$F$4="Battery Only",0,-PVLoan!H84)</f>
        <v>0</v>
      </c>
      <c r="BA56" s="144">
        <f>IF('PV IN'!$F$4="PV Only",0,-BattLoan!H84)</f>
        <v>0</v>
      </c>
    </row>
    <row r="57" spans="1:88" x14ac:dyDescent="0.25">
      <c r="A57">
        <f>IF(C57&lt;='PV IN'!$O$22*12,C57,"")</f>
        <v>53</v>
      </c>
      <c r="C57">
        <v>53</v>
      </c>
      <c r="D57" s="2">
        <f>BattCalcs!CK57+PVCalcs!AT57</f>
        <v>12016.336106338151</v>
      </c>
      <c r="E57" s="20">
        <f>PVCalcs!AV57</f>
        <v>-559420.33817047894</v>
      </c>
      <c r="F57" s="20">
        <f>PVCalcs!AW57</f>
        <v>9686.9263209978762</v>
      </c>
      <c r="G57" s="20">
        <f>PVCalcs!AX57</f>
        <v>-687355.50884618959</v>
      </c>
      <c r="H57" s="20">
        <f>BattCalcs!CM57</f>
        <v>0</v>
      </c>
      <c r="I57" s="20">
        <f>BattCalcs!CN57</f>
        <v>0</v>
      </c>
      <c r="J57" s="20">
        <f>IF(C57&lt;='Batt IN'!H$43*12,BattCalcs!CO57,NA())</f>
        <v>0</v>
      </c>
      <c r="L57" s="20">
        <f t="shared" si="3"/>
        <v>9686.9263209978762</v>
      </c>
      <c r="M57" s="20">
        <f>G57+BattCalcs!CO57</f>
        <v>-687355.50884618959</v>
      </c>
      <c r="O57" s="10">
        <f>PVLoan!G85</f>
        <v>0</v>
      </c>
      <c r="P57" s="10">
        <f>PVLoan!J85</f>
        <v>0</v>
      </c>
      <c r="Q57" s="2">
        <f>BattLoan!G85</f>
        <v>0</v>
      </c>
      <c r="R57" s="10">
        <f>BattLoan!J85</f>
        <v>0</v>
      </c>
      <c r="T57" s="33">
        <f>IF('PV IN'!$F$4="Battery Only",0,PVCalcs!G57)</f>
        <v>147302.21617732491</v>
      </c>
      <c r="U57" s="33">
        <f>IF('PV IN'!$F$4="Battery Only",0,PVCalcs!M57)</f>
        <v>147302.21617732491</v>
      </c>
      <c r="V57" s="33">
        <f>PVCalcs!L57</f>
        <v>25811.765833333331</v>
      </c>
      <c r="W57" s="158">
        <f>PVCalcs!F57</f>
        <v>7.5950366439599487E-2</v>
      </c>
      <c r="X57" s="144">
        <f>IF('PV IN'!$F$4="Battery Only",0,PVCalcs!Y57+PVCalcs!Z57)</f>
        <v>1914.9288103052238</v>
      </c>
      <c r="Y57" s="144">
        <f>IF('PV IN'!$F$4="PV Only",0,BattCalcs!AX57+BattCalcs!BC57)</f>
        <v>0</v>
      </c>
      <c r="Z57" s="144">
        <f>IF('PV IN'!$F$4="PV Only",0,BattCalcs!AY57+BattCalcs!BD57)</f>
        <v>0</v>
      </c>
      <c r="AA57" s="144">
        <f>IF('PV IN'!$F$4="PV Only",0,BattCalcs!AZ57+BattCalcs!BE57)</f>
        <v>0</v>
      </c>
      <c r="AB57" s="144">
        <f>IF('PV IN'!$F$4="PV Only",0,BattCalcs!BA57+BattCalcs!BF57)</f>
        <v>0</v>
      </c>
      <c r="AC57" s="144">
        <f>IF('PV IN'!$F$4="PV Only",0,BattCalcs!BB57+BattCalcs!BG57)</f>
        <v>0</v>
      </c>
      <c r="AD57" s="144">
        <f>IF('PV IN'!$F$4="PV Only",0,BattCalcs!BU57)</f>
        <v>0</v>
      </c>
      <c r="AE57" s="144">
        <f>IF('PV IN'!$F$4="PV Only",PVCalcs!W57+PVCalcs!AA57,IF('PV IN'!$F$4="Battery Only",BattCalcs!AV57+BattCalcs!BH57,PVCalcs!W57+PVCalcs!AA57+BattCalcs!AV57+BattCalcs!BH57))</f>
        <v>0</v>
      </c>
      <c r="AF57" s="10">
        <f>PVCalcs!AC57+BattCalcs!BJ57</f>
        <v>0</v>
      </c>
      <c r="AG57" s="144">
        <f>IF('PV IN'!$F$4="Battery Only",0,PVCalcs!AG57)</f>
        <v>-750</v>
      </c>
      <c r="AH57" s="144">
        <f>IF('PV IN'!$F$4="Battery Only",0,PVCalcs!AI57)</f>
        <v>0</v>
      </c>
      <c r="AI57" s="144">
        <f>IF('PV IN'!$F$4="PV Only",0,BattCalcs!BM57)</f>
        <v>0</v>
      </c>
      <c r="AJ57" s="144">
        <f>IF('PV IN'!$F$4="PV Only",0,SUM(BattCalcs!BO57:BT57))</f>
        <v>0</v>
      </c>
      <c r="AK57" s="144">
        <f>IF('PV IN'!$F$4="PV Only",PVCalcs!AH57,IF('PV IN'!$F$4="Battery Only",BattCalcs!BN57,PVCalcs!AH57+BattCalcs!BN57))</f>
        <v>-625</v>
      </c>
      <c r="AL57" s="144">
        <f>IF('PV IN'!$F$4="PV Only",0,BattCalcs!BV57)</f>
        <v>0</v>
      </c>
      <c r="AM57" s="144">
        <f>IF('PV IN'!$F$4="PV Only",0,SUM(BattCalcs!BW57:BX57))</f>
        <v>0</v>
      </c>
      <c r="AN57" s="144">
        <f>IF('PV IN'!$F$4="PV Only",0,BattCalcs!BY57)</f>
        <v>0</v>
      </c>
      <c r="AO57" s="144">
        <f>IF('PV IN'!$F$4="Battery Only",0,PVCalcs!U57)</f>
        <v>11187.657296032927</v>
      </c>
      <c r="AP57" s="10">
        <f>IF('PV IN'!$F$4="PV Only",0,BattCalcs!AS57)</f>
        <v>0</v>
      </c>
      <c r="AQ57" s="10">
        <f>IF('PV IN'!$F$4="PV Only",0,BattCalcs!AT57)</f>
        <v>0</v>
      </c>
      <c r="AR57" s="10">
        <f>IF('PV IN'!$F$4="PV Only",0,BattCalcs!AU57)</f>
        <v>0</v>
      </c>
      <c r="AS57" s="144">
        <f>IF('PV IN'!$F$4="PV Only",PVCalcs!X57,IF('PV IN'!$F$4="Battery Only",BattCalcs!AW57,PVCalcs!X57+BattCalcs!AW57))</f>
        <v>0</v>
      </c>
      <c r="AT57" s="144">
        <f>IF('PV IN'!$F$4="Battery Only",0,-PVCalcs!AQ57*'PV IN'!$E$8)</f>
        <v>0</v>
      </c>
      <c r="AU57" s="144">
        <f>IF('PV IN'!$F$4="PV Only",0,-BattCalcs!CG57*'PV IN'!$E$8)</f>
        <v>0</v>
      </c>
      <c r="AV57" s="144">
        <f>IF('PV IN'!$F$4="PV Only",PVCalcs!Z57+PVCalcs!AA57,IF('PV IN'!$F$4="Battery Only",SUM(BattCalcs!BC57:BH57),PVCalcs!Z57+PVCalcs!AA57+SUM(BattCalcs!BC57:BH57)))</f>
        <v>0</v>
      </c>
      <c r="AW57" s="144">
        <f>IF('PV IN'!$F$4="PV Only",SUM(PVCalcs!AF57:AI57),IF('PV IN'!$F$4="Battery Only",SUM(BattCalcs!BL57:BY57),SUM(PVCalcs!AF57:AI57)+SUM(BattCalcs!BL57:BY57)))</f>
        <v>-1375</v>
      </c>
      <c r="AX57" s="144">
        <f>IF('PV IN'!$F$4="Battery Only",0,-PVLoan!F85)</f>
        <v>0</v>
      </c>
      <c r="AY57" s="144">
        <f>IF('PV IN'!$F$4="PV Only",0,-BattLoan!F85)</f>
        <v>0</v>
      </c>
      <c r="AZ57" s="144">
        <f>IF('PV IN'!$F$4="Battery Only",0,-PVLoan!H85)</f>
        <v>0</v>
      </c>
      <c r="BA57" s="144">
        <f>IF('PV IN'!$F$4="PV Only",0,-BattLoan!H85)</f>
        <v>0</v>
      </c>
    </row>
    <row r="58" spans="1:88" x14ac:dyDescent="0.25">
      <c r="A58">
        <f>IF(C58&lt;='PV IN'!$O$22*12,C58,"")</f>
        <v>54</v>
      </c>
      <c r="C58">
        <v>54</v>
      </c>
      <c r="D58" s="2">
        <f>BattCalcs!CK58+PVCalcs!AT58</f>
        <v>12007.601048933926</v>
      </c>
      <c r="E58" s="20">
        <f>PVCalcs!AV58</f>
        <v>-547412.73712154501</v>
      </c>
      <c r="F58" s="20">
        <f>PVCalcs!AW58</f>
        <v>9640.6075572144891</v>
      </c>
      <c r="G58" s="20">
        <f>PVCalcs!AX58</f>
        <v>-677714.90128897515</v>
      </c>
      <c r="H58" s="20">
        <f>BattCalcs!CM58</f>
        <v>0</v>
      </c>
      <c r="I58" s="20">
        <f>BattCalcs!CN58</f>
        <v>0</v>
      </c>
      <c r="J58" s="20">
        <f>IF(C58&lt;='Batt IN'!H$43*12,BattCalcs!CO58,NA())</f>
        <v>0</v>
      </c>
      <c r="L58" s="20">
        <f t="shared" si="3"/>
        <v>9640.6075572144891</v>
      </c>
      <c r="M58" s="20">
        <f>G58+BattCalcs!CO58</f>
        <v>-677714.90128897515</v>
      </c>
      <c r="O58" s="10">
        <f>PVLoan!G86</f>
        <v>0</v>
      </c>
      <c r="P58" s="10">
        <f>PVLoan!J86</f>
        <v>0</v>
      </c>
      <c r="Q58" s="2">
        <f>BattLoan!G86</f>
        <v>0</v>
      </c>
      <c r="R58" s="10">
        <f>BattLoan!J86</f>
        <v>0</v>
      </c>
      <c r="T58" s="33">
        <f>IF('PV IN'!$F$4="Battery Only",0,PVCalcs!G58)</f>
        <v>147204.01469987337</v>
      </c>
      <c r="U58" s="33">
        <f>IF('PV IN'!$F$4="Battery Only",0,PVCalcs!M58)</f>
        <v>147204.01469987337</v>
      </c>
      <c r="V58" s="33">
        <f>PVCalcs!L58</f>
        <v>25811.765833333331</v>
      </c>
      <c r="W58" s="158">
        <f>PVCalcs!F58</f>
        <v>7.5950366439599487E-2</v>
      </c>
      <c r="X58" s="144">
        <f>IF('PV IN'!$F$4="Battery Only",0,PVCalcs!Y58+PVCalcs!Z58)</f>
        <v>1913.6521910983538</v>
      </c>
      <c r="Y58" s="144">
        <f>IF('PV IN'!$F$4="PV Only",0,BattCalcs!AX58+BattCalcs!BC58)</f>
        <v>0</v>
      </c>
      <c r="Z58" s="144">
        <f>IF('PV IN'!$F$4="PV Only",0,BattCalcs!AY58+BattCalcs!BD58)</f>
        <v>0</v>
      </c>
      <c r="AA58" s="144">
        <f>IF('PV IN'!$F$4="PV Only",0,BattCalcs!AZ58+BattCalcs!BE58)</f>
        <v>0</v>
      </c>
      <c r="AB58" s="144">
        <f>IF('PV IN'!$F$4="PV Only",0,BattCalcs!BA58+BattCalcs!BF58)</f>
        <v>0</v>
      </c>
      <c r="AC58" s="144">
        <f>IF('PV IN'!$F$4="PV Only",0,BattCalcs!BB58+BattCalcs!BG58)</f>
        <v>0</v>
      </c>
      <c r="AD58" s="144">
        <f>IF('PV IN'!$F$4="PV Only",0,BattCalcs!BU58)</f>
        <v>0</v>
      </c>
      <c r="AE58" s="144">
        <f>IF('PV IN'!$F$4="PV Only",PVCalcs!W58+PVCalcs!AA58,IF('PV IN'!$F$4="Battery Only",BattCalcs!AV58+BattCalcs!BH58,PVCalcs!W58+PVCalcs!AA58+BattCalcs!AV58+BattCalcs!BH58))</f>
        <v>0</v>
      </c>
      <c r="AF58" s="10">
        <f>PVCalcs!AC58+BattCalcs!BJ58</f>
        <v>0</v>
      </c>
      <c r="AG58" s="144">
        <f>IF('PV IN'!$F$4="Battery Only",0,PVCalcs!AG58)</f>
        <v>-750</v>
      </c>
      <c r="AH58" s="144">
        <f>IF('PV IN'!$F$4="Battery Only",0,PVCalcs!AI58)</f>
        <v>0</v>
      </c>
      <c r="AI58" s="144">
        <f>IF('PV IN'!$F$4="PV Only",0,BattCalcs!BM58)</f>
        <v>0</v>
      </c>
      <c r="AJ58" s="144">
        <f>IF('PV IN'!$F$4="PV Only",0,SUM(BattCalcs!BO58:BT58))</f>
        <v>0</v>
      </c>
      <c r="AK58" s="144">
        <f>IF('PV IN'!$F$4="PV Only",PVCalcs!AH58,IF('PV IN'!$F$4="Battery Only",BattCalcs!BN58,PVCalcs!AH58+BattCalcs!BN58))</f>
        <v>-625</v>
      </c>
      <c r="AL58" s="144">
        <f>IF('PV IN'!$F$4="PV Only",0,BattCalcs!BV58)</f>
        <v>0</v>
      </c>
      <c r="AM58" s="144">
        <f>IF('PV IN'!$F$4="PV Only",0,SUM(BattCalcs!BW58:BX58))</f>
        <v>0</v>
      </c>
      <c r="AN58" s="144">
        <f>IF('PV IN'!$F$4="PV Only",0,BattCalcs!BY58)</f>
        <v>0</v>
      </c>
      <c r="AO58" s="144">
        <f>IF('PV IN'!$F$4="Battery Only",0,PVCalcs!U58)</f>
        <v>11180.198857835572</v>
      </c>
      <c r="AP58" s="10">
        <f>IF('PV IN'!$F$4="PV Only",0,BattCalcs!AS58)</f>
        <v>0</v>
      </c>
      <c r="AQ58" s="10">
        <f>IF('PV IN'!$F$4="PV Only",0,BattCalcs!AT58)</f>
        <v>0</v>
      </c>
      <c r="AR58" s="10">
        <f>IF('PV IN'!$F$4="PV Only",0,BattCalcs!AU58)</f>
        <v>0</v>
      </c>
      <c r="AS58" s="144">
        <f>IF('PV IN'!$F$4="PV Only",PVCalcs!X58,IF('PV IN'!$F$4="Battery Only",BattCalcs!AW58,PVCalcs!X58+BattCalcs!AW58))</f>
        <v>0</v>
      </c>
      <c r="AT58" s="144">
        <f>IF('PV IN'!$F$4="Battery Only",0,-PVCalcs!AQ58*'PV IN'!$E$8)</f>
        <v>0</v>
      </c>
      <c r="AU58" s="144">
        <f>IF('PV IN'!$F$4="PV Only",0,-BattCalcs!CG58*'PV IN'!$E$8)</f>
        <v>0</v>
      </c>
      <c r="AV58" s="144">
        <f>IF('PV IN'!$F$4="PV Only",PVCalcs!Z58+PVCalcs!AA58,IF('PV IN'!$F$4="Battery Only",SUM(BattCalcs!BC58:BH58),PVCalcs!Z58+PVCalcs!AA58+SUM(BattCalcs!BC58:BH58)))</f>
        <v>0</v>
      </c>
      <c r="AW58" s="144">
        <f>IF('PV IN'!$F$4="PV Only",SUM(PVCalcs!AF58:AI58),IF('PV IN'!$F$4="Battery Only",SUM(BattCalcs!BL58:BY58),SUM(PVCalcs!AF58:AI58)+SUM(BattCalcs!BL58:BY58)))</f>
        <v>-1375</v>
      </c>
      <c r="AX58" s="144">
        <f>IF('PV IN'!$F$4="Battery Only",0,-PVLoan!F86)</f>
        <v>0</v>
      </c>
      <c r="AY58" s="144">
        <f>IF('PV IN'!$F$4="PV Only",0,-BattLoan!F86)</f>
        <v>0</v>
      </c>
      <c r="AZ58" s="144">
        <f>IF('PV IN'!$F$4="Battery Only",0,-PVLoan!H86)</f>
        <v>0</v>
      </c>
      <c r="BA58" s="144">
        <f>IF('PV IN'!$F$4="PV Only",0,-BattLoan!H86)</f>
        <v>0</v>
      </c>
    </row>
    <row r="59" spans="1:88" x14ac:dyDescent="0.25">
      <c r="A59">
        <f>IF(C59&lt;='PV IN'!$O$22*12,C59,"")</f>
        <v>55</v>
      </c>
      <c r="C59">
        <v>55</v>
      </c>
      <c r="D59" s="2">
        <f>BattCalcs!CK59+PVCalcs!AT59</f>
        <v>11998.871814901302</v>
      </c>
      <c r="E59" s="20">
        <f>PVCalcs!AV59</f>
        <v>-535413.86530664365</v>
      </c>
      <c r="F59" s="20">
        <f>PVCalcs!AW59</f>
        <v>9594.5098491349636</v>
      </c>
      <c r="G59" s="20">
        <f>PVCalcs!AX59</f>
        <v>-668120.3914398402</v>
      </c>
      <c r="H59" s="20">
        <f>BattCalcs!CM59</f>
        <v>0</v>
      </c>
      <c r="I59" s="20">
        <f>BattCalcs!CN59</f>
        <v>0</v>
      </c>
      <c r="J59" s="20">
        <f>IF(C59&lt;='Batt IN'!H$43*12,BattCalcs!CO59,NA())</f>
        <v>0</v>
      </c>
      <c r="L59" s="20">
        <f t="shared" si="3"/>
        <v>9594.5098491349636</v>
      </c>
      <c r="M59" s="20">
        <f>G59+BattCalcs!CO59</f>
        <v>-668120.3914398402</v>
      </c>
      <c r="O59" s="10">
        <f>PVLoan!G87</f>
        <v>0</v>
      </c>
      <c r="P59" s="10">
        <f>PVLoan!J87</f>
        <v>0</v>
      </c>
      <c r="Q59" s="2">
        <f>BattLoan!G87</f>
        <v>0</v>
      </c>
      <c r="R59" s="10">
        <f>BattLoan!J87</f>
        <v>0</v>
      </c>
      <c r="T59" s="33">
        <f>IF('PV IN'!$F$4="Battery Only",0,PVCalcs!G59)</f>
        <v>147105.87869007344</v>
      </c>
      <c r="U59" s="33">
        <f>IF('PV IN'!$F$4="Battery Only",0,PVCalcs!M59)</f>
        <v>147105.87869007344</v>
      </c>
      <c r="V59" s="33">
        <f>PVCalcs!L59</f>
        <v>25811.765833333331</v>
      </c>
      <c r="W59" s="158">
        <f>PVCalcs!F59</f>
        <v>7.5950366439599487E-2</v>
      </c>
      <c r="X59" s="144">
        <f>IF('PV IN'!$F$4="Battery Only",0,PVCalcs!Y59+PVCalcs!Z59)</f>
        <v>1912.3764229709548</v>
      </c>
      <c r="Y59" s="144">
        <f>IF('PV IN'!$F$4="PV Only",0,BattCalcs!AX59+BattCalcs!BC59)</f>
        <v>0</v>
      </c>
      <c r="Z59" s="144">
        <f>IF('PV IN'!$F$4="PV Only",0,BattCalcs!AY59+BattCalcs!BD59)</f>
        <v>0</v>
      </c>
      <c r="AA59" s="144">
        <f>IF('PV IN'!$F$4="PV Only",0,BattCalcs!AZ59+BattCalcs!BE59)</f>
        <v>0</v>
      </c>
      <c r="AB59" s="144">
        <f>IF('PV IN'!$F$4="PV Only",0,BattCalcs!BA59+BattCalcs!BF59)</f>
        <v>0</v>
      </c>
      <c r="AC59" s="144">
        <f>IF('PV IN'!$F$4="PV Only",0,BattCalcs!BB59+BattCalcs!BG59)</f>
        <v>0</v>
      </c>
      <c r="AD59" s="144">
        <f>IF('PV IN'!$F$4="PV Only",0,BattCalcs!BU59)</f>
        <v>0</v>
      </c>
      <c r="AE59" s="144">
        <f>IF('PV IN'!$F$4="PV Only",PVCalcs!W59+PVCalcs!AA59,IF('PV IN'!$F$4="Battery Only",BattCalcs!AV59+BattCalcs!BH59,PVCalcs!W59+PVCalcs!AA59+BattCalcs!AV59+BattCalcs!BH59))</f>
        <v>0</v>
      </c>
      <c r="AF59" s="10">
        <f>PVCalcs!AC59+BattCalcs!BJ59</f>
        <v>0</v>
      </c>
      <c r="AG59" s="144">
        <f>IF('PV IN'!$F$4="Battery Only",0,PVCalcs!AG59)</f>
        <v>-750</v>
      </c>
      <c r="AH59" s="144">
        <f>IF('PV IN'!$F$4="Battery Only",0,PVCalcs!AI59)</f>
        <v>0</v>
      </c>
      <c r="AI59" s="144">
        <f>IF('PV IN'!$F$4="PV Only",0,BattCalcs!BM59)</f>
        <v>0</v>
      </c>
      <c r="AJ59" s="144">
        <f>IF('PV IN'!$F$4="PV Only",0,SUM(BattCalcs!BO59:BT59))</f>
        <v>0</v>
      </c>
      <c r="AK59" s="144">
        <f>IF('PV IN'!$F$4="PV Only",PVCalcs!AH59,IF('PV IN'!$F$4="Battery Only",BattCalcs!BN59,PVCalcs!AH59+BattCalcs!BN59))</f>
        <v>-625</v>
      </c>
      <c r="AL59" s="144">
        <f>IF('PV IN'!$F$4="PV Only",0,BattCalcs!BV59)</f>
        <v>0</v>
      </c>
      <c r="AM59" s="144">
        <f>IF('PV IN'!$F$4="PV Only",0,SUM(BattCalcs!BW59:BX59))</f>
        <v>0</v>
      </c>
      <c r="AN59" s="144">
        <f>IF('PV IN'!$F$4="PV Only",0,BattCalcs!BY59)</f>
        <v>0</v>
      </c>
      <c r="AO59" s="144">
        <f>IF('PV IN'!$F$4="Battery Only",0,PVCalcs!U59)</f>
        <v>11172.745391930348</v>
      </c>
      <c r="AP59" s="10">
        <f>IF('PV IN'!$F$4="PV Only",0,BattCalcs!AS59)</f>
        <v>0</v>
      </c>
      <c r="AQ59" s="10">
        <f>IF('PV IN'!$F$4="PV Only",0,BattCalcs!AT59)</f>
        <v>0</v>
      </c>
      <c r="AR59" s="10">
        <f>IF('PV IN'!$F$4="PV Only",0,BattCalcs!AU59)</f>
        <v>0</v>
      </c>
      <c r="AS59" s="144">
        <f>IF('PV IN'!$F$4="PV Only",PVCalcs!X59,IF('PV IN'!$F$4="Battery Only",BattCalcs!AW59,PVCalcs!X59+BattCalcs!AW59))</f>
        <v>0</v>
      </c>
      <c r="AT59" s="144">
        <f>IF('PV IN'!$F$4="Battery Only",0,-PVCalcs!AQ59*'PV IN'!$E$8)</f>
        <v>0</v>
      </c>
      <c r="AU59" s="144">
        <f>IF('PV IN'!$F$4="PV Only",0,-BattCalcs!CG59*'PV IN'!$E$8)</f>
        <v>0</v>
      </c>
      <c r="AV59" s="144">
        <f>IF('PV IN'!$F$4="PV Only",PVCalcs!Z59+PVCalcs!AA59,IF('PV IN'!$F$4="Battery Only",SUM(BattCalcs!BC59:BH59),PVCalcs!Z59+PVCalcs!AA59+SUM(BattCalcs!BC59:BH59)))</f>
        <v>0</v>
      </c>
      <c r="AW59" s="144">
        <f>IF('PV IN'!$F$4="PV Only",SUM(PVCalcs!AF59:AI59),IF('PV IN'!$F$4="Battery Only",SUM(BattCalcs!BL59:BY59),SUM(PVCalcs!AF59:AI59)+SUM(BattCalcs!BL59:BY59)))</f>
        <v>-1375</v>
      </c>
      <c r="AX59" s="144">
        <f>IF('PV IN'!$F$4="Battery Only",0,-PVLoan!F87)</f>
        <v>0</v>
      </c>
      <c r="AY59" s="144">
        <f>IF('PV IN'!$F$4="PV Only",0,-BattLoan!F87)</f>
        <v>0</v>
      </c>
      <c r="AZ59" s="144">
        <f>IF('PV IN'!$F$4="Battery Only",0,-PVLoan!H87)</f>
        <v>0</v>
      </c>
      <c r="BA59" s="144">
        <f>IF('PV IN'!$F$4="PV Only",0,-BattLoan!H87)</f>
        <v>0</v>
      </c>
    </row>
    <row r="60" spans="1:88" x14ac:dyDescent="0.25">
      <c r="A60">
        <f>IF(C60&lt;='PV IN'!$O$22*12,C60,"")</f>
        <v>56</v>
      </c>
      <c r="C60">
        <v>56</v>
      </c>
      <c r="D60" s="2">
        <f>BattCalcs!CK60+PVCalcs!AT60</f>
        <v>11990.148400358034</v>
      </c>
      <c r="E60" s="20">
        <f>PVCalcs!AV60</f>
        <v>-523423.71690628561</v>
      </c>
      <c r="F60" s="20">
        <f>PVCalcs!AW60</f>
        <v>9548.6321434603378</v>
      </c>
      <c r="G60" s="20">
        <f>PVCalcs!AX60</f>
        <v>-658571.75929637987</v>
      </c>
      <c r="H60" s="20">
        <f>BattCalcs!CM60</f>
        <v>0</v>
      </c>
      <c r="I60" s="20">
        <f>BattCalcs!CN60</f>
        <v>0</v>
      </c>
      <c r="J60" s="20">
        <f>IF(C60&lt;='Batt IN'!H$43*12,BattCalcs!CO60,NA())</f>
        <v>0</v>
      </c>
      <c r="L60" s="20">
        <f t="shared" si="3"/>
        <v>9548.6321434603378</v>
      </c>
      <c r="M60" s="20">
        <f>G60+BattCalcs!CO60</f>
        <v>-658571.75929637987</v>
      </c>
      <c r="O60" s="10">
        <f>PVLoan!G88</f>
        <v>0</v>
      </c>
      <c r="P60" s="10">
        <f>PVLoan!J88</f>
        <v>0</v>
      </c>
      <c r="Q60" s="2">
        <f>BattLoan!G88</f>
        <v>0</v>
      </c>
      <c r="R60" s="10">
        <f>BattLoan!J88</f>
        <v>0</v>
      </c>
      <c r="T60" s="33">
        <f>IF('PV IN'!$F$4="Battery Only",0,PVCalcs!G60)</f>
        <v>147007.80810428006</v>
      </c>
      <c r="U60" s="33">
        <f>IF('PV IN'!$F$4="Battery Only",0,PVCalcs!M60)</f>
        <v>147007.80810428006</v>
      </c>
      <c r="V60" s="33">
        <f>PVCalcs!L60</f>
        <v>25811.765833333331</v>
      </c>
      <c r="W60" s="158">
        <f>PVCalcs!F60</f>
        <v>7.5950366439599487E-2</v>
      </c>
      <c r="X60" s="144">
        <f>IF('PV IN'!$F$4="Battery Only",0,PVCalcs!Y60+PVCalcs!Z60)</f>
        <v>1911.1015053556407</v>
      </c>
      <c r="Y60" s="144">
        <f>IF('PV IN'!$F$4="PV Only",0,BattCalcs!AX60+BattCalcs!BC60)</f>
        <v>0</v>
      </c>
      <c r="Z60" s="144">
        <f>IF('PV IN'!$F$4="PV Only",0,BattCalcs!AY60+BattCalcs!BD60)</f>
        <v>0</v>
      </c>
      <c r="AA60" s="144">
        <f>IF('PV IN'!$F$4="PV Only",0,BattCalcs!AZ60+BattCalcs!BE60)</f>
        <v>0</v>
      </c>
      <c r="AB60" s="144">
        <f>IF('PV IN'!$F$4="PV Only",0,BattCalcs!BA60+BattCalcs!BF60)</f>
        <v>0</v>
      </c>
      <c r="AC60" s="144">
        <f>IF('PV IN'!$F$4="PV Only",0,BattCalcs!BB60+BattCalcs!BG60)</f>
        <v>0</v>
      </c>
      <c r="AD60" s="144">
        <f>IF('PV IN'!$F$4="PV Only",0,BattCalcs!BU60)</f>
        <v>0</v>
      </c>
      <c r="AE60" s="144">
        <f>IF('PV IN'!$F$4="PV Only",PVCalcs!W60+PVCalcs!AA60,IF('PV IN'!$F$4="Battery Only",BattCalcs!AV60+BattCalcs!BH60,PVCalcs!W60+PVCalcs!AA60+BattCalcs!AV60+BattCalcs!BH60))</f>
        <v>0</v>
      </c>
      <c r="AF60" s="10">
        <f>PVCalcs!AC60+BattCalcs!BJ60</f>
        <v>0</v>
      </c>
      <c r="AG60" s="144">
        <f>IF('PV IN'!$F$4="Battery Only",0,PVCalcs!AG60)</f>
        <v>-750</v>
      </c>
      <c r="AH60" s="144">
        <f>IF('PV IN'!$F$4="Battery Only",0,PVCalcs!AI60)</f>
        <v>0</v>
      </c>
      <c r="AI60" s="144">
        <f>IF('PV IN'!$F$4="PV Only",0,BattCalcs!BM60)</f>
        <v>0</v>
      </c>
      <c r="AJ60" s="144">
        <f>IF('PV IN'!$F$4="PV Only",0,SUM(BattCalcs!BO60:BT60))</f>
        <v>0</v>
      </c>
      <c r="AK60" s="144">
        <f>IF('PV IN'!$F$4="PV Only",PVCalcs!AH60,IF('PV IN'!$F$4="Battery Only",BattCalcs!BN60,PVCalcs!AH60+BattCalcs!BN60))</f>
        <v>-625</v>
      </c>
      <c r="AL60" s="144">
        <f>IF('PV IN'!$F$4="PV Only",0,BattCalcs!BV60)</f>
        <v>0</v>
      </c>
      <c r="AM60" s="144">
        <f>IF('PV IN'!$F$4="PV Only",0,SUM(BattCalcs!BW60:BX60))</f>
        <v>0</v>
      </c>
      <c r="AN60" s="144">
        <f>IF('PV IN'!$F$4="PV Only",0,BattCalcs!BY60)</f>
        <v>0</v>
      </c>
      <c r="AO60" s="144">
        <f>IF('PV IN'!$F$4="Battery Only",0,PVCalcs!U60)</f>
        <v>11165.296895002393</v>
      </c>
      <c r="AP60" s="10">
        <f>IF('PV IN'!$F$4="PV Only",0,BattCalcs!AS60)</f>
        <v>0</v>
      </c>
      <c r="AQ60" s="10">
        <f>IF('PV IN'!$F$4="PV Only",0,BattCalcs!AT60)</f>
        <v>0</v>
      </c>
      <c r="AR60" s="10">
        <f>IF('PV IN'!$F$4="PV Only",0,BattCalcs!AU60)</f>
        <v>0</v>
      </c>
      <c r="AS60" s="144">
        <f>IF('PV IN'!$F$4="PV Only",PVCalcs!X60,IF('PV IN'!$F$4="Battery Only",BattCalcs!AW60,PVCalcs!X60+BattCalcs!AW60))</f>
        <v>0</v>
      </c>
      <c r="AT60" s="144">
        <f>IF('PV IN'!$F$4="Battery Only",0,-PVCalcs!AQ60*'PV IN'!$E$8)</f>
        <v>0</v>
      </c>
      <c r="AU60" s="144">
        <f>IF('PV IN'!$F$4="PV Only",0,-BattCalcs!CG60*'PV IN'!$E$8)</f>
        <v>0</v>
      </c>
      <c r="AV60" s="144">
        <f>IF('PV IN'!$F$4="PV Only",PVCalcs!Z60+PVCalcs!AA60,IF('PV IN'!$F$4="Battery Only",SUM(BattCalcs!BC60:BH60),PVCalcs!Z60+PVCalcs!AA60+SUM(BattCalcs!BC60:BH60)))</f>
        <v>0</v>
      </c>
      <c r="AW60" s="144">
        <f>IF('PV IN'!$F$4="PV Only",SUM(PVCalcs!AF60:AI60),IF('PV IN'!$F$4="Battery Only",SUM(BattCalcs!BL60:BY60),SUM(PVCalcs!AF60:AI60)+SUM(BattCalcs!BL60:BY60)))</f>
        <v>-1375</v>
      </c>
      <c r="AX60" s="144">
        <f>IF('PV IN'!$F$4="Battery Only",0,-PVLoan!F88)</f>
        <v>0</v>
      </c>
      <c r="AY60" s="144">
        <f>IF('PV IN'!$F$4="PV Only",0,-BattLoan!F88)</f>
        <v>0</v>
      </c>
      <c r="AZ60" s="144">
        <f>IF('PV IN'!$F$4="Battery Only",0,-PVLoan!H88)</f>
        <v>0</v>
      </c>
      <c r="BA60" s="144">
        <f>IF('PV IN'!$F$4="PV Only",0,-BattLoan!H88)</f>
        <v>0</v>
      </c>
    </row>
    <row r="61" spans="1:88" x14ac:dyDescent="0.25">
      <c r="A61">
        <f>IF(C61&lt;='PV IN'!$O$22*12,C61,"")</f>
        <v>57</v>
      </c>
      <c r="C61">
        <v>57</v>
      </c>
      <c r="D61" s="2">
        <f>BattCalcs!CK61+PVCalcs!AT61</f>
        <v>11981.430801424462</v>
      </c>
      <c r="E61" s="20">
        <f>PVCalcs!AV61</f>
        <v>-511442.28610486112</v>
      </c>
      <c r="F61" s="20">
        <f>PVCalcs!AW61</f>
        <v>9502.973391903708</v>
      </c>
      <c r="G61" s="20">
        <f>PVCalcs!AX61</f>
        <v>-649068.78590447619</v>
      </c>
      <c r="H61" s="20">
        <f>BattCalcs!CM61</f>
        <v>0</v>
      </c>
      <c r="I61" s="20">
        <f>BattCalcs!CN61</f>
        <v>0</v>
      </c>
      <c r="J61" s="20">
        <f>IF(C61&lt;='Batt IN'!H$43*12,BattCalcs!CO61,NA())</f>
        <v>0</v>
      </c>
      <c r="L61" s="20">
        <f t="shared" si="3"/>
        <v>9502.973391903708</v>
      </c>
      <c r="M61" s="20">
        <f>G61+BattCalcs!CO61</f>
        <v>-649068.78590447619</v>
      </c>
      <c r="O61" s="10">
        <f>PVLoan!G89</f>
        <v>0</v>
      </c>
      <c r="P61" s="10">
        <f>PVLoan!J89</f>
        <v>0</v>
      </c>
      <c r="Q61" s="2">
        <f>BattLoan!G89</f>
        <v>0</v>
      </c>
      <c r="R61" s="10">
        <f>BattLoan!J89</f>
        <v>0</v>
      </c>
      <c r="T61" s="33">
        <f>IF('PV IN'!$F$4="Battery Only",0,PVCalcs!G61)</f>
        <v>146909.80289887718</v>
      </c>
      <c r="U61" s="33">
        <f>IF('PV IN'!$F$4="Battery Only",0,PVCalcs!M61)</f>
        <v>146909.80289887718</v>
      </c>
      <c r="V61" s="33">
        <f>PVCalcs!L61</f>
        <v>25811.765833333331</v>
      </c>
      <c r="W61" s="158">
        <f>PVCalcs!F61</f>
        <v>7.5950366439599487E-2</v>
      </c>
      <c r="X61" s="144">
        <f>IF('PV IN'!$F$4="Battery Only",0,PVCalcs!Y61+PVCalcs!Z61)</f>
        <v>1909.8274376854035</v>
      </c>
      <c r="Y61" s="144">
        <f>IF('PV IN'!$F$4="PV Only",0,BattCalcs!AX61+BattCalcs!BC61)</f>
        <v>0</v>
      </c>
      <c r="Z61" s="144">
        <f>IF('PV IN'!$F$4="PV Only",0,BattCalcs!AY61+BattCalcs!BD61)</f>
        <v>0</v>
      </c>
      <c r="AA61" s="144">
        <f>IF('PV IN'!$F$4="PV Only",0,BattCalcs!AZ61+BattCalcs!BE61)</f>
        <v>0</v>
      </c>
      <c r="AB61" s="144">
        <f>IF('PV IN'!$F$4="PV Only",0,BattCalcs!BA61+BattCalcs!BF61)</f>
        <v>0</v>
      </c>
      <c r="AC61" s="144">
        <f>IF('PV IN'!$F$4="PV Only",0,BattCalcs!BB61+BattCalcs!BG61)</f>
        <v>0</v>
      </c>
      <c r="AD61" s="144">
        <f>IF('PV IN'!$F$4="PV Only",0,BattCalcs!BU61)</f>
        <v>0</v>
      </c>
      <c r="AE61" s="144">
        <f>IF('PV IN'!$F$4="PV Only",PVCalcs!W61+PVCalcs!AA61,IF('PV IN'!$F$4="Battery Only",BattCalcs!AV61+BattCalcs!BH61,PVCalcs!W61+PVCalcs!AA61+BattCalcs!AV61+BattCalcs!BH61))</f>
        <v>0</v>
      </c>
      <c r="AF61" s="10">
        <f>PVCalcs!AC61+BattCalcs!BJ61</f>
        <v>0</v>
      </c>
      <c r="AG61" s="144">
        <f>IF('PV IN'!$F$4="Battery Only",0,PVCalcs!AG61)</f>
        <v>-750</v>
      </c>
      <c r="AH61" s="144">
        <f>IF('PV IN'!$F$4="Battery Only",0,PVCalcs!AI61)</f>
        <v>0</v>
      </c>
      <c r="AI61" s="144">
        <f>IF('PV IN'!$F$4="PV Only",0,BattCalcs!BM61)</f>
        <v>0</v>
      </c>
      <c r="AJ61" s="144">
        <f>IF('PV IN'!$F$4="PV Only",0,SUM(BattCalcs!BO61:BT61))</f>
        <v>0</v>
      </c>
      <c r="AK61" s="144">
        <f>IF('PV IN'!$F$4="PV Only",PVCalcs!AH61,IF('PV IN'!$F$4="Battery Only",BattCalcs!BN61,PVCalcs!AH61+BattCalcs!BN61))</f>
        <v>-625</v>
      </c>
      <c r="AL61" s="144">
        <f>IF('PV IN'!$F$4="PV Only",0,BattCalcs!BV61)</f>
        <v>0</v>
      </c>
      <c r="AM61" s="144">
        <f>IF('PV IN'!$F$4="PV Only",0,SUM(BattCalcs!BW61:BX61))</f>
        <v>0</v>
      </c>
      <c r="AN61" s="144">
        <f>IF('PV IN'!$F$4="PV Only",0,BattCalcs!BY61)</f>
        <v>0</v>
      </c>
      <c r="AO61" s="144">
        <f>IF('PV IN'!$F$4="Battery Only",0,PVCalcs!U61)</f>
        <v>11157.853363739057</v>
      </c>
      <c r="AP61" s="10">
        <f>IF('PV IN'!$F$4="PV Only",0,BattCalcs!AS61)</f>
        <v>0</v>
      </c>
      <c r="AQ61" s="10">
        <f>IF('PV IN'!$F$4="PV Only",0,BattCalcs!AT61)</f>
        <v>0</v>
      </c>
      <c r="AR61" s="10">
        <f>IF('PV IN'!$F$4="PV Only",0,BattCalcs!AU61)</f>
        <v>0</v>
      </c>
      <c r="AS61" s="144">
        <f>IF('PV IN'!$F$4="PV Only",PVCalcs!X61,IF('PV IN'!$F$4="Battery Only",BattCalcs!AW61,PVCalcs!X61+BattCalcs!AW61))</f>
        <v>0</v>
      </c>
      <c r="AT61" s="144">
        <f>IF('PV IN'!$F$4="Battery Only",0,-PVCalcs!AQ61*'PV IN'!$E$8)</f>
        <v>0</v>
      </c>
      <c r="AU61" s="144">
        <f>IF('PV IN'!$F$4="PV Only",0,-BattCalcs!CG61*'PV IN'!$E$8)</f>
        <v>0</v>
      </c>
      <c r="AV61" s="144">
        <f>IF('PV IN'!$F$4="PV Only",PVCalcs!Z61+PVCalcs!AA61,IF('PV IN'!$F$4="Battery Only",SUM(BattCalcs!BC61:BH61),PVCalcs!Z61+PVCalcs!AA61+SUM(BattCalcs!BC61:BH61)))</f>
        <v>0</v>
      </c>
      <c r="AW61" s="144">
        <f>IF('PV IN'!$F$4="PV Only",SUM(PVCalcs!AF61:AI61),IF('PV IN'!$F$4="Battery Only",SUM(BattCalcs!BL61:BY61),SUM(PVCalcs!AF61:AI61)+SUM(BattCalcs!BL61:BY61)))</f>
        <v>-1375</v>
      </c>
      <c r="AX61" s="144">
        <f>IF('PV IN'!$F$4="Battery Only",0,-PVLoan!F89)</f>
        <v>0</v>
      </c>
      <c r="AY61" s="144">
        <f>IF('PV IN'!$F$4="PV Only",0,-BattLoan!F89)</f>
        <v>0</v>
      </c>
      <c r="AZ61" s="144">
        <f>IF('PV IN'!$F$4="Battery Only",0,-PVLoan!H89)</f>
        <v>0</v>
      </c>
      <c r="BA61" s="144">
        <f>IF('PV IN'!$F$4="PV Only",0,-BattLoan!H89)</f>
        <v>0</v>
      </c>
    </row>
    <row r="62" spans="1:88" x14ac:dyDescent="0.25">
      <c r="A62">
        <f>IF(C62&lt;='PV IN'!$O$22*12,C62,"")</f>
        <v>58</v>
      </c>
      <c r="C62">
        <v>58</v>
      </c>
      <c r="D62" s="2">
        <f>BattCalcs!CK62+PVCalcs!AT62</f>
        <v>11972.719014223512</v>
      </c>
      <c r="E62" s="20">
        <f>PVCalcs!AV62</f>
        <v>-499469.56709063763</v>
      </c>
      <c r="F62" s="20">
        <f>PVCalcs!AW62</f>
        <v>9457.5325511663905</v>
      </c>
      <c r="G62" s="20">
        <f>PVCalcs!AX62</f>
        <v>-639611.25335330982</v>
      </c>
      <c r="H62" s="20">
        <f>BattCalcs!CM62</f>
        <v>0</v>
      </c>
      <c r="I62" s="20">
        <f>BattCalcs!CN62</f>
        <v>0</v>
      </c>
      <c r="J62" s="20">
        <f>IF(C62&lt;='Batt IN'!H$43*12,BattCalcs!CO62,NA())</f>
        <v>0</v>
      </c>
      <c r="L62" s="20">
        <f t="shared" si="3"/>
        <v>9457.5325511663905</v>
      </c>
      <c r="M62" s="20">
        <f>G62+BattCalcs!CO62</f>
        <v>-639611.25335330982</v>
      </c>
      <c r="O62" s="10">
        <f>PVLoan!G90</f>
        <v>0</v>
      </c>
      <c r="P62" s="10">
        <f>PVLoan!J90</f>
        <v>0</v>
      </c>
      <c r="Q62" s="2">
        <f>BattLoan!G90</f>
        <v>0</v>
      </c>
      <c r="R62" s="10">
        <f>BattLoan!J90</f>
        <v>0</v>
      </c>
      <c r="T62" s="33">
        <f>IF('PV IN'!$F$4="Battery Only",0,PVCalcs!G62)</f>
        <v>146811.86303027795</v>
      </c>
      <c r="U62" s="33">
        <f>IF('PV IN'!$F$4="Battery Only",0,PVCalcs!M62)</f>
        <v>146811.86303027795</v>
      </c>
      <c r="V62" s="33">
        <f>PVCalcs!L62</f>
        <v>25811.765833333331</v>
      </c>
      <c r="W62" s="158">
        <f>PVCalcs!F62</f>
        <v>7.5950366439599487E-2</v>
      </c>
      <c r="X62" s="144">
        <f>IF('PV IN'!$F$4="Battery Only",0,PVCalcs!Y62+PVCalcs!Z62)</f>
        <v>1908.5542193936133</v>
      </c>
      <c r="Y62" s="144">
        <f>IF('PV IN'!$F$4="PV Only",0,BattCalcs!AX62+BattCalcs!BC62)</f>
        <v>0</v>
      </c>
      <c r="Z62" s="144">
        <f>IF('PV IN'!$F$4="PV Only",0,BattCalcs!AY62+BattCalcs!BD62)</f>
        <v>0</v>
      </c>
      <c r="AA62" s="144">
        <f>IF('PV IN'!$F$4="PV Only",0,BattCalcs!AZ62+BattCalcs!BE62)</f>
        <v>0</v>
      </c>
      <c r="AB62" s="144">
        <f>IF('PV IN'!$F$4="PV Only",0,BattCalcs!BA62+BattCalcs!BF62)</f>
        <v>0</v>
      </c>
      <c r="AC62" s="144">
        <f>IF('PV IN'!$F$4="PV Only",0,BattCalcs!BB62+BattCalcs!BG62)</f>
        <v>0</v>
      </c>
      <c r="AD62" s="144">
        <f>IF('PV IN'!$F$4="PV Only",0,BattCalcs!BU62)</f>
        <v>0</v>
      </c>
      <c r="AE62" s="144">
        <f>IF('PV IN'!$F$4="PV Only",PVCalcs!W62+PVCalcs!AA62,IF('PV IN'!$F$4="Battery Only",BattCalcs!AV62+BattCalcs!BH62,PVCalcs!W62+PVCalcs!AA62+BattCalcs!AV62+BattCalcs!BH62))</f>
        <v>0</v>
      </c>
      <c r="AF62" s="10">
        <f>PVCalcs!AC62+BattCalcs!BJ62</f>
        <v>0</v>
      </c>
      <c r="AG62" s="144">
        <f>IF('PV IN'!$F$4="Battery Only",0,PVCalcs!AG62)</f>
        <v>-750</v>
      </c>
      <c r="AH62" s="144">
        <f>IF('PV IN'!$F$4="Battery Only",0,PVCalcs!AI62)</f>
        <v>0</v>
      </c>
      <c r="AI62" s="144">
        <f>IF('PV IN'!$F$4="PV Only",0,BattCalcs!BM62)</f>
        <v>0</v>
      </c>
      <c r="AJ62" s="144">
        <f>IF('PV IN'!$F$4="PV Only",0,SUM(BattCalcs!BO62:BT62))</f>
        <v>0</v>
      </c>
      <c r="AK62" s="144">
        <f>IF('PV IN'!$F$4="PV Only",PVCalcs!AH62,IF('PV IN'!$F$4="Battery Only",BattCalcs!BN62,PVCalcs!AH62+BattCalcs!BN62))</f>
        <v>-625</v>
      </c>
      <c r="AL62" s="144">
        <f>IF('PV IN'!$F$4="PV Only",0,BattCalcs!BV62)</f>
        <v>0</v>
      </c>
      <c r="AM62" s="144">
        <f>IF('PV IN'!$F$4="PV Only",0,SUM(BattCalcs!BW62:BX62))</f>
        <v>0</v>
      </c>
      <c r="AN62" s="144">
        <f>IF('PV IN'!$F$4="PV Only",0,BattCalcs!BY62)</f>
        <v>0</v>
      </c>
      <c r="AO62" s="144">
        <f>IF('PV IN'!$F$4="Battery Only",0,PVCalcs!U62)</f>
        <v>11150.4147948299</v>
      </c>
      <c r="AP62" s="10">
        <f>IF('PV IN'!$F$4="PV Only",0,BattCalcs!AS62)</f>
        <v>0</v>
      </c>
      <c r="AQ62" s="10">
        <f>IF('PV IN'!$F$4="PV Only",0,BattCalcs!AT62)</f>
        <v>0</v>
      </c>
      <c r="AR62" s="10">
        <f>IF('PV IN'!$F$4="PV Only",0,BattCalcs!AU62)</f>
        <v>0</v>
      </c>
      <c r="AS62" s="144">
        <f>IF('PV IN'!$F$4="PV Only",PVCalcs!X62,IF('PV IN'!$F$4="Battery Only",BattCalcs!AW62,PVCalcs!X62+BattCalcs!AW62))</f>
        <v>0</v>
      </c>
      <c r="AT62" s="144">
        <f>IF('PV IN'!$F$4="Battery Only",0,-PVCalcs!AQ62*'PV IN'!$E$8)</f>
        <v>0</v>
      </c>
      <c r="AU62" s="144">
        <f>IF('PV IN'!$F$4="PV Only",0,-BattCalcs!CG62*'PV IN'!$E$8)</f>
        <v>0</v>
      </c>
      <c r="AV62" s="144">
        <f>IF('PV IN'!$F$4="PV Only",PVCalcs!Z62+PVCalcs!AA62,IF('PV IN'!$F$4="Battery Only",SUM(BattCalcs!BC62:BH62),PVCalcs!Z62+PVCalcs!AA62+SUM(BattCalcs!BC62:BH62)))</f>
        <v>0</v>
      </c>
      <c r="AW62" s="144">
        <f>IF('PV IN'!$F$4="PV Only",SUM(PVCalcs!AF62:AI62),IF('PV IN'!$F$4="Battery Only",SUM(BattCalcs!BL62:BY62),SUM(PVCalcs!AF62:AI62)+SUM(BattCalcs!BL62:BY62)))</f>
        <v>-1375</v>
      </c>
      <c r="AX62" s="144">
        <f>IF('PV IN'!$F$4="Battery Only",0,-PVLoan!F90)</f>
        <v>0</v>
      </c>
      <c r="AY62" s="144">
        <f>IF('PV IN'!$F$4="PV Only",0,-BattLoan!F90)</f>
        <v>0</v>
      </c>
      <c r="AZ62" s="144">
        <f>IF('PV IN'!$F$4="Battery Only",0,-PVLoan!H90)</f>
        <v>0</v>
      </c>
      <c r="BA62" s="144">
        <f>IF('PV IN'!$F$4="PV Only",0,-BattLoan!H90)</f>
        <v>0</v>
      </c>
    </row>
    <row r="63" spans="1:88" x14ac:dyDescent="0.25">
      <c r="A63">
        <f>IF(C63&lt;='PV IN'!$O$22*12,C63,"")</f>
        <v>59</v>
      </c>
      <c r="C63">
        <v>59</v>
      </c>
      <c r="D63" s="2">
        <f>BattCalcs!CK63+PVCalcs!AT63</f>
        <v>11964.013034880696</v>
      </c>
      <c r="E63" s="20">
        <f>PVCalcs!AV63</f>
        <v>-487505.55405575695</v>
      </c>
      <c r="F63" s="20">
        <f>PVCalcs!AW63</f>
        <v>9412.3085829142165</v>
      </c>
      <c r="G63" s="20">
        <f>PVCalcs!AX63</f>
        <v>-630198.94477039564</v>
      </c>
      <c r="H63" s="20">
        <f>BattCalcs!CM63</f>
        <v>0</v>
      </c>
      <c r="I63" s="20">
        <f>BattCalcs!CN63</f>
        <v>0</v>
      </c>
      <c r="J63" s="20">
        <f>IF(C63&lt;='Batt IN'!H$43*12,BattCalcs!CO63,NA())</f>
        <v>0</v>
      </c>
      <c r="L63" s="20">
        <f t="shared" si="3"/>
        <v>9412.3085829142165</v>
      </c>
      <c r="M63" s="20">
        <f>G63+BattCalcs!CO63</f>
        <v>-630198.94477039564</v>
      </c>
      <c r="O63" s="10">
        <f>PVLoan!G91</f>
        <v>0</v>
      </c>
      <c r="P63" s="10">
        <f>PVLoan!J91</f>
        <v>0</v>
      </c>
      <c r="Q63" s="2">
        <f>BattLoan!G91</f>
        <v>0</v>
      </c>
      <c r="R63" s="10">
        <f>BattLoan!J91</f>
        <v>0</v>
      </c>
      <c r="T63" s="33">
        <f>IF('PV IN'!$F$4="Battery Only",0,PVCalcs!G63)</f>
        <v>146713.98845492443</v>
      </c>
      <c r="U63" s="33">
        <f>IF('PV IN'!$F$4="Battery Only",0,PVCalcs!M63)</f>
        <v>146713.98845492443</v>
      </c>
      <c r="V63" s="33">
        <f>PVCalcs!L63</f>
        <v>25811.765833333331</v>
      </c>
      <c r="W63" s="158">
        <f>PVCalcs!F63</f>
        <v>7.5950366439599487E-2</v>
      </c>
      <c r="X63" s="144">
        <f>IF('PV IN'!$F$4="Battery Only",0,PVCalcs!Y63+PVCalcs!Z63)</f>
        <v>1907.2818499140176</v>
      </c>
      <c r="Y63" s="144">
        <f>IF('PV IN'!$F$4="PV Only",0,BattCalcs!AX63+BattCalcs!BC63)</f>
        <v>0</v>
      </c>
      <c r="Z63" s="144">
        <f>IF('PV IN'!$F$4="PV Only",0,BattCalcs!AY63+BattCalcs!BD63)</f>
        <v>0</v>
      </c>
      <c r="AA63" s="144">
        <f>IF('PV IN'!$F$4="PV Only",0,BattCalcs!AZ63+BattCalcs!BE63)</f>
        <v>0</v>
      </c>
      <c r="AB63" s="144">
        <f>IF('PV IN'!$F$4="PV Only",0,BattCalcs!BA63+BattCalcs!BF63)</f>
        <v>0</v>
      </c>
      <c r="AC63" s="144">
        <f>IF('PV IN'!$F$4="PV Only",0,BattCalcs!BB63+BattCalcs!BG63)</f>
        <v>0</v>
      </c>
      <c r="AD63" s="144">
        <f>IF('PV IN'!$F$4="PV Only",0,BattCalcs!BU63)</f>
        <v>0</v>
      </c>
      <c r="AE63" s="144">
        <f>IF('PV IN'!$F$4="PV Only",PVCalcs!W63+PVCalcs!AA63,IF('PV IN'!$F$4="Battery Only",BattCalcs!AV63+BattCalcs!BH63,PVCalcs!W63+PVCalcs!AA63+BattCalcs!AV63+BattCalcs!BH63))</f>
        <v>0</v>
      </c>
      <c r="AF63" s="10">
        <f>PVCalcs!AC63+BattCalcs!BJ63</f>
        <v>0</v>
      </c>
      <c r="AG63" s="144">
        <f>IF('PV IN'!$F$4="Battery Only",0,PVCalcs!AG63)</f>
        <v>-750</v>
      </c>
      <c r="AH63" s="144">
        <f>IF('PV IN'!$F$4="Battery Only",0,PVCalcs!AI63)</f>
        <v>0</v>
      </c>
      <c r="AI63" s="144">
        <f>IF('PV IN'!$F$4="PV Only",0,BattCalcs!BM63)</f>
        <v>0</v>
      </c>
      <c r="AJ63" s="144">
        <f>IF('PV IN'!$F$4="PV Only",0,SUM(BattCalcs!BO63:BT63))</f>
        <v>0</v>
      </c>
      <c r="AK63" s="144">
        <f>IF('PV IN'!$F$4="PV Only",PVCalcs!AH63,IF('PV IN'!$F$4="Battery Only",BattCalcs!BN63,PVCalcs!AH63+BattCalcs!BN63))</f>
        <v>-625</v>
      </c>
      <c r="AL63" s="144">
        <f>IF('PV IN'!$F$4="PV Only",0,BattCalcs!BV63)</f>
        <v>0</v>
      </c>
      <c r="AM63" s="144">
        <f>IF('PV IN'!$F$4="PV Only",0,SUM(BattCalcs!BW63:BX63))</f>
        <v>0</v>
      </c>
      <c r="AN63" s="144">
        <f>IF('PV IN'!$F$4="PV Only",0,BattCalcs!BY63)</f>
        <v>0</v>
      </c>
      <c r="AO63" s="144">
        <f>IF('PV IN'!$F$4="Battery Only",0,PVCalcs!U63)</f>
        <v>11142.981184966678</v>
      </c>
      <c r="AP63" s="10">
        <f>IF('PV IN'!$F$4="PV Only",0,BattCalcs!AS63)</f>
        <v>0</v>
      </c>
      <c r="AQ63" s="10">
        <f>IF('PV IN'!$F$4="PV Only",0,BattCalcs!AT63)</f>
        <v>0</v>
      </c>
      <c r="AR63" s="10">
        <f>IF('PV IN'!$F$4="PV Only",0,BattCalcs!AU63)</f>
        <v>0</v>
      </c>
      <c r="AS63" s="144">
        <f>IF('PV IN'!$F$4="PV Only",PVCalcs!X63,IF('PV IN'!$F$4="Battery Only",BattCalcs!AW63,PVCalcs!X63+BattCalcs!AW63))</f>
        <v>0</v>
      </c>
      <c r="AT63" s="144">
        <f>IF('PV IN'!$F$4="Battery Only",0,-PVCalcs!AQ63*'PV IN'!$E$8)</f>
        <v>0</v>
      </c>
      <c r="AU63" s="144">
        <f>IF('PV IN'!$F$4="PV Only",0,-BattCalcs!CG63*'PV IN'!$E$8)</f>
        <v>0</v>
      </c>
      <c r="AV63" s="144">
        <f>IF('PV IN'!$F$4="PV Only",PVCalcs!Z63+PVCalcs!AA63,IF('PV IN'!$F$4="Battery Only",SUM(BattCalcs!BC63:BH63),PVCalcs!Z63+PVCalcs!AA63+SUM(BattCalcs!BC63:BH63)))</f>
        <v>0</v>
      </c>
      <c r="AW63" s="144">
        <f>IF('PV IN'!$F$4="PV Only",SUM(PVCalcs!AF63:AI63),IF('PV IN'!$F$4="Battery Only",SUM(BattCalcs!BL63:BY63),SUM(PVCalcs!AF63:AI63)+SUM(BattCalcs!BL63:BY63)))</f>
        <v>-1375</v>
      </c>
      <c r="AX63" s="144">
        <f>IF('PV IN'!$F$4="Battery Only",0,-PVLoan!F91)</f>
        <v>0</v>
      </c>
      <c r="AY63" s="144">
        <f>IF('PV IN'!$F$4="PV Only",0,-BattLoan!F91)</f>
        <v>0</v>
      </c>
      <c r="AZ63" s="144">
        <f>IF('PV IN'!$F$4="Battery Only",0,-PVLoan!H91)</f>
        <v>0</v>
      </c>
      <c r="BA63" s="144">
        <f>IF('PV IN'!$F$4="PV Only",0,-BattLoan!H91)</f>
        <v>0</v>
      </c>
    </row>
    <row r="64" spans="1:88" x14ac:dyDescent="0.25">
      <c r="A64">
        <f>IF(C64&lt;='PV IN'!$O$22*12,C64,"")</f>
        <v>60</v>
      </c>
      <c r="B64">
        <f>B52+1</f>
        <v>2030</v>
      </c>
      <c r="C64">
        <v>60</v>
      </c>
      <c r="D64" s="2">
        <f>BattCalcs!CK64+PVCalcs!AT64</f>
        <v>11955.312859524109</v>
      </c>
      <c r="E64" s="20">
        <f>PVCalcs!AV64</f>
        <v>-475550.24119623285</v>
      </c>
      <c r="F64" s="20">
        <f>PVCalcs!AW64</f>
        <v>9367.3004537539437</v>
      </c>
      <c r="G64" s="20">
        <f>PVCalcs!AX64</f>
        <v>-620831.64431664173</v>
      </c>
      <c r="H64" s="20">
        <f>BattCalcs!CM64</f>
        <v>0</v>
      </c>
      <c r="I64" s="20">
        <f>BattCalcs!CN64</f>
        <v>0</v>
      </c>
      <c r="J64" s="20">
        <f>IF(C64&lt;='Batt IN'!H$43*12,BattCalcs!CO64,NA())</f>
        <v>0</v>
      </c>
      <c r="L64" s="20">
        <f t="shared" si="3"/>
        <v>9367.3004537539437</v>
      </c>
      <c r="M64" s="20">
        <f>G64+BattCalcs!CO64</f>
        <v>-620831.64431664173</v>
      </c>
      <c r="O64" s="10">
        <f>PVLoan!G92</f>
        <v>0</v>
      </c>
      <c r="P64" s="10">
        <f>PVLoan!J92</f>
        <v>0</v>
      </c>
      <c r="Q64" s="2">
        <f>BattLoan!G92</f>
        <v>0</v>
      </c>
      <c r="R64" s="10">
        <f>BattLoan!J92</f>
        <v>0</v>
      </c>
      <c r="T64" s="33">
        <f>IF('PV IN'!$F$4="Battery Only",0,PVCalcs!G64)</f>
        <v>146616.1791292878</v>
      </c>
      <c r="U64" s="33">
        <f>IF('PV IN'!$F$4="Battery Only",0,PVCalcs!M64)</f>
        <v>146616.1791292878</v>
      </c>
      <c r="V64" s="33">
        <f>PVCalcs!L64</f>
        <v>25811.765833333331</v>
      </c>
      <c r="W64" s="158">
        <f>PVCalcs!F64</f>
        <v>7.5950366439599487E-2</v>
      </c>
      <c r="X64" s="144">
        <f>IF('PV IN'!$F$4="Battery Only",0,PVCalcs!Y64+PVCalcs!Z64)</f>
        <v>1906.0103286807414</v>
      </c>
      <c r="Y64" s="144">
        <f>IF('PV IN'!$F$4="PV Only",0,BattCalcs!AX64+BattCalcs!BC64)</f>
        <v>0</v>
      </c>
      <c r="Z64" s="144">
        <f>IF('PV IN'!$F$4="PV Only",0,BattCalcs!AY64+BattCalcs!BD64)</f>
        <v>0</v>
      </c>
      <c r="AA64" s="144">
        <f>IF('PV IN'!$F$4="PV Only",0,BattCalcs!AZ64+BattCalcs!BE64)</f>
        <v>0</v>
      </c>
      <c r="AB64" s="144">
        <f>IF('PV IN'!$F$4="PV Only",0,BattCalcs!BA64+BattCalcs!BF64)</f>
        <v>0</v>
      </c>
      <c r="AC64" s="144">
        <f>IF('PV IN'!$F$4="PV Only",0,BattCalcs!BB64+BattCalcs!BG64)</f>
        <v>0</v>
      </c>
      <c r="AD64" s="144">
        <f>IF('PV IN'!$F$4="PV Only",0,BattCalcs!BU64)</f>
        <v>0</v>
      </c>
      <c r="AE64" s="144">
        <f>IF('PV IN'!$F$4="PV Only",PVCalcs!W64+PVCalcs!AA64,IF('PV IN'!$F$4="Battery Only",BattCalcs!AV64+BattCalcs!BH64,PVCalcs!W64+PVCalcs!AA64+BattCalcs!AV64+BattCalcs!BH64))</f>
        <v>0</v>
      </c>
      <c r="AF64" s="10">
        <f>PVCalcs!AC64+BattCalcs!BJ64</f>
        <v>0</v>
      </c>
      <c r="AG64" s="144">
        <f>IF('PV IN'!$F$4="Battery Only",0,PVCalcs!AG64)</f>
        <v>-750</v>
      </c>
      <c r="AH64" s="144">
        <f>IF('PV IN'!$F$4="Battery Only",0,PVCalcs!AI64)</f>
        <v>0</v>
      </c>
      <c r="AI64" s="144">
        <f>IF('PV IN'!$F$4="PV Only",0,BattCalcs!BM64)</f>
        <v>0</v>
      </c>
      <c r="AJ64" s="144">
        <f>IF('PV IN'!$F$4="PV Only",0,SUM(BattCalcs!BO64:BT64))</f>
        <v>0</v>
      </c>
      <c r="AK64" s="144">
        <f>IF('PV IN'!$F$4="PV Only",PVCalcs!AH64,IF('PV IN'!$F$4="Battery Only",BattCalcs!BN64,PVCalcs!AH64+BattCalcs!BN64))</f>
        <v>-625</v>
      </c>
      <c r="AL64" s="144">
        <f>IF('PV IN'!$F$4="PV Only",0,BattCalcs!BV64)</f>
        <v>0</v>
      </c>
      <c r="AM64" s="144">
        <f>IF('PV IN'!$F$4="PV Only",0,SUM(BattCalcs!BW64:BX64))</f>
        <v>0</v>
      </c>
      <c r="AN64" s="144">
        <f>IF('PV IN'!$F$4="PV Only",0,BattCalcs!BY64)</f>
        <v>0</v>
      </c>
      <c r="AO64" s="144">
        <f>IF('PV IN'!$F$4="Battery Only",0,PVCalcs!U64)</f>
        <v>11135.552530843368</v>
      </c>
      <c r="AP64" s="10">
        <f>IF('PV IN'!$F$4="PV Only",0,BattCalcs!AS64)</f>
        <v>0</v>
      </c>
      <c r="AQ64" s="10">
        <f>IF('PV IN'!$F$4="PV Only",0,BattCalcs!AT64)</f>
        <v>0</v>
      </c>
      <c r="AR64" s="10">
        <f>IF('PV IN'!$F$4="PV Only",0,BattCalcs!AU64)</f>
        <v>0</v>
      </c>
      <c r="AS64" s="144">
        <f>IF('PV IN'!$F$4="PV Only",PVCalcs!X64,IF('PV IN'!$F$4="Battery Only",BattCalcs!AW64,PVCalcs!X64+BattCalcs!AW64))</f>
        <v>0</v>
      </c>
      <c r="AT64" s="144">
        <f>IF('PV IN'!$F$4="Battery Only",0,-PVCalcs!AQ64*'PV IN'!$E$8)</f>
        <v>0</v>
      </c>
      <c r="AU64" s="144">
        <f>IF('PV IN'!$F$4="PV Only",0,-BattCalcs!CG64*'PV IN'!$E$8)</f>
        <v>0</v>
      </c>
      <c r="AV64" s="144">
        <f>IF('PV IN'!$F$4="PV Only",PVCalcs!Z64+PVCalcs!AA64,IF('PV IN'!$F$4="Battery Only",SUM(BattCalcs!BC64:BH64),PVCalcs!Z64+PVCalcs!AA64+SUM(BattCalcs!BC64:BH64)))</f>
        <v>0</v>
      </c>
      <c r="AW64" s="144">
        <f>IF('PV IN'!$F$4="PV Only",SUM(PVCalcs!AF64:AI64),IF('PV IN'!$F$4="Battery Only",SUM(BattCalcs!BL64:BY64),SUM(PVCalcs!AF64:AI64)+SUM(BattCalcs!BL64:BY64)))</f>
        <v>-1375</v>
      </c>
      <c r="AX64" s="144">
        <f>IF('PV IN'!$F$4="Battery Only",0,-PVLoan!F92)</f>
        <v>0</v>
      </c>
      <c r="AY64" s="144">
        <f>IF('PV IN'!$F$4="PV Only",0,-BattLoan!F92)</f>
        <v>0</v>
      </c>
      <c r="AZ64" s="144">
        <f>IF('PV IN'!$F$4="Battery Only",0,-PVLoan!H92)</f>
        <v>0</v>
      </c>
      <c r="BA64" s="144">
        <f>IF('PV IN'!$F$4="PV Only",0,-BattLoan!H92)</f>
        <v>0</v>
      </c>
      <c r="BC64" s="33">
        <f t="shared" ref="BC64" si="108">SUM(T53:T64)</f>
        <v>1765863.9415509766</v>
      </c>
      <c r="BD64" s="33">
        <f t="shared" ref="BD64" si="109">SUM(U53:U64)</f>
        <v>1765863.9415509766</v>
      </c>
      <c r="BE64" s="33">
        <f t="shared" ref="BE64" si="110">SUM(V53:V64)</f>
        <v>309741.19</v>
      </c>
      <c r="BF64" s="50">
        <f t="shared" ref="BF64" si="111">W64</f>
        <v>7.5950366439599487E-2</v>
      </c>
      <c r="BG64" s="2">
        <f t="shared" ref="BG64" si="112">SUM(X53:X64)</f>
        <v>22956.231240162699</v>
      </c>
      <c r="BH64" s="2">
        <f t="shared" ref="BH64" si="113">SUM(Y53:Y64)</f>
        <v>0</v>
      </c>
      <c r="BI64" s="2">
        <f t="shared" ref="BI64" si="114">SUM(Z53:Z64)</f>
        <v>0</v>
      </c>
      <c r="BJ64" s="2">
        <f t="shared" ref="BJ64" si="115">SUM(AA53:AA64)</f>
        <v>0</v>
      </c>
      <c r="BK64" s="2">
        <f t="shared" ref="BK64" si="116">SUM(AB53:AB64)</f>
        <v>0</v>
      </c>
      <c r="BL64" s="2">
        <f t="shared" ref="BL64" si="117">SUM(AC53:AC64)</f>
        <v>0</v>
      </c>
      <c r="BM64" s="2">
        <f t="shared" ref="BM64" si="118">SUM(AD53:AD64)</f>
        <v>0</v>
      </c>
      <c r="BN64" s="2">
        <f t="shared" ref="BN64" si="119">SUM(AE53:AE64)</f>
        <v>0</v>
      </c>
      <c r="BO64" s="2">
        <f t="shared" ref="BO64" si="120">SUM(AF53:AF64)</f>
        <v>0</v>
      </c>
      <c r="BP64" s="2">
        <f t="shared" ref="BP64" si="121">SUM(AG53:AG64)</f>
        <v>-9000</v>
      </c>
      <c r="BQ64" s="2">
        <f t="shared" ref="BQ64" si="122">SUM(AH53:AH64)</f>
        <v>0</v>
      </c>
      <c r="BR64" s="2">
        <f t="shared" ref="BR64" si="123">SUM(AI53:AI64)</f>
        <v>0</v>
      </c>
      <c r="BS64" s="2">
        <f t="shared" ref="BS64" si="124">SUM(AJ53:AJ64)</f>
        <v>0</v>
      </c>
      <c r="BT64" s="2">
        <f t="shared" ref="BT64" si="125">SUM(AK53:AK64)</f>
        <v>-7500</v>
      </c>
      <c r="BU64" s="2">
        <f t="shared" ref="BU64" si="126">SUM(AL53:AL64)</f>
        <v>0</v>
      </c>
      <c r="BV64" s="2">
        <f t="shared" ref="BV64" si="127">SUM(AM53:AM64)</f>
        <v>0</v>
      </c>
      <c r="BW64" s="2">
        <f t="shared" ref="BW64" si="128">SUM(AN53:AN64)</f>
        <v>0</v>
      </c>
      <c r="BX64" s="2">
        <f t="shared" ref="BX64" si="129">SUM(AO53:AO64)</f>
        <v>134118.01344327218</v>
      </c>
      <c r="BY64" s="2">
        <f t="shared" ref="BY64" si="130">SUM(AP53:AP64)</f>
        <v>0</v>
      </c>
      <c r="BZ64" s="2">
        <f t="shared" ref="BZ64" si="131">SUM(AQ53:AQ64)</f>
        <v>0</v>
      </c>
      <c r="CA64" s="2">
        <f t="shared" ref="CA64" si="132">SUM(AR53:AR64)</f>
        <v>0</v>
      </c>
      <c r="CB64" s="2">
        <f t="shared" ref="CB64" si="133">SUM(AS53:AS64)</f>
        <v>0</v>
      </c>
      <c r="CC64" s="2">
        <f t="shared" ref="CC64" si="134">SUM(AT53:AT64)</f>
        <v>0</v>
      </c>
      <c r="CD64" s="2">
        <f t="shared" ref="CD64" si="135">SUM(AU53:AU64)</f>
        <v>0</v>
      </c>
      <c r="CE64" s="2">
        <f t="shared" ref="CE64" si="136">SUM(AV53:AV64)</f>
        <v>0</v>
      </c>
      <c r="CF64" s="2">
        <f t="shared" ref="CF64" si="137">SUM(AW53:AW64)</f>
        <v>-16500</v>
      </c>
      <c r="CG64" s="2">
        <f t="shared" ref="CG64" si="138">SUM(AX53:AX64)</f>
        <v>0</v>
      </c>
      <c r="CH64" s="2">
        <f t="shared" ref="CH64" si="139">SUM(AY53:AY64)</f>
        <v>0</v>
      </c>
      <c r="CI64" s="2">
        <f t="shared" ref="CI64" si="140">SUM(AZ53:AZ64)</f>
        <v>0</v>
      </c>
      <c r="CJ64" s="2">
        <f t="shared" ref="CJ64" si="141">SUM(BA53:BA64)</f>
        <v>0</v>
      </c>
    </row>
    <row r="65" spans="1:88" x14ac:dyDescent="0.25">
      <c r="A65">
        <f>IF(C65&lt;='PV IN'!$O$22*12,C65,"")</f>
        <v>61</v>
      </c>
      <c r="C65">
        <v>61</v>
      </c>
      <c r="D65" s="2">
        <f>BattCalcs!CK65+PVCalcs!AT65</f>
        <v>11966.682548878958</v>
      </c>
      <c r="E65" s="20">
        <f>PVCalcs!AV65</f>
        <v>-463583.5586473539</v>
      </c>
      <c r="F65" s="20">
        <f>PVCalcs!AW65</f>
        <v>9338.1640665489485</v>
      </c>
      <c r="G65" s="20">
        <f>PVCalcs!AX65</f>
        <v>-611493.48025009281</v>
      </c>
      <c r="H65" s="20">
        <f>BattCalcs!CM65</f>
        <v>0</v>
      </c>
      <c r="I65" s="20">
        <f>BattCalcs!CN65</f>
        <v>0</v>
      </c>
      <c r="J65" s="20">
        <f>IF(C65&lt;='Batt IN'!H$43*12,BattCalcs!CO65,NA())</f>
        <v>0</v>
      </c>
      <c r="L65" s="20">
        <f t="shared" si="3"/>
        <v>9338.1640665489485</v>
      </c>
      <c r="M65" s="20">
        <f>G65+BattCalcs!CO65</f>
        <v>-611493.48025009281</v>
      </c>
      <c r="O65" s="10">
        <f>PVLoan!G93</f>
        <v>0</v>
      </c>
      <c r="P65" s="10">
        <f>PVLoan!J93</f>
        <v>0</v>
      </c>
      <c r="Q65" s="2">
        <f>BattLoan!G93</f>
        <v>0</v>
      </c>
      <c r="R65" s="10">
        <f>BattLoan!J93</f>
        <v>0</v>
      </c>
      <c r="T65" s="33">
        <f>IF('PV IN'!$F$4="Battery Only",0,PVCalcs!G65)</f>
        <v>146518.43500986826</v>
      </c>
      <c r="U65" s="33">
        <f>IF('PV IN'!$F$4="Battery Only",0,PVCalcs!M65)</f>
        <v>146518.43500986826</v>
      </c>
      <c r="V65" s="33">
        <f>PVCalcs!L65</f>
        <v>25811.765833333331</v>
      </c>
      <c r="W65" s="158">
        <f>PVCalcs!F65</f>
        <v>7.6087305280047673E-2</v>
      </c>
      <c r="X65" s="144">
        <f>IF('PV IN'!$F$4="Battery Only",0,PVCalcs!Y65+PVCalcs!Z65)</f>
        <v>1904.7396551282875</v>
      </c>
      <c r="Y65" s="144">
        <f>IF('PV IN'!$F$4="PV Only",0,BattCalcs!AX65+BattCalcs!BC65)</f>
        <v>0</v>
      </c>
      <c r="Z65" s="144">
        <f>IF('PV IN'!$F$4="PV Only",0,BattCalcs!AY65+BattCalcs!BD65)</f>
        <v>0</v>
      </c>
      <c r="AA65" s="144">
        <f>IF('PV IN'!$F$4="PV Only",0,BattCalcs!AZ65+BattCalcs!BE65)</f>
        <v>0</v>
      </c>
      <c r="AB65" s="144">
        <f>IF('PV IN'!$F$4="PV Only",0,BattCalcs!BA65+BattCalcs!BF65)</f>
        <v>0</v>
      </c>
      <c r="AC65" s="144">
        <f>IF('PV IN'!$F$4="PV Only",0,BattCalcs!BB65+BattCalcs!BG65)</f>
        <v>0</v>
      </c>
      <c r="AD65" s="144">
        <f>IF('PV IN'!$F$4="PV Only",0,BattCalcs!BU65)</f>
        <v>0</v>
      </c>
      <c r="AE65" s="144">
        <f>IF('PV IN'!$F$4="PV Only",PVCalcs!W65+PVCalcs!AA65,IF('PV IN'!$F$4="Battery Only",BattCalcs!AV65+BattCalcs!BH65,PVCalcs!W65+PVCalcs!AA65+BattCalcs!AV65+BattCalcs!BH65))</f>
        <v>0</v>
      </c>
      <c r="AF65" s="10">
        <f>PVCalcs!AC65+BattCalcs!BJ65</f>
        <v>0</v>
      </c>
      <c r="AG65" s="144">
        <f>IF('PV IN'!$F$4="Battery Only",0,PVCalcs!AG65)</f>
        <v>-750</v>
      </c>
      <c r="AH65" s="144">
        <f>IF('PV IN'!$F$4="Battery Only",0,PVCalcs!AI65)</f>
        <v>0</v>
      </c>
      <c r="AI65" s="144">
        <f>IF('PV IN'!$F$4="PV Only",0,BattCalcs!BM65)</f>
        <v>0</v>
      </c>
      <c r="AJ65" s="144">
        <f>IF('PV IN'!$F$4="PV Only",0,SUM(BattCalcs!BO65:BT65))</f>
        <v>0</v>
      </c>
      <c r="AK65" s="144">
        <f>IF('PV IN'!$F$4="PV Only",PVCalcs!AH65,IF('PV IN'!$F$4="Battery Only",BattCalcs!BN65,PVCalcs!AH65+BattCalcs!BN65))</f>
        <v>-625</v>
      </c>
      <c r="AL65" s="144">
        <f>IF('PV IN'!$F$4="PV Only",0,BattCalcs!BV65)</f>
        <v>0</v>
      </c>
      <c r="AM65" s="144">
        <f>IF('PV IN'!$F$4="PV Only",0,SUM(BattCalcs!BW65:BX65))</f>
        <v>0</v>
      </c>
      <c r="AN65" s="144">
        <f>IF('PV IN'!$F$4="PV Only",0,BattCalcs!BY65)</f>
        <v>0</v>
      </c>
      <c r="AO65" s="144">
        <f>IF('PV IN'!$F$4="Battery Only",0,PVCalcs!U65)</f>
        <v>11148.192893750671</v>
      </c>
      <c r="AP65" s="10">
        <f>IF('PV IN'!$F$4="PV Only",0,BattCalcs!AS65)</f>
        <v>0</v>
      </c>
      <c r="AQ65" s="10">
        <f>IF('PV IN'!$F$4="PV Only",0,BattCalcs!AT65)</f>
        <v>0</v>
      </c>
      <c r="AR65" s="10">
        <f>IF('PV IN'!$F$4="PV Only",0,BattCalcs!AU65)</f>
        <v>0</v>
      </c>
      <c r="AS65" s="144">
        <f>IF('PV IN'!$F$4="PV Only",PVCalcs!X65,IF('PV IN'!$F$4="Battery Only",BattCalcs!AW65,PVCalcs!X65+BattCalcs!AW65))</f>
        <v>0</v>
      </c>
      <c r="AT65" s="144">
        <f>IF('PV IN'!$F$4="Battery Only",0,-PVCalcs!AQ65*'PV IN'!$E$8)</f>
        <v>0</v>
      </c>
      <c r="AU65" s="144">
        <f>IF('PV IN'!$F$4="PV Only",0,-BattCalcs!CG65*'PV IN'!$E$8)</f>
        <v>0</v>
      </c>
      <c r="AV65" s="144">
        <f>IF('PV IN'!$F$4="PV Only",PVCalcs!Z65+PVCalcs!AA65,IF('PV IN'!$F$4="Battery Only",SUM(BattCalcs!BC65:BH65),PVCalcs!Z65+PVCalcs!AA65+SUM(BattCalcs!BC65:BH65)))</f>
        <v>0</v>
      </c>
      <c r="AW65" s="144">
        <f>IF('PV IN'!$F$4="PV Only",SUM(PVCalcs!AF65:AI65),IF('PV IN'!$F$4="Battery Only",SUM(BattCalcs!BL65:BY65),SUM(PVCalcs!AF65:AI65)+SUM(BattCalcs!BL65:BY65)))</f>
        <v>-1375</v>
      </c>
      <c r="AX65" s="144">
        <f>IF('PV IN'!$F$4="Battery Only",0,-PVLoan!F93)</f>
        <v>0</v>
      </c>
      <c r="AY65" s="144">
        <f>IF('PV IN'!$F$4="PV Only",0,-BattLoan!F93)</f>
        <v>0</v>
      </c>
      <c r="AZ65" s="144">
        <f>IF('PV IN'!$F$4="Battery Only",0,-PVLoan!H93)</f>
        <v>0</v>
      </c>
      <c r="BA65" s="144">
        <f>IF('PV IN'!$F$4="PV Only",0,-BattLoan!H93)</f>
        <v>0</v>
      </c>
    </row>
    <row r="66" spans="1:88" x14ac:dyDescent="0.25">
      <c r="A66">
        <f>IF(C66&lt;='PV IN'!$O$22*12,C66,"")</f>
        <v>62</v>
      </c>
      <c r="C66">
        <v>62</v>
      </c>
      <c r="D66" s="2">
        <f>BattCalcs!CK66+PVCalcs!AT66</f>
        <v>11957.980593846374</v>
      </c>
      <c r="E66" s="20">
        <f>PVCalcs!AV66</f>
        <v>-451625.57805350755</v>
      </c>
      <c r="F66" s="20">
        <f>PVCalcs!AW66</f>
        <v>9293.5106099883596</v>
      </c>
      <c r="G66" s="20">
        <f>PVCalcs!AX66</f>
        <v>-602199.96964010445</v>
      </c>
      <c r="H66" s="20">
        <f>BattCalcs!CM66</f>
        <v>0</v>
      </c>
      <c r="I66" s="20">
        <f>BattCalcs!CN66</f>
        <v>0</v>
      </c>
      <c r="J66" s="20">
        <f>IF(C66&lt;='Batt IN'!H$43*12,BattCalcs!CO66,NA())</f>
        <v>0</v>
      </c>
      <c r="L66" s="20">
        <f t="shared" si="3"/>
        <v>9293.5106099883596</v>
      </c>
      <c r="M66" s="20">
        <f>G66+BattCalcs!CO66</f>
        <v>-602199.96964010445</v>
      </c>
      <c r="O66" s="10">
        <f>PVLoan!G94</f>
        <v>0</v>
      </c>
      <c r="P66" s="10">
        <f>PVLoan!J94</f>
        <v>0</v>
      </c>
      <c r="Q66" s="2">
        <f>BattLoan!G94</f>
        <v>0</v>
      </c>
      <c r="R66" s="10">
        <f>BattLoan!J94</f>
        <v>0</v>
      </c>
      <c r="T66" s="33">
        <f>IF('PV IN'!$F$4="Battery Only",0,PVCalcs!G66)</f>
        <v>146420.75605319504</v>
      </c>
      <c r="U66" s="33">
        <f>IF('PV IN'!$F$4="Battery Only",0,PVCalcs!M66)</f>
        <v>146420.75605319504</v>
      </c>
      <c r="V66" s="33">
        <f>PVCalcs!L66</f>
        <v>25811.765833333331</v>
      </c>
      <c r="W66" s="158">
        <f>PVCalcs!F66</f>
        <v>7.6087305280047673E-2</v>
      </c>
      <c r="X66" s="144">
        <f>IF('PV IN'!$F$4="Battery Only",0,PVCalcs!Y66+PVCalcs!Z66)</f>
        <v>1903.4698286915357</v>
      </c>
      <c r="Y66" s="144">
        <f>IF('PV IN'!$F$4="PV Only",0,BattCalcs!AX66+BattCalcs!BC66)</f>
        <v>0</v>
      </c>
      <c r="Z66" s="144">
        <f>IF('PV IN'!$F$4="PV Only",0,BattCalcs!AY66+BattCalcs!BD66)</f>
        <v>0</v>
      </c>
      <c r="AA66" s="144">
        <f>IF('PV IN'!$F$4="PV Only",0,BattCalcs!AZ66+BattCalcs!BE66)</f>
        <v>0</v>
      </c>
      <c r="AB66" s="144">
        <f>IF('PV IN'!$F$4="PV Only",0,BattCalcs!BA66+BattCalcs!BF66)</f>
        <v>0</v>
      </c>
      <c r="AC66" s="144">
        <f>IF('PV IN'!$F$4="PV Only",0,BattCalcs!BB66+BattCalcs!BG66)</f>
        <v>0</v>
      </c>
      <c r="AD66" s="144">
        <f>IF('PV IN'!$F$4="PV Only",0,BattCalcs!BU66)</f>
        <v>0</v>
      </c>
      <c r="AE66" s="144">
        <f>IF('PV IN'!$F$4="PV Only",PVCalcs!W66+PVCalcs!AA66,IF('PV IN'!$F$4="Battery Only",BattCalcs!AV66+BattCalcs!BH66,PVCalcs!W66+PVCalcs!AA66+BattCalcs!AV66+BattCalcs!BH66))</f>
        <v>0</v>
      </c>
      <c r="AF66" s="10">
        <f>PVCalcs!AC66+BattCalcs!BJ66</f>
        <v>0</v>
      </c>
      <c r="AG66" s="144">
        <f>IF('PV IN'!$F$4="Battery Only",0,PVCalcs!AG66)</f>
        <v>-750</v>
      </c>
      <c r="AH66" s="144">
        <f>IF('PV IN'!$F$4="Battery Only",0,PVCalcs!AI66)</f>
        <v>0</v>
      </c>
      <c r="AI66" s="144">
        <f>IF('PV IN'!$F$4="PV Only",0,BattCalcs!BM66)</f>
        <v>0</v>
      </c>
      <c r="AJ66" s="144">
        <f>IF('PV IN'!$F$4="PV Only",0,SUM(BattCalcs!BO66:BT66))</f>
        <v>0</v>
      </c>
      <c r="AK66" s="144">
        <f>IF('PV IN'!$F$4="PV Only",PVCalcs!AH66,IF('PV IN'!$F$4="Battery Only",BattCalcs!BN66,PVCalcs!AH66+BattCalcs!BN66))</f>
        <v>-625</v>
      </c>
      <c r="AL66" s="144">
        <f>IF('PV IN'!$F$4="PV Only",0,BattCalcs!BV66)</f>
        <v>0</v>
      </c>
      <c r="AM66" s="144">
        <f>IF('PV IN'!$F$4="PV Only",0,SUM(BattCalcs!BW66:BX66))</f>
        <v>0</v>
      </c>
      <c r="AN66" s="144">
        <f>IF('PV IN'!$F$4="PV Only",0,BattCalcs!BY66)</f>
        <v>0</v>
      </c>
      <c r="AO66" s="144">
        <f>IF('PV IN'!$F$4="Battery Only",0,PVCalcs!U66)</f>
        <v>11140.760765154839</v>
      </c>
      <c r="AP66" s="10">
        <f>IF('PV IN'!$F$4="PV Only",0,BattCalcs!AS66)</f>
        <v>0</v>
      </c>
      <c r="AQ66" s="10">
        <f>IF('PV IN'!$F$4="PV Only",0,BattCalcs!AT66)</f>
        <v>0</v>
      </c>
      <c r="AR66" s="10">
        <f>IF('PV IN'!$F$4="PV Only",0,BattCalcs!AU66)</f>
        <v>0</v>
      </c>
      <c r="AS66" s="144">
        <f>IF('PV IN'!$F$4="PV Only",PVCalcs!X66,IF('PV IN'!$F$4="Battery Only",BattCalcs!AW66,PVCalcs!X66+BattCalcs!AW66))</f>
        <v>0</v>
      </c>
      <c r="AT66" s="144">
        <f>IF('PV IN'!$F$4="Battery Only",0,-PVCalcs!AQ66*'PV IN'!$E$8)</f>
        <v>0</v>
      </c>
      <c r="AU66" s="144">
        <f>IF('PV IN'!$F$4="PV Only",0,-BattCalcs!CG66*'PV IN'!$E$8)</f>
        <v>0</v>
      </c>
      <c r="AV66" s="144">
        <f>IF('PV IN'!$F$4="PV Only",PVCalcs!Z66+PVCalcs!AA66,IF('PV IN'!$F$4="Battery Only",SUM(BattCalcs!BC66:BH66),PVCalcs!Z66+PVCalcs!AA66+SUM(BattCalcs!BC66:BH66)))</f>
        <v>0</v>
      </c>
      <c r="AW66" s="144">
        <f>IF('PV IN'!$F$4="PV Only",SUM(PVCalcs!AF66:AI66),IF('PV IN'!$F$4="Battery Only",SUM(BattCalcs!BL66:BY66),SUM(PVCalcs!AF66:AI66)+SUM(BattCalcs!BL66:BY66)))</f>
        <v>-1375</v>
      </c>
      <c r="AX66" s="144">
        <f>IF('PV IN'!$F$4="Battery Only",0,-PVLoan!F94)</f>
        <v>0</v>
      </c>
      <c r="AY66" s="144">
        <f>IF('PV IN'!$F$4="PV Only",0,-BattLoan!F94)</f>
        <v>0</v>
      </c>
      <c r="AZ66" s="144">
        <f>IF('PV IN'!$F$4="Battery Only",0,-PVLoan!H94)</f>
        <v>0</v>
      </c>
      <c r="BA66" s="144">
        <f>IF('PV IN'!$F$4="PV Only",0,-BattLoan!H94)</f>
        <v>0</v>
      </c>
    </row>
    <row r="67" spans="1:88" x14ac:dyDescent="0.25">
      <c r="A67">
        <f>IF(C67&lt;='PV IN'!$O$22*12,C67,"")</f>
        <v>63</v>
      </c>
      <c r="C67">
        <v>63</v>
      </c>
      <c r="D67" s="2">
        <f>BattCalcs!CK67+PVCalcs!AT67</f>
        <v>11949.284440117139</v>
      </c>
      <c r="E67" s="20">
        <f>PVCalcs!AV67</f>
        <v>-439676.29361339041</v>
      </c>
      <c r="F67" s="20">
        <f>PVCalcs!AW67</f>
        <v>9249.0702707923137</v>
      </c>
      <c r="G67" s="20">
        <f>PVCalcs!AX67</f>
        <v>-592950.8993693121</v>
      </c>
      <c r="H67" s="20">
        <f>BattCalcs!CM67</f>
        <v>0</v>
      </c>
      <c r="I67" s="20">
        <f>BattCalcs!CN67</f>
        <v>0</v>
      </c>
      <c r="J67" s="20">
        <f>IF(C67&lt;='Batt IN'!H$43*12,BattCalcs!CO67,NA())</f>
        <v>0</v>
      </c>
      <c r="L67" s="20">
        <f t="shared" si="3"/>
        <v>9249.0702707923137</v>
      </c>
      <c r="M67" s="20">
        <f>G67+BattCalcs!CO67</f>
        <v>-592950.8993693121</v>
      </c>
      <c r="O67" s="10">
        <f>PVLoan!G95</f>
        <v>0</v>
      </c>
      <c r="P67" s="10">
        <f>PVLoan!J95</f>
        <v>0</v>
      </c>
      <c r="Q67" s="2">
        <f>BattLoan!G95</f>
        <v>0</v>
      </c>
      <c r="R67" s="10">
        <f>BattLoan!J95</f>
        <v>0</v>
      </c>
      <c r="T67" s="33">
        <f>IF('PV IN'!$F$4="Battery Only",0,PVCalcs!G67)</f>
        <v>146323.1422158262</v>
      </c>
      <c r="U67" s="33">
        <f>IF('PV IN'!$F$4="Battery Only",0,PVCalcs!M67)</f>
        <v>146323.1422158262</v>
      </c>
      <c r="V67" s="33">
        <f>PVCalcs!L67</f>
        <v>25811.765833333331</v>
      </c>
      <c r="W67" s="158">
        <f>PVCalcs!F67</f>
        <v>7.6087305280047673E-2</v>
      </c>
      <c r="X67" s="144">
        <f>IF('PV IN'!$F$4="Battery Only",0,PVCalcs!Y67+PVCalcs!Z67)</f>
        <v>1902.2008488057404</v>
      </c>
      <c r="Y67" s="144">
        <f>IF('PV IN'!$F$4="PV Only",0,BattCalcs!AX67+BattCalcs!BC67)</f>
        <v>0</v>
      </c>
      <c r="Z67" s="144">
        <f>IF('PV IN'!$F$4="PV Only",0,BattCalcs!AY67+BattCalcs!BD67)</f>
        <v>0</v>
      </c>
      <c r="AA67" s="144">
        <f>IF('PV IN'!$F$4="PV Only",0,BattCalcs!AZ67+BattCalcs!BE67)</f>
        <v>0</v>
      </c>
      <c r="AB67" s="144">
        <f>IF('PV IN'!$F$4="PV Only",0,BattCalcs!BA67+BattCalcs!BF67)</f>
        <v>0</v>
      </c>
      <c r="AC67" s="144">
        <f>IF('PV IN'!$F$4="PV Only",0,BattCalcs!BB67+BattCalcs!BG67)</f>
        <v>0</v>
      </c>
      <c r="AD67" s="144">
        <f>IF('PV IN'!$F$4="PV Only",0,BattCalcs!BU67)</f>
        <v>0</v>
      </c>
      <c r="AE67" s="144">
        <f>IF('PV IN'!$F$4="PV Only",PVCalcs!W67+PVCalcs!AA67,IF('PV IN'!$F$4="Battery Only",BattCalcs!AV67+BattCalcs!BH67,PVCalcs!W67+PVCalcs!AA67+BattCalcs!AV67+BattCalcs!BH67))</f>
        <v>0</v>
      </c>
      <c r="AF67" s="10">
        <f>PVCalcs!AC67+BattCalcs!BJ67</f>
        <v>0</v>
      </c>
      <c r="AG67" s="144">
        <f>IF('PV IN'!$F$4="Battery Only",0,PVCalcs!AG67)</f>
        <v>-750</v>
      </c>
      <c r="AH67" s="144">
        <f>IF('PV IN'!$F$4="Battery Only",0,PVCalcs!AI67)</f>
        <v>0</v>
      </c>
      <c r="AI67" s="144">
        <f>IF('PV IN'!$F$4="PV Only",0,BattCalcs!BM67)</f>
        <v>0</v>
      </c>
      <c r="AJ67" s="144">
        <f>IF('PV IN'!$F$4="PV Only",0,SUM(BattCalcs!BO67:BT67))</f>
        <v>0</v>
      </c>
      <c r="AK67" s="144">
        <f>IF('PV IN'!$F$4="PV Only",PVCalcs!AH67,IF('PV IN'!$F$4="Battery Only",BattCalcs!BN67,PVCalcs!AH67+BattCalcs!BN67))</f>
        <v>-625</v>
      </c>
      <c r="AL67" s="144">
        <f>IF('PV IN'!$F$4="PV Only",0,BattCalcs!BV67)</f>
        <v>0</v>
      </c>
      <c r="AM67" s="144">
        <f>IF('PV IN'!$F$4="PV Only",0,SUM(BattCalcs!BW67:BX67))</f>
        <v>0</v>
      </c>
      <c r="AN67" s="144">
        <f>IF('PV IN'!$F$4="PV Only",0,BattCalcs!BY67)</f>
        <v>0</v>
      </c>
      <c r="AO67" s="144">
        <f>IF('PV IN'!$F$4="Battery Only",0,PVCalcs!U67)</f>
        <v>11133.333591311399</v>
      </c>
      <c r="AP67" s="10">
        <f>IF('PV IN'!$F$4="PV Only",0,BattCalcs!AS67)</f>
        <v>0</v>
      </c>
      <c r="AQ67" s="10">
        <f>IF('PV IN'!$F$4="PV Only",0,BattCalcs!AT67)</f>
        <v>0</v>
      </c>
      <c r="AR67" s="10">
        <f>IF('PV IN'!$F$4="PV Only",0,BattCalcs!AU67)</f>
        <v>0</v>
      </c>
      <c r="AS67" s="144">
        <f>IF('PV IN'!$F$4="PV Only",PVCalcs!X67,IF('PV IN'!$F$4="Battery Only",BattCalcs!AW67,PVCalcs!X67+BattCalcs!AW67))</f>
        <v>0</v>
      </c>
      <c r="AT67" s="144">
        <f>IF('PV IN'!$F$4="Battery Only",0,-PVCalcs!AQ67*'PV IN'!$E$8)</f>
        <v>0</v>
      </c>
      <c r="AU67" s="144">
        <f>IF('PV IN'!$F$4="PV Only",0,-BattCalcs!CG67*'PV IN'!$E$8)</f>
        <v>0</v>
      </c>
      <c r="AV67" s="144">
        <f>IF('PV IN'!$F$4="PV Only",PVCalcs!Z67+PVCalcs!AA67,IF('PV IN'!$F$4="Battery Only",SUM(BattCalcs!BC67:BH67),PVCalcs!Z67+PVCalcs!AA67+SUM(BattCalcs!BC67:BH67)))</f>
        <v>0</v>
      </c>
      <c r="AW67" s="144">
        <f>IF('PV IN'!$F$4="PV Only",SUM(PVCalcs!AF67:AI67),IF('PV IN'!$F$4="Battery Only",SUM(BattCalcs!BL67:BY67),SUM(PVCalcs!AF67:AI67)+SUM(BattCalcs!BL67:BY67)))</f>
        <v>-1375</v>
      </c>
      <c r="AX67" s="144">
        <f>IF('PV IN'!$F$4="Battery Only",0,-PVLoan!F95)</f>
        <v>0</v>
      </c>
      <c r="AY67" s="144">
        <f>IF('PV IN'!$F$4="PV Only",0,-BattLoan!F95)</f>
        <v>0</v>
      </c>
      <c r="AZ67" s="144">
        <f>IF('PV IN'!$F$4="Battery Only",0,-PVLoan!H95)</f>
        <v>0</v>
      </c>
      <c r="BA67" s="144">
        <f>IF('PV IN'!$F$4="PV Only",0,-BattLoan!H95)</f>
        <v>0</v>
      </c>
    </row>
    <row r="68" spans="1:88" x14ac:dyDescent="0.25">
      <c r="A68">
        <f>IF(C68&lt;='PV IN'!$O$22*12,C68,"")</f>
        <v>64</v>
      </c>
      <c r="C68">
        <v>64</v>
      </c>
      <c r="D68" s="2">
        <f>BattCalcs!CK68+PVCalcs!AT68</f>
        <v>11940.594083823731</v>
      </c>
      <c r="E68" s="20">
        <f>PVCalcs!AV68</f>
        <v>-427735.69952956669</v>
      </c>
      <c r="F68" s="20">
        <f>PVCalcs!AW68</f>
        <v>9204.8420334495149</v>
      </c>
      <c r="G68" s="20">
        <f>PVCalcs!AX68</f>
        <v>-583746.05733586254</v>
      </c>
      <c r="H68" s="20">
        <f>BattCalcs!CM68</f>
        <v>0</v>
      </c>
      <c r="I68" s="20">
        <f>BattCalcs!CN68</f>
        <v>0</v>
      </c>
      <c r="J68" s="20">
        <f>IF(C68&lt;='Batt IN'!H$43*12,BattCalcs!CO68,NA())</f>
        <v>0</v>
      </c>
      <c r="L68" s="20">
        <f t="shared" si="3"/>
        <v>9204.8420334495149</v>
      </c>
      <c r="M68" s="20">
        <f>G68+BattCalcs!CO68</f>
        <v>-583746.05733586254</v>
      </c>
      <c r="O68" s="10">
        <f>PVLoan!G96</f>
        <v>0</v>
      </c>
      <c r="P68" s="10">
        <f>PVLoan!J96</f>
        <v>0</v>
      </c>
      <c r="Q68" s="2">
        <f>BattLoan!G96</f>
        <v>0</v>
      </c>
      <c r="R68" s="10">
        <f>BattLoan!J96</f>
        <v>0</v>
      </c>
      <c r="T68" s="33">
        <f>IF('PV IN'!$F$4="Battery Only",0,PVCalcs!G68)</f>
        <v>146225.593454349</v>
      </c>
      <c r="U68" s="33">
        <f>IF('PV IN'!$F$4="Battery Only",0,PVCalcs!M68)</f>
        <v>146225.593454349</v>
      </c>
      <c r="V68" s="33">
        <f>PVCalcs!L68</f>
        <v>25811.765833333331</v>
      </c>
      <c r="W68" s="158">
        <f>PVCalcs!F68</f>
        <v>7.6087305280047673E-2</v>
      </c>
      <c r="X68" s="144">
        <f>IF('PV IN'!$F$4="Battery Only",0,PVCalcs!Y68+PVCalcs!Z68)</f>
        <v>1900.9327149065371</v>
      </c>
      <c r="Y68" s="144">
        <f>IF('PV IN'!$F$4="PV Only",0,BattCalcs!AX68+BattCalcs!BC68)</f>
        <v>0</v>
      </c>
      <c r="Z68" s="144">
        <f>IF('PV IN'!$F$4="PV Only",0,BattCalcs!AY68+BattCalcs!BD68)</f>
        <v>0</v>
      </c>
      <c r="AA68" s="144">
        <f>IF('PV IN'!$F$4="PV Only",0,BattCalcs!AZ68+BattCalcs!BE68)</f>
        <v>0</v>
      </c>
      <c r="AB68" s="144">
        <f>IF('PV IN'!$F$4="PV Only",0,BattCalcs!BA68+BattCalcs!BF68)</f>
        <v>0</v>
      </c>
      <c r="AC68" s="144">
        <f>IF('PV IN'!$F$4="PV Only",0,BattCalcs!BB68+BattCalcs!BG68)</f>
        <v>0</v>
      </c>
      <c r="AD68" s="144">
        <f>IF('PV IN'!$F$4="PV Only",0,BattCalcs!BU68)</f>
        <v>0</v>
      </c>
      <c r="AE68" s="144">
        <f>IF('PV IN'!$F$4="PV Only",PVCalcs!W68+PVCalcs!AA68,IF('PV IN'!$F$4="Battery Only",BattCalcs!AV68+BattCalcs!BH68,PVCalcs!W68+PVCalcs!AA68+BattCalcs!AV68+BattCalcs!BH68))</f>
        <v>0</v>
      </c>
      <c r="AF68" s="10">
        <f>PVCalcs!AC68+BattCalcs!BJ68</f>
        <v>0</v>
      </c>
      <c r="AG68" s="144">
        <f>IF('PV IN'!$F$4="Battery Only",0,PVCalcs!AG68)</f>
        <v>-750</v>
      </c>
      <c r="AH68" s="144">
        <f>IF('PV IN'!$F$4="Battery Only",0,PVCalcs!AI68)</f>
        <v>0</v>
      </c>
      <c r="AI68" s="144">
        <f>IF('PV IN'!$F$4="PV Only",0,BattCalcs!BM68)</f>
        <v>0</v>
      </c>
      <c r="AJ68" s="144">
        <f>IF('PV IN'!$F$4="PV Only",0,SUM(BattCalcs!BO68:BT68))</f>
        <v>0</v>
      </c>
      <c r="AK68" s="144">
        <f>IF('PV IN'!$F$4="PV Only",PVCalcs!AH68,IF('PV IN'!$F$4="Battery Only",BattCalcs!BN68,PVCalcs!AH68+BattCalcs!BN68))</f>
        <v>-625</v>
      </c>
      <c r="AL68" s="144">
        <f>IF('PV IN'!$F$4="PV Only",0,BattCalcs!BV68)</f>
        <v>0</v>
      </c>
      <c r="AM68" s="144">
        <f>IF('PV IN'!$F$4="PV Only",0,SUM(BattCalcs!BW68:BX68))</f>
        <v>0</v>
      </c>
      <c r="AN68" s="144">
        <f>IF('PV IN'!$F$4="PV Only",0,BattCalcs!BY68)</f>
        <v>0</v>
      </c>
      <c r="AO68" s="144">
        <f>IF('PV IN'!$F$4="Battery Only",0,PVCalcs!U68)</f>
        <v>11125.911368917194</v>
      </c>
      <c r="AP68" s="10">
        <f>IF('PV IN'!$F$4="PV Only",0,BattCalcs!AS68)</f>
        <v>0</v>
      </c>
      <c r="AQ68" s="10">
        <f>IF('PV IN'!$F$4="PV Only",0,BattCalcs!AT68)</f>
        <v>0</v>
      </c>
      <c r="AR68" s="10">
        <f>IF('PV IN'!$F$4="PV Only",0,BattCalcs!AU68)</f>
        <v>0</v>
      </c>
      <c r="AS68" s="144">
        <f>IF('PV IN'!$F$4="PV Only",PVCalcs!X68,IF('PV IN'!$F$4="Battery Only",BattCalcs!AW68,PVCalcs!X68+BattCalcs!AW68))</f>
        <v>0</v>
      </c>
      <c r="AT68" s="144">
        <f>IF('PV IN'!$F$4="Battery Only",0,-PVCalcs!AQ68*'PV IN'!$E$8)</f>
        <v>0</v>
      </c>
      <c r="AU68" s="144">
        <f>IF('PV IN'!$F$4="PV Only",0,-BattCalcs!CG68*'PV IN'!$E$8)</f>
        <v>0</v>
      </c>
      <c r="AV68" s="144">
        <f>IF('PV IN'!$F$4="PV Only",PVCalcs!Z68+PVCalcs!AA68,IF('PV IN'!$F$4="Battery Only",SUM(BattCalcs!BC68:BH68),PVCalcs!Z68+PVCalcs!AA68+SUM(BattCalcs!BC68:BH68)))</f>
        <v>0</v>
      </c>
      <c r="AW68" s="144">
        <f>IF('PV IN'!$F$4="PV Only",SUM(PVCalcs!AF68:AI68),IF('PV IN'!$F$4="Battery Only",SUM(BattCalcs!BL68:BY68),SUM(PVCalcs!AF68:AI68)+SUM(BattCalcs!BL68:BY68)))</f>
        <v>-1375</v>
      </c>
      <c r="AX68" s="144">
        <f>IF('PV IN'!$F$4="Battery Only",0,-PVLoan!F96)</f>
        <v>0</v>
      </c>
      <c r="AY68" s="144">
        <f>IF('PV IN'!$F$4="PV Only",0,-BattLoan!F96)</f>
        <v>0</v>
      </c>
      <c r="AZ68" s="144">
        <f>IF('PV IN'!$F$4="Battery Only",0,-PVLoan!H96)</f>
        <v>0</v>
      </c>
      <c r="BA68" s="144">
        <f>IF('PV IN'!$F$4="PV Only",0,-BattLoan!H96)</f>
        <v>0</v>
      </c>
    </row>
    <row r="69" spans="1:88" x14ac:dyDescent="0.25">
      <c r="A69">
        <f>IF(C69&lt;='PV IN'!$O$22*12,C69,"")</f>
        <v>65</v>
      </c>
      <c r="C69">
        <v>65</v>
      </c>
      <c r="D69" s="2">
        <f>BattCalcs!CK69+PVCalcs!AT69</f>
        <v>11931.909521101179</v>
      </c>
      <c r="E69" s="20">
        <f>PVCalcs!AV69</f>
        <v>-415803.79000846553</v>
      </c>
      <c r="F69" s="20">
        <f>PVCalcs!AW69</f>
        <v>9160.8248872810364</v>
      </c>
      <c r="G69" s="20">
        <f>PVCalcs!AX69</f>
        <v>-574585.23244858149</v>
      </c>
      <c r="H69" s="20">
        <f>BattCalcs!CM69</f>
        <v>0</v>
      </c>
      <c r="I69" s="20">
        <f>BattCalcs!CN69</f>
        <v>0</v>
      </c>
      <c r="J69" s="20">
        <f>IF(C69&lt;='Batt IN'!H$43*12,BattCalcs!CO69,NA())</f>
        <v>0</v>
      </c>
      <c r="L69" s="20">
        <f t="shared" ref="L69:L132" si="142">F69+I69</f>
        <v>9160.8248872810364</v>
      </c>
      <c r="M69" s="20">
        <f>G69+BattCalcs!CO69</f>
        <v>-574585.23244858149</v>
      </c>
      <c r="O69" s="10">
        <f>PVLoan!G97</f>
        <v>0</v>
      </c>
      <c r="P69" s="10">
        <f>PVLoan!J97</f>
        <v>0</v>
      </c>
      <c r="Q69" s="2">
        <f>BattLoan!G97</f>
        <v>0</v>
      </c>
      <c r="R69" s="10">
        <f>BattLoan!J97</f>
        <v>0</v>
      </c>
      <c r="T69" s="33">
        <f>IF('PV IN'!$F$4="Battery Only",0,PVCalcs!G69)</f>
        <v>146128.10972537941</v>
      </c>
      <c r="U69" s="33">
        <f>IF('PV IN'!$F$4="Battery Only",0,PVCalcs!M69)</f>
        <v>146128.10972537941</v>
      </c>
      <c r="V69" s="33">
        <f>PVCalcs!L69</f>
        <v>25811.765833333331</v>
      </c>
      <c r="W69" s="158">
        <f>PVCalcs!F69</f>
        <v>7.6087305280047673E-2</v>
      </c>
      <c r="X69" s="144">
        <f>IF('PV IN'!$F$4="Battery Only",0,PVCalcs!Y69+PVCalcs!Z69)</f>
        <v>1899.6654264299325</v>
      </c>
      <c r="Y69" s="144">
        <f>IF('PV IN'!$F$4="PV Only",0,BattCalcs!AX69+BattCalcs!BC69)</f>
        <v>0</v>
      </c>
      <c r="Z69" s="144">
        <f>IF('PV IN'!$F$4="PV Only",0,BattCalcs!AY69+BattCalcs!BD69)</f>
        <v>0</v>
      </c>
      <c r="AA69" s="144">
        <f>IF('PV IN'!$F$4="PV Only",0,BattCalcs!AZ69+BattCalcs!BE69)</f>
        <v>0</v>
      </c>
      <c r="AB69" s="144">
        <f>IF('PV IN'!$F$4="PV Only",0,BattCalcs!BA69+BattCalcs!BF69)</f>
        <v>0</v>
      </c>
      <c r="AC69" s="144">
        <f>IF('PV IN'!$F$4="PV Only",0,BattCalcs!BB69+BattCalcs!BG69)</f>
        <v>0</v>
      </c>
      <c r="AD69" s="144">
        <f>IF('PV IN'!$F$4="PV Only",0,BattCalcs!BU69)</f>
        <v>0</v>
      </c>
      <c r="AE69" s="144">
        <f>IF('PV IN'!$F$4="PV Only",PVCalcs!W69+PVCalcs!AA69,IF('PV IN'!$F$4="Battery Only",BattCalcs!AV69+BattCalcs!BH69,PVCalcs!W69+PVCalcs!AA69+BattCalcs!AV69+BattCalcs!BH69))</f>
        <v>0</v>
      </c>
      <c r="AF69" s="10">
        <f>PVCalcs!AC69+BattCalcs!BJ69</f>
        <v>0</v>
      </c>
      <c r="AG69" s="144">
        <f>IF('PV IN'!$F$4="Battery Only",0,PVCalcs!AG69)</f>
        <v>-750</v>
      </c>
      <c r="AH69" s="144">
        <f>IF('PV IN'!$F$4="Battery Only",0,PVCalcs!AI69)</f>
        <v>0</v>
      </c>
      <c r="AI69" s="144">
        <f>IF('PV IN'!$F$4="PV Only",0,BattCalcs!BM69)</f>
        <v>0</v>
      </c>
      <c r="AJ69" s="144">
        <f>IF('PV IN'!$F$4="PV Only",0,SUM(BattCalcs!BO69:BT69))</f>
        <v>0</v>
      </c>
      <c r="AK69" s="144">
        <f>IF('PV IN'!$F$4="PV Only",PVCalcs!AH69,IF('PV IN'!$F$4="Battery Only",BattCalcs!BN69,PVCalcs!AH69+BattCalcs!BN69))</f>
        <v>-625</v>
      </c>
      <c r="AL69" s="144">
        <f>IF('PV IN'!$F$4="PV Only",0,BattCalcs!BV69)</f>
        <v>0</v>
      </c>
      <c r="AM69" s="144">
        <f>IF('PV IN'!$F$4="PV Only",0,SUM(BattCalcs!BW69:BX69))</f>
        <v>0</v>
      </c>
      <c r="AN69" s="144">
        <f>IF('PV IN'!$F$4="PV Only",0,BattCalcs!BY69)</f>
        <v>0</v>
      </c>
      <c r="AO69" s="144">
        <f>IF('PV IN'!$F$4="Battery Only",0,PVCalcs!U69)</f>
        <v>11118.494094671247</v>
      </c>
      <c r="AP69" s="10">
        <f>IF('PV IN'!$F$4="PV Only",0,BattCalcs!AS69)</f>
        <v>0</v>
      </c>
      <c r="AQ69" s="10">
        <f>IF('PV IN'!$F$4="PV Only",0,BattCalcs!AT69)</f>
        <v>0</v>
      </c>
      <c r="AR69" s="10">
        <f>IF('PV IN'!$F$4="PV Only",0,BattCalcs!AU69)</f>
        <v>0</v>
      </c>
      <c r="AS69" s="144">
        <f>IF('PV IN'!$F$4="PV Only",PVCalcs!X69,IF('PV IN'!$F$4="Battery Only",BattCalcs!AW69,PVCalcs!X69+BattCalcs!AW69))</f>
        <v>0</v>
      </c>
      <c r="AT69" s="144">
        <f>IF('PV IN'!$F$4="Battery Only",0,-PVCalcs!AQ69*'PV IN'!$E$8)</f>
        <v>0</v>
      </c>
      <c r="AU69" s="144">
        <f>IF('PV IN'!$F$4="PV Only",0,-BattCalcs!CG69*'PV IN'!$E$8)</f>
        <v>0</v>
      </c>
      <c r="AV69" s="144">
        <f>IF('PV IN'!$F$4="PV Only",PVCalcs!Z69+PVCalcs!AA69,IF('PV IN'!$F$4="Battery Only",SUM(BattCalcs!BC69:BH69),PVCalcs!Z69+PVCalcs!AA69+SUM(BattCalcs!BC69:BH69)))</f>
        <v>0</v>
      </c>
      <c r="AW69" s="144">
        <f>IF('PV IN'!$F$4="PV Only",SUM(PVCalcs!AF69:AI69),IF('PV IN'!$F$4="Battery Only",SUM(BattCalcs!BL69:BY69),SUM(PVCalcs!AF69:AI69)+SUM(BattCalcs!BL69:BY69)))</f>
        <v>-1375</v>
      </c>
      <c r="AX69" s="144">
        <f>IF('PV IN'!$F$4="Battery Only",0,-PVLoan!F97)</f>
        <v>0</v>
      </c>
      <c r="AY69" s="144">
        <f>IF('PV IN'!$F$4="PV Only",0,-BattLoan!F97)</f>
        <v>0</v>
      </c>
      <c r="AZ69" s="144">
        <f>IF('PV IN'!$F$4="Battery Only",0,-PVLoan!H97)</f>
        <v>0</v>
      </c>
      <c r="BA69" s="144">
        <f>IF('PV IN'!$F$4="PV Only",0,-BattLoan!H97)</f>
        <v>0</v>
      </c>
    </row>
    <row r="70" spans="1:88" x14ac:dyDescent="0.25">
      <c r="A70">
        <f>IF(C70&lt;='PV IN'!$O$22*12,C70,"")</f>
        <v>66</v>
      </c>
      <c r="C70">
        <v>66</v>
      </c>
      <c r="D70" s="2">
        <f>BattCalcs!CK70+PVCalcs!AT70</f>
        <v>11923.230748087113</v>
      </c>
      <c r="E70" s="20">
        <f>PVCalcs!AV70</f>
        <v>-403880.55926037842</v>
      </c>
      <c r="F70" s="20">
        <f>PVCalcs!AW70</f>
        <v>9117.0178264173865</v>
      </c>
      <c r="G70" s="20">
        <f>PVCalcs!AX70</f>
        <v>-565468.21462216415</v>
      </c>
      <c r="H70" s="20">
        <f>BattCalcs!CM70</f>
        <v>0</v>
      </c>
      <c r="I70" s="20">
        <f>BattCalcs!CN70</f>
        <v>0</v>
      </c>
      <c r="J70" s="20">
        <f>IF(C70&lt;='Batt IN'!H$43*12,BattCalcs!CO70,NA())</f>
        <v>0</v>
      </c>
      <c r="L70" s="20">
        <f t="shared" si="142"/>
        <v>9117.0178264173865</v>
      </c>
      <c r="M70" s="20">
        <f>G70+BattCalcs!CO70</f>
        <v>-565468.21462216415</v>
      </c>
      <c r="O70" s="10">
        <f>PVLoan!G98</f>
        <v>0</v>
      </c>
      <c r="P70" s="10">
        <f>PVLoan!J98</f>
        <v>0</v>
      </c>
      <c r="Q70" s="2">
        <f>BattLoan!G98</f>
        <v>0</v>
      </c>
      <c r="R70" s="10">
        <f>BattLoan!J98</f>
        <v>0</v>
      </c>
      <c r="T70" s="33">
        <f>IF('PV IN'!$F$4="Battery Only",0,PVCalcs!G70)</f>
        <v>146030.69098556251</v>
      </c>
      <c r="U70" s="33">
        <f>IF('PV IN'!$F$4="Battery Only",0,PVCalcs!M70)</f>
        <v>146030.69098556251</v>
      </c>
      <c r="V70" s="33">
        <f>PVCalcs!L70</f>
        <v>25811.765833333331</v>
      </c>
      <c r="W70" s="158">
        <f>PVCalcs!F70</f>
        <v>7.6087305280047673E-2</v>
      </c>
      <c r="X70" s="144">
        <f>IF('PV IN'!$F$4="Battery Only",0,PVCalcs!Y70+PVCalcs!Z70)</f>
        <v>1898.3989828123126</v>
      </c>
      <c r="Y70" s="144">
        <f>IF('PV IN'!$F$4="PV Only",0,BattCalcs!AX70+BattCalcs!BC70)</f>
        <v>0</v>
      </c>
      <c r="Z70" s="144">
        <f>IF('PV IN'!$F$4="PV Only",0,BattCalcs!AY70+BattCalcs!BD70)</f>
        <v>0</v>
      </c>
      <c r="AA70" s="144">
        <f>IF('PV IN'!$F$4="PV Only",0,BattCalcs!AZ70+BattCalcs!BE70)</f>
        <v>0</v>
      </c>
      <c r="AB70" s="144">
        <f>IF('PV IN'!$F$4="PV Only",0,BattCalcs!BA70+BattCalcs!BF70)</f>
        <v>0</v>
      </c>
      <c r="AC70" s="144">
        <f>IF('PV IN'!$F$4="PV Only",0,BattCalcs!BB70+BattCalcs!BG70)</f>
        <v>0</v>
      </c>
      <c r="AD70" s="144">
        <f>IF('PV IN'!$F$4="PV Only",0,BattCalcs!BU70)</f>
        <v>0</v>
      </c>
      <c r="AE70" s="144">
        <f>IF('PV IN'!$F$4="PV Only",PVCalcs!W70+PVCalcs!AA70,IF('PV IN'!$F$4="Battery Only",BattCalcs!AV70+BattCalcs!BH70,PVCalcs!W70+PVCalcs!AA70+BattCalcs!AV70+BattCalcs!BH70))</f>
        <v>0</v>
      </c>
      <c r="AF70" s="10">
        <f>PVCalcs!AC70+BattCalcs!BJ70</f>
        <v>0</v>
      </c>
      <c r="AG70" s="144">
        <f>IF('PV IN'!$F$4="Battery Only",0,PVCalcs!AG70)</f>
        <v>-750</v>
      </c>
      <c r="AH70" s="144">
        <f>IF('PV IN'!$F$4="Battery Only",0,PVCalcs!AI70)</f>
        <v>0</v>
      </c>
      <c r="AI70" s="144">
        <f>IF('PV IN'!$F$4="PV Only",0,BattCalcs!BM70)</f>
        <v>0</v>
      </c>
      <c r="AJ70" s="144">
        <f>IF('PV IN'!$F$4="PV Only",0,SUM(BattCalcs!BO70:BT70))</f>
        <v>0</v>
      </c>
      <c r="AK70" s="144">
        <f>IF('PV IN'!$F$4="PV Only",PVCalcs!AH70,IF('PV IN'!$F$4="Battery Only",BattCalcs!BN70,PVCalcs!AH70+BattCalcs!BN70))</f>
        <v>-625</v>
      </c>
      <c r="AL70" s="144">
        <f>IF('PV IN'!$F$4="PV Only",0,BattCalcs!BV70)</f>
        <v>0</v>
      </c>
      <c r="AM70" s="144">
        <f>IF('PV IN'!$F$4="PV Only",0,SUM(BattCalcs!BW70:BX70))</f>
        <v>0</v>
      </c>
      <c r="AN70" s="144">
        <f>IF('PV IN'!$F$4="PV Only",0,BattCalcs!BY70)</f>
        <v>0</v>
      </c>
      <c r="AO70" s="144">
        <f>IF('PV IN'!$F$4="Battery Only",0,PVCalcs!U70)</f>
        <v>11111.081765274801</v>
      </c>
      <c r="AP70" s="10">
        <f>IF('PV IN'!$F$4="PV Only",0,BattCalcs!AS70)</f>
        <v>0</v>
      </c>
      <c r="AQ70" s="10">
        <f>IF('PV IN'!$F$4="PV Only",0,BattCalcs!AT70)</f>
        <v>0</v>
      </c>
      <c r="AR70" s="10">
        <f>IF('PV IN'!$F$4="PV Only",0,BattCalcs!AU70)</f>
        <v>0</v>
      </c>
      <c r="AS70" s="144">
        <f>IF('PV IN'!$F$4="PV Only",PVCalcs!X70,IF('PV IN'!$F$4="Battery Only",BattCalcs!AW70,PVCalcs!X70+BattCalcs!AW70))</f>
        <v>0</v>
      </c>
      <c r="AT70" s="144">
        <f>IF('PV IN'!$F$4="Battery Only",0,-PVCalcs!AQ70*'PV IN'!$E$8)</f>
        <v>0</v>
      </c>
      <c r="AU70" s="144">
        <f>IF('PV IN'!$F$4="PV Only",0,-BattCalcs!CG70*'PV IN'!$E$8)</f>
        <v>0</v>
      </c>
      <c r="AV70" s="144">
        <f>IF('PV IN'!$F$4="PV Only",PVCalcs!Z70+PVCalcs!AA70,IF('PV IN'!$F$4="Battery Only",SUM(BattCalcs!BC70:BH70),PVCalcs!Z70+PVCalcs!AA70+SUM(BattCalcs!BC70:BH70)))</f>
        <v>0</v>
      </c>
      <c r="AW70" s="144">
        <f>IF('PV IN'!$F$4="PV Only",SUM(PVCalcs!AF70:AI70),IF('PV IN'!$F$4="Battery Only",SUM(BattCalcs!BL70:BY70),SUM(PVCalcs!AF70:AI70)+SUM(BattCalcs!BL70:BY70)))</f>
        <v>-1375</v>
      </c>
      <c r="AX70" s="144">
        <f>IF('PV IN'!$F$4="Battery Only",0,-PVLoan!F98)</f>
        <v>0</v>
      </c>
      <c r="AY70" s="144">
        <f>IF('PV IN'!$F$4="PV Only",0,-BattLoan!F98)</f>
        <v>0</v>
      </c>
      <c r="AZ70" s="144">
        <f>IF('PV IN'!$F$4="Battery Only",0,-PVLoan!H98)</f>
        <v>0</v>
      </c>
      <c r="BA70" s="144">
        <f>IF('PV IN'!$F$4="PV Only",0,-BattLoan!H98)</f>
        <v>0</v>
      </c>
    </row>
    <row r="71" spans="1:88" x14ac:dyDescent="0.25">
      <c r="A71">
        <f>IF(C71&lt;='PV IN'!$O$22*12,C71,"")</f>
        <v>67</v>
      </c>
      <c r="C71">
        <v>67</v>
      </c>
      <c r="D71" s="2">
        <f>BattCalcs!CK71+PVCalcs!AT71</f>
        <v>11914.557760921722</v>
      </c>
      <c r="E71" s="20">
        <f>PVCalcs!AV71</f>
        <v>-391966.0014994567</v>
      </c>
      <c r="F71" s="20">
        <f>PVCalcs!AW71</f>
        <v>9073.4198497756279</v>
      </c>
      <c r="G71" s="20">
        <f>PVCalcs!AX71</f>
        <v>-556394.79477238853</v>
      </c>
      <c r="H71" s="20">
        <f>BattCalcs!CM71</f>
        <v>0</v>
      </c>
      <c r="I71" s="20">
        <f>BattCalcs!CN71</f>
        <v>0</v>
      </c>
      <c r="J71" s="20">
        <f>IF(C71&lt;='Batt IN'!H$43*12,BattCalcs!CO71,NA())</f>
        <v>0</v>
      </c>
      <c r="L71" s="20">
        <f t="shared" si="142"/>
        <v>9073.4198497756279</v>
      </c>
      <c r="M71" s="20">
        <f>G71+BattCalcs!CO71</f>
        <v>-556394.79477238853</v>
      </c>
      <c r="O71" s="10">
        <f>PVLoan!G99</f>
        <v>0</v>
      </c>
      <c r="P71" s="10">
        <f>PVLoan!J99</f>
        <v>0</v>
      </c>
      <c r="Q71" s="2">
        <f>BattLoan!G99</f>
        <v>0</v>
      </c>
      <c r="R71" s="10">
        <f>BattLoan!J99</f>
        <v>0</v>
      </c>
      <c r="T71" s="33">
        <f>IF('PV IN'!$F$4="Battery Only",0,PVCalcs!G71)</f>
        <v>145933.33719157212</v>
      </c>
      <c r="U71" s="33">
        <f>IF('PV IN'!$F$4="Battery Only",0,PVCalcs!M71)</f>
        <v>145933.33719157212</v>
      </c>
      <c r="V71" s="33">
        <f>PVCalcs!L71</f>
        <v>25811.765833333331</v>
      </c>
      <c r="W71" s="158">
        <f>PVCalcs!F71</f>
        <v>7.6087305280047673E-2</v>
      </c>
      <c r="X71" s="144">
        <f>IF('PV IN'!$F$4="Battery Only",0,PVCalcs!Y71+PVCalcs!Z71)</f>
        <v>1897.1333834904376</v>
      </c>
      <c r="Y71" s="144">
        <f>IF('PV IN'!$F$4="PV Only",0,BattCalcs!AX71+BattCalcs!BC71)</f>
        <v>0</v>
      </c>
      <c r="Z71" s="144">
        <f>IF('PV IN'!$F$4="PV Only",0,BattCalcs!AY71+BattCalcs!BD71)</f>
        <v>0</v>
      </c>
      <c r="AA71" s="144">
        <f>IF('PV IN'!$F$4="PV Only",0,BattCalcs!AZ71+BattCalcs!BE71)</f>
        <v>0</v>
      </c>
      <c r="AB71" s="144">
        <f>IF('PV IN'!$F$4="PV Only",0,BattCalcs!BA71+BattCalcs!BF71)</f>
        <v>0</v>
      </c>
      <c r="AC71" s="144">
        <f>IF('PV IN'!$F$4="PV Only",0,BattCalcs!BB71+BattCalcs!BG71)</f>
        <v>0</v>
      </c>
      <c r="AD71" s="144">
        <f>IF('PV IN'!$F$4="PV Only",0,BattCalcs!BU71)</f>
        <v>0</v>
      </c>
      <c r="AE71" s="144">
        <f>IF('PV IN'!$F$4="PV Only",PVCalcs!W71+PVCalcs!AA71,IF('PV IN'!$F$4="Battery Only",BattCalcs!AV71+BattCalcs!BH71,PVCalcs!W71+PVCalcs!AA71+BattCalcs!AV71+BattCalcs!BH71))</f>
        <v>0</v>
      </c>
      <c r="AF71" s="10">
        <f>PVCalcs!AC71+BattCalcs!BJ71</f>
        <v>0</v>
      </c>
      <c r="AG71" s="144">
        <f>IF('PV IN'!$F$4="Battery Only",0,PVCalcs!AG71)</f>
        <v>-750</v>
      </c>
      <c r="AH71" s="144">
        <f>IF('PV IN'!$F$4="Battery Only",0,PVCalcs!AI71)</f>
        <v>0</v>
      </c>
      <c r="AI71" s="144">
        <f>IF('PV IN'!$F$4="PV Only",0,BattCalcs!BM71)</f>
        <v>0</v>
      </c>
      <c r="AJ71" s="144">
        <f>IF('PV IN'!$F$4="PV Only",0,SUM(BattCalcs!BO71:BT71))</f>
        <v>0</v>
      </c>
      <c r="AK71" s="144">
        <f>IF('PV IN'!$F$4="PV Only",PVCalcs!AH71,IF('PV IN'!$F$4="Battery Only",BattCalcs!BN71,PVCalcs!AH71+BattCalcs!BN71))</f>
        <v>-625</v>
      </c>
      <c r="AL71" s="144">
        <f>IF('PV IN'!$F$4="PV Only",0,BattCalcs!BV71)</f>
        <v>0</v>
      </c>
      <c r="AM71" s="144">
        <f>IF('PV IN'!$F$4="PV Only",0,SUM(BattCalcs!BW71:BX71))</f>
        <v>0</v>
      </c>
      <c r="AN71" s="144">
        <f>IF('PV IN'!$F$4="PV Only",0,BattCalcs!BY71)</f>
        <v>0</v>
      </c>
      <c r="AO71" s="144">
        <f>IF('PV IN'!$F$4="Battery Only",0,PVCalcs!U71)</f>
        <v>11103.674377431284</v>
      </c>
      <c r="AP71" s="10">
        <f>IF('PV IN'!$F$4="PV Only",0,BattCalcs!AS71)</f>
        <v>0</v>
      </c>
      <c r="AQ71" s="10">
        <f>IF('PV IN'!$F$4="PV Only",0,BattCalcs!AT71)</f>
        <v>0</v>
      </c>
      <c r="AR71" s="10">
        <f>IF('PV IN'!$F$4="PV Only",0,BattCalcs!AU71)</f>
        <v>0</v>
      </c>
      <c r="AS71" s="144">
        <f>IF('PV IN'!$F$4="PV Only",PVCalcs!X71,IF('PV IN'!$F$4="Battery Only",BattCalcs!AW71,PVCalcs!X71+BattCalcs!AW71))</f>
        <v>0</v>
      </c>
      <c r="AT71" s="144">
        <f>IF('PV IN'!$F$4="Battery Only",0,-PVCalcs!AQ71*'PV IN'!$E$8)</f>
        <v>0</v>
      </c>
      <c r="AU71" s="144">
        <f>IF('PV IN'!$F$4="PV Only",0,-BattCalcs!CG71*'PV IN'!$E$8)</f>
        <v>0</v>
      </c>
      <c r="AV71" s="144">
        <f>IF('PV IN'!$F$4="PV Only",PVCalcs!Z71+PVCalcs!AA71,IF('PV IN'!$F$4="Battery Only",SUM(BattCalcs!BC71:BH71),PVCalcs!Z71+PVCalcs!AA71+SUM(BattCalcs!BC71:BH71)))</f>
        <v>0</v>
      </c>
      <c r="AW71" s="144">
        <f>IF('PV IN'!$F$4="PV Only",SUM(PVCalcs!AF71:AI71),IF('PV IN'!$F$4="Battery Only",SUM(BattCalcs!BL71:BY71),SUM(PVCalcs!AF71:AI71)+SUM(BattCalcs!BL71:BY71)))</f>
        <v>-1375</v>
      </c>
      <c r="AX71" s="144">
        <f>IF('PV IN'!$F$4="Battery Only",0,-PVLoan!F99)</f>
        <v>0</v>
      </c>
      <c r="AY71" s="144">
        <f>IF('PV IN'!$F$4="PV Only",0,-BattLoan!F99)</f>
        <v>0</v>
      </c>
      <c r="AZ71" s="144">
        <f>IF('PV IN'!$F$4="Battery Only",0,-PVLoan!H99)</f>
        <v>0</v>
      </c>
      <c r="BA71" s="144">
        <f>IF('PV IN'!$F$4="PV Only",0,-BattLoan!H99)</f>
        <v>0</v>
      </c>
    </row>
    <row r="72" spans="1:88" x14ac:dyDescent="0.25">
      <c r="A72">
        <f>IF(C72&lt;='PV IN'!$O$22*12,C72,"")</f>
        <v>68</v>
      </c>
      <c r="C72">
        <v>68</v>
      </c>
      <c r="D72" s="2">
        <f>BattCalcs!CK72+PVCalcs!AT72</f>
        <v>11905.890555747772</v>
      </c>
      <c r="E72" s="20">
        <f>PVCalcs!AV72</f>
        <v>-380060.11094370892</v>
      </c>
      <c r="F72" s="20">
        <f>PVCalcs!AW72</f>
        <v>9030.0299610366328</v>
      </c>
      <c r="G72" s="20">
        <f>PVCalcs!AX72</f>
        <v>-547364.7648113519</v>
      </c>
      <c r="H72" s="20">
        <f>BattCalcs!CM72</f>
        <v>0</v>
      </c>
      <c r="I72" s="20">
        <f>BattCalcs!CN72</f>
        <v>0</v>
      </c>
      <c r="J72" s="20">
        <f>IF(C72&lt;='Batt IN'!H$43*12,BattCalcs!CO72,NA())</f>
        <v>0</v>
      </c>
      <c r="L72" s="20">
        <f t="shared" si="142"/>
        <v>9030.0299610366328</v>
      </c>
      <c r="M72" s="20">
        <f>G72+BattCalcs!CO72</f>
        <v>-547364.7648113519</v>
      </c>
      <c r="O72" s="10">
        <f>PVLoan!G100</f>
        <v>0</v>
      </c>
      <c r="P72" s="10">
        <f>PVLoan!J100</f>
        <v>0</v>
      </c>
      <c r="Q72" s="2">
        <f>BattLoan!G100</f>
        <v>0</v>
      </c>
      <c r="R72" s="10">
        <f>BattLoan!J100</f>
        <v>0</v>
      </c>
      <c r="T72" s="33">
        <f>IF('PV IN'!$F$4="Battery Only",0,PVCalcs!G72)</f>
        <v>145836.04830011106</v>
      </c>
      <c r="U72" s="33">
        <f>IF('PV IN'!$F$4="Battery Only",0,PVCalcs!M72)</f>
        <v>145836.04830011106</v>
      </c>
      <c r="V72" s="33">
        <f>PVCalcs!L72</f>
        <v>25811.765833333331</v>
      </c>
      <c r="W72" s="158">
        <f>PVCalcs!F72</f>
        <v>7.6087305280047673E-2</v>
      </c>
      <c r="X72" s="144">
        <f>IF('PV IN'!$F$4="Battery Only",0,PVCalcs!Y72+PVCalcs!Z72)</f>
        <v>1895.8686279014437</v>
      </c>
      <c r="Y72" s="144">
        <f>IF('PV IN'!$F$4="PV Only",0,BattCalcs!AX72+BattCalcs!BC72)</f>
        <v>0</v>
      </c>
      <c r="Z72" s="144">
        <f>IF('PV IN'!$F$4="PV Only",0,BattCalcs!AY72+BattCalcs!BD72)</f>
        <v>0</v>
      </c>
      <c r="AA72" s="144">
        <f>IF('PV IN'!$F$4="PV Only",0,BattCalcs!AZ72+BattCalcs!BE72)</f>
        <v>0</v>
      </c>
      <c r="AB72" s="144">
        <f>IF('PV IN'!$F$4="PV Only",0,BattCalcs!BA72+BattCalcs!BF72)</f>
        <v>0</v>
      </c>
      <c r="AC72" s="144">
        <f>IF('PV IN'!$F$4="PV Only",0,BattCalcs!BB72+BattCalcs!BG72)</f>
        <v>0</v>
      </c>
      <c r="AD72" s="144">
        <f>IF('PV IN'!$F$4="PV Only",0,BattCalcs!BU72)</f>
        <v>0</v>
      </c>
      <c r="AE72" s="144">
        <f>IF('PV IN'!$F$4="PV Only",PVCalcs!W72+PVCalcs!AA72,IF('PV IN'!$F$4="Battery Only",BattCalcs!AV72+BattCalcs!BH72,PVCalcs!W72+PVCalcs!AA72+BattCalcs!AV72+BattCalcs!BH72))</f>
        <v>0</v>
      </c>
      <c r="AF72" s="10">
        <f>PVCalcs!AC72+BattCalcs!BJ72</f>
        <v>0</v>
      </c>
      <c r="AG72" s="144">
        <f>IF('PV IN'!$F$4="Battery Only",0,PVCalcs!AG72)</f>
        <v>-750</v>
      </c>
      <c r="AH72" s="144">
        <f>IF('PV IN'!$F$4="Battery Only",0,PVCalcs!AI72)</f>
        <v>0</v>
      </c>
      <c r="AI72" s="144">
        <f>IF('PV IN'!$F$4="PV Only",0,BattCalcs!BM72)</f>
        <v>0</v>
      </c>
      <c r="AJ72" s="144">
        <f>IF('PV IN'!$F$4="PV Only",0,SUM(BattCalcs!BO72:BT72))</f>
        <v>0</v>
      </c>
      <c r="AK72" s="144">
        <f>IF('PV IN'!$F$4="PV Only",PVCalcs!AH72,IF('PV IN'!$F$4="Battery Only",BattCalcs!BN72,PVCalcs!AH72+BattCalcs!BN72))</f>
        <v>-625</v>
      </c>
      <c r="AL72" s="144">
        <f>IF('PV IN'!$F$4="PV Only",0,BattCalcs!BV72)</f>
        <v>0</v>
      </c>
      <c r="AM72" s="144">
        <f>IF('PV IN'!$F$4="PV Only",0,SUM(BattCalcs!BW72:BX72))</f>
        <v>0</v>
      </c>
      <c r="AN72" s="144">
        <f>IF('PV IN'!$F$4="PV Only",0,BattCalcs!BY72)</f>
        <v>0</v>
      </c>
      <c r="AO72" s="144">
        <f>IF('PV IN'!$F$4="Battery Only",0,PVCalcs!U72)</f>
        <v>11096.271927846328</v>
      </c>
      <c r="AP72" s="10">
        <f>IF('PV IN'!$F$4="PV Only",0,BattCalcs!AS72)</f>
        <v>0</v>
      </c>
      <c r="AQ72" s="10">
        <f>IF('PV IN'!$F$4="PV Only",0,BattCalcs!AT72)</f>
        <v>0</v>
      </c>
      <c r="AR72" s="10">
        <f>IF('PV IN'!$F$4="PV Only",0,BattCalcs!AU72)</f>
        <v>0</v>
      </c>
      <c r="AS72" s="144">
        <f>IF('PV IN'!$F$4="PV Only",PVCalcs!X72,IF('PV IN'!$F$4="Battery Only",BattCalcs!AW72,PVCalcs!X72+BattCalcs!AW72))</f>
        <v>0</v>
      </c>
      <c r="AT72" s="144">
        <f>IF('PV IN'!$F$4="Battery Only",0,-PVCalcs!AQ72*'PV IN'!$E$8)</f>
        <v>0</v>
      </c>
      <c r="AU72" s="144">
        <f>IF('PV IN'!$F$4="PV Only",0,-BattCalcs!CG72*'PV IN'!$E$8)</f>
        <v>0</v>
      </c>
      <c r="AV72" s="144">
        <f>IF('PV IN'!$F$4="PV Only",PVCalcs!Z72+PVCalcs!AA72,IF('PV IN'!$F$4="Battery Only",SUM(BattCalcs!BC72:BH72),PVCalcs!Z72+PVCalcs!AA72+SUM(BattCalcs!BC72:BH72)))</f>
        <v>0</v>
      </c>
      <c r="AW72" s="144">
        <f>IF('PV IN'!$F$4="PV Only",SUM(PVCalcs!AF72:AI72),IF('PV IN'!$F$4="Battery Only",SUM(BattCalcs!BL72:BY72),SUM(PVCalcs!AF72:AI72)+SUM(BattCalcs!BL72:BY72)))</f>
        <v>-1375</v>
      </c>
      <c r="AX72" s="144">
        <f>IF('PV IN'!$F$4="Battery Only",0,-PVLoan!F100)</f>
        <v>0</v>
      </c>
      <c r="AY72" s="144">
        <f>IF('PV IN'!$F$4="PV Only",0,-BattLoan!F100)</f>
        <v>0</v>
      </c>
      <c r="AZ72" s="144">
        <f>IF('PV IN'!$F$4="Battery Only",0,-PVLoan!H100)</f>
        <v>0</v>
      </c>
      <c r="BA72" s="144">
        <f>IF('PV IN'!$F$4="PV Only",0,-BattLoan!H100)</f>
        <v>0</v>
      </c>
    </row>
    <row r="73" spans="1:88" x14ac:dyDescent="0.25">
      <c r="A73">
        <f>IF(C73&lt;='PV IN'!$O$22*12,C73,"")</f>
        <v>69</v>
      </c>
      <c r="C73">
        <v>69</v>
      </c>
      <c r="D73" s="2">
        <f>BattCalcs!CK73+PVCalcs!AT73</f>
        <v>11897.229128710607</v>
      </c>
      <c r="E73" s="20">
        <f>PVCalcs!AV73</f>
        <v>-368162.88181499828</v>
      </c>
      <c r="F73" s="20">
        <f>PVCalcs!AW73</f>
        <v>8986.8471686224439</v>
      </c>
      <c r="G73" s="20">
        <f>PVCalcs!AX73</f>
        <v>-538377.91764272947</v>
      </c>
      <c r="H73" s="20">
        <f>BattCalcs!CM73</f>
        <v>0</v>
      </c>
      <c r="I73" s="20">
        <f>BattCalcs!CN73</f>
        <v>0</v>
      </c>
      <c r="J73" s="20">
        <f>IF(C73&lt;='Batt IN'!H$43*12,BattCalcs!CO73,NA())</f>
        <v>0</v>
      </c>
      <c r="L73" s="20">
        <f t="shared" si="142"/>
        <v>8986.8471686224439</v>
      </c>
      <c r="M73" s="20">
        <f>G73+BattCalcs!CO73</f>
        <v>-538377.91764272947</v>
      </c>
      <c r="O73" s="10">
        <f>PVLoan!G101</f>
        <v>0</v>
      </c>
      <c r="P73" s="10">
        <f>PVLoan!J101</f>
        <v>0</v>
      </c>
      <c r="Q73" s="2">
        <f>BattLoan!G101</f>
        <v>0</v>
      </c>
      <c r="R73" s="10">
        <f>BattLoan!J101</f>
        <v>0</v>
      </c>
      <c r="T73" s="33">
        <f>IF('PV IN'!$F$4="Battery Only",0,PVCalcs!G73)</f>
        <v>145738.824267911</v>
      </c>
      <c r="U73" s="33">
        <f>IF('PV IN'!$F$4="Battery Only",0,PVCalcs!M73)</f>
        <v>145738.824267911</v>
      </c>
      <c r="V73" s="33">
        <f>PVCalcs!L73</f>
        <v>25811.765833333331</v>
      </c>
      <c r="W73" s="158">
        <f>PVCalcs!F73</f>
        <v>7.6087305280047673E-2</v>
      </c>
      <c r="X73" s="144">
        <f>IF('PV IN'!$F$4="Battery Only",0,PVCalcs!Y73+PVCalcs!Z73)</f>
        <v>1894.6047154828429</v>
      </c>
      <c r="Y73" s="144">
        <f>IF('PV IN'!$F$4="PV Only",0,BattCalcs!AX73+BattCalcs!BC73)</f>
        <v>0</v>
      </c>
      <c r="Z73" s="144">
        <f>IF('PV IN'!$F$4="PV Only",0,BattCalcs!AY73+BattCalcs!BD73)</f>
        <v>0</v>
      </c>
      <c r="AA73" s="144">
        <f>IF('PV IN'!$F$4="PV Only",0,BattCalcs!AZ73+BattCalcs!BE73)</f>
        <v>0</v>
      </c>
      <c r="AB73" s="144">
        <f>IF('PV IN'!$F$4="PV Only",0,BattCalcs!BA73+BattCalcs!BF73)</f>
        <v>0</v>
      </c>
      <c r="AC73" s="144">
        <f>IF('PV IN'!$F$4="PV Only",0,BattCalcs!BB73+BattCalcs!BG73)</f>
        <v>0</v>
      </c>
      <c r="AD73" s="144">
        <f>IF('PV IN'!$F$4="PV Only",0,BattCalcs!BU73)</f>
        <v>0</v>
      </c>
      <c r="AE73" s="144">
        <f>IF('PV IN'!$F$4="PV Only",PVCalcs!W73+PVCalcs!AA73,IF('PV IN'!$F$4="Battery Only",BattCalcs!AV73+BattCalcs!BH73,PVCalcs!W73+PVCalcs!AA73+BattCalcs!AV73+BattCalcs!BH73))</f>
        <v>0</v>
      </c>
      <c r="AF73" s="10">
        <f>PVCalcs!AC73+BattCalcs!BJ73</f>
        <v>0</v>
      </c>
      <c r="AG73" s="144">
        <f>IF('PV IN'!$F$4="Battery Only",0,PVCalcs!AG73)</f>
        <v>-750</v>
      </c>
      <c r="AH73" s="144">
        <f>IF('PV IN'!$F$4="Battery Only",0,PVCalcs!AI73)</f>
        <v>0</v>
      </c>
      <c r="AI73" s="144">
        <f>IF('PV IN'!$F$4="PV Only",0,BattCalcs!BM73)</f>
        <v>0</v>
      </c>
      <c r="AJ73" s="144">
        <f>IF('PV IN'!$F$4="PV Only",0,SUM(BattCalcs!BO73:BT73))</f>
        <v>0</v>
      </c>
      <c r="AK73" s="144">
        <f>IF('PV IN'!$F$4="PV Only",PVCalcs!AH73,IF('PV IN'!$F$4="Battery Only",BattCalcs!BN73,PVCalcs!AH73+BattCalcs!BN73))</f>
        <v>-625</v>
      </c>
      <c r="AL73" s="144">
        <f>IF('PV IN'!$F$4="PV Only",0,BattCalcs!BV73)</f>
        <v>0</v>
      </c>
      <c r="AM73" s="144">
        <f>IF('PV IN'!$F$4="PV Only",0,SUM(BattCalcs!BW73:BX73))</f>
        <v>0</v>
      </c>
      <c r="AN73" s="144">
        <f>IF('PV IN'!$F$4="PV Only",0,BattCalcs!BY73)</f>
        <v>0</v>
      </c>
      <c r="AO73" s="144">
        <f>IF('PV IN'!$F$4="Battery Only",0,PVCalcs!U73)</f>
        <v>11088.874413227764</v>
      </c>
      <c r="AP73" s="10">
        <f>IF('PV IN'!$F$4="PV Only",0,BattCalcs!AS73)</f>
        <v>0</v>
      </c>
      <c r="AQ73" s="10">
        <f>IF('PV IN'!$F$4="PV Only",0,BattCalcs!AT73)</f>
        <v>0</v>
      </c>
      <c r="AR73" s="10">
        <f>IF('PV IN'!$F$4="PV Only",0,BattCalcs!AU73)</f>
        <v>0</v>
      </c>
      <c r="AS73" s="144">
        <f>IF('PV IN'!$F$4="PV Only",PVCalcs!X73,IF('PV IN'!$F$4="Battery Only",BattCalcs!AW73,PVCalcs!X73+BattCalcs!AW73))</f>
        <v>0</v>
      </c>
      <c r="AT73" s="144">
        <f>IF('PV IN'!$F$4="Battery Only",0,-PVCalcs!AQ73*'PV IN'!$E$8)</f>
        <v>0</v>
      </c>
      <c r="AU73" s="144">
        <f>IF('PV IN'!$F$4="PV Only",0,-BattCalcs!CG73*'PV IN'!$E$8)</f>
        <v>0</v>
      </c>
      <c r="AV73" s="144">
        <f>IF('PV IN'!$F$4="PV Only",PVCalcs!Z73+PVCalcs!AA73,IF('PV IN'!$F$4="Battery Only",SUM(BattCalcs!BC73:BH73),PVCalcs!Z73+PVCalcs!AA73+SUM(BattCalcs!BC73:BH73)))</f>
        <v>0</v>
      </c>
      <c r="AW73" s="144">
        <f>IF('PV IN'!$F$4="PV Only",SUM(PVCalcs!AF73:AI73),IF('PV IN'!$F$4="Battery Only",SUM(BattCalcs!BL73:BY73),SUM(PVCalcs!AF73:AI73)+SUM(BattCalcs!BL73:BY73)))</f>
        <v>-1375</v>
      </c>
      <c r="AX73" s="144">
        <f>IF('PV IN'!$F$4="Battery Only",0,-PVLoan!F101)</f>
        <v>0</v>
      </c>
      <c r="AY73" s="144">
        <f>IF('PV IN'!$F$4="PV Only",0,-BattLoan!F101)</f>
        <v>0</v>
      </c>
      <c r="AZ73" s="144">
        <f>IF('PV IN'!$F$4="Battery Only",0,-PVLoan!H101)</f>
        <v>0</v>
      </c>
      <c r="BA73" s="144">
        <f>IF('PV IN'!$F$4="PV Only",0,-BattLoan!H101)</f>
        <v>0</v>
      </c>
    </row>
    <row r="74" spans="1:88" x14ac:dyDescent="0.25">
      <c r="A74">
        <f>IF(C74&lt;='PV IN'!$O$22*12,C74,"")</f>
        <v>70</v>
      </c>
      <c r="C74">
        <v>70</v>
      </c>
      <c r="D74" s="2">
        <f>BattCalcs!CK74+PVCalcs!AT74</f>
        <v>11888.573475958134</v>
      </c>
      <c r="E74" s="20">
        <f>PVCalcs!AV74</f>
        <v>-356274.30833904014</v>
      </c>
      <c r="F74" s="20">
        <f>PVCalcs!AW74</f>
        <v>8943.8704856737313</v>
      </c>
      <c r="G74" s="20">
        <f>PVCalcs!AX74</f>
        <v>-529434.0471570557</v>
      </c>
      <c r="H74" s="20">
        <f>BattCalcs!CM74</f>
        <v>0</v>
      </c>
      <c r="I74" s="20">
        <f>BattCalcs!CN74</f>
        <v>0</v>
      </c>
      <c r="J74" s="20">
        <f>IF(C74&lt;='Batt IN'!H$43*12,BattCalcs!CO74,NA())</f>
        <v>0</v>
      </c>
      <c r="L74" s="20">
        <f t="shared" si="142"/>
        <v>8943.8704856737313</v>
      </c>
      <c r="M74" s="20">
        <f>G74+BattCalcs!CO74</f>
        <v>-529434.0471570557</v>
      </c>
      <c r="O74" s="10">
        <f>PVLoan!G102</f>
        <v>0</v>
      </c>
      <c r="P74" s="10">
        <f>PVLoan!J102</f>
        <v>0</v>
      </c>
      <c r="Q74" s="2">
        <f>BattLoan!G102</f>
        <v>0</v>
      </c>
      <c r="R74" s="10">
        <f>BattLoan!J102</f>
        <v>0</v>
      </c>
      <c r="T74" s="33">
        <f>IF('PV IN'!$F$4="Battery Only",0,PVCalcs!G74)</f>
        <v>145641.66505173239</v>
      </c>
      <c r="U74" s="33">
        <f>IF('PV IN'!$F$4="Battery Only",0,PVCalcs!M74)</f>
        <v>145641.66505173239</v>
      </c>
      <c r="V74" s="33">
        <f>PVCalcs!L74</f>
        <v>25811.765833333331</v>
      </c>
      <c r="W74" s="158">
        <f>PVCalcs!F74</f>
        <v>7.6087305280047673E-2</v>
      </c>
      <c r="X74" s="144">
        <f>IF('PV IN'!$F$4="Battery Only",0,PVCalcs!Y74+PVCalcs!Z74)</f>
        <v>1893.3416456725211</v>
      </c>
      <c r="Y74" s="144">
        <f>IF('PV IN'!$F$4="PV Only",0,BattCalcs!AX74+BattCalcs!BC74)</f>
        <v>0</v>
      </c>
      <c r="Z74" s="144">
        <f>IF('PV IN'!$F$4="PV Only",0,BattCalcs!AY74+BattCalcs!BD74)</f>
        <v>0</v>
      </c>
      <c r="AA74" s="144">
        <f>IF('PV IN'!$F$4="PV Only",0,BattCalcs!AZ74+BattCalcs!BE74)</f>
        <v>0</v>
      </c>
      <c r="AB74" s="144">
        <f>IF('PV IN'!$F$4="PV Only",0,BattCalcs!BA74+BattCalcs!BF74)</f>
        <v>0</v>
      </c>
      <c r="AC74" s="144">
        <f>IF('PV IN'!$F$4="PV Only",0,BattCalcs!BB74+BattCalcs!BG74)</f>
        <v>0</v>
      </c>
      <c r="AD74" s="144">
        <f>IF('PV IN'!$F$4="PV Only",0,BattCalcs!BU74)</f>
        <v>0</v>
      </c>
      <c r="AE74" s="144">
        <f>IF('PV IN'!$F$4="PV Only",PVCalcs!W74+PVCalcs!AA74,IF('PV IN'!$F$4="Battery Only",BattCalcs!AV74+BattCalcs!BH74,PVCalcs!W74+PVCalcs!AA74+BattCalcs!AV74+BattCalcs!BH74))</f>
        <v>0</v>
      </c>
      <c r="AF74" s="10">
        <f>PVCalcs!AC74+BattCalcs!BJ74</f>
        <v>0</v>
      </c>
      <c r="AG74" s="144">
        <f>IF('PV IN'!$F$4="Battery Only",0,PVCalcs!AG74)</f>
        <v>-750</v>
      </c>
      <c r="AH74" s="144">
        <f>IF('PV IN'!$F$4="Battery Only",0,PVCalcs!AI74)</f>
        <v>0</v>
      </c>
      <c r="AI74" s="144">
        <f>IF('PV IN'!$F$4="PV Only",0,BattCalcs!BM74)</f>
        <v>0</v>
      </c>
      <c r="AJ74" s="144">
        <f>IF('PV IN'!$F$4="PV Only",0,SUM(BattCalcs!BO74:BT74))</f>
        <v>0</v>
      </c>
      <c r="AK74" s="144">
        <f>IF('PV IN'!$F$4="PV Only",PVCalcs!AH74,IF('PV IN'!$F$4="Battery Only",BattCalcs!BN74,PVCalcs!AH74+BattCalcs!BN74))</f>
        <v>-625</v>
      </c>
      <c r="AL74" s="144">
        <f>IF('PV IN'!$F$4="PV Only",0,BattCalcs!BV74)</f>
        <v>0</v>
      </c>
      <c r="AM74" s="144">
        <f>IF('PV IN'!$F$4="PV Only",0,SUM(BattCalcs!BW74:BX74))</f>
        <v>0</v>
      </c>
      <c r="AN74" s="144">
        <f>IF('PV IN'!$F$4="PV Only",0,BattCalcs!BY74)</f>
        <v>0</v>
      </c>
      <c r="AO74" s="144">
        <f>IF('PV IN'!$F$4="Battery Only",0,PVCalcs!U74)</f>
        <v>11081.481830285613</v>
      </c>
      <c r="AP74" s="10">
        <f>IF('PV IN'!$F$4="PV Only",0,BattCalcs!AS74)</f>
        <v>0</v>
      </c>
      <c r="AQ74" s="10">
        <f>IF('PV IN'!$F$4="PV Only",0,BattCalcs!AT74)</f>
        <v>0</v>
      </c>
      <c r="AR74" s="10">
        <f>IF('PV IN'!$F$4="PV Only",0,BattCalcs!AU74)</f>
        <v>0</v>
      </c>
      <c r="AS74" s="144">
        <f>IF('PV IN'!$F$4="PV Only",PVCalcs!X74,IF('PV IN'!$F$4="Battery Only",BattCalcs!AW74,PVCalcs!X74+BattCalcs!AW74))</f>
        <v>0</v>
      </c>
      <c r="AT74" s="144">
        <f>IF('PV IN'!$F$4="Battery Only",0,-PVCalcs!AQ74*'PV IN'!$E$8)</f>
        <v>0</v>
      </c>
      <c r="AU74" s="144">
        <f>IF('PV IN'!$F$4="PV Only",0,-BattCalcs!CG74*'PV IN'!$E$8)</f>
        <v>0</v>
      </c>
      <c r="AV74" s="144">
        <f>IF('PV IN'!$F$4="PV Only",PVCalcs!Z74+PVCalcs!AA74,IF('PV IN'!$F$4="Battery Only",SUM(BattCalcs!BC74:BH74),PVCalcs!Z74+PVCalcs!AA74+SUM(BattCalcs!BC74:BH74)))</f>
        <v>0</v>
      </c>
      <c r="AW74" s="144">
        <f>IF('PV IN'!$F$4="PV Only",SUM(PVCalcs!AF74:AI74),IF('PV IN'!$F$4="Battery Only",SUM(BattCalcs!BL74:BY74),SUM(PVCalcs!AF74:AI74)+SUM(BattCalcs!BL74:BY74)))</f>
        <v>-1375</v>
      </c>
      <c r="AX74" s="144">
        <f>IF('PV IN'!$F$4="Battery Only",0,-PVLoan!F102)</f>
        <v>0</v>
      </c>
      <c r="AY74" s="144">
        <f>IF('PV IN'!$F$4="PV Only",0,-BattLoan!F102)</f>
        <v>0</v>
      </c>
      <c r="AZ74" s="144">
        <f>IF('PV IN'!$F$4="Battery Only",0,-PVLoan!H102)</f>
        <v>0</v>
      </c>
      <c r="BA74" s="144">
        <f>IF('PV IN'!$F$4="PV Only",0,-BattLoan!H102)</f>
        <v>0</v>
      </c>
    </row>
    <row r="75" spans="1:88" x14ac:dyDescent="0.25">
      <c r="A75">
        <f>IF(C75&lt;='PV IN'!$O$22*12,C75,"")</f>
        <v>71</v>
      </c>
      <c r="C75">
        <v>71</v>
      </c>
      <c r="D75" s="2">
        <f>BattCalcs!CK75+PVCalcs!AT75</f>
        <v>11879.923593640826</v>
      </c>
      <c r="E75" s="20">
        <f>PVCalcs!AV75</f>
        <v>-344394.38474539929</v>
      </c>
      <c r="F75" s="20">
        <f>PVCalcs!AW75</f>
        <v>8901.0989300273668</v>
      </c>
      <c r="G75" s="20">
        <f>PVCalcs!AX75</f>
        <v>-520532.9482270283</v>
      </c>
      <c r="H75" s="20">
        <f>BattCalcs!CM75</f>
        <v>0</v>
      </c>
      <c r="I75" s="20">
        <f>BattCalcs!CN75</f>
        <v>0</v>
      </c>
      <c r="J75" s="20">
        <f>IF(C75&lt;='Batt IN'!H$43*12,BattCalcs!CO75,NA())</f>
        <v>0</v>
      </c>
      <c r="L75" s="20">
        <f t="shared" si="142"/>
        <v>8901.0989300273668</v>
      </c>
      <c r="M75" s="20">
        <f>G75+BattCalcs!CO75</f>
        <v>-520532.9482270283</v>
      </c>
      <c r="O75" s="10">
        <f>PVLoan!G103</f>
        <v>0</v>
      </c>
      <c r="P75" s="10">
        <f>PVLoan!J103</f>
        <v>0</v>
      </c>
      <c r="Q75" s="2">
        <f>BattLoan!G103</f>
        <v>0</v>
      </c>
      <c r="R75" s="10">
        <f>BattLoan!J103</f>
        <v>0</v>
      </c>
      <c r="T75" s="33">
        <f>IF('PV IN'!$F$4="Battery Only",0,PVCalcs!G75)</f>
        <v>145544.57060836453</v>
      </c>
      <c r="U75" s="33">
        <f>IF('PV IN'!$F$4="Battery Only",0,PVCalcs!M75)</f>
        <v>145544.57060836453</v>
      </c>
      <c r="V75" s="33">
        <f>PVCalcs!L75</f>
        <v>25811.765833333331</v>
      </c>
      <c r="W75" s="158">
        <f>PVCalcs!F75</f>
        <v>7.6087305280047673E-2</v>
      </c>
      <c r="X75" s="144">
        <f>IF('PV IN'!$F$4="Battery Only",0,PVCalcs!Y75+PVCalcs!Z75)</f>
        <v>1892.0794179087388</v>
      </c>
      <c r="Y75" s="144">
        <f>IF('PV IN'!$F$4="PV Only",0,BattCalcs!AX75+BattCalcs!BC75)</f>
        <v>0</v>
      </c>
      <c r="Z75" s="144">
        <f>IF('PV IN'!$F$4="PV Only",0,BattCalcs!AY75+BattCalcs!BD75)</f>
        <v>0</v>
      </c>
      <c r="AA75" s="144">
        <f>IF('PV IN'!$F$4="PV Only",0,BattCalcs!AZ75+BattCalcs!BE75)</f>
        <v>0</v>
      </c>
      <c r="AB75" s="144">
        <f>IF('PV IN'!$F$4="PV Only",0,BattCalcs!BA75+BattCalcs!BF75)</f>
        <v>0</v>
      </c>
      <c r="AC75" s="144">
        <f>IF('PV IN'!$F$4="PV Only",0,BattCalcs!BB75+BattCalcs!BG75)</f>
        <v>0</v>
      </c>
      <c r="AD75" s="144">
        <f>IF('PV IN'!$F$4="PV Only",0,BattCalcs!BU75)</f>
        <v>0</v>
      </c>
      <c r="AE75" s="144">
        <f>IF('PV IN'!$F$4="PV Only",PVCalcs!W75+PVCalcs!AA75,IF('PV IN'!$F$4="Battery Only",BattCalcs!AV75+BattCalcs!BH75,PVCalcs!W75+PVCalcs!AA75+BattCalcs!AV75+BattCalcs!BH75))</f>
        <v>0</v>
      </c>
      <c r="AF75" s="10">
        <f>PVCalcs!AC75+BattCalcs!BJ75</f>
        <v>0</v>
      </c>
      <c r="AG75" s="144">
        <f>IF('PV IN'!$F$4="Battery Only",0,PVCalcs!AG75)</f>
        <v>-750</v>
      </c>
      <c r="AH75" s="144">
        <f>IF('PV IN'!$F$4="Battery Only",0,PVCalcs!AI75)</f>
        <v>0</v>
      </c>
      <c r="AI75" s="144">
        <f>IF('PV IN'!$F$4="PV Only",0,BattCalcs!BM75)</f>
        <v>0</v>
      </c>
      <c r="AJ75" s="144">
        <f>IF('PV IN'!$F$4="PV Only",0,SUM(BattCalcs!BO75:BT75))</f>
        <v>0</v>
      </c>
      <c r="AK75" s="144">
        <f>IF('PV IN'!$F$4="PV Only",PVCalcs!AH75,IF('PV IN'!$F$4="Battery Only",BattCalcs!BN75,PVCalcs!AH75+BattCalcs!BN75))</f>
        <v>-625</v>
      </c>
      <c r="AL75" s="144">
        <f>IF('PV IN'!$F$4="PV Only",0,BattCalcs!BV75)</f>
        <v>0</v>
      </c>
      <c r="AM75" s="144">
        <f>IF('PV IN'!$F$4="PV Only",0,SUM(BattCalcs!BW75:BX75))</f>
        <v>0</v>
      </c>
      <c r="AN75" s="144">
        <f>IF('PV IN'!$F$4="PV Only",0,BattCalcs!BY75)</f>
        <v>0</v>
      </c>
      <c r="AO75" s="144">
        <f>IF('PV IN'!$F$4="Battery Only",0,PVCalcs!U75)</f>
        <v>11074.094175732087</v>
      </c>
      <c r="AP75" s="10">
        <f>IF('PV IN'!$F$4="PV Only",0,BattCalcs!AS75)</f>
        <v>0</v>
      </c>
      <c r="AQ75" s="10">
        <f>IF('PV IN'!$F$4="PV Only",0,BattCalcs!AT75)</f>
        <v>0</v>
      </c>
      <c r="AR75" s="10">
        <f>IF('PV IN'!$F$4="PV Only",0,BattCalcs!AU75)</f>
        <v>0</v>
      </c>
      <c r="AS75" s="144">
        <f>IF('PV IN'!$F$4="PV Only",PVCalcs!X75,IF('PV IN'!$F$4="Battery Only",BattCalcs!AW75,PVCalcs!X75+BattCalcs!AW75))</f>
        <v>0</v>
      </c>
      <c r="AT75" s="144">
        <f>IF('PV IN'!$F$4="Battery Only",0,-PVCalcs!AQ75*'PV IN'!$E$8)</f>
        <v>0</v>
      </c>
      <c r="AU75" s="144">
        <f>IF('PV IN'!$F$4="PV Only",0,-BattCalcs!CG75*'PV IN'!$E$8)</f>
        <v>0</v>
      </c>
      <c r="AV75" s="144">
        <f>IF('PV IN'!$F$4="PV Only",PVCalcs!Z75+PVCalcs!AA75,IF('PV IN'!$F$4="Battery Only",SUM(BattCalcs!BC75:BH75),PVCalcs!Z75+PVCalcs!AA75+SUM(BattCalcs!BC75:BH75)))</f>
        <v>0</v>
      </c>
      <c r="AW75" s="144">
        <f>IF('PV IN'!$F$4="PV Only",SUM(PVCalcs!AF75:AI75),IF('PV IN'!$F$4="Battery Only",SUM(BattCalcs!BL75:BY75),SUM(PVCalcs!AF75:AI75)+SUM(BattCalcs!BL75:BY75)))</f>
        <v>-1375</v>
      </c>
      <c r="AX75" s="144">
        <f>IF('PV IN'!$F$4="Battery Only",0,-PVLoan!F103)</f>
        <v>0</v>
      </c>
      <c r="AY75" s="144">
        <f>IF('PV IN'!$F$4="PV Only",0,-BattLoan!F103)</f>
        <v>0</v>
      </c>
      <c r="AZ75" s="144">
        <f>IF('PV IN'!$F$4="Battery Only",0,-PVLoan!H103)</f>
        <v>0</v>
      </c>
      <c r="BA75" s="144">
        <f>IF('PV IN'!$F$4="PV Only",0,-BattLoan!H103)</f>
        <v>0</v>
      </c>
    </row>
    <row r="76" spans="1:88" x14ac:dyDescent="0.25">
      <c r="A76">
        <f>IF(C76&lt;='PV IN'!$O$22*12,C76,"")</f>
        <v>72</v>
      </c>
      <c r="B76">
        <f>B64+1</f>
        <v>2031</v>
      </c>
      <c r="C76">
        <v>72</v>
      </c>
      <c r="D76" s="2">
        <f>BattCalcs!CK76+PVCalcs!AT76</f>
        <v>11871.279477911734</v>
      </c>
      <c r="E76" s="20">
        <f>PVCalcs!AV76</f>
        <v>-332523.10526748758</v>
      </c>
      <c r="F76" s="20">
        <f>PVCalcs!AW76</f>
        <v>8858.5315241941043</v>
      </c>
      <c r="G76" s="20">
        <f>PVCalcs!AX76</f>
        <v>-511674.41670283419</v>
      </c>
      <c r="H76" s="20">
        <f>BattCalcs!CM76</f>
        <v>0</v>
      </c>
      <c r="I76" s="20">
        <f>BattCalcs!CN76</f>
        <v>0</v>
      </c>
      <c r="J76" s="20">
        <f>IF(C76&lt;='Batt IN'!H$43*12,BattCalcs!CO76,NA())</f>
        <v>0</v>
      </c>
      <c r="L76" s="20">
        <f t="shared" si="142"/>
        <v>8858.5315241941043</v>
      </c>
      <c r="M76" s="20">
        <f>G76+BattCalcs!CO76</f>
        <v>-511674.41670283419</v>
      </c>
      <c r="O76" s="10">
        <f>PVLoan!G104</f>
        <v>0</v>
      </c>
      <c r="P76" s="10">
        <f>PVLoan!J104</f>
        <v>0</v>
      </c>
      <c r="Q76" s="2">
        <f>BattLoan!G104</f>
        <v>0</v>
      </c>
      <c r="R76" s="10">
        <f>BattLoan!J104</f>
        <v>0</v>
      </c>
      <c r="T76" s="33">
        <f>IF('PV IN'!$F$4="Battery Only",0,PVCalcs!G76)</f>
        <v>145447.54089462565</v>
      </c>
      <c r="U76" s="33">
        <f>IF('PV IN'!$F$4="Battery Only",0,PVCalcs!M76)</f>
        <v>145447.54089462565</v>
      </c>
      <c r="V76" s="33">
        <f>PVCalcs!L76</f>
        <v>25811.765833333331</v>
      </c>
      <c r="W76" s="158">
        <f>PVCalcs!F76</f>
        <v>7.6087305280047673E-2</v>
      </c>
      <c r="X76" s="144">
        <f>IF('PV IN'!$F$4="Battery Only",0,PVCalcs!Y76+PVCalcs!Z76)</f>
        <v>1890.8180316301334</v>
      </c>
      <c r="Y76" s="144">
        <f>IF('PV IN'!$F$4="PV Only",0,BattCalcs!AX76+BattCalcs!BC76)</f>
        <v>0</v>
      </c>
      <c r="Z76" s="144">
        <f>IF('PV IN'!$F$4="PV Only",0,BattCalcs!AY76+BattCalcs!BD76)</f>
        <v>0</v>
      </c>
      <c r="AA76" s="144">
        <f>IF('PV IN'!$F$4="PV Only",0,BattCalcs!AZ76+BattCalcs!BE76)</f>
        <v>0</v>
      </c>
      <c r="AB76" s="144">
        <f>IF('PV IN'!$F$4="PV Only",0,BattCalcs!BA76+BattCalcs!BF76)</f>
        <v>0</v>
      </c>
      <c r="AC76" s="144">
        <f>IF('PV IN'!$F$4="PV Only",0,BattCalcs!BB76+BattCalcs!BG76)</f>
        <v>0</v>
      </c>
      <c r="AD76" s="144">
        <f>IF('PV IN'!$F$4="PV Only",0,BattCalcs!BU76)</f>
        <v>0</v>
      </c>
      <c r="AE76" s="144">
        <f>IF('PV IN'!$F$4="PV Only",PVCalcs!W76+PVCalcs!AA76,IF('PV IN'!$F$4="Battery Only",BattCalcs!AV76+BattCalcs!BH76,PVCalcs!W76+PVCalcs!AA76+BattCalcs!AV76+BattCalcs!BH76))</f>
        <v>0</v>
      </c>
      <c r="AF76" s="10">
        <f>PVCalcs!AC76+BattCalcs!BJ76</f>
        <v>0</v>
      </c>
      <c r="AG76" s="144">
        <f>IF('PV IN'!$F$4="Battery Only",0,PVCalcs!AG76)</f>
        <v>-750</v>
      </c>
      <c r="AH76" s="144">
        <f>IF('PV IN'!$F$4="Battery Only",0,PVCalcs!AI76)</f>
        <v>0</v>
      </c>
      <c r="AI76" s="144">
        <f>IF('PV IN'!$F$4="PV Only",0,BattCalcs!BM76)</f>
        <v>0</v>
      </c>
      <c r="AJ76" s="144">
        <f>IF('PV IN'!$F$4="PV Only",0,SUM(BattCalcs!BO76:BT76))</f>
        <v>0</v>
      </c>
      <c r="AK76" s="144">
        <f>IF('PV IN'!$F$4="PV Only",PVCalcs!AH76,IF('PV IN'!$F$4="Battery Only",BattCalcs!BN76,PVCalcs!AH76+BattCalcs!BN76))</f>
        <v>-625</v>
      </c>
      <c r="AL76" s="144">
        <f>IF('PV IN'!$F$4="PV Only",0,BattCalcs!BV76)</f>
        <v>0</v>
      </c>
      <c r="AM76" s="144">
        <f>IF('PV IN'!$F$4="PV Only",0,SUM(BattCalcs!BW76:BX76))</f>
        <v>0</v>
      </c>
      <c r="AN76" s="144">
        <f>IF('PV IN'!$F$4="PV Only",0,BattCalcs!BY76)</f>
        <v>0</v>
      </c>
      <c r="AO76" s="144">
        <f>IF('PV IN'!$F$4="Battery Only",0,PVCalcs!U76)</f>
        <v>11066.711446281601</v>
      </c>
      <c r="AP76" s="10">
        <f>IF('PV IN'!$F$4="PV Only",0,BattCalcs!AS76)</f>
        <v>0</v>
      </c>
      <c r="AQ76" s="10">
        <f>IF('PV IN'!$F$4="PV Only",0,BattCalcs!AT76)</f>
        <v>0</v>
      </c>
      <c r="AR76" s="10">
        <f>IF('PV IN'!$F$4="PV Only",0,BattCalcs!AU76)</f>
        <v>0</v>
      </c>
      <c r="AS76" s="144">
        <f>IF('PV IN'!$F$4="PV Only",PVCalcs!X76,IF('PV IN'!$F$4="Battery Only",BattCalcs!AW76,PVCalcs!X76+BattCalcs!AW76))</f>
        <v>0</v>
      </c>
      <c r="AT76" s="144">
        <f>IF('PV IN'!$F$4="Battery Only",0,-PVCalcs!AQ76*'PV IN'!$E$8)</f>
        <v>0</v>
      </c>
      <c r="AU76" s="144">
        <f>IF('PV IN'!$F$4="PV Only",0,-BattCalcs!CG76*'PV IN'!$E$8)</f>
        <v>0</v>
      </c>
      <c r="AV76" s="144">
        <f>IF('PV IN'!$F$4="PV Only",PVCalcs!Z76+PVCalcs!AA76,IF('PV IN'!$F$4="Battery Only",SUM(BattCalcs!BC76:BH76),PVCalcs!Z76+PVCalcs!AA76+SUM(BattCalcs!BC76:BH76)))</f>
        <v>0</v>
      </c>
      <c r="AW76" s="144">
        <f>IF('PV IN'!$F$4="PV Only",SUM(PVCalcs!AF76:AI76),IF('PV IN'!$F$4="Battery Only",SUM(BattCalcs!BL76:BY76),SUM(PVCalcs!AF76:AI76)+SUM(BattCalcs!BL76:BY76)))</f>
        <v>-1375</v>
      </c>
      <c r="AX76" s="144">
        <f>IF('PV IN'!$F$4="Battery Only",0,-PVLoan!F104)</f>
        <v>0</v>
      </c>
      <c r="AY76" s="144">
        <f>IF('PV IN'!$F$4="PV Only",0,-BattLoan!F104)</f>
        <v>0</v>
      </c>
      <c r="AZ76" s="144">
        <f>IF('PV IN'!$F$4="Battery Only",0,-PVLoan!H104)</f>
        <v>0</v>
      </c>
      <c r="BA76" s="144">
        <f>IF('PV IN'!$F$4="PV Only",0,-BattLoan!H104)</f>
        <v>0</v>
      </c>
      <c r="BC76" s="33">
        <f t="shared" ref="BC76" si="143">SUM(T65:T76)</f>
        <v>1751788.713758497</v>
      </c>
      <c r="BD76" s="33">
        <f t="shared" ref="BD76" si="144">SUM(U65:U76)</f>
        <v>1751788.713758497</v>
      </c>
      <c r="BE76" s="33">
        <f t="shared" ref="BE76" si="145">SUM(V65:V76)</f>
        <v>309741.19</v>
      </c>
      <c r="BF76" s="50">
        <f t="shared" ref="BF76" si="146">W76</f>
        <v>7.6087305280047673E-2</v>
      </c>
      <c r="BG76" s="2">
        <f t="shared" ref="BG76" si="147">SUM(X65:X76)</f>
        <v>22773.253278860462</v>
      </c>
      <c r="BH76" s="2">
        <f t="shared" ref="BH76" si="148">SUM(Y65:Y76)</f>
        <v>0</v>
      </c>
      <c r="BI76" s="2">
        <f t="shared" ref="BI76" si="149">SUM(Z65:Z76)</f>
        <v>0</v>
      </c>
      <c r="BJ76" s="2">
        <f t="shared" ref="BJ76" si="150">SUM(AA65:AA76)</f>
        <v>0</v>
      </c>
      <c r="BK76" s="2">
        <f t="shared" ref="BK76" si="151">SUM(AB65:AB76)</f>
        <v>0</v>
      </c>
      <c r="BL76" s="2">
        <f t="shared" ref="BL76" si="152">SUM(AC65:AC76)</f>
        <v>0</v>
      </c>
      <c r="BM76" s="2">
        <f t="shared" ref="BM76" si="153">SUM(AD65:AD76)</f>
        <v>0</v>
      </c>
      <c r="BN76" s="2">
        <f t="shared" ref="BN76" si="154">SUM(AE65:AE76)</f>
        <v>0</v>
      </c>
      <c r="BO76" s="2">
        <f t="shared" ref="BO76" si="155">SUM(AF65:AF76)</f>
        <v>0</v>
      </c>
      <c r="BP76" s="2">
        <f t="shared" ref="BP76" si="156">SUM(AG65:AG76)</f>
        <v>-9000</v>
      </c>
      <c r="BQ76" s="2">
        <f t="shared" ref="BQ76" si="157">SUM(AH65:AH76)</f>
        <v>0</v>
      </c>
      <c r="BR76" s="2">
        <f t="shared" ref="BR76" si="158">SUM(AI65:AI76)</f>
        <v>0</v>
      </c>
      <c r="BS76" s="2">
        <f t="shared" ref="BS76" si="159">SUM(AJ65:AJ76)</f>
        <v>0</v>
      </c>
      <c r="BT76" s="2">
        <f t="shared" ref="BT76" si="160">SUM(AK65:AK76)</f>
        <v>-7500</v>
      </c>
      <c r="BU76" s="2">
        <f t="shared" ref="BU76" si="161">SUM(AL65:AL76)</f>
        <v>0</v>
      </c>
      <c r="BV76" s="2">
        <f t="shared" ref="BV76" si="162">SUM(AM65:AM76)</f>
        <v>0</v>
      </c>
      <c r="BW76" s="2">
        <f t="shared" ref="BW76" si="163">SUM(AN65:AN76)</f>
        <v>0</v>
      </c>
      <c r="BX76" s="2">
        <f t="shared" ref="BX76" si="164">SUM(AO65:AO76)</f>
        <v>133288.88264988482</v>
      </c>
      <c r="BY76" s="2">
        <f t="shared" ref="BY76" si="165">SUM(AP65:AP76)</f>
        <v>0</v>
      </c>
      <c r="BZ76" s="2">
        <f t="shared" ref="BZ76" si="166">SUM(AQ65:AQ76)</f>
        <v>0</v>
      </c>
      <c r="CA76" s="2">
        <f t="shared" ref="CA76" si="167">SUM(AR65:AR76)</f>
        <v>0</v>
      </c>
      <c r="CB76" s="2">
        <f t="shared" ref="CB76" si="168">SUM(AS65:AS76)</f>
        <v>0</v>
      </c>
      <c r="CC76" s="2">
        <f t="shared" ref="CC76" si="169">SUM(AT65:AT76)</f>
        <v>0</v>
      </c>
      <c r="CD76" s="2">
        <f t="shared" ref="CD76" si="170">SUM(AU65:AU76)</f>
        <v>0</v>
      </c>
      <c r="CE76" s="2">
        <f t="shared" ref="CE76" si="171">SUM(AV65:AV76)</f>
        <v>0</v>
      </c>
      <c r="CF76" s="2">
        <f t="shared" ref="CF76" si="172">SUM(AW65:AW76)</f>
        <v>-16500</v>
      </c>
      <c r="CG76" s="2">
        <f t="shared" ref="CG76" si="173">SUM(AX65:AX76)</f>
        <v>0</v>
      </c>
      <c r="CH76" s="2">
        <f t="shared" ref="CH76" si="174">SUM(AY65:AY76)</f>
        <v>0</v>
      </c>
      <c r="CI76" s="2">
        <f t="shared" ref="CI76" si="175">SUM(AZ65:AZ76)</f>
        <v>0</v>
      </c>
      <c r="CJ76" s="2">
        <f t="shared" ref="CJ76" si="176">SUM(BA65:BA76)</f>
        <v>0</v>
      </c>
    </row>
    <row r="77" spans="1:88" x14ac:dyDescent="0.25">
      <c r="A77">
        <f>IF(C77&lt;='PV IN'!$O$22*12,C77,"")</f>
        <v>73</v>
      </c>
      <c r="C77">
        <v>73</v>
      </c>
      <c r="D77" s="2">
        <f>BattCalcs!CK77+PVCalcs!AT77</f>
        <v>11927.839472078787</v>
      </c>
      <c r="E77" s="20">
        <f>PVCalcs!AV77</f>
        <v>-320595.26579540881</v>
      </c>
      <c r="F77" s="20">
        <f>PVCalcs!AW77</f>
        <v>8864.6218957766014</v>
      </c>
      <c r="G77" s="20">
        <f>PVCalcs!AX77</f>
        <v>-502809.79480705759</v>
      </c>
      <c r="H77" s="20">
        <f>BattCalcs!CM77</f>
        <v>0</v>
      </c>
      <c r="I77" s="20">
        <f>BattCalcs!CN77</f>
        <v>0</v>
      </c>
      <c r="J77" s="20">
        <f>IF(C77&lt;='Batt IN'!H$43*12,BattCalcs!CO77,NA())</f>
        <v>0</v>
      </c>
      <c r="L77" s="20">
        <f t="shared" si="142"/>
        <v>8864.6218957766014</v>
      </c>
      <c r="M77" s="20">
        <f>G77+BattCalcs!CO77</f>
        <v>-502809.79480705759</v>
      </c>
      <c r="O77" s="10">
        <f>PVLoan!G105</f>
        <v>0</v>
      </c>
      <c r="P77" s="10">
        <f>PVLoan!J105</f>
        <v>0</v>
      </c>
      <c r="Q77" s="2">
        <f>BattLoan!G105</f>
        <v>0</v>
      </c>
      <c r="R77" s="10">
        <f>BattLoan!J105</f>
        <v>0</v>
      </c>
      <c r="T77" s="33">
        <f>IF('PV IN'!$F$4="Battery Only",0,PVCalcs!G77)</f>
        <v>145350.57586736255</v>
      </c>
      <c r="U77" s="33">
        <f>IF('PV IN'!$F$4="Battery Only",0,PVCalcs!M77)</f>
        <v>145350.57586736255</v>
      </c>
      <c r="V77" s="33">
        <f>PVCalcs!L77</f>
        <v>25811.765833333331</v>
      </c>
      <c r="W77" s="158">
        <f>PVCalcs!F77</f>
        <v>7.6535864542804394E-2</v>
      </c>
      <c r="X77" s="144">
        <f>IF('PV IN'!$F$4="Battery Only",0,PVCalcs!Y77+PVCalcs!Z77)</f>
        <v>1889.5574862757132</v>
      </c>
      <c r="Y77" s="144">
        <f>IF('PV IN'!$F$4="PV Only",0,BattCalcs!AX77+BattCalcs!BC77)</f>
        <v>0</v>
      </c>
      <c r="Z77" s="144">
        <f>IF('PV IN'!$F$4="PV Only",0,BattCalcs!AY77+BattCalcs!BD77)</f>
        <v>0</v>
      </c>
      <c r="AA77" s="144">
        <f>IF('PV IN'!$F$4="PV Only",0,BattCalcs!AZ77+BattCalcs!BE77)</f>
        <v>0</v>
      </c>
      <c r="AB77" s="144">
        <f>IF('PV IN'!$F$4="PV Only",0,BattCalcs!BA77+BattCalcs!BF77)</f>
        <v>0</v>
      </c>
      <c r="AC77" s="144">
        <f>IF('PV IN'!$F$4="PV Only",0,BattCalcs!BB77+BattCalcs!BG77)</f>
        <v>0</v>
      </c>
      <c r="AD77" s="144">
        <f>IF('PV IN'!$F$4="PV Only",0,BattCalcs!BU77)</f>
        <v>0</v>
      </c>
      <c r="AE77" s="144">
        <f>IF('PV IN'!$F$4="PV Only",PVCalcs!W77+PVCalcs!AA77,IF('PV IN'!$F$4="Battery Only",BattCalcs!AV77+BattCalcs!BH77,PVCalcs!W77+PVCalcs!AA77+BattCalcs!AV77+BattCalcs!BH77))</f>
        <v>0</v>
      </c>
      <c r="AF77" s="10">
        <f>PVCalcs!AC77+BattCalcs!BJ77</f>
        <v>0</v>
      </c>
      <c r="AG77" s="144">
        <f>IF('PV IN'!$F$4="Battery Only",0,PVCalcs!AG77)</f>
        <v>-750</v>
      </c>
      <c r="AH77" s="144">
        <f>IF('PV IN'!$F$4="Battery Only",0,PVCalcs!AI77)</f>
        <v>0</v>
      </c>
      <c r="AI77" s="144">
        <f>IF('PV IN'!$F$4="PV Only",0,BattCalcs!BM77)</f>
        <v>0</v>
      </c>
      <c r="AJ77" s="144">
        <f>IF('PV IN'!$F$4="PV Only",0,SUM(BattCalcs!BO77:BT77))</f>
        <v>0</v>
      </c>
      <c r="AK77" s="144">
        <f>IF('PV IN'!$F$4="PV Only",PVCalcs!AH77,IF('PV IN'!$F$4="Battery Only",BattCalcs!BN77,PVCalcs!AH77+BattCalcs!BN77))</f>
        <v>-625</v>
      </c>
      <c r="AL77" s="144">
        <f>IF('PV IN'!$F$4="PV Only",0,BattCalcs!BV77)</f>
        <v>0</v>
      </c>
      <c r="AM77" s="144">
        <f>IF('PV IN'!$F$4="PV Only",0,SUM(BattCalcs!BW77:BX77))</f>
        <v>0</v>
      </c>
      <c r="AN77" s="144">
        <f>IF('PV IN'!$F$4="PV Only",0,BattCalcs!BY77)</f>
        <v>0</v>
      </c>
      <c r="AO77" s="144">
        <f>IF('PV IN'!$F$4="Battery Only",0,PVCalcs!U77)</f>
        <v>11124.531985803074</v>
      </c>
      <c r="AP77" s="10">
        <f>IF('PV IN'!$F$4="PV Only",0,BattCalcs!AS77)</f>
        <v>0</v>
      </c>
      <c r="AQ77" s="10">
        <f>IF('PV IN'!$F$4="PV Only",0,BattCalcs!AT77)</f>
        <v>0</v>
      </c>
      <c r="AR77" s="10">
        <f>IF('PV IN'!$F$4="PV Only",0,BattCalcs!AU77)</f>
        <v>0</v>
      </c>
      <c r="AS77" s="144">
        <f>IF('PV IN'!$F$4="PV Only",PVCalcs!X77,IF('PV IN'!$F$4="Battery Only",BattCalcs!AW77,PVCalcs!X77+BattCalcs!AW77))</f>
        <v>0</v>
      </c>
      <c r="AT77" s="144">
        <f>IF('PV IN'!$F$4="Battery Only",0,-PVCalcs!AQ77*'PV IN'!$E$8)</f>
        <v>0</v>
      </c>
      <c r="AU77" s="144">
        <f>IF('PV IN'!$F$4="PV Only",0,-BattCalcs!CG77*'PV IN'!$E$8)</f>
        <v>0</v>
      </c>
      <c r="AV77" s="144">
        <f>IF('PV IN'!$F$4="PV Only",PVCalcs!Z77+PVCalcs!AA77,IF('PV IN'!$F$4="Battery Only",SUM(BattCalcs!BC77:BH77),PVCalcs!Z77+PVCalcs!AA77+SUM(BattCalcs!BC77:BH77)))</f>
        <v>0</v>
      </c>
      <c r="AW77" s="144">
        <f>IF('PV IN'!$F$4="PV Only",SUM(PVCalcs!AF77:AI77),IF('PV IN'!$F$4="Battery Only",SUM(BattCalcs!BL77:BY77),SUM(PVCalcs!AF77:AI77)+SUM(BattCalcs!BL77:BY77)))</f>
        <v>-1375</v>
      </c>
      <c r="AX77" s="144">
        <f>IF('PV IN'!$F$4="Battery Only",0,-PVLoan!F105)</f>
        <v>0</v>
      </c>
      <c r="AY77" s="144">
        <f>IF('PV IN'!$F$4="PV Only",0,-BattLoan!F105)</f>
        <v>0</v>
      </c>
      <c r="AZ77" s="144">
        <f>IF('PV IN'!$F$4="Battery Only",0,-PVLoan!H105)</f>
        <v>0</v>
      </c>
      <c r="BA77" s="144">
        <f>IF('PV IN'!$F$4="PV Only",0,-BattLoan!H105)</f>
        <v>0</v>
      </c>
    </row>
    <row r="78" spans="1:88" x14ac:dyDescent="0.25">
      <c r="A78">
        <f>IF(C78&lt;='PV IN'!$O$22*12,C78,"")</f>
        <v>74</v>
      </c>
      <c r="C78">
        <v>74</v>
      </c>
      <c r="D78" s="2">
        <f>BattCalcs!CK78+PVCalcs!AT78</f>
        <v>11919.163412430733</v>
      </c>
      <c r="E78" s="20">
        <f>PVCalcs!AV78</f>
        <v>-308676.10238297808</v>
      </c>
      <c r="F78" s="20">
        <f>PVCalcs!AW78</f>
        <v>8822.2310946615125</v>
      </c>
      <c r="G78" s="20">
        <f>PVCalcs!AX78</f>
        <v>-493987.56371239608</v>
      </c>
      <c r="H78" s="20">
        <f>BattCalcs!CM78</f>
        <v>0</v>
      </c>
      <c r="I78" s="20">
        <f>BattCalcs!CN78</f>
        <v>0</v>
      </c>
      <c r="J78" s="20">
        <f>IF(C78&lt;='Batt IN'!H$43*12,BattCalcs!CO78,NA())</f>
        <v>0</v>
      </c>
      <c r="L78" s="20">
        <f t="shared" si="142"/>
        <v>8822.2310946615125</v>
      </c>
      <c r="M78" s="20">
        <f>G78+BattCalcs!CO78</f>
        <v>-493987.56371239608</v>
      </c>
      <c r="O78" s="10">
        <f>PVLoan!G106</f>
        <v>0</v>
      </c>
      <c r="P78" s="10">
        <f>PVLoan!J106</f>
        <v>0</v>
      </c>
      <c r="Q78" s="2">
        <f>BattLoan!G106</f>
        <v>0</v>
      </c>
      <c r="R78" s="10">
        <f>BattLoan!J106</f>
        <v>0</v>
      </c>
      <c r="T78" s="33">
        <f>IF('PV IN'!$F$4="Battery Only",0,PVCalcs!G78)</f>
        <v>145253.67548345096</v>
      </c>
      <c r="U78" s="33">
        <f>IF('PV IN'!$F$4="Battery Only",0,PVCalcs!M78)</f>
        <v>145253.67548345096</v>
      </c>
      <c r="V78" s="33">
        <f>PVCalcs!L78</f>
        <v>25811.765833333331</v>
      </c>
      <c r="W78" s="158">
        <f>PVCalcs!F78</f>
        <v>7.6535864542804394E-2</v>
      </c>
      <c r="X78" s="144">
        <f>IF('PV IN'!$F$4="Battery Only",0,PVCalcs!Y78+PVCalcs!Z78)</f>
        <v>1888.2977812848624</v>
      </c>
      <c r="Y78" s="144">
        <f>IF('PV IN'!$F$4="PV Only",0,BattCalcs!AX78+BattCalcs!BC78)</f>
        <v>0</v>
      </c>
      <c r="Z78" s="144">
        <f>IF('PV IN'!$F$4="PV Only",0,BattCalcs!AY78+BattCalcs!BD78)</f>
        <v>0</v>
      </c>
      <c r="AA78" s="144">
        <f>IF('PV IN'!$F$4="PV Only",0,BattCalcs!AZ78+BattCalcs!BE78)</f>
        <v>0</v>
      </c>
      <c r="AB78" s="144">
        <f>IF('PV IN'!$F$4="PV Only",0,BattCalcs!BA78+BattCalcs!BF78)</f>
        <v>0</v>
      </c>
      <c r="AC78" s="144">
        <f>IF('PV IN'!$F$4="PV Only",0,BattCalcs!BB78+BattCalcs!BG78)</f>
        <v>0</v>
      </c>
      <c r="AD78" s="144">
        <f>IF('PV IN'!$F$4="PV Only",0,BattCalcs!BU78)</f>
        <v>0</v>
      </c>
      <c r="AE78" s="144">
        <f>IF('PV IN'!$F$4="PV Only",PVCalcs!W78+PVCalcs!AA78,IF('PV IN'!$F$4="Battery Only",BattCalcs!AV78+BattCalcs!BH78,PVCalcs!W78+PVCalcs!AA78+BattCalcs!AV78+BattCalcs!BH78))</f>
        <v>0</v>
      </c>
      <c r="AF78" s="10">
        <f>PVCalcs!AC78+BattCalcs!BJ78</f>
        <v>0</v>
      </c>
      <c r="AG78" s="144">
        <f>IF('PV IN'!$F$4="Battery Only",0,PVCalcs!AG78)</f>
        <v>-750</v>
      </c>
      <c r="AH78" s="144">
        <f>IF('PV IN'!$F$4="Battery Only",0,PVCalcs!AI78)</f>
        <v>0</v>
      </c>
      <c r="AI78" s="144">
        <f>IF('PV IN'!$F$4="PV Only",0,BattCalcs!BM78)</f>
        <v>0</v>
      </c>
      <c r="AJ78" s="144">
        <f>IF('PV IN'!$F$4="PV Only",0,SUM(BattCalcs!BO78:BT78))</f>
        <v>0</v>
      </c>
      <c r="AK78" s="144">
        <f>IF('PV IN'!$F$4="PV Only",PVCalcs!AH78,IF('PV IN'!$F$4="Battery Only",BattCalcs!BN78,PVCalcs!AH78+BattCalcs!BN78))</f>
        <v>-625</v>
      </c>
      <c r="AL78" s="144">
        <f>IF('PV IN'!$F$4="PV Only",0,BattCalcs!BV78)</f>
        <v>0</v>
      </c>
      <c r="AM78" s="144">
        <f>IF('PV IN'!$F$4="PV Only",0,SUM(BattCalcs!BW78:BX78))</f>
        <v>0</v>
      </c>
      <c r="AN78" s="144">
        <f>IF('PV IN'!$F$4="PV Only",0,BattCalcs!BY78)</f>
        <v>0</v>
      </c>
      <c r="AO78" s="144">
        <f>IF('PV IN'!$F$4="Battery Only",0,PVCalcs!U78)</f>
        <v>11117.115631145871</v>
      </c>
      <c r="AP78" s="10">
        <f>IF('PV IN'!$F$4="PV Only",0,BattCalcs!AS78)</f>
        <v>0</v>
      </c>
      <c r="AQ78" s="10">
        <f>IF('PV IN'!$F$4="PV Only",0,BattCalcs!AT78)</f>
        <v>0</v>
      </c>
      <c r="AR78" s="10">
        <f>IF('PV IN'!$F$4="PV Only",0,BattCalcs!AU78)</f>
        <v>0</v>
      </c>
      <c r="AS78" s="144">
        <f>IF('PV IN'!$F$4="PV Only",PVCalcs!X78,IF('PV IN'!$F$4="Battery Only",BattCalcs!AW78,PVCalcs!X78+BattCalcs!AW78))</f>
        <v>0</v>
      </c>
      <c r="AT78" s="144">
        <f>IF('PV IN'!$F$4="Battery Only",0,-PVCalcs!AQ78*'PV IN'!$E$8)</f>
        <v>0</v>
      </c>
      <c r="AU78" s="144">
        <f>IF('PV IN'!$F$4="PV Only",0,-BattCalcs!CG78*'PV IN'!$E$8)</f>
        <v>0</v>
      </c>
      <c r="AV78" s="144">
        <f>IF('PV IN'!$F$4="PV Only",PVCalcs!Z78+PVCalcs!AA78,IF('PV IN'!$F$4="Battery Only",SUM(BattCalcs!BC78:BH78),PVCalcs!Z78+PVCalcs!AA78+SUM(BattCalcs!BC78:BH78)))</f>
        <v>0</v>
      </c>
      <c r="AW78" s="144">
        <f>IF('PV IN'!$F$4="PV Only",SUM(PVCalcs!AF78:AI78),IF('PV IN'!$F$4="Battery Only",SUM(BattCalcs!BL78:BY78),SUM(PVCalcs!AF78:AI78)+SUM(BattCalcs!BL78:BY78)))</f>
        <v>-1375</v>
      </c>
      <c r="AX78" s="144">
        <f>IF('PV IN'!$F$4="Battery Only",0,-PVLoan!F106)</f>
        <v>0</v>
      </c>
      <c r="AY78" s="144">
        <f>IF('PV IN'!$F$4="PV Only",0,-BattLoan!F106)</f>
        <v>0</v>
      </c>
      <c r="AZ78" s="144">
        <f>IF('PV IN'!$F$4="Battery Only",0,-PVLoan!H106)</f>
        <v>0</v>
      </c>
      <c r="BA78" s="144">
        <f>IF('PV IN'!$F$4="PV Only",0,-BattLoan!H106)</f>
        <v>0</v>
      </c>
    </row>
    <row r="79" spans="1:88" x14ac:dyDescent="0.25">
      <c r="A79">
        <f>IF(C79&lt;='PV IN'!$O$22*12,C79,"")</f>
        <v>75</v>
      </c>
      <c r="C79">
        <v>75</v>
      </c>
      <c r="D79" s="2">
        <f>BattCalcs!CK79+PVCalcs!AT79</f>
        <v>11910.493136822446</v>
      </c>
      <c r="E79" s="20">
        <f>PVCalcs!AV79</f>
        <v>-296765.60924615565</v>
      </c>
      <c r="F79" s="20">
        <f>PVCalcs!AW79</f>
        <v>8780.0426189154459</v>
      </c>
      <c r="G79" s="20">
        <f>PVCalcs!AX79</f>
        <v>-485207.52109348064</v>
      </c>
      <c r="H79" s="20">
        <f>BattCalcs!CM79</f>
        <v>0</v>
      </c>
      <c r="I79" s="20">
        <f>BattCalcs!CN79</f>
        <v>0</v>
      </c>
      <c r="J79" s="20">
        <f>IF(C79&lt;='Batt IN'!H$43*12,BattCalcs!CO79,NA())</f>
        <v>0</v>
      </c>
      <c r="L79" s="20">
        <f t="shared" si="142"/>
        <v>8780.0426189154459</v>
      </c>
      <c r="M79" s="20">
        <f>G79+BattCalcs!CO79</f>
        <v>-485207.52109348064</v>
      </c>
      <c r="O79" s="10">
        <f>PVLoan!G107</f>
        <v>0</v>
      </c>
      <c r="P79" s="10">
        <f>PVLoan!J107</f>
        <v>0</v>
      </c>
      <c r="Q79" s="2">
        <f>BattLoan!G107</f>
        <v>0</v>
      </c>
      <c r="R79" s="10">
        <f>BattLoan!J107</f>
        <v>0</v>
      </c>
      <c r="T79" s="33">
        <f>IF('PV IN'!$F$4="Battery Only",0,PVCalcs!G79)</f>
        <v>145156.83969979532</v>
      </c>
      <c r="U79" s="33">
        <f>IF('PV IN'!$F$4="Battery Only",0,PVCalcs!M79)</f>
        <v>145156.83969979532</v>
      </c>
      <c r="V79" s="33">
        <f>PVCalcs!L79</f>
        <v>25811.765833333331</v>
      </c>
      <c r="W79" s="158">
        <f>PVCalcs!F79</f>
        <v>7.6535864542804394E-2</v>
      </c>
      <c r="X79" s="144">
        <f>IF('PV IN'!$F$4="Battery Only",0,PVCalcs!Y79+PVCalcs!Z79)</f>
        <v>1887.0389160973393</v>
      </c>
      <c r="Y79" s="144">
        <f>IF('PV IN'!$F$4="PV Only",0,BattCalcs!AX79+BattCalcs!BC79)</f>
        <v>0</v>
      </c>
      <c r="Z79" s="144">
        <f>IF('PV IN'!$F$4="PV Only",0,BattCalcs!AY79+BattCalcs!BD79)</f>
        <v>0</v>
      </c>
      <c r="AA79" s="144">
        <f>IF('PV IN'!$F$4="PV Only",0,BattCalcs!AZ79+BattCalcs!BE79)</f>
        <v>0</v>
      </c>
      <c r="AB79" s="144">
        <f>IF('PV IN'!$F$4="PV Only",0,BattCalcs!BA79+BattCalcs!BF79)</f>
        <v>0</v>
      </c>
      <c r="AC79" s="144">
        <f>IF('PV IN'!$F$4="PV Only",0,BattCalcs!BB79+BattCalcs!BG79)</f>
        <v>0</v>
      </c>
      <c r="AD79" s="144">
        <f>IF('PV IN'!$F$4="PV Only",0,BattCalcs!BU79)</f>
        <v>0</v>
      </c>
      <c r="AE79" s="144">
        <f>IF('PV IN'!$F$4="PV Only",PVCalcs!W79+PVCalcs!AA79,IF('PV IN'!$F$4="Battery Only",BattCalcs!AV79+BattCalcs!BH79,PVCalcs!W79+PVCalcs!AA79+BattCalcs!AV79+BattCalcs!BH79))</f>
        <v>0</v>
      </c>
      <c r="AF79" s="10">
        <f>PVCalcs!AC79+BattCalcs!BJ79</f>
        <v>0</v>
      </c>
      <c r="AG79" s="144">
        <f>IF('PV IN'!$F$4="Battery Only",0,PVCalcs!AG79)</f>
        <v>-750</v>
      </c>
      <c r="AH79" s="144">
        <f>IF('PV IN'!$F$4="Battery Only",0,PVCalcs!AI79)</f>
        <v>0</v>
      </c>
      <c r="AI79" s="144">
        <f>IF('PV IN'!$F$4="PV Only",0,BattCalcs!BM79)</f>
        <v>0</v>
      </c>
      <c r="AJ79" s="144">
        <f>IF('PV IN'!$F$4="PV Only",0,SUM(BattCalcs!BO79:BT79))</f>
        <v>0</v>
      </c>
      <c r="AK79" s="144">
        <f>IF('PV IN'!$F$4="PV Only",PVCalcs!AH79,IF('PV IN'!$F$4="Battery Only",BattCalcs!BN79,PVCalcs!AH79+BattCalcs!BN79))</f>
        <v>-625</v>
      </c>
      <c r="AL79" s="144">
        <f>IF('PV IN'!$F$4="PV Only",0,BattCalcs!BV79)</f>
        <v>0</v>
      </c>
      <c r="AM79" s="144">
        <f>IF('PV IN'!$F$4="PV Only",0,SUM(BattCalcs!BW79:BX79))</f>
        <v>0</v>
      </c>
      <c r="AN79" s="144">
        <f>IF('PV IN'!$F$4="PV Only",0,BattCalcs!BY79)</f>
        <v>0</v>
      </c>
      <c r="AO79" s="144">
        <f>IF('PV IN'!$F$4="Battery Only",0,PVCalcs!U79)</f>
        <v>11109.704220725107</v>
      </c>
      <c r="AP79" s="10">
        <f>IF('PV IN'!$F$4="PV Only",0,BattCalcs!AS79)</f>
        <v>0</v>
      </c>
      <c r="AQ79" s="10">
        <f>IF('PV IN'!$F$4="PV Only",0,BattCalcs!AT79)</f>
        <v>0</v>
      </c>
      <c r="AR79" s="10">
        <f>IF('PV IN'!$F$4="PV Only",0,BattCalcs!AU79)</f>
        <v>0</v>
      </c>
      <c r="AS79" s="144">
        <f>IF('PV IN'!$F$4="PV Only",PVCalcs!X79,IF('PV IN'!$F$4="Battery Only",BattCalcs!AW79,PVCalcs!X79+BattCalcs!AW79))</f>
        <v>0</v>
      </c>
      <c r="AT79" s="144">
        <f>IF('PV IN'!$F$4="Battery Only",0,-PVCalcs!AQ79*'PV IN'!$E$8)</f>
        <v>0</v>
      </c>
      <c r="AU79" s="144">
        <f>IF('PV IN'!$F$4="PV Only",0,-BattCalcs!CG79*'PV IN'!$E$8)</f>
        <v>0</v>
      </c>
      <c r="AV79" s="144">
        <f>IF('PV IN'!$F$4="PV Only",PVCalcs!Z79+PVCalcs!AA79,IF('PV IN'!$F$4="Battery Only",SUM(BattCalcs!BC79:BH79),PVCalcs!Z79+PVCalcs!AA79+SUM(BattCalcs!BC79:BH79)))</f>
        <v>0</v>
      </c>
      <c r="AW79" s="144">
        <f>IF('PV IN'!$F$4="PV Only",SUM(PVCalcs!AF79:AI79),IF('PV IN'!$F$4="Battery Only",SUM(BattCalcs!BL79:BY79),SUM(PVCalcs!AF79:AI79)+SUM(BattCalcs!BL79:BY79)))</f>
        <v>-1375</v>
      </c>
      <c r="AX79" s="144">
        <f>IF('PV IN'!$F$4="Battery Only",0,-PVLoan!F107)</f>
        <v>0</v>
      </c>
      <c r="AY79" s="144">
        <f>IF('PV IN'!$F$4="PV Only",0,-BattLoan!F107)</f>
        <v>0</v>
      </c>
      <c r="AZ79" s="144">
        <f>IF('PV IN'!$F$4="Battery Only",0,-PVLoan!H107)</f>
        <v>0</v>
      </c>
      <c r="BA79" s="144">
        <f>IF('PV IN'!$F$4="PV Only",0,-BattLoan!H107)</f>
        <v>0</v>
      </c>
    </row>
    <row r="80" spans="1:88" x14ac:dyDescent="0.25">
      <c r="A80">
        <f>IF(C80&lt;='PV IN'!$O$22*12,C80,"")</f>
        <v>76</v>
      </c>
      <c r="C80">
        <v>76</v>
      </c>
      <c r="D80" s="2">
        <f>BattCalcs!CK80+PVCalcs!AT80</f>
        <v>11901.828641397895</v>
      </c>
      <c r="E80" s="20">
        <f>PVCalcs!AV80</f>
        <v>-284863.78060475778</v>
      </c>
      <c r="F80" s="20">
        <f>PVCalcs!AW80</f>
        <v>8738.0555044233242</v>
      </c>
      <c r="G80" s="20">
        <f>PVCalcs!AX80</f>
        <v>-476469.4655890573</v>
      </c>
      <c r="H80" s="20">
        <f>BattCalcs!CM80</f>
        <v>0</v>
      </c>
      <c r="I80" s="20">
        <f>BattCalcs!CN80</f>
        <v>0</v>
      </c>
      <c r="J80" s="20">
        <f>IF(C80&lt;='Batt IN'!H$43*12,BattCalcs!CO80,NA())</f>
        <v>0</v>
      </c>
      <c r="L80" s="20">
        <f t="shared" si="142"/>
        <v>8738.0555044233242</v>
      </c>
      <c r="M80" s="20">
        <f>G80+BattCalcs!CO80</f>
        <v>-476469.4655890573</v>
      </c>
      <c r="O80" s="10">
        <f>PVLoan!G108</f>
        <v>0</v>
      </c>
      <c r="P80" s="10">
        <f>PVLoan!J108</f>
        <v>0</v>
      </c>
      <c r="Q80" s="2">
        <f>BattLoan!G108</f>
        <v>0</v>
      </c>
      <c r="R80" s="10">
        <f>BattLoan!J108</f>
        <v>0</v>
      </c>
      <c r="T80" s="33">
        <f>IF('PV IN'!$F$4="Battery Only",0,PVCalcs!G80)</f>
        <v>145060.06847332878</v>
      </c>
      <c r="U80" s="33">
        <f>IF('PV IN'!$F$4="Battery Only",0,PVCalcs!M80)</f>
        <v>145060.06847332878</v>
      </c>
      <c r="V80" s="33">
        <f>PVCalcs!L80</f>
        <v>25811.765833333331</v>
      </c>
      <c r="W80" s="158">
        <f>PVCalcs!F80</f>
        <v>7.6535864542804394E-2</v>
      </c>
      <c r="X80" s="144">
        <f>IF('PV IN'!$F$4="Battery Only",0,PVCalcs!Y80+PVCalcs!Z80)</f>
        <v>1885.7808901532742</v>
      </c>
      <c r="Y80" s="144">
        <f>IF('PV IN'!$F$4="PV Only",0,BattCalcs!AX80+BattCalcs!BC80)</f>
        <v>0</v>
      </c>
      <c r="Z80" s="144">
        <f>IF('PV IN'!$F$4="PV Only",0,BattCalcs!AY80+BattCalcs!BD80)</f>
        <v>0</v>
      </c>
      <c r="AA80" s="144">
        <f>IF('PV IN'!$F$4="PV Only",0,BattCalcs!AZ80+BattCalcs!BE80)</f>
        <v>0</v>
      </c>
      <c r="AB80" s="144">
        <f>IF('PV IN'!$F$4="PV Only",0,BattCalcs!BA80+BattCalcs!BF80)</f>
        <v>0</v>
      </c>
      <c r="AC80" s="144">
        <f>IF('PV IN'!$F$4="PV Only",0,BattCalcs!BB80+BattCalcs!BG80)</f>
        <v>0</v>
      </c>
      <c r="AD80" s="144">
        <f>IF('PV IN'!$F$4="PV Only",0,BattCalcs!BU80)</f>
        <v>0</v>
      </c>
      <c r="AE80" s="144">
        <f>IF('PV IN'!$F$4="PV Only",PVCalcs!W80+PVCalcs!AA80,IF('PV IN'!$F$4="Battery Only",BattCalcs!AV80+BattCalcs!BH80,PVCalcs!W80+PVCalcs!AA80+BattCalcs!AV80+BattCalcs!BH80))</f>
        <v>0</v>
      </c>
      <c r="AF80" s="10">
        <f>PVCalcs!AC80+BattCalcs!BJ80</f>
        <v>0</v>
      </c>
      <c r="AG80" s="144">
        <f>IF('PV IN'!$F$4="Battery Only",0,PVCalcs!AG80)</f>
        <v>-750</v>
      </c>
      <c r="AH80" s="144">
        <f>IF('PV IN'!$F$4="Battery Only",0,PVCalcs!AI80)</f>
        <v>0</v>
      </c>
      <c r="AI80" s="144">
        <f>IF('PV IN'!$F$4="PV Only",0,BattCalcs!BM80)</f>
        <v>0</v>
      </c>
      <c r="AJ80" s="144">
        <f>IF('PV IN'!$F$4="PV Only",0,SUM(BattCalcs!BO80:BT80))</f>
        <v>0</v>
      </c>
      <c r="AK80" s="144">
        <f>IF('PV IN'!$F$4="PV Only",PVCalcs!AH80,IF('PV IN'!$F$4="Battery Only",BattCalcs!BN80,PVCalcs!AH80+BattCalcs!BN80))</f>
        <v>-625</v>
      </c>
      <c r="AL80" s="144">
        <f>IF('PV IN'!$F$4="PV Only",0,BattCalcs!BV80)</f>
        <v>0</v>
      </c>
      <c r="AM80" s="144">
        <f>IF('PV IN'!$F$4="PV Only",0,SUM(BattCalcs!BW80:BX80))</f>
        <v>0</v>
      </c>
      <c r="AN80" s="144">
        <f>IF('PV IN'!$F$4="PV Only",0,BattCalcs!BY80)</f>
        <v>0</v>
      </c>
      <c r="AO80" s="144">
        <f>IF('PV IN'!$F$4="Battery Only",0,PVCalcs!U80)</f>
        <v>11102.297751244621</v>
      </c>
      <c r="AP80" s="10">
        <f>IF('PV IN'!$F$4="PV Only",0,BattCalcs!AS80)</f>
        <v>0</v>
      </c>
      <c r="AQ80" s="10">
        <f>IF('PV IN'!$F$4="PV Only",0,BattCalcs!AT80)</f>
        <v>0</v>
      </c>
      <c r="AR80" s="10">
        <f>IF('PV IN'!$F$4="PV Only",0,BattCalcs!AU80)</f>
        <v>0</v>
      </c>
      <c r="AS80" s="144">
        <f>IF('PV IN'!$F$4="PV Only",PVCalcs!X80,IF('PV IN'!$F$4="Battery Only",BattCalcs!AW80,PVCalcs!X80+BattCalcs!AW80))</f>
        <v>0</v>
      </c>
      <c r="AT80" s="144">
        <f>IF('PV IN'!$F$4="Battery Only",0,-PVCalcs!AQ80*'PV IN'!$E$8)</f>
        <v>0</v>
      </c>
      <c r="AU80" s="144">
        <f>IF('PV IN'!$F$4="PV Only",0,-BattCalcs!CG80*'PV IN'!$E$8)</f>
        <v>0</v>
      </c>
      <c r="AV80" s="144">
        <f>IF('PV IN'!$F$4="PV Only",PVCalcs!Z80+PVCalcs!AA80,IF('PV IN'!$F$4="Battery Only",SUM(BattCalcs!BC80:BH80),PVCalcs!Z80+PVCalcs!AA80+SUM(BattCalcs!BC80:BH80)))</f>
        <v>0</v>
      </c>
      <c r="AW80" s="144">
        <f>IF('PV IN'!$F$4="PV Only",SUM(PVCalcs!AF80:AI80),IF('PV IN'!$F$4="Battery Only",SUM(BattCalcs!BL80:BY80),SUM(PVCalcs!AF80:AI80)+SUM(BattCalcs!BL80:BY80)))</f>
        <v>-1375</v>
      </c>
      <c r="AX80" s="144">
        <f>IF('PV IN'!$F$4="Battery Only",0,-PVLoan!F108)</f>
        <v>0</v>
      </c>
      <c r="AY80" s="144">
        <f>IF('PV IN'!$F$4="PV Only",0,-BattLoan!F108)</f>
        <v>0</v>
      </c>
      <c r="AZ80" s="144">
        <f>IF('PV IN'!$F$4="Battery Only",0,-PVLoan!H108)</f>
        <v>0</v>
      </c>
      <c r="BA80" s="144">
        <f>IF('PV IN'!$F$4="PV Only",0,-BattLoan!H108)</f>
        <v>0</v>
      </c>
    </row>
    <row r="81" spans="1:88" x14ac:dyDescent="0.25">
      <c r="A81">
        <f>IF(C81&lt;='PV IN'!$O$22*12,C81,"")</f>
        <v>77</v>
      </c>
      <c r="C81">
        <v>77</v>
      </c>
      <c r="D81" s="2">
        <f>BattCalcs!CK81+PVCalcs!AT81</f>
        <v>11893.169922303632</v>
      </c>
      <c r="E81" s="20">
        <f>PVCalcs!AV81</f>
        <v>-272970.61068245413</v>
      </c>
      <c r="F81" s="20">
        <f>PVCalcs!AW81</f>
        <v>8696.2687916580126</v>
      </c>
      <c r="G81" s="20">
        <f>PVCalcs!AX81</f>
        <v>-467773.19679739932</v>
      </c>
      <c r="H81" s="20">
        <f>BattCalcs!CM81</f>
        <v>0</v>
      </c>
      <c r="I81" s="20">
        <f>BattCalcs!CN81</f>
        <v>0</v>
      </c>
      <c r="J81" s="20">
        <f>IF(C81&lt;='Batt IN'!H$43*12,BattCalcs!CO81,NA())</f>
        <v>0</v>
      </c>
      <c r="L81" s="20">
        <f t="shared" si="142"/>
        <v>8696.2687916580126</v>
      </c>
      <c r="M81" s="20">
        <f>G81+BattCalcs!CO81</f>
        <v>-467773.19679739932</v>
      </c>
      <c r="O81" s="10">
        <f>PVLoan!G109</f>
        <v>0</v>
      </c>
      <c r="P81" s="10">
        <f>PVLoan!J109</f>
        <v>0</v>
      </c>
      <c r="Q81" s="2">
        <f>BattLoan!G109</f>
        <v>0</v>
      </c>
      <c r="R81" s="10">
        <f>BattLoan!J109</f>
        <v>0</v>
      </c>
      <c r="T81" s="33">
        <f>IF('PV IN'!$F$4="Battery Only",0,PVCalcs!G81)</f>
        <v>144963.36176101325</v>
      </c>
      <c r="U81" s="33">
        <f>IF('PV IN'!$F$4="Battery Only",0,PVCalcs!M81)</f>
        <v>144963.36176101325</v>
      </c>
      <c r="V81" s="33">
        <f>PVCalcs!L81</f>
        <v>25811.765833333331</v>
      </c>
      <c r="W81" s="158">
        <f>PVCalcs!F81</f>
        <v>7.6535864542804394E-2</v>
      </c>
      <c r="X81" s="144">
        <f>IF('PV IN'!$F$4="Battery Only",0,PVCalcs!Y81+PVCalcs!Z81)</f>
        <v>1884.5237028931722</v>
      </c>
      <c r="Y81" s="144">
        <f>IF('PV IN'!$F$4="PV Only",0,BattCalcs!AX81+BattCalcs!BC81)</f>
        <v>0</v>
      </c>
      <c r="Z81" s="144">
        <f>IF('PV IN'!$F$4="PV Only",0,BattCalcs!AY81+BattCalcs!BD81)</f>
        <v>0</v>
      </c>
      <c r="AA81" s="144">
        <f>IF('PV IN'!$F$4="PV Only",0,BattCalcs!AZ81+BattCalcs!BE81)</f>
        <v>0</v>
      </c>
      <c r="AB81" s="144">
        <f>IF('PV IN'!$F$4="PV Only",0,BattCalcs!BA81+BattCalcs!BF81)</f>
        <v>0</v>
      </c>
      <c r="AC81" s="144">
        <f>IF('PV IN'!$F$4="PV Only",0,BattCalcs!BB81+BattCalcs!BG81)</f>
        <v>0</v>
      </c>
      <c r="AD81" s="144">
        <f>IF('PV IN'!$F$4="PV Only",0,BattCalcs!BU81)</f>
        <v>0</v>
      </c>
      <c r="AE81" s="144">
        <f>IF('PV IN'!$F$4="PV Only",PVCalcs!W81+PVCalcs!AA81,IF('PV IN'!$F$4="Battery Only",BattCalcs!AV81+BattCalcs!BH81,PVCalcs!W81+PVCalcs!AA81+BattCalcs!AV81+BattCalcs!BH81))</f>
        <v>0</v>
      </c>
      <c r="AF81" s="10">
        <f>PVCalcs!AC81+BattCalcs!BJ81</f>
        <v>0</v>
      </c>
      <c r="AG81" s="144">
        <f>IF('PV IN'!$F$4="Battery Only",0,PVCalcs!AG81)</f>
        <v>-750</v>
      </c>
      <c r="AH81" s="144">
        <f>IF('PV IN'!$F$4="Battery Only",0,PVCalcs!AI81)</f>
        <v>0</v>
      </c>
      <c r="AI81" s="144">
        <f>IF('PV IN'!$F$4="PV Only",0,BattCalcs!BM81)</f>
        <v>0</v>
      </c>
      <c r="AJ81" s="144">
        <f>IF('PV IN'!$F$4="PV Only",0,SUM(BattCalcs!BO81:BT81))</f>
        <v>0</v>
      </c>
      <c r="AK81" s="144">
        <f>IF('PV IN'!$F$4="PV Only",PVCalcs!AH81,IF('PV IN'!$F$4="Battery Only",BattCalcs!BN81,PVCalcs!AH81+BattCalcs!BN81))</f>
        <v>-625</v>
      </c>
      <c r="AL81" s="144">
        <f>IF('PV IN'!$F$4="PV Only",0,BattCalcs!BV81)</f>
        <v>0</v>
      </c>
      <c r="AM81" s="144">
        <f>IF('PV IN'!$F$4="PV Only",0,SUM(BattCalcs!BW81:BX81))</f>
        <v>0</v>
      </c>
      <c r="AN81" s="144">
        <f>IF('PV IN'!$F$4="PV Only",0,BattCalcs!BY81)</f>
        <v>0</v>
      </c>
      <c r="AO81" s="144">
        <f>IF('PV IN'!$F$4="Battery Only",0,PVCalcs!U81)</f>
        <v>11094.896219410461</v>
      </c>
      <c r="AP81" s="10">
        <f>IF('PV IN'!$F$4="PV Only",0,BattCalcs!AS81)</f>
        <v>0</v>
      </c>
      <c r="AQ81" s="10">
        <f>IF('PV IN'!$F$4="PV Only",0,BattCalcs!AT81)</f>
        <v>0</v>
      </c>
      <c r="AR81" s="10">
        <f>IF('PV IN'!$F$4="PV Only",0,BattCalcs!AU81)</f>
        <v>0</v>
      </c>
      <c r="AS81" s="144">
        <f>IF('PV IN'!$F$4="PV Only",PVCalcs!X81,IF('PV IN'!$F$4="Battery Only",BattCalcs!AW81,PVCalcs!X81+BattCalcs!AW81))</f>
        <v>0</v>
      </c>
      <c r="AT81" s="144">
        <f>IF('PV IN'!$F$4="Battery Only",0,-PVCalcs!AQ81*'PV IN'!$E$8)</f>
        <v>0</v>
      </c>
      <c r="AU81" s="144">
        <f>IF('PV IN'!$F$4="PV Only",0,-BattCalcs!CG81*'PV IN'!$E$8)</f>
        <v>0</v>
      </c>
      <c r="AV81" s="144">
        <f>IF('PV IN'!$F$4="PV Only",PVCalcs!Z81+PVCalcs!AA81,IF('PV IN'!$F$4="Battery Only",SUM(BattCalcs!BC81:BH81),PVCalcs!Z81+PVCalcs!AA81+SUM(BattCalcs!BC81:BH81)))</f>
        <v>0</v>
      </c>
      <c r="AW81" s="144">
        <f>IF('PV IN'!$F$4="PV Only",SUM(PVCalcs!AF81:AI81),IF('PV IN'!$F$4="Battery Only",SUM(BattCalcs!BL81:BY81),SUM(PVCalcs!AF81:AI81)+SUM(BattCalcs!BL81:BY81)))</f>
        <v>-1375</v>
      </c>
      <c r="AX81" s="144">
        <f>IF('PV IN'!$F$4="Battery Only",0,-PVLoan!F109)</f>
        <v>0</v>
      </c>
      <c r="AY81" s="144">
        <f>IF('PV IN'!$F$4="PV Only",0,-BattLoan!F109)</f>
        <v>0</v>
      </c>
      <c r="AZ81" s="144">
        <f>IF('PV IN'!$F$4="Battery Only",0,-PVLoan!H109)</f>
        <v>0</v>
      </c>
      <c r="BA81" s="144">
        <f>IF('PV IN'!$F$4="PV Only",0,-BattLoan!H109)</f>
        <v>0</v>
      </c>
    </row>
    <row r="82" spans="1:88" x14ac:dyDescent="0.25">
      <c r="A82">
        <f>IF(C82&lt;='PV IN'!$O$22*12,C82,"")</f>
        <v>78</v>
      </c>
      <c r="C82">
        <v>78</v>
      </c>
      <c r="D82" s="2">
        <f>BattCalcs!CK82+PVCalcs!AT82</f>
        <v>11884.516975688761</v>
      </c>
      <c r="E82" s="20">
        <f>PVCalcs!AV82</f>
        <v>-261086.09370676539</v>
      </c>
      <c r="F82" s="20">
        <f>PVCalcs!AW82</f>
        <v>8654.681525658485</v>
      </c>
      <c r="G82" s="20">
        <f>PVCalcs!AX82</f>
        <v>-459118.51527174085</v>
      </c>
      <c r="H82" s="20">
        <f>BattCalcs!CM82</f>
        <v>0</v>
      </c>
      <c r="I82" s="20">
        <f>BattCalcs!CN82</f>
        <v>0</v>
      </c>
      <c r="J82" s="20">
        <f>IF(C82&lt;='Batt IN'!H$43*12,BattCalcs!CO82,NA())</f>
        <v>0</v>
      </c>
      <c r="L82" s="20">
        <f t="shared" si="142"/>
        <v>8654.681525658485</v>
      </c>
      <c r="M82" s="20">
        <f>G82+BattCalcs!CO82</f>
        <v>-459118.51527174085</v>
      </c>
      <c r="O82" s="10">
        <f>PVLoan!G110</f>
        <v>0</v>
      </c>
      <c r="P82" s="10">
        <f>PVLoan!J110</f>
        <v>0</v>
      </c>
      <c r="Q82" s="2">
        <f>BattLoan!G110</f>
        <v>0</v>
      </c>
      <c r="R82" s="10">
        <f>BattLoan!J110</f>
        <v>0</v>
      </c>
      <c r="T82" s="33">
        <f>IF('PV IN'!$F$4="Battery Only",0,PVCalcs!G82)</f>
        <v>144866.71951983921</v>
      </c>
      <c r="U82" s="33">
        <f>IF('PV IN'!$F$4="Battery Only",0,PVCalcs!M82)</f>
        <v>144866.71951983921</v>
      </c>
      <c r="V82" s="33">
        <f>PVCalcs!L82</f>
        <v>25811.765833333331</v>
      </c>
      <c r="W82" s="158">
        <f>PVCalcs!F82</f>
        <v>7.6535864542804394E-2</v>
      </c>
      <c r="X82" s="144">
        <f>IF('PV IN'!$F$4="Battery Only",0,PVCalcs!Y82+PVCalcs!Z82)</f>
        <v>1883.2673537579096</v>
      </c>
      <c r="Y82" s="144">
        <f>IF('PV IN'!$F$4="PV Only",0,BattCalcs!AX82+BattCalcs!BC82)</f>
        <v>0</v>
      </c>
      <c r="Z82" s="144">
        <f>IF('PV IN'!$F$4="PV Only",0,BattCalcs!AY82+BattCalcs!BD82)</f>
        <v>0</v>
      </c>
      <c r="AA82" s="144">
        <f>IF('PV IN'!$F$4="PV Only",0,BattCalcs!AZ82+BattCalcs!BE82)</f>
        <v>0</v>
      </c>
      <c r="AB82" s="144">
        <f>IF('PV IN'!$F$4="PV Only",0,BattCalcs!BA82+BattCalcs!BF82)</f>
        <v>0</v>
      </c>
      <c r="AC82" s="144">
        <f>IF('PV IN'!$F$4="PV Only",0,BattCalcs!BB82+BattCalcs!BG82)</f>
        <v>0</v>
      </c>
      <c r="AD82" s="144">
        <f>IF('PV IN'!$F$4="PV Only",0,BattCalcs!BU82)</f>
        <v>0</v>
      </c>
      <c r="AE82" s="144">
        <f>IF('PV IN'!$F$4="PV Only",PVCalcs!W82+PVCalcs!AA82,IF('PV IN'!$F$4="Battery Only",BattCalcs!AV82+BattCalcs!BH82,PVCalcs!W82+PVCalcs!AA82+BattCalcs!AV82+BattCalcs!BH82))</f>
        <v>0</v>
      </c>
      <c r="AF82" s="10">
        <f>PVCalcs!AC82+BattCalcs!BJ82</f>
        <v>0</v>
      </c>
      <c r="AG82" s="144">
        <f>IF('PV IN'!$F$4="Battery Only",0,PVCalcs!AG82)</f>
        <v>-750</v>
      </c>
      <c r="AH82" s="144">
        <f>IF('PV IN'!$F$4="Battery Only",0,PVCalcs!AI82)</f>
        <v>0</v>
      </c>
      <c r="AI82" s="144">
        <f>IF('PV IN'!$F$4="PV Only",0,BattCalcs!BM82)</f>
        <v>0</v>
      </c>
      <c r="AJ82" s="144">
        <f>IF('PV IN'!$F$4="PV Only",0,SUM(BattCalcs!BO82:BT82))</f>
        <v>0</v>
      </c>
      <c r="AK82" s="144">
        <f>IF('PV IN'!$F$4="PV Only",PVCalcs!AH82,IF('PV IN'!$F$4="Battery Only",BattCalcs!BN82,PVCalcs!AH82+BattCalcs!BN82))</f>
        <v>-625</v>
      </c>
      <c r="AL82" s="144">
        <f>IF('PV IN'!$F$4="PV Only",0,BattCalcs!BV82)</f>
        <v>0</v>
      </c>
      <c r="AM82" s="144">
        <f>IF('PV IN'!$F$4="PV Only",0,SUM(BattCalcs!BW82:BX82))</f>
        <v>0</v>
      </c>
      <c r="AN82" s="144">
        <f>IF('PV IN'!$F$4="PV Only",0,BattCalcs!BY82)</f>
        <v>0</v>
      </c>
      <c r="AO82" s="144">
        <f>IF('PV IN'!$F$4="Battery Only",0,PVCalcs!U82)</f>
        <v>11087.49962193085</v>
      </c>
      <c r="AP82" s="10">
        <f>IF('PV IN'!$F$4="PV Only",0,BattCalcs!AS82)</f>
        <v>0</v>
      </c>
      <c r="AQ82" s="10">
        <f>IF('PV IN'!$F$4="PV Only",0,BattCalcs!AT82)</f>
        <v>0</v>
      </c>
      <c r="AR82" s="10">
        <f>IF('PV IN'!$F$4="PV Only",0,BattCalcs!AU82)</f>
        <v>0</v>
      </c>
      <c r="AS82" s="144">
        <f>IF('PV IN'!$F$4="PV Only",PVCalcs!X82,IF('PV IN'!$F$4="Battery Only",BattCalcs!AW82,PVCalcs!X82+BattCalcs!AW82))</f>
        <v>0</v>
      </c>
      <c r="AT82" s="144">
        <f>IF('PV IN'!$F$4="Battery Only",0,-PVCalcs!AQ82*'PV IN'!$E$8)</f>
        <v>0</v>
      </c>
      <c r="AU82" s="144">
        <f>IF('PV IN'!$F$4="PV Only",0,-BattCalcs!CG82*'PV IN'!$E$8)</f>
        <v>0</v>
      </c>
      <c r="AV82" s="144">
        <f>IF('PV IN'!$F$4="PV Only",PVCalcs!Z82+PVCalcs!AA82,IF('PV IN'!$F$4="Battery Only",SUM(BattCalcs!BC82:BH82),PVCalcs!Z82+PVCalcs!AA82+SUM(BattCalcs!BC82:BH82)))</f>
        <v>0</v>
      </c>
      <c r="AW82" s="144">
        <f>IF('PV IN'!$F$4="PV Only",SUM(PVCalcs!AF82:AI82),IF('PV IN'!$F$4="Battery Only",SUM(BattCalcs!BL82:BY82),SUM(PVCalcs!AF82:AI82)+SUM(BattCalcs!BL82:BY82)))</f>
        <v>-1375</v>
      </c>
      <c r="AX82" s="144">
        <f>IF('PV IN'!$F$4="Battery Only",0,-PVLoan!F110)</f>
        <v>0</v>
      </c>
      <c r="AY82" s="144">
        <f>IF('PV IN'!$F$4="PV Only",0,-BattLoan!F110)</f>
        <v>0</v>
      </c>
      <c r="AZ82" s="144">
        <f>IF('PV IN'!$F$4="Battery Only",0,-PVLoan!H110)</f>
        <v>0</v>
      </c>
      <c r="BA82" s="144">
        <f>IF('PV IN'!$F$4="PV Only",0,-BattLoan!H110)</f>
        <v>0</v>
      </c>
    </row>
    <row r="83" spans="1:88" x14ac:dyDescent="0.25">
      <c r="A83">
        <f>IF(C83&lt;='PV IN'!$O$22*12,C83,"")</f>
        <v>79</v>
      </c>
      <c r="C83">
        <v>79</v>
      </c>
      <c r="D83" s="2">
        <f>BattCalcs!CK83+PVCalcs!AT83</f>
        <v>11875.869797704969</v>
      </c>
      <c r="E83" s="20">
        <f>PVCalcs!AV83</f>
        <v>-249210.22390906041</v>
      </c>
      <c r="F83" s="20">
        <f>PVCalcs!AW83</f>
        <v>8613.2927560081407</v>
      </c>
      <c r="G83" s="20">
        <f>PVCalcs!AX83</f>
        <v>-450505.22251573269</v>
      </c>
      <c r="H83" s="20">
        <f>BattCalcs!CM83</f>
        <v>0</v>
      </c>
      <c r="I83" s="20">
        <f>BattCalcs!CN83</f>
        <v>0</v>
      </c>
      <c r="J83" s="20">
        <f>IF(C83&lt;='Batt IN'!H$43*12,BattCalcs!CO83,NA())</f>
        <v>0</v>
      </c>
      <c r="L83" s="20">
        <f t="shared" si="142"/>
        <v>8613.2927560081407</v>
      </c>
      <c r="M83" s="20">
        <f>G83+BattCalcs!CO83</f>
        <v>-450505.22251573269</v>
      </c>
      <c r="O83" s="10">
        <f>PVLoan!G111</f>
        <v>0</v>
      </c>
      <c r="P83" s="10">
        <f>PVLoan!J111</f>
        <v>0</v>
      </c>
      <c r="Q83" s="2">
        <f>BattLoan!G111</f>
        <v>0</v>
      </c>
      <c r="R83" s="10">
        <f>BattLoan!J111</f>
        <v>0</v>
      </c>
      <c r="T83" s="33">
        <f>IF('PV IN'!$F$4="Battery Only",0,PVCalcs!G83)</f>
        <v>144770.14170682599</v>
      </c>
      <c r="U83" s="33">
        <f>IF('PV IN'!$F$4="Battery Only",0,PVCalcs!M83)</f>
        <v>144770.14170682599</v>
      </c>
      <c r="V83" s="33">
        <f>PVCalcs!L83</f>
        <v>25811.765833333331</v>
      </c>
      <c r="W83" s="158">
        <f>PVCalcs!F83</f>
        <v>7.6535864542804394E-2</v>
      </c>
      <c r="X83" s="144">
        <f>IF('PV IN'!$F$4="Battery Only",0,PVCalcs!Y83+PVCalcs!Z83)</f>
        <v>1882.0118421887378</v>
      </c>
      <c r="Y83" s="144">
        <f>IF('PV IN'!$F$4="PV Only",0,BattCalcs!AX83+BattCalcs!BC83)</f>
        <v>0</v>
      </c>
      <c r="Z83" s="144">
        <f>IF('PV IN'!$F$4="PV Only",0,BattCalcs!AY83+BattCalcs!BD83)</f>
        <v>0</v>
      </c>
      <c r="AA83" s="144">
        <f>IF('PV IN'!$F$4="PV Only",0,BattCalcs!AZ83+BattCalcs!BE83)</f>
        <v>0</v>
      </c>
      <c r="AB83" s="144">
        <f>IF('PV IN'!$F$4="PV Only",0,BattCalcs!BA83+BattCalcs!BF83)</f>
        <v>0</v>
      </c>
      <c r="AC83" s="144">
        <f>IF('PV IN'!$F$4="PV Only",0,BattCalcs!BB83+BattCalcs!BG83)</f>
        <v>0</v>
      </c>
      <c r="AD83" s="144">
        <f>IF('PV IN'!$F$4="PV Only",0,BattCalcs!BU83)</f>
        <v>0</v>
      </c>
      <c r="AE83" s="144">
        <f>IF('PV IN'!$F$4="PV Only",PVCalcs!W83+PVCalcs!AA83,IF('PV IN'!$F$4="Battery Only",BattCalcs!AV83+BattCalcs!BH83,PVCalcs!W83+PVCalcs!AA83+BattCalcs!AV83+BattCalcs!BH83))</f>
        <v>0</v>
      </c>
      <c r="AF83" s="10">
        <f>PVCalcs!AC83+BattCalcs!BJ83</f>
        <v>0</v>
      </c>
      <c r="AG83" s="144">
        <f>IF('PV IN'!$F$4="Battery Only",0,PVCalcs!AG83)</f>
        <v>-750</v>
      </c>
      <c r="AH83" s="144">
        <f>IF('PV IN'!$F$4="Battery Only",0,PVCalcs!AI83)</f>
        <v>0</v>
      </c>
      <c r="AI83" s="144">
        <f>IF('PV IN'!$F$4="PV Only",0,BattCalcs!BM83)</f>
        <v>0</v>
      </c>
      <c r="AJ83" s="144">
        <f>IF('PV IN'!$F$4="PV Only",0,SUM(BattCalcs!BO83:BT83))</f>
        <v>0</v>
      </c>
      <c r="AK83" s="144">
        <f>IF('PV IN'!$F$4="PV Only",PVCalcs!AH83,IF('PV IN'!$F$4="Battery Only",BattCalcs!BN83,PVCalcs!AH83+BattCalcs!BN83))</f>
        <v>-625</v>
      </c>
      <c r="AL83" s="144">
        <f>IF('PV IN'!$F$4="PV Only",0,BattCalcs!BV83)</f>
        <v>0</v>
      </c>
      <c r="AM83" s="144">
        <f>IF('PV IN'!$F$4="PV Only",0,SUM(BattCalcs!BW83:BX83))</f>
        <v>0</v>
      </c>
      <c r="AN83" s="144">
        <f>IF('PV IN'!$F$4="PV Only",0,BattCalcs!BY83)</f>
        <v>0</v>
      </c>
      <c r="AO83" s="144">
        <f>IF('PV IN'!$F$4="Battery Only",0,PVCalcs!U83)</f>
        <v>11080.107955516231</v>
      </c>
      <c r="AP83" s="10">
        <f>IF('PV IN'!$F$4="PV Only",0,BattCalcs!AS83)</f>
        <v>0</v>
      </c>
      <c r="AQ83" s="10">
        <f>IF('PV IN'!$F$4="PV Only",0,BattCalcs!AT83)</f>
        <v>0</v>
      </c>
      <c r="AR83" s="10">
        <f>IF('PV IN'!$F$4="PV Only",0,BattCalcs!AU83)</f>
        <v>0</v>
      </c>
      <c r="AS83" s="144">
        <f>IF('PV IN'!$F$4="PV Only",PVCalcs!X83,IF('PV IN'!$F$4="Battery Only",BattCalcs!AW83,PVCalcs!X83+BattCalcs!AW83))</f>
        <v>0</v>
      </c>
      <c r="AT83" s="144">
        <f>IF('PV IN'!$F$4="Battery Only",0,-PVCalcs!AQ83*'PV IN'!$E$8)</f>
        <v>0</v>
      </c>
      <c r="AU83" s="144">
        <f>IF('PV IN'!$F$4="PV Only",0,-BattCalcs!CG83*'PV IN'!$E$8)</f>
        <v>0</v>
      </c>
      <c r="AV83" s="144">
        <f>IF('PV IN'!$F$4="PV Only",PVCalcs!Z83+PVCalcs!AA83,IF('PV IN'!$F$4="Battery Only",SUM(BattCalcs!BC83:BH83),PVCalcs!Z83+PVCalcs!AA83+SUM(BattCalcs!BC83:BH83)))</f>
        <v>0</v>
      </c>
      <c r="AW83" s="144">
        <f>IF('PV IN'!$F$4="PV Only",SUM(PVCalcs!AF83:AI83),IF('PV IN'!$F$4="Battery Only",SUM(BattCalcs!BL83:BY83),SUM(PVCalcs!AF83:AI83)+SUM(BattCalcs!BL83:BY83)))</f>
        <v>-1375</v>
      </c>
      <c r="AX83" s="144">
        <f>IF('PV IN'!$F$4="Battery Only",0,-PVLoan!F111)</f>
        <v>0</v>
      </c>
      <c r="AY83" s="144">
        <f>IF('PV IN'!$F$4="PV Only",0,-BattLoan!F111)</f>
        <v>0</v>
      </c>
      <c r="AZ83" s="144">
        <f>IF('PV IN'!$F$4="Battery Only",0,-PVLoan!H111)</f>
        <v>0</v>
      </c>
      <c r="BA83" s="144">
        <f>IF('PV IN'!$F$4="PV Only",0,-BattLoan!H111)</f>
        <v>0</v>
      </c>
    </row>
    <row r="84" spans="1:88" x14ac:dyDescent="0.25">
      <c r="A84">
        <f>IF(C84&lt;='PV IN'!$O$22*12,C84,"")</f>
        <v>80</v>
      </c>
      <c r="C84">
        <v>80</v>
      </c>
      <c r="D84" s="2">
        <f>BattCalcs!CK84+PVCalcs!AT84</f>
        <v>11867.228384506499</v>
      </c>
      <c r="E84" s="20">
        <f>PVCalcs!AV84</f>
        <v>-237342.9955245539</v>
      </c>
      <c r="F84" s="20">
        <f>PVCalcs!AW84</f>
        <v>8572.1015368131939</v>
      </c>
      <c r="G84" s="20">
        <f>PVCalcs!AX84</f>
        <v>-441933.1209789195</v>
      </c>
      <c r="H84" s="20">
        <f>BattCalcs!CM84</f>
        <v>0</v>
      </c>
      <c r="I84" s="20">
        <f>BattCalcs!CN84</f>
        <v>0</v>
      </c>
      <c r="J84" s="20">
        <f>IF(C84&lt;='Batt IN'!H$43*12,BattCalcs!CO84,NA())</f>
        <v>0</v>
      </c>
      <c r="L84" s="20">
        <f t="shared" si="142"/>
        <v>8572.1015368131939</v>
      </c>
      <c r="M84" s="20">
        <f>G84+BattCalcs!CO84</f>
        <v>-441933.1209789195</v>
      </c>
      <c r="O84" s="10">
        <f>PVLoan!G112</f>
        <v>0</v>
      </c>
      <c r="P84" s="10">
        <f>PVLoan!J112</f>
        <v>0</v>
      </c>
      <c r="Q84" s="2">
        <f>BattLoan!G112</f>
        <v>0</v>
      </c>
      <c r="R84" s="10">
        <f>BattLoan!J112</f>
        <v>0</v>
      </c>
      <c r="T84" s="33">
        <f>IF('PV IN'!$F$4="Battery Only",0,PVCalcs!G84)</f>
        <v>144673.62827902145</v>
      </c>
      <c r="U84" s="33">
        <f>IF('PV IN'!$F$4="Battery Only",0,PVCalcs!M84)</f>
        <v>144673.62827902145</v>
      </c>
      <c r="V84" s="33">
        <f>PVCalcs!L84</f>
        <v>25811.765833333331</v>
      </c>
      <c r="W84" s="158">
        <f>PVCalcs!F84</f>
        <v>7.6535864542804394E-2</v>
      </c>
      <c r="X84" s="144">
        <f>IF('PV IN'!$F$4="Battery Only",0,PVCalcs!Y84+PVCalcs!Z84)</f>
        <v>1880.7571676272787</v>
      </c>
      <c r="Y84" s="144">
        <f>IF('PV IN'!$F$4="PV Only",0,BattCalcs!AX84+BattCalcs!BC84)</f>
        <v>0</v>
      </c>
      <c r="Z84" s="144">
        <f>IF('PV IN'!$F$4="PV Only",0,BattCalcs!AY84+BattCalcs!BD84)</f>
        <v>0</v>
      </c>
      <c r="AA84" s="144">
        <f>IF('PV IN'!$F$4="PV Only",0,BattCalcs!AZ84+BattCalcs!BE84)</f>
        <v>0</v>
      </c>
      <c r="AB84" s="144">
        <f>IF('PV IN'!$F$4="PV Only",0,BattCalcs!BA84+BattCalcs!BF84)</f>
        <v>0</v>
      </c>
      <c r="AC84" s="144">
        <f>IF('PV IN'!$F$4="PV Only",0,BattCalcs!BB84+BattCalcs!BG84)</f>
        <v>0</v>
      </c>
      <c r="AD84" s="144">
        <f>IF('PV IN'!$F$4="PV Only",0,BattCalcs!BU84)</f>
        <v>0</v>
      </c>
      <c r="AE84" s="144">
        <f>IF('PV IN'!$F$4="PV Only",PVCalcs!W84+PVCalcs!AA84,IF('PV IN'!$F$4="Battery Only",BattCalcs!AV84+BattCalcs!BH84,PVCalcs!W84+PVCalcs!AA84+BattCalcs!AV84+BattCalcs!BH84))</f>
        <v>0</v>
      </c>
      <c r="AF84" s="10">
        <f>PVCalcs!AC84+BattCalcs!BJ84</f>
        <v>0</v>
      </c>
      <c r="AG84" s="144">
        <f>IF('PV IN'!$F$4="Battery Only",0,PVCalcs!AG84)</f>
        <v>-750</v>
      </c>
      <c r="AH84" s="144">
        <f>IF('PV IN'!$F$4="Battery Only",0,PVCalcs!AI84)</f>
        <v>0</v>
      </c>
      <c r="AI84" s="144">
        <f>IF('PV IN'!$F$4="PV Only",0,BattCalcs!BM84)</f>
        <v>0</v>
      </c>
      <c r="AJ84" s="144">
        <f>IF('PV IN'!$F$4="PV Only",0,SUM(BattCalcs!BO84:BT84))</f>
        <v>0</v>
      </c>
      <c r="AK84" s="144">
        <f>IF('PV IN'!$F$4="PV Only",PVCalcs!AH84,IF('PV IN'!$F$4="Battery Only",BattCalcs!BN84,PVCalcs!AH84+BattCalcs!BN84))</f>
        <v>-625</v>
      </c>
      <c r="AL84" s="144">
        <f>IF('PV IN'!$F$4="PV Only",0,BattCalcs!BV84)</f>
        <v>0</v>
      </c>
      <c r="AM84" s="144">
        <f>IF('PV IN'!$F$4="PV Only",0,SUM(BattCalcs!BW84:BX84))</f>
        <v>0</v>
      </c>
      <c r="AN84" s="144">
        <f>IF('PV IN'!$F$4="PV Only",0,BattCalcs!BY84)</f>
        <v>0</v>
      </c>
      <c r="AO84" s="144">
        <f>IF('PV IN'!$F$4="Battery Only",0,PVCalcs!U84)</f>
        <v>11072.721216879221</v>
      </c>
      <c r="AP84" s="10">
        <f>IF('PV IN'!$F$4="PV Only",0,BattCalcs!AS84)</f>
        <v>0</v>
      </c>
      <c r="AQ84" s="10">
        <f>IF('PV IN'!$F$4="PV Only",0,BattCalcs!AT84)</f>
        <v>0</v>
      </c>
      <c r="AR84" s="10">
        <f>IF('PV IN'!$F$4="PV Only",0,BattCalcs!AU84)</f>
        <v>0</v>
      </c>
      <c r="AS84" s="144">
        <f>IF('PV IN'!$F$4="PV Only",PVCalcs!X84,IF('PV IN'!$F$4="Battery Only",BattCalcs!AW84,PVCalcs!X84+BattCalcs!AW84))</f>
        <v>0</v>
      </c>
      <c r="AT84" s="144">
        <f>IF('PV IN'!$F$4="Battery Only",0,-PVCalcs!AQ84*'PV IN'!$E$8)</f>
        <v>0</v>
      </c>
      <c r="AU84" s="144">
        <f>IF('PV IN'!$F$4="PV Only",0,-BattCalcs!CG84*'PV IN'!$E$8)</f>
        <v>0</v>
      </c>
      <c r="AV84" s="144">
        <f>IF('PV IN'!$F$4="PV Only",PVCalcs!Z84+PVCalcs!AA84,IF('PV IN'!$F$4="Battery Only",SUM(BattCalcs!BC84:BH84),PVCalcs!Z84+PVCalcs!AA84+SUM(BattCalcs!BC84:BH84)))</f>
        <v>0</v>
      </c>
      <c r="AW84" s="144">
        <f>IF('PV IN'!$F$4="PV Only",SUM(PVCalcs!AF84:AI84),IF('PV IN'!$F$4="Battery Only",SUM(BattCalcs!BL84:BY84),SUM(PVCalcs!AF84:AI84)+SUM(BattCalcs!BL84:BY84)))</f>
        <v>-1375</v>
      </c>
      <c r="AX84" s="144">
        <f>IF('PV IN'!$F$4="Battery Only",0,-PVLoan!F112)</f>
        <v>0</v>
      </c>
      <c r="AY84" s="144">
        <f>IF('PV IN'!$F$4="PV Only",0,-BattLoan!F112)</f>
        <v>0</v>
      </c>
      <c r="AZ84" s="144">
        <f>IF('PV IN'!$F$4="Battery Only",0,-PVLoan!H112)</f>
        <v>0</v>
      </c>
      <c r="BA84" s="144">
        <f>IF('PV IN'!$F$4="PV Only",0,-BattLoan!H112)</f>
        <v>0</v>
      </c>
    </row>
    <row r="85" spans="1:88" x14ac:dyDescent="0.25">
      <c r="A85">
        <f>IF(C85&lt;='PV IN'!$O$22*12,C85,"")</f>
        <v>81</v>
      </c>
      <c r="C85">
        <v>81</v>
      </c>
      <c r="D85" s="2">
        <f>BattCalcs!CK85+PVCalcs!AT85</f>
        <v>11858.592732250159</v>
      </c>
      <c r="E85" s="20">
        <f>PVCalcs!AV85</f>
        <v>-225484.40279230374</v>
      </c>
      <c r="F85" s="20">
        <f>PVCalcs!AW85</f>
        <v>8531.1069266811755</v>
      </c>
      <c r="G85" s="20">
        <f>PVCalcs!AX85</f>
        <v>-433402.01405223832</v>
      </c>
      <c r="H85" s="20">
        <f>BattCalcs!CM85</f>
        <v>0</v>
      </c>
      <c r="I85" s="20">
        <f>BattCalcs!CN85</f>
        <v>0</v>
      </c>
      <c r="J85" s="20">
        <f>IF(C85&lt;='Batt IN'!H$43*12,BattCalcs!CO85,NA())</f>
        <v>0</v>
      </c>
      <c r="L85" s="20">
        <f t="shared" si="142"/>
        <v>8531.1069266811755</v>
      </c>
      <c r="M85" s="20">
        <f>G85+BattCalcs!CO85</f>
        <v>-433402.01405223832</v>
      </c>
      <c r="O85" s="10">
        <f>PVLoan!G113</f>
        <v>0</v>
      </c>
      <c r="P85" s="10">
        <f>PVLoan!J113</f>
        <v>0</v>
      </c>
      <c r="Q85" s="2">
        <f>BattLoan!G113</f>
        <v>0</v>
      </c>
      <c r="R85" s="10">
        <f>BattLoan!J113</f>
        <v>0</v>
      </c>
      <c r="T85" s="33">
        <f>IF('PV IN'!$F$4="Battery Only",0,PVCalcs!G85)</f>
        <v>144577.17919350209</v>
      </c>
      <c r="U85" s="33">
        <f>IF('PV IN'!$F$4="Battery Only",0,PVCalcs!M85)</f>
        <v>144577.17919350209</v>
      </c>
      <c r="V85" s="33">
        <f>PVCalcs!L85</f>
        <v>25811.765833333331</v>
      </c>
      <c r="W85" s="158">
        <f>PVCalcs!F85</f>
        <v>7.6535864542804394E-2</v>
      </c>
      <c r="X85" s="144">
        <f>IF('PV IN'!$F$4="Battery Only",0,PVCalcs!Y85+PVCalcs!Z85)</f>
        <v>1879.5033295155272</v>
      </c>
      <c r="Y85" s="144">
        <f>IF('PV IN'!$F$4="PV Only",0,BattCalcs!AX85+BattCalcs!BC85)</f>
        <v>0</v>
      </c>
      <c r="Z85" s="144">
        <f>IF('PV IN'!$F$4="PV Only",0,BattCalcs!AY85+BattCalcs!BD85)</f>
        <v>0</v>
      </c>
      <c r="AA85" s="144">
        <f>IF('PV IN'!$F$4="PV Only",0,BattCalcs!AZ85+BattCalcs!BE85)</f>
        <v>0</v>
      </c>
      <c r="AB85" s="144">
        <f>IF('PV IN'!$F$4="PV Only",0,BattCalcs!BA85+BattCalcs!BF85)</f>
        <v>0</v>
      </c>
      <c r="AC85" s="144">
        <f>IF('PV IN'!$F$4="PV Only",0,BattCalcs!BB85+BattCalcs!BG85)</f>
        <v>0</v>
      </c>
      <c r="AD85" s="144">
        <f>IF('PV IN'!$F$4="PV Only",0,BattCalcs!BU85)</f>
        <v>0</v>
      </c>
      <c r="AE85" s="144">
        <f>IF('PV IN'!$F$4="PV Only",PVCalcs!W85+PVCalcs!AA85,IF('PV IN'!$F$4="Battery Only",BattCalcs!AV85+BattCalcs!BH85,PVCalcs!W85+PVCalcs!AA85+BattCalcs!AV85+BattCalcs!BH85))</f>
        <v>0</v>
      </c>
      <c r="AF85" s="10">
        <f>PVCalcs!AC85+BattCalcs!BJ85</f>
        <v>0</v>
      </c>
      <c r="AG85" s="144">
        <f>IF('PV IN'!$F$4="Battery Only",0,PVCalcs!AG85)</f>
        <v>-750</v>
      </c>
      <c r="AH85" s="144">
        <f>IF('PV IN'!$F$4="Battery Only",0,PVCalcs!AI85)</f>
        <v>0</v>
      </c>
      <c r="AI85" s="144">
        <f>IF('PV IN'!$F$4="PV Only",0,BattCalcs!BM85)</f>
        <v>0</v>
      </c>
      <c r="AJ85" s="144">
        <f>IF('PV IN'!$F$4="PV Only",0,SUM(BattCalcs!BO85:BT85))</f>
        <v>0</v>
      </c>
      <c r="AK85" s="144">
        <f>IF('PV IN'!$F$4="PV Only",PVCalcs!AH85,IF('PV IN'!$F$4="Battery Only",BattCalcs!BN85,PVCalcs!AH85+BattCalcs!BN85))</f>
        <v>-625</v>
      </c>
      <c r="AL85" s="144">
        <f>IF('PV IN'!$F$4="PV Only",0,BattCalcs!BV85)</f>
        <v>0</v>
      </c>
      <c r="AM85" s="144">
        <f>IF('PV IN'!$F$4="PV Only",0,SUM(BattCalcs!BW85:BX85))</f>
        <v>0</v>
      </c>
      <c r="AN85" s="144">
        <f>IF('PV IN'!$F$4="PV Only",0,BattCalcs!BY85)</f>
        <v>0</v>
      </c>
      <c r="AO85" s="144">
        <f>IF('PV IN'!$F$4="Battery Only",0,PVCalcs!U85)</f>
        <v>11065.339402734633</v>
      </c>
      <c r="AP85" s="10">
        <f>IF('PV IN'!$F$4="PV Only",0,BattCalcs!AS85)</f>
        <v>0</v>
      </c>
      <c r="AQ85" s="10">
        <f>IF('PV IN'!$F$4="PV Only",0,BattCalcs!AT85)</f>
        <v>0</v>
      </c>
      <c r="AR85" s="10">
        <f>IF('PV IN'!$F$4="PV Only",0,BattCalcs!AU85)</f>
        <v>0</v>
      </c>
      <c r="AS85" s="144">
        <f>IF('PV IN'!$F$4="PV Only",PVCalcs!X85,IF('PV IN'!$F$4="Battery Only",BattCalcs!AW85,PVCalcs!X85+BattCalcs!AW85))</f>
        <v>0</v>
      </c>
      <c r="AT85" s="144">
        <f>IF('PV IN'!$F$4="Battery Only",0,-PVCalcs!AQ85*'PV IN'!$E$8)</f>
        <v>0</v>
      </c>
      <c r="AU85" s="144">
        <f>IF('PV IN'!$F$4="PV Only",0,-BattCalcs!CG85*'PV IN'!$E$8)</f>
        <v>0</v>
      </c>
      <c r="AV85" s="144">
        <f>IF('PV IN'!$F$4="PV Only",PVCalcs!Z85+PVCalcs!AA85,IF('PV IN'!$F$4="Battery Only",SUM(BattCalcs!BC85:BH85),PVCalcs!Z85+PVCalcs!AA85+SUM(BattCalcs!BC85:BH85)))</f>
        <v>0</v>
      </c>
      <c r="AW85" s="144">
        <f>IF('PV IN'!$F$4="PV Only",SUM(PVCalcs!AF85:AI85),IF('PV IN'!$F$4="Battery Only",SUM(BattCalcs!BL85:BY85),SUM(PVCalcs!AF85:AI85)+SUM(BattCalcs!BL85:BY85)))</f>
        <v>-1375</v>
      </c>
      <c r="AX85" s="144">
        <f>IF('PV IN'!$F$4="Battery Only",0,-PVLoan!F113)</f>
        <v>0</v>
      </c>
      <c r="AY85" s="144">
        <f>IF('PV IN'!$F$4="PV Only",0,-BattLoan!F113)</f>
        <v>0</v>
      </c>
      <c r="AZ85" s="144">
        <f>IF('PV IN'!$F$4="Battery Only",0,-PVLoan!H113)</f>
        <v>0</v>
      </c>
      <c r="BA85" s="144">
        <f>IF('PV IN'!$F$4="PV Only",0,-BattLoan!H113)</f>
        <v>0</v>
      </c>
    </row>
    <row r="86" spans="1:88" x14ac:dyDescent="0.25">
      <c r="A86">
        <f>IF(C86&lt;='PV IN'!$O$22*12,C86,"")</f>
        <v>82</v>
      </c>
      <c r="C86">
        <v>82</v>
      </c>
      <c r="D86" s="2">
        <f>BattCalcs!CK86+PVCalcs!AT86</f>
        <v>11849.962837095325</v>
      </c>
      <c r="E86" s="20">
        <f>PVCalcs!AV86</f>
        <v>-213634.43995520842</v>
      </c>
      <c r="F86" s="20">
        <f>PVCalcs!AW86</f>
        <v>8490.3079886995456</v>
      </c>
      <c r="G86" s="20">
        <f>PVCalcs!AX86</f>
        <v>-424911.70606353879</v>
      </c>
      <c r="H86" s="20">
        <f>BattCalcs!CM86</f>
        <v>0</v>
      </c>
      <c r="I86" s="20">
        <f>BattCalcs!CN86</f>
        <v>0</v>
      </c>
      <c r="J86" s="20">
        <f>IF(C86&lt;='Batt IN'!H$43*12,BattCalcs!CO86,NA())</f>
        <v>0</v>
      </c>
      <c r="L86" s="20">
        <f t="shared" si="142"/>
        <v>8490.3079886995456</v>
      </c>
      <c r="M86" s="20">
        <f>G86+BattCalcs!CO86</f>
        <v>-424911.70606353879</v>
      </c>
      <c r="O86" s="10">
        <f>PVLoan!G114</f>
        <v>0</v>
      </c>
      <c r="P86" s="10">
        <f>PVLoan!J114</f>
        <v>0</v>
      </c>
      <c r="Q86" s="2">
        <f>BattLoan!G114</f>
        <v>0</v>
      </c>
      <c r="R86" s="10">
        <f>BattLoan!J114</f>
        <v>0</v>
      </c>
      <c r="T86" s="33">
        <f>IF('PV IN'!$F$4="Battery Only",0,PVCalcs!G86)</f>
        <v>144480.79440737306</v>
      </c>
      <c r="U86" s="33">
        <f>IF('PV IN'!$F$4="Battery Only",0,PVCalcs!M86)</f>
        <v>144480.79440737306</v>
      </c>
      <c r="V86" s="33">
        <f>PVCalcs!L86</f>
        <v>25811.765833333331</v>
      </c>
      <c r="W86" s="158">
        <f>PVCalcs!F86</f>
        <v>7.6535864542804394E-2</v>
      </c>
      <c r="X86" s="144">
        <f>IF('PV IN'!$F$4="Battery Only",0,PVCalcs!Y86+PVCalcs!Z86)</f>
        <v>1878.2503272958497</v>
      </c>
      <c r="Y86" s="144">
        <f>IF('PV IN'!$F$4="PV Only",0,BattCalcs!AX86+BattCalcs!BC86)</f>
        <v>0</v>
      </c>
      <c r="Z86" s="144">
        <f>IF('PV IN'!$F$4="PV Only",0,BattCalcs!AY86+BattCalcs!BD86)</f>
        <v>0</v>
      </c>
      <c r="AA86" s="144">
        <f>IF('PV IN'!$F$4="PV Only",0,BattCalcs!AZ86+BattCalcs!BE86)</f>
        <v>0</v>
      </c>
      <c r="AB86" s="144">
        <f>IF('PV IN'!$F$4="PV Only",0,BattCalcs!BA86+BattCalcs!BF86)</f>
        <v>0</v>
      </c>
      <c r="AC86" s="144">
        <f>IF('PV IN'!$F$4="PV Only",0,BattCalcs!BB86+BattCalcs!BG86)</f>
        <v>0</v>
      </c>
      <c r="AD86" s="144">
        <f>IF('PV IN'!$F$4="PV Only",0,BattCalcs!BU86)</f>
        <v>0</v>
      </c>
      <c r="AE86" s="144">
        <f>IF('PV IN'!$F$4="PV Only",PVCalcs!W86+PVCalcs!AA86,IF('PV IN'!$F$4="Battery Only",BattCalcs!AV86+BattCalcs!BH86,PVCalcs!W86+PVCalcs!AA86+BattCalcs!AV86+BattCalcs!BH86))</f>
        <v>0</v>
      </c>
      <c r="AF86" s="10">
        <f>PVCalcs!AC86+BattCalcs!BJ86</f>
        <v>0</v>
      </c>
      <c r="AG86" s="144">
        <f>IF('PV IN'!$F$4="Battery Only",0,PVCalcs!AG86)</f>
        <v>-750</v>
      </c>
      <c r="AH86" s="144">
        <f>IF('PV IN'!$F$4="Battery Only",0,PVCalcs!AI86)</f>
        <v>0</v>
      </c>
      <c r="AI86" s="144">
        <f>IF('PV IN'!$F$4="PV Only",0,BattCalcs!BM86)</f>
        <v>0</v>
      </c>
      <c r="AJ86" s="144">
        <f>IF('PV IN'!$F$4="PV Only",0,SUM(BattCalcs!BO86:BT86))</f>
        <v>0</v>
      </c>
      <c r="AK86" s="144">
        <f>IF('PV IN'!$F$4="PV Only",PVCalcs!AH86,IF('PV IN'!$F$4="Battery Only",BattCalcs!BN86,PVCalcs!AH86+BattCalcs!BN86))</f>
        <v>-625</v>
      </c>
      <c r="AL86" s="144">
        <f>IF('PV IN'!$F$4="PV Only",0,BattCalcs!BV86)</f>
        <v>0</v>
      </c>
      <c r="AM86" s="144">
        <f>IF('PV IN'!$F$4="PV Only",0,SUM(BattCalcs!BW86:BX86))</f>
        <v>0</v>
      </c>
      <c r="AN86" s="144">
        <f>IF('PV IN'!$F$4="PV Only",0,BattCalcs!BY86)</f>
        <v>0</v>
      </c>
      <c r="AO86" s="144">
        <f>IF('PV IN'!$F$4="Battery Only",0,PVCalcs!U86)</f>
        <v>11057.962509799476</v>
      </c>
      <c r="AP86" s="10">
        <f>IF('PV IN'!$F$4="PV Only",0,BattCalcs!AS86)</f>
        <v>0</v>
      </c>
      <c r="AQ86" s="10">
        <f>IF('PV IN'!$F$4="PV Only",0,BattCalcs!AT86)</f>
        <v>0</v>
      </c>
      <c r="AR86" s="10">
        <f>IF('PV IN'!$F$4="PV Only",0,BattCalcs!AU86)</f>
        <v>0</v>
      </c>
      <c r="AS86" s="144">
        <f>IF('PV IN'!$F$4="PV Only",PVCalcs!X86,IF('PV IN'!$F$4="Battery Only",BattCalcs!AW86,PVCalcs!X86+BattCalcs!AW86))</f>
        <v>0</v>
      </c>
      <c r="AT86" s="144">
        <f>IF('PV IN'!$F$4="Battery Only",0,-PVCalcs!AQ86*'PV IN'!$E$8)</f>
        <v>0</v>
      </c>
      <c r="AU86" s="144">
        <f>IF('PV IN'!$F$4="PV Only",0,-BattCalcs!CG86*'PV IN'!$E$8)</f>
        <v>0</v>
      </c>
      <c r="AV86" s="144">
        <f>IF('PV IN'!$F$4="PV Only",PVCalcs!Z86+PVCalcs!AA86,IF('PV IN'!$F$4="Battery Only",SUM(BattCalcs!BC86:BH86),PVCalcs!Z86+PVCalcs!AA86+SUM(BattCalcs!BC86:BH86)))</f>
        <v>0</v>
      </c>
      <c r="AW86" s="144">
        <f>IF('PV IN'!$F$4="PV Only",SUM(PVCalcs!AF86:AI86),IF('PV IN'!$F$4="Battery Only",SUM(BattCalcs!BL86:BY86),SUM(PVCalcs!AF86:AI86)+SUM(BattCalcs!BL86:BY86)))</f>
        <v>-1375</v>
      </c>
      <c r="AX86" s="144">
        <f>IF('PV IN'!$F$4="Battery Only",0,-PVLoan!F114)</f>
        <v>0</v>
      </c>
      <c r="AY86" s="144">
        <f>IF('PV IN'!$F$4="PV Only",0,-BattLoan!F114)</f>
        <v>0</v>
      </c>
      <c r="AZ86" s="144">
        <f>IF('PV IN'!$F$4="Battery Only",0,-PVLoan!H114)</f>
        <v>0</v>
      </c>
      <c r="BA86" s="144">
        <f>IF('PV IN'!$F$4="PV Only",0,-BattLoan!H114)</f>
        <v>0</v>
      </c>
    </row>
    <row r="87" spans="1:88" x14ac:dyDescent="0.25">
      <c r="A87">
        <f>IF(C87&lt;='PV IN'!$O$22*12,C87,"")</f>
        <v>83</v>
      </c>
      <c r="C87">
        <v>83</v>
      </c>
      <c r="D87" s="2">
        <f>BattCalcs!CK87+PVCalcs!AT87</f>
        <v>11841.338695203927</v>
      </c>
      <c r="E87" s="20">
        <f>PVCalcs!AV87</f>
        <v>-201793.10126000451</v>
      </c>
      <c r="F87" s="20">
        <f>PVCalcs!AW87</f>
        <v>8449.7037904143872</v>
      </c>
      <c r="G87" s="20">
        <f>PVCalcs!AX87</f>
        <v>-416462.00227312441</v>
      </c>
      <c r="H87" s="20">
        <f>BattCalcs!CM87</f>
        <v>0</v>
      </c>
      <c r="I87" s="20">
        <f>BattCalcs!CN87</f>
        <v>0</v>
      </c>
      <c r="J87" s="20">
        <f>IF(C87&lt;='Batt IN'!H$43*12,BattCalcs!CO87,NA())</f>
        <v>0</v>
      </c>
      <c r="L87" s="20">
        <f t="shared" si="142"/>
        <v>8449.7037904143872</v>
      </c>
      <c r="M87" s="20">
        <f>G87+BattCalcs!CO87</f>
        <v>-416462.00227312441</v>
      </c>
      <c r="O87" s="10">
        <f>PVLoan!G115</f>
        <v>0</v>
      </c>
      <c r="P87" s="10">
        <f>PVLoan!J115</f>
        <v>0</v>
      </c>
      <c r="Q87" s="2">
        <f>BattLoan!G115</f>
        <v>0</v>
      </c>
      <c r="R87" s="10">
        <f>BattLoan!J115</f>
        <v>0</v>
      </c>
      <c r="T87" s="33">
        <f>IF('PV IN'!$F$4="Battery Only",0,PVCalcs!G87)</f>
        <v>144384.47387776815</v>
      </c>
      <c r="U87" s="33">
        <f>IF('PV IN'!$F$4="Battery Only",0,PVCalcs!M87)</f>
        <v>144384.47387776815</v>
      </c>
      <c r="V87" s="33">
        <f>PVCalcs!L87</f>
        <v>25811.765833333331</v>
      </c>
      <c r="W87" s="158">
        <f>PVCalcs!F87</f>
        <v>7.6535864542804394E-2</v>
      </c>
      <c r="X87" s="144">
        <f>IF('PV IN'!$F$4="Battery Only",0,PVCalcs!Y87+PVCalcs!Z87)</f>
        <v>1876.9981604109857</v>
      </c>
      <c r="Y87" s="144">
        <f>IF('PV IN'!$F$4="PV Only",0,BattCalcs!AX87+BattCalcs!BC87)</f>
        <v>0</v>
      </c>
      <c r="Z87" s="144">
        <f>IF('PV IN'!$F$4="PV Only",0,BattCalcs!AY87+BattCalcs!BD87)</f>
        <v>0</v>
      </c>
      <c r="AA87" s="144">
        <f>IF('PV IN'!$F$4="PV Only",0,BattCalcs!AZ87+BattCalcs!BE87)</f>
        <v>0</v>
      </c>
      <c r="AB87" s="144">
        <f>IF('PV IN'!$F$4="PV Only",0,BattCalcs!BA87+BattCalcs!BF87)</f>
        <v>0</v>
      </c>
      <c r="AC87" s="144">
        <f>IF('PV IN'!$F$4="PV Only",0,BattCalcs!BB87+BattCalcs!BG87)</f>
        <v>0</v>
      </c>
      <c r="AD87" s="144">
        <f>IF('PV IN'!$F$4="PV Only",0,BattCalcs!BU87)</f>
        <v>0</v>
      </c>
      <c r="AE87" s="144">
        <f>IF('PV IN'!$F$4="PV Only",PVCalcs!W87+PVCalcs!AA87,IF('PV IN'!$F$4="Battery Only",BattCalcs!AV87+BattCalcs!BH87,PVCalcs!W87+PVCalcs!AA87+BattCalcs!AV87+BattCalcs!BH87))</f>
        <v>0</v>
      </c>
      <c r="AF87" s="10">
        <f>PVCalcs!AC87+BattCalcs!BJ87</f>
        <v>0</v>
      </c>
      <c r="AG87" s="144">
        <f>IF('PV IN'!$F$4="Battery Only",0,PVCalcs!AG87)</f>
        <v>-750</v>
      </c>
      <c r="AH87" s="144">
        <f>IF('PV IN'!$F$4="Battery Only",0,PVCalcs!AI87)</f>
        <v>0</v>
      </c>
      <c r="AI87" s="144">
        <f>IF('PV IN'!$F$4="PV Only",0,BattCalcs!BM87)</f>
        <v>0</v>
      </c>
      <c r="AJ87" s="144">
        <f>IF('PV IN'!$F$4="PV Only",0,SUM(BattCalcs!BO87:BT87))</f>
        <v>0</v>
      </c>
      <c r="AK87" s="144">
        <f>IF('PV IN'!$F$4="PV Only",PVCalcs!AH87,IF('PV IN'!$F$4="Battery Only",BattCalcs!BN87,PVCalcs!AH87+BattCalcs!BN87))</f>
        <v>-625</v>
      </c>
      <c r="AL87" s="144">
        <f>IF('PV IN'!$F$4="PV Only",0,BattCalcs!BV87)</f>
        <v>0</v>
      </c>
      <c r="AM87" s="144">
        <f>IF('PV IN'!$F$4="PV Only",0,SUM(BattCalcs!BW87:BX87))</f>
        <v>0</v>
      </c>
      <c r="AN87" s="144">
        <f>IF('PV IN'!$F$4="PV Only",0,BattCalcs!BY87)</f>
        <v>0</v>
      </c>
      <c r="AO87" s="144">
        <f>IF('PV IN'!$F$4="Battery Only",0,PVCalcs!U87)</f>
        <v>11050.590534792942</v>
      </c>
      <c r="AP87" s="10">
        <f>IF('PV IN'!$F$4="PV Only",0,BattCalcs!AS87)</f>
        <v>0</v>
      </c>
      <c r="AQ87" s="10">
        <f>IF('PV IN'!$F$4="PV Only",0,BattCalcs!AT87)</f>
        <v>0</v>
      </c>
      <c r="AR87" s="10">
        <f>IF('PV IN'!$F$4="PV Only",0,BattCalcs!AU87)</f>
        <v>0</v>
      </c>
      <c r="AS87" s="144">
        <f>IF('PV IN'!$F$4="PV Only",PVCalcs!X87,IF('PV IN'!$F$4="Battery Only",BattCalcs!AW87,PVCalcs!X87+BattCalcs!AW87))</f>
        <v>0</v>
      </c>
      <c r="AT87" s="144">
        <f>IF('PV IN'!$F$4="Battery Only",0,-PVCalcs!AQ87*'PV IN'!$E$8)</f>
        <v>0</v>
      </c>
      <c r="AU87" s="144">
        <f>IF('PV IN'!$F$4="PV Only",0,-BattCalcs!CG87*'PV IN'!$E$8)</f>
        <v>0</v>
      </c>
      <c r="AV87" s="144">
        <f>IF('PV IN'!$F$4="PV Only",PVCalcs!Z87+PVCalcs!AA87,IF('PV IN'!$F$4="Battery Only",SUM(BattCalcs!BC87:BH87),PVCalcs!Z87+PVCalcs!AA87+SUM(BattCalcs!BC87:BH87)))</f>
        <v>0</v>
      </c>
      <c r="AW87" s="144">
        <f>IF('PV IN'!$F$4="PV Only",SUM(PVCalcs!AF87:AI87),IF('PV IN'!$F$4="Battery Only",SUM(BattCalcs!BL87:BY87),SUM(PVCalcs!AF87:AI87)+SUM(BattCalcs!BL87:BY87)))</f>
        <v>-1375</v>
      </c>
      <c r="AX87" s="144">
        <f>IF('PV IN'!$F$4="Battery Only",0,-PVLoan!F115)</f>
        <v>0</v>
      </c>
      <c r="AY87" s="144">
        <f>IF('PV IN'!$F$4="PV Only",0,-BattLoan!F115)</f>
        <v>0</v>
      </c>
      <c r="AZ87" s="144">
        <f>IF('PV IN'!$F$4="Battery Only",0,-PVLoan!H115)</f>
        <v>0</v>
      </c>
      <c r="BA87" s="144">
        <f>IF('PV IN'!$F$4="PV Only",0,-BattLoan!H115)</f>
        <v>0</v>
      </c>
    </row>
    <row r="88" spans="1:88" x14ac:dyDescent="0.25">
      <c r="A88">
        <f>IF(C88&lt;='PV IN'!$O$22*12,C88,"")</f>
        <v>84</v>
      </c>
      <c r="B88">
        <f>B76+1</f>
        <v>2032</v>
      </c>
      <c r="C88">
        <v>84</v>
      </c>
      <c r="D88" s="2">
        <f>BattCalcs!CK88+PVCalcs!AT88</f>
        <v>11832.720302740458</v>
      </c>
      <c r="E88" s="20">
        <f>PVCalcs!AV88</f>
        <v>-189960.38095726405</v>
      </c>
      <c r="F88" s="20">
        <f>PVCalcs!AW88</f>
        <v>8409.2934038092189</v>
      </c>
      <c r="G88" s="20">
        <f>PVCalcs!AX88</f>
        <v>-408052.70886931522</v>
      </c>
      <c r="H88" s="20">
        <f>BattCalcs!CM88</f>
        <v>0</v>
      </c>
      <c r="I88" s="20">
        <f>BattCalcs!CN88</f>
        <v>0</v>
      </c>
      <c r="J88" s="20">
        <f>IF(C88&lt;='Batt IN'!H$43*12,BattCalcs!CO88,NA())</f>
        <v>0</v>
      </c>
      <c r="L88" s="20">
        <f t="shared" si="142"/>
        <v>8409.2934038092189</v>
      </c>
      <c r="M88" s="20">
        <f>G88+BattCalcs!CO88</f>
        <v>-408052.70886931522</v>
      </c>
      <c r="O88" s="10">
        <f>PVLoan!G116</f>
        <v>0</v>
      </c>
      <c r="P88" s="10">
        <f>PVLoan!J116</f>
        <v>0</v>
      </c>
      <c r="Q88" s="2">
        <f>BattLoan!G116</f>
        <v>0</v>
      </c>
      <c r="R88" s="10">
        <f>BattLoan!J116</f>
        <v>0</v>
      </c>
      <c r="T88" s="33">
        <f>IF('PV IN'!$F$4="Battery Only",0,PVCalcs!G88)</f>
        <v>144288.21756184963</v>
      </c>
      <c r="U88" s="33">
        <f>IF('PV IN'!$F$4="Battery Only",0,PVCalcs!M88)</f>
        <v>144288.21756184963</v>
      </c>
      <c r="V88" s="33">
        <f>PVCalcs!L88</f>
        <v>25811.765833333331</v>
      </c>
      <c r="W88" s="158">
        <f>PVCalcs!F88</f>
        <v>7.6535864542804394E-2</v>
      </c>
      <c r="X88" s="144">
        <f>IF('PV IN'!$F$4="Battery Only",0,PVCalcs!Y88+PVCalcs!Z88)</f>
        <v>1875.746828304045</v>
      </c>
      <c r="Y88" s="144">
        <f>IF('PV IN'!$F$4="PV Only",0,BattCalcs!AX88+BattCalcs!BC88)</f>
        <v>0</v>
      </c>
      <c r="Z88" s="144">
        <f>IF('PV IN'!$F$4="PV Only",0,BattCalcs!AY88+BattCalcs!BD88)</f>
        <v>0</v>
      </c>
      <c r="AA88" s="144">
        <f>IF('PV IN'!$F$4="PV Only",0,BattCalcs!AZ88+BattCalcs!BE88)</f>
        <v>0</v>
      </c>
      <c r="AB88" s="144">
        <f>IF('PV IN'!$F$4="PV Only",0,BattCalcs!BA88+BattCalcs!BF88)</f>
        <v>0</v>
      </c>
      <c r="AC88" s="144">
        <f>IF('PV IN'!$F$4="PV Only",0,BattCalcs!BB88+BattCalcs!BG88)</f>
        <v>0</v>
      </c>
      <c r="AD88" s="144">
        <f>IF('PV IN'!$F$4="PV Only",0,BattCalcs!BU88)</f>
        <v>0</v>
      </c>
      <c r="AE88" s="144">
        <f>IF('PV IN'!$F$4="PV Only",PVCalcs!W88+PVCalcs!AA88,IF('PV IN'!$F$4="Battery Only",BattCalcs!AV88+BattCalcs!BH88,PVCalcs!W88+PVCalcs!AA88+BattCalcs!AV88+BattCalcs!BH88))</f>
        <v>0</v>
      </c>
      <c r="AF88" s="10">
        <f>PVCalcs!AC88+BattCalcs!BJ88</f>
        <v>0</v>
      </c>
      <c r="AG88" s="144">
        <f>IF('PV IN'!$F$4="Battery Only",0,PVCalcs!AG88)</f>
        <v>-750</v>
      </c>
      <c r="AH88" s="144">
        <f>IF('PV IN'!$F$4="Battery Only",0,PVCalcs!AI88)</f>
        <v>0</v>
      </c>
      <c r="AI88" s="144">
        <f>IF('PV IN'!$F$4="PV Only",0,BattCalcs!BM88)</f>
        <v>0</v>
      </c>
      <c r="AJ88" s="144">
        <f>IF('PV IN'!$F$4="PV Only",0,SUM(BattCalcs!BO88:BT88))</f>
        <v>0</v>
      </c>
      <c r="AK88" s="144">
        <f>IF('PV IN'!$F$4="PV Only",PVCalcs!AH88,IF('PV IN'!$F$4="Battery Only",BattCalcs!BN88,PVCalcs!AH88+BattCalcs!BN88))</f>
        <v>-625</v>
      </c>
      <c r="AL88" s="144">
        <f>IF('PV IN'!$F$4="PV Only",0,BattCalcs!BV88)</f>
        <v>0</v>
      </c>
      <c r="AM88" s="144">
        <f>IF('PV IN'!$F$4="PV Only",0,SUM(BattCalcs!BW88:BX88))</f>
        <v>0</v>
      </c>
      <c r="AN88" s="144">
        <f>IF('PV IN'!$F$4="PV Only",0,BattCalcs!BY88)</f>
        <v>0</v>
      </c>
      <c r="AO88" s="144">
        <f>IF('PV IN'!$F$4="Battery Only",0,PVCalcs!U88)</f>
        <v>11043.223474436412</v>
      </c>
      <c r="AP88" s="10">
        <f>IF('PV IN'!$F$4="PV Only",0,BattCalcs!AS88)</f>
        <v>0</v>
      </c>
      <c r="AQ88" s="10">
        <f>IF('PV IN'!$F$4="PV Only",0,BattCalcs!AT88)</f>
        <v>0</v>
      </c>
      <c r="AR88" s="10">
        <f>IF('PV IN'!$F$4="PV Only",0,BattCalcs!AU88)</f>
        <v>0</v>
      </c>
      <c r="AS88" s="144">
        <f>IF('PV IN'!$F$4="PV Only",PVCalcs!X88,IF('PV IN'!$F$4="Battery Only",BattCalcs!AW88,PVCalcs!X88+BattCalcs!AW88))</f>
        <v>0</v>
      </c>
      <c r="AT88" s="144">
        <f>IF('PV IN'!$F$4="Battery Only",0,-PVCalcs!AQ88*'PV IN'!$E$8)</f>
        <v>0</v>
      </c>
      <c r="AU88" s="144">
        <f>IF('PV IN'!$F$4="PV Only",0,-BattCalcs!CG88*'PV IN'!$E$8)</f>
        <v>0</v>
      </c>
      <c r="AV88" s="144">
        <f>IF('PV IN'!$F$4="PV Only",PVCalcs!Z88+PVCalcs!AA88,IF('PV IN'!$F$4="Battery Only",SUM(BattCalcs!BC88:BH88),PVCalcs!Z88+PVCalcs!AA88+SUM(BattCalcs!BC88:BH88)))</f>
        <v>0</v>
      </c>
      <c r="AW88" s="144">
        <f>IF('PV IN'!$F$4="PV Only",SUM(PVCalcs!AF88:AI88),IF('PV IN'!$F$4="Battery Only",SUM(BattCalcs!BL88:BY88),SUM(PVCalcs!AF88:AI88)+SUM(BattCalcs!BL88:BY88)))</f>
        <v>-1375</v>
      </c>
      <c r="AX88" s="144">
        <f>IF('PV IN'!$F$4="Battery Only",0,-PVLoan!F116)</f>
        <v>0</v>
      </c>
      <c r="AY88" s="144">
        <f>IF('PV IN'!$F$4="PV Only",0,-BattLoan!F116)</f>
        <v>0</v>
      </c>
      <c r="AZ88" s="144">
        <f>IF('PV IN'!$F$4="Battery Only",0,-PVLoan!H116)</f>
        <v>0</v>
      </c>
      <c r="BA88" s="144">
        <f>IF('PV IN'!$F$4="PV Only",0,-BattLoan!H116)</f>
        <v>0</v>
      </c>
      <c r="BC88" s="33">
        <f t="shared" ref="BC88" si="177">SUM(T77:T88)</f>
        <v>1737825.6758311305</v>
      </c>
      <c r="BD88" s="33">
        <f t="shared" ref="BD88" si="178">SUM(U77:U88)</f>
        <v>1737825.6758311305</v>
      </c>
      <c r="BE88" s="33">
        <f t="shared" ref="BE88" si="179">SUM(V77:V88)</f>
        <v>309741.19</v>
      </c>
      <c r="BF88" s="50">
        <f t="shared" ref="BF88" si="180">W88</f>
        <v>7.6535864542804394E-2</v>
      </c>
      <c r="BG88" s="2">
        <f t="shared" ref="BG88" si="181">SUM(X77:X88)</f>
        <v>22591.733785804692</v>
      </c>
      <c r="BH88" s="2">
        <f t="shared" ref="BH88" si="182">SUM(Y77:Y88)</f>
        <v>0</v>
      </c>
      <c r="BI88" s="2">
        <f t="shared" ref="BI88" si="183">SUM(Z77:Z88)</f>
        <v>0</v>
      </c>
      <c r="BJ88" s="2">
        <f t="shared" ref="BJ88" si="184">SUM(AA77:AA88)</f>
        <v>0</v>
      </c>
      <c r="BK88" s="2">
        <f t="shared" ref="BK88" si="185">SUM(AB77:AB88)</f>
        <v>0</v>
      </c>
      <c r="BL88" s="2">
        <f t="shared" ref="BL88" si="186">SUM(AC77:AC88)</f>
        <v>0</v>
      </c>
      <c r="BM88" s="2">
        <f t="shared" ref="BM88" si="187">SUM(AD77:AD88)</f>
        <v>0</v>
      </c>
      <c r="BN88" s="2">
        <f t="shared" ref="BN88" si="188">SUM(AE77:AE88)</f>
        <v>0</v>
      </c>
      <c r="BO88" s="2">
        <f t="shared" ref="BO88" si="189">SUM(AF77:AF88)</f>
        <v>0</v>
      </c>
      <c r="BP88" s="2">
        <f t="shared" ref="BP88" si="190">SUM(AG77:AG88)</f>
        <v>-9000</v>
      </c>
      <c r="BQ88" s="2">
        <f t="shared" ref="BQ88" si="191">SUM(AH77:AH88)</f>
        <v>0</v>
      </c>
      <c r="BR88" s="2">
        <f t="shared" ref="BR88" si="192">SUM(AI77:AI88)</f>
        <v>0</v>
      </c>
      <c r="BS88" s="2">
        <f t="shared" ref="BS88" si="193">SUM(AJ77:AJ88)</f>
        <v>0</v>
      </c>
      <c r="BT88" s="2">
        <f t="shared" ref="BT88" si="194">SUM(AK77:AK88)</f>
        <v>-7500</v>
      </c>
      <c r="BU88" s="2">
        <f t="shared" ref="BU88" si="195">SUM(AL77:AL88)</f>
        <v>0</v>
      </c>
      <c r="BV88" s="2">
        <f t="shared" ref="BV88" si="196">SUM(AM77:AM88)</f>
        <v>0</v>
      </c>
      <c r="BW88" s="2">
        <f t="shared" ref="BW88" si="197">SUM(AN77:AN88)</f>
        <v>0</v>
      </c>
      <c r="BX88" s="2">
        <f t="shared" ref="BX88" si="198">SUM(AO77:AO88)</f>
        <v>133005.99052441888</v>
      </c>
      <c r="BY88" s="2">
        <f t="shared" ref="BY88" si="199">SUM(AP77:AP88)</f>
        <v>0</v>
      </c>
      <c r="BZ88" s="2">
        <f t="shared" ref="BZ88" si="200">SUM(AQ77:AQ88)</f>
        <v>0</v>
      </c>
      <c r="CA88" s="2">
        <f t="shared" ref="CA88" si="201">SUM(AR77:AR88)</f>
        <v>0</v>
      </c>
      <c r="CB88" s="2">
        <f t="shared" ref="CB88" si="202">SUM(AS77:AS88)</f>
        <v>0</v>
      </c>
      <c r="CC88" s="2">
        <f t="shared" ref="CC88" si="203">SUM(AT77:AT88)</f>
        <v>0</v>
      </c>
      <c r="CD88" s="2">
        <f t="shared" ref="CD88" si="204">SUM(AU77:AU88)</f>
        <v>0</v>
      </c>
      <c r="CE88" s="2">
        <f t="shared" ref="CE88" si="205">SUM(AV77:AV88)</f>
        <v>0</v>
      </c>
      <c r="CF88" s="2">
        <f t="shared" ref="CF88" si="206">SUM(AW77:AW88)</f>
        <v>-16500</v>
      </c>
      <c r="CG88" s="2">
        <f t="shared" ref="CG88" si="207">SUM(AX77:AX88)</f>
        <v>0</v>
      </c>
      <c r="CH88" s="2">
        <f t="shared" ref="CH88" si="208">SUM(AY77:AY88)</f>
        <v>0</v>
      </c>
      <c r="CI88" s="2">
        <f t="shared" ref="CI88" si="209">SUM(AZ77:AZ88)</f>
        <v>0</v>
      </c>
      <c r="CJ88" s="2">
        <f t="shared" ref="CJ88" si="210">SUM(BA77:BA88)</f>
        <v>0</v>
      </c>
    </row>
    <row r="89" spans="1:88" x14ac:dyDescent="0.25">
      <c r="A89">
        <f>IF(C89&lt;='PV IN'!$O$22*12,C89,"")</f>
        <v>85</v>
      </c>
      <c r="C89">
        <v>85</v>
      </c>
      <c r="D89" s="2">
        <f>BattCalcs!CK89+PVCalcs!AT89</f>
        <v>11888.579460891306</v>
      </c>
      <c r="E89" s="20">
        <f>PVCalcs!AV89</f>
        <v>-178071.80149637273</v>
      </c>
      <c r="F89" s="20">
        <f>PVCalcs!AW89</f>
        <v>8414.7088989660551</v>
      </c>
      <c r="G89" s="20">
        <f>PVCalcs!AX89</f>
        <v>-399637.99997034913</v>
      </c>
      <c r="H89" s="20">
        <f>BattCalcs!CM89</f>
        <v>0</v>
      </c>
      <c r="I89" s="20">
        <f>BattCalcs!CN89</f>
        <v>0</v>
      </c>
      <c r="J89" s="20">
        <f>IF(C89&lt;='Batt IN'!H$43*12,BattCalcs!CO89,NA())</f>
        <v>0</v>
      </c>
      <c r="L89" s="20">
        <f t="shared" si="142"/>
        <v>8414.7088989660551</v>
      </c>
      <c r="M89" s="20">
        <f>G89+BattCalcs!CO89</f>
        <v>-399637.99997034913</v>
      </c>
      <c r="O89" s="10">
        <f>PVLoan!G117</f>
        <v>0</v>
      </c>
      <c r="P89" s="10">
        <f>PVLoan!J117</f>
        <v>0</v>
      </c>
      <c r="Q89" s="2">
        <f>BattLoan!G117</f>
        <v>0</v>
      </c>
      <c r="R89" s="10">
        <f>BattLoan!J117</f>
        <v>0</v>
      </c>
      <c r="T89" s="33">
        <f>IF('PV IN'!$F$4="Battery Only",0,PVCalcs!G89)</f>
        <v>144192.02541680841</v>
      </c>
      <c r="U89" s="33">
        <f>IF('PV IN'!$F$4="Battery Only",0,PVCalcs!M89)</f>
        <v>144192.02541680841</v>
      </c>
      <c r="V89" s="33">
        <f>PVCalcs!L89</f>
        <v>25811.765833333331</v>
      </c>
      <c r="W89" s="158">
        <f>PVCalcs!F89</f>
        <v>7.6982989165910107E-2</v>
      </c>
      <c r="X89" s="144">
        <f>IF('PV IN'!$F$4="Battery Only",0,PVCalcs!Y89+PVCalcs!Z89)</f>
        <v>1874.4963304185092</v>
      </c>
      <c r="Y89" s="144">
        <f>IF('PV IN'!$F$4="PV Only",0,BattCalcs!AX89+BattCalcs!BC89)</f>
        <v>0</v>
      </c>
      <c r="Z89" s="144">
        <f>IF('PV IN'!$F$4="PV Only",0,BattCalcs!AY89+BattCalcs!BD89)</f>
        <v>0</v>
      </c>
      <c r="AA89" s="144">
        <f>IF('PV IN'!$F$4="PV Only",0,BattCalcs!AZ89+BattCalcs!BE89)</f>
        <v>0</v>
      </c>
      <c r="AB89" s="144">
        <f>IF('PV IN'!$F$4="PV Only",0,BattCalcs!BA89+BattCalcs!BF89)</f>
        <v>0</v>
      </c>
      <c r="AC89" s="144">
        <f>IF('PV IN'!$F$4="PV Only",0,BattCalcs!BB89+BattCalcs!BG89)</f>
        <v>0</v>
      </c>
      <c r="AD89" s="144">
        <f>IF('PV IN'!$F$4="PV Only",0,BattCalcs!BU89)</f>
        <v>0</v>
      </c>
      <c r="AE89" s="144">
        <f>IF('PV IN'!$F$4="PV Only",PVCalcs!W89+PVCalcs!AA89,IF('PV IN'!$F$4="Battery Only",BattCalcs!AV89+BattCalcs!BH89,PVCalcs!W89+PVCalcs!AA89+BattCalcs!AV89+BattCalcs!BH89))</f>
        <v>0</v>
      </c>
      <c r="AF89" s="10">
        <f>PVCalcs!AC89+BattCalcs!BJ89</f>
        <v>0</v>
      </c>
      <c r="AG89" s="144">
        <f>IF('PV IN'!$F$4="Battery Only",0,PVCalcs!AG89)</f>
        <v>-750</v>
      </c>
      <c r="AH89" s="144">
        <f>IF('PV IN'!$F$4="Battery Only",0,PVCalcs!AI89)</f>
        <v>0</v>
      </c>
      <c r="AI89" s="144">
        <f>IF('PV IN'!$F$4="PV Only",0,BattCalcs!BM89)</f>
        <v>0</v>
      </c>
      <c r="AJ89" s="144">
        <f>IF('PV IN'!$F$4="PV Only",0,SUM(BattCalcs!BO89:BT89))</f>
        <v>0</v>
      </c>
      <c r="AK89" s="144">
        <f>IF('PV IN'!$F$4="PV Only",PVCalcs!AH89,IF('PV IN'!$F$4="Battery Only",BattCalcs!BN89,PVCalcs!AH89+BattCalcs!BN89))</f>
        <v>-625</v>
      </c>
      <c r="AL89" s="144">
        <f>IF('PV IN'!$F$4="PV Only",0,BattCalcs!BV89)</f>
        <v>0</v>
      </c>
      <c r="AM89" s="144">
        <f>IF('PV IN'!$F$4="PV Only",0,SUM(BattCalcs!BW89:BX89))</f>
        <v>0</v>
      </c>
      <c r="AN89" s="144">
        <f>IF('PV IN'!$F$4="PV Only",0,BattCalcs!BY89)</f>
        <v>0</v>
      </c>
      <c r="AO89" s="144">
        <f>IF('PV IN'!$F$4="Battery Only",0,PVCalcs!U89)</f>
        <v>11100.333130472796</v>
      </c>
      <c r="AP89" s="10">
        <f>IF('PV IN'!$F$4="PV Only",0,BattCalcs!AS89)</f>
        <v>0</v>
      </c>
      <c r="AQ89" s="10">
        <f>IF('PV IN'!$F$4="PV Only",0,BattCalcs!AT89)</f>
        <v>0</v>
      </c>
      <c r="AR89" s="10">
        <f>IF('PV IN'!$F$4="PV Only",0,BattCalcs!AU89)</f>
        <v>0</v>
      </c>
      <c r="AS89" s="144">
        <f>IF('PV IN'!$F$4="PV Only",PVCalcs!X89,IF('PV IN'!$F$4="Battery Only",BattCalcs!AW89,PVCalcs!X89+BattCalcs!AW89))</f>
        <v>0</v>
      </c>
      <c r="AT89" s="144">
        <f>IF('PV IN'!$F$4="Battery Only",0,-PVCalcs!AQ89*'PV IN'!$E$8)</f>
        <v>0</v>
      </c>
      <c r="AU89" s="144">
        <f>IF('PV IN'!$F$4="PV Only",0,-BattCalcs!CG89*'PV IN'!$E$8)</f>
        <v>0</v>
      </c>
      <c r="AV89" s="144">
        <f>IF('PV IN'!$F$4="PV Only",PVCalcs!Z89+PVCalcs!AA89,IF('PV IN'!$F$4="Battery Only",SUM(BattCalcs!BC89:BH89),PVCalcs!Z89+PVCalcs!AA89+SUM(BattCalcs!BC89:BH89)))</f>
        <v>0</v>
      </c>
      <c r="AW89" s="144">
        <f>IF('PV IN'!$F$4="PV Only",SUM(PVCalcs!AF89:AI89),IF('PV IN'!$F$4="Battery Only",SUM(BattCalcs!BL89:BY89),SUM(PVCalcs!AF89:AI89)+SUM(BattCalcs!BL89:BY89)))</f>
        <v>-1375</v>
      </c>
      <c r="AX89" s="144">
        <f>IF('PV IN'!$F$4="Battery Only",0,-PVLoan!F117)</f>
        <v>0</v>
      </c>
      <c r="AY89" s="144">
        <f>IF('PV IN'!$F$4="PV Only",0,-BattLoan!F117)</f>
        <v>0</v>
      </c>
      <c r="AZ89" s="144">
        <f>IF('PV IN'!$F$4="Battery Only",0,-PVLoan!H117)</f>
        <v>0</v>
      </c>
      <c r="BA89" s="144">
        <f>IF('PV IN'!$F$4="PV Only",0,-BattLoan!H117)</f>
        <v>0</v>
      </c>
    </row>
    <row r="90" spans="1:88" x14ac:dyDescent="0.25">
      <c r="A90">
        <f>IF(C90&lt;='PV IN'!$O$22*12,C90,"")</f>
        <v>86</v>
      </c>
      <c r="C90">
        <v>86</v>
      </c>
      <c r="D90" s="2">
        <f>BattCalcs!CK90+PVCalcs!AT90</f>
        <v>11879.929574584043</v>
      </c>
      <c r="E90" s="20">
        <f>PVCalcs!AV90</f>
        <v>-166191.8719217887</v>
      </c>
      <c r="F90" s="20">
        <f>PVCalcs!AW90</f>
        <v>8374.4679106603617</v>
      </c>
      <c r="G90" s="20">
        <f>PVCalcs!AX90</f>
        <v>-391263.53205968876</v>
      </c>
      <c r="H90" s="20">
        <f>BattCalcs!CM90</f>
        <v>0</v>
      </c>
      <c r="I90" s="20">
        <f>BattCalcs!CN90</f>
        <v>0</v>
      </c>
      <c r="J90" s="20">
        <f>IF(C90&lt;='Batt IN'!H$43*12,BattCalcs!CO90,NA())</f>
        <v>0</v>
      </c>
      <c r="L90" s="20">
        <f t="shared" si="142"/>
        <v>8374.4679106603617</v>
      </c>
      <c r="M90" s="20">
        <f>G90+BattCalcs!CO90</f>
        <v>-391263.53205968876</v>
      </c>
      <c r="O90" s="10">
        <f>PVLoan!G118</f>
        <v>0</v>
      </c>
      <c r="P90" s="10">
        <f>PVLoan!J118</f>
        <v>0</v>
      </c>
      <c r="Q90" s="2">
        <f>BattLoan!G118</f>
        <v>0</v>
      </c>
      <c r="R90" s="10">
        <f>BattLoan!J118</f>
        <v>0</v>
      </c>
      <c r="T90" s="33">
        <f>IF('PV IN'!$F$4="Battery Only",0,PVCalcs!G90)</f>
        <v>144095.89739986384</v>
      </c>
      <c r="U90" s="33">
        <f>IF('PV IN'!$F$4="Battery Only",0,PVCalcs!M90)</f>
        <v>144095.89739986384</v>
      </c>
      <c r="V90" s="33">
        <f>PVCalcs!L90</f>
        <v>25811.765833333331</v>
      </c>
      <c r="W90" s="158">
        <f>PVCalcs!F90</f>
        <v>7.6982989165910107E-2</v>
      </c>
      <c r="X90" s="144">
        <f>IF('PV IN'!$F$4="Battery Only",0,PVCalcs!Y90+PVCalcs!Z90)</f>
        <v>1873.2466661982298</v>
      </c>
      <c r="Y90" s="144">
        <f>IF('PV IN'!$F$4="PV Only",0,BattCalcs!AX90+BattCalcs!BC90)</f>
        <v>0</v>
      </c>
      <c r="Z90" s="144">
        <f>IF('PV IN'!$F$4="PV Only",0,BattCalcs!AY90+BattCalcs!BD90)</f>
        <v>0</v>
      </c>
      <c r="AA90" s="144">
        <f>IF('PV IN'!$F$4="PV Only",0,BattCalcs!AZ90+BattCalcs!BE90)</f>
        <v>0</v>
      </c>
      <c r="AB90" s="144">
        <f>IF('PV IN'!$F$4="PV Only",0,BattCalcs!BA90+BattCalcs!BF90)</f>
        <v>0</v>
      </c>
      <c r="AC90" s="144">
        <f>IF('PV IN'!$F$4="PV Only",0,BattCalcs!BB90+BattCalcs!BG90)</f>
        <v>0</v>
      </c>
      <c r="AD90" s="144">
        <f>IF('PV IN'!$F$4="PV Only",0,BattCalcs!BU90)</f>
        <v>0</v>
      </c>
      <c r="AE90" s="144">
        <f>IF('PV IN'!$F$4="PV Only",PVCalcs!W90+PVCalcs!AA90,IF('PV IN'!$F$4="Battery Only",BattCalcs!AV90+BattCalcs!BH90,PVCalcs!W90+PVCalcs!AA90+BattCalcs!AV90+BattCalcs!BH90))</f>
        <v>0</v>
      </c>
      <c r="AF90" s="10">
        <f>PVCalcs!AC90+BattCalcs!BJ90</f>
        <v>0</v>
      </c>
      <c r="AG90" s="144">
        <f>IF('PV IN'!$F$4="Battery Only",0,PVCalcs!AG90)</f>
        <v>-750</v>
      </c>
      <c r="AH90" s="144">
        <f>IF('PV IN'!$F$4="Battery Only",0,PVCalcs!AI90)</f>
        <v>0</v>
      </c>
      <c r="AI90" s="144">
        <f>IF('PV IN'!$F$4="PV Only",0,BattCalcs!BM90)</f>
        <v>0</v>
      </c>
      <c r="AJ90" s="144">
        <f>IF('PV IN'!$F$4="PV Only",0,SUM(BattCalcs!BO90:BT90))</f>
        <v>0</v>
      </c>
      <c r="AK90" s="144">
        <f>IF('PV IN'!$F$4="PV Only",PVCalcs!AH90,IF('PV IN'!$F$4="Battery Only",BattCalcs!BN90,PVCalcs!AH90+BattCalcs!BN90))</f>
        <v>-625</v>
      </c>
      <c r="AL90" s="144">
        <f>IF('PV IN'!$F$4="PV Only",0,BattCalcs!BV90)</f>
        <v>0</v>
      </c>
      <c r="AM90" s="144">
        <f>IF('PV IN'!$F$4="PV Only",0,SUM(BattCalcs!BW90:BX90))</f>
        <v>0</v>
      </c>
      <c r="AN90" s="144">
        <f>IF('PV IN'!$F$4="PV Only",0,BattCalcs!BY90)</f>
        <v>0</v>
      </c>
      <c r="AO90" s="144">
        <f>IF('PV IN'!$F$4="Battery Only",0,PVCalcs!U90)</f>
        <v>11092.932908385812</v>
      </c>
      <c r="AP90" s="10">
        <f>IF('PV IN'!$F$4="PV Only",0,BattCalcs!AS90)</f>
        <v>0</v>
      </c>
      <c r="AQ90" s="10">
        <f>IF('PV IN'!$F$4="PV Only",0,BattCalcs!AT90)</f>
        <v>0</v>
      </c>
      <c r="AR90" s="10">
        <f>IF('PV IN'!$F$4="PV Only",0,BattCalcs!AU90)</f>
        <v>0</v>
      </c>
      <c r="AS90" s="144">
        <f>IF('PV IN'!$F$4="PV Only",PVCalcs!X90,IF('PV IN'!$F$4="Battery Only",BattCalcs!AW90,PVCalcs!X90+BattCalcs!AW90))</f>
        <v>0</v>
      </c>
      <c r="AT90" s="144">
        <f>IF('PV IN'!$F$4="Battery Only",0,-PVCalcs!AQ90*'PV IN'!$E$8)</f>
        <v>0</v>
      </c>
      <c r="AU90" s="144">
        <f>IF('PV IN'!$F$4="PV Only",0,-BattCalcs!CG90*'PV IN'!$E$8)</f>
        <v>0</v>
      </c>
      <c r="AV90" s="144">
        <f>IF('PV IN'!$F$4="PV Only",PVCalcs!Z90+PVCalcs!AA90,IF('PV IN'!$F$4="Battery Only",SUM(BattCalcs!BC90:BH90),PVCalcs!Z90+PVCalcs!AA90+SUM(BattCalcs!BC90:BH90)))</f>
        <v>0</v>
      </c>
      <c r="AW90" s="144">
        <f>IF('PV IN'!$F$4="PV Only",SUM(PVCalcs!AF90:AI90),IF('PV IN'!$F$4="Battery Only",SUM(BattCalcs!BL90:BY90),SUM(PVCalcs!AF90:AI90)+SUM(BattCalcs!BL90:BY90)))</f>
        <v>-1375</v>
      </c>
      <c r="AX90" s="144">
        <f>IF('PV IN'!$F$4="Battery Only",0,-PVLoan!F118)</f>
        <v>0</v>
      </c>
      <c r="AY90" s="144">
        <f>IF('PV IN'!$F$4="PV Only",0,-BattLoan!F118)</f>
        <v>0</v>
      </c>
      <c r="AZ90" s="144">
        <f>IF('PV IN'!$F$4="Battery Only",0,-PVLoan!H118)</f>
        <v>0</v>
      </c>
      <c r="BA90" s="144">
        <f>IF('PV IN'!$F$4="PV Only",0,-BattLoan!H118)</f>
        <v>0</v>
      </c>
    </row>
    <row r="91" spans="1:88" x14ac:dyDescent="0.25">
      <c r="A91">
        <f>IF(C91&lt;='PV IN'!$O$22*12,C91,"")</f>
        <v>87</v>
      </c>
      <c r="C91">
        <v>87</v>
      </c>
      <c r="D91" s="2">
        <f>BattCalcs!CK91+PVCalcs!AT91</f>
        <v>11871.285454867653</v>
      </c>
      <c r="E91" s="20">
        <f>PVCalcs!AV91</f>
        <v>-154320.58646692106</v>
      </c>
      <c r="F91" s="20">
        <f>PVCalcs!AW91</f>
        <v>8334.4189936991297</v>
      </c>
      <c r="G91" s="20">
        <f>PVCalcs!AX91</f>
        <v>-382929.11306598963</v>
      </c>
      <c r="H91" s="20">
        <f>BattCalcs!CM91</f>
        <v>0</v>
      </c>
      <c r="I91" s="20">
        <f>BattCalcs!CN91</f>
        <v>0</v>
      </c>
      <c r="J91" s="20">
        <f>IF(C91&lt;='Batt IN'!H$43*12,BattCalcs!CO91,NA())</f>
        <v>0</v>
      </c>
      <c r="L91" s="20">
        <f t="shared" si="142"/>
        <v>8334.4189936991297</v>
      </c>
      <c r="M91" s="20">
        <f>G91+BattCalcs!CO91</f>
        <v>-382929.11306598963</v>
      </c>
      <c r="O91" s="10">
        <f>PVLoan!G119</f>
        <v>0</v>
      </c>
      <c r="P91" s="10">
        <f>PVLoan!J119</f>
        <v>0</v>
      </c>
      <c r="Q91" s="2">
        <f>BattLoan!G119</f>
        <v>0</v>
      </c>
      <c r="R91" s="10">
        <f>BattLoan!J119</f>
        <v>0</v>
      </c>
      <c r="T91" s="33">
        <f>IF('PV IN'!$F$4="Battery Only",0,PVCalcs!G91)</f>
        <v>143999.83346826394</v>
      </c>
      <c r="U91" s="33">
        <f>IF('PV IN'!$F$4="Battery Only",0,PVCalcs!M91)</f>
        <v>143999.83346826394</v>
      </c>
      <c r="V91" s="33">
        <f>PVCalcs!L91</f>
        <v>25811.765833333331</v>
      </c>
      <c r="W91" s="158">
        <f>PVCalcs!F91</f>
        <v>7.6982989165910107E-2</v>
      </c>
      <c r="X91" s="144">
        <f>IF('PV IN'!$F$4="Battery Only",0,PVCalcs!Y91+PVCalcs!Z91)</f>
        <v>1871.9978350874312</v>
      </c>
      <c r="Y91" s="144">
        <f>IF('PV IN'!$F$4="PV Only",0,BattCalcs!AX91+BattCalcs!BC91)</f>
        <v>0</v>
      </c>
      <c r="Z91" s="144">
        <f>IF('PV IN'!$F$4="PV Only",0,BattCalcs!AY91+BattCalcs!BD91)</f>
        <v>0</v>
      </c>
      <c r="AA91" s="144">
        <f>IF('PV IN'!$F$4="PV Only",0,BattCalcs!AZ91+BattCalcs!BE91)</f>
        <v>0</v>
      </c>
      <c r="AB91" s="144">
        <f>IF('PV IN'!$F$4="PV Only",0,BattCalcs!BA91+BattCalcs!BF91)</f>
        <v>0</v>
      </c>
      <c r="AC91" s="144">
        <f>IF('PV IN'!$F$4="PV Only",0,BattCalcs!BB91+BattCalcs!BG91)</f>
        <v>0</v>
      </c>
      <c r="AD91" s="144">
        <f>IF('PV IN'!$F$4="PV Only",0,BattCalcs!BU91)</f>
        <v>0</v>
      </c>
      <c r="AE91" s="144">
        <f>IF('PV IN'!$F$4="PV Only",PVCalcs!W91+PVCalcs!AA91,IF('PV IN'!$F$4="Battery Only",BattCalcs!AV91+BattCalcs!BH91,PVCalcs!W91+PVCalcs!AA91+BattCalcs!AV91+BattCalcs!BH91))</f>
        <v>0</v>
      </c>
      <c r="AF91" s="10">
        <f>PVCalcs!AC91+BattCalcs!BJ91</f>
        <v>0</v>
      </c>
      <c r="AG91" s="144">
        <f>IF('PV IN'!$F$4="Battery Only",0,PVCalcs!AG91)</f>
        <v>-750</v>
      </c>
      <c r="AH91" s="144">
        <f>IF('PV IN'!$F$4="Battery Only",0,PVCalcs!AI91)</f>
        <v>0</v>
      </c>
      <c r="AI91" s="144">
        <f>IF('PV IN'!$F$4="PV Only",0,BattCalcs!BM91)</f>
        <v>0</v>
      </c>
      <c r="AJ91" s="144">
        <f>IF('PV IN'!$F$4="PV Only",0,SUM(BattCalcs!BO91:BT91))</f>
        <v>0</v>
      </c>
      <c r="AK91" s="144">
        <f>IF('PV IN'!$F$4="PV Only",PVCalcs!AH91,IF('PV IN'!$F$4="Battery Only",BattCalcs!BN91,PVCalcs!AH91+BattCalcs!BN91))</f>
        <v>-625</v>
      </c>
      <c r="AL91" s="144">
        <f>IF('PV IN'!$F$4="PV Only",0,BattCalcs!BV91)</f>
        <v>0</v>
      </c>
      <c r="AM91" s="144">
        <f>IF('PV IN'!$F$4="PV Only",0,SUM(BattCalcs!BW91:BX91))</f>
        <v>0</v>
      </c>
      <c r="AN91" s="144">
        <f>IF('PV IN'!$F$4="PV Only",0,BattCalcs!BY91)</f>
        <v>0</v>
      </c>
      <c r="AO91" s="144">
        <f>IF('PV IN'!$F$4="Battery Only",0,PVCalcs!U91)</f>
        <v>11085.537619780222</v>
      </c>
      <c r="AP91" s="10">
        <f>IF('PV IN'!$F$4="PV Only",0,BattCalcs!AS91)</f>
        <v>0</v>
      </c>
      <c r="AQ91" s="10">
        <f>IF('PV IN'!$F$4="PV Only",0,BattCalcs!AT91)</f>
        <v>0</v>
      </c>
      <c r="AR91" s="10">
        <f>IF('PV IN'!$F$4="PV Only",0,BattCalcs!AU91)</f>
        <v>0</v>
      </c>
      <c r="AS91" s="144">
        <f>IF('PV IN'!$F$4="PV Only",PVCalcs!X91,IF('PV IN'!$F$4="Battery Only",BattCalcs!AW91,PVCalcs!X91+BattCalcs!AW91))</f>
        <v>0</v>
      </c>
      <c r="AT91" s="144">
        <f>IF('PV IN'!$F$4="Battery Only",0,-PVCalcs!AQ91*'PV IN'!$E$8)</f>
        <v>0</v>
      </c>
      <c r="AU91" s="144">
        <f>IF('PV IN'!$F$4="PV Only",0,-BattCalcs!CG91*'PV IN'!$E$8)</f>
        <v>0</v>
      </c>
      <c r="AV91" s="144">
        <f>IF('PV IN'!$F$4="PV Only",PVCalcs!Z91+PVCalcs!AA91,IF('PV IN'!$F$4="Battery Only",SUM(BattCalcs!BC91:BH91),PVCalcs!Z91+PVCalcs!AA91+SUM(BattCalcs!BC91:BH91)))</f>
        <v>0</v>
      </c>
      <c r="AW91" s="144">
        <f>IF('PV IN'!$F$4="PV Only",SUM(PVCalcs!AF91:AI91),IF('PV IN'!$F$4="Battery Only",SUM(BattCalcs!BL91:BY91),SUM(PVCalcs!AF91:AI91)+SUM(BattCalcs!BL91:BY91)))</f>
        <v>-1375</v>
      </c>
      <c r="AX91" s="144">
        <f>IF('PV IN'!$F$4="Battery Only",0,-PVLoan!F119)</f>
        <v>0</v>
      </c>
      <c r="AY91" s="144">
        <f>IF('PV IN'!$F$4="PV Only",0,-BattLoan!F119)</f>
        <v>0</v>
      </c>
      <c r="AZ91" s="144">
        <f>IF('PV IN'!$F$4="Battery Only",0,-PVLoan!H119)</f>
        <v>0</v>
      </c>
      <c r="BA91" s="144">
        <f>IF('PV IN'!$F$4="PV Only",0,-BattLoan!H119)</f>
        <v>0</v>
      </c>
    </row>
    <row r="92" spans="1:88" x14ac:dyDescent="0.25">
      <c r="A92">
        <f>IF(C92&lt;='PV IN'!$O$22*12,C92,"")</f>
        <v>88</v>
      </c>
      <c r="C92">
        <v>88</v>
      </c>
      <c r="D92" s="2">
        <f>BattCalcs!CK92+PVCalcs!AT92</f>
        <v>11862.647097897741</v>
      </c>
      <c r="E92" s="20">
        <f>PVCalcs!AV92</f>
        <v>-142457.93936902331</v>
      </c>
      <c r="F92" s="20">
        <f>PVCalcs!AW92</f>
        <v>8294.5612328024454</v>
      </c>
      <c r="G92" s="20">
        <f>PVCalcs!AX92</f>
        <v>-374634.55183318717</v>
      </c>
      <c r="H92" s="20">
        <f>BattCalcs!CM92</f>
        <v>0</v>
      </c>
      <c r="I92" s="20">
        <f>BattCalcs!CN92</f>
        <v>0</v>
      </c>
      <c r="J92" s="20">
        <f>IF(C92&lt;='Batt IN'!H$43*12,BattCalcs!CO92,NA())</f>
        <v>0</v>
      </c>
      <c r="L92" s="20">
        <f t="shared" si="142"/>
        <v>8294.5612328024454</v>
      </c>
      <c r="M92" s="20">
        <f>G92+BattCalcs!CO92</f>
        <v>-374634.55183318717</v>
      </c>
      <c r="O92" s="10">
        <f>PVLoan!G120</f>
        <v>0</v>
      </c>
      <c r="P92" s="10">
        <f>PVLoan!J120</f>
        <v>0</v>
      </c>
      <c r="Q92" s="2">
        <f>BattLoan!G120</f>
        <v>0</v>
      </c>
      <c r="R92" s="10">
        <f>BattLoan!J120</f>
        <v>0</v>
      </c>
      <c r="T92" s="33">
        <f>IF('PV IN'!$F$4="Battery Only",0,PVCalcs!G92)</f>
        <v>143903.8335792851</v>
      </c>
      <c r="U92" s="33">
        <f>IF('PV IN'!$F$4="Battery Only",0,PVCalcs!M92)</f>
        <v>143903.8335792851</v>
      </c>
      <c r="V92" s="33">
        <f>PVCalcs!L92</f>
        <v>25811.765833333331</v>
      </c>
      <c r="W92" s="158">
        <f>PVCalcs!F92</f>
        <v>7.6982989165910107E-2</v>
      </c>
      <c r="X92" s="144">
        <f>IF('PV IN'!$F$4="Battery Only",0,PVCalcs!Y92+PVCalcs!Z92)</f>
        <v>1870.7498365307065</v>
      </c>
      <c r="Y92" s="144">
        <f>IF('PV IN'!$F$4="PV Only",0,BattCalcs!AX92+BattCalcs!BC92)</f>
        <v>0</v>
      </c>
      <c r="Z92" s="144">
        <f>IF('PV IN'!$F$4="PV Only",0,BattCalcs!AY92+BattCalcs!BD92)</f>
        <v>0</v>
      </c>
      <c r="AA92" s="144">
        <f>IF('PV IN'!$F$4="PV Only",0,BattCalcs!AZ92+BattCalcs!BE92)</f>
        <v>0</v>
      </c>
      <c r="AB92" s="144">
        <f>IF('PV IN'!$F$4="PV Only",0,BattCalcs!BA92+BattCalcs!BF92)</f>
        <v>0</v>
      </c>
      <c r="AC92" s="144">
        <f>IF('PV IN'!$F$4="PV Only",0,BattCalcs!BB92+BattCalcs!BG92)</f>
        <v>0</v>
      </c>
      <c r="AD92" s="144">
        <f>IF('PV IN'!$F$4="PV Only",0,BattCalcs!BU92)</f>
        <v>0</v>
      </c>
      <c r="AE92" s="144">
        <f>IF('PV IN'!$F$4="PV Only",PVCalcs!W92+PVCalcs!AA92,IF('PV IN'!$F$4="Battery Only",BattCalcs!AV92+BattCalcs!BH92,PVCalcs!W92+PVCalcs!AA92+BattCalcs!AV92+BattCalcs!BH92))</f>
        <v>0</v>
      </c>
      <c r="AF92" s="10">
        <f>PVCalcs!AC92+BattCalcs!BJ92</f>
        <v>0</v>
      </c>
      <c r="AG92" s="144">
        <f>IF('PV IN'!$F$4="Battery Only",0,PVCalcs!AG92)</f>
        <v>-750</v>
      </c>
      <c r="AH92" s="144">
        <f>IF('PV IN'!$F$4="Battery Only",0,PVCalcs!AI92)</f>
        <v>0</v>
      </c>
      <c r="AI92" s="144">
        <f>IF('PV IN'!$F$4="PV Only",0,BattCalcs!BM92)</f>
        <v>0</v>
      </c>
      <c r="AJ92" s="144">
        <f>IF('PV IN'!$F$4="PV Only",0,SUM(BattCalcs!BO92:BT92))</f>
        <v>0</v>
      </c>
      <c r="AK92" s="144">
        <f>IF('PV IN'!$F$4="PV Only",PVCalcs!AH92,IF('PV IN'!$F$4="Battery Only",BattCalcs!BN92,PVCalcs!AH92+BattCalcs!BN92))</f>
        <v>-625</v>
      </c>
      <c r="AL92" s="144">
        <f>IF('PV IN'!$F$4="PV Only",0,BattCalcs!BV92)</f>
        <v>0</v>
      </c>
      <c r="AM92" s="144">
        <f>IF('PV IN'!$F$4="PV Only",0,SUM(BattCalcs!BW92:BX92))</f>
        <v>0</v>
      </c>
      <c r="AN92" s="144">
        <f>IF('PV IN'!$F$4="PV Only",0,BattCalcs!BY92)</f>
        <v>0</v>
      </c>
      <c r="AO92" s="144">
        <f>IF('PV IN'!$F$4="Battery Only",0,PVCalcs!U92)</f>
        <v>11078.147261367036</v>
      </c>
      <c r="AP92" s="10">
        <f>IF('PV IN'!$F$4="PV Only",0,BattCalcs!AS92)</f>
        <v>0</v>
      </c>
      <c r="AQ92" s="10">
        <f>IF('PV IN'!$F$4="PV Only",0,BattCalcs!AT92)</f>
        <v>0</v>
      </c>
      <c r="AR92" s="10">
        <f>IF('PV IN'!$F$4="PV Only",0,BattCalcs!AU92)</f>
        <v>0</v>
      </c>
      <c r="AS92" s="144">
        <f>IF('PV IN'!$F$4="PV Only",PVCalcs!X92,IF('PV IN'!$F$4="Battery Only",BattCalcs!AW92,PVCalcs!X92+BattCalcs!AW92))</f>
        <v>0</v>
      </c>
      <c r="AT92" s="144">
        <f>IF('PV IN'!$F$4="Battery Only",0,-PVCalcs!AQ92*'PV IN'!$E$8)</f>
        <v>0</v>
      </c>
      <c r="AU92" s="144">
        <f>IF('PV IN'!$F$4="PV Only",0,-BattCalcs!CG92*'PV IN'!$E$8)</f>
        <v>0</v>
      </c>
      <c r="AV92" s="144">
        <f>IF('PV IN'!$F$4="PV Only",PVCalcs!Z92+PVCalcs!AA92,IF('PV IN'!$F$4="Battery Only",SUM(BattCalcs!BC92:BH92),PVCalcs!Z92+PVCalcs!AA92+SUM(BattCalcs!BC92:BH92)))</f>
        <v>0</v>
      </c>
      <c r="AW92" s="144">
        <f>IF('PV IN'!$F$4="PV Only",SUM(PVCalcs!AF92:AI92),IF('PV IN'!$F$4="Battery Only",SUM(BattCalcs!BL92:BY92),SUM(PVCalcs!AF92:AI92)+SUM(BattCalcs!BL92:BY92)))</f>
        <v>-1375</v>
      </c>
      <c r="AX92" s="144">
        <f>IF('PV IN'!$F$4="Battery Only",0,-PVLoan!F120)</f>
        <v>0</v>
      </c>
      <c r="AY92" s="144">
        <f>IF('PV IN'!$F$4="PV Only",0,-BattLoan!F120)</f>
        <v>0</v>
      </c>
      <c r="AZ92" s="144">
        <f>IF('PV IN'!$F$4="Battery Only",0,-PVLoan!H120)</f>
        <v>0</v>
      </c>
      <c r="BA92" s="144">
        <f>IF('PV IN'!$F$4="PV Only",0,-BattLoan!H120)</f>
        <v>0</v>
      </c>
    </row>
    <row r="93" spans="1:88" x14ac:dyDescent="0.25">
      <c r="A93">
        <f>IF(C93&lt;='PV IN'!$O$22*12,C93,"")</f>
        <v>89</v>
      </c>
      <c r="C93">
        <v>89</v>
      </c>
      <c r="D93" s="2">
        <f>BattCalcs!CK93+PVCalcs!AT93</f>
        <v>11854.014499832476</v>
      </c>
      <c r="E93" s="20">
        <f>PVCalcs!AV93</f>
        <v>-130603.92486919084</v>
      </c>
      <c r="F93" s="20">
        <f>PVCalcs!AW93</f>
        <v>8254.8937170460522</v>
      </c>
      <c r="G93" s="20">
        <f>PVCalcs!AX93</f>
        <v>-366379.6581161411</v>
      </c>
      <c r="H93" s="20">
        <f>BattCalcs!CM93</f>
        <v>0</v>
      </c>
      <c r="I93" s="20">
        <f>BattCalcs!CN93</f>
        <v>0</v>
      </c>
      <c r="J93" s="20">
        <f>IF(C93&lt;='Batt IN'!H$43*12,BattCalcs!CO93,NA())</f>
        <v>0</v>
      </c>
      <c r="L93" s="20">
        <f t="shared" si="142"/>
        <v>8254.8937170460522</v>
      </c>
      <c r="M93" s="20">
        <f>G93+BattCalcs!CO93</f>
        <v>-366379.6581161411</v>
      </c>
      <c r="O93" s="10">
        <f>PVLoan!G121</f>
        <v>0</v>
      </c>
      <c r="P93" s="10">
        <f>PVLoan!J121</f>
        <v>0</v>
      </c>
      <c r="Q93" s="2">
        <f>BattLoan!G121</f>
        <v>0</v>
      </c>
      <c r="R93" s="10">
        <f>BattLoan!J121</f>
        <v>0</v>
      </c>
      <c r="T93" s="33">
        <f>IF('PV IN'!$F$4="Battery Only",0,PVCalcs!G93)</f>
        <v>143807.89769023223</v>
      </c>
      <c r="U93" s="33">
        <f>IF('PV IN'!$F$4="Battery Only",0,PVCalcs!M93)</f>
        <v>143807.89769023223</v>
      </c>
      <c r="V93" s="33">
        <f>PVCalcs!L93</f>
        <v>25811.765833333331</v>
      </c>
      <c r="W93" s="158">
        <f>PVCalcs!F93</f>
        <v>7.6982989165910107E-2</v>
      </c>
      <c r="X93" s="144">
        <f>IF('PV IN'!$F$4="Battery Only",0,PVCalcs!Y93+PVCalcs!Z93)</f>
        <v>1869.502669973019</v>
      </c>
      <c r="Y93" s="144">
        <f>IF('PV IN'!$F$4="PV Only",0,BattCalcs!AX93+BattCalcs!BC93)</f>
        <v>0</v>
      </c>
      <c r="Z93" s="144">
        <f>IF('PV IN'!$F$4="PV Only",0,BattCalcs!AY93+BattCalcs!BD93)</f>
        <v>0</v>
      </c>
      <c r="AA93" s="144">
        <f>IF('PV IN'!$F$4="PV Only",0,BattCalcs!AZ93+BattCalcs!BE93)</f>
        <v>0</v>
      </c>
      <c r="AB93" s="144">
        <f>IF('PV IN'!$F$4="PV Only",0,BattCalcs!BA93+BattCalcs!BF93)</f>
        <v>0</v>
      </c>
      <c r="AC93" s="144">
        <f>IF('PV IN'!$F$4="PV Only",0,BattCalcs!BB93+BattCalcs!BG93)</f>
        <v>0</v>
      </c>
      <c r="AD93" s="144">
        <f>IF('PV IN'!$F$4="PV Only",0,BattCalcs!BU93)</f>
        <v>0</v>
      </c>
      <c r="AE93" s="144">
        <f>IF('PV IN'!$F$4="PV Only",PVCalcs!W93+PVCalcs!AA93,IF('PV IN'!$F$4="Battery Only",BattCalcs!AV93+BattCalcs!BH93,PVCalcs!W93+PVCalcs!AA93+BattCalcs!AV93+BattCalcs!BH93))</f>
        <v>0</v>
      </c>
      <c r="AF93" s="10">
        <f>PVCalcs!AC93+BattCalcs!BJ93</f>
        <v>0</v>
      </c>
      <c r="AG93" s="144">
        <f>IF('PV IN'!$F$4="Battery Only",0,PVCalcs!AG93)</f>
        <v>-750</v>
      </c>
      <c r="AH93" s="144">
        <f>IF('PV IN'!$F$4="Battery Only",0,PVCalcs!AI93)</f>
        <v>0</v>
      </c>
      <c r="AI93" s="144">
        <f>IF('PV IN'!$F$4="PV Only",0,BattCalcs!BM93)</f>
        <v>0</v>
      </c>
      <c r="AJ93" s="144">
        <f>IF('PV IN'!$F$4="PV Only",0,SUM(BattCalcs!BO93:BT93))</f>
        <v>0</v>
      </c>
      <c r="AK93" s="144">
        <f>IF('PV IN'!$F$4="PV Only",PVCalcs!AH93,IF('PV IN'!$F$4="Battery Only",BattCalcs!BN93,PVCalcs!AH93+BattCalcs!BN93))</f>
        <v>-625</v>
      </c>
      <c r="AL93" s="144">
        <f>IF('PV IN'!$F$4="PV Only",0,BattCalcs!BV93)</f>
        <v>0</v>
      </c>
      <c r="AM93" s="144">
        <f>IF('PV IN'!$F$4="PV Only",0,SUM(BattCalcs!BW93:BX93))</f>
        <v>0</v>
      </c>
      <c r="AN93" s="144">
        <f>IF('PV IN'!$F$4="PV Only",0,BattCalcs!BY93)</f>
        <v>0</v>
      </c>
      <c r="AO93" s="144">
        <f>IF('PV IN'!$F$4="Battery Only",0,PVCalcs!U93)</f>
        <v>11070.761829859457</v>
      </c>
      <c r="AP93" s="10">
        <f>IF('PV IN'!$F$4="PV Only",0,BattCalcs!AS93)</f>
        <v>0</v>
      </c>
      <c r="AQ93" s="10">
        <f>IF('PV IN'!$F$4="PV Only",0,BattCalcs!AT93)</f>
        <v>0</v>
      </c>
      <c r="AR93" s="10">
        <f>IF('PV IN'!$F$4="PV Only",0,BattCalcs!AU93)</f>
        <v>0</v>
      </c>
      <c r="AS93" s="144">
        <f>IF('PV IN'!$F$4="PV Only",PVCalcs!X93,IF('PV IN'!$F$4="Battery Only",BattCalcs!AW93,PVCalcs!X93+BattCalcs!AW93))</f>
        <v>0</v>
      </c>
      <c r="AT93" s="144">
        <f>IF('PV IN'!$F$4="Battery Only",0,-PVCalcs!AQ93*'PV IN'!$E$8)</f>
        <v>0</v>
      </c>
      <c r="AU93" s="144">
        <f>IF('PV IN'!$F$4="PV Only",0,-BattCalcs!CG93*'PV IN'!$E$8)</f>
        <v>0</v>
      </c>
      <c r="AV93" s="144">
        <f>IF('PV IN'!$F$4="PV Only",PVCalcs!Z93+PVCalcs!AA93,IF('PV IN'!$F$4="Battery Only",SUM(BattCalcs!BC93:BH93),PVCalcs!Z93+PVCalcs!AA93+SUM(BattCalcs!BC93:BH93)))</f>
        <v>0</v>
      </c>
      <c r="AW93" s="144">
        <f>IF('PV IN'!$F$4="PV Only",SUM(PVCalcs!AF93:AI93),IF('PV IN'!$F$4="Battery Only",SUM(BattCalcs!BL93:BY93),SUM(PVCalcs!AF93:AI93)+SUM(BattCalcs!BL93:BY93)))</f>
        <v>-1375</v>
      </c>
      <c r="AX93" s="144">
        <f>IF('PV IN'!$F$4="Battery Only",0,-PVLoan!F121)</f>
        <v>0</v>
      </c>
      <c r="AY93" s="144">
        <f>IF('PV IN'!$F$4="PV Only",0,-BattLoan!F121)</f>
        <v>0</v>
      </c>
      <c r="AZ93" s="144">
        <f>IF('PV IN'!$F$4="Battery Only",0,-PVLoan!H121)</f>
        <v>0</v>
      </c>
      <c r="BA93" s="144">
        <f>IF('PV IN'!$F$4="PV Only",0,-BattLoan!H121)</f>
        <v>0</v>
      </c>
    </row>
    <row r="94" spans="1:88" x14ac:dyDescent="0.25">
      <c r="A94">
        <f>IF(C94&lt;='PV IN'!$O$22*12,C94,"")</f>
        <v>90</v>
      </c>
      <c r="C94">
        <v>90</v>
      </c>
      <c r="D94" s="2">
        <f>BattCalcs!CK94+PVCalcs!AT94</f>
        <v>11845.387656832587</v>
      </c>
      <c r="E94" s="20">
        <f>PVCalcs!AV94</f>
        <v>-118758.53721235826</v>
      </c>
      <c r="F94" s="20">
        <f>PVCalcs!AW94</f>
        <v>8215.4155398406328</v>
      </c>
      <c r="G94" s="20">
        <f>PVCalcs!AX94</f>
        <v>-358164.24257630046</v>
      </c>
      <c r="H94" s="20">
        <f>BattCalcs!CM94</f>
        <v>0</v>
      </c>
      <c r="I94" s="20">
        <f>BattCalcs!CN94</f>
        <v>0</v>
      </c>
      <c r="J94" s="20">
        <f>IF(C94&lt;='Batt IN'!H$43*12,BattCalcs!CO94,NA())</f>
        <v>0</v>
      </c>
      <c r="L94" s="20">
        <f t="shared" si="142"/>
        <v>8215.4155398406328</v>
      </c>
      <c r="M94" s="20">
        <f>G94+BattCalcs!CO94</f>
        <v>-358164.24257630046</v>
      </c>
      <c r="O94" s="10">
        <f>PVLoan!G122</f>
        <v>0</v>
      </c>
      <c r="P94" s="10">
        <f>PVLoan!J122</f>
        <v>0</v>
      </c>
      <c r="Q94" s="2">
        <f>BattLoan!G122</f>
        <v>0</v>
      </c>
      <c r="R94" s="10">
        <f>BattLoan!J122</f>
        <v>0</v>
      </c>
      <c r="T94" s="33">
        <f>IF('PV IN'!$F$4="Battery Only",0,PVCalcs!G94)</f>
        <v>143712.02575843874</v>
      </c>
      <c r="U94" s="33">
        <f>IF('PV IN'!$F$4="Battery Only",0,PVCalcs!M94)</f>
        <v>143712.02575843874</v>
      </c>
      <c r="V94" s="33">
        <f>PVCalcs!L94</f>
        <v>25811.765833333331</v>
      </c>
      <c r="W94" s="158">
        <f>PVCalcs!F94</f>
        <v>7.6982989165910107E-2</v>
      </c>
      <c r="X94" s="144">
        <f>IF('PV IN'!$F$4="Battery Only",0,PVCalcs!Y94+PVCalcs!Z94)</f>
        <v>1868.2563348597037</v>
      </c>
      <c r="Y94" s="144">
        <f>IF('PV IN'!$F$4="PV Only",0,BattCalcs!AX94+BattCalcs!BC94)</f>
        <v>0</v>
      </c>
      <c r="Z94" s="144">
        <f>IF('PV IN'!$F$4="PV Only",0,BattCalcs!AY94+BattCalcs!BD94)</f>
        <v>0</v>
      </c>
      <c r="AA94" s="144">
        <f>IF('PV IN'!$F$4="PV Only",0,BattCalcs!AZ94+BattCalcs!BE94)</f>
        <v>0</v>
      </c>
      <c r="AB94" s="144">
        <f>IF('PV IN'!$F$4="PV Only",0,BattCalcs!BA94+BattCalcs!BF94)</f>
        <v>0</v>
      </c>
      <c r="AC94" s="144">
        <f>IF('PV IN'!$F$4="PV Only",0,BattCalcs!BB94+BattCalcs!BG94)</f>
        <v>0</v>
      </c>
      <c r="AD94" s="144">
        <f>IF('PV IN'!$F$4="PV Only",0,BattCalcs!BU94)</f>
        <v>0</v>
      </c>
      <c r="AE94" s="144">
        <f>IF('PV IN'!$F$4="PV Only",PVCalcs!W94+PVCalcs!AA94,IF('PV IN'!$F$4="Battery Only",BattCalcs!AV94+BattCalcs!BH94,PVCalcs!W94+PVCalcs!AA94+BattCalcs!AV94+BattCalcs!BH94))</f>
        <v>0</v>
      </c>
      <c r="AF94" s="10">
        <f>PVCalcs!AC94+BattCalcs!BJ94</f>
        <v>0</v>
      </c>
      <c r="AG94" s="144">
        <f>IF('PV IN'!$F$4="Battery Only",0,PVCalcs!AG94)</f>
        <v>-750</v>
      </c>
      <c r="AH94" s="144">
        <f>IF('PV IN'!$F$4="Battery Only",0,PVCalcs!AI94)</f>
        <v>0</v>
      </c>
      <c r="AI94" s="144">
        <f>IF('PV IN'!$F$4="PV Only",0,BattCalcs!BM94)</f>
        <v>0</v>
      </c>
      <c r="AJ94" s="144">
        <f>IF('PV IN'!$F$4="PV Only",0,SUM(BattCalcs!BO94:BT94))</f>
        <v>0</v>
      </c>
      <c r="AK94" s="144">
        <f>IF('PV IN'!$F$4="PV Only",PVCalcs!AH94,IF('PV IN'!$F$4="Battery Only",BattCalcs!BN94,PVCalcs!AH94+BattCalcs!BN94))</f>
        <v>-625</v>
      </c>
      <c r="AL94" s="144">
        <f>IF('PV IN'!$F$4="PV Only",0,BattCalcs!BV94)</f>
        <v>0</v>
      </c>
      <c r="AM94" s="144">
        <f>IF('PV IN'!$F$4="PV Only",0,SUM(BattCalcs!BW94:BX94))</f>
        <v>0</v>
      </c>
      <c r="AN94" s="144">
        <f>IF('PV IN'!$F$4="PV Only",0,BattCalcs!BY94)</f>
        <v>0</v>
      </c>
      <c r="AO94" s="144">
        <f>IF('PV IN'!$F$4="Battery Only",0,PVCalcs!U94)</f>
        <v>11063.381321972884</v>
      </c>
      <c r="AP94" s="10">
        <f>IF('PV IN'!$F$4="PV Only",0,BattCalcs!AS94)</f>
        <v>0</v>
      </c>
      <c r="AQ94" s="10">
        <f>IF('PV IN'!$F$4="PV Only",0,BattCalcs!AT94)</f>
        <v>0</v>
      </c>
      <c r="AR94" s="10">
        <f>IF('PV IN'!$F$4="PV Only",0,BattCalcs!AU94)</f>
        <v>0</v>
      </c>
      <c r="AS94" s="144">
        <f>IF('PV IN'!$F$4="PV Only",PVCalcs!X94,IF('PV IN'!$F$4="Battery Only",BattCalcs!AW94,PVCalcs!X94+BattCalcs!AW94))</f>
        <v>0</v>
      </c>
      <c r="AT94" s="144">
        <f>IF('PV IN'!$F$4="Battery Only",0,-PVCalcs!AQ94*'PV IN'!$E$8)</f>
        <v>0</v>
      </c>
      <c r="AU94" s="144">
        <f>IF('PV IN'!$F$4="PV Only",0,-BattCalcs!CG94*'PV IN'!$E$8)</f>
        <v>0</v>
      </c>
      <c r="AV94" s="144">
        <f>IF('PV IN'!$F$4="PV Only",PVCalcs!Z94+PVCalcs!AA94,IF('PV IN'!$F$4="Battery Only",SUM(BattCalcs!BC94:BH94),PVCalcs!Z94+PVCalcs!AA94+SUM(BattCalcs!BC94:BH94)))</f>
        <v>0</v>
      </c>
      <c r="AW94" s="144">
        <f>IF('PV IN'!$F$4="PV Only",SUM(PVCalcs!AF94:AI94),IF('PV IN'!$F$4="Battery Only",SUM(BattCalcs!BL94:BY94),SUM(PVCalcs!AF94:AI94)+SUM(BattCalcs!BL94:BY94)))</f>
        <v>-1375</v>
      </c>
      <c r="AX94" s="144">
        <f>IF('PV IN'!$F$4="Battery Only",0,-PVLoan!F122)</f>
        <v>0</v>
      </c>
      <c r="AY94" s="144">
        <f>IF('PV IN'!$F$4="PV Only",0,-BattLoan!F122)</f>
        <v>0</v>
      </c>
      <c r="AZ94" s="144">
        <f>IF('PV IN'!$F$4="Battery Only",0,-PVLoan!H122)</f>
        <v>0</v>
      </c>
      <c r="BA94" s="144">
        <f>IF('PV IN'!$F$4="PV Only",0,-BattLoan!H122)</f>
        <v>0</v>
      </c>
    </row>
    <row r="95" spans="1:88" x14ac:dyDescent="0.25">
      <c r="A95">
        <f>IF(C95&lt;='PV IN'!$O$22*12,C95,"")</f>
        <v>91</v>
      </c>
      <c r="C95">
        <v>91</v>
      </c>
      <c r="D95" s="2">
        <f>BattCalcs!CK95+PVCalcs!AT95</f>
        <v>11836.766565061365</v>
      </c>
      <c r="E95" s="20">
        <f>PVCalcs!AV95</f>
        <v>-106921.7706472969</v>
      </c>
      <c r="F95" s="20">
        <f>PVCalcs!AW95</f>
        <v>8176.1257989112073</v>
      </c>
      <c r="G95" s="20">
        <f>PVCalcs!AX95</f>
        <v>-349988.11677738925</v>
      </c>
      <c r="H95" s="20">
        <f>BattCalcs!CM95</f>
        <v>0</v>
      </c>
      <c r="I95" s="20">
        <f>BattCalcs!CN95</f>
        <v>0</v>
      </c>
      <c r="J95" s="20">
        <f>IF(C95&lt;='Batt IN'!H$43*12,BattCalcs!CO95,NA())</f>
        <v>0</v>
      </c>
      <c r="L95" s="20">
        <f t="shared" si="142"/>
        <v>8176.1257989112073</v>
      </c>
      <c r="M95" s="20">
        <f>G95+BattCalcs!CO95</f>
        <v>-349988.11677738925</v>
      </c>
      <c r="O95" s="10">
        <f>PVLoan!G123</f>
        <v>0</v>
      </c>
      <c r="P95" s="10">
        <f>PVLoan!J123</f>
        <v>0</v>
      </c>
      <c r="Q95" s="2">
        <f>BattLoan!G123</f>
        <v>0</v>
      </c>
      <c r="R95" s="10">
        <f>BattLoan!J123</f>
        <v>0</v>
      </c>
      <c r="T95" s="33">
        <f>IF('PV IN'!$F$4="Battery Only",0,PVCalcs!G95)</f>
        <v>143616.21774126645</v>
      </c>
      <c r="U95" s="33">
        <f>IF('PV IN'!$F$4="Battery Only",0,PVCalcs!M95)</f>
        <v>143616.21774126645</v>
      </c>
      <c r="V95" s="33">
        <f>PVCalcs!L95</f>
        <v>25811.765833333331</v>
      </c>
      <c r="W95" s="158">
        <f>PVCalcs!F95</f>
        <v>7.6982989165910107E-2</v>
      </c>
      <c r="X95" s="144">
        <f>IF('PV IN'!$F$4="Battery Only",0,PVCalcs!Y95+PVCalcs!Z95)</f>
        <v>1867.0108306364639</v>
      </c>
      <c r="Y95" s="144">
        <f>IF('PV IN'!$F$4="PV Only",0,BattCalcs!AX95+BattCalcs!BC95)</f>
        <v>0</v>
      </c>
      <c r="Z95" s="144">
        <f>IF('PV IN'!$F$4="PV Only",0,BattCalcs!AY95+BattCalcs!BD95)</f>
        <v>0</v>
      </c>
      <c r="AA95" s="144">
        <f>IF('PV IN'!$F$4="PV Only",0,BattCalcs!AZ95+BattCalcs!BE95)</f>
        <v>0</v>
      </c>
      <c r="AB95" s="144">
        <f>IF('PV IN'!$F$4="PV Only",0,BattCalcs!BA95+BattCalcs!BF95)</f>
        <v>0</v>
      </c>
      <c r="AC95" s="144">
        <f>IF('PV IN'!$F$4="PV Only",0,BattCalcs!BB95+BattCalcs!BG95)</f>
        <v>0</v>
      </c>
      <c r="AD95" s="144">
        <f>IF('PV IN'!$F$4="PV Only",0,BattCalcs!BU95)</f>
        <v>0</v>
      </c>
      <c r="AE95" s="144">
        <f>IF('PV IN'!$F$4="PV Only",PVCalcs!W95+PVCalcs!AA95,IF('PV IN'!$F$4="Battery Only",BattCalcs!AV95+BattCalcs!BH95,PVCalcs!W95+PVCalcs!AA95+BattCalcs!AV95+BattCalcs!BH95))</f>
        <v>0</v>
      </c>
      <c r="AF95" s="10">
        <f>PVCalcs!AC95+BattCalcs!BJ95</f>
        <v>0</v>
      </c>
      <c r="AG95" s="144">
        <f>IF('PV IN'!$F$4="Battery Only",0,PVCalcs!AG95)</f>
        <v>-750</v>
      </c>
      <c r="AH95" s="144">
        <f>IF('PV IN'!$F$4="Battery Only",0,PVCalcs!AI95)</f>
        <v>0</v>
      </c>
      <c r="AI95" s="144">
        <f>IF('PV IN'!$F$4="PV Only",0,BattCalcs!BM95)</f>
        <v>0</v>
      </c>
      <c r="AJ95" s="144">
        <f>IF('PV IN'!$F$4="PV Only",0,SUM(BattCalcs!BO95:BT95))</f>
        <v>0</v>
      </c>
      <c r="AK95" s="144">
        <f>IF('PV IN'!$F$4="PV Only",PVCalcs!AH95,IF('PV IN'!$F$4="Battery Only",BattCalcs!BN95,PVCalcs!AH95+BattCalcs!BN95))</f>
        <v>-625</v>
      </c>
      <c r="AL95" s="144">
        <f>IF('PV IN'!$F$4="PV Only",0,BattCalcs!BV95)</f>
        <v>0</v>
      </c>
      <c r="AM95" s="144">
        <f>IF('PV IN'!$F$4="PV Only",0,SUM(BattCalcs!BW95:BX95))</f>
        <v>0</v>
      </c>
      <c r="AN95" s="144">
        <f>IF('PV IN'!$F$4="PV Only",0,BattCalcs!BY95)</f>
        <v>0</v>
      </c>
      <c r="AO95" s="144">
        <f>IF('PV IN'!$F$4="Battery Only",0,PVCalcs!U95)</f>
        <v>11056.005734424902</v>
      </c>
      <c r="AP95" s="10">
        <f>IF('PV IN'!$F$4="PV Only",0,BattCalcs!AS95)</f>
        <v>0</v>
      </c>
      <c r="AQ95" s="10">
        <f>IF('PV IN'!$F$4="PV Only",0,BattCalcs!AT95)</f>
        <v>0</v>
      </c>
      <c r="AR95" s="10">
        <f>IF('PV IN'!$F$4="PV Only",0,BattCalcs!AU95)</f>
        <v>0</v>
      </c>
      <c r="AS95" s="144">
        <f>IF('PV IN'!$F$4="PV Only",PVCalcs!X95,IF('PV IN'!$F$4="Battery Only",BattCalcs!AW95,PVCalcs!X95+BattCalcs!AW95))</f>
        <v>0</v>
      </c>
      <c r="AT95" s="144">
        <f>IF('PV IN'!$F$4="Battery Only",0,-PVCalcs!AQ95*'PV IN'!$E$8)</f>
        <v>0</v>
      </c>
      <c r="AU95" s="144">
        <f>IF('PV IN'!$F$4="PV Only",0,-BattCalcs!CG95*'PV IN'!$E$8)</f>
        <v>0</v>
      </c>
      <c r="AV95" s="144">
        <f>IF('PV IN'!$F$4="PV Only",PVCalcs!Z95+PVCalcs!AA95,IF('PV IN'!$F$4="Battery Only",SUM(BattCalcs!BC95:BH95),PVCalcs!Z95+PVCalcs!AA95+SUM(BattCalcs!BC95:BH95)))</f>
        <v>0</v>
      </c>
      <c r="AW95" s="144">
        <f>IF('PV IN'!$F$4="PV Only",SUM(PVCalcs!AF95:AI95),IF('PV IN'!$F$4="Battery Only",SUM(BattCalcs!BL95:BY95),SUM(PVCalcs!AF95:AI95)+SUM(BattCalcs!BL95:BY95)))</f>
        <v>-1375</v>
      </c>
      <c r="AX95" s="144">
        <f>IF('PV IN'!$F$4="Battery Only",0,-PVLoan!F123)</f>
        <v>0</v>
      </c>
      <c r="AY95" s="144">
        <f>IF('PV IN'!$F$4="PV Only",0,-BattLoan!F123)</f>
        <v>0</v>
      </c>
      <c r="AZ95" s="144">
        <f>IF('PV IN'!$F$4="Battery Only",0,-PVLoan!H123)</f>
        <v>0</v>
      </c>
      <c r="BA95" s="144">
        <f>IF('PV IN'!$F$4="PV Only",0,-BattLoan!H123)</f>
        <v>0</v>
      </c>
    </row>
    <row r="96" spans="1:88" x14ac:dyDescent="0.25">
      <c r="A96">
        <f>IF(C96&lt;='PV IN'!$O$22*12,C96,"")</f>
        <v>92</v>
      </c>
      <c r="C96">
        <v>92</v>
      </c>
      <c r="D96" s="2">
        <f>BattCalcs!CK96+PVCalcs!AT96</f>
        <v>11828.151220684656</v>
      </c>
      <c r="E96" s="20">
        <f>PVCalcs!AV96</f>
        <v>-95093.619426612247</v>
      </c>
      <c r="F96" s="20">
        <f>PVCalcs!AW96</f>
        <v>8137.0235962766174</v>
      </c>
      <c r="G96" s="20">
        <f>PVCalcs!AX96</f>
        <v>-341851.09318111261</v>
      </c>
      <c r="H96" s="20">
        <f>BattCalcs!CM96</f>
        <v>0</v>
      </c>
      <c r="I96" s="20">
        <f>BattCalcs!CN96</f>
        <v>0</v>
      </c>
      <c r="J96" s="20">
        <f>IF(C96&lt;='Batt IN'!H$43*12,BattCalcs!CO96,NA())</f>
        <v>0</v>
      </c>
      <c r="L96" s="20">
        <f t="shared" si="142"/>
        <v>8137.0235962766174</v>
      </c>
      <c r="M96" s="20">
        <f>G96+BattCalcs!CO96</f>
        <v>-341851.09318111261</v>
      </c>
      <c r="O96" s="10">
        <f>PVLoan!G124</f>
        <v>0</v>
      </c>
      <c r="P96" s="10">
        <f>PVLoan!J124</f>
        <v>0</v>
      </c>
      <c r="Q96" s="2">
        <f>BattLoan!G124</f>
        <v>0</v>
      </c>
      <c r="R96" s="10">
        <f>BattLoan!J124</f>
        <v>0</v>
      </c>
      <c r="T96" s="33">
        <f>IF('PV IN'!$F$4="Battery Only",0,PVCalcs!G96)</f>
        <v>143520.47359610558</v>
      </c>
      <c r="U96" s="33">
        <f>IF('PV IN'!$F$4="Battery Only",0,PVCalcs!M96)</f>
        <v>143520.47359610558</v>
      </c>
      <c r="V96" s="33">
        <f>PVCalcs!L96</f>
        <v>25811.765833333331</v>
      </c>
      <c r="W96" s="158">
        <f>PVCalcs!F96</f>
        <v>7.6982989165910107E-2</v>
      </c>
      <c r="X96" s="144">
        <f>IF('PV IN'!$F$4="Battery Only",0,PVCalcs!Y96+PVCalcs!Z96)</f>
        <v>1865.7661567493726</v>
      </c>
      <c r="Y96" s="144">
        <f>IF('PV IN'!$F$4="PV Only",0,BattCalcs!AX96+BattCalcs!BC96)</f>
        <v>0</v>
      </c>
      <c r="Z96" s="144">
        <f>IF('PV IN'!$F$4="PV Only",0,BattCalcs!AY96+BattCalcs!BD96)</f>
        <v>0</v>
      </c>
      <c r="AA96" s="144">
        <f>IF('PV IN'!$F$4="PV Only",0,BattCalcs!AZ96+BattCalcs!BE96)</f>
        <v>0</v>
      </c>
      <c r="AB96" s="144">
        <f>IF('PV IN'!$F$4="PV Only",0,BattCalcs!BA96+BattCalcs!BF96)</f>
        <v>0</v>
      </c>
      <c r="AC96" s="144">
        <f>IF('PV IN'!$F$4="PV Only",0,BattCalcs!BB96+BattCalcs!BG96)</f>
        <v>0</v>
      </c>
      <c r="AD96" s="144">
        <f>IF('PV IN'!$F$4="PV Only",0,BattCalcs!BU96)</f>
        <v>0</v>
      </c>
      <c r="AE96" s="144">
        <f>IF('PV IN'!$F$4="PV Only",PVCalcs!W96+PVCalcs!AA96,IF('PV IN'!$F$4="Battery Only",BattCalcs!AV96+BattCalcs!BH96,PVCalcs!W96+PVCalcs!AA96+BattCalcs!AV96+BattCalcs!BH96))</f>
        <v>0</v>
      </c>
      <c r="AF96" s="10">
        <f>PVCalcs!AC96+BattCalcs!BJ96</f>
        <v>0</v>
      </c>
      <c r="AG96" s="144">
        <f>IF('PV IN'!$F$4="Battery Only",0,PVCalcs!AG96)</f>
        <v>-750</v>
      </c>
      <c r="AH96" s="144">
        <f>IF('PV IN'!$F$4="Battery Only",0,PVCalcs!AI96)</f>
        <v>0</v>
      </c>
      <c r="AI96" s="144">
        <f>IF('PV IN'!$F$4="PV Only",0,BattCalcs!BM96)</f>
        <v>0</v>
      </c>
      <c r="AJ96" s="144">
        <f>IF('PV IN'!$F$4="PV Only",0,SUM(BattCalcs!BO96:BT96))</f>
        <v>0</v>
      </c>
      <c r="AK96" s="144">
        <f>IF('PV IN'!$F$4="PV Only",PVCalcs!AH96,IF('PV IN'!$F$4="Battery Only",BattCalcs!BN96,PVCalcs!AH96+BattCalcs!BN96))</f>
        <v>-625</v>
      </c>
      <c r="AL96" s="144">
        <f>IF('PV IN'!$F$4="PV Only",0,BattCalcs!BV96)</f>
        <v>0</v>
      </c>
      <c r="AM96" s="144">
        <f>IF('PV IN'!$F$4="PV Only",0,SUM(BattCalcs!BW96:BX96))</f>
        <v>0</v>
      </c>
      <c r="AN96" s="144">
        <f>IF('PV IN'!$F$4="PV Only",0,BattCalcs!BY96)</f>
        <v>0</v>
      </c>
      <c r="AO96" s="144">
        <f>IF('PV IN'!$F$4="Battery Only",0,PVCalcs!U96)</f>
        <v>11048.635063935284</v>
      </c>
      <c r="AP96" s="10">
        <f>IF('PV IN'!$F$4="PV Only",0,BattCalcs!AS96)</f>
        <v>0</v>
      </c>
      <c r="AQ96" s="10">
        <f>IF('PV IN'!$F$4="PV Only",0,BattCalcs!AT96)</f>
        <v>0</v>
      </c>
      <c r="AR96" s="10">
        <f>IF('PV IN'!$F$4="PV Only",0,BattCalcs!AU96)</f>
        <v>0</v>
      </c>
      <c r="AS96" s="144">
        <f>IF('PV IN'!$F$4="PV Only",PVCalcs!X96,IF('PV IN'!$F$4="Battery Only",BattCalcs!AW96,PVCalcs!X96+BattCalcs!AW96))</f>
        <v>0</v>
      </c>
      <c r="AT96" s="144">
        <f>IF('PV IN'!$F$4="Battery Only",0,-PVCalcs!AQ96*'PV IN'!$E$8)</f>
        <v>0</v>
      </c>
      <c r="AU96" s="144">
        <f>IF('PV IN'!$F$4="PV Only",0,-BattCalcs!CG96*'PV IN'!$E$8)</f>
        <v>0</v>
      </c>
      <c r="AV96" s="144">
        <f>IF('PV IN'!$F$4="PV Only",PVCalcs!Z96+PVCalcs!AA96,IF('PV IN'!$F$4="Battery Only",SUM(BattCalcs!BC96:BH96),PVCalcs!Z96+PVCalcs!AA96+SUM(BattCalcs!BC96:BH96)))</f>
        <v>0</v>
      </c>
      <c r="AW96" s="144">
        <f>IF('PV IN'!$F$4="PV Only",SUM(PVCalcs!AF96:AI96),IF('PV IN'!$F$4="Battery Only",SUM(BattCalcs!BL96:BY96),SUM(PVCalcs!AF96:AI96)+SUM(BattCalcs!BL96:BY96)))</f>
        <v>-1375</v>
      </c>
      <c r="AX96" s="144">
        <f>IF('PV IN'!$F$4="Battery Only",0,-PVLoan!F124)</f>
        <v>0</v>
      </c>
      <c r="AY96" s="144">
        <f>IF('PV IN'!$F$4="PV Only",0,-BattLoan!F124)</f>
        <v>0</v>
      </c>
      <c r="AZ96" s="144">
        <f>IF('PV IN'!$F$4="Battery Only",0,-PVLoan!H124)</f>
        <v>0</v>
      </c>
      <c r="BA96" s="144">
        <f>IF('PV IN'!$F$4="PV Only",0,-BattLoan!H124)</f>
        <v>0</v>
      </c>
    </row>
    <row r="97" spans="1:88" x14ac:dyDescent="0.25">
      <c r="A97">
        <f>IF(C97&lt;='PV IN'!$O$22*12,C97,"")</f>
        <v>93</v>
      </c>
      <c r="C97">
        <v>93</v>
      </c>
      <c r="D97" s="2">
        <f>BattCalcs!CK97+PVCalcs!AT97</f>
        <v>11819.541619870868</v>
      </c>
      <c r="E97" s="20">
        <f>PVCalcs!AV97</f>
        <v>-83274.077806741378</v>
      </c>
      <c r="F97" s="20">
        <f>PVCalcs!AW97</f>
        <v>8098.1080382291393</v>
      </c>
      <c r="G97" s="20">
        <f>PVCalcs!AX97</f>
        <v>-333752.9851428835</v>
      </c>
      <c r="H97" s="20">
        <f>BattCalcs!CM97</f>
        <v>0</v>
      </c>
      <c r="I97" s="20">
        <f>BattCalcs!CN97</f>
        <v>0</v>
      </c>
      <c r="J97" s="20">
        <f>IF(C97&lt;='Batt IN'!H$43*12,BattCalcs!CO97,NA())</f>
        <v>0</v>
      </c>
      <c r="L97" s="20">
        <f t="shared" si="142"/>
        <v>8098.1080382291393</v>
      </c>
      <c r="M97" s="20">
        <f>G97+BattCalcs!CO97</f>
        <v>-333752.9851428835</v>
      </c>
      <c r="O97" s="10">
        <f>PVLoan!G125</f>
        <v>0</v>
      </c>
      <c r="P97" s="10">
        <f>PVLoan!J125</f>
        <v>0</v>
      </c>
      <c r="Q97" s="2">
        <f>BattLoan!G125</f>
        <v>0</v>
      </c>
      <c r="R97" s="10">
        <f>BattLoan!J125</f>
        <v>0</v>
      </c>
      <c r="T97" s="33">
        <f>IF('PV IN'!$F$4="Battery Only",0,PVCalcs!G97)</f>
        <v>143424.79328037487</v>
      </c>
      <c r="U97" s="33">
        <f>IF('PV IN'!$F$4="Battery Only",0,PVCalcs!M97)</f>
        <v>143424.79328037487</v>
      </c>
      <c r="V97" s="33">
        <f>PVCalcs!L97</f>
        <v>25811.765833333331</v>
      </c>
      <c r="W97" s="158">
        <f>PVCalcs!F97</f>
        <v>7.6982989165910107E-2</v>
      </c>
      <c r="X97" s="144">
        <f>IF('PV IN'!$F$4="Battery Only",0,PVCalcs!Y97+PVCalcs!Z97)</f>
        <v>1864.5223126448732</v>
      </c>
      <c r="Y97" s="144">
        <f>IF('PV IN'!$F$4="PV Only",0,BattCalcs!AX97+BattCalcs!BC97)</f>
        <v>0</v>
      </c>
      <c r="Z97" s="144">
        <f>IF('PV IN'!$F$4="PV Only",0,BattCalcs!AY97+BattCalcs!BD97)</f>
        <v>0</v>
      </c>
      <c r="AA97" s="144">
        <f>IF('PV IN'!$F$4="PV Only",0,BattCalcs!AZ97+BattCalcs!BE97)</f>
        <v>0</v>
      </c>
      <c r="AB97" s="144">
        <f>IF('PV IN'!$F$4="PV Only",0,BattCalcs!BA97+BattCalcs!BF97)</f>
        <v>0</v>
      </c>
      <c r="AC97" s="144">
        <f>IF('PV IN'!$F$4="PV Only",0,BattCalcs!BB97+BattCalcs!BG97)</f>
        <v>0</v>
      </c>
      <c r="AD97" s="144">
        <f>IF('PV IN'!$F$4="PV Only",0,BattCalcs!BU97)</f>
        <v>0</v>
      </c>
      <c r="AE97" s="144">
        <f>IF('PV IN'!$F$4="PV Only",PVCalcs!W97+PVCalcs!AA97,IF('PV IN'!$F$4="Battery Only",BattCalcs!AV97+BattCalcs!BH97,PVCalcs!W97+PVCalcs!AA97+BattCalcs!AV97+BattCalcs!BH97))</f>
        <v>0</v>
      </c>
      <c r="AF97" s="10">
        <f>PVCalcs!AC97+BattCalcs!BJ97</f>
        <v>0</v>
      </c>
      <c r="AG97" s="144">
        <f>IF('PV IN'!$F$4="Battery Only",0,PVCalcs!AG97)</f>
        <v>-750</v>
      </c>
      <c r="AH97" s="144">
        <f>IF('PV IN'!$F$4="Battery Only",0,PVCalcs!AI97)</f>
        <v>0</v>
      </c>
      <c r="AI97" s="144">
        <f>IF('PV IN'!$F$4="PV Only",0,BattCalcs!BM97)</f>
        <v>0</v>
      </c>
      <c r="AJ97" s="144">
        <f>IF('PV IN'!$F$4="PV Only",0,SUM(BattCalcs!BO97:BT97))</f>
        <v>0</v>
      </c>
      <c r="AK97" s="144">
        <f>IF('PV IN'!$F$4="PV Only",PVCalcs!AH97,IF('PV IN'!$F$4="Battery Only",BattCalcs!BN97,PVCalcs!AH97+BattCalcs!BN97))</f>
        <v>-625</v>
      </c>
      <c r="AL97" s="144">
        <f>IF('PV IN'!$F$4="PV Only",0,BattCalcs!BV97)</f>
        <v>0</v>
      </c>
      <c r="AM97" s="144">
        <f>IF('PV IN'!$F$4="PV Only",0,SUM(BattCalcs!BW97:BX97))</f>
        <v>0</v>
      </c>
      <c r="AN97" s="144">
        <f>IF('PV IN'!$F$4="PV Only",0,BattCalcs!BY97)</f>
        <v>0</v>
      </c>
      <c r="AO97" s="144">
        <f>IF('PV IN'!$F$4="Battery Only",0,PVCalcs!U97)</f>
        <v>11041.269307225995</v>
      </c>
      <c r="AP97" s="10">
        <f>IF('PV IN'!$F$4="PV Only",0,BattCalcs!AS97)</f>
        <v>0</v>
      </c>
      <c r="AQ97" s="10">
        <f>IF('PV IN'!$F$4="PV Only",0,BattCalcs!AT97)</f>
        <v>0</v>
      </c>
      <c r="AR97" s="10">
        <f>IF('PV IN'!$F$4="PV Only",0,BattCalcs!AU97)</f>
        <v>0</v>
      </c>
      <c r="AS97" s="144">
        <f>IF('PV IN'!$F$4="PV Only",PVCalcs!X97,IF('PV IN'!$F$4="Battery Only",BattCalcs!AW97,PVCalcs!X97+BattCalcs!AW97))</f>
        <v>0</v>
      </c>
      <c r="AT97" s="144">
        <f>IF('PV IN'!$F$4="Battery Only",0,-PVCalcs!AQ97*'PV IN'!$E$8)</f>
        <v>0</v>
      </c>
      <c r="AU97" s="144">
        <f>IF('PV IN'!$F$4="PV Only",0,-BattCalcs!CG97*'PV IN'!$E$8)</f>
        <v>0</v>
      </c>
      <c r="AV97" s="144">
        <f>IF('PV IN'!$F$4="PV Only",PVCalcs!Z97+PVCalcs!AA97,IF('PV IN'!$F$4="Battery Only",SUM(BattCalcs!BC97:BH97),PVCalcs!Z97+PVCalcs!AA97+SUM(BattCalcs!BC97:BH97)))</f>
        <v>0</v>
      </c>
      <c r="AW97" s="144">
        <f>IF('PV IN'!$F$4="PV Only",SUM(PVCalcs!AF97:AI97),IF('PV IN'!$F$4="Battery Only",SUM(BattCalcs!BL97:BY97),SUM(PVCalcs!AF97:AI97)+SUM(BattCalcs!BL97:BY97)))</f>
        <v>-1375</v>
      </c>
      <c r="AX97" s="144">
        <f>IF('PV IN'!$F$4="Battery Only",0,-PVLoan!F125)</f>
        <v>0</v>
      </c>
      <c r="AY97" s="144">
        <f>IF('PV IN'!$F$4="PV Only",0,-BattLoan!F125)</f>
        <v>0</v>
      </c>
      <c r="AZ97" s="144">
        <f>IF('PV IN'!$F$4="Battery Only",0,-PVLoan!H125)</f>
        <v>0</v>
      </c>
      <c r="BA97" s="144">
        <f>IF('PV IN'!$F$4="PV Only",0,-BattLoan!H125)</f>
        <v>0</v>
      </c>
    </row>
    <row r="98" spans="1:88" x14ac:dyDescent="0.25">
      <c r="A98">
        <f>IF(C98&lt;='PV IN'!$O$22*12,C98,"")</f>
        <v>94</v>
      </c>
      <c r="C98">
        <v>94</v>
      </c>
      <c r="D98" s="2">
        <f>BattCalcs!CK98+PVCalcs!AT98</f>
        <v>11810.937758790955</v>
      </c>
      <c r="E98" s="20">
        <f>PVCalcs!AV98</f>
        <v>-71463.140047950423</v>
      </c>
      <c r="F98" s="20">
        <f>PVCalcs!AW98</f>
        <v>8059.3782353141414</v>
      </c>
      <c r="G98" s="20">
        <f>PVCalcs!AX98</f>
        <v>-325693.60690756934</v>
      </c>
      <c r="H98" s="20">
        <f>BattCalcs!CM98</f>
        <v>0</v>
      </c>
      <c r="I98" s="20">
        <f>BattCalcs!CN98</f>
        <v>0</v>
      </c>
      <c r="J98" s="20">
        <f>IF(C98&lt;='Batt IN'!H$43*12,BattCalcs!CO98,NA())</f>
        <v>0</v>
      </c>
      <c r="L98" s="20">
        <f t="shared" si="142"/>
        <v>8059.3782353141414</v>
      </c>
      <c r="M98" s="20">
        <f>G98+BattCalcs!CO98</f>
        <v>-325693.60690756934</v>
      </c>
      <c r="O98" s="10">
        <f>PVLoan!G126</f>
        <v>0</v>
      </c>
      <c r="P98" s="10">
        <f>PVLoan!J126</f>
        <v>0</v>
      </c>
      <c r="Q98" s="2">
        <f>BattLoan!G126</f>
        <v>0</v>
      </c>
      <c r="R98" s="10">
        <f>BattLoan!J126</f>
        <v>0</v>
      </c>
      <c r="T98" s="33">
        <f>IF('PV IN'!$F$4="Battery Only",0,PVCalcs!G98)</f>
        <v>143329.17675152127</v>
      </c>
      <c r="U98" s="33">
        <f>IF('PV IN'!$F$4="Battery Only",0,PVCalcs!M98)</f>
        <v>143329.17675152127</v>
      </c>
      <c r="V98" s="33">
        <f>PVCalcs!L98</f>
        <v>25811.765833333331</v>
      </c>
      <c r="W98" s="158">
        <f>PVCalcs!F98</f>
        <v>7.6982989165910107E-2</v>
      </c>
      <c r="X98" s="144">
        <f>IF('PV IN'!$F$4="Battery Only",0,PVCalcs!Y98+PVCalcs!Z98)</f>
        <v>1863.2792977697766</v>
      </c>
      <c r="Y98" s="144">
        <f>IF('PV IN'!$F$4="PV Only",0,BattCalcs!AX98+BattCalcs!BC98)</f>
        <v>0</v>
      </c>
      <c r="Z98" s="144">
        <f>IF('PV IN'!$F$4="PV Only",0,BattCalcs!AY98+BattCalcs!BD98)</f>
        <v>0</v>
      </c>
      <c r="AA98" s="144">
        <f>IF('PV IN'!$F$4="PV Only",0,BattCalcs!AZ98+BattCalcs!BE98)</f>
        <v>0</v>
      </c>
      <c r="AB98" s="144">
        <f>IF('PV IN'!$F$4="PV Only",0,BattCalcs!BA98+BattCalcs!BF98)</f>
        <v>0</v>
      </c>
      <c r="AC98" s="144">
        <f>IF('PV IN'!$F$4="PV Only",0,BattCalcs!BB98+BattCalcs!BG98)</f>
        <v>0</v>
      </c>
      <c r="AD98" s="144">
        <f>IF('PV IN'!$F$4="PV Only",0,BattCalcs!BU98)</f>
        <v>0</v>
      </c>
      <c r="AE98" s="144">
        <f>IF('PV IN'!$F$4="PV Only",PVCalcs!W98+PVCalcs!AA98,IF('PV IN'!$F$4="Battery Only",BattCalcs!AV98+BattCalcs!BH98,PVCalcs!W98+PVCalcs!AA98+BattCalcs!AV98+BattCalcs!BH98))</f>
        <v>0</v>
      </c>
      <c r="AF98" s="10">
        <f>PVCalcs!AC98+BattCalcs!BJ98</f>
        <v>0</v>
      </c>
      <c r="AG98" s="144">
        <f>IF('PV IN'!$F$4="Battery Only",0,PVCalcs!AG98)</f>
        <v>-750</v>
      </c>
      <c r="AH98" s="144">
        <f>IF('PV IN'!$F$4="Battery Only",0,PVCalcs!AI98)</f>
        <v>0</v>
      </c>
      <c r="AI98" s="144">
        <f>IF('PV IN'!$F$4="PV Only",0,BattCalcs!BM98)</f>
        <v>0</v>
      </c>
      <c r="AJ98" s="144">
        <f>IF('PV IN'!$F$4="PV Only",0,SUM(BattCalcs!BO98:BT98))</f>
        <v>0</v>
      </c>
      <c r="AK98" s="144">
        <f>IF('PV IN'!$F$4="PV Only",PVCalcs!AH98,IF('PV IN'!$F$4="Battery Only",BattCalcs!BN98,PVCalcs!AH98+BattCalcs!BN98))</f>
        <v>-625</v>
      </c>
      <c r="AL98" s="144">
        <f>IF('PV IN'!$F$4="PV Only",0,BattCalcs!BV98)</f>
        <v>0</v>
      </c>
      <c r="AM98" s="144">
        <f>IF('PV IN'!$F$4="PV Only",0,SUM(BattCalcs!BW98:BX98))</f>
        <v>0</v>
      </c>
      <c r="AN98" s="144">
        <f>IF('PV IN'!$F$4="PV Only",0,BattCalcs!BY98)</f>
        <v>0</v>
      </c>
      <c r="AO98" s="144">
        <f>IF('PV IN'!$F$4="Battery Only",0,PVCalcs!U98)</f>
        <v>11033.908461021178</v>
      </c>
      <c r="AP98" s="10">
        <f>IF('PV IN'!$F$4="PV Only",0,BattCalcs!AS98)</f>
        <v>0</v>
      </c>
      <c r="AQ98" s="10">
        <f>IF('PV IN'!$F$4="PV Only",0,BattCalcs!AT98)</f>
        <v>0</v>
      </c>
      <c r="AR98" s="10">
        <f>IF('PV IN'!$F$4="PV Only",0,BattCalcs!AU98)</f>
        <v>0</v>
      </c>
      <c r="AS98" s="144">
        <f>IF('PV IN'!$F$4="PV Only",PVCalcs!X98,IF('PV IN'!$F$4="Battery Only",BattCalcs!AW98,PVCalcs!X98+BattCalcs!AW98))</f>
        <v>0</v>
      </c>
      <c r="AT98" s="144">
        <f>IF('PV IN'!$F$4="Battery Only",0,-PVCalcs!AQ98*'PV IN'!$E$8)</f>
        <v>0</v>
      </c>
      <c r="AU98" s="144">
        <f>IF('PV IN'!$F$4="PV Only",0,-BattCalcs!CG98*'PV IN'!$E$8)</f>
        <v>0</v>
      </c>
      <c r="AV98" s="144">
        <f>IF('PV IN'!$F$4="PV Only",PVCalcs!Z98+PVCalcs!AA98,IF('PV IN'!$F$4="Battery Only",SUM(BattCalcs!BC98:BH98),PVCalcs!Z98+PVCalcs!AA98+SUM(BattCalcs!BC98:BH98)))</f>
        <v>0</v>
      </c>
      <c r="AW98" s="144">
        <f>IF('PV IN'!$F$4="PV Only",SUM(PVCalcs!AF98:AI98),IF('PV IN'!$F$4="Battery Only",SUM(BattCalcs!BL98:BY98),SUM(PVCalcs!AF98:AI98)+SUM(BattCalcs!BL98:BY98)))</f>
        <v>-1375</v>
      </c>
      <c r="AX98" s="144">
        <f>IF('PV IN'!$F$4="Battery Only",0,-PVLoan!F126)</f>
        <v>0</v>
      </c>
      <c r="AY98" s="144">
        <f>IF('PV IN'!$F$4="PV Only",0,-BattLoan!F126)</f>
        <v>0</v>
      </c>
      <c r="AZ98" s="144">
        <f>IF('PV IN'!$F$4="Battery Only",0,-PVLoan!H126)</f>
        <v>0</v>
      </c>
      <c r="BA98" s="144">
        <f>IF('PV IN'!$F$4="PV Only",0,-BattLoan!H126)</f>
        <v>0</v>
      </c>
    </row>
    <row r="99" spans="1:88" x14ac:dyDescent="0.25">
      <c r="A99">
        <f>IF(C99&lt;='PV IN'!$O$22*12,C99,"")</f>
        <v>95</v>
      </c>
      <c r="C99">
        <v>95</v>
      </c>
      <c r="D99" s="2">
        <f>BattCalcs!CK99+PVCalcs!AT99</f>
        <v>11802.339633618421</v>
      </c>
      <c r="E99" s="20">
        <f>PVCalcs!AV99</f>
        <v>-59660.800414331999</v>
      </c>
      <c r="F99" s="20">
        <f>PVCalcs!AW99</f>
        <v>8020.8333023098812</v>
      </c>
      <c r="G99" s="20">
        <f>PVCalcs!AX99</f>
        <v>-317672.77360525948</v>
      </c>
      <c r="H99" s="20">
        <f>BattCalcs!CM99</f>
        <v>0</v>
      </c>
      <c r="I99" s="20">
        <f>BattCalcs!CN99</f>
        <v>0</v>
      </c>
      <c r="J99" s="20">
        <f>IF(C99&lt;='Batt IN'!H$43*12,BattCalcs!CO99,NA())</f>
        <v>0</v>
      </c>
      <c r="L99" s="20">
        <f t="shared" si="142"/>
        <v>8020.8333023098812</v>
      </c>
      <c r="M99" s="20">
        <f>G99+BattCalcs!CO99</f>
        <v>-317672.77360525948</v>
      </c>
      <c r="O99" s="10">
        <f>PVLoan!G127</f>
        <v>0</v>
      </c>
      <c r="P99" s="10">
        <f>PVLoan!J127</f>
        <v>0</v>
      </c>
      <c r="Q99" s="2">
        <f>BattLoan!G127</f>
        <v>0</v>
      </c>
      <c r="R99" s="10">
        <f>BattLoan!J127</f>
        <v>0</v>
      </c>
      <c r="T99" s="33">
        <f>IF('PV IN'!$F$4="Battery Only",0,PVCalcs!G99)</f>
        <v>143233.62396702022</v>
      </c>
      <c r="U99" s="33">
        <f>IF('PV IN'!$F$4="Battery Only",0,PVCalcs!M99)</f>
        <v>143233.62396702022</v>
      </c>
      <c r="V99" s="33">
        <f>PVCalcs!L99</f>
        <v>25811.765833333331</v>
      </c>
      <c r="W99" s="158">
        <f>PVCalcs!F99</f>
        <v>7.6982989165910107E-2</v>
      </c>
      <c r="X99" s="144">
        <f>IF('PV IN'!$F$4="Battery Only",0,PVCalcs!Y99+PVCalcs!Z99)</f>
        <v>1862.0371115712628</v>
      </c>
      <c r="Y99" s="144">
        <f>IF('PV IN'!$F$4="PV Only",0,BattCalcs!AX99+BattCalcs!BC99)</f>
        <v>0</v>
      </c>
      <c r="Z99" s="144">
        <f>IF('PV IN'!$F$4="PV Only",0,BattCalcs!AY99+BattCalcs!BD99)</f>
        <v>0</v>
      </c>
      <c r="AA99" s="144">
        <f>IF('PV IN'!$F$4="PV Only",0,BattCalcs!AZ99+BattCalcs!BE99)</f>
        <v>0</v>
      </c>
      <c r="AB99" s="144">
        <f>IF('PV IN'!$F$4="PV Only",0,BattCalcs!BA99+BattCalcs!BF99)</f>
        <v>0</v>
      </c>
      <c r="AC99" s="144">
        <f>IF('PV IN'!$F$4="PV Only",0,BattCalcs!BB99+BattCalcs!BG99)</f>
        <v>0</v>
      </c>
      <c r="AD99" s="144">
        <f>IF('PV IN'!$F$4="PV Only",0,BattCalcs!BU99)</f>
        <v>0</v>
      </c>
      <c r="AE99" s="144">
        <f>IF('PV IN'!$F$4="PV Only",PVCalcs!W99+PVCalcs!AA99,IF('PV IN'!$F$4="Battery Only",BattCalcs!AV99+BattCalcs!BH99,PVCalcs!W99+PVCalcs!AA99+BattCalcs!AV99+BattCalcs!BH99))</f>
        <v>0</v>
      </c>
      <c r="AF99" s="10">
        <f>PVCalcs!AC99+BattCalcs!BJ99</f>
        <v>0</v>
      </c>
      <c r="AG99" s="144">
        <f>IF('PV IN'!$F$4="Battery Only",0,PVCalcs!AG99)</f>
        <v>-750</v>
      </c>
      <c r="AH99" s="144">
        <f>IF('PV IN'!$F$4="Battery Only",0,PVCalcs!AI99)</f>
        <v>0</v>
      </c>
      <c r="AI99" s="144">
        <f>IF('PV IN'!$F$4="PV Only",0,BattCalcs!BM99)</f>
        <v>0</v>
      </c>
      <c r="AJ99" s="144">
        <f>IF('PV IN'!$F$4="PV Only",0,SUM(BattCalcs!BO99:BT99))</f>
        <v>0</v>
      </c>
      <c r="AK99" s="144">
        <f>IF('PV IN'!$F$4="PV Only",PVCalcs!AH99,IF('PV IN'!$F$4="Battery Only",BattCalcs!BN99,PVCalcs!AH99+BattCalcs!BN99))</f>
        <v>-625</v>
      </c>
      <c r="AL99" s="144">
        <f>IF('PV IN'!$F$4="PV Only",0,BattCalcs!BV99)</f>
        <v>0</v>
      </c>
      <c r="AM99" s="144">
        <f>IF('PV IN'!$F$4="PV Only",0,SUM(BattCalcs!BW99:BX99))</f>
        <v>0</v>
      </c>
      <c r="AN99" s="144">
        <f>IF('PV IN'!$F$4="PV Only",0,BattCalcs!BY99)</f>
        <v>0</v>
      </c>
      <c r="AO99" s="144">
        <f>IF('PV IN'!$F$4="Battery Only",0,PVCalcs!U99)</f>
        <v>11026.552522047159</v>
      </c>
      <c r="AP99" s="10">
        <f>IF('PV IN'!$F$4="PV Only",0,BattCalcs!AS99)</f>
        <v>0</v>
      </c>
      <c r="AQ99" s="10">
        <f>IF('PV IN'!$F$4="PV Only",0,BattCalcs!AT99)</f>
        <v>0</v>
      </c>
      <c r="AR99" s="10">
        <f>IF('PV IN'!$F$4="PV Only",0,BattCalcs!AU99)</f>
        <v>0</v>
      </c>
      <c r="AS99" s="144">
        <f>IF('PV IN'!$F$4="PV Only",PVCalcs!X99,IF('PV IN'!$F$4="Battery Only",BattCalcs!AW99,PVCalcs!X99+BattCalcs!AW99))</f>
        <v>0</v>
      </c>
      <c r="AT99" s="144">
        <f>IF('PV IN'!$F$4="Battery Only",0,-PVCalcs!AQ99*'PV IN'!$E$8)</f>
        <v>0</v>
      </c>
      <c r="AU99" s="144">
        <f>IF('PV IN'!$F$4="PV Only",0,-BattCalcs!CG99*'PV IN'!$E$8)</f>
        <v>0</v>
      </c>
      <c r="AV99" s="144">
        <f>IF('PV IN'!$F$4="PV Only",PVCalcs!Z99+PVCalcs!AA99,IF('PV IN'!$F$4="Battery Only",SUM(BattCalcs!BC99:BH99),PVCalcs!Z99+PVCalcs!AA99+SUM(BattCalcs!BC99:BH99)))</f>
        <v>0</v>
      </c>
      <c r="AW99" s="144">
        <f>IF('PV IN'!$F$4="PV Only",SUM(PVCalcs!AF99:AI99),IF('PV IN'!$F$4="Battery Only",SUM(BattCalcs!BL99:BY99),SUM(PVCalcs!AF99:AI99)+SUM(BattCalcs!BL99:BY99)))</f>
        <v>-1375</v>
      </c>
      <c r="AX99" s="144">
        <f>IF('PV IN'!$F$4="Battery Only",0,-PVLoan!F127)</f>
        <v>0</v>
      </c>
      <c r="AY99" s="144">
        <f>IF('PV IN'!$F$4="PV Only",0,-BattLoan!F127)</f>
        <v>0</v>
      </c>
      <c r="AZ99" s="144">
        <f>IF('PV IN'!$F$4="Battery Only",0,-PVLoan!H127)</f>
        <v>0</v>
      </c>
      <c r="BA99" s="144">
        <f>IF('PV IN'!$F$4="PV Only",0,-BattLoan!H127)</f>
        <v>0</v>
      </c>
    </row>
    <row r="100" spans="1:88" x14ac:dyDescent="0.25">
      <c r="A100">
        <f>IF(C100&lt;='PV IN'!$O$22*12,C100,"")</f>
        <v>96</v>
      </c>
      <c r="B100">
        <f>B88+1</f>
        <v>2033</v>
      </c>
      <c r="C100">
        <v>96</v>
      </c>
      <c r="D100" s="2">
        <f>BattCalcs!CK100+PVCalcs!AT100</f>
        <v>11793.747240529348</v>
      </c>
      <c r="E100" s="20">
        <f>PVCalcs!AV100</f>
        <v>-47867.053173802648</v>
      </c>
      <c r="F100" s="20">
        <f>PVCalcs!AW100</f>
        <v>7982.472358207403</v>
      </c>
      <c r="G100" s="20">
        <f>PVCalcs!AX100</f>
        <v>-309690.30124705209</v>
      </c>
      <c r="H100" s="20">
        <f>BattCalcs!CM100</f>
        <v>0</v>
      </c>
      <c r="I100" s="20">
        <f>BattCalcs!CN100</f>
        <v>0</v>
      </c>
      <c r="J100" s="20">
        <f>IF(C100&lt;='Batt IN'!H$43*12,BattCalcs!CO100,NA())</f>
        <v>0</v>
      </c>
      <c r="L100" s="20">
        <f t="shared" si="142"/>
        <v>7982.472358207403</v>
      </c>
      <c r="M100" s="20">
        <f>G100+BattCalcs!CO100</f>
        <v>-309690.30124705209</v>
      </c>
      <c r="N100" s="20"/>
      <c r="O100" s="10">
        <f>PVLoan!G128</f>
        <v>0</v>
      </c>
      <c r="P100" s="10">
        <f>PVLoan!J128</f>
        <v>0</v>
      </c>
      <c r="Q100" s="2">
        <f>BattLoan!G128</f>
        <v>0</v>
      </c>
      <c r="R100" s="10">
        <f>BattLoan!J128</f>
        <v>0</v>
      </c>
      <c r="T100" s="33">
        <f>IF('PV IN'!$F$4="Battery Only",0,PVCalcs!G100)</f>
        <v>143138.13488437558</v>
      </c>
      <c r="U100" s="33">
        <f>IF('PV IN'!$F$4="Battery Only",0,PVCalcs!M100)</f>
        <v>143138.13488437558</v>
      </c>
      <c r="V100" s="33">
        <f>PVCalcs!L100</f>
        <v>25811.765833333331</v>
      </c>
      <c r="W100" s="158">
        <f>PVCalcs!F100</f>
        <v>7.6982989165910107E-2</v>
      </c>
      <c r="X100" s="144">
        <f>IF('PV IN'!$F$4="Battery Only",0,PVCalcs!Y100+PVCalcs!Z100)</f>
        <v>1860.7957534968825</v>
      </c>
      <c r="Y100" s="144">
        <f>IF('PV IN'!$F$4="PV Only",0,BattCalcs!AX100+BattCalcs!BC100)</f>
        <v>0</v>
      </c>
      <c r="Z100" s="144">
        <f>IF('PV IN'!$F$4="PV Only",0,BattCalcs!AY100+BattCalcs!BD100)</f>
        <v>0</v>
      </c>
      <c r="AA100" s="144">
        <f>IF('PV IN'!$F$4="PV Only",0,BattCalcs!AZ100+BattCalcs!BE100)</f>
        <v>0</v>
      </c>
      <c r="AB100" s="144">
        <f>IF('PV IN'!$F$4="PV Only",0,BattCalcs!BA100+BattCalcs!BF100)</f>
        <v>0</v>
      </c>
      <c r="AC100" s="144">
        <f>IF('PV IN'!$F$4="PV Only",0,BattCalcs!BB100+BattCalcs!BG100)</f>
        <v>0</v>
      </c>
      <c r="AD100" s="144">
        <f>IF('PV IN'!$F$4="PV Only",0,BattCalcs!BU100)</f>
        <v>0</v>
      </c>
      <c r="AE100" s="144">
        <f>IF('PV IN'!$F$4="PV Only",PVCalcs!W100+PVCalcs!AA100,IF('PV IN'!$F$4="Battery Only",BattCalcs!AV100+BattCalcs!BH100,PVCalcs!W100+PVCalcs!AA100+BattCalcs!AV100+BattCalcs!BH100))</f>
        <v>0</v>
      </c>
      <c r="AF100" s="10">
        <f>PVCalcs!AC100+BattCalcs!BJ100</f>
        <v>0</v>
      </c>
      <c r="AG100" s="144">
        <f>IF('PV IN'!$F$4="Battery Only",0,PVCalcs!AG100)</f>
        <v>-750</v>
      </c>
      <c r="AH100" s="144">
        <f>IF('PV IN'!$F$4="Battery Only",0,PVCalcs!AI100)</f>
        <v>0</v>
      </c>
      <c r="AI100" s="144">
        <f>IF('PV IN'!$F$4="PV Only",0,BattCalcs!BM100)</f>
        <v>0</v>
      </c>
      <c r="AJ100" s="144">
        <f>IF('PV IN'!$F$4="PV Only",0,SUM(BattCalcs!BO100:BT100))</f>
        <v>0</v>
      </c>
      <c r="AK100" s="144">
        <f>IF('PV IN'!$F$4="PV Only",PVCalcs!AH100,IF('PV IN'!$F$4="Battery Only",BattCalcs!BN100,PVCalcs!AH100+BattCalcs!BN100))</f>
        <v>-625</v>
      </c>
      <c r="AL100" s="144">
        <f>IF('PV IN'!$F$4="PV Only",0,BattCalcs!BV100)</f>
        <v>0</v>
      </c>
      <c r="AM100" s="144">
        <f>IF('PV IN'!$F$4="PV Only",0,SUM(BattCalcs!BW100:BX100))</f>
        <v>0</v>
      </c>
      <c r="AN100" s="144">
        <f>IF('PV IN'!$F$4="PV Only",0,BattCalcs!BY100)</f>
        <v>0</v>
      </c>
      <c r="AO100" s="144">
        <f>IF('PV IN'!$F$4="Battery Only",0,PVCalcs!U100)</f>
        <v>11019.201487032466</v>
      </c>
      <c r="AP100" s="10">
        <f>IF('PV IN'!$F$4="PV Only",0,BattCalcs!AS100)</f>
        <v>0</v>
      </c>
      <c r="AQ100" s="10">
        <f>IF('PV IN'!$F$4="PV Only",0,BattCalcs!AT100)</f>
        <v>0</v>
      </c>
      <c r="AR100" s="10">
        <f>IF('PV IN'!$F$4="PV Only",0,BattCalcs!AU100)</f>
        <v>0</v>
      </c>
      <c r="AS100" s="144">
        <f>IF('PV IN'!$F$4="PV Only",PVCalcs!X100,IF('PV IN'!$F$4="Battery Only",BattCalcs!AW100,PVCalcs!X100+BattCalcs!AW100))</f>
        <v>0</v>
      </c>
      <c r="AT100" s="144">
        <f>IF('PV IN'!$F$4="Battery Only",0,-PVCalcs!AQ100*'PV IN'!$E$8)</f>
        <v>0</v>
      </c>
      <c r="AU100" s="144">
        <f>IF('PV IN'!$F$4="PV Only",0,-BattCalcs!CG100*'PV IN'!$E$8)</f>
        <v>0</v>
      </c>
      <c r="AV100" s="144">
        <f>IF('PV IN'!$F$4="PV Only",PVCalcs!Z100+PVCalcs!AA100,IF('PV IN'!$F$4="Battery Only",SUM(BattCalcs!BC100:BH100),PVCalcs!Z100+PVCalcs!AA100+SUM(BattCalcs!BC100:BH100)))</f>
        <v>0</v>
      </c>
      <c r="AW100" s="144">
        <f>IF('PV IN'!$F$4="PV Only",SUM(PVCalcs!AF100:AI100),IF('PV IN'!$F$4="Battery Only",SUM(BattCalcs!BL100:BY100),SUM(PVCalcs!AF100:AI100)+SUM(BattCalcs!BL100:BY100)))</f>
        <v>-1375</v>
      </c>
      <c r="AX100" s="144">
        <f>IF('PV IN'!$F$4="Battery Only",0,-PVLoan!F128)</f>
        <v>0</v>
      </c>
      <c r="AY100" s="144">
        <f>IF('PV IN'!$F$4="PV Only",0,-BattLoan!F128)</f>
        <v>0</v>
      </c>
      <c r="AZ100" s="144">
        <f>IF('PV IN'!$F$4="Battery Only",0,-PVLoan!H128)</f>
        <v>0</v>
      </c>
      <c r="BA100" s="144">
        <f>IF('PV IN'!$F$4="PV Only",0,-BattLoan!H128)</f>
        <v>0</v>
      </c>
      <c r="BC100" s="33">
        <f t="shared" ref="BC100" si="211">SUM(T89:T100)</f>
        <v>1723973.9335335563</v>
      </c>
      <c r="BD100" s="33">
        <f t="shared" ref="BD100" si="212">SUM(U89:U100)</f>
        <v>1723973.9335335563</v>
      </c>
      <c r="BE100" s="33">
        <f t="shared" ref="BE100" si="213">SUM(V89:V100)</f>
        <v>309741.19</v>
      </c>
      <c r="BF100" s="50">
        <f t="shared" ref="BF100" si="214">W100</f>
        <v>7.6982989165910107E-2</v>
      </c>
      <c r="BG100" s="2">
        <f t="shared" ref="BG100" si="215">SUM(X89:X100)</f>
        <v>22411.661135936229</v>
      </c>
      <c r="BH100" s="2">
        <f t="shared" ref="BH100" si="216">SUM(Y89:Y100)</f>
        <v>0</v>
      </c>
      <c r="BI100" s="2">
        <f t="shared" ref="BI100" si="217">SUM(Z89:Z100)</f>
        <v>0</v>
      </c>
      <c r="BJ100" s="2">
        <f t="shared" ref="BJ100" si="218">SUM(AA89:AA100)</f>
        <v>0</v>
      </c>
      <c r="BK100" s="2">
        <f t="shared" ref="BK100" si="219">SUM(AB89:AB100)</f>
        <v>0</v>
      </c>
      <c r="BL100" s="2">
        <f t="shared" ref="BL100" si="220">SUM(AC89:AC100)</f>
        <v>0</v>
      </c>
      <c r="BM100" s="2">
        <f t="shared" ref="BM100" si="221">SUM(AD89:AD100)</f>
        <v>0</v>
      </c>
      <c r="BN100" s="2">
        <f t="shared" ref="BN100" si="222">SUM(AE89:AE100)</f>
        <v>0</v>
      </c>
      <c r="BO100" s="2">
        <f t="shared" ref="BO100" si="223">SUM(AF89:AF100)</f>
        <v>0</v>
      </c>
      <c r="BP100" s="2">
        <f t="shared" ref="BP100" si="224">SUM(AG89:AG100)</f>
        <v>-9000</v>
      </c>
      <c r="BQ100" s="2">
        <f t="shared" ref="BQ100" si="225">SUM(AH89:AH100)</f>
        <v>0</v>
      </c>
      <c r="BR100" s="2">
        <f t="shared" ref="BR100" si="226">SUM(AI89:AI100)</f>
        <v>0</v>
      </c>
      <c r="BS100" s="2">
        <f t="shared" ref="BS100" si="227">SUM(AJ89:AJ100)</f>
        <v>0</v>
      </c>
      <c r="BT100" s="2">
        <f t="shared" ref="BT100" si="228">SUM(AK89:AK100)</f>
        <v>-7500</v>
      </c>
      <c r="BU100" s="2">
        <f t="shared" ref="BU100" si="229">SUM(AL89:AL100)</f>
        <v>0</v>
      </c>
      <c r="BV100" s="2">
        <f t="shared" ref="BV100" si="230">SUM(AM89:AM100)</f>
        <v>0</v>
      </c>
      <c r="BW100" s="2">
        <f t="shared" ref="BW100" si="231">SUM(AN89:AN100)</f>
        <v>0</v>
      </c>
      <c r="BX100" s="2">
        <f t="shared" ref="BX100" si="232">SUM(AO89:AO100)</f>
        <v>132716.66664752521</v>
      </c>
      <c r="BY100" s="2">
        <f t="shared" ref="BY100" si="233">SUM(AP89:AP100)</f>
        <v>0</v>
      </c>
      <c r="BZ100" s="2">
        <f t="shared" ref="BZ100" si="234">SUM(AQ89:AQ100)</f>
        <v>0</v>
      </c>
      <c r="CA100" s="2">
        <f t="shared" ref="CA100" si="235">SUM(AR89:AR100)</f>
        <v>0</v>
      </c>
      <c r="CB100" s="2">
        <f t="shared" ref="CB100" si="236">SUM(AS89:AS100)</f>
        <v>0</v>
      </c>
      <c r="CC100" s="2">
        <f t="shared" ref="CC100" si="237">SUM(AT89:AT100)</f>
        <v>0</v>
      </c>
      <c r="CD100" s="2">
        <f t="shared" ref="CD100" si="238">SUM(AU89:AU100)</f>
        <v>0</v>
      </c>
      <c r="CE100" s="2">
        <f t="shared" ref="CE100" si="239">SUM(AV89:AV100)</f>
        <v>0</v>
      </c>
      <c r="CF100" s="2">
        <f t="shared" ref="CF100" si="240">SUM(AW89:AW100)</f>
        <v>-16500</v>
      </c>
      <c r="CG100" s="2">
        <f t="shared" ref="CG100" si="241">SUM(AX89:AX100)</f>
        <v>0</v>
      </c>
      <c r="CH100" s="2">
        <f t="shared" ref="CH100" si="242">SUM(AY89:AY100)</f>
        <v>0</v>
      </c>
      <c r="CI100" s="2">
        <f t="shared" ref="CI100" si="243">SUM(AZ89:AZ100)</f>
        <v>0</v>
      </c>
      <c r="CJ100" s="2">
        <f t="shared" ref="CJ100" si="244">SUM(BA89:BA100)</f>
        <v>0</v>
      </c>
    </row>
    <row r="101" spans="1:88" x14ac:dyDescent="0.25">
      <c r="A101">
        <f>IF(C101&lt;='PV IN'!$O$22*12,C101,"")</f>
        <v>97</v>
      </c>
      <c r="C101">
        <v>97</v>
      </c>
      <c r="D101" s="2">
        <f>BattCalcs!CK101+PVCalcs!AT101</f>
        <v>12138.233302586284</v>
      </c>
      <c r="E101" s="20">
        <f>PVCalcs!AV101</f>
        <v>-35728.819871216365</v>
      </c>
      <c r="F101" s="20">
        <f>PVCalcs!AW101</f>
        <v>8182.2983882094804</v>
      </c>
      <c r="G101" s="20">
        <f>PVCalcs!AX101</f>
        <v>-301508.00285884261</v>
      </c>
      <c r="H101" s="20">
        <f>BattCalcs!CM101</f>
        <v>0</v>
      </c>
      <c r="I101" s="20">
        <f>BattCalcs!CN101</f>
        <v>0</v>
      </c>
      <c r="J101" s="20">
        <f>IF(C101&lt;='Batt IN'!H$43*12,BattCalcs!CO101,NA())</f>
        <v>0</v>
      </c>
      <c r="L101" s="20">
        <f t="shared" si="142"/>
        <v>8182.2983882094804</v>
      </c>
      <c r="M101" s="20">
        <f>G101+BattCalcs!CO101</f>
        <v>-301508.00285884261</v>
      </c>
      <c r="O101" s="10">
        <f>PVLoan!G129</f>
        <v>0</v>
      </c>
      <c r="P101" s="10">
        <f>PVLoan!J129</f>
        <v>0</v>
      </c>
      <c r="Q101" s="2">
        <f>BattLoan!G129</f>
        <v>0</v>
      </c>
      <c r="R101" s="10">
        <f>BattLoan!J129</f>
        <v>0</v>
      </c>
      <c r="T101" s="33">
        <f>IF('PV IN'!$F$4="Battery Only",0,PVCalcs!G101)</f>
        <v>143042.70946111929</v>
      </c>
      <c r="U101" s="33">
        <f>IF('PV IN'!$F$4="Battery Only",0,PVCalcs!M101)</f>
        <v>143042.70946111929</v>
      </c>
      <c r="V101" s="33">
        <f>PVCalcs!L101</f>
        <v>25811.765833333331</v>
      </c>
      <c r="W101" s="158">
        <f>PVCalcs!F101</f>
        <v>7.9451292012060609E-2</v>
      </c>
      <c r="X101" s="144">
        <f>IF('PV IN'!$F$4="Battery Only",0,PVCalcs!Y101+PVCalcs!Z101)</f>
        <v>1859.5552229945508</v>
      </c>
      <c r="Y101" s="144">
        <f>IF('PV IN'!$F$4="PV Only",0,BattCalcs!AX101+BattCalcs!BC101)</f>
        <v>0</v>
      </c>
      <c r="Z101" s="144">
        <f>IF('PV IN'!$F$4="PV Only",0,BattCalcs!AY101+BattCalcs!BD101)</f>
        <v>0</v>
      </c>
      <c r="AA101" s="144">
        <f>IF('PV IN'!$F$4="PV Only",0,BattCalcs!AZ101+BattCalcs!BE101)</f>
        <v>0</v>
      </c>
      <c r="AB101" s="144">
        <f>IF('PV IN'!$F$4="PV Only",0,BattCalcs!BA101+BattCalcs!BF101)</f>
        <v>0</v>
      </c>
      <c r="AC101" s="144">
        <f>IF('PV IN'!$F$4="PV Only",0,BattCalcs!BB101+BattCalcs!BG101)</f>
        <v>0</v>
      </c>
      <c r="AD101" s="144">
        <f>IF('PV IN'!$F$4="PV Only",0,BattCalcs!BU101)</f>
        <v>0</v>
      </c>
      <c r="AE101" s="144">
        <f>IF('PV IN'!$F$4="PV Only",PVCalcs!W101+PVCalcs!AA101,IF('PV IN'!$F$4="Battery Only",BattCalcs!AV101+BattCalcs!BH101,PVCalcs!W101+PVCalcs!AA101+BattCalcs!AV101+BattCalcs!BH101))</f>
        <v>0</v>
      </c>
      <c r="AF101" s="10">
        <f>PVCalcs!AC101+BattCalcs!BJ101</f>
        <v>0</v>
      </c>
      <c r="AG101" s="144">
        <f>IF('PV IN'!$F$4="Battery Only",0,PVCalcs!AG101)</f>
        <v>-750</v>
      </c>
      <c r="AH101" s="144">
        <f>IF('PV IN'!$F$4="Battery Only",0,PVCalcs!AI101)</f>
        <v>0</v>
      </c>
      <c r="AI101" s="144">
        <f>IF('PV IN'!$F$4="PV Only",0,BattCalcs!BM101)</f>
        <v>0</v>
      </c>
      <c r="AJ101" s="144">
        <f>IF('PV IN'!$F$4="PV Only",0,SUM(BattCalcs!BO101:BT101))</f>
        <v>0</v>
      </c>
      <c r="AK101" s="144">
        <f>IF('PV IN'!$F$4="PV Only",PVCalcs!AH101,IF('PV IN'!$F$4="Battery Only",BattCalcs!BN101,PVCalcs!AH101+BattCalcs!BN101))</f>
        <v>-625</v>
      </c>
      <c r="AL101" s="144">
        <f>IF('PV IN'!$F$4="PV Only",0,BattCalcs!BV101)</f>
        <v>0</v>
      </c>
      <c r="AM101" s="144">
        <f>IF('PV IN'!$F$4="PV Only",0,SUM(BattCalcs!BW101:BX101))</f>
        <v>0</v>
      </c>
      <c r="AN101" s="144">
        <f>IF('PV IN'!$F$4="PV Only",0,BattCalcs!BY101)</f>
        <v>0</v>
      </c>
      <c r="AO101" s="144">
        <f>IF('PV IN'!$F$4="Battery Only",0,PVCalcs!U101)</f>
        <v>11364.928079591733</v>
      </c>
      <c r="AP101" s="10">
        <f>IF('PV IN'!$F$4="PV Only",0,BattCalcs!AS101)</f>
        <v>0</v>
      </c>
      <c r="AQ101" s="10">
        <f>IF('PV IN'!$F$4="PV Only",0,BattCalcs!AT101)</f>
        <v>0</v>
      </c>
      <c r="AR101" s="10">
        <f>IF('PV IN'!$F$4="PV Only",0,BattCalcs!AU101)</f>
        <v>0</v>
      </c>
      <c r="AS101" s="144">
        <f>IF('PV IN'!$F$4="PV Only",PVCalcs!X101,IF('PV IN'!$F$4="Battery Only",BattCalcs!AW101,PVCalcs!X101+BattCalcs!AW101))</f>
        <v>0</v>
      </c>
      <c r="AT101" s="144">
        <f>IF('PV IN'!$F$4="Battery Only",0,-PVCalcs!AQ101*'PV IN'!$E$8)</f>
        <v>0</v>
      </c>
      <c r="AU101" s="144">
        <f>IF('PV IN'!$F$4="PV Only",0,-BattCalcs!CG101*'PV IN'!$E$8)</f>
        <v>0</v>
      </c>
      <c r="AV101" s="144">
        <f>IF('PV IN'!$F$4="PV Only",PVCalcs!Z101+PVCalcs!AA101,IF('PV IN'!$F$4="Battery Only",SUM(BattCalcs!BC101:BH101),PVCalcs!Z101+PVCalcs!AA101+SUM(BattCalcs!BC101:BH101)))</f>
        <v>0</v>
      </c>
      <c r="AW101" s="144">
        <f>IF('PV IN'!$F$4="PV Only",SUM(PVCalcs!AF101:AI101),IF('PV IN'!$F$4="Battery Only",SUM(BattCalcs!BL101:BY101),SUM(PVCalcs!AF101:AI101)+SUM(BattCalcs!BL101:BY101)))</f>
        <v>-1375</v>
      </c>
      <c r="AX101" s="144">
        <f>IF('PV IN'!$F$4="Battery Only",0,-PVLoan!F129)</f>
        <v>0</v>
      </c>
      <c r="AY101" s="144">
        <f>IF('PV IN'!$F$4="PV Only",0,-BattLoan!F129)</f>
        <v>0</v>
      </c>
      <c r="AZ101" s="144">
        <f>IF('PV IN'!$F$4="Battery Only",0,-PVLoan!H129)</f>
        <v>0</v>
      </c>
      <c r="BA101" s="144">
        <f>IF('PV IN'!$F$4="PV Only",0,-BattLoan!H129)</f>
        <v>0</v>
      </c>
    </row>
    <row r="102" spans="1:88" x14ac:dyDescent="0.25">
      <c r="A102">
        <f>IF(C102&lt;='PV IN'!$O$22*12,C102,"")</f>
        <v>98</v>
      </c>
      <c r="C102">
        <v>98</v>
      </c>
      <c r="D102" s="2">
        <f>BattCalcs!CK102+PVCalcs!AT102</f>
        <v>12129.416980384562</v>
      </c>
      <c r="E102" s="20">
        <f>PVCalcs!AV102</f>
        <v>-23599.402890831803</v>
      </c>
      <c r="F102" s="20">
        <f>PVCalcs!AW102</f>
        <v>8143.1790474875343</v>
      </c>
      <c r="G102" s="20">
        <f>PVCalcs!AX102</f>
        <v>-293364.82381135505</v>
      </c>
      <c r="H102" s="20">
        <f>BattCalcs!CM102</f>
        <v>0</v>
      </c>
      <c r="I102" s="20">
        <f>BattCalcs!CN102</f>
        <v>0</v>
      </c>
      <c r="J102" s="20">
        <f>IF(C102&lt;='Batt IN'!H$43*12,BattCalcs!CO102,NA())</f>
        <v>0</v>
      </c>
      <c r="L102" s="20">
        <f t="shared" si="142"/>
        <v>8143.1790474875343</v>
      </c>
      <c r="M102" s="20">
        <f>G102+BattCalcs!CO102</f>
        <v>-293364.82381135505</v>
      </c>
      <c r="O102" s="10">
        <f>PVLoan!G130</f>
        <v>0</v>
      </c>
      <c r="P102" s="10">
        <f>PVLoan!J130</f>
        <v>0</v>
      </c>
      <c r="Q102" s="2">
        <f>BattLoan!G130</f>
        <v>0</v>
      </c>
      <c r="R102" s="10">
        <f>BattLoan!J130</f>
        <v>0</v>
      </c>
      <c r="T102" s="33">
        <f>IF('PV IN'!$F$4="Battery Only",0,PVCalcs!G102)</f>
        <v>142947.34765481189</v>
      </c>
      <c r="U102" s="33">
        <f>IF('PV IN'!$F$4="Battery Only",0,PVCalcs!M102)</f>
        <v>142947.34765481189</v>
      </c>
      <c r="V102" s="33">
        <f>PVCalcs!L102</f>
        <v>25811.765833333331</v>
      </c>
      <c r="W102" s="158">
        <f>PVCalcs!F102</f>
        <v>7.9451292012060609E-2</v>
      </c>
      <c r="X102" s="144">
        <f>IF('PV IN'!$F$4="Battery Only",0,PVCalcs!Y102+PVCalcs!Z102)</f>
        <v>1858.3155195125546</v>
      </c>
      <c r="Y102" s="144">
        <f>IF('PV IN'!$F$4="PV Only",0,BattCalcs!AX102+BattCalcs!BC102)</f>
        <v>0</v>
      </c>
      <c r="Z102" s="144">
        <f>IF('PV IN'!$F$4="PV Only",0,BattCalcs!AY102+BattCalcs!BD102)</f>
        <v>0</v>
      </c>
      <c r="AA102" s="144">
        <f>IF('PV IN'!$F$4="PV Only",0,BattCalcs!AZ102+BattCalcs!BE102)</f>
        <v>0</v>
      </c>
      <c r="AB102" s="144">
        <f>IF('PV IN'!$F$4="PV Only",0,BattCalcs!BA102+BattCalcs!BF102)</f>
        <v>0</v>
      </c>
      <c r="AC102" s="144">
        <f>IF('PV IN'!$F$4="PV Only",0,BattCalcs!BB102+BattCalcs!BG102)</f>
        <v>0</v>
      </c>
      <c r="AD102" s="144">
        <f>IF('PV IN'!$F$4="PV Only",0,BattCalcs!BU102)</f>
        <v>0</v>
      </c>
      <c r="AE102" s="144">
        <f>IF('PV IN'!$F$4="PV Only",PVCalcs!W102+PVCalcs!AA102,IF('PV IN'!$F$4="Battery Only",BattCalcs!AV102+BattCalcs!BH102,PVCalcs!W102+PVCalcs!AA102+BattCalcs!AV102+BattCalcs!BH102))</f>
        <v>0</v>
      </c>
      <c r="AF102" s="10">
        <f>PVCalcs!AC102+BattCalcs!BJ102</f>
        <v>0</v>
      </c>
      <c r="AG102" s="144">
        <f>IF('PV IN'!$F$4="Battery Only",0,PVCalcs!AG102)</f>
        <v>-750</v>
      </c>
      <c r="AH102" s="144">
        <f>IF('PV IN'!$F$4="Battery Only",0,PVCalcs!AI102)</f>
        <v>0</v>
      </c>
      <c r="AI102" s="144">
        <f>IF('PV IN'!$F$4="PV Only",0,BattCalcs!BM102)</f>
        <v>0</v>
      </c>
      <c r="AJ102" s="144">
        <f>IF('PV IN'!$F$4="PV Only",0,SUM(BattCalcs!BO102:BT102))</f>
        <v>0</v>
      </c>
      <c r="AK102" s="144">
        <f>IF('PV IN'!$F$4="PV Only",PVCalcs!AH102,IF('PV IN'!$F$4="Battery Only",BattCalcs!BN102,PVCalcs!AH102+BattCalcs!BN102))</f>
        <v>-625</v>
      </c>
      <c r="AL102" s="144">
        <f>IF('PV IN'!$F$4="PV Only",0,BattCalcs!BV102)</f>
        <v>0</v>
      </c>
      <c r="AM102" s="144">
        <f>IF('PV IN'!$F$4="PV Only",0,SUM(BattCalcs!BW102:BX102))</f>
        <v>0</v>
      </c>
      <c r="AN102" s="144">
        <f>IF('PV IN'!$F$4="PV Only",0,BattCalcs!BY102)</f>
        <v>0</v>
      </c>
      <c r="AO102" s="144">
        <f>IF('PV IN'!$F$4="Battery Only",0,PVCalcs!U102)</f>
        <v>11357.351460872007</v>
      </c>
      <c r="AP102" s="10">
        <f>IF('PV IN'!$F$4="PV Only",0,BattCalcs!AS102)</f>
        <v>0</v>
      </c>
      <c r="AQ102" s="10">
        <f>IF('PV IN'!$F$4="PV Only",0,BattCalcs!AT102)</f>
        <v>0</v>
      </c>
      <c r="AR102" s="10">
        <f>IF('PV IN'!$F$4="PV Only",0,BattCalcs!AU102)</f>
        <v>0</v>
      </c>
      <c r="AS102" s="144">
        <f>IF('PV IN'!$F$4="PV Only",PVCalcs!X102,IF('PV IN'!$F$4="Battery Only",BattCalcs!AW102,PVCalcs!X102+BattCalcs!AW102))</f>
        <v>0</v>
      </c>
      <c r="AT102" s="144">
        <f>IF('PV IN'!$F$4="Battery Only",0,-PVCalcs!AQ102*'PV IN'!$E$8)</f>
        <v>0</v>
      </c>
      <c r="AU102" s="144">
        <f>IF('PV IN'!$F$4="PV Only",0,-BattCalcs!CG102*'PV IN'!$E$8)</f>
        <v>0</v>
      </c>
      <c r="AV102" s="144">
        <f>IF('PV IN'!$F$4="PV Only",PVCalcs!Z102+PVCalcs!AA102,IF('PV IN'!$F$4="Battery Only",SUM(BattCalcs!BC102:BH102),PVCalcs!Z102+PVCalcs!AA102+SUM(BattCalcs!BC102:BH102)))</f>
        <v>0</v>
      </c>
      <c r="AW102" s="144">
        <f>IF('PV IN'!$F$4="PV Only",SUM(PVCalcs!AF102:AI102),IF('PV IN'!$F$4="Battery Only",SUM(BattCalcs!BL102:BY102),SUM(PVCalcs!AF102:AI102)+SUM(BattCalcs!BL102:BY102)))</f>
        <v>-1375</v>
      </c>
      <c r="AX102" s="144">
        <f>IF('PV IN'!$F$4="Battery Only",0,-PVLoan!F130)</f>
        <v>0</v>
      </c>
      <c r="AY102" s="144">
        <f>IF('PV IN'!$F$4="PV Only",0,-BattLoan!F130)</f>
        <v>0</v>
      </c>
      <c r="AZ102" s="144">
        <f>IF('PV IN'!$F$4="Battery Only",0,-PVLoan!H130)</f>
        <v>0</v>
      </c>
      <c r="BA102" s="144">
        <f>IF('PV IN'!$F$4="PV Only",0,-BattLoan!H130)</f>
        <v>0</v>
      </c>
    </row>
    <row r="103" spans="1:88" x14ac:dyDescent="0.25">
      <c r="A103">
        <f>IF(C103&lt;='PV IN'!$O$22*12,C103,"")</f>
        <v>99</v>
      </c>
      <c r="C103">
        <v>99</v>
      </c>
      <c r="D103" s="2">
        <f>BattCalcs!CK103+PVCalcs!AT103</f>
        <v>12120.606535730969</v>
      </c>
      <c r="E103" s="20">
        <f>PVCalcs!AV103</f>
        <v>-11478.796355100834</v>
      </c>
      <c r="F103" s="20">
        <f>PVCalcs!AW103</f>
        <v>8104.2463835551262</v>
      </c>
      <c r="G103" s="20">
        <f>PVCalcs!AX103</f>
        <v>-285260.57742779993</v>
      </c>
      <c r="H103" s="20">
        <f>BattCalcs!CM103</f>
        <v>0</v>
      </c>
      <c r="I103" s="20">
        <f>BattCalcs!CN103</f>
        <v>0</v>
      </c>
      <c r="J103" s="20">
        <f>IF(C103&lt;='Batt IN'!H$43*12,BattCalcs!CO103,NA())</f>
        <v>0</v>
      </c>
      <c r="L103" s="20">
        <f t="shared" si="142"/>
        <v>8104.2463835551262</v>
      </c>
      <c r="M103" s="20">
        <f>G103+BattCalcs!CO103</f>
        <v>-285260.57742779993</v>
      </c>
      <c r="O103" s="10">
        <f>PVLoan!G131</f>
        <v>0</v>
      </c>
      <c r="P103" s="10">
        <f>PVLoan!J131</f>
        <v>0</v>
      </c>
      <c r="Q103" s="2">
        <f>BattLoan!G131</f>
        <v>0</v>
      </c>
      <c r="R103" s="10">
        <f>BattLoan!J131</f>
        <v>0</v>
      </c>
      <c r="T103" s="33">
        <f>IF('PV IN'!$F$4="Battery Only",0,PVCalcs!G103)</f>
        <v>142852.04942304199</v>
      </c>
      <c r="U103" s="33">
        <f>IF('PV IN'!$F$4="Battery Only",0,PVCalcs!M103)</f>
        <v>142852.04942304199</v>
      </c>
      <c r="V103" s="33">
        <f>PVCalcs!L103</f>
        <v>25811.765833333331</v>
      </c>
      <c r="W103" s="158">
        <f>PVCalcs!F103</f>
        <v>7.9451292012060609E-2</v>
      </c>
      <c r="X103" s="144">
        <f>IF('PV IN'!$F$4="Battery Only",0,PVCalcs!Y103+PVCalcs!Z103)</f>
        <v>1857.0766424995459</v>
      </c>
      <c r="Y103" s="144">
        <f>IF('PV IN'!$F$4="PV Only",0,BattCalcs!AX103+BattCalcs!BC103)</f>
        <v>0</v>
      </c>
      <c r="Z103" s="144">
        <f>IF('PV IN'!$F$4="PV Only",0,BattCalcs!AY103+BattCalcs!BD103)</f>
        <v>0</v>
      </c>
      <c r="AA103" s="144">
        <f>IF('PV IN'!$F$4="PV Only",0,BattCalcs!AZ103+BattCalcs!BE103)</f>
        <v>0</v>
      </c>
      <c r="AB103" s="144">
        <f>IF('PV IN'!$F$4="PV Only",0,BattCalcs!BA103+BattCalcs!BF103)</f>
        <v>0</v>
      </c>
      <c r="AC103" s="144">
        <f>IF('PV IN'!$F$4="PV Only",0,BattCalcs!BB103+BattCalcs!BG103)</f>
        <v>0</v>
      </c>
      <c r="AD103" s="144">
        <f>IF('PV IN'!$F$4="PV Only",0,BattCalcs!BU103)</f>
        <v>0</v>
      </c>
      <c r="AE103" s="144">
        <f>IF('PV IN'!$F$4="PV Only",PVCalcs!W103+PVCalcs!AA103,IF('PV IN'!$F$4="Battery Only",BattCalcs!AV103+BattCalcs!BH103,PVCalcs!W103+PVCalcs!AA103+BattCalcs!AV103+BattCalcs!BH103))</f>
        <v>0</v>
      </c>
      <c r="AF103" s="10">
        <f>PVCalcs!AC103+BattCalcs!BJ103</f>
        <v>0</v>
      </c>
      <c r="AG103" s="144">
        <f>IF('PV IN'!$F$4="Battery Only",0,PVCalcs!AG103)</f>
        <v>-750</v>
      </c>
      <c r="AH103" s="144">
        <f>IF('PV IN'!$F$4="Battery Only",0,PVCalcs!AI103)</f>
        <v>0</v>
      </c>
      <c r="AI103" s="144">
        <f>IF('PV IN'!$F$4="PV Only",0,BattCalcs!BM103)</f>
        <v>0</v>
      </c>
      <c r="AJ103" s="144">
        <f>IF('PV IN'!$F$4="PV Only",0,SUM(BattCalcs!BO103:BT103))</f>
        <v>0</v>
      </c>
      <c r="AK103" s="144">
        <f>IF('PV IN'!$F$4="PV Only",PVCalcs!AH103,IF('PV IN'!$F$4="Battery Only",BattCalcs!BN103,PVCalcs!AH103+BattCalcs!BN103))</f>
        <v>-625</v>
      </c>
      <c r="AL103" s="144">
        <f>IF('PV IN'!$F$4="PV Only",0,BattCalcs!BV103)</f>
        <v>0</v>
      </c>
      <c r="AM103" s="144">
        <f>IF('PV IN'!$F$4="PV Only",0,SUM(BattCalcs!BW103:BX103))</f>
        <v>0</v>
      </c>
      <c r="AN103" s="144">
        <f>IF('PV IN'!$F$4="PV Only",0,BattCalcs!BY103)</f>
        <v>0</v>
      </c>
      <c r="AO103" s="144">
        <f>IF('PV IN'!$F$4="Battery Only",0,PVCalcs!U103)</f>
        <v>11349.779893231424</v>
      </c>
      <c r="AP103" s="10">
        <f>IF('PV IN'!$F$4="PV Only",0,BattCalcs!AS103)</f>
        <v>0</v>
      </c>
      <c r="AQ103" s="10">
        <f>IF('PV IN'!$F$4="PV Only",0,BattCalcs!AT103)</f>
        <v>0</v>
      </c>
      <c r="AR103" s="10">
        <f>IF('PV IN'!$F$4="PV Only",0,BattCalcs!AU103)</f>
        <v>0</v>
      </c>
      <c r="AS103" s="144">
        <f>IF('PV IN'!$F$4="PV Only",PVCalcs!X103,IF('PV IN'!$F$4="Battery Only",BattCalcs!AW103,PVCalcs!X103+BattCalcs!AW103))</f>
        <v>0</v>
      </c>
      <c r="AT103" s="144">
        <f>IF('PV IN'!$F$4="Battery Only",0,-PVCalcs!AQ103*'PV IN'!$E$8)</f>
        <v>0</v>
      </c>
      <c r="AU103" s="144">
        <f>IF('PV IN'!$F$4="PV Only",0,-BattCalcs!CG103*'PV IN'!$E$8)</f>
        <v>0</v>
      </c>
      <c r="AV103" s="144">
        <f>IF('PV IN'!$F$4="PV Only",PVCalcs!Z103+PVCalcs!AA103,IF('PV IN'!$F$4="Battery Only",SUM(BattCalcs!BC103:BH103),PVCalcs!Z103+PVCalcs!AA103+SUM(BattCalcs!BC103:BH103)))</f>
        <v>0</v>
      </c>
      <c r="AW103" s="144">
        <f>IF('PV IN'!$F$4="PV Only",SUM(PVCalcs!AF103:AI103),IF('PV IN'!$F$4="Battery Only",SUM(BattCalcs!BL103:BY103),SUM(PVCalcs!AF103:AI103)+SUM(BattCalcs!BL103:BY103)))</f>
        <v>-1375</v>
      </c>
      <c r="AX103" s="144">
        <f>IF('PV IN'!$F$4="Battery Only",0,-PVLoan!F131)</f>
        <v>0</v>
      </c>
      <c r="AY103" s="144">
        <f>IF('PV IN'!$F$4="PV Only",0,-BattLoan!F131)</f>
        <v>0</v>
      </c>
      <c r="AZ103" s="144">
        <f>IF('PV IN'!$F$4="Battery Only",0,-PVLoan!H131)</f>
        <v>0</v>
      </c>
      <c r="BA103" s="144">
        <f>IF('PV IN'!$F$4="PV Only",0,-BattLoan!H131)</f>
        <v>0</v>
      </c>
    </row>
    <row r="104" spans="1:88" x14ac:dyDescent="0.25">
      <c r="A104">
        <f>IF(C104&lt;='PV IN'!$O$22*12,C104,"")</f>
        <v>100</v>
      </c>
      <c r="C104">
        <v>100</v>
      </c>
      <c r="D104" s="2">
        <f>BattCalcs!CK104+PVCalcs!AT104</f>
        <v>12111.801964707151</v>
      </c>
      <c r="E104" s="20">
        <f>PVCalcs!AV104</f>
        <v>633.00560960631628</v>
      </c>
      <c r="F104" s="20">
        <f>PVCalcs!AW104</f>
        <v>8065.4995070032619</v>
      </c>
      <c r="G104" s="20">
        <f>PVCalcs!AX104</f>
        <v>-277195.07792079664</v>
      </c>
      <c r="H104" s="20">
        <f>BattCalcs!CM104</f>
        <v>0</v>
      </c>
      <c r="I104" s="20">
        <f>BattCalcs!CN104</f>
        <v>0</v>
      </c>
      <c r="J104" s="20">
        <f>IF(C104&lt;='Batt IN'!H$43*12,BattCalcs!CO104,NA())</f>
        <v>0</v>
      </c>
      <c r="L104" s="20">
        <f t="shared" si="142"/>
        <v>8065.4995070032619</v>
      </c>
      <c r="M104" s="20">
        <f>G104+BattCalcs!CO104</f>
        <v>-277195.07792079664</v>
      </c>
      <c r="O104" s="10">
        <f>PVLoan!G132</f>
        <v>0</v>
      </c>
      <c r="P104" s="10">
        <f>PVLoan!J132</f>
        <v>0</v>
      </c>
      <c r="Q104" s="2">
        <f>BattLoan!G132</f>
        <v>0</v>
      </c>
      <c r="R104" s="10">
        <f>BattLoan!J132</f>
        <v>0</v>
      </c>
      <c r="T104" s="33">
        <f>IF('PV IN'!$F$4="Battery Only",0,PVCalcs!G104)</f>
        <v>142756.81472342665</v>
      </c>
      <c r="U104" s="33">
        <f>IF('PV IN'!$F$4="Battery Only",0,PVCalcs!M104)</f>
        <v>142756.81472342665</v>
      </c>
      <c r="V104" s="33">
        <f>PVCalcs!L104</f>
        <v>25811.765833333331</v>
      </c>
      <c r="W104" s="158">
        <f>PVCalcs!F104</f>
        <v>7.9451292012060609E-2</v>
      </c>
      <c r="X104" s="144">
        <f>IF('PV IN'!$F$4="Battery Only",0,PVCalcs!Y104+PVCalcs!Z104)</f>
        <v>1855.8385914045466</v>
      </c>
      <c r="Y104" s="144">
        <f>IF('PV IN'!$F$4="PV Only",0,BattCalcs!AX104+BattCalcs!BC104)</f>
        <v>0</v>
      </c>
      <c r="Z104" s="144">
        <f>IF('PV IN'!$F$4="PV Only",0,BattCalcs!AY104+BattCalcs!BD104)</f>
        <v>0</v>
      </c>
      <c r="AA104" s="144">
        <f>IF('PV IN'!$F$4="PV Only",0,BattCalcs!AZ104+BattCalcs!BE104)</f>
        <v>0</v>
      </c>
      <c r="AB104" s="144">
        <f>IF('PV IN'!$F$4="PV Only",0,BattCalcs!BA104+BattCalcs!BF104)</f>
        <v>0</v>
      </c>
      <c r="AC104" s="144">
        <f>IF('PV IN'!$F$4="PV Only",0,BattCalcs!BB104+BattCalcs!BG104)</f>
        <v>0</v>
      </c>
      <c r="AD104" s="144">
        <f>IF('PV IN'!$F$4="PV Only",0,BattCalcs!BU104)</f>
        <v>0</v>
      </c>
      <c r="AE104" s="144">
        <f>IF('PV IN'!$F$4="PV Only",PVCalcs!W104+PVCalcs!AA104,IF('PV IN'!$F$4="Battery Only",BattCalcs!AV104+BattCalcs!BH104,PVCalcs!W104+PVCalcs!AA104+BattCalcs!AV104+BattCalcs!BH104))</f>
        <v>0</v>
      </c>
      <c r="AF104" s="10">
        <f>PVCalcs!AC104+BattCalcs!BJ104</f>
        <v>0</v>
      </c>
      <c r="AG104" s="144">
        <f>IF('PV IN'!$F$4="Battery Only",0,PVCalcs!AG104)</f>
        <v>-750</v>
      </c>
      <c r="AH104" s="144">
        <f>IF('PV IN'!$F$4="Battery Only",0,PVCalcs!AI104)</f>
        <v>0</v>
      </c>
      <c r="AI104" s="144">
        <f>IF('PV IN'!$F$4="PV Only",0,BattCalcs!BM104)</f>
        <v>0</v>
      </c>
      <c r="AJ104" s="144">
        <f>IF('PV IN'!$F$4="PV Only",0,SUM(BattCalcs!BO104:BT104))</f>
        <v>0</v>
      </c>
      <c r="AK104" s="144">
        <f>IF('PV IN'!$F$4="PV Only",PVCalcs!AH104,IF('PV IN'!$F$4="Battery Only",BattCalcs!BN104,PVCalcs!AH104+BattCalcs!BN104))</f>
        <v>-625</v>
      </c>
      <c r="AL104" s="144">
        <f>IF('PV IN'!$F$4="PV Only",0,BattCalcs!BV104)</f>
        <v>0</v>
      </c>
      <c r="AM104" s="144">
        <f>IF('PV IN'!$F$4="PV Only",0,SUM(BattCalcs!BW104:BX104))</f>
        <v>0</v>
      </c>
      <c r="AN104" s="144">
        <f>IF('PV IN'!$F$4="PV Only",0,BattCalcs!BY104)</f>
        <v>0</v>
      </c>
      <c r="AO104" s="144">
        <f>IF('PV IN'!$F$4="Battery Only",0,PVCalcs!U104)</f>
        <v>11342.213373302604</v>
      </c>
      <c r="AP104" s="10">
        <f>IF('PV IN'!$F$4="PV Only",0,BattCalcs!AS104)</f>
        <v>0</v>
      </c>
      <c r="AQ104" s="10">
        <f>IF('PV IN'!$F$4="PV Only",0,BattCalcs!AT104)</f>
        <v>0</v>
      </c>
      <c r="AR104" s="10">
        <f>IF('PV IN'!$F$4="PV Only",0,BattCalcs!AU104)</f>
        <v>0</v>
      </c>
      <c r="AS104" s="144">
        <f>IF('PV IN'!$F$4="PV Only",PVCalcs!X104,IF('PV IN'!$F$4="Battery Only",BattCalcs!AW104,PVCalcs!X104+BattCalcs!AW104))</f>
        <v>0</v>
      </c>
      <c r="AT104" s="144">
        <f>IF('PV IN'!$F$4="Battery Only",0,-PVCalcs!AQ104*'PV IN'!$E$8)</f>
        <v>0</v>
      </c>
      <c r="AU104" s="144">
        <f>IF('PV IN'!$F$4="PV Only",0,-BattCalcs!CG104*'PV IN'!$E$8)</f>
        <v>0</v>
      </c>
      <c r="AV104" s="144">
        <f>IF('PV IN'!$F$4="PV Only",PVCalcs!Z104+PVCalcs!AA104,IF('PV IN'!$F$4="Battery Only",SUM(BattCalcs!BC104:BH104),PVCalcs!Z104+PVCalcs!AA104+SUM(BattCalcs!BC104:BH104)))</f>
        <v>0</v>
      </c>
      <c r="AW104" s="144">
        <f>IF('PV IN'!$F$4="PV Only",SUM(PVCalcs!AF104:AI104),IF('PV IN'!$F$4="Battery Only",SUM(BattCalcs!BL104:BY104),SUM(PVCalcs!AF104:AI104)+SUM(BattCalcs!BL104:BY104)))</f>
        <v>-1375</v>
      </c>
      <c r="AX104" s="144">
        <f>IF('PV IN'!$F$4="Battery Only",0,-PVLoan!F132)</f>
        <v>0</v>
      </c>
      <c r="AY104" s="144">
        <f>IF('PV IN'!$F$4="PV Only",0,-BattLoan!F132)</f>
        <v>0</v>
      </c>
      <c r="AZ104" s="144">
        <f>IF('PV IN'!$F$4="Battery Only",0,-PVLoan!H132)</f>
        <v>0</v>
      </c>
      <c r="BA104" s="144">
        <f>IF('PV IN'!$F$4="PV Only",0,-BattLoan!H132)</f>
        <v>0</v>
      </c>
    </row>
    <row r="105" spans="1:88" x14ac:dyDescent="0.25">
      <c r="A105">
        <f>IF(C105&lt;='PV IN'!$O$22*12,C105,"")</f>
        <v>101</v>
      </c>
      <c r="C105">
        <v>101</v>
      </c>
      <c r="D105" s="2">
        <f>BattCalcs!CK105+PVCalcs!AT105</f>
        <v>12103.003263397344</v>
      </c>
      <c r="E105" s="20">
        <f>PVCalcs!AV105</f>
        <v>12736.00887300366</v>
      </c>
      <c r="F105" s="20">
        <f>PVCalcs!AW105</f>
        <v>8026.9375326548006</v>
      </c>
      <c r="G105" s="20">
        <f>PVCalcs!AX105</f>
        <v>-269168.14038814185</v>
      </c>
      <c r="H105" s="20">
        <f>BattCalcs!CM105</f>
        <v>0</v>
      </c>
      <c r="I105" s="20">
        <f>BattCalcs!CN105</f>
        <v>0</v>
      </c>
      <c r="J105" s="20">
        <f>IF(C105&lt;='Batt IN'!H$43*12,BattCalcs!CO105,NA())</f>
        <v>0</v>
      </c>
      <c r="L105" s="20">
        <f t="shared" si="142"/>
        <v>8026.9375326548006</v>
      </c>
      <c r="M105" s="20">
        <f>G105+BattCalcs!CO105</f>
        <v>-269168.14038814185</v>
      </c>
      <c r="O105" s="10">
        <f>PVLoan!G133</f>
        <v>0</v>
      </c>
      <c r="P105" s="10">
        <f>PVLoan!J133</f>
        <v>0</v>
      </c>
      <c r="Q105" s="2">
        <f>BattLoan!G133</f>
        <v>0</v>
      </c>
      <c r="R105" s="10">
        <f>BattLoan!J133</f>
        <v>0</v>
      </c>
      <c r="T105" s="33">
        <f>IF('PV IN'!$F$4="Battery Only",0,PVCalcs!G105)</f>
        <v>142661.64351361102</v>
      </c>
      <c r="U105" s="33">
        <f>IF('PV IN'!$F$4="Battery Only",0,PVCalcs!M105)</f>
        <v>142661.64351361102</v>
      </c>
      <c r="V105" s="33">
        <f>PVCalcs!L105</f>
        <v>25811.765833333331</v>
      </c>
      <c r="W105" s="158">
        <f>PVCalcs!F105</f>
        <v>7.9451292012060609E-2</v>
      </c>
      <c r="X105" s="144">
        <f>IF('PV IN'!$F$4="Battery Only",0,PVCalcs!Y105+PVCalcs!Z105)</f>
        <v>1854.6013656769433</v>
      </c>
      <c r="Y105" s="144">
        <f>IF('PV IN'!$F$4="PV Only",0,BattCalcs!AX105+BattCalcs!BC105)</f>
        <v>0</v>
      </c>
      <c r="Z105" s="144">
        <f>IF('PV IN'!$F$4="PV Only",0,BattCalcs!AY105+BattCalcs!BD105)</f>
        <v>0</v>
      </c>
      <c r="AA105" s="144">
        <f>IF('PV IN'!$F$4="PV Only",0,BattCalcs!AZ105+BattCalcs!BE105)</f>
        <v>0</v>
      </c>
      <c r="AB105" s="144">
        <f>IF('PV IN'!$F$4="PV Only",0,BattCalcs!BA105+BattCalcs!BF105)</f>
        <v>0</v>
      </c>
      <c r="AC105" s="144">
        <f>IF('PV IN'!$F$4="PV Only",0,BattCalcs!BB105+BattCalcs!BG105)</f>
        <v>0</v>
      </c>
      <c r="AD105" s="144">
        <f>IF('PV IN'!$F$4="PV Only",0,BattCalcs!BU105)</f>
        <v>0</v>
      </c>
      <c r="AE105" s="144">
        <f>IF('PV IN'!$F$4="PV Only",PVCalcs!W105+PVCalcs!AA105,IF('PV IN'!$F$4="Battery Only",BattCalcs!AV105+BattCalcs!BH105,PVCalcs!W105+PVCalcs!AA105+BattCalcs!AV105+BattCalcs!BH105))</f>
        <v>0</v>
      </c>
      <c r="AF105" s="10">
        <f>PVCalcs!AC105+BattCalcs!BJ105</f>
        <v>0</v>
      </c>
      <c r="AG105" s="144">
        <f>IF('PV IN'!$F$4="Battery Only",0,PVCalcs!AG105)</f>
        <v>-750</v>
      </c>
      <c r="AH105" s="144">
        <f>IF('PV IN'!$F$4="Battery Only",0,PVCalcs!AI105)</f>
        <v>0</v>
      </c>
      <c r="AI105" s="144">
        <f>IF('PV IN'!$F$4="PV Only",0,BattCalcs!BM105)</f>
        <v>0</v>
      </c>
      <c r="AJ105" s="144">
        <f>IF('PV IN'!$F$4="PV Only",0,SUM(BattCalcs!BO105:BT105))</f>
        <v>0</v>
      </c>
      <c r="AK105" s="144">
        <f>IF('PV IN'!$F$4="PV Only",PVCalcs!AH105,IF('PV IN'!$F$4="Battery Only",BattCalcs!BN105,PVCalcs!AH105+BattCalcs!BN105))</f>
        <v>-625</v>
      </c>
      <c r="AL105" s="144">
        <f>IF('PV IN'!$F$4="PV Only",0,BattCalcs!BV105)</f>
        <v>0</v>
      </c>
      <c r="AM105" s="144">
        <f>IF('PV IN'!$F$4="PV Only",0,SUM(BattCalcs!BW105:BX105))</f>
        <v>0</v>
      </c>
      <c r="AN105" s="144">
        <f>IF('PV IN'!$F$4="PV Only",0,BattCalcs!BY105)</f>
        <v>0</v>
      </c>
      <c r="AO105" s="144">
        <f>IF('PV IN'!$F$4="Battery Only",0,PVCalcs!U105)</f>
        <v>11334.651897720401</v>
      </c>
      <c r="AP105" s="10">
        <f>IF('PV IN'!$F$4="PV Only",0,BattCalcs!AS105)</f>
        <v>0</v>
      </c>
      <c r="AQ105" s="10">
        <f>IF('PV IN'!$F$4="PV Only",0,BattCalcs!AT105)</f>
        <v>0</v>
      </c>
      <c r="AR105" s="10">
        <f>IF('PV IN'!$F$4="PV Only",0,BattCalcs!AU105)</f>
        <v>0</v>
      </c>
      <c r="AS105" s="144">
        <f>IF('PV IN'!$F$4="PV Only",PVCalcs!X105,IF('PV IN'!$F$4="Battery Only",BattCalcs!AW105,PVCalcs!X105+BattCalcs!AW105))</f>
        <v>0</v>
      </c>
      <c r="AT105" s="144">
        <f>IF('PV IN'!$F$4="Battery Only",0,-PVCalcs!AQ105*'PV IN'!$E$8)</f>
        <v>0</v>
      </c>
      <c r="AU105" s="144">
        <f>IF('PV IN'!$F$4="PV Only",0,-BattCalcs!CG105*'PV IN'!$E$8)</f>
        <v>0</v>
      </c>
      <c r="AV105" s="144">
        <f>IF('PV IN'!$F$4="PV Only",PVCalcs!Z105+PVCalcs!AA105,IF('PV IN'!$F$4="Battery Only",SUM(BattCalcs!BC105:BH105),PVCalcs!Z105+PVCalcs!AA105+SUM(BattCalcs!BC105:BH105)))</f>
        <v>0</v>
      </c>
      <c r="AW105" s="144">
        <f>IF('PV IN'!$F$4="PV Only",SUM(PVCalcs!AF105:AI105),IF('PV IN'!$F$4="Battery Only",SUM(BattCalcs!BL105:BY105),SUM(PVCalcs!AF105:AI105)+SUM(BattCalcs!BL105:BY105)))</f>
        <v>-1375</v>
      </c>
      <c r="AX105" s="144">
        <f>IF('PV IN'!$F$4="Battery Only",0,-PVLoan!F133)</f>
        <v>0</v>
      </c>
      <c r="AY105" s="144">
        <f>IF('PV IN'!$F$4="PV Only",0,-BattLoan!F133)</f>
        <v>0</v>
      </c>
      <c r="AZ105" s="144">
        <f>IF('PV IN'!$F$4="Battery Only",0,-PVLoan!H133)</f>
        <v>0</v>
      </c>
      <c r="BA105" s="144">
        <f>IF('PV IN'!$F$4="PV Only",0,-BattLoan!H133)</f>
        <v>0</v>
      </c>
    </row>
    <row r="106" spans="1:88" x14ac:dyDescent="0.25">
      <c r="A106">
        <f>IF(C106&lt;='PV IN'!$O$22*12,C106,"")</f>
        <v>102</v>
      </c>
      <c r="C106">
        <v>102</v>
      </c>
      <c r="D106" s="2">
        <f>BattCalcs!CK106+PVCalcs!AT106</f>
        <v>12094.210427888413</v>
      </c>
      <c r="E106" s="20">
        <f>PVCalcs!AV106</f>
        <v>24830.219300892073</v>
      </c>
      <c r="F106" s="20">
        <f>PVCalcs!AW106</f>
        <v>7988.5595795443751</v>
      </c>
      <c r="G106" s="20">
        <f>PVCalcs!AX106</f>
        <v>-261179.58080859747</v>
      </c>
      <c r="H106" s="20">
        <f>BattCalcs!CM106</f>
        <v>0</v>
      </c>
      <c r="I106" s="20">
        <f>BattCalcs!CN106</f>
        <v>0</v>
      </c>
      <c r="J106" s="20">
        <f>IF(C106&lt;='Batt IN'!H$43*12,BattCalcs!CO106,NA())</f>
        <v>0</v>
      </c>
      <c r="L106" s="20">
        <f t="shared" si="142"/>
        <v>7988.5595795443751</v>
      </c>
      <c r="M106" s="20">
        <f>G106+BattCalcs!CO106</f>
        <v>-261179.58080859747</v>
      </c>
      <c r="O106" s="10">
        <f>PVLoan!G134</f>
        <v>0</v>
      </c>
      <c r="P106" s="10">
        <f>PVLoan!J134</f>
        <v>0</v>
      </c>
      <c r="Q106" s="2">
        <f>BattLoan!G134</f>
        <v>0</v>
      </c>
      <c r="R106" s="10">
        <f>BattLoan!J134</f>
        <v>0</v>
      </c>
      <c r="T106" s="33">
        <f>IF('PV IN'!$F$4="Battery Only",0,PVCalcs!G106)</f>
        <v>142566.53575126862</v>
      </c>
      <c r="U106" s="33">
        <f>IF('PV IN'!$F$4="Battery Only",0,PVCalcs!M106)</f>
        <v>142566.53575126862</v>
      </c>
      <c r="V106" s="33">
        <f>PVCalcs!L106</f>
        <v>25811.765833333331</v>
      </c>
      <c r="W106" s="158">
        <f>PVCalcs!F106</f>
        <v>7.9451292012060609E-2</v>
      </c>
      <c r="X106" s="144">
        <f>IF('PV IN'!$F$4="Battery Only",0,PVCalcs!Y106+PVCalcs!Z106)</f>
        <v>1853.3649647664922</v>
      </c>
      <c r="Y106" s="144">
        <f>IF('PV IN'!$F$4="PV Only",0,BattCalcs!AX106+BattCalcs!BC106)</f>
        <v>0</v>
      </c>
      <c r="Z106" s="144">
        <f>IF('PV IN'!$F$4="PV Only",0,BattCalcs!AY106+BattCalcs!BD106)</f>
        <v>0</v>
      </c>
      <c r="AA106" s="144">
        <f>IF('PV IN'!$F$4="PV Only",0,BattCalcs!AZ106+BattCalcs!BE106)</f>
        <v>0</v>
      </c>
      <c r="AB106" s="144">
        <f>IF('PV IN'!$F$4="PV Only",0,BattCalcs!BA106+BattCalcs!BF106)</f>
        <v>0</v>
      </c>
      <c r="AC106" s="144">
        <f>IF('PV IN'!$F$4="PV Only",0,BattCalcs!BB106+BattCalcs!BG106)</f>
        <v>0</v>
      </c>
      <c r="AD106" s="144">
        <f>IF('PV IN'!$F$4="PV Only",0,BattCalcs!BU106)</f>
        <v>0</v>
      </c>
      <c r="AE106" s="144">
        <f>IF('PV IN'!$F$4="PV Only",PVCalcs!W106+PVCalcs!AA106,IF('PV IN'!$F$4="Battery Only",BattCalcs!AV106+BattCalcs!BH106,PVCalcs!W106+PVCalcs!AA106+BattCalcs!AV106+BattCalcs!BH106))</f>
        <v>0</v>
      </c>
      <c r="AF106" s="10">
        <f>PVCalcs!AC106+BattCalcs!BJ106</f>
        <v>0</v>
      </c>
      <c r="AG106" s="144">
        <f>IF('PV IN'!$F$4="Battery Only",0,PVCalcs!AG106)</f>
        <v>-750</v>
      </c>
      <c r="AH106" s="144">
        <f>IF('PV IN'!$F$4="Battery Only",0,PVCalcs!AI106)</f>
        <v>0</v>
      </c>
      <c r="AI106" s="144">
        <f>IF('PV IN'!$F$4="PV Only",0,BattCalcs!BM106)</f>
        <v>0</v>
      </c>
      <c r="AJ106" s="144">
        <f>IF('PV IN'!$F$4="PV Only",0,SUM(BattCalcs!BO106:BT106))</f>
        <v>0</v>
      </c>
      <c r="AK106" s="144">
        <f>IF('PV IN'!$F$4="PV Only",PVCalcs!AH106,IF('PV IN'!$F$4="Battery Only",BattCalcs!BN106,PVCalcs!AH106+BattCalcs!BN106))</f>
        <v>-625</v>
      </c>
      <c r="AL106" s="144">
        <f>IF('PV IN'!$F$4="PV Only",0,BattCalcs!BV106)</f>
        <v>0</v>
      </c>
      <c r="AM106" s="144">
        <f>IF('PV IN'!$F$4="PV Only",0,SUM(BattCalcs!BW106:BX106))</f>
        <v>0</v>
      </c>
      <c r="AN106" s="144">
        <f>IF('PV IN'!$F$4="PV Only",0,BattCalcs!BY106)</f>
        <v>0</v>
      </c>
      <c r="AO106" s="144">
        <f>IF('PV IN'!$F$4="Battery Only",0,PVCalcs!U106)</f>
        <v>11327.095463121921</v>
      </c>
      <c r="AP106" s="10">
        <f>IF('PV IN'!$F$4="PV Only",0,BattCalcs!AS106)</f>
        <v>0</v>
      </c>
      <c r="AQ106" s="10">
        <f>IF('PV IN'!$F$4="PV Only",0,BattCalcs!AT106)</f>
        <v>0</v>
      </c>
      <c r="AR106" s="10">
        <f>IF('PV IN'!$F$4="PV Only",0,BattCalcs!AU106)</f>
        <v>0</v>
      </c>
      <c r="AS106" s="144">
        <f>IF('PV IN'!$F$4="PV Only",PVCalcs!X106,IF('PV IN'!$F$4="Battery Only",BattCalcs!AW106,PVCalcs!X106+BattCalcs!AW106))</f>
        <v>0</v>
      </c>
      <c r="AT106" s="144">
        <f>IF('PV IN'!$F$4="Battery Only",0,-PVCalcs!AQ106*'PV IN'!$E$8)</f>
        <v>0</v>
      </c>
      <c r="AU106" s="144">
        <f>IF('PV IN'!$F$4="PV Only",0,-BattCalcs!CG106*'PV IN'!$E$8)</f>
        <v>0</v>
      </c>
      <c r="AV106" s="144">
        <f>IF('PV IN'!$F$4="PV Only",PVCalcs!Z106+PVCalcs!AA106,IF('PV IN'!$F$4="Battery Only",SUM(BattCalcs!BC106:BH106),PVCalcs!Z106+PVCalcs!AA106+SUM(BattCalcs!BC106:BH106)))</f>
        <v>0</v>
      </c>
      <c r="AW106" s="144">
        <f>IF('PV IN'!$F$4="PV Only",SUM(PVCalcs!AF106:AI106),IF('PV IN'!$F$4="Battery Only",SUM(BattCalcs!BL106:BY106),SUM(PVCalcs!AF106:AI106)+SUM(BattCalcs!BL106:BY106)))</f>
        <v>-1375</v>
      </c>
      <c r="AX106" s="144">
        <f>IF('PV IN'!$F$4="Battery Only",0,-PVLoan!F134)</f>
        <v>0</v>
      </c>
      <c r="AY106" s="144">
        <f>IF('PV IN'!$F$4="PV Only",0,-BattLoan!F134)</f>
        <v>0</v>
      </c>
      <c r="AZ106" s="144">
        <f>IF('PV IN'!$F$4="Battery Only",0,-PVLoan!H134)</f>
        <v>0</v>
      </c>
      <c r="BA106" s="144">
        <f>IF('PV IN'!$F$4="PV Only",0,-BattLoan!H134)</f>
        <v>0</v>
      </c>
    </row>
    <row r="107" spans="1:88" x14ac:dyDescent="0.25">
      <c r="A107">
        <f>IF(C107&lt;='PV IN'!$O$22*12,C107,"")</f>
        <v>103</v>
      </c>
      <c r="C107">
        <v>103</v>
      </c>
      <c r="D107" s="2">
        <f>BattCalcs!CK107+PVCalcs!AT107</f>
        <v>12085.42345426982</v>
      </c>
      <c r="E107" s="20">
        <f>PVCalcs!AV107</f>
        <v>36915.642755161891</v>
      </c>
      <c r="F107" s="20">
        <f>PVCalcs!AW107</f>
        <v>7950.3647708983526</v>
      </c>
      <c r="G107" s="20">
        <f>PVCalcs!AX107</f>
        <v>-253229.21603769911</v>
      </c>
      <c r="H107" s="20">
        <f>BattCalcs!CM107</f>
        <v>0</v>
      </c>
      <c r="I107" s="20">
        <f>BattCalcs!CN107</f>
        <v>0</v>
      </c>
      <c r="J107" s="20">
        <f>IF(C107&lt;='Batt IN'!H$43*12,BattCalcs!CO107,NA())</f>
        <v>0</v>
      </c>
      <c r="L107" s="20">
        <f t="shared" si="142"/>
        <v>7950.3647708983526</v>
      </c>
      <c r="M107" s="20">
        <f>G107+BattCalcs!CO107</f>
        <v>-253229.21603769911</v>
      </c>
      <c r="O107" s="10">
        <f>PVLoan!G135</f>
        <v>0</v>
      </c>
      <c r="P107" s="10">
        <f>PVLoan!J135</f>
        <v>0</v>
      </c>
      <c r="Q107" s="2">
        <f>BattLoan!G135</f>
        <v>0</v>
      </c>
      <c r="R107" s="10">
        <f>BattLoan!J135</f>
        <v>0</v>
      </c>
      <c r="T107" s="33">
        <f>IF('PV IN'!$F$4="Battery Only",0,PVCalcs!G107)</f>
        <v>142471.49139410109</v>
      </c>
      <c r="U107" s="33">
        <f>IF('PV IN'!$F$4="Battery Only",0,PVCalcs!M107)</f>
        <v>142471.49139410109</v>
      </c>
      <c r="V107" s="33">
        <f>PVCalcs!L107</f>
        <v>25811.765833333331</v>
      </c>
      <c r="W107" s="158">
        <f>PVCalcs!F107</f>
        <v>7.9451292012060609E-2</v>
      </c>
      <c r="X107" s="144">
        <f>IF('PV IN'!$F$4="Battery Only",0,PVCalcs!Y107+PVCalcs!Z107)</f>
        <v>1852.1293881233141</v>
      </c>
      <c r="Y107" s="144">
        <f>IF('PV IN'!$F$4="PV Only",0,BattCalcs!AX107+BattCalcs!BC107)</f>
        <v>0</v>
      </c>
      <c r="Z107" s="144">
        <f>IF('PV IN'!$F$4="PV Only",0,BattCalcs!AY107+BattCalcs!BD107)</f>
        <v>0</v>
      </c>
      <c r="AA107" s="144">
        <f>IF('PV IN'!$F$4="PV Only",0,BattCalcs!AZ107+BattCalcs!BE107)</f>
        <v>0</v>
      </c>
      <c r="AB107" s="144">
        <f>IF('PV IN'!$F$4="PV Only",0,BattCalcs!BA107+BattCalcs!BF107)</f>
        <v>0</v>
      </c>
      <c r="AC107" s="144">
        <f>IF('PV IN'!$F$4="PV Only",0,BattCalcs!BB107+BattCalcs!BG107)</f>
        <v>0</v>
      </c>
      <c r="AD107" s="144">
        <f>IF('PV IN'!$F$4="PV Only",0,BattCalcs!BU107)</f>
        <v>0</v>
      </c>
      <c r="AE107" s="144">
        <f>IF('PV IN'!$F$4="PV Only",PVCalcs!W107+PVCalcs!AA107,IF('PV IN'!$F$4="Battery Only",BattCalcs!AV107+BattCalcs!BH107,PVCalcs!W107+PVCalcs!AA107+BattCalcs!AV107+BattCalcs!BH107))</f>
        <v>0</v>
      </c>
      <c r="AF107" s="10">
        <f>PVCalcs!AC107+BattCalcs!BJ107</f>
        <v>0</v>
      </c>
      <c r="AG107" s="144">
        <f>IF('PV IN'!$F$4="Battery Only",0,PVCalcs!AG107)</f>
        <v>-750</v>
      </c>
      <c r="AH107" s="144">
        <f>IF('PV IN'!$F$4="Battery Only",0,PVCalcs!AI107)</f>
        <v>0</v>
      </c>
      <c r="AI107" s="144">
        <f>IF('PV IN'!$F$4="PV Only",0,BattCalcs!BM107)</f>
        <v>0</v>
      </c>
      <c r="AJ107" s="144">
        <f>IF('PV IN'!$F$4="PV Only",0,SUM(BattCalcs!BO107:BT107))</f>
        <v>0</v>
      </c>
      <c r="AK107" s="144">
        <f>IF('PV IN'!$F$4="PV Only",PVCalcs!AH107,IF('PV IN'!$F$4="Battery Only",BattCalcs!BN107,PVCalcs!AH107+BattCalcs!BN107))</f>
        <v>-625</v>
      </c>
      <c r="AL107" s="144">
        <f>IF('PV IN'!$F$4="PV Only",0,BattCalcs!BV107)</f>
        <v>0</v>
      </c>
      <c r="AM107" s="144">
        <f>IF('PV IN'!$F$4="PV Only",0,SUM(BattCalcs!BW107:BX107))</f>
        <v>0</v>
      </c>
      <c r="AN107" s="144">
        <f>IF('PV IN'!$F$4="PV Only",0,BattCalcs!BY107)</f>
        <v>0</v>
      </c>
      <c r="AO107" s="144">
        <f>IF('PV IN'!$F$4="Battery Only",0,PVCalcs!U107)</f>
        <v>11319.544066146505</v>
      </c>
      <c r="AP107" s="10">
        <f>IF('PV IN'!$F$4="PV Only",0,BattCalcs!AS107)</f>
        <v>0</v>
      </c>
      <c r="AQ107" s="10">
        <f>IF('PV IN'!$F$4="PV Only",0,BattCalcs!AT107)</f>
        <v>0</v>
      </c>
      <c r="AR107" s="10">
        <f>IF('PV IN'!$F$4="PV Only",0,BattCalcs!AU107)</f>
        <v>0</v>
      </c>
      <c r="AS107" s="144">
        <f>IF('PV IN'!$F$4="PV Only",PVCalcs!X107,IF('PV IN'!$F$4="Battery Only",BattCalcs!AW107,PVCalcs!X107+BattCalcs!AW107))</f>
        <v>0</v>
      </c>
      <c r="AT107" s="144">
        <f>IF('PV IN'!$F$4="Battery Only",0,-PVCalcs!AQ107*'PV IN'!$E$8)</f>
        <v>0</v>
      </c>
      <c r="AU107" s="144">
        <f>IF('PV IN'!$F$4="PV Only",0,-BattCalcs!CG107*'PV IN'!$E$8)</f>
        <v>0</v>
      </c>
      <c r="AV107" s="144">
        <f>IF('PV IN'!$F$4="PV Only",PVCalcs!Z107+PVCalcs!AA107,IF('PV IN'!$F$4="Battery Only",SUM(BattCalcs!BC107:BH107),PVCalcs!Z107+PVCalcs!AA107+SUM(BattCalcs!BC107:BH107)))</f>
        <v>0</v>
      </c>
      <c r="AW107" s="144">
        <f>IF('PV IN'!$F$4="PV Only",SUM(PVCalcs!AF107:AI107),IF('PV IN'!$F$4="Battery Only",SUM(BattCalcs!BL107:BY107),SUM(PVCalcs!AF107:AI107)+SUM(BattCalcs!BL107:BY107)))</f>
        <v>-1375</v>
      </c>
      <c r="AX107" s="144">
        <f>IF('PV IN'!$F$4="Battery Only",0,-PVLoan!F135)</f>
        <v>0</v>
      </c>
      <c r="AY107" s="144">
        <f>IF('PV IN'!$F$4="PV Only",0,-BattLoan!F135)</f>
        <v>0</v>
      </c>
      <c r="AZ107" s="144">
        <f>IF('PV IN'!$F$4="Battery Only",0,-PVLoan!H135)</f>
        <v>0</v>
      </c>
      <c r="BA107" s="144">
        <f>IF('PV IN'!$F$4="PV Only",0,-BattLoan!H135)</f>
        <v>0</v>
      </c>
    </row>
    <row r="108" spans="1:88" x14ac:dyDescent="0.25">
      <c r="A108">
        <f>IF(C108&lt;='PV IN'!$O$22*12,C108,"")</f>
        <v>104</v>
      </c>
      <c r="C108">
        <v>104</v>
      </c>
      <c r="D108" s="2">
        <f>BattCalcs!CK108+PVCalcs!AT108</f>
        <v>12076.642338633641</v>
      </c>
      <c r="E108" s="20">
        <f>PVCalcs!AV108</f>
        <v>48992.28509379553</v>
      </c>
      <c r="F108" s="20">
        <f>PVCalcs!AW108</f>
        <v>7912.3522341149228</v>
      </c>
      <c r="G108" s="20">
        <f>PVCalcs!AX108</f>
        <v>-245316.86380358419</v>
      </c>
      <c r="H108" s="20">
        <f>BattCalcs!CM108</f>
        <v>0</v>
      </c>
      <c r="I108" s="20">
        <f>BattCalcs!CN108</f>
        <v>0</v>
      </c>
      <c r="J108" s="20">
        <f>IF(C108&lt;='Batt IN'!H$43*12,BattCalcs!CO108,NA())</f>
        <v>0</v>
      </c>
      <c r="L108" s="20">
        <f t="shared" si="142"/>
        <v>7912.3522341149228</v>
      </c>
      <c r="M108" s="20">
        <f>G108+BattCalcs!CO108</f>
        <v>-245316.86380358419</v>
      </c>
      <c r="O108" s="10">
        <f>PVLoan!G136</f>
        <v>0</v>
      </c>
      <c r="P108" s="10">
        <f>PVLoan!J136</f>
        <v>0</v>
      </c>
      <c r="Q108" s="2">
        <f>BattLoan!G136</f>
        <v>0</v>
      </c>
      <c r="R108" s="10">
        <f>BattLoan!J136</f>
        <v>0</v>
      </c>
      <c r="T108" s="33">
        <f>IF('PV IN'!$F$4="Battery Only",0,PVCalcs!G108)</f>
        <v>142376.51039983836</v>
      </c>
      <c r="U108" s="33">
        <f>IF('PV IN'!$F$4="Battery Only",0,PVCalcs!M108)</f>
        <v>142376.51039983836</v>
      </c>
      <c r="V108" s="33">
        <f>PVCalcs!L108</f>
        <v>25811.765833333331</v>
      </c>
      <c r="W108" s="158">
        <f>PVCalcs!F108</f>
        <v>7.9451292012060609E-2</v>
      </c>
      <c r="X108" s="144">
        <f>IF('PV IN'!$F$4="Battery Only",0,PVCalcs!Y108+PVCalcs!Z108)</f>
        <v>1850.8946351978987</v>
      </c>
      <c r="Y108" s="144">
        <f>IF('PV IN'!$F$4="PV Only",0,BattCalcs!AX108+BattCalcs!BC108)</f>
        <v>0</v>
      </c>
      <c r="Z108" s="144">
        <f>IF('PV IN'!$F$4="PV Only",0,BattCalcs!AY108+BattCalcs!BD108)</f>
        <v>0</v>
      </c>
      <c r="AA108" s="144">
        <f>IF('PV IN'!$F$4="PV Only",0,BattCalcs!AZ108+BattCalcs!BE108)</f>
        <v>0</v>
      </c>
      <c r="AB108" s="144">
        <f>IF('PV IN'!$F$4="PV Only",0,BattCalcs!BA108+BattCalcs!BF108)</f>
        <v>0</v>
      </c>
      <c r="AC108" s="144">
        <f>IF('PV IN'!$F$4="PV Only",0,BattCalcs!BB108+BattCalcs!BG108)</f>
        <v>0</v>
      </c>
      <c r="AD108" s="144">
        <f>IF('PV IN'!$F$4="PV Only",0,BattCalcs!BU108)</f>
        <v>0</v>
      </c>
      <c r="AE108" s="144">
        <f>IF('PV IN'!$F$4="PV Only",PVCalcs!W108+PVCalcs!AA108,IF('PV IN'!$F$4="Battery Only",BattCalcs!AV108+BattCalcs!BH108,PVCalcs!W108+PVCalcs!AA108+BattCalcs!AV108+BattCalcs!BH108))</f>
        <v>0</v>
      </c>
      <c r="AF108" s="10">
        <f>PVCalcs!AC108+BattCalcs!BJ108</f>
        <v>0</v>
      </c>
      <c r="AG108" s="144">
        <f>IF('PV IN'!$F$4="Battery Only",0,PVCalcs!AG108)</f>
        <v>-750</v>
      </c>
      <c r="AH108" s="144">
        <f>IF('PV IN'!$F$4="Battery Only",0,PVCalcs!AI108)</f>
        <v>0</v>
      </c>
      <c r="AI108" s="144">
        <f>IF('PV IN'!$F$4="PV Only",0,BattCalcs!BM108)</f>
        <v>0</v>
      </c>
      <c r="AJ108" s="144">
        <f>IF('PV IN'!$F$4="PV Only",0,SUM(BattCalcs!BO108:BT108))</f>
        <v>0</v>
      </c>
      <c r="AK108" s="144">
        <f>IF('PV IN'!$F$4="PV Only",PVCalcs!AH108,IF('PV IN'!$F$4="Battery Only",BattCalcs!BN108,PVCalcs!AH108+BattCalcs!BN108))</f>
        <v>-625</v>
      </c>
      <c r="AL108" s="144">
        <f>IF('PV IN'!$F$4="PV Only",0,BattCalcs!BV108)</f>
        <v>0</v>
      </c>
      <c r="AM108" s="144">
        <f>IF('PV IN'!$F$4="PV Only",0,SUM(BattCalcs!BW108:BX108))</f>
        <v>0</v>
      </c>
      <c r="AN108" s="144">
        <f>IF('PV IN'!$F$4="PV Only",0,BattCalcs!BY108)</f>
        <v>0</v>
      </c>
      <c r="AO108" s="144">
        <f>IF('PV IN'!$F$4="Battery Only",0,PVCalcs!U108)</f>
        <v>11311.997703435742</v>
      </c>
      <c r="AP108" s="10">
        <f>IF('PV IN'!$F$4="PV Only",0,BattCalcs!AS108)</f>
        <v>0</v>
      </c>
      <c r="AQ108" s="10">
        <f>IF('PV IN'!$F$4="PV Only",0,BattCalcs!AT108)</f>
        <v>0</v>
      </c>
      <c r="AR108" s="10">
        <f>IF('PV IN'!$F$4="PV Only",0,BattCalcs!AU108)</f>
        <v>0</v>
      </c>
      <c r="AS108" s="144">
        <f>IF('PV IN'!$F$4="PV Only",PVCalcs!X108,IF('PV IN'!$F$4="Battery Only",BattCalcs!AW108,PVCalcs!X108+BattCalcs!AW108))</f>
        <v>0</v>
      </c>
      <c r="AT108" s="144">
        <f>IF('PV IN'!$F$4="Battery Only",0,-PVCalcs!AQ108*'PV IN'!$E$8)</f>
        <v>0</v>
      </c>
      <c r="AU108" s="144">
        <f>IF('PV IN'!$F$4="PV Only",0,-BattCalcs!CG108*'PV IN'!$E$8)</f>
        <v>0</v>
      </c>
      <c r="AV108" s="144">
        <f>IF('PV IN'!$F$4="PV Only",PVCalcs!Z108+PVCalcs!AA108,IF('PV IN'!$F$4="Battery Only",SUM(BattCalcs!BC108:BH108),PVCalcs!Z108+PVCalcs!AA108+SUM(BattCalcs!BC108:BH108)))</f>
        <v>0</v>
      </c>
      <c r="AW108" s="144">
        <f>IF('PV IN'!$F$4="PV Only",SUM(PVCalcs!AF108:AI108),IF('PV IN'!$F$4="Battery Only",SUM(BattCalcs!BL108:BY108),SUM(PVCalcs!AF108:AI108)+SUM(BattCalcs!BL108:BY108)))</f>
        <v>-1375</v>
      </c>
      <c r="AX108" s="144">
        <f>IF('PV IN'!$F$4="Battery Only",0,-PVLoan!F136)</f>
        <v>0</v>
      </c>
      <c r="AY108" s="144">
        <f>IF('PV IN'!$F$4="PV Only",0,-BattLoan!F136)</f>
        <v>0</v>
      </c>
      <c r="AZ108" s="144">
        <f>IF('PV IN'!$F$4="Battery Only",0,-PVLoan!H136)</f>
        <v>0</v>
      </c>
      <c r="BA108" s="144">
        <f>IF('PV IN'!$F$4="PV Only",0,-BattLoan!H136)</f>
        <v>0</v>
      </c>
    </row>
    <row r="109" spans="1:88" x14ac:dyDescent="0.25">
      <c r="A109">
        <f>IF(C109&lt;='PV IN'!$O$22*12,C109,"")</f>
        <v>105</v>
      </c>
      <c r="C109">
        <v>105</v>
      </c>
      <c r="D109" s="2">
        <f>BattCalcs!CK109+PVCalcs!AT109</f>
        <v>12067.86707707455</v>
      </c>
      <c r="E109" s="20">
        <f>PVCalcs!AV109</f>
        <v>61060.152170870082</v>
      </c>
      <c r="F109" s="20">
        <f>PVCalcs!AW109</f>
        <v>7874.5211007442613</v>
      </c>
      <c r="G109" s="20">
        <f>PVCalcs!AX109</f>
        <v>-237442.34270283993</v>
      </c>
      <c r="H109" s="20">
        <f>BattCalcs!CM109</f>
        <v>0</v>
      </c>
      <c r="I109" s="20">
        <f>BattCalcs!CN109</f>
        <v>0</v>
      </c>
      <c r="J109" s="20">
        <f>IF(C109&lt;='Batt IN'!H$43*12,BattCalcs!CO109,NA())</f>
        <v>0</v>
      </c>
      <c r="L109" s="20">
        <f t="shared" si="142"/>
        <v>7874.5211007442613</v>
      </c>
      <c r="M109" s="20">
        <f>G109+BattCalcs!CO109</f>
        <v>-237442.34270283993</v>
      </c>
      <c r="O109" s="10">
        <f>PVLoan!G137</f>
        <v>0</v>
      </c>
      <c r="P109" s="10">
        <f>PVLoan!J137</f>
        <v>0</v>
      </c>
      <c r="Q109" s="2">
        <f>BattLoan!G137</f>
        <v>0</v>
      </c>
      <c r="R109" s="10">
        <f>BattLoan!J137</f>
        <v>0</v>
      </c>
      <c r="T109" s="33">
        <f>IF('PV IN'!$F$4="Battery Only",0,PVCalcs!G109)</f>
        <v>142281.59272623845</v>
      </c>
      <c r="U109" s="33">
        <f>IF('PV IN'!$F$4="Battery Only",0,PVCalcs!M109)</f>
        <v>142281.59272623845</v>
      </c>
      <c r="V109" s="33">
        <f>PVCalcs!L109</f>
        <v>25811.765833333331</v>
      </c>
      <c r="W109" s="158">
        <f>PVCalcs!F109</f>
        <v>7.9451292012060609E-2</v>
      </c>
      <c r="X109" s="144">
        <f>IF('PV IN'!$F$4="Battery Only",0,PVCalcs!Y109+PVCalcs!Z109)</f>
        <v>1849.6607054410999</v>
      </c>
      <c r="Y109" s="144">
        <f>IF('PV IN'!$F$4="PV Only",0,BattCalcs!AX109+BattCalcs!BC109)</f>
        <v>0</v>
      </c>
      <c r="Z109" s="144">
        <f>IF('PV IN'!$F$4="PV Only",0,BattCalcs!AY109+BattCalcs!BD109)</f>
        <v>0</v>
      </c>
      <c r="AA109" s="144">
        <f>IF('PV IN'!$F$4="PV Only",0,BattCalcs!AZ109+BattCalcs!BE109)</f>
        <v>0</v>
      </c>
      <c r="AB109" s="144">
        <f>IF('PV IN'!$F$4="PV Only",0,BattCalcs!BA109+BattCalcs!BF109)</f>
        <v>0</v>
      </c>
      <c r="AC109" s="144">
        <f>IF('PV IN'!$F$4="PV Only",0,BattCalcs!BB109+BattCalcs!BG109)</f>
        <v>0</v>
      </c>
      <c r="AD109" s="144">
        <f>IF('PV IN'!$F$4="PV Only",0,BattCalcs!BU109)</f>
        <v>0</v>
      </c>
      <c r="AE109" s="144">
        <f>IF('PV IN'!$F$4="PV Only",PVCalcs!W109+PVCalcs!AA109,IF('PV IN'!$F$4="Battery Only",BattCalcs!AV109+BattCalcs!BH109,PVCalcs!W109+PVCalcs!AA109+BattCalcs!AV109+BattCalcs!BH109))</f>
        <v>0</v>
      </c>
      <c r="AF109" s="10">
        <f>PVCalcs!AC109+BattCalcs!BJ109</f>
        <v>0</v>
      </c>
      <c r="AG109" s="144">
        <f>IF('PV IN'!$F$4="Battery Only",0,PVCalcs!AG109)</f>
        <v>-750</v>
      </c>
      <c r="AH109" s="144">
        <f>IF('PV IN'!$F$4="Battery Only",0,PVCalcs!AI109)</f>
        <v>0</v>
      </c>
      <c r="AI109" s="144">
        <f>IF('PV IN'!$F$4="PV Only",0,BattCalcs!BM109)</f>
        <v>0</v>
      </c>
      <c r="AJ109" s="144">
        <f>IF('PV IN'!$F$4="PV Only",0,SUM(BattCalcs!BO109:BT109))</f>
        <v>0</v>
      </c>
      <c r="AK109" s="144">
        <f>IF('PV IN'!$F$4="PV Only",PVCalcs!AH109,IF('PV IN'!$F$4="Battery Only",BattCalcs!BN109,PVCalcs!AH109+BattCalcs!BN109))</f>
        <v>-625</v>
      </c>
      <c r="AL109" s="144">
        <f>IF('PV IN'!$F$4="PV Only",0,BattCalcs!BV109)</f>
        <v>0</v>
      </c>
      <c r="AM109" s="144">
        <f>IF('PV IN'!$F$4="PV Only",0,SUM(BattCalcs!BW109:BX109))</f>
        <v>0</v>
      </c>
      <c r="AN109" s="144">
        <f>IF('PV IN'!$F$4="PV Only",0,BattCalcs!BY109)</f>
        <v>0</v>
      </c>
      <c r="AO109" s="144">
        <f>IF('PV IN'!$F$4="Battery Only",0,PVCalcs!U109)</f>
        <v>11304.456371633451</v>
      </c>
      <c r="AP109" s="10">
        <f>IF('PV IN'!$F$4="PV Only",0,BattCalcs!AS109)</f>
        <v>0</v>
      </c>
      <c r="AQ109" s="10">
        <f>IF('PV IN'!$F$4="PV Only",0,BattCalcs!AT109)</f>
        <v>0</v>
      </c>
      <c r="AR109" s="10">
        <f>IF('PV IN'!$F$4="PV Only",0,BattCalcs!AU109)</f>
        <v>0</v>
      </c>
      <c r="AS109" s="144">
        <f>IF('PV IN'!$F$4="PV Only",PVCalcs!X109,IF('PV IN'!$F$4="Battery Only",BattCalcs!AW109,PVCalcs!X109+BattCalcs!AW109))</f>
        <v>0</v>
      </c>
      <c r="AT109" s="144">
        <f>IF('PV IN'!$F$4="Battery Only",0,-PVCalcs!AQ109*'PV IN'!$E$8)</f>
        <v>0</v>
      </c>
      <c r="AU109" s="144">
        <f>IF('PV IN'!$F$4="PV Only",0,-BattCalcs!CG109*'PV IN'!$E$8)</f>
        <v>0</v>
      </c>
      <c r="AV109" s="144">
        <f>IF('PV IN'!$F$4="PV Only",PVCalcs!Z109+PVCalcs!AA109,IF('PV IN'!$F$4="Battery Only",SUM(BattCalcs!BC109:BH109),PVCalcs!Z109+PVCalcs!AA109+SUM(BattCalcs!BC109:BH109)))</f>
        <v>0</v>
      </c>
      <c r="AW109" s="144">
        <f>IF('PV IN'!$F$4="PV Only",SUM(PVCalcs!AF109:AI109),IF('PV IN'!$F$4="Battery Only",SUM(BattCalcs!BL109:BY109),SUM(PVCalcs!AF109:AI109)+SUM(BattCalcs!BL109:BY109)))</f>
        <v>-1375</v>
      </c>
      <c r="AX109" s="144">
        <f>IF('PV IN'!$F$4="Battery Only",0,-PVLoan!F137)</f>
        <v>0</v>
      </c>
      <c r="AY109" s="144">
        <f>IF('PV IN'!$F$4="PV Only",0,-BattLoan!F137)</f>
        <v>0</v>
      </c>
      <c r="AZ109" s="144">
        <f>IF('PV IN'!$F$4="Battery Only",0,-PVLoan!H137)</f>
        <v>0</v>
      </c>
      <c r="BA109" s="144">
        <f>IF('PV IN'!$F$4="PV Only",0,-BattLoan!H137)</f>
        <v>0</v>
      </c>
    </row>
    <row r="110" spans="1:88" x14ac:dyDescent="0.25">
      <c r="A110">
        <f>IF(C110&lt;='PV IN'!$O$22*12,C110,"")</f>
        <v>106</v>
      </c>
      <c r="C110">
        <v>106</v>
      </c>
      <c r="D110" s="2">
        <f>BattCalcs!CK110+PVCalcs!AT110</f>
        <v>12059.097665689833</v>
      </c>
      <c r="E110" s="20">
        <f>PVCalcs!AV110</f>
        <v>73119.249836559917</v>
      </c>
      <c r="F110" s="20">
        <f>PVCalcs!AW110</f>
        <v>7836.8705064688129</v>
      </c>
      <c r="G110" s="20">
        <f>PVCalcs!AX110</f>
        <v>-229605.47219637112</v>
      </c>
      <c r="H110" s="20">
        <f>BattCalcs!CM110</f>
        <v>0</v>
      </c>
      <c r="I110" s="20">
        <f>BattCalcs!CN110</f>
        <v>0</v>
      </c>
      <c r="J110" s="20">
        <f>IF(C110&lt;='Batt IN'!H$43*12,BattCalcs!CO110,NA())</f>
        <v>0</v>
      </c>
      <c r="L110" s="20">
        <f t="shared" si="142"/>
        <v>7836.8705064688129</v>
      </c>
      <c r="M110" s="20">
        <f>G110+BattCalcs!CO110</f>
        <v>-229605.47219637112</v>
      </c>
      <c r="O110" s="10">
        <f>PVLoan!G138</f>
        <v>0</v>
      </c>
      <c r="P110" s="10">
        <f>PVLoan!J138</f>
        <v>0</v>
      </c>
      <c r="Q110" s="2">
        <f>BattLoan!G138</f>
        <v>0</v>
      </c>
      <c r="R110" s="10">
        <f>BattLoan!J138</f>
        <v>0</v>
      </c>
      <c r="T110" s="33">
        <f>IF('PV IN'!$F$4="Battery Only",0,PVCalcs!G110)</f>
        <v>142186.73833108763</v>
      </c>
      <c r="U110" s="33">
        <f>IF('PV IN'!$F$4="Battery Only",0,PVCalcs!M110)</f>
        <v>142186.73833108763</v>
      </c>
      <c r="V110" s="33">
        <f>PVCalcs!L110</f>
        <v>25811.765833333331</v>
      </c>
      <c r="W110" s="158">
        <f>PVCalcs!F110</f>
        <v>7.9451292012060609E-2</v>
      </c>
      <c r="X110" s="144">
        <f>IF('PV IN'!$F$4="Battery Only",0,PVCalcs!Y110+PVCalcs!Z110)</f>
        <v>1848.4275983041391</v>
      </c>
      <c r="Y110" s="144">
        <f>IF('PV IN'!$F$4="PV Only",0,BattCalcs!AX110+BattCalcs!BC110)</f>
        <v>0</v>
      </c>
      <c r="Z110" s="144">
        <f>IF('PV IN'!$F$4="PV Only",0,BattCalcs!AY110+BattCalcs!BD110)</f>
        <v>0</v>
      </c>
      <c r="AA110" s="144">
        <f>IF('PV IN'!$F$4="PV Only",0,BattCalcs!AZ110+BattCalcs!BE110)</f>
        <v>0</v>
      </c>
      <c r="AB110" s="144">
        <f>IF('PV IN'!$F$4="PV Only",0,BattCalcs!BA110+BattCalcs!BF110)</f>
        <v>0</v>
      </c>
      <c r="AC110" s="144">
        <f>IF('PV IN'!$F$4="PV Only",0,BattCalcs!BB110+BattCalcs!BG110)</f>
        <v>0</v>
      </c>
      <c r="AD110" s="144">
        <f>IF('PV IN'!$F$4="PV Only",0,BattCalcs!BU110)</f>
        <v>0</v>
      </c>
      <c r="AE110" s="144">
        <f>IF('PV IN'!$F$4="PV Only",PVCalcs!W110+PVCalcs!AA110,IF('PV IN'!$F$4="Battery Only",BattCalcs!AV110+BattCalcs!BH110,PVCalcs!W110+PVCalcs!AA110+BattCalcs!AV110+BattCalcs!BH110))</f>
        <v>0</v>
      </c>
      <c r="AF110" s="10">
        <f>PVCalcs!AC110+BattCalcs!BJ110</f>
        <v>0</v>
      </c>
      <c r="AG110" s="144">
        <f>IF('PV IN'!$F$4="Battery Only",0,PVCalcs!AG110)</f>
        <v>-750</v>
      </c>
      <c r="AH110" s="144">
        <f>IF('PV IN'!$F$4="Battery Only",0,PVCalcs!AI110)</f>
        <v>0</v>
      </c>
      <c r="AI110" s="144">
        <f>IF('PV IN'!$F$4="PV Only",0,BattCalcs!BM110)</f>
        <v>0</v>
      </c>
      <c r="AJ110" s="144">
        <f>IF('PV IN'!$F$4="PV Only",0,SUM(BattCalcs!BO110:BT110))</f>
        <v>0</v>
      </c>
      <c r="AK110" s="144">
        <f>IF('PV IN'!$F$4="PV Only",PVCalcs!AH110,IF('PV IN'!$F$4="Battery Only",BattCalcs!BN110,PVCalcs!AH110+BattCalcs!BN110))</f>
        <v>-625</v>
      </c>
      <c r="AL110" s="144">
        <f>IF('PV IN'!$F$4="PV Only",0,BattCalcs!BV110)</f>
        <v>0</v>
      </c>
      <c r="AM110" s="144">
        <f>IF('PV IN'!$F$4="PV Only",0,SUM(BattCalcs!BW110:BX110))</f>
        <v>0</v>
      </c>
      <c r="AN110" s="144">
        <f>IF('PV IN'!$F$4="PV Only",0,BattCalcs!BY110)</f>
        <v>0</v>
      </c>
      <c r="AO110" s="144">
        <f>IF('PV IN'!$F$4="Battery Only",0,PVCalcs!U110)</f>
        <v>11296.920067385694</v>
      </c>
      <c r="AP110" s="10">
        <f>IF('PV IN'!$F$4="PV Only",0,BattCalcs!AS110)</f>
        <v>0</v>
      </c>
      <c r="AQ110" s="10">
        <f>IF('PV IN'!$F$4="PV Only",0,BattCalcs!AT110)</f>
        <v>0</v>
      </c>
      <c r="AR110" s="10">
        <f>IF('PV IN'!$F$4="PV Only",0,BattCalcs!AU110)</f>
        <v>0</v>
      </c>
      <c r="AS110" s="144">
        <f>IF('PV IN'!$F$4="PV Only",PVCalcs!X110,IF('PV IN'!$F$4="Battery Only",BattCalcs!AW110,PVCalcs!X110+BattCalcs!AW110))</f>
        <v>0</v>
      </c>
      <c r="AT110" s="144">
        <f>IF('PV IN'!$F$4="Battery Only",0,-PVCalcs!AQ110*'PV IN'!$E$8)</f>
        <v>0</v>
      </c>
      <c r="AU110" s="144">
        <f>IF('PV IN'!$F$4="PV Only",0,-BattCalcs!CG110*'PV IN'!$E$8)</f>
        <v>0</v>
      </c>
      <c r="AV110" s="144">
        <f>IF('PV IN'!$F$4="PV Only",PVCalcs!Z110+PVCalcs!AA110,IF('PV IN'!$F$4="Battery Only",SUM(BattCalcs!BC110:BH110),PVCalcs!Z110+PVCalcs!AA110+SUM(BattCalcs!BC110:BH110)))</f>
        <v>0</v>
      </c>
      <c r="AW110" s="144">
        <f>IF('PV IN'!$F$4="PV Only",SUM(PVCalcs!AF110:AI110),IF('PV IN'!$F$4="Battery Only",SUM(BattCalcs!BL110:BY110),SUM(PVCalcs!AF110:AI110)+SUM(BattCalcs!BL110:BY110)))</f>
        <v>-1375</v>
      </c>
      <c r="AX110" s="144">
        <f>IF('PV IN'!$F$4="Battery Only",0,-PVLoan!F138)</f>
        <v>0</v>
      </c>
      <c r="AY110" s="144">
        <f>IF('PV IN'!$F$4="PV Only",0,-BattLoan!F138)</f>
        <v>0</v>
      </c>
      <c r="AZ110" s="144">
        <f>IF('PV IN'!$F$4="Battery Only",0,-PVLoan!H138)</f>
        <v>0</v>
      </c>
      <c r="BA110" s="144">
        <f>IF('PV IN'!$F$4="PV Only",0,-BattLoan!H138)</f>
        <v>0</v>
      </c>
    </row>
    <row r="111" spans="1:88" x14ac:dyDescent="0.25">
      <c r="A111">
        <f>IF(C111&lt;='PV IN'!$O$22*12,C111,"")</f>
        <v>107</v>
      </c>
      <c r="C111">
        <v>107</v>
      </c>
      <c r="D111" s="2">
        <f>BattCalcs!CK111+PVCalcs!AT111</f>
        <v>12050.334100579372</v>
      </c>
      <c r="E111" s="20">
        <f>PVCalcs!AV111</f>
        <v>85169.583937139294</v>
      </c>
      <c r="F111" s="20">
        <f>PVCalcs!AW111</f>
        <v>7799.3995910836284</v>
      </c>
      <c r="G111" s="20">
        <f>PVCalcs!AX111</f>
        <v>-221806.07260528748</v>
      </c>
      <c r="H111" s="20">
        <f>BattCalcs!CM111</f>
        <v>0</v>
      </c>
      <c r="I111" s="20">
        <f>BattCalcs!CN111</f>
        <v>0</v>
      </c>
      <c r="J111" s="20">
        <f>IF(C111&lt;='Batt IN'!H$43*12,BattCalcs!CO111,NA())</f>
        <v>0</v>
      </c>
      <c r="L111" s="20">
        <f t="shared" si="142"/>
        <v>7799.3995910836284</v>
      </c>
      <c r="M111" s="20">
        <f>G111+BattCalcs!CO111</f>
        <v>-221806.07260528748</v>
      </c>
      <c r="O111" s="10">
        <f>PVLoan!G139</f>
        <v>0</v>
      </c>
      <c r="P111" s="10">
        <f>PVLoan!J139</f>
        <v>0</v>
      </c>
      <c r="Q111" s="2">
        <f>BattLoan!G139</f>
        <v>0</v>
      </c>
      <c r="R111" s="10">
        <f>BattLoan!J139</f>
        <v>0</v>
      </c>
      <c r="T111" s="33">
        <f>IF('PV IN'!$F$4="Battery Only",0,PVCalcs!G111)</f>
        <v>142091.94717220022</v>
      </c>
      <c r="U111" s="33">
        <f>IF('PV IN'!$F$4="Battery Only",0,PVCalcs!M111)</f>
        <v>142091.94717220022</v>
      </c>
      <c r="V111" s="33">
        <f>PVCalcs!L111</f>
        <v>25811.765833333331</v>
      </c>
      <c r="W111" s="158">
        <f>PVCalcs!F111</f>
        <v>7.9451292012060609E-2</v>
      </c>
      <c r="X111" s="144">
        <f>IF('PV IN'!$F$4="Battery Only",0,PVCalcs!Y111+PVCalcs!Z111)</f>
        <v>1847.1953132386029</v>
      </c>
      <c r="Y111" s="144">
        <f>IF('PV IN'!$F$4="PV Only",0,BattCalcs!AX111+BattCalcs!BC111)</f>
        <v>0</v>
      </c>
      <c r="Z111" s="144">
        <f>IF('PV IN'!$F$4="PV Only",0,BattCalcs!AY111+BattCalcs!BD111)</f>
        <v>0</v>
      </c>
      <c r="AA111" s="144">
        <f>IF('PV IN'!$F$4="PV Only",0,BattCalcs!AZ111+BattCalcs!BE111)</f>
        <v>0</v>
      </c>
      <c r="AB111" s="144">
        <f>IF('PV IN'!$F$4="PV Only",0,BattCalcs!BA111+BattCalcs!BF111)</f>
        <v>0</v>
      </c>
      <c r="AC111" s="144">
        <f>IF('PV IN'!$F$4="PV Only",0,BattCalcs!BB111+BattCalcs!BG111)</f>
        <v>0</v>
      </c>
      <c r="AD111" s="144">
        <f>IF('PV IN'!$F$4="PV Only",0,BattCalcs!BU111)</f>
        <v>0</v>
      </c>
      <c r="AE111" s="144">
        <f>IF('PV IN'!$F$4="PV Only",PVCalcs!W111+PVCalcs!AA111,IF('PV IN'!$F$4="Battery Only",BattCalcs!AV111+BattCalcs!BH111,PVCalcs!W111+PVCalcs!AA111+BattCalcs!AV111+BattCalcs!BH111))</f>
        <v>0</v>
      </c>
      <c r="AF111" s="10">
        <f>PVCalcs!AC111+BattCalcs!BJ111</f>
        <v>0</v>
      </c>
      <c r="AG111" s="144">
        <f>IF('PV IN'!$F$4="Battery Only",0,PVCalcs!AG111)</f>
        <v>-750</v>
      </c>
      <c r="AH111" s="144">
        <f>IF('PV IN'!$F$4="Battery Only",0,PVCalcs!AI111)</f>
        <v>0</v>
      </c>
      <c r="AI111" s="144">
        <f>IF('PV IN'!$F$4="PV Only",0,BattCalcs!BM111)</f>
        <v>0</v>
      </c>
      <c r="AJ111" s="144">
        <f>IF('PV IN'!$F$4="PV Only",0,SUM(BattCalcs!BO111:BT111))</f>
        <v>0</v>
      </c>
      <c r="AK111" s="144">
        <f>IF('PV IN'!$F$4="PV Only",PVCalcs!AH111,IF('PV IN'!$F$4="Battery Only",BattCalcs!BN111,PVCalcs!AH111+BattCalcs!BN111))</f>
        <v>-625</v>
      </c>
      <c r="AL111" s="144">
        <f>IF('PV IN'!$F$4="PV Only",0,BattCalcs!BV111)</f>
        <v>0</v>
      </c>
      <c r="AM111" s="144">
        <f>IF('PV IN'!$F$4="PV Only",0,SUM(BattCalcs!BW111:BX111))</f>
        <v>0</v>
      </c>
      <c r="AN111" s="144">
        <f>IF('PV IN'!$F$4="PV Only",0,BattCalcs!BY111)</f>
        <v>0</v>
      </c>
      <c r="AO111" s="144">
        <f>IF('PV IN'!$F$4="Battery Only",0,PVCalcs!U111)</f>
        <v>11289.388787340769</v>
      </c>
      <c r="AP111" s="10">
        <f>IF('PV IN'!$F$4="PV Only",0,BattCalcs!AS111)</f>
        <v>0</v>
      </c>
      <c r="AQ111" s="10">
        <f>IF('PV IN'!$F$4="PV Only",0,BattCalcs!AT111)</f>
        <v>0</v>
      </c>
      <c r="AR111" s="10">
        <f>IF('PV IN'!$F$4="PV Only",0,BattCalcs!AU111)</f>
        <v>0</v>
      </c>
      <c r="AS111" s="144">
        <f>IF('PV IN'!$F$4="PV Only",PVCalcs!X111,IF('PV IN'!$F$4="Battery Only",BattCalcs!AW111,PVCalcs!X111+BattCalcs!AW111))</f>
        <v>0</v>
      </c>
      <c r="AT111" s="144">
        <f>IF('PV IN'!$F$4="Battery Only",0,-PVCalcs!AQ111*'PV IN'!$E$8)</f>
        <v>0</v>
      </c>
      <c r="AU111" s="144">
        <f>IF('PV IN'!$F$4="PV Only",0,-BattCalcs!CG111*'PV IN'!$E$8)</f>
        <v>0</v>
      </c>
      <c r="AV111" s="144">
        <f>IF('PV IN'!$F$4="PV Only",PVCalcs!Z111+PVCalcs!AA111,IF('PV IN'!$F$4="Battery Only",SUM(BattCalcs!BC111:BH111),PVCalcs!Z111+PVCalcs!AA111+SUM(BattCalcs!BC111:BH111)))</f>
        <v>0</v>
      </c>
      <c r="AW111" s="144">
        <f>IF('PV IN'!$F$4="PV Only",SUM(PVCalcs!AF111:AI111),IF('PV IN'!$F$4="Battery Only",SUM(BattCalcs!BL111:BY111),SUM(PVCalcs!AF111:AI111)+SUM(BattCalcs!BL111:BY111)))</f>
        <v>-1375</v>
      </c>
      <c r="AX111" s="144">
        <f>IF('PV IN'!$F$4="Battery Only",0,-PVLoan!F139)</f>
        <v>0</v>
      </c>
      <c r="AY111" s="144">
        <f>IF('PV IN'!$F$4="PV Only",0,-BattLoan!F139)</f>
        <v>0</v>
      </c>
      <c r="AZ111" s="144">
        <f>IF('PV IN'!$F$4="Battery Only",0,-PVLoan!H139)</f>
        <v>0</v>
      </c>
      <c r="BA111" s="144">
        <f>IF('PV IN'!$F$4="PV Only",0,-BattLoan!H139)</f>
        <v>0</v>
      </c>
    </row>
    <row r="112" spans="1:88" x14ac:dyDescent="0.25">
      <c r="A112">
        <f>IF(C112&lt;='PV IN'!$O$22*12,C112,"")</f>
        <v>108</v>
      </c>
      <c r="B112">
        <f>B100+1</f>
        <v>2034</v>
      </c>
      <c r="C112">
        <v>108</v>
      </c>
      <c r="D112" s="2">
        <f>BattCalcs!CK112+PVCalcs!AT112</f>
        <v>12041.576377845653</v>
      </c>
      <c r="E112" s="20">
        <f>PVCalcs!AV112</f>
        <v>97211.16031498494</v>
      </c>
      <c r="F112" s="20">
        <f>PVCalcs!AW112</f>
        <v>7762.1074984768384</v>
      </c>
      <c r="G112" s="20">
        <f>PVCalcs!AX112</f>
        <v>-214043.96510681065</v>
      </c>
      <c r="H112" s="20">
        <f>BattCalcs!CM112</f>
        <v>0</v>
      </c>
      <c r="I112" s="20">
        <f>BattCalcs!CN112</f>
        <v>0</v>
      </c>
      <c r="J112" s="20">
        <f>IF(C112&lt;='Batt IN'!H$43*12,BattCalcs!CO112,NA())</f>
        <v>0</v>
      </c>
      <c r="L112" s="20">
        <f t="shared" si="142"/>
        <v>7762.1074984768384</v>
      </c>
      <c r="M112" s="20">
        <f>G112+BattCalcs!CO112</f>
        <v>-214043.96510681065</v>
      </c>
      <c r="O112" s="10">
        <f>PVLoan!G140</f>
        <v>0</v>
      </c>
      <c r="P112" s="10">
        <f>PVLoan!J140</f>
        <v>0</v>
      </c>
      <c r="Q112" s="2">
        <f>BattLoan!G140</f>
        <v>0</v>
      </c>
      <c r="R112" s="10">
        <f>BattLoan!J140</f>
        <v>0</v>
      </c>
      <c r="T112" s="33">
        <f>IF('PV IN'!$F$4="Battery Only",0,PVCalcs!G112)</f>
        <v>141997.21920741876</v>
      </c>
      <c r="U112" s="33">
        <f>IF('PV IN'!$F$4="Battery Only",0,PVCalcs!M112)</f>
        <v>141997.21920741876</v>
      </c>
      <c r="V112" s="33">
        <f>PVCalcs!L112</f>
        <v>25811.765833333331</v>
      </c>
      <c r="W112" s="158">
        <f>PVCalcs!F112</f>
        <v>7.9451292012060609E-2</v>
      </c>
      <c r="X112" s="144">
        <f>IF('PV IN'!$F$4="Battery Only",0,PVCalcs!Y112+PVCalcs!Z112)</f>
        <v>1845.963849696444</v>
      </c>
      <c r="Y112" s="144">
        <f>IF('PV IN'!$F$4="PV Only",0,BattCalcs!AX112+BattCalcs!BC112)</f>
        <v>0</v>
      </c>
      <c r="Z112" s="144">
        <f>IF('PV IN'!$F$4="PV Only",0,BattCalcs!AY112+BattCalcs!BD112)</f>
        <v>0</v>
      </c>
      <c r="AA112" s="144">
        <f>IF('PV IN'!$F$4="PV Only",0,BattCalcs!AZ112+BattCalcs!BE112)</f>
        <v>0</v>
      </c>
      <c r="AB112" s="144">
        <f>IF('PV IN'!$F$4="PV Only",0,BattCalcs!BA112+BattCalcs!BF112)</f>
        <v>0</v>
      </c>
      <c r="AC112" s="144">
        <f>IF('PV IN'!$F$4="PV Only",0,BattCalcs!BB112+BattCalcs!BG112)</f>
        <v>0</v>
      </c>
      <c r="AD112" s="144">
        <f>IF('PV IN'!$F$4="PV Only",0,BattCalcs!BU112)</f>
        <v>0</v>
      </c>
      <c r="AE112" s="144">
        <f>IF('PV IN'!$F$4="PV Only",PVCalcs!W112+PVCalcs!AA112,IF('PV IN'!$F$4="Battery Only",BattCalcs!AV112+BattCalcs!BH112,PVCalcs!W112+PVCalcs!AA112+BattCalcs!AV112+BattCalcs!BH112))</f>
        <v>0</v>
      </c>
      <c r="AF112" s="10">
        <f>PVCalcs!AC112+BattCalcs!BJ112</f>
        <v>0</v>
      </c>
      <c r="AG112" s="144">
        <f>IF('PV IN'!$F$4="Battery Only",0,PVCalcs!AG112)</f>
        <v>-750</v>
      </c>
      <c r="AH112" s="144">
        <f>IF('PV IN'!$F$4="Battery Only",0,PVCalcs!AI112)</f>
        <v>0</v>
      </c>
      <c r="AI112" s="144">
        <f>IF('PV IN'!$F$4="PV Only",0,BattCalcs!BM112)</f>
        <v>0</v>
      </c>
      <c r="AJ112" s="144">
        <f>IF('PV IN'!$F$4="PV Only",0,SUM(BattCalcs!BO112:BT112))</f>
        <v>0</v>
      </c>
      <c r="AK112" s="144">
        <f>IF('PV IN'!$F$4="PV Only",PVCalcs!AH112,IF('PV IN'!$F$4="Battery Only",BattCalcs!BN112,PVCalcs!AH112+BattCalcs!BN112))</f>
        <v>-625</v>
      </c>
      <c r="AL112" s="144">
        <f>IF('PV IN'!$F$4="PV Only",0,BattCalcs!BV112)</f>
        <v>0</v>
      </c>
      <c r="AM112" s="144">
        <f>IF('PV IN'!$F$4="PV Only",0,SUM(BattCalcs!BW112:BX112))</f>
        <v>0</v>
      </c>
      <c r="AN112" s="144">
        <f>IF('PV IN'!$F$4="PV Only",0,BattCalcs!BY112)</f>
        <v>0</v>
      </c>
      <c r="AO112" s="144">
        <f>IF('PV IN'!$F$4="Battery Only",0,PVCalcs!U112)</f>
        <v>11281.86252814921</v>
      </c>
      <c r="AP112" s="10">
        <f>IF('PV IN'!$F$4="PV Only",0,BattCalcs!AS112)</f>
        <v>0</v>
      </c>
      <c r="AQ112" s="10">
        <f>IF('PV IN'!$F$4="PV Only",0,BattCalcs!AT112)</f>
        <v>0</v>
      </c>
      <c r="AR112" s="10">
        <f>IF('PV IN'!$F$4="PV Only",0,BattCalcs!AU112)</f>
        <v>0</v>
      </c>
      <c r="AS112" s="144">
        <f>IF('PV IN'!$F$4="PV Only",PVCalcs!X112,IF('PV IN'!$F$4="Battery Only",BattCalcs!AW112,PVCalcs!X112+BattCalcs!AW112))</f>
        <v>0</v>
      </c>
      <c r="AT112" s="144">
        <f>IF('PV IN'!$F$4="Battery Only",0,-PVCalcs!AQ112*'PV IN'!$E$8)</f>
        <v>0</v>
      </c>
      <c r="AU112" s="144">
        <f>IF('PV IN'!$F$4="PV Only",0,-BattCalcs!CG112*'PV IN'!$E$8)</f>
        <v>0</v>
      </c>
      <c r="AV112" s="144">
        <f>IF('PV IN'!$F$4="PV Only",PVCalcs!Z112+PVCalcs!AA112,IF('PV IN'!$F$4="Battery Only",SUM(BattCalcs!BC112:BH112),PVCalcs!Z112+PVCalcs!AA112+SUM(BattCalcs!BC112:BH112)))</f>
        <v>0</v>
      </c>
      <c r="AW112" s="144">
        <f>IF('PV IN'!$F$4="PV Only",SUM(PVCalcs!AF112:AI112),IF('PV IN'!$F$4="Battery Only",SUM(BattCalcs!BL112:BY112),SUM(PVCalcs!AF112:AI112)+SUM(BattCalcs!BL112:BY112)))</f>
        <v>-1375</v>
      </c>
      <c r="AX112" s="144">
        <f>IF('PV IN'!$F$4="Battery Only",0,-PVLoan!F140)</f>
        <v>0</v>
      </c>
      <c r="AY112" s="144">
        <f>IF('PV IN'!$F$4="PV Only",0,-BattLoan!F140)</f>
        <v>0</v>
      </c>
      <c r="AZ112" s="144">
        <f>IF('PV IN'!$F$4="Battery Only",0,-PVLoan!H140)</f>
        <v>0</v>
      </c>
      <c r="BA112" s="144">
        <f>IF('PV IN'!$F$4="PV Only",0,-BattLoan!H140)</f>
        <v>0</v>
      </c>
      <c r="BC112" s="33">
        <f t="shared" ref="BC112" si="245">SUM(T101:T112)</f>
        <v>1710232.5997581643</v>
      </c>
      <c r="BD112" s="33">
        <f t="shared" ref="BD112" si="246">SUM(U101:U112)</f>
        <v>1710232.5997581643</v>
      </c>
      <c r="BE112" s="33">
        <f t="shared" ref="BE112" si="247">SUM(V101:V112)</f>
        <v>309741.19</v>
      </c>
      <c r="BF112" s="50">
        <f t="shared" ref="BF112" si="248">W112</f>
        <v>7.9451292012060609E-2</v>
      </c>
      <c r="BG112" s="2">
        <f t="shared" ref="BG112" si="249">SUM(X101:X112)</f>
        <v>22233.023796856134</v>
      </c>
      <c r="BH112" s="2">
        <f t="shared" ref="BH112" si="250">SUM(Y101:Y112)</f>
        <v>0</v>
      </c>
      <c r="BI112" s="2">
        <f t="shared" ref="BI112" si="251">SUM(Z101:Z112)</f>
        <v>0</v>
      </c>
      <c r="BJ112" s="2">
        <f t="shared" ref="BJ112" si="252">SUM(AA101:AA112)</f>
        <v>0</v>
      </c>
      <c r="BK112" s="2">
        <f t="shared" ref="BK112" si="253">SUM(AB101:AB112)</f>
        <v>0</v>
      </c>
      <c r="BL112" s="2">
        <f t="shared" ref="BL112" si="254">SUM(AC101:AC112)</f>
        <v>0</v>
      </c>
      <c r="BM112" s="2">
        <f t="shared" ref="BM112" si="255">SUM(AD101:AD112)</f>
        <v>0</v>
      </c>
      <c r="BN112" s="2">
        <f t="shared" ref="BN112" si="256">SUM(AE101:AE112)</f>
        <v>0</v>
      </c>
      <c r="BO112" s="2">
        <f t="shared" ref="BO112" si="257">SUM(AF101:AF112)</f>
        <v>0</v>
      </c>
      <c r="BP112" s="2">
        <f t="shared" ref="BP112" si="258">SUM(AG101:AG112)</f>
        <v>-9000</v>
      </c>
      <c r="BQ112" s="2">
        <f t="shared" ref="BQ112" si="259">SUM(AH101:AH112)</f>
        <v>0</v>
      </c>
      <c r="BR112" s="2">
        <f t="shared" ref="BR112" si="260">SUM(AI101:AI112)</f>
        <v>0</v>
      </c>
      <c r="BS112" s="2">
        <f t="shared" ref="BS112" si="261">SUM(AJ101:AJ112)</f>
        <v>0</v>
      </c>
      <c r="BT112" s="2">
        <f t="shared" ref="BT112" si="262">SUM(AK101:AK112)</f>
        <v>-7500</v>
      </c>
      <c r="BU112" s="2">
        <f t="shared" ref="BU112" si="263">SUM(AL101:AL112)</f>
        <v>0</v>
      </c>
      <c r="BV112" s="2">
        <f t="shared" ref="BV112" si="264">SUM(AM101:AM112)</f>
        <v>0</v>
      </c>
      <c r="BW112" s="2">
        <f t="shared" ref="BW112" si="265">SUM(AN101:AN112)</f>
        <v>0</v>
      </c>
      <c r="BX112" s="2">
        <f t="shared" ref="BX112" si="266">SUM(AO101:AO112)</f>
        <v>135880.18969193147</v>
      </c>
      <c r="BY112" s="2">
        <f t="shared" ref="BY112" si="267">SUM(AP101:AP112)</f>
        <v>0</v>
      </c>
      <c r="BZ112" s="2">
        <f t="shared" ref="BZ112" si="268">SUM(AQ101:AQ112)</f>
        <v>0</v>
      </c>
      <c r="CA112" s="2">
        <f t="shared" ref="CA112" si="269">SUM(AR101:AR112)</f>
        <v>0</v>
      </c>
      <c r="CB112" s="2">
        <f t="shared" ref="CB112" si="270">SUM(AS101:AS112)</f>
        <v>0</v>
      </c>
      <c r="CC112" s="2">
        <f t="shared" ref="CC112" si="271">SUM(AT101:AT112)</f>
        <v>0</v>
      </c>
      <c r="CD112" s="2">
        <f t="shared" ref="CD112" si="272">SUM(AU101:AU112)</f>
        <v>0</v>
      </c>
      <c r="CE112" s="2">
        <f t="shared" ref="CE112" si="273">SUM(AV101:AV112)</f>
        <v>0</v>
      </c>
      <c r="CF112" s="2">
        <f t="shared" ref="CF112" si="274">SUM(AW101:AW112)</f>
        <v>-16500</v>
      </c>
      <c r="CG112" s="2">
        <f t="shared" ref="CG112" si="275">SUM(AX101:AX112)</f>
        <v>0</v>
      </c>
      <c r="CH112" s="2">
        <f t="shared" ref="CH112" si="276">SUM(AY101:AY112)</f>
        <v>0</v>
      </c>
      <c r="CI112" s="2">
        <f t="shared" ref="CI112" si="277">SUM(AZ101:AZ112)</f>
        <v>0</v>
      </c>
      <c r="CJ112" s="2">
        <f t="shared" ref="CJ112" si="278">SUM(BA101:BA112)</f>
        <v>0</v>
      </c>
    </row>
    <row r="113" spans="1:88" x14ac:dyDescent="0.25">
      <c r="A113">
        <f>IF(C113&lt;='PV IN'!$O$22*12,C113,"")</f>
        <v>109</v>
      </c>
      <c r="C113">
        <v>109</v>
      </c>
      <c r="D113" s="2">
        <f>BattCalcs!CK113+PVCalcs!AT113</f>
        <v>12130.45777189997</v>
      </c>
      <c r="E113" s="20">
        <f>PVCalcs!AV113</f>
        <v>109341.6180868849</v>
      </c>
      <c r="F113" s="20">
        <f>PVCalcs!AW113</f>
        <v>7787.6732925894958</v>
      </c>
      <c r="G113" s="20">
        <f>PVCalcs!AX113</f>
        <v>-206256.29181422116</v>
      </c>
      <c r="H113" s="20">
        <f>BattCalcs!CM113</f>
        <v>0</v>
      </c>
      <c r="I113" s="20">
        <f>BattCalcs!CN113</f>
        <v>0</v>
      </c>
      <c r="J113" s="20">
        <f>IF(C113&lt;='Batt IN'!H$43*12,BattCalcs!CO113,NA())</f>
        <v>0</v>
      </c>
      <c r="L113" s="20">
        <f t="shared" si="142"/>
        <v>7787.6732925894958</v>
      </c>
      <c r="M113" s="20">
        <f>G113+BattCalcs!CO113</f>
        <v>-206256.29181422116</v>
      </c>
      <c r="O113" s="10">
        <f>PVLoan!G141</f>
        <v>0</v>
      </c>
      <c r="P113" s="10">
        <f>PVLoan!J141</f>
        <v>0</v>
      </c>
      <c r="Q113" s="2">
        <f>BattLoan!G141</f>
        <v>0</v>
      </c>
      <c r="R113" s="10">
        <f>BattLoan!J141</f>
        <v>0</v>
      </c>
      <c r="T113" s="33">
        <f>IF('PV IN'!$F$4="Battery Only",0,PVCalcs!G113)</f>
        <v>141902.55439461381</v>
      </c>
      <c r="U113" s="33">
        <f>IF('PV IN'!$F$4="Battery Only",0,PVCalcs!M113)</f>
        <v>141902.55439461381</v>
      </c>
      <c r="V113" s="33">
        <f>PVCalcs!L113</f>
        <v>25811.765833333331</v>
      </c>
      <c r="W113" s="158">
        <f>PVCalcs!F113</f>
        <v>8.0139322461707824E-2</v>
      </c>
      <c r="X113" s="144">
        <f>IF('PV IN'!$F$4="Battery Only",0,PVCalcs!Y113+PVCalcs!Z113)</f>
        <v>1844.7332071299795</v>
      </c>
      <c r="Y113" s="144">
        <f>IF('PV IN'!$F$4="PV Only",0,BattCalcs!AX113+BattCalcs!BC113)</f>
        <v>0</v>
      </c>
      <c r="Z113" s="144">
        <f>IF('PV IN'!$F$4="PV Only",0,BattCalcs!AY113+BattCalcs!BD113)</f>
        <v>0</v>
      </c>
      <c r="AA113" s="144">
        <f>IF('PV IN'!$F$4="PV Only",0,BattCalcs!AZ113+BattCalcs!BE113)</f>
        <v>0</v>
      </c>
      <c r="AB113" s="144">
        <f>IF('PV IN'!$F$4="PV Only",0,BattCalcs!BA113+BattCalcs!BF113)</f>
        <v>0</v>
      </c>
      <c r="AC113" s="144">
        <f>IF('PV IN'!$F$4="PV Only",0,BattCalcs!BB113+BattCalcs!BG113)</f>
        <v>0</v>
      </c>
      <c r="AD113" s="144">
        <f>IF('PV IN'!$F$4="PV Only",0,BattCalcs!BU113)</f>
        <v>0</v>
      </c>
      <c r="AE113" s="144">
        <f>IF('PV IN'!$F$4="PV Only",PVCalcs!W113+PVCalcs!AA113,IF('PV IN'!$F$4="Battery Only",BattCalcs!AV113+BattCalcs!BH113,PVCalcs!W113+PVCalcs!AA113+BattCalcs!AV113+BattCalcs!BH113))</f>
        <v>0</v>
      </c>
      <c r="AF113" s="10">
        <f>PVCalcs!AC113+BattCalcs!BJ113</f>
        <v>0</v>
      </c>
      <c r="AG113" s="144">
        <f>IF('PV IN'!$F$4="Battery Only",0,PVCalcs!AG113)</f>
        <v>-750</v>
      </c>
      <c r="AH113" s="144">
        <f>IF('PV IN'!$F$4="Battery Only",0,PVCalcs!AI113)</f>
        <v>0</v>
      </c>
      <c r="AI113" s="144">
        <f>IF('PV IN'!$F$4="PV Only",0,BattCalcs!BM113)</f>
        <v>0</v>
      </c>
      <c r="AJ113" s="144">
        <f>IF('PV IN'!$F$4="PV Only",0,SUM(BattCalcs!BO113:BT113))</f>
        <v>0</v>
      </c>
      <c r="AK113" s="144">
        <f>IF('PV IN'!$F$4="PV Only",PVCalcs!AH113,IF('PV IN'!$F$4="Battery Only",BattCalcs!BN113,PVCalcs!AH113+BattCalcs!BN113))</f>
        <v>-625</v>
      </c>
      <c r="AL113" s="144">
        <f>IF('PV IN'!$F$4="PV Only",0,BattCalcs!BV113)</f>
        <v>0</v>
      </c>
      <c r="AM113" s="144">
        <f>IF('PV IN'!$F$4="PV Only",0,SUM(BattCalcs!BW113:BX113))</f>
        <v>0</v>
      </c>
      <c r="AN113" s="144">
        <f>IF('PV IN'!$F$4="PV Only",0,BattCalcs!BY113)</f>
        <v>0</v>
      </c>
      <c r="AO113" s="144">
        <f>IF('PV IN'!$F$4="Battery Only",0,PVCalcs!U113)</f>
        <v>11371.974564769991</v>
      </c>
      <c r="AP113" s="10">
        <f>IF('PV IN'!$F$4="PV Only",0,BattCalcs!AS113)</f>
        <v>0</v>
      </c>
      <c r="AQ113" s="10">
        <f>IF('PV IN'!$F$4="PV Only",0,BattCalcs!AT113)</f>
        <v>0</v>
      </c>
      <c r="AR113" s="10">
        <f>IF('PV IN'!$F$4="PV Only",0,BattCalcs!AU113)</f>
        <v>0</v>
      </c>
      <c r="AS113" s="144">
        <f>IF('PV IN'!$F$4="PV Only",PVCalcs!X113,IF('PV IN'!$F$4="Battery Only",BattCalcs!AW113,PVCalcs!X113+BattCalcs!AW113))</f>
        <v>0</v>
      </c>
      <c r="AT113" s="144">
        <f>IF('PV IN'!$F$4="Battery Only",0,-PVCalcs!AQ113*'PV IN'!$E$8)</f>
        <v>0</v>
      </c>
      <c r="AU113" s="144">
        <f>IF('PV IN'!$F$4="PV Only",0,-BattCalcs!CG113*'PV IN'!$E$8)</f>
        <v>0</v>
      </c>
      <c r="AV113" s="144">
        <f>IF('PV IN'!$F$4="PV Only",PVCalcs!Z113+PVCalcs!AA113,IF('PV IN'!$F$4="Battery Only",SUM(BattCalcs!BC113:BH113),PVCalcs!Z113+PVCalcs!AA113+SUM(BattCalcs!BC113:BH113)))</f>
        <v>0</v>
      </c>
      <c r="AW113" s="144">
        <f>IF('PV IN'!$F$4="PV Only",SUM(PVCalcs!AF113:AI113),IF('PV IN'!$F$4="Battery Only",SUM(BattCalcs!BL113:BY113),SUM(PVCalcs!AF113:AI113)+SUM(BattCalcs!BL113:BY113)))</f>
        <v>-1375</v>
      </c>
      <c r="AX113" s="144">
        <f>IF('PV IN'!$F$4="Battery Only",0,-PVLoan!F141)</f>
        <v>0</v>
      </c>
      <c r="AY113" s="144">
        <f>IF('PV IN'!$F$4="PV Only",0,-BattLoan!F141)</f>
        <v>0</v>
      </c>
      <c r="AZ113" s="144">
        <f>IF('PV IN'!$F$4="Battery Only",0,-PVLoan!H141)</f>
        <v>0</v>
      </c>
      <c r="BA113" s="144">
        <f>IF('PV IN'!$F$4="PV Only",0,-BattLoan!H141)</f>
        <v>0</v>
      </c>
    </row>
    <row r="114" spans="1:88" x14ac:dyDescent="0.25">
      <c r="A114">
        <f>IF(C114&lt;='PV IN'!$O$22*12,C114,"")</f>
        <v>110</v>
      </c>
      <c r="C114">
        <v>110</v>
      </c>
      <c r="D114" s="2">
        <f>BattCalcs!CK114+PVCalcs!AT114</f>
        <v>12121.64663338537</v>
      </c>
      <c r="E114" s="20">
        <f>PVCalcs!AV114</f>
        <v>121463.26472027028</v>
      </c>
      <c r="F114" s="20">
        <f>PVCalcs!AW114</f>
        <v>7750.4403468550609</v>
      </c>
      <c r="G114" s="20">
        <f>PVCalcs!AX114</f>
        <v>-198505.8514673661</v>
      </c>
      <c r="H114" s="20">
        <f>BattCalcs!CM114</f>
        <v>0</v>
      </c>
      <c r="I114" s="20">
        <f>BattCalcs!CN114</f>
        <v>0</v>
      </c>
      <c r="J114" s="20">
        <f>IF(C114&lt;='Batt IN'!H$43*12,BattCalcs!CO114,NA())</f>
        <v>0</v>
      </c>
      <c r="L114" s="20">
        <f t="shared" si="142"/>
        <v>7750.4403468550609</v>
      </c>
      <c r="M114" s="20">
        <f>G114+BattCalcs!CO114</f>
        <v>-198505.8514673661</v>
      </c>
      <c r="O114" s="10">
        <f>PVLoan!G142</f>
        <v>0</v>
      </c>
      <c r="P114" s="10">
        <f>PVLoan!J142</f>
        <v>0</v>
      </c>
      <c r="Q114" s="2">
        <f>BattLoan!G142</f>
        <v>0</v>
      </c>
      <c r="R114" s="10">
        <f>BattLoan!J142</f>
        <v>0</v>
      </c>
      <c r="T114" s="33">
        <f>IF('PV IN'!$F$4="Battery Only",0,PVCalcs!G114)</f>
        <v>141807.95269168407</v>
      </c>
      <c r="U114" s="33">
        <f>IF('PV IN'!$F$4="Battery Only",0,PVCalcs!M114)</f>
        <v>141807.95269168407</v>
      </c>
      <c r="V114" s="33">
        <f>PVCalcs!L114</f>
        <v>25811.765833333331</v>
      </c>
      <c r="W114" s="158">
        <f>PVCalcs!F114</f>
        <v>8.0139322461707824E-2</v>
      </c>
      <c r="X114" s="144">
        <f>IF('PV IN'!$F$4="Battery Only",0,PVCalcs!Y114+PVCalcs!Z114)</f>
        <v>1843.5033849918927</v>
      </c>
      <c r="Y114" s="144">
        <f>IF('PV IN'!$F$4="PV Only",0,BattCalcs!AX114+BattCalcs!BC114)</f>
        <v>0</v>
      </c>
      <c r="Z114" s="144">
        <f>IF('PV IN'!$F$4="PV Only",0,BattCalcs!AY114+BattCalcs!BD114)</f>
        <v>0</v>
      </c>
      <c r="AA114" s="144">
        <f>IF('PV IN'!$F$4="PV Only",0,BattCalcs!AZ114+BattCalcs!BE114)</f>
        <v>0</v>
      </c>
      <c r="AB114" s="144">
        <f>IF('PV IN'!$F$4="PV Only",0,BattCalcs!BA114+BattCalcs!BF114)</f>
        <v>0</v>
      </c>
      <c r="AC114" s="144">
        <f>IF('PV IN'!$F$4="PV Only",0,BattCalcs!BB114+BattCalcs!BG114)</f>
        <v>0</v>
      </c>
      <c r="AD114" s="144">
        <f>IF('PV IN'!$F$4="PV Only",0,BattCalcs!BU114)</f>
        <v>0</v>
      </c>
      <c r="AE114" s="144">
        <f>IF('PV IN'!$F$4="PV Only",PVCalcs!W114+PVCalcs!AA114,IF('PV IN'!$F$4="Battery Only",BattCalcs!AV114+BattCalcs!BH114,PVCalcs!W114+PVCalcs!AA114+BattCalcs!AV114+BattCalcs!BH114))</f>
        <v>0</v>
      </c>
      <c r="AF114" s="10">
        <f>PVCalcs!AC114+BattCalcs!BJ114</f>
        <v>0</v>
      </c>
      <c r="AG114" s="144">
        <f>IF('PV IN'!$F$4="Battery Only",0,PVCalcs!AG114)</f>
        <v>-750</v>
      </c>
      <c r="AH114" s="144">
        <f>IF('PV IN'!$F$4="Battery Only",0,PVCalcs!AI114)</f>
        <v>0</v>
      </c>
      <c r="AI114" s="144">
        <f>IF('PV IN'!$F$4="PV Only",0,BattCalcs!BM114)</f>
        <v>0</v>
      </c>
      <c r="AJ114" s="144">
        <f>IF('PV IN'!$F$4="PV Only",0,SUM(BattCalcs!BO114:BT114))</f>
        <v>0</v>
      </c>
      <c r="AK114" s="144">
        <f>IF('PV IN'!$F$4="PV Only",PVCalcs!AH114,IF('PV IN'!$F$4="Battery Only",BattCalcs!BN114,PVCalcs!AH114+BattCalcs!BN114))</f>
        <v>-625</v>
      </c>
      <c r="AL114" s="144">
        <f>IF('PV IN'!$F$4="PV Only",0,BattCalcs!BV114)</f>
        <v>0</v>
      </c>
      <c r="AM114" s="144">
        <f>IF('PV IN'!$F$4="PV Only",0,SUM(BattCalcs!BW114:BX114))</f>
        <v>0</v>
      </c>
      <c r="AN114" s="144">
        <f>IF('PV IN'!$F$4="PV Only",0,BattCalcs!BY114)</f>
        <v>0</v>
      </c>
      <c r="AO114" s="144">
        <f>IF('PV IN'!$F$4="Battery Only",0,PVCalcs!U114)</f>
        <v>11364.393248393477</v>
      </c>
      <c r="AP114" s="10">
        <f>IF('PV IN'!$F$4="PV Only",0,BattCalcs!AS114)</f>
        <v>0</v>
      </c>
      <c r="AQ114" s="10">
        <f>IF('PV IN'!$F$4="PV Only",0,BattCalcs!AT114)</f>
        <v>0</v>
      </c>
      <c r="AR114" s="10">
        <f>IF('PV IN'!$F$4="PV Only",0,BattCalcs!AU114)</f>
        <v>0</v>
      </c>
      <c r="AS114" s="144">
        <f>IF('PV IN'!$F$4="PV Only",PVCalcs!X114,IF('PV IN'!$F$4="Battery Only",BattCalcs!AW114,PVCalcs!X114+BattCalcs!AW114))</f>
        <v>0</v>
      </c>
      <c r="AT114" s="144">
        <f>IF('PV IN'!$F$4="Battery Only",0,-PVCalcs!AQ114*'PV IN'!$E$8)</f>
        <v>0</v>
      </c>
      <c r="AU114" s="144">
        <f>IF('PV IN'!$F$4="PV Only",0,-BattCalcs!CG114*'PV IN'!$E$8)</f>
        <v>0</v>
      </c>
      <c r="AV114" s="144">
        <f>IF('PV IN'!$F$4="PV Only",PVCalcs!Z114+PVCalcs!AA114,IF('PV IN'!$F$4="Battery Only",SUM(BattCalcs!BC114:BH114),PVCalcs!Z114+PVCalcs!AA114+SUM(BattCalcs!BC114:BH114)))</f>
        <v>0</v>
      </c>
      <c r="AW114" s="144">
        <f>IF('PV IN'!$F$4="PV Only",SUM(PVCalcs!AF114:AI114),IF('PV IN'!$F$4="Battery Only",SUM(BattCalcs!BL114:BY114),SUM(PVCalcs!AF114:AI114)+SUM(BattCalcs!BL114:BY114)))</f>
        <v>-1375</v>
      </c>
      <c r="AX114" s="144">
        <f>IF('PV IN'!$F$4="Battery Only",0,-PVLoan!F142)</f>
        <v>0</v>
      </c>
      <c r="AY114" s="144">
        <f>IF('PV IN'!$F$4="PV Only",0,-BattLoan!F142)</f>
        <v>0</v>
      </c>
      <c r="AZ114" s="144">
        <f>IF('PV IN'!$F$4="Battery Only",0,-PVLoan!H142)</f>
        <v>0</v>
      </c>
      <c r="BA114" s="144">
        <f>IF('PV IN'!$F$4="PV Only",0,-BattLoan!H142)</f>
        <v>0</v>
      </c>
    </row>
    <row r="115" spans="1:88" x14ac:dyDescent="0.25">
      <c r="A115">
        <f>IF(C115&lt;='PV IN'!$O$22*12,C115,"")</f>
        <v>111</v>
      </c>
      <c r="C115">
        <v>111</v>
      </c>
      <c r="D115" s="2">
        <f>BattCalcs!CK115+PVCalcs!AT115</f>
        <v>12112.841368963112</v>
      </c>
      <c r="E115" s="20">
        <f>PVCalcs!AV115</f>
        <v>133576.10608923339</v>
      </c>
      <c r="F115" s="20">
        <f>PVCalcs!AW115</f>
        <v>7713.3850772557962</v>
      </c>
      <c r="G115" s="20">
        <f>PVCalcs!AX115</f>
        <v>-190792.46639011029</v>
      </c>
      <c r="H115" s="20">
        <f>BattCalcs!CM115</f>
        <v>0</v>
      </c>
      <c r="I115" s="20">
        <f>BattCalcs!CN115</f>
        <v>0</v>
      </c>
      <c r="J115" s="20">
        <f>IF(C115&lt;='Batt IN'!H$43*12,BattCalcs!CO115,NA())</f>
        <v>0</v>
      </c>
      <c r="L115" s="20">
        <f t="shared" si="142"/>
        <v>7713.3850772557962</v>
      </c>
      <c r="M115" s="20">
        <f>G115+BattCalcs!CO115</f>
        <v>-190792.46639011029</v>
      </c>
      <c r="O115" s="10">
        <f>PVLoan!G143</f>
        <v>0</v>
      </c>
      <c r="P115" s="10">
        <f>PVLoan!J143</f>
        <v>0</v>
      </c>
      <c r="Q115" s="2">
        <f>BattLoan!G143</f>
        <v>0</v>
      </c>
      <c r="R115" s="10">
        <f>BattLoan!J143</f>
        <v>0</v>
      </c>
      <c r="T115" s="33">
        <f>IF('PV IN'!$F$4="Battery Only",0,PVCalcs!G115)</f>
        <v>141713.41405655627</v>
      </c>
      <c r="U115" s="33">
        <f>IF('PV IN'!$F$4="Battery Only",0,PVCalcs!M115)</f>
        <v>141713.41405655627</v>
      </c>
      <c r="V115" s="33">
        <f>PVCalcs!L115</f>
        <v>25811.765833333331</v>
      </c>
      <c r="W115" s="158">
        <f>PVCalcs!F115</f>
        <v>8.0139322461707824E-2</v>
      </c>
      <c r="X115" s="144">
        <f>IF('PV IN'!$F$4="Battery Only",0,PVCalcs!Y115+PVCalcs!Z115)</f>
        <v>1842.2743827352315</v>
      </c>
      <c r="Y115" s="144">
        <f>IF('PV IN'!$F$4="PV Only",0,BattCalcs!AX115+BattCalcs!BC115)</f>
        <v>0</v>
      </c>
      <c r="Z115" s="144">
        <f>IF('PV IN'!$F$4="PV Only",0,BattCalcs!AY115+BattCalcs!BD115)</f>
        <v>0</v>
      </c>
      <c r="AA115" s="144">
        <f>IF('PV IN'!$F$4="PV Only",0,BattCalcs!AZ115+BattCalcs!BE115)</f>
        <v>0</v>
      </c>
      <c r="AB115" s="144">
        <f>IF('PV IN'!$F$4="PV Only",0,BattCalcs!BA115+BattCalcs!BF115)</f>
        <v>0</v>
      </c>
      <c r="AC115" s="144">
        <f>IF('PV IN'!$F$4="PV Only",0,BattCalcs!BB115+BattCalcs!BG115)</f>
        <v>0</v>
      </c>
      <c r="AD115" s="144">
        <f>IF('PV IN'!$F$4="PV Only",0,BattCalcs!BU115)</f>
        <v>0</v>
      </c>
      <c r="AE115" s="144">
        <f>IF('PV IN'!$F$4="PV Only",PVCalcs!W115+PVCalcs!AA115,IF('PV IN'!$F$4="Battery Only",BattCalcs!AV115+BattCalcs!BH115,PVCalcs!W115+PVCalcs!AA115+BattCalcs!AV115+BattCalcs!BH115))</f>
        <v>0</v>
      </c>
      <c r="AF115" s="10">
        <f>PVCalcs!AC115+BattCalcs!BJ115</f>
        <v>0</v>
      </c>
      <c r="AG115" s="144">
        <f>IF('PV IN'!$F$4="Battery Only",0,PVCalcs!AG115)</f>
        <v>-750</v>
      </c>
      <c r="AH115" s="144">
        <f>IF('PV IN'!$F$4="Battery Only",0,PVCalcs!AI115)</f>
        <v>0</v>
      </c>
      <c r="AI115" s="144">
        <f>IF('PV IN'!$F$4="PV Only",0,BattCalcs!BM115)</f>
        <v>0</v>
      </c>
      <c r="AJ115" s="144">
        <f>IF('PV IN'!$F$4="PV Only",0,SUM(BattCalcs!BO115:BT115))</f>
        <v>0</v>
      </c>
      <c r="AK115" s="144">
        <f>IF('PV IN'!$F$4="PV Only",PVCalcs!AH115,IF('PV IN'!$F$4="Battery Only",BattCalcs!BN115,PVCalcs!AH115+BattCalcs!BN115))</f>
        <v>-625</v>
      </c>
      <c r="AL115" s="144">
        <f>IF('PV IN'!$F$4="PV Only",0,BattCalcs!BV115)</f>
        <v>0</v>
      </c>
      <c r="AM115" s="144">
        <f>IF('PV IN'!$F$4="PV Only",0,SUM(BattCalcs!BW115:BX115))</f>
        <v>0</v>
      </c>
      <c r="AN115" s="144">
        <f>IF('PV IN'!$F$4="PV Only",0,BattCalcs!BY115)</f>
        <v>0</v>
      </c>
      <c r="AO115" s="144">
        <f>IF('PV IN'!$F$4="Battery Only",0,PVCalcs!U115)</f>
        <v>11356.816986227881</v>
      </c>
      <c r="AP115" s="10">
        <f>IF('PV IN'!$F$4="PV Only",0,BattCalcs!AS115)</f>
        <v>0</v>
      </c>
      <c r="AQ115" s="10">
        <f>IF('PV IN'!$F$4="PV Only",0,BattCalcs!AT115)</f>
        <v>0</v>
      </c>
      <c r="AR115" s="10">
        <f>IF('PV IN'!$F$4="PV Only",0,BattCalcs!AU115)</f>
        <v>0</v>
      </c>
      <c r="AS115" s="144">
        <f>IF('PV IN'!$F$4="PV Only",PVCalcs!X115,IF('PV IN'!$F$4="Battery Only",BattCalcs!AW115,PVCalcs!X115+BattCalcs!AW115))</f>
        <v>0</v>
      </c>
      <c r="AT115" s="144">
        <f>IF('PV IN'!$F$4="Battery Only",0,-PVCalcs!AQ115*'PV IN'!$E$8)</f>
        <v>0</v>
      </c>
      <c r="AU115" s="144">
        <f>IF('PV IN'!$F$4="PV Only",0,-BattCalcs!CG115*'PV IN'!$E$8)</f>
        <v>0</v>
      </c>
      <c r="AV115" s="144">
        <f>IF('PV IN'!$F$4="PV Only",PVCalcs!Z115+PVCalcs!AA115,IF('PV IN'!$F$4="Battery Only",SUM(BattCalcs!BC115:BH115),PVCalcs!Z115+PVCalcs!AA115+SUM(BattCalcs!BC115:BH115)))</f>
        <v>0</v>
      </c>
      <c r="AW115" s="144">
        <f>IF('PV IN'!$F$4="PV Only",SUM(PVCalcs!AF115:AI115),IF('PV IN'!$F$4="Battery Only",SUM(BattCalcs!BL115:BY115),SUM(PVCalcs!AF115:AI115)+SUM(BattCalcs!BL115:BY115)))</f>
        <v>-1375</v>
      </c>
      <c r="AX115" s="144">
        <f>IF('PV IN'!$F$4="Battery Only",0,-PVLoan!F143)</f>
        <v>0</v>
      </c>
      <c r="AY115" s="144">
        <f>IF('PV IN'!$F$4="PV Only",0,-BattLoan!F143)</f>
        <v>0</v>
      </c>
      <c r="AZ115" s="144">
        <f>IF('PV IN'!$F$4="Battery Only",0,-PVLoan!H143)</f>
        <v>0</v>
      </c>
      <c r="BA115" s="144">
        <f>IF('PV IN'!$F$4="PV Only",0,-BattLoan!H143)</f>
        <v>0</v>
      </c>
    </row>
    <row r="116" spans="1:88" x14ac:dyDescent="0.25">
      <c r="A116">
        <f>IF(C116&lt;='PV IN'!$O$22*12,C116,"")</f>
        <v>112</v>
      </c>
      <c r="C116">
        <v>112</v>
      </c>
      <c r="D116" s="2">
        <f>BattCalcs!CK116+PVCalcs!AT116</f>
        <v>12104.041974717138</v>
      </c>
      <c r="E116" s="20">
        <f>PVCalcs!AV116</f>
        <v>145680.14806395053</v>
      </c>
      <c r="F116" s="20">
        <f>PVCalcs!AW116</f>
        <v>7676.506637260939</v>
      </c>
      <c r="G116" s="20">
        <f>PVCalcs!AX116</f>
        <v>-183115.95975284936</v>
      </c>
      <c r="H116" s="20">
        <f>BattCalcs!CM116</f>
        <v>0</v>
      </c>
      <c r="I116" s="20">
        <f>BattCalcs!CN116</f>
        <v>0</v>
      </c>
      <c r="J116" s="20">
        <f>IF(C116&lt;='Batt IN'!H$43*12,BattCalcs!CO116,NA())</f>
        <v>0</v>
      </c>
      <c r="L116" s="20">
        <f t="shared" si="142"/>
        <v>7676.506637260939</v>
      </c>
      <c r="M116" s="20">
        <f>G116+BattCalcs!CO116</f>
        <v>-183115.95975284936</v>
      </c>
      <c r="O116" s="10">
        <f>PVLoan!G144</f>
        <v>0</v>
      </c>
      <c r="P116" s="10">
        <f>PVLoan!J144</f>
        <v>0</v>
      </c>
      <c r="Q116" s="2">
        <f>BattLoan!G144</f>
        <v>0</v>
      </c>
      <c r="R116" s="10">
        <f>BattLoan!J144</f>
        <v>0</v>
      </c>
      <c r="T116" s="33">
        <f>IF('PV IN'!$F$4="Battery Only",0,PVCalcs!G116)</f>
        <v>141618.93844718524</v>
      </c>
      <c r="U116" s="33">
        <f>IF('PV IN'!$F$4="Battery Only",0,PVCalcs!M116)</f>
        <v>141618.93844718524</v>
      </c>
      <c r="V116" s="33">
        <f>PVCalcs!L116</f>
        <v>25811.765833333331</v>
      </c>
      <c r="W116" s="158">
        <f>PVCalcs!F116</f>
        <v>8.0139322461707824E-2</v>
      </c>
      <c r="X116" s="144">
        <f>IF('PV IN'!$F$4="Battery Only",0,PVCalcs!Y116+PVCalcs!Z116)</f>
        <v>1841.0461998134081</v>
      </c>
      <c r="Y116" s="144">
        <f>IF('PV IN'!$F$4="PV Only",0,BattCalcs!AX116+BattCalcs!BC116)</f>
        <v>0</v>
      </c>
      <c r="Z116" s="144">
        <f>IF('PV IN'!$F$4="PV Only",0,BattCalcs!AY116+BattCalcs!BD116)</f>
        <v>0</v>
      </c>
      <c r="AA116" s="144">
        <f>IF('PV IN'!$F$4="PV Only",0,BattCalcs!AZ116+BattCalcs!BE116)</f>
        <v>0</v>
      </c>
      <c r="AB116" s="144">
        <f>IF('PV IN'!$F$4="PV Only",0,BattCalcs!BA116+BattCalcs!BF116)</f>
        <v>0</v>
      </c>
      <c r="AC116" s="144">
        <f>IF('PV IN'!$F$4="PV Only",0,BattCalcs!BB116+BattCalcs!BG116)</f>
        <v>0</v>
      </c>
      <c r="AD116" s="144">
        <f>IF('PV IN'!$F$4="PV Only",0,BattCalcs!BU116)</f>
        <v>0</v>
      </c>
      <c r="AE116" s="144">
        <f>IF('PV IN'!$F$4="PV Only",PVCalcs!W116+PVCalcs!AA116,IF('PV IN'!$F$4="Battery Only",BattCalcs!AV116+BattCalcs!BH116,PVCalcs!W116+PVCalcs!AA116+BattCalcs!AV116+BattCalcs!BH116))</f>
        <v>0</v>
      </c>
      <c r="AF116" s="10">
        <f>PVCalcs!AC116+BattCalcs!BJ116</f>
        <v>0</v>
      </c>
      <c r="AG116" s="144">
        <f>IF('PV IN'!$F$4="Battery Only",0,PVCalcs!AG116)</f>
        <v>-750</v>
      </c>
      <c r="AH116" s="144">
        <f>IF('PV IN'!$F$4="Battery Only",0,PVCalcs!AI116)</f>
        <v>0</v>
      </c>
      <c r="AI116" s="144">
        <f>IF('PV IN'!$F$4="PV Only",0,BattCalcs!BM116)</f>
        <v>0</v>
      </c>
      <c r="AJ116" s="144">
        <f>IF('PV IN'!$F$4="PV Only",0,SUM(BattCalcs!BO116:BT116))</f>
        <v>0</v>
      </c>
      <c r="AK116" s="144">
        <f>IF('PV IN'!$F$4="PV Only",PVCalcs!AH116,IF('PV IN'!$F$4="Battery Only",BattCalcs!BN116,PVCalcs!AH116+BattCalcs!BN116))</f>
        <v>-625</v>
      </c>
      <c r="AL116" s="144">
        <f>IF('PV IN'!$F$4="PV Only",0,BattCalcs!BV116)</f>
        <v>0</v>
      </c>
      <c r="AM116" s="144">
        <f>IF('PV IN'!$F$4="PV Only",0,SUM(BattCalcs!BW116:BX116))</f>
        <v>0</v>
      </c>
      <c r="AN116" s="144">
        <f>IF('PV IN'!$F$4="PV Only",0,BattCalcs!BY116)</f>
        <v>0</v>
      </c>
      <c r="AO116" s="144">
        <f>IF('PV IN'!$F$4="Battery Only",0,PVCalcs!U116)</f>
        <v>11349.245774903729</v>
      </c>
      <c r="AP116" s="10">
        <f>IF('PV IN'!$F$4="PV Only",0,BattCalcs!AS116)</f>
        <v>0</v>
      </c>
      <c r="AQ116" s="10">
        <f>IF('PV IN'!$F$4="PV Only",0,BattCalcs!AT116)</f>
        <v>0</v>
      </c>
      <c r="AR116" s="10">
        <f>IF('PV IN'!$F$4="PV Only",0,BattCalcs!AU116)</f>
        <v>0</v>
      </c>
      <c r="AS116" s="144">
        <f>IF('PV IN'!$F$4="PV Only",PVCalcs!X116,IF('PV IN'!$F$4="Battery Only",BattCalcs!AW116,PVCalcs!X116+BattCalcs!AW116))</f>
        <v>0</v>
      </c>
      <c r="AT116" s="144">
        <f>IF('PV IN'!$F$4="Battery Only",0,-PVCalcs!AQ116*'PV IN'!$E$8)</f>
        <v>0</v>
      </c>
      <c r="AU116" s="144">
        <f>IF('PV IN'!$F$4="PV Only",0,-BattCalcs!CG116*'PV IN'!$E$8)</f>
        <v>0</v>
      </c>
      <c r="AV116" s="144">
        <f>IF('PV IN'!$F$4="PV Only",PVCalcs!Z116+PVCalcs!AA116,IF('PV IN'!$F$4="Battery Only",SUM(BattCalcs!BC116:BH116),PVCalcs!Z116+PVCalcs!AA116+SUM(BattCalcs!BC116:BH116)))</f>
        <v>0</v>
      </c>
      <c r="AW116" s="144">
        <f>IF('PV IN'!$F$4="PV Only",SUM(PVCalcs!AF116:AI116),IF('PV IN'!$F$4="Battery Only",SUM(BattCalcs!BL116:BY116),SUM(PVCalcs!AF116:AI116)+SUM(BattCalcs!BL116:BY116)))</f>
        <v>-1375</v>
      </c>
      <c r="AX116" s="144">
        <f>IF('PV IN'!$F$4="Battery Only",0,-PVLoan!F144)</f>
        <v>0</v>
      </c>
      <c r="AY116" s="144">
        <f>IF('PV IN'!$F$4="PV Only",0,-BattLoan!F144)</f>
        <v>0</v>
      </c>
      <c r="AZ116" s="144">
        <f>IF('PV IN'!$F$4="Battery Only",0,-PVLoan!H144)</f>
        <v>0</v>
      </c>
      <c r="BA116" s="144">
        <f>IF('PV IN'!$F$4="PV Only",0,-BattLoan!H144)</f>
        <v>0</v>
      </c>
    </row>
    <row r="117" spans="1:88" x14ac:dyDescent="0.25">
      <c r="A117">
        <f>IF(C117&lt;='PV IN'!$O$22*12,C117,"")</f>
        <v>113</v>
      </c>
      <c r="C117">
        <v>113</v>
      </c>
      <c r="D117" s="2">
        <f>BattCalcs!CK117+PVCalcs!AT117</f>
        <v>12095.248446733989</v>
      </c>
      <c r="E117" s="20">
        <f>PVCalcs!AV117</f>
        <v>157775.39651068451</v>
      </c>
      <c r="F117" s="20">
        <f>PVCalcs!AW117</f>
        <v>7639.804184367601</v>
      </c>
      <c r="G117" s="20">
        <f>PVCalcs!AX117</f>
        <v>-175476.15556848177</v>
      </c>
      <c r="H117" s="20">
        <f>BattCalcs!CM117</f>
        <v>0</v>
      </c>
      <c r="I117" s="20">
        <f>BattCalcs!CN117</f>
        <v>0</v>
      </c>
      <c r="J117" s="20">
        <f>IF(C117&lt;='Batt IN'!H$43*12,BattCalcs!CO117,NA())</f>
        <v>0</v>
      </c>
      <c r="L117" s="20">
        <f t="shared" si="142"/>
        <v>7639.804184367601</v>
      </c>
      <c r="M117" s="20">
        <f>G117+BattCalcs!CO117</f>
        <v>-175476.15556848177</v>
      </c>
      <c r="O117" s="10">
        <f>PVLoan!G145</f>
        <v>0</v>
      </c>
      <c r="P117" s="10">
        <f>PVLoan!J145</f>
        <v>0</v>
      </c>
      <c r="Q117" s="2">
        <f>BattLoan!G145</f>
        <v>0</v>
      </c>
      <c r="R117" s="10">
        <f>BattLoan!J145</f>
        <v>0</v>
      </c>
      <c r="T117" s="33">
        <f>IF('PV IN'!$F$4="Battery Only",0,PVCalcs!G117)</f>
        <v>141524.52582155375</v>
      </c>
      <c r="U117" s="33">
        <f>IF('PV IN'!$F$4="Battery Only",0,PVCalcs!M117)</f>
        <v>141524.52582155375</v>
      </c>
      <c r="V117" s="33">
        <f>PVCalcs!L117</f>
        <v>25811.765833333331</v>
      </c>
      <c r="W117" s="158">
        <f>PVCalcs!F117</f>
        <v>8.0139322461707824E-2</v>
      </c>
      <c r="X117" s="144">
        <f>IF('PV IN'!$F$4="Battery Only",0,PVCalcs!Y117+PVCalcs!Z117)</f>
        <v>1839.8188356801986</v>
      </c>
      <c r="Y117" s="144">
        <f>IF('PV IN'!$F$4="PV Only",0,BattCalcs!AX117+BattCalcs!BC117)</f>
        <v>0</v>
      </c>
      <c r="Z117" s="144">
        <f>IF('PV IN'!$F$4="PV Only",0,BattCalcs!AY117+BattCalcs!BD117)</f>
        <v>0</v>
      </c>
      <c r="AA117" s="144">
        <f>IF('PV IN'!$F$4="PV Only",0,BattCalcs!AZ117+BattCalcs!BE117)</f>
        <v>0</v>
      </c>
      <c r="AB117" s="144">
        <f>IF('PV IN'!$F$4="PV Only",0,BattCalcs!BA117+BattCalcs!BF117)</f>
        <v>0</v>
      </c>
      <c r="AC117" s="144">
        <f>IF('PV IN'!$F$4="PV Only",0,BattCalcs!BB117+BattCalcs!BG117)</f>
        <v>0</v>
      </c>
      <c r="AD117" s="144">
        <f>IF('PV IN'!$F$4="PV Only",0,BattCalcs!BU117)</f>
        <v>0</v>
      </c>
      <c r="AE117" s="144">
        <f>IF('PV IN'!$F$4="PV Only",PVCalcs!W117+PVCalcs!AA117,IF('PV IN'!$F$4="Battery Only",BattCalcs!AV117+BattCalcs!BH117,PVCalcs!W117+PVCalcs!AA117+BattCalcs!AV117+BattCalcs!BH117))</f>
        <v>0</v>
      </c>
      <c r="AF117" s="10">
        <f>PVCalcs!AC117+BattCalcs!BJ117</f>
        <v>0</v>
      </c>
      <c r="AG117" s="144">
        <f>IF('PV IN'!$F$4="Battery Only",0,PVCalcs!AG117)</f>
        <v>-750</v>
      </c>
      <c r="AH117" s="144">
        <f>IF('PV IN'!$F$4="Battery Only",0,PVCalcs!AI117)</f>
        <v>0</v>
      </c>
      <c r="AI117" s="144">
        <f>IF('PV IN'!$F$4="PV Only",0,BattCalcs!BM117)</f>
        <v>0</v>
      </c>
      <c r="AJ117" s="144">
        <f>IF('PV IN'!$F$4="PV Only",0,SUM(BattCalcs!BO117:BT117))</f>
        <v>0</v>
      </c>
      <c r="AK117" s="144">
        <f>IF('PV IN'!$F$4="PV Only",PVCalcs!AH117,IF('PV IN'!$F$4="Battery Only",BattCalcs!BN117,PVCalcs!AH117+BattCalcs!BN117))</f>
        <v>-625</v>
      </c>
      <c r="AL117" s="144">
        <f>IF('PV IN'!$F$4="PV Only",0,BattCalcs!BV117)</f>
        <v>0</v>
      </c>
      <c r="AM117" s="144">
        <f>IF('PV IN'!$F$4="PV Only",0,SUM(BattCalcs!BW117:BX117))</f>
        <v>0</v>
      </c>
      <c r="AN117" s="144">
        <f>IF('PV IN'!$F$4="PV Only",0,BattCalcs!BY117)</f>
        <v>0</v>
      </c>
      <c r="AO117" s="144">
        <f>IF('PV IN'!$F$4="Battery Only",0,PVCalcs!U117)</f>
        <v>11341.679611053791</v>
      </c>
      <c r="AP117" s="10">
        <f>IF('PV IN'!$F$4="PV Only",0,BattCalcs!AS117)</f>
        <v>0</v>
      </c>
      <c r="AQ117" s="10">
        <f>IF('PV IN'!$F$4="PV Only",0,BattCalcs!AT117)</f>
        <v>0</v>
      </c>
      <c r="AR117" s="10">
        <f>IF('PV IN'!$F$4="PV Only",0,BattCalcs!AU117)</f>
        <v>0</v>
      </c>
      <c r="AS117" s="144">
        <f>IF('PV IN'!$F$4="PV Only",PVCalcs!X117,IF('PV IN'!$F$4="Battery Only",BattCalcs!AW117,PVCalcs!X117+BattCalcs!AW117))</f>
        <v>0</v>
      </c>
      <c r="AT117" s="144">
        <f>IF('PV IN'!$F$4="Battery Only",0,-PVCalcs!AQ117*'PV IN'!$E$8)</f>
        <v>0</v>
      </c>
      <c r="AU117" s="144">
        <f>IF('PV IN'!$F$4="PV Only",0,-BattCalcs!CG117*'PV IN'!$E$8)</f>
        <v>0</v>
      </c>
      <c r="AV117" s="144">
        <f>IF('PV IN'!$F$4="PV Only",PVCalcs!Z117+PVCalcs!AA117,IF('PV IN'!$F$4="Battery Only",SUM(BattCalcs!BC117:BH117),PVCalcs!Z117+PVCalcs!AA117+SUM(BattCalcs!BC117:BH117)))</f>
        <v>0</v>
      </c>
      <c r="AW117" s="144">
        <f>IF('PV IN'!$F$4="PV Only",SUM(PVCalcs!AF117:AI117),IF('PV IN'!$F$4="Battery Only",SUM(BattCalcs!BL117:BY117),SUM(PVCalcs!AF117:AI117)+SUM(BattCalcs!BL117:BY117)))</f>
        <v>-1375</v>
      </c>
      <c r="AX117" s="144">
        <f>IF('PV IN'!$F$4="Battery Only",0,-PVLoan!F145)</f>
        <v>0</v>
      </c>
      <c r="AY117" s="144">
        <f>IF('PV IN'!$F$4="PV Only",0,-BattLoan!F145)</f>
        <v>0</v>
      </c>
      <c r="AZ117" s="144">
        <f>IF('PV IN'!$F$4="Battery Only",0,-PVLoan!H145)</f>
        <v>0</v>
      </c>
      <c r="BA117" s="144">
        <f>IF('PV IN'!$F$4="PV Only",0,-BattLoan!H145)</f>
        <v>0</v>
      </c>
    </row>
    <row r="118" spans="1:88" x14ac:dyDescent="0.25">
      <c r="A118">
        <f>IF(C118&lt;='PV IN'!$O$22*12,C118,"")</f>
        <v>114</v>
      </c>
      <c r="C118">
        <v>114</v>
      </c>
      <c r="D118" s="2">
        <f>BattCalcs!CK118+PVCalcs!AT118</f>
        <v>12086.460781102835</v>
      </c>
      <c r="E118" s="20">
        <f>PVCalcs!AV118</f>
        <v>169861.85729178734</v>
      </c>
      <c r="F118" s="20">
        <f>PVCalcs!AW118</f>
        <v>7603.2768800816211</v>
      </c>
      <c r="G118" s="20">
        <f>PVCalcs!AX118</f>
        <v>-167872.87868840015</v>
      </c>
      <c r="H118" s="20">
        <f>BattCalcs!CM118</f>
        <v>0</v>
      </c>
      <c r="I118" s="20">
        <f>BattCalcs!CN118</f>
        <v>0</v>
      </c>
      <c r="J118" s="20">
        <f>IF(C118&lt;='Batt IN'!H$43*12,BattCalcs!CO118,NA())</f>
        <v>0</v>
      </c>
      <c r="L118" s="20">
        <f t="shared" si="142"/>
        <v>7603.2768800816211</v>
      </c>
      <c r="M118" s="20">
        <f>G118+BattCalcs!CO118</f>
        <v>-167872.87868840015</v>
      </c>
      <c r="O118" s="10">
        <f>PVLoan!G146</f>
        <v>0</v>
      </c>
      <c r="P118" s="10">
        <f>PVLoan!J146</f>
        <v>0</v>
      </c>
      <c r="Q118" s="2">
        <f>BattLoan!G146</f>
        <v>0</v>
      </c>
      <c r="R118" s="10">
        <f>BattLoan!J146</f>
        <v>0</v>
      </c>
      <c r="T118" s="33">
        <f>IF('PV IN'!$F$4="Battery Only",0,PVCalcs!G118)</f>
        <v>141430.17613767271</v>
      </c>
      <c r="U118" s="33">
        <f>IF('PV IN'!$F$4="Battery Only",0,PVCalcs!M118)</f>
        <v>141430.17613767271</v>
      </c>
      <c r="V118" s="33">
        <f>PVCalcs!L118</f>
        <v>25811.765833333331</v>
      </c>
      <c r="W118" s="158">
        <f>PVCalcs!F118</f>
        <v>8.0139322461707824E-2</v>
      </c>
      <c r="X118" s="144">
        <f>IF('PV IN'!$F$4="Battery Only",0,PVCalcs!Y118+PVCalcs!Z118)</f>
        <v>1838.5922897897451</v>
      </c>
      <c r="Y118" s="144">
        <f>IF('PV IN'!$F$4="PV Only",0,BattCalcs!AX118+BattCalcs!BC118)</f>
        <v>0</v>
      </c>
      <c r="Z118" s="144">
        <f>IF('PV IN'!$F$4="PV Only",0,BattCalcs!AY118+BattCalcs!BD118)</f>
        <v>0</v>
      </c>
      <c r="AA118" s="144">
        <f>IF('PV IN'!$F$4="PV Only",0,BattCalcs!AZ118+BattCalcs!BE118)</f>
        <v>0</v>
      </c>
      <c r="AB118" s="144">
        <f>IF('PV IN'!$F$4="PV Only",0,BattCalcs!BA118+BattCalcs!BF118)</f>
        <v>0</v>
      </c>
      <c r="AC118" s="144">
        <f>IF('PV IN'!$F$4="PV Only",0,BattCalcs!BB118+BattCalcs!BG118)</f>
        <v>0</v>
      </c>
      <c r="AD118" s="144">
        <f>IF('PV IN'!$F$4="PV Only",0,BattCalcs!BU118)</f>
        <v>0</v>
      </c>
      <c r="AE118" s="144">
        <f>IF('PV IN'!$F$4="PV Only",PVCalcs!W118+PVCalcs!AA118,IF('PV IN'!$F$4="Battery Only",BattCalcs!AV118+BattCalcs!BH118,PVCalcs!W118+PVCalcs!AA118+BattCalcs!AV118+BattCalcs!BH118))</f>
        <v>0</v>
      </c>
      <c r="AF118" s="10">
        <f>PVCalcs!AC118+BattCalcs!BJ118</f>
        <v>0</v>
      </c>
      <c r="AG118" s="144">
        <f>IF('PV IN'!$F$4="Battery Only",0,PVCalcs!AG118)</f>
        <v>-750</v>
      </c>
      <c r="AH118" s="144">
        <f>IF('PV IN'!$F$4="Battery Only",0,PVCalcs!AI118)</f>
        <v>0</v>
      </c>
      <c r="AI118" s="144">
        <f>IF('PV IN'!$F$4="PV Only",0,BattCalcs!BM118)</f>
        <v>0</v>
      </c>
      <c r="AJ118" s="144">
        <f>IF('PV IN'!$F$4="PV Only",0,SUM(BattCalcs!BO118:BT118))</f>
        <v>0</v>
      </c>
      <c r="AK118" s="144">
        <f>IF('PV IN'!$F$4="PV Only",PVCalcs!AH118,IF('PV IN'!$F$4="Battery Only",BattCalcs!BN118,PVCalcs!AH118+BattCalcs!BN118))</f>
        <v>-625</v>
      </c>
      <c r="AL118" s="144">
        <f>IF('PV IN'!$F$4="PV Only",0,BattCalcs!BV118)</f>
        <v>0</v>
      </c>
      <c r="AM118" s="144">
        <f>IF('PV IN'!$F$4="PV Only",0,SUM(BattCalcs!BW118:BX118))</f>
        <v>0</v>
      </c>
      <c r="AN118" s="144">
        <f>IF('PV IN'!$F$4="PV Only",0,BattCalcs!BY118)</f>
        <v>0</v>
      </c>
      <c r="AO118" s="144">
        <f>IF('PV IN'!$F$4="Battery Only",0,PVCalcs!U118)</f>
        <v>11334.118491313089</v>
      </c>
      <c r="AP118" s="10">
        <f>IF('PV IN'!$F$4="PV Only",0,BattCalcs!AS118)</f>
        <v>0</v>
      </c>
      <c r="AQ118" s="10">
        <f>IF('PV IN'!$F$4="PV Only",0,BattCalcs!AT118)</f>
        <v>0</v>
      </c>
      <c r="AR118" s="10">
        <f>IF('PV IN'!$F$4="PV Only",0,BattCalcs!AU118)</f>
        <v>0</v>
      </c>
      <c r="AS118" s="144">
        <f>IF('PV IN'!$F$4="PV Only",PVCalcs!X118,IF('PV IN'!$F$4="Battery Only",BattCalcs!AW118,PVCalcs!X118+BattCalcs!AW118))</f>
        <v>0</v>
      </c>
      <c r="AT118" s="144">
        <f>IF('PV IN'!$F$4="Battery Only",0,-PVCalcs!AQ118*'PV IN'!$E$8)</f>
        <v>0</v>
      </c>
      <c r="AU118" s="144">
        <f>IF('PV IN'!$F$4="PV Only",0,-BattCalcs!CG118*'PV IN'!$E$8)</f>
        <v>0</v>
      </c>
      <c r="AV118" s="144">
        <f>IF('PV IN'!$F$4="PV Only",PVCalcs!Z118+PVCalcs!AA118,IF('PV IN'!$F$4="Battery Only",SUM(BattCalcs!BC118:BH118),PVCalcs!Z118+PVCalcs!AA118+SUM(BattCalcs!BC118:BH118)))</f>
        <v>0</v>
      </c>
      <c r="AW118" s="144">
        <f>IF('PV IN'!$F$4="PV Only",SUM(PVCalcs!AF118:AI118),IF('PV IN'!$F$4="Battery Only",SUM(BattCalcs!BL118:BY118),SUM(PVCalcs!AF118:AI118)+SUM(BattCalcs!BL118:BY118)))</f>
        <v>-1375</v>
      </c>
      <c r="AX118" s="144">
        <f>IF('PV IN'!$F$4="Battery Only",0,-PVLoan!F146)</f>
        <v>0</v>
      </c>
      <c r="AY118" s="144">
        <f>IF('PV IN'!$F$4="PV Only",0,-BattLoan!F146)</f>
        <v>0</v>
      </c>
      <c r="AZ118" s="144">
        <f>IF('PV IN'!$F$4="Battery Only",0,-PVLoan!H146)</f>
        <v>0</v>
      </c>
      <c r="BA118" s="144">
        <f>IF('PV IN'!$F$4="PV Only",0,-BattLoan!H146)</f>
        <v>0</v>
      </c>
    </row>
    <row r="119" spans="1:88" x14ac:dyDescent="0.25">
      <c r="A119">
        <f>IF(C119&lt;='PV IN'!$O$22*12,C119,"")</f>
        <v>115</v>
      </c>
      <c r="C119">
        <v>115</v>
      </c>
      <c r="D119" s="2">
        <f>BattCalcs!CK119+PVCalcs!AT119</f>
        <v>12077.678973915434</v>
      </c>
      <c r="E119" s="20">
        <f>PVCalcs!AV119</f>
        <v>181939.53626570277</v>
      </c>
      <c r="F119" s="20">
        <f>PVCalcs!AW119</f>
        <v>7566.9238898985213</v>
      </c>
      <c r="G119" s="20">
        <f>PVCalcs!AX119</f>
        <v>-160305.95479850163</v>
      </c>
      <c r="H119" s="20">
        <f>BattCalcs!CM119</f>
        <v>0</v>
      </c>
      <c r="I119" s="20">
        <f>BattCalcs!CN119</f>
        <v>0</v>
      </c>
      <c r="J119" s="20">
        <f>IF(C119&lt;='Batt IN'!H$43*12,BattCalcs!CO119,NA())</f>
        <v>0</v>
      </c>
      <c r="L119" s="20">
        <f t="shared" si="142"/>
        <v>7566.9238898985213</v>
      </c>
      <c r="M119" s="20">
        <f>G119+BattCalcs!CO119</f>
        <v>-160305.95479850163</v>
      </c>
      <c r="O119" s="10">
        <f>PVLoan!G147</f>
        <v>0</v>
      </c>
      <c r="P119" s="10">
        <f>PVLoan!J147</f>
        <v>0</v>
      </c>
      <c r="Q119" s="2">
        <f>BattLoan!G147</f>
        <v>0</v>
      </c>
      <c r="R119" s="10">
        <f>BattLoan!J147</f>
        <v>0</v>
      </c>
      <c r="T119" s="33">
        <f>IF('PV IN'!$F$4="Battery Only",0,PVCalcs!G119)</f>
        <v>141335.88935358095</v>
      </c>
      <c r="U119" s="33">
        <f>IF('PV IN'!$F$4="Battery Only",0,PVCalcs!M119)</f>
        <v>141335.88935358095</v>
      </c>
      <c r="V119" s="33">
        <f>PVCalcs!L119</f>
        <v>25811.765833333331</v>
      </c>
      <c r="W119" s="158">
        <f>PVCalcs!F119</f>
        <v>8.0139322461707824E-2</v>
      </c>
      <c r="X119" s="144">
        <f>IF('PV IN'!$F$4="Battery Only",0,PVCalcs!Y119+PVCalcs!Z119)</f>
        <v>1837.3665615965524</v>
      </c>
      <c r="Y119" s="144">
        <f>IF('PV IN'!$F$4="PV Only",0,BattCalcs!AX119+BattCalcs!BC119)</f>
        <v>0</v>
      </c>
      <c r="Z119" s="144">
        <f>IF('PV IN'!$F$4="PV Only",0,BattCalcs!AY119+BattCalcs!BD119)</f>
        <v>0</v>
      </c>
      <c r="AA119" s="144">
        <f>IF('PV IN'!$F$4="PV Only",0,BattCalcs!AZ119+BattCalcs!BE119)</f>
        <v>0</v>
      </c>
      <c r="AB119" s="144">
        <f>IF('PV IN'!$F$4="PV Only",0,BattCalcs!BA119+BattCalcs!BF119)</f>
        <v>0</v>
      </c>
      <c r="AC119" s="144">
        <f>IF('PV IN'!$F$4="PV Only",0,BattCalcs!BB119+BattCalcs!BG119)</f>
        <v>0</v>
      </c>
      <c r="AD119" s="144">
        <f>IF('PV IN'!$F$4="PV Only",0,BattCalcs!BU119)</f>
        <v>0</v>
      </c>
      <c r="AE119" s="144">
        <f>IF('PV IN'!$F$4="PV Only",PVCalcs!W119+PVCalcs!AA119,IF('PV IN'!$F$4="Battery Only",BattCalcs!AV119+BattCalcs!BH119,PVCalcs!W119+PVCalcs!AA119+BattCalcs!AV119+BattCalcs!BH119))</f>
        <v>0</v>
      </c>
      <c r="AF119" s="10">
        <f>PVCalcs!AC119+BattCalcs!BJ119</f>
        <v>0</v>
      </c>
      <c r="AG119" s="144">
        <f>IF('PV IN'!$F$4="Battery Only",0,PVCalcs!AG119)</f>
        <v>-750</v>
      </c>
      <c r="AH119" s="144">
        <f>IF('PV IN'!$F$4="Battery Only",0,PVCalcs!AI119)</f>
        <v>0</v>
      </c>
      <c r="AI119" s="144">
        <f>IF('PV IN'!$F$4="PV Only",0,BattCalcs!BM119)</f>
        <v>0</v>
      </c>
      <c r="AJ119" s="144">
        <f>IF('PV IN'!$F$4="PV Only",0,SUM(BattCalcs!BO119:BT119))</f>
        <v>0</v>
      </c>
      <c r="AK119" s="144">
        <f>IF('PV IN'!$F$4="PV Only",PVCalcs!AH119,IF('PV IN'!$F$4="Battery Only",BattCalcs!BN119,PVCalcs!AH119+BattCalcs!BN119))</f>
        <v>-625</v>
      </c>
      <c r="AL119" s="144">
        <f>IF('PV IN'!$F$4="PV Only",0,BattCalcs!BV119)</f>
        <v>0</v>
      </c>
      <c r="AM119" s="144">
        <f>IF('PV IN'!$F$4="PV Only",0,SUM(BattCalcs!BW119:BX119))</f>
        <v>0</v>
      </c>
      <c r="AN119" s="144">
        <f>IF('PV IN'!$F$4="PV Only",0,BattCalcs!BY119)</f>
        <v>0</v>
      </c>
      <c r="AO119" s="144">
        <f>IF('PV IN'!$F$4="Battery Only",0,PVCalcs!U119)</f>
        <v>11326.562412318881</v>
      </c>
      <c r="AP119" s="10">
        <f>IF('PV IN'!$F$4="PV Only",0,BattCalcs!AS119)</f>
        <v>0</v>
      </c>
      <c r="AQ119" s="10">
        <f>IF('PV IN'!$F$4="PV Only",0,BattCalcs!AT119)</f>
        <v>0</v>
      </c>
      <c r="AR119" s="10">
        <f>IF('PV IN'!$F$4="PV Only",0,BattCalcs!AU119)</f>
        <v>0</v>
      </c>
      <c r="AS119" s="144">
        <f>IF('PV IN'!$F$4="PV Only",PVCalcs!X119,IF('PV IN'!$F$4="Battery Only",BattCalcs!AW119,PVCalcs!X119+BattCalcs!AW119))</f>
        <v>0</v>
      </c>
      <c r="AT119" s="144">
        <f>IF('PV IN'!$F$4="Battery Only",0,-PVCalcs!AQ119*'PV IN'!$E$8)</f>
        <v>0</v>
      </c>
      <c r="AU119" s="144">
        <f>IF('PV IN'!$F$4="PV Only",0,-BattCalcs!CG119*'PV IN'!$E$8)</f>
        <v>0</v>
      </c>
      <c r="AV119" s="144">
        <f>IF('PV IN'!$F$4="PV Only",PVCalcs!Z119+PVCalcs!AA119,IF('PV IN'!$F$4="Battery Only",SUM(BattCalcs!BC119:BH119),PVCalcs!Z119+PVCalcs!AA119+SUM(BattCalcs!BC119:BH119)))</f>
        <v>0</v>
      </c>
      <c r="AW119" s="144">
        <f>IF('PV IN'!$F$4="PV Only",SUM(PVCalcs!AF119:AI119),IF('PV IN'!$F$4="Battery Only",SUM(BattCalcs!BL119:BY119),SUM(PVCalcs!AF119:AI119)+SUM(BattCalcs!BL119:BY119)))</f>
        <v>-1375</v>
      </c>
      <c r="AX119" s="144">
        <f>IF('PV IN'!$F$4="Battery Only",0,-PVLoan!F147)</f>
        <v>0</v>
      </c>
      <c r="AY119" s="144">
        <f>IF('PV IN'!$F$4="PV Only",0,-BattLoan!F147)</f>
        <v>0</v>
      </c>
      <c r="AZ119" s="144">
        <f>IF('PV IN'!$F$4="Battery Only",0,-PVLoan!H147)</f>
        <v>0</v>
      </c>
      <c r="BA119" s="144">
        <f>IF('PV IN'!$F$4="PV Only",0,-BattLoan!H147)</f>
        <v>0</v>
      </c>
    </row>
    <row r="120" spans="1:88" x14ac:dyDescent="0.25">
      <c r="A120">
        <f>IF(C120&lt;='PV IN'!$O$22*12,C120,"")</f>
        <v>116</v>
      </c>
      <c r="C120">
        <v>116</v>
      </c>
      <c r="D120" s="2">
        <f>BattCalcs!CK120+PVCalcs!AT120</f>
        <v>12068.903021266155</v>
      </c>
      <c r="E120" s="20">
        <f>PVCalcs!AV120</f>
        <v>194008.43928696893</v>
      </c>
      <c r="F120" s="20">
        <f>PVCalcs!AW120</f>
        <v>7530.7443832845283</v>
      </c>
      <c r="G120" s="20">
        <f>PVCalcs!AX120</f>
        <v>-152775.21041521709</v>
      </c>
      <c r="H120" s="20">
        <f>BattCalcs!CM120</f>
        <v>0</v>
      </c>
      <c r="I120" s="20">
        <f>BattCalcs!CN120</f>
        <v>0</v>
      </c>
      <c r="J120" s="20">
        <f>IF(C120&lt;='Batt IN'!H$43*12,BattCalcs!CO120,NA())</f>
        <v>0</v>
      </c>
      <c r="L120" s="20">
        <f t="shared" si="142"/>
        <v>7530.7443832845283</v>
      </c>
      <c r="M120" s="20">
        <f>G120+BattCalcs!CO120</f>
        <v>-152775.21041521709</v>
      </c>
      <c r="O120" s="10">
        <f>PVLoan!G148</f>
        <v>0</v>
      </c>
      <c r="P120" s="10">
        <f>PVLoan!J148</f>
        <v>0</v>
      </c>
      <c r="Q120" s="2">
        <f>BattLoan!G148</f>
        <v>0</v>
      </c>
      <c r="R120" s="10">
        <f>BattLoan!J148</f>
        <v>0</v>
      </c>
      <c r="T120" s="33">
        <f>IF('PV IN'!$F$4="Battery Only",0,PVCalcs!G120)</f>
        <v>141241.6654273452</v>
      </c>
      <c r="U120" s="33">
        <f>IF('PV IN'!$F$4="Battery Only",0,PVCalcs!M120)</f>
        <v>141241.6654273452</v>
      </c>
      <c r="V120" s="33">
        <f>PVCalcs!L120</f>
        <v>25811.765833333331</v>
      </c>
      <c r="W120" s="158">
        <f>PVCalcs!F120</f>
        <v>8.0139322461707824E-2</v>
      </c>
      <c r="X120" s="144">
        <f>IF('PV IN'!$F$4="Battery Only",0,PVCalcs!Y120+PVCalcs!Z120)</f>
        <v>1836.1416505554878</v>
      </c>
      <c r="Y120" s="144">
        <f>IF('PV IN'!$F$4="PV Only",0,BattCalcs!AX120+BattCalcs!BC120)</f>
        <v>0</v>
      </c>
      <c r="Z120" s="144">
        <f>IF('PV IN'!$F$4="PV Only",0,BattCalcs!AY120+BattCalcs!BD120)</f>
        <v>0</v>
      </c>
      <c r="AA120" s="144">
        <f>IF('PV IN'!$F$4="PV Only",0,BattCalcs!AZ120+BattCalcs!BE120)</f>
        <v>0</v>
      </c>
      <c r="AB120" s="144">
        <f>IF('PV IN'!$F$4="PV Only",0,BattCalcs!BA120+BattCalcs!BF120)</f>
        <v>0</v>
      </c>
      <c r="AC120" s="144">
        <f>IF('PV IN'!$F$4="PV Only",0,BattCalcs!BB120+BattCalcs!BG120)</f>
        <v>0</v>
      </c>
      <c r="AD120" s="144">
        <f>IF('PV IN'!$F$4="PV Only",0,BattCalcs!BU120)</f>
        <v>0</v>
      </c>
      <c r="AE120" s="144">
        <f>IF('PV IN'!$F$4="PV Only",PVCalcs!W120+PVCalcs!AA120,IF('PV IN'!$F$4="Battery Only",BattCalcs!AV120+BattCalcs!BH120,PVCalcs!W120+PVCalcs!AA120+BattCalcs!AV120+BattCalcs!BH120))</f>
        <v>0</v>
      </c>
      <c r="AF120" s="10">
        <f>PVCalcs!AC120+BattCalcs!BJ120</f>
        <v>0</v>
      </c>
      <c r="AG120" s="144">
        <f>IF('PV IN'!$F$4="Battery Only",0,PVCalcs!AG120)</f>
        <v>-750</v>
      </c>
      <c r="AH120" s="144">
        <f>IF('PV IN'!$F$4="Battery Only",0,PVCalcs!AI120)</f>
        <v>0</v>
      </c>
      <c r="AI120" s="144">
        <f>IF('PV IN'!$F$4="PV Only",0,BattCalcs!BM120)</f>
        <v>0</v>
      </c>
      <c r="AJ120" s="144">
        <f>IF('PV IN'!$F$4="PV Only",0,SUM(BattCalcs!BO120:BT120))</f>
        <v>0</v>
      </c>
      <c r="AK120" s="144">
        <f>IF('PV IN'!$F$4="PV Only",PVCalcs!AH120,IF('PV IN'!$F$4="Battery Only",BattCalcs!BN120,PVCalcs!AH120+BattCalcs!BN120))</f>
        <v>-625</v>
      </c>
      <c r="AL120" s="144">
        <f>IF('PV IN'!$F$4="PV Only",0,BattCalcs!BV120)</f>
        <v>0</v>
      </c>
      <c r="AM120" s="144">
        <f>IF('PV IN'!$F$4="PV Only",0,SUM(BattCalcs!BW120:BX120))</f>
        <v>0</v>
      </c>
      <c r="AN120" s="144">
        <f>IF('PV IN'!$F$4="PV Only",0,BattCalcs!BY120)</f>
        <v>0</v>
      </c>
      <c r="AO120" s="144">
        <f>IF('PV IN'!$F$4="Battery Only",0,PVCalcs!U120)</f>
        <v>11319.011370710667</v>
      </c>
      <c r="AP120" s="10">
        <f>IF('PV IN'!$F$4="PV Only",0,BattCalcs!AS120)</f>
        <v>0</v>
      </c>
      <c r="AQ120" s="10">
        <f>IF('PV IN'!$F$4="PV Only",0,BattCalcs!AT120)</f>
        <v>0</v>
      </c>
      <c r="AR120" s="10">
        <f>IF('PV IN'!$F$4="PV Only",0,BattCalcs!AU120)</f>
        <v>0</v>
      </c>
      <c r="AS120" s="144">
        <f>IF('PV IN'!$F$4="PV Only",PVCalcs!X120,IF('PV IN'!$F$4="Battery Only",BattCalcs!AW120,PVCalcs!X120+BattCalcs!AW120))</f>
        <v>0</v>
      </c>
      <c r="AT120" s="144">
        <f>IF('PV IN'!$F$4="Battery Only",0,-PVCalcs!AQ120*'PV IN'!$E$8)</f>
        <v>0</v>
      </c>
      <c r="AU120" s="144">
        <f>IF('PV IN'!$F$4="PV Only",0,-BattCalcs!CG120*'PV IN'!$E$8)</f>
        <v>0</v>
      </c>
      <c r="AV120" s="144">
        <f>IF('PV IN'!$F$4="PV Only",PVCalcs!Z120+PVCalcs!AA120,IF('PV IN'!$F$4="Battery Only",SUM(BattCalcs!BC120:BH120),PVCalcs!Z120+PVCalcs!AA120+SUM(BattCalcs!BC120:BH120)))</f>
        <v>0</v>
      </c>
      <c r="AW120" s="144">
        <f>IF('PV IN'!$F$4="PV Only",SUM(PVCalcs!AF120:AI120),IF('PV IN'!$F$4="Battery Only",SUM(BattCalcs!BL120:BY120),SUM(PVCalcs!AF120:AI120)+SUM(BattCalcs!BL120:BY120)))</f>
        <v>-1375</v>
      </c>
      <c r="AX120" s="144">
        <f>IF('PV IN'!$F$4="Battery Only",0,-PVLoan!F148)</f>
        <v>0</v>
      </c>
      <c r="AY120" s="144">
        <f>IF('PV IN'!$F$4="PV Only",0,-BattLoan!F148)</f>
        <v>0</v>
      </c>
      <c r="AZ120" s="144">
        <f>IF('PV IN'!$F$4="Battery Only",0,-PVLoan!H148)</f>
        <v>0</v>
      </c>
      <c r="BA120" s="144">
        <f>IF('PV IN'!$F$4="PV Only",0,-BattLoan!H148)</f>
        <v>0</v>
      </c>
    </row>
    <row r="121" spans="1:88" x14ac:dyDescent="0.25">
      <c r="A121">
        <f>IF(C121&lt;='PV IN'!$O$22*12,C121,"")</f>
        <v>117</v>
      </c>
      <c r="C121">
        <v>117</v>
      </c>
      <c r="D121" s="2">
        <f>BattCalcs!CK121+PVCalcs!AT121</f>
        <v>12060.132919251975</v>
      </c>
      <c r="E121" s="20">
        <f>PVCalcs!AV121</f>
        <v>206068.57220622091</v>
      </c>
      <c r="F121" s="20">
        <f>PVCalcs!AW121</f>
        <v>7494.7375336577234</v>
      </c>
      <c r="G121" s="20">
        <f>PVCalcs!AX121</f>
        <v>-145280.47288155937</v>
      </c>
      <c r="H121" s="20">
        <f>BattCalcs!CM121</f>
        <v>0</v>
      </c>
      <c r="I121" s="20">
        <f>BattCalcs!CN121</f>
        <v>0</v>
      </c>
      <c r="J121" s="20">
        <f>IF(C121&lt;='Batt IN'!H$43*12,BattCalcs!CO121,NA())</f>
        <v>0</v>
      </c>
      <c r="L121" s="20">
        <f t="shared" si="142"/>
        <v>7494.7375336577234</v>
      </c>
      <c r="M121" s="20">
        <f>G121+BattCalcs!CO121</f>
        <v>-145280.47288155937</v>
      </c>
      <c r="O121" s="10">
        <f>PVLoan!G149</f>
        <v>0</v>
      </c>
      <c r="P121" s="10">
        <f>PVLoan!J149</f>
        <v>0</v>
      </c>
      <c r="Q121" s="2">
        <f>BattLoan!G149</f>
        <v>0</v>
      </c>
      <c r="R121" s="10">
        <f>BattLoan!J149</f>
        <v>0</v>
      </c>
      <c r="T121" s="33">
        <f>IF('PV IN'!$F$4="Battery Only",0,PVCalcs!G121)</f>
        <v>141147.50431706029</v>
      </c>
      <c r="U121" s="33">
        <f>IF('PV IN'!$F$4="Battery Only",0,PVCalcs!M121)</f>
        <v>141147.50431706029</v>
      </c>
      <c r="V121" s="33">
        <f>PVCalcs!L121</f>
        <v>25811.765833333331</v>
      </c>
      <c r="W121" s="158">
        <f>PVCalcs!F121</f>
        <v>8.0139322461707824E-2</v>
      </c>
      <c r="X121" s="144">
        <f>IF('PV IN'!$F$4="Battery Only",0,PVCalcs!Y121+PVCalcs!Z121)</f>
        <v>1834.9175561217837</v>
      </c>
      <c r="Y121" s="144">
        <f>IF('PV IN'!$F$4="PV Only",0,BattCalcs!AX121+BattCalcs!BC121)</f>
        <v>0</v>
      </c>
      <c r="Z121" s="144">
        <f>IF('PV IN'!$F$4="PV Only",0,BattCalcs!AY121+BattCalcs!BD121)</f>
        <v>0</v>
      </c>
      <c r="AA121" s="144">
        <f>IF('PV IN'!$F$4="PV Only",0,BattCalcs!AZ121+BattCalcs!BE121)</f>
        <v>0</v>
      </c>
      <c r="AB121" s="144">
        <f>IF('PV IN'!$F$4="PV Only",0,BattCalcs!BA121+BattCalcs!BF121)</f>
        <v>0</v>
      </c>
      <c r="AC121" s="144">
        <f>IF('PV IN'!$F$4="PV Only",0,BattCalcs!BB121+BattCalcs!BG121)</f>
        <v>0</v>
      </c>
      <c r="AD121" s="144">
        <f>IF('PV IN'!$F$4="PV Only",0,BattCalcs!BU121)</f>
        <v>0</v>
      </c>
      <c r="AE121" s="144">
        <f>IF('PV IN'!$F$4="PV Only",PVCalcs!W121+PVCalcs!AA121,IF('PV IN'!$F$4="Battery Only",BattCalcs!AV121+BattCalcs!BH121,PVCalcs!W121+PVCalcs!AA121+BattCalcs!AV121+BattCalcs!BH121))</f>
        <v>0</v>
      </c>
      <c r="AF121" s="10">
        <f>PVCalcs!AC121+BattCalcs!BJ121</f>
        <v>0</v>
      </c>
      <c r="AG121" s="144">
        <f>IF('PV IN'!$F$4="Battery Only",0,PVCalcs!AG121)</f>
        <v>-750</v>
      </c>
      <c r="AH121" s="144">
        <f>IF('PV IN'!$F$4="Battery Only",0,PVCalcs!AI121)</f>
        <v>0</v>
      </c>
      <c r="AI121" s="144">
        <f>IF('PV IN'!$F$4="PV Only",0,BattCalcs!BM121)</f>
        <v>0</v>
      </c>
      <c r="AJ121" s="144">
        <f>IF('PV IN'!$F$4="PV Only",0,SUM(BattCalcs!BO121:BT121))</f>
        <v>0</v>
      </c>
      <c r="AK121" s="144">
        <f>IF('PV IN'!$F$4="PV Only",PVCalcs!AH121,IF('PV IN'!$F$4="Battery Only",BattCalcs!BN121,PVCalcs!AH121+BattCalcs!BN121))</f>
        <v>-625</v>
      </c>
      <c r="AL121" s="144">
        <f>IF('PV IN'!$F$4="PV Only",0,BattCalcs!BV121)</f>
        <v>0</v>
      </c>
      <c r="AM121" s="144">
        <f>IF('PV IN'!$F$4="PV Only",0,SUM(BattCalcs!BW121:BX121))</f>
        <v>0</v>
      </c>
      <c r="AN121" s="144">
        <f>IF('PV IN'!$F$4="PV Only",0,BattCalcs!BY121)</f>
        <v>0</v>
      </c>
      <c r="AO121" s="144">
        <f>IF('PV IN'!$F$4="Battery Only",0,PVCalcs!U121)</f>
        <v>11311.465363130192</v>
      </c>
      <c r="AP121" s="10">
        <f>IF('PV IN'!$F$4="PV Only",0,BattCalcs!AS121)</f>
        <v>0</v>
      </c>
      <c r="AQ121" s="10">
        <f>IF('PV IN'!$F$4="PV Only",0,BattCalcs!AT121)</f>
        <v>0</v>
      </c>
      <c r="AR121" s="10">
        <f>IF('PV IN'!$F$4="PV Only",0,BattCalcs!AU121)</f>
        <v>0</v>
      </c>
      <c r="AS121" s="144">
        <f>IF('PV IN'!$F$4="PV Only",PVCalcs!X121,IF('PV IN'!$F$4="Battery Only",BattCalcs!AW121,PVCalcs!X121+BattCalcs!AW121))</f>
        <v>0</v>
      </c>
      <c r="AT121" s="144">
        <f>IF('PV IN'!$F$4="Battery Only",0,-PVCalcs!AQ121*'PV IN'!$E$8)</f>
        <v>0</v>
      </c>
      <c r="AU121" s="144">
        <f>IF('PV IN'!$F$4="PV Only",0,-BattCalcs!CG121*'PV IN'!$E$8)</f>
        <v>0</v>
      </c>
      <c r="AV121" s="144">
        <f>IF('PV IN'!$F$4="PV Only",PVCalcs!Z121+PVCalcs!AA121,IF('PV IN'!$F$4="Battery Only",SUM(BattCalcs!BC121:BH121),PVCalcs!Z121+PVCalcs!AA121+SUM(BattCalcs!BC121:BH121)))</f>
        <v>0</v>
      </c>
      <c r="AW121" s="144">
        <f>IF('PV IN'!$F$4="PV Only",SUM(PVCalcs!AF121:AI121),IF('PV IN'!$F$4="Battery Only",SUM(BattCalcs!BL121:BY121),SUM(PVCalcs!AF121:AI121)+SUM(BattCalcs!BL121:BY121)))</f>
        <v>-1375</v>
      </c>
      <c r="AX121" s="144">
        <f>IF('PV IN'!$F$4="Battery Only",0,-PVLoan!F149)</f>
        <v>0</v>
      </c>
      <c r="AY121" s="144">
        <f>IF('PV IN'!$F$4="PV Only",0,-BattLoan!F149)</f>
        <v>0</v>
      </c>
      <c r="AZ121" s="144">
        <f>IF('PV IN'!$F$4="Battery Only",0,-PVLoan!H149)</f>
        <v>0</v>
      </c>
      <c r="BA121" s="144">
        <f>IF('PV IN'!$F$4="PV Only",0,-BattLoan!H149)</f>
        <v>0</v>
      </c>
    </row>
    <row r="122" spans="1:88" x14ac:dyDescent="0.25">
      <c r="A122">
        <f>IF(C122&lt;='PV IN'!$O$22*12,C122,"")</f>
        <v>118</v>
      </c>
      <c r="C122">
        <v>118</v>
      </c>
      <c r="D122" s="2">
        <f>BattCalcs!CK122+PVCalcs!AT122</f>
        <v>12051.368663972473</v>
      </c>
      <c r="E122" s="20">
        <f>PVCalcs!AV122</f>
        <v>218119.94087019339</v>
      </c>
      <c r="F122" s="20">
        <f>PVCalcs!AW122</f>
        <v>7458.9025183692402</v>
      </c>
      <c r="G122" s="20">
        <f>PVCalcs!AX122</f>
        <v>-137821.57036319014</v>
      </c>
      <c r="H122" s="20">
        <f>BattCalcs!CM122</f>
        <v>0</v>
      </c>
      <c r="I122" s="20">
        <f>BattCalcs!CN122</f>
        <v>0</v>
      </c>
      <c r="J122" s="20">
        <f>IF(C122&lt;='Batt IN'!H$43*12,BattCalcs!CO122,NA())</f>
        <v>0</v>
      </c>
      <c r="L122" s="20">
        <f t="shared" si="142"/>
        <v>7458.9025183692402</v>
      </c>
      <c r="M122" s="20">
        <f>G122+BattCalcs!CO122</f>
        <v>-137821.57036319014</v>
      </c>
      <c r="O122" s="10">
        <f>PVLoan!G150</f>
        <v>0</v>
      </c>
      <c r="P122" s="10">
        <f>PVLoan!J150</f>
        <v>0</v>
      </c>
      <c r="Q122" s="2">
        <f>BattLoan!G150</f>
        <v>0</v>
      </c>
      <c r="R122" s="10">
        <f>BattLoan!J150</f>
        <v>0</v>
      </c>
      <c r="T122" s="33">
        <f>IF('PV IN'!$F$4="Battery Only",0,PVCalcs!G122)</f>
        <v>141053.40598084891</v>
      </c>
      <c r="U122" s="33">
        <f>IF('PV IN'!$F$4="Battery Only",0,PVCalcs!M122)</f>
        <v>141053.40598084891</v>
      </c>
      <c r="V122" s="33">
        <f>PVCalcs!L122</f>
        <v>25811.765833333331</v>
      </c>
      <c r="W122" s="158">
        <f>PVCalcs!F122</f>
        <v>8.0139322461707824E-2</v>
      </c>
      <c r="X122" s="144">
        <f>IF('PV IN'!$F$4="Battery Only",0,PVCalcs!Y122+PVCalcs!Z122)</f>
        <v>1833.6942777510358</v>
      </c>
      <c r="Y122" s="144">
        <f>IF('PV IN'!$F$4="PV Only",0,BattCalcs!AX122+BattCalcs!BC122)</f>
        <v>0</v>
      </c>
      <c r="Z122" s="144">
        <f>IF('PV IN'!$F$4="PV Only",0,BattCalcs!AY122+BattCalcs!BD122)</f>
        <v>0</v>
      </c>
      <c r="AA122" s="144">
        <f>IF('PV IN'!$F$4="PV Only",0,BattCalcs!AZ122+BattCalcs!BE122)</f>
        <v>0</v>
      </c>
      <c r="AB122" s="144">
        <f>IF('PV IN'!$F$4="PV Only",0,BattCalcs!BA122+BattCalcs!BF122)</f>
        <v>0</v>
      </c>
      <c r="AC122" s="144">
        <f>IF('PV IN'!$F$4="PV Only",0,BattCalcs!BB122+BattCalcs!BG122)</f>
        <v>0</v>
      </c>
      <c r="AD122" s="144">
        <f>IF('PV IN'!$F$4="PV Only",0,BattCalcs!BU122)</f>
        <v>0</v>
      </c>
      <c r="AE122" s="144">
        <f>IF('PV IN'!$F$4="PV Only",PVCalcs!W122+PVCalcs!AA122,IF('PV IN'!$F$4="Battery Only",BattCalcs!AV122+BattCalcs!BH122,PVCalcs!W122+PVCalcs!AA122+BattCalcs!AV122+BattCalcs!BH122))</f>
        <v>0</v>
      </c>
      <c r="AF122" s="10">
        <f>PVCalcs!AC122+BattCalcs!BJ122</f>
        <v>0</v>
      </c>
      <c r="AG122" s="144">
        <f>IF('PV IN'!$F$4="Battery Only",0,PVCalcs!AG122)</f>
        <v>-750</v>
      </c>
      <c r="AH122" s="144">
        <f>IF('PV IN'!$F$4="Battery Only",0,PVCalcs!AI122)</f>
        <v>0</v>
      </c>
      <c r="AI122" s="144">
        <f>IF('PV IN'!$F$4="PV Only",0,BattCalcs!BM122)</f>
        <v>0</v>
      </c>
      <c r="AJ122" s="144">
        <f>IF('PV IN'!$F$4="PV Only",0,SUM(BattCalcs!BO122:BT122))</f>
        <v>0</v>
      </c>
      <c r="AK122" s="144">
        <f>IF('PV IN'!$F$4="PV Only",PVCalcs!AH122,IF('PV IN'!$F$4="Battery Only",BattCalcs!BN122,PVCalcs!AH122+BattCalcs!BN122))</f>
        <v>-625</v>
      </c>
      <c r="AL122" s="144">
        <f>IF('PV IN'!$F$4="PV Only",0,BattCalcs!BV122)</f>
        <v>0</v>
      </c>
      <c r="AM122" s="144">
        <f>IF('PV IN'!$F$4="PV Only",0,SUM(BattCalcs!BW122:BX122))</f>
        <v>0</v>
      </c>
      <c r="AN122" s="144">
        <f>IF('PV IN'!$F$4="PV Only",0,BattCalcs!BY122)</f>
        <v>0</v>
      </c>
      <c r="AO122" s="144">
        <f>IF('PV IN'!$F$4="Battery Only",0,PVCalcs!U122)</f>
        <v>11303.924386221437</v>
      </c>
      <c r="AP122" s="10">
        <f>IF('PV IN'!$F$4="PV Only",0,BattCalcs!AS122)</f>
        <v>0</v>
      </c>
      <c r="AQ122" s="10">
        <f>IF('PV IN'!$F$4="PV Only",0,BattCalcs!AT122)</f>
        <v>0</v>
      </c>
      <c r="AR122" s="10">
        <f>IF('PV IN'!$F$4="PV Only",0,BattCalcs!AU122)</f>
        <v>0</v>
      </c>
      <c r="AS122" s="144">
        <f>IF('PV IN'!$F$4="PV Only",PVCalcs!X122,IF('PV IN'!$F$4="Battery Only",BattCalcs!AW122,PVCalcs!X122+BattCalcs!AW122))</f>
        <v>0</v>
      </c>
      <c r="AT122" s="144">
        <f>IF('PV IN'!$F$4="Battery Only",0,-PVCalcs!AQ122*'PV IN'!$E$8)</f>
        <v>0</v>
      </c>
      <c r="AU122" s="144">
        <f>IF('PV IN'!$F$4="PV Only",0,-BattCalcs!CG122*'PV IN'!$E$8)</f>
        <v>0</v>
      </c>
      <c r="AV122" s="144">
        <f>IF('PV IN'!$F$4="PV Only",PVCalcs!Z122+PVCalcs!AA122,IF('PV IN'!$F$4="Battery Only",SUM(BattCalcs!BC122:BH122),PVCalcs!Z122+PVCalcs!AA122+SUM(BattCalcs!BC122:BH122)))</f>
        <v>0</v>
      </c>
      <c r="AW122" s="144">
        <f>IF('PV IN'!$F$4="PV Only",SUM(PVCalcs!AF122:AI122),IF('PV IN'!$F$4="Battery Only",SUM(BattCalcs!BL122:BY122),SUM(PVCalcs!AF122:AI122)+SUM(BattCalcs!BL122:BY122)))</f>
        <v>-1375</v>
      </c>
      <c r="AX122" s="144">
        <f>IF('PV IN'!$F$4="Battery Only",0,-PVLoan!F150)</f>
        <v>0</v>
      </c>
      <c r="AY122" s="144">
        <f>IF('PV IN'!$F$4="PV Only",0,-BattLoan!F150)</f>
        <v>0</v>
      </c>
      <c r="AZ122" s="144">
        <f>IF('PV IN'!$F$4="Battery Only",0,-PVLoan!H150)</f>
        <v>0</v>
      </c>
      <c r="BA122" s="144">
        <f>IF('PV IN'!$F$4="PV Only",0,-BattLoan!H150)</f>
        <v>0</v>
      </c>
    </row>
    <row r="123" spans="1:88" x14ac:dyDescent="0.25">
      <c r="A123">
        <f>IF(C123&lt;='PV IN'!$O$22*12,C123,"")</f>
        <v>119</v>
      </c>
      <c r="C123">
        <v>119</v>
      </c>
      <c r="D123" s="2">
        <f>BattCalcs!CK123+PVCalcs!AT123</f>
        <v>12042.610251529826</v>
      </c>
      <c r="E123" s="20">
        <f>PVCalcs!AV123</f>
        <v>230162.5511217232</v>
      </c>
      <c r="F123" s="20">
        <f>PVCalcs!AW123</f>
        <v>7423.2385186845877</v>
      </c>
      <c r="G123" s="20">
        <f>PVCalcs!AX123</f>
        <v>-130398.33184450555</v>
      </c>
      <c r="H123" s="20">
        <f>BattCalcs!CM123</f>
        <v>0</v>
      </c>
      <c r="I123" s="20">
        <f>BattCalcs!CN123</f>
        <v>0</v>
      </c>
      <c r="J123" s="20">
        <f>IF(C123&lt;='Batt IN'!H$43*12,BattCalcs!CO123,NA())</f>
        <v>0</v>
      </c>
      <c r="L123" s="20">
        <f t="shared" si="142"/>
        <v>7423.2385186845877</v>
      </c>
      <c r="M123" s="20">
        <f>G123+BattCalcs!CO123</f>
        <v>-130398.33184450555</v>
      </c>
      <c r="O123" s="10">
        <f>PVLoan!G151</f>
        <v>0</v>
      </c>
      <c r="P123" s="10">
        <f>PVLoan!J151</f>
        <v>0</v>
      </c>
      <c r="Q123" s="2">
        <f>BattLoan!G151</f>
        <v>0</v>
      </c>
      <c r="R123" s="10">
        <f>BattLoan!J151</f>
        <v>0</v>
      </c>
      <c r="T123" s="33">
        <f>IF('PV IN'!$F$4="Battery Only",0,PVCalcs!G123)</f>
        <v>140959.37037686168</v>
      </c>
      <c r="U123" s="33">
        <f>IF('PV IN'!$F$4="Battery Only",0,PVCalcs!M123)</f>
        <v>140959.37037686168</v>
      </c>
      <c r="V123" s="33">
        <f>PVCalcs!L123</f>
        <v>25811.765833333331</v>
      </c>
      <c r="W123" s="158">
        <f>PVCalcs!F123</f>
        <v>8.0139322461707824E-2</v>
      </c>
      <c r="X123" s="144">
        <f>IF('PV IN'!$F$4="Battery Only",0,PVCalcs!Y123+PVCalcs!Z123)</f>
        <v>1832.4718148992019</v>
      </c>
      <c r="Y123" s="144">
        <f>IF('PV IN'!$F$4="PV Only",0,BattCalcs!AX123+BattCalcs!BC123)</f>
        <v>0</v>
      </c>
      <c r="Z123" s="144">
        <f>IF('PV IN'!$F$4="PV Only",0,BattCalcs!AY123+BattCalcs!BD123)</f>
        <v>0</v>
      </c>
      <c r="AA123" s="144">
        <f>IF('PV IN'!$F$4="PV Only",0,BattCalcs!AZ123+BattCalcs!BE123)</f>
        <v>0</v>
      </c>
      <c r="AB123" s="144">
        <f>IF('PV IN'!$F$4="PV Only",0,BattCalcs!BA123+BattCalcs!BF123)</f>
        <v>0</v>
      </c>
      <c r="AC123" s="144">
        <f>IF('PV IN'!$F$4="PV Only",0,BattCalcs!BB123+BattCalcs!BG123)</f>
        <v>0</v>
      </c>
      <c r="AD123" s="144">
        <f>IF('PV IN'!$F$4="PV Only",0,BattCalcs!BU123)</f>
        <v>0</v>
      </c>
      <c r="AE123" s="144">
        <f>IF('PV IN'!$F$4="PV Only",PVCalcs!W123+PVCalcs!AA123,IF('PV IN'!$F$4="Battery Only",BattCalcs!AV123+BattCalcs!BH123,PVCalcs!W123+PVCalcs!AA123+BattCalcs!AV123+BattCalcs!BH123))</f>
        <v>0</v>
      </c>
      <c r="AF123" s="10">
        <f>PVCalcs!AC123+BattCalcs!BJ123</f>
        <v>0</v>
      </c>
      <c r="AG123" s="144">
        <f>IF('PV IN'!$F$4="Battery Only",0,PVCalcs!AG123)</f>
        <v>-750</v>
      </c>
      <c r="AH123" s="144">
        <f>IF('PV IN'!$F$4="Battery Only",0,PVCalcs!AI123)</f>
        <v>0</v>
      </c>
      <c r="AI123" s="144">
        <f>IF('PV IN'!$F$4="PV Only",0,BattCalcs!BM123)</f>
        <v>0</v>
      </c>
      <c r="AJ123" s="144">
        <f>IF('PV IN'!$F$4="PV Only",0,SUM(BattCalcs!BO123:BT123))</f>
        <v>0</v>
      </c>
      <c r="AK123" s="144">
        <f>IF('PV IN'!$F$4="PV Only",PVCalcs!AH123,IF('PV IN'!$F$4="Battery Only",BattCalcs!BN123,PVCalcs!AH123+BattCalcs!BN123))</f>
        <v>-625</v>
      </c>
      <c r="AL123" s="144">
        <f>IF('PV IN'!$F$4="PV Only",0,BattCalcs!BV123)</f>
        <v>0</v>
      </c>
      <c r="AM123" s="144">
        <f>IF('PV IN'!$F$4="PV Only",0,SUM(BattCalcs!BW123:BX123))</f>
        <v>0</v>
      </c>
      <c r="AN123" s="144">
        <f>IF('PV IN'!$F$4="PV Only",0,BattCalcs!BY123)</f>
        <v>0</v>
      </c>
      <c r="AO123" s="144">
        <f>IF('PV IN'!$F$4="Battery Only",0,PVCalcs!U123)</f>
        <v>11296.388436630625</v>
      </c>
      <c r="AP123" s="10">
        <f>IF('PV IN'!$F$4="PV Only",0,BattCalcs!AS123)</f>
        <v>0</v>
      </c>
      <c r="AQ123" s="10">
        <f>IF('PV IN'!$F$4="PV Only",0,BattCalcs!AT123)</f>
        <v>0</v>
      </c>
      <c r="AR123" s="10">
        <f>IF('PV IN'!$F$4="PV Only",0,BattCalcs!AU123)</f>
        <v>0</v>
      </c>
      <c r="AS123" s="144">
        <f>IF('PV IN'!$F$4="PV Only",PVCalcs!X123,IF('PV IN'!$F$4="Battery Only",BattCalcs!AW123,PVCalcs!X123+BattCalcs!AW123))</f>
        <v>0</v>
      </c>
      <c r="AT123" s="144">
        <f>IF('PV IN'!$F$4="Battery Only",0,-PVCalcs!AQ123*'PV IN'!$E$8)</f>
        <v>0</v>
      </c>
      <c r="AU123" s="144">
        <f>IF('PV IN'!$F$4="PV Only",0,-BattCalcs!CG123*'PV IN'!$E$8)</f>
        <v>0</v>
      </c>
      <c r="AV123" s="144">
        <f>IF('PV IN'!$F$4="PV Only",PVCalcs!Z123+PVCalcs!AA123,IF('PV IN'!$F$4="Battery Only",SUM(BattCalcs!BC123:BH123),PVCalcs!Z123+PVCalcs!AA123+SUM(BattCalcs!BC123:BH123)))</f>
        <v>0</v>
      </c>
      <c r="AW123" s="144">
        <f>IF('PV IN'!$F$4="PV Only",SUM(PVCalcs!AF123:AI123),IF('PV IN'!$F$4="Battery Only",SUM(BattCalcs!BL123:BY123),SUM(PVCalcs!AF123:AI123)+SUM(BattCalcs!BL123:BY123)))</f>
        <v>-1375</v>
      </c>
      <c r="AX123" s="144">
        <f>IF('PV IN'!$F$4="Battery Only",0,-PVLoan!F151)</f>
        <v>0</v>
      </c>
      <c r="AY123" s="144">
        <f>IF('PV IN'!$F$4="PV Only",0,-BattLoan!F151)</f>
        <v>0</v>
      </c>
      <c r="AZ123" s="144">
        <f>IF('PV IN'!$F$4="Battery Only",0,-PVLoan!H151)</f>
        <v>0</v>
      </c>
      <c r="BA123" s="144">
        <f>IF('PV IN'!$F$4="PV Only",0,-BattLoan!H151)</f>
        <v>0</v>
      </c>
    </row>
    <row r="124" spans="1:88" x14ac:dyDescent="0.25">
      <c r="A124">
        <f>IF(C124&lt;='PV IN'!$O$22*12,C124,"")</f>
        <v>120</v>
      </c>
      <c r="B124">
        <f>B112+1</f>
        <v>2035</v>
      </c>
      <c r="C124">
        <v>120</v>
      </c>
      <c r="D124" s="2">
        <f>BattCalcs!CK124+PVCalcs!AT124</f>
        <v>12033.857678028806</v>
      </c>
      <c r="E124" s="20">
        <f>PVCalcs!AV124</f>
        <v>242196.40879975201</v>
      </c>
      <c r="F124" s="20">
        <f>PVCalcs!AW124</f>
        <v>7387.744719765029</v>
      </c>
      <c r="G124" s="20">
        <f>PVCalcs!AX124</f>
        <v>-123010.58712474052</v>
      </c>
      <c r="H124" s="20">
        <f>BattCalcs!CM124</f>
        <v>0</v>
      </c>
      <c r="I124" s="20">
        <f>BattCalcs!CN124</f>
        <v>0</v>
      </c>
      <c r="J124" s="20">
        <f>IF(C124&lt;='Batt IN'!H$43*12,BattCalcs!CO124,NA())</f>
        <v>0</v>
      </c>
      <c r="L124" s="20">
        <f t="shared" si="142"/>
        <v>7387.744719765029</v>
      </c>
      <c r="M124" s="20">
        <f>G124+BattCalcs!CO124</f>
        <v>-123010.58712474052</v>
      </c>
      <c r="O124" s="10">
        <f>PVLoan!G152</f>
        <v>0</v>
      </c>
      <c r="P124" s="10">
        <f>PVLoan!J152</f>
        <v>0</v>
      </c>
      <c r="Q124" s="2">
        <f>BattLoan!G152</f>
        <v>0</v>
      </c>
      <c r="R124" s="10">
        <f>BattLoan!J152</f>
        <v>0</v>
      </c>
      <c r="T124" s="33">
        <f>IF('PV IN'!$F$4="Battery Only",0,PVCalcs!G124)</f>
        <v>140865.3974632771</v>
      </c>
      <c r="U124" s="33">
        <f>IF('PV IN'!$F$4="Battery Only",0,PVCalcs!M124)</f>
        <v>140865.3974632771</v>
      </c>
      <c r="V124" s="33">
        <f>PVCalcs!L124</f>
        <v>25811.765833333331</v>
      </c>
      <c r="W124" s="158">
        <f>PVCalcs!F124</f>
        <v>8.0139322461707824E-2</v>
      </c>
      <c r="X124" s="144">
        <f>IF('PV IN'!$F$4="Battery Only",0,PVCalcs!Y124+PVCalcs!Z124)</f>
        <v>1831.2501670226022</v>
      </c>
      <c r="Y124" s="144">
        <f>IF('PV IN'!$F$4="PV Only",0,BattCalcs!AX124+BattCalcs!BC124)</f>
        <v>0</v>
      </c>
      <c r="Z124" s="144">
        <f>IF('PV IN'!$F$4="PV Only",0,BattCalcs!AY124+BattCalcs!BD124)</f>
        <v>0</v>
      </c>
      <c r="AA124" s="144">
        <f>IF('PV IN'!$F$4="PV Only",0,BattCalcs!AZ124+BattCalcs!BE124)</f>
        <v>0</v>
      </c>
      <c r="AB124" s="144">
        <f>IF('PV IN'!$F$4="PV Only",0,BattCalcs!BA124+BattCalcs!BF124)</f>
        <v>0</v>
      </c>
      <c r="AC124" s="144">
        <f>IF('PV IN'!$F$4="PV Only",0,BattCalcs!BB124+BattCalcs!BG124)</f>
        <v>0</v>
      </c>
      <c r="AD124" s="144">
        <f>IF('PV IN'!$F$4="PV Only",0,BattCalcs!BU124)</f>
        <v>0</v>
      </c>
      <c r="AE124" s="144">
        <f>IF('PV IN'!$F$4="PV Only",PVCalcs!W124+PVCalcs!AA124,IF('PV IN'!$F$4="Battery Only",BattCalcs!AV124+BattCalcs!BH124,PVCalcs!W124+PVCalcs!AA124+BattCalcs!AV124+BattCalcs!BH124))</f>
        <v>0</v>
      </c>
      <c r="AF124" s="10">
        <f>PVCalcs!AC124+BattCalcs!BJ124</f>
        <v>0</v>
      </c>
      <c r="AG124" s="144">
        <f>IF('PV IN'!$F$4="Battery Only",0,PVCalcs!AG124)</f>
        <v>-750</v>
      </c>
      <c r="AH124" s="144">
        <f>IF('PV IN'!$F$4="Battery Only",0,PVCalcs!AI124)</f>
        <v>0</v>
      </c>
      <c r="AI124" s="144">
        <f>IF('PV IN'!$F$4="PV Only",0,BattCalcs!BM124)</f>
        <v>0</v>
      </c>
      <c r="AJ124" s="144">
        <f>IF('PV IN'!$F$4="PV Only",0,SUM(BattCalcs!BO124:BT124))</f>
        <v>0</v>
      </c>
      <c r="AK124" s="144">
        <f>IF('PV IN'!$F$4="PV Only",PVCalcs!AH124,IF('PV IN'!$F$4="Battery Only",BattCalcs!BN124,PVCalcs!AH124+BattCalcs!BN124))</f>
        <v>-625</v>
      </c>
      <c r="AL124" s="144">
        <f>IF('PV IN'!$F$4="PV Only",0,BattCalcs!BV124)</f>
        <v>0</v>
      </c>
      <c r="AM124" s="144">
        <f>IF('PV IN'!$F$4="PV Only",0,SUM(BattCalcs!BW124:BX124))</f>
        <v>0</v>
      </c>
      <c r="AN124" s="144">
        <f>IF('PV IN'!$F$4="PV Only",0,BattCalcs!BY124)</f>
        <v>0</v>
      </c>
      <c r="AO124" s="144">
        <f>IF('PV IN'!$F$4="Battery Only",0,PVCalcs!U124)</f>
        <v>11288.857511006203</v>
      </c>
      <c r="AP124" s="10">
        <f>IF('PV IN'!$F$4="PV Only",0,BattCalcs!AS124)</f>
        <v>0</v>
      </c>
      <c r="AQ124" s="10">
        <f>IF('PV IN'!$F$4="PV Only",0,BattCalcs!AT124)</f>
        <v>0</v>
      </c>
      <c r="AR124" s="10">
        <f>IF('PV IN'!$F$4="PV Only",0,BattCalcs!AU124)</f>
        <v>0</v>
      </c>
      <c r="AS124" s="144">
        <f>IF('PV IN'!$F$4="PV Only",PVCalcs!X124,IF('PV IN'!$F$4="Battery Only",BattCalcs!AW124,PVCalcs!X124+BattCalcs!AW124))</f>
        <v>0</v>
      </c>
      <c r="AT124" s="144">
        <f>IF('PV IN'!$F$4="Battery Only",0,-PVCalcs!AQ124*'PV IN'!$E$8)</f>
        <v>0</v>
      </c>
      <c r="AU124" s="144">
        <f>IF('PV IN'!$F$4="PV Only",0,-BattCalcs!CG124*'PV IN'!$E$8)</f>
        <v>0</v>
      </c>
      <c r="AV124" s="144">
        <f>IF('PV IN'!$F$4="PV Only",PVCalcs!Z124+PVCalcs!AA124,IF('PV IN'!$F$4="Battery Only",SUM(BattCalcs!BC124:BH124),PVCalcs!Z124+PVCalcs!AA124+SUM(BattCalcs!BC124:BH124)))</f>
        <v>0</v>
      </c>
      <c r="AW124" s="144">
        <f>IF('PV IN'!$F$4="PV Only",SUM(PVCalcs!AF124:AI124),IF('PV IN'!$F$4="Battery Only",SUM(BattCalcs!BL124:BY124),SUM(PVCalcs!AF124:AI124)+SUM(BattCalcs!BL124:BY124)))</f>
        <v>-1375</v>
      </c>
      <c r="AX124" s="144">
        <f>IF('PV IN'!$F$4="Battery Only",0,-PVLoan!F152)</f>
        <v>0</v>
      </c>
      <c r="AY124" s="144">
        <f>IF('PV IN'!$F$4="PV Only",0,-BattLoan!F152)</f>
        <v>0</v>
      </c>
      <c r="AZ124" s="144">
        <f>IF('PV IN'!$F$4="Battery Only",0,-PVLoan!H152)</f>
        <v>0</v>
      </c>
      <c r="BA124" s="144">
        <f>IF('PV IN'!$F$4="PV Only",0,-BattLoan!H152)</f>
        <v>0</v>
      </c>
      <c r="BC124" s="33">
        <f t="shared" ref="BC124" si="279">SUM(T113:T124)</f>
        <v>1696600.7944682399</v>
      </c>
      <c r="BD124" s="33">
        <f t="shared" ref="BD124" si="280">SUM(U113:U124)</f>
        <v>1696600.7944682399</v>
      </c>
      <c r="BE124" s="33">
        <f t="shared" ref="BE124" si="281">SUM(V113:V124)</f>
        <v>309741.19</v>
      </c>
      <c r="BF124" s="50">
        <f t="shared" ref="BF124" si="282">W124</f>
        <v>8.0139322461707824E-2</v>
      </c>
      <c r="BG124" s="2">
        <f t="shared" ref="BG124" si="283">SUM(X113:X124)</f>
        <v>22055.810328087118</v>
      </c>
      <c r="BH124" s="2">
        <f t="shared" ref="BH124" si="284">SUM(Y113:Y124)</f>
        <v>0</v>
      </c>
      <c r="BI124" s="2">
        <f t="shared" ref="BI124" si="285">SUM(Z113:Z124)</f>
        <v>0</v>
      </c>
      <c r="BJ124" s="2">
        <f t="shared" ref="BJ124" si="286">SUM(AA113:AA124)</f>
        <v>0</v>
      </c>
      <c r="BK124" s="2">
        <f t="shared" ref="BK124" si="287">SUM(AB113:AB124)</f>
        <v>0</v>
      </c>
      <c r="BL124" s="2">
        <f t="shared" ref="BL124" si="288">SUM(AC113:AC124)</f>
        <v>0</v>
      </c>
      <c r="BM124" s="2">
        <f t="shared" ref="BM124" si="289">SUM(AD113:AD124)</f>
        <v>0</v>
      </c>
      <c r="BN124" s="2">
        <f t="shared" ref="BN124" si="290">SUM(AE113:AE124)</f>
        <v>0</v>
      </c>
      <c r="BO124" s="2">
        <f t="shared" ref="BO124" si="291">SUM(AF113:AF124)</f>
        <v>0</v>
      </c>
      <c r="BP124" s="2">
        <f t="shared" ref="BP124" si="292">SUM(AG113:AG124)</f>
        <v>-9000</v>
      </c>
      <c r="BQ124" s="2">
        <f t="shared" ref="BQ124" si="293">SUM(AH113:AH124)</f>
        <v>0</v>
      </c>
      <c r="BR124" s="2">
        <f t="shared" ref="BR124" si="294">SUM(AI113:AI124)</f>
        <v>0</v>
      </c>
      <c r="BS124" s="2">
        <f t="shared" ref="BS124" si="295">SUM(AJ113:AJ124)</f>
        <v>0</v>
      </c>
      <c r="BT124" s="2">
        <f t="shared" ref="BT124" si="296">SUM(AK113:AK124)</f>
        <v>-7500</v>
      </c>
      <c r="BU124" s="2">
        <f t="shared" ref="BU124" si="297">SUM(AL113:AL124)</f>
        <v>0</v>
      </c>
      <c r="BV124" s="2">
        <f t="shared" ref="BV124" si="298">SUM(AM113:AM124)</f>
        <v>0</v>
      </c>
      <c r="BW124" s="2">
        <f t="shared" ref="BW124" si="299">SUM(AN113:AN124)</f>
        <v>0</v>
      </c>
      <c r="BX124" s="2">
        <f t="shared" ref="BX124" si="300">SUM(AO113:AO124)</f>
        <v>135964.43815667994</v>
      </c>
      <c r="BY124" s="2">
        <f t="shared" ref="BY124" si="301">SUM(AP113:AP124)</f>
        <v>0</v>
      </c>
      <c r="BZ124" s="2">
        <f t="shared" ref="BZ124" si="302">SUM(AQ113:AQ124)</f>
        <v>0</v>
      </c>
      <c r="CA124" s="2">
        <f t="shared" ref="CA124" si="303">SUM(AR113:AR124)</f>
        <v>0</v>
      </c>
      <c r="CB124" s="2">
        <f t="shared" ref="CB124" si="304">SUM(AS113:AS124)</f>
        <v>0</v>
      </c>
      <c r="CC124" s="2">
        <f t="shared" ref="CC124" si="305">SUM(AT113:AT124)</f>
        <v>0</v>
      </c>
      <c r="CD124" s="2">
        <f t="shared" ref="CD124" si="306">SUM(AU113:AU124)</f>
        <v>0</v>
      </c>
      <c r="CE124" s="2">
        <f t="shared" ref="CE124" si="307">SUM(AV113:AV124)</f>
        <v>0</v>
      </c>
      <c r="CF124" s="2">
        <f t="shared" ref="CF124" si="308">SUM(AW113:AW124)</f>
        <v>-16500</v>
      </c>
      <c r="CG124" s="2">
        <f t="shared" ref="CG124" si="309">SUM(AX113:AX124)</f>
        <v>0</v>
      </c>
      <c r="CH124" s="2">
        <f t="shared" ref="CH124" si="310">SUM(AY113:AY124)</f>
        <v>0</v>
      </c>
      <c r="CI124" s="2">
        <f t="shared" ref="CI124" si="311">SUM(AZ113:AZ124)</f>
        <v>0</v>
      </c>
      <c r="CJ124" s="2">
        <f t="shared" ref="CJ124" si="312">SUM(BA113:BA124)</f>
        <v>0</v>
      </c>
    </row>
    <row r="125" spans="1:88" x14ac:dyDescent="0.25">
      <c r="A125">
        <f>IF(C125&lt;='PV IN'!$O$22*12,C125,"")</f>
        <v>121</v>
      </c>
      <c r="C125">
        <v>121</v>
      </c>
      <c r="D125" s="2">
        <f>BattCalcs!CK125+PVCalcs!AT125</f>
        <v>12112.249358977941</v>
      </c>
      <c r="E125" s="20">
        <f>PVCalcs!AV125</f>
        <v>254308.65815872996</v>
      </c>
      <c r="F125" s="20">
        <f>PVCalcs!AW125</f>
        <v>7405.6986785462423</v>
      </c>
      <c r="G125" s="20">
        <f>PVCalcs!AX125</f>
        <v>-115604.88844619428</v>
      </c>
      <c r="H125" s="20">
        <f>BattCalcs!CM125</f>
        <v>0</v>
      </c>
      <c r="I125" s="20">
        <f>BattCalcs!CN125</f>
        <v>0</v>
      </c>
      <c r="J125" s="20">
        <f>IF(C125&lt;='Batt IN'!H$43*12,BattCalcs!CO125,NA())</f>
        <v>0</v>
      </c>
      <c r="L125" s="20">
        <f t="shared" si="142"/>
        <v>7405.6986785462423</v>
      </c>
      <c r="M125" s="20">
        <f>G125+BattCalcs!CO125</f>
        <v>-115604.88844619428</v>
      </c>
      <c r="O125" s="10">
        <f>PVLoan!G153</f>
        <v>0</v>
      </c>
      <c r="P125" s="10">
        <f>PVLoan!J153</f>
        <v>0</v>
      </c>
      <c r="Q125" s="2" t="str">
        <f>BattLoan!G153</f>
        <v>-</v>
      </c>
      <c r="R125" s="10" t="str">
        <f>BattLoan!J153</f>
        <v>-</v>
      </c>
      <c r="T125" s="33">
        <f>IF('PV IN'!$F$4="Battery Only",0,PVCalcs!G125)</f>
        <v>140771.48719830159</v>
      </c>
      <c r="U125" s="33">
        <f>IF('PV IN'!$F$4="Battery Only",0,PVCalcs!M125)</f>
        <v>140771.48719830159</v>
      </c>
      <c r="V125" s="33">
        <f>PVCalcs!L125</f>
        <v>25811.765833333331</v>
      </c>
      <c r="W125" s="158">
        <f>PVCalcs!F125</f>
        <v>8.0758328633592641E-2</v>
      </c>
      <c r="X125" s="144">
        <f>IF('PV IN'!$F$4="Battery Only",0,PVCalcs!Y125+PVCalcs!Z125)</f>
        <v>1830.0293335779206</v>
      </c>
      <c r="Y125" s="144">
        <f>IF('PV IN'!$F$4="PV Only",0,BattCalcs!AX125+BattCalcs!BC125)</f>
        <v>0</v>
      </c>
      <c r="Z125" s="144">
        <f>IF('PV IN'!$F$4="PV Only",0,BattCalcs!AY125+BattCalcs!BD125)</f>
        <v>0</v>
      </c>
      <c r="AA125" s="144">
        <f>IF('PV IN'!$F$4="PV Only",0,BattCalcs!AZ125+BattCalcs!BE125)</f>
        <v>0</v>
      </c>
      <c r="AB125" s="144">
        <f>IF('PV IN'!$F$4="PV Only",0,BattCalcs!BA125+BattCalcs!BF125)</f>
        <v>0</v>
      </c>
      <c r="AC125" s="144">
        <f>IF('PV IN'!$F$4="PV Only",0,BattCalcs!BB125+BattCalcs!BG125)</f>
        <v>0</v>
      </c>
      <c r="AD125" s="144">
        <f>IF('PV IN'!$F$4="PV Only",0,BattCalcs!BU125)</f>
        <v>0</v>
      </c>
      <c r="AE125" s="144">
        <f>IF('PV IN'!$F$4="PV Only",PVCalcs!W125+PVCalcs!AA125,IF('PV IN'!$F$4="Battery Only",BattCalcs!AV125+BattCalcs!BH125,PVCalcs!W125+PVCalcs!AA125+BattCalcs!AV125+BattCalcs!BH125))</f>
        <v>0</v>
      </c>
      <c r="AF125" s="10">
        <f>PVCalcs!AC125+BattCalcs!BJ125</f>
        <v>0</v>
      </c>
      <c r="AG125" s="144">
        <f>IF('PV IN'!$F$4="Battery Only",0,PVCalcs!AG125)</f>
        <v>-750</v>
      </c>
      <c r="AH125" s="144">
        <f>IF('PV IN'!$F$4="Battery Only",0,PVCalcs!AI125)</f>
        <v>0</v>
      </c>
      <c r="AI125" s="144">
        <f>IF('PV IN'!$F$4="PV Only",0,BattCalcs!BM125)</f>
        <v>0</v>
      </c>
      <c r="AJ125" s="144">
        <f>IF('PV IN'!$F$4="PV Only",0,SUM(BattCalcs!BO125:BT125))</f>
        <v>0</v>
      </c>
      <c r="AK125" s="144">
        <f>IF('PV IN'!$F$4="PV Only",PVCalcs!AH125,IF('PV IN'!$F$4="Battery Only",BattCalcs!BN125,PVCalcs!AH125+BattCalcs!BN125))</f>
        <v>-625</v>
      </c>
      <c r="AL125" s="144">
        <f>IF('PV IN'!$F$4="PV Only",0,BattCalcs!BV125)</f>
        <v>0</v>
      </c>
      <c r="AM125" s="144">
        <f>IF('PV IN'!$F$4="PV Only",0,SUM(BattCalcs!BW125:BX125))</f>
        <v>0</v>
      </c>
      <c r="AN125" s="144">
        <f>IF('PV IN'!$F$4="PV Only",0,BattCalcs!BY125)</f>
        <v>0</v>
      </c>
      <c r="AO125" s="144">
        <f>IF('PV IN'!$F$4="Battery Only",0,PVCalcs!U125)</f>
        <v>11368.47002540002</v>
      </c>
      <c r="AP125" s="10">
        <f>IF('PV IN'!$F$4="PV Only",0,BattCalcs!AS125)</f>
        <v>0</v>
      </c>
      <c r="AQ125" s="10">
        <f>IF('PV IN'!$F$4="PV Only",0,BattCalcs!AT125)</f>
        <v>0</v>
      </c>
      <c r="AR125" s="10">
        <f>IF('PV IN'!$F$4="PV Only",0,BattCalcs!AU125)</f>
        <v>0</v>
      </c>
      <c r="AS125" s="144">
        <f>IF('PV IN'!$F$4="PV Only",PVCalcs!X125,IF('PV IN'!$F$4="Battery Only",BattCalcs!AW125,PVCalcs!X125+BattCalcs!AW125))</f>
        <v>0</v>
      </c>
      <c r="AT125" s="144">
        <f>IF('PV IN'!$F$4="Battery Only",0,-PVCalcs!AQ125*'PV IN'!$E$8)</f>
        <v>0</v>
      </c>
      <c r="AU125" s="144">
        <f>IF('PV IN'!$F$4="PV Only",0,-BattCalcs!CG125*'PV IN'!$E$8)</f>
        <v>0</v>
      </c>
      <c r="AV125" s="144">
        <f>IF('PV IN'!$F$4="PV Only",PVCalcs!Z125+PVCalcs!AA125,IF('PV IN'!$F$4="Battery Only",SUM(BattCalcs!BC125:BH125),PVCalcs!Z125+PVCalcs!AA125+SUM(BattCalcs!BC125:BH125)))</f>
        <v>0</v>
      </c>
      <c r="AW125" s="144">
        <f>IF('PV IN'!$F$4="PV Only",SUM(PVCalcs!AF125:AI125),IF('PV IN'!$F$4="Battery Only",SUM(BattCalcs!BL125:BY125),SUM(PVCalcs!AF125:AI125)+SUM(BattCalcs!BL125:BY125)))</f>
        <v>-1375</v>
      </c>
      <c r="AX125" s="144">
        <f>IF('PV IN'!$F$4="Battery Only",0,-PVLoan!F153)</f>
        <v>0</v>
      </c>
      <c r="AY125" s="144">
        <f>IF('PV IN'!$F$4="PV Only",0,-BattLoan!F153)</f>
        <v>0</v>
      </c>
      <c r="AZ125" s="144">
        <f>IF('PV IN'!$F$4="Battery Only",0,-PVLoan!H153)</f>
        <v>0</v>
      </c>
      <c r="BA125" s="144">
        <f>IF('PV IN'!$F$4="PV Only",0,-BattLoan!H153)</f>
        <v>0</v>
      </c>
    </row>
    <row r="126" spans="1:88" x14ac:dyDescent="0.25">
      <c r="A126">
        <f>IF(C126&lt;='PV IN'!$O$22*12,C126,"")</f>
        <v>122</v>
      </c>
      <c r="C126">
        <v>122</v>
      </c>
      <c r="D126" s="2">
        <f>BattCalcs!CK126+PVCalcs!AT126</f>
        <v>12103.450359405288</v>
      </c>
      <c r="E126" s="20">
        <f>PVCalcs!AV126</f>
        <v>266412.10851813527</v>
      </c>
      <c r="F126" s="20">
        <f>PVCalcs!AW126</f>
        <v>7370.2912954266649</v>
      </c>
      <c r="G126" s="20">
        <f>PVCalcs!AX126</f>
        <v>-108234.59715076761</v>
      </c>
      <c r="H126" s="20">
        <f>BattCalcs!CM126</f>
        <v>0</v>
      </c>
      <c r="I126" s="20">
        <f>BattCalcs!CN126</f>
        <v>0</v>
      </c>
      <c r="J126" s="20">
        <f>IF(C126&lt;='Batt IN'!H$43*12,BattCalcs!CO126,NA())</f>
        <v>0</v>
      </c>
      <c r="L126" s="20">
        <f t="shared" si="142"/>
        <v>7370.2912954266649</v>
      </c>
      <c r="M126" s="20">
        <f>G126+BattCalcs!CO126</f>
        <v>-108234.59715076761</v>
      </c>
      <c r="O126" s="10">
        <f>PVLoan!G154</f>
        <v>0</v>
      </c>
      <c r="P126" s="10">
        <f>PVLoan!J154</f>
        <v>0</v>
      </c>
      <c r="Q126" s="2" t="str">
        <f>BattLoan!G154</f>
        <v>-</v>
      </c>
      <c r="R126" s="10" t="str">
        <f>BattLoan!J154</f>
        <v>-</v>
      </c>
      <c r="T126" s="33">
        <f>IF('PV IN'!$F$4="Battery Only",0,PVCalcs!G126)</f>
        <v>140677.63954016939</v>
      </c>
      <c r="U126" s="33">
        <f>IF('PV IN'!$F$4="Battery Only",0,PVCalcs!M126)</f>
        <v>140677.63954016939</v>
      </c>
      <c r="V126" s="33">
        <f>PVCalcs!L126</f>
        <v>25811.765833333331</v>
      </c>
      <c r="W126" s="158">
        <f>PVCalcs!F126</f>
        <v>8.0758328633592641E-2</v>
      </c>
      <c r="X126" s="144">
        <f>IF('PV IN'!$F$4="Battery Only",0,PVCalcs!Y126+PVCalcs!Z126)</f>
        <v>1828.809314022202</v>
      </c>
      <c r="Y126" s="144">
        <f>IF('PV IN'!$F$4="PV Only",0,BattCalcs!AX126+BattCalcs!BC126)</f>
        <v>0</v>
      </c>
      <c r="Z126" s="144">
        <f>IF('PV IN'!$F$4="PV Only",0,BattCalcs!AY126+BattCalcs!BD126)</f>
        <v>0</v>
      </c>
      <c r="AA126" s="144">
        <f>IF('PV IN'!$F$4="PV Only",0,BattCalcs!AZ126+BattCalcs!BE126)</f>
        <v>0</v>
      </c>
      <c r="AB126" s="144">
        <f>IF('PV IN'!$F$4="PV Only",0,BattCalcs!BA126+BattCalcs!BF126)</f>
        <v>0</v>
      </c>
      <c r="AC126" s="144">
        <f>IF('PV IN'!$F$4="PV Only",0,BattCalcs!BB126+BattCalcs!BG126)</f>
        <v>0</v>
      </c>
      <c r="AD126" s="144">
        <f>IF('PV IN'!$F$4="PV Only",0,BattCalcs!BU126)</f>
        <v>0</v>
      </c>
      <c r="AE126" s="144">
        <f>IF('PV IN'!$F$4="PV Only",PVCalcs!W126+PVCalcs!AA126,IF('PV IN'!$F$4="Battery Only",BattCalcs!AV126+BattCalcs!BH126,PVCalcs!W126+PVCalcs!AA126+BattCalcs!AV126+BattCalcs!BH126))</f>
        <v>0</v>
      </c>
      <c r="AF126" s="10">
        <f>PVCalcs!AC126+BattCalcs!BJ126</f>
        <v>0</v>
      </c>
      <c r="AG126" s="144">
        <f>IF('PV IN'!$F$4="Battery Only",0,PVCalcs!AG126)</f>
        <v>-750</v>
      </c>
      <c r="AH126" s="144">
        <f>IF('PV IN'!$F$4="Battery Only",0,PVCalcs!AI126)</f>
        <v>0</v>
      </c>
      <c r="AI126" s="144">
        <f>IF('PV IN'!$F$4="PV Only",0,BattCalcs!BM126)</f>
        <v>0</v>
      </c>
      <c r="AJ126" s="144">
        <f>IF('PV IN'!$F$4="PV Only",0,SUM(BattCalcs!BO126:BT126))</f>
        <v>0</v>
      </c>
      <c r="AK126" s="144">
        <f>IF('PV IN'!$F$4="PV Only",PVCalcs!AH126,IF('PV IN'!$F$4="Battery Only",BattCalcs!BN126,PVCalcs!AH126+BattCalcs!BN126))</f>
        <v>-625</v>
      </c>
      <c r="AL126" s="144">
        <f>IF('PV IN'!$F$4="PV Only",0,BattCalcs!BV126)</f>
        <v>0</v>
      </c>
      <c r="AM126" s="144">
        <f>IF('PV IN'!$F$4="PV Only",0,SUM(BattCalcs!BW126:BX126))</f>
        <v>0</v>
      </c>
      <c r="AN126" s="144">
        <f>IF('PV IN'!$F$4="PV Only",0,BattCalcs!BY126)</f>
        <v>0</v>
      </c>
      <c r="AO126" s="144">
        <f>IF('PV IN'!$F$4="Battery Only",0,PVCalcs!U126)</f>
        <v>11360.891045383085</v>
      </c>
      <c r="AP126" s="10">
        <f>IF('PV IN'!$F$4="PV Only",0,BattCalcs!AS126)</f>
        <v>0</v>
      </c>
      <c r="AQ126" s="10">
        <f>IF('PV IN'!$F$4="PV Only",0,BattCalcs!AT126)</f>
        <v>0</v>
      </c>
      <c r="AR126" s="10">
        <f>IF('PV IN'!$F$4="PV Only",0,BattCalcs!AU126)</f>
        <v>0</v>
      </c>
      <c r="AS126" s="144">
        <f>IF('PV IN'!$F$4="PV Only",PVCalcs!X126,IF('PV IN'!$F$4="Battery Only",BattCalcs!AW126,PVCalcs!X126+BattCalcs!AW126))</f>
        <v>0</v>
      </c>
      <c r="AT126" s="144">
        <f>IF('PV IN'!$F$4="Battery Only",0,-PVCalcs!AQ126*'PV IN'!$E$8)</f>
        <v>0</v>
      </c>
      <c r="AU126" s="144">
        <f>IF('PV IN'!$F$4="PV Only",0,-BattCalcs!CG126*'PV IN'!$E$8)</f>
        <v>0</v>
      </c>
      <c r="AV126" s="144">
        <f>IF('PV IN'!$F$4="PV Only",PVCalcs!Z126+PVCalcs!AA126,IF('PV IN'!$F$4="Battery Only",SUM(BattCalcs!BC126:BH126),PVCalcs!Z126+PVCalcs!AA126+SUM(BattCalcs!BC126:BH126)))</f>
        <v>0</v>
      </c>
      <c r="AW126" s="144">
        <f>IF('PV IN'!$F$4="PV Only",SUM(PVCalcs!AF126:AI126),IF('PV IN'!$F$4="Battery Only",SUM(BattCalcs!BL126:BY126),SUM(PVCalcs!AF126:AI126)+SUM(BattCalcs!BL126:BY126)))</f>
        <v>-1375</v>
      </c>
      <c r="AX126" s="144">
        <f>IF('PV IN'!$F$4="Battery Only",0,-PVLoan!F154)</f>
        <v>0</v>
      </c>
      <c r="AY126" s="144">
        <f>IF('PV IN'!$F$4="PV Only",0,-BattLoan!F154)</f>
        <v>0</v>
      </c>
      <c r="AZ126" s="144">
        <f>IF('PV IN'!$F$4="Battery Only",0,-PVLoan!H154)</f>
        <v>0</v>
      </c>
      <c r="BA126" s="144">
        <f>IF('PV IN'!$F$4="PV Only",0,-BattLoan!H154)</f>
        <v>0</v>
      </c>
    </row>
    <row r="127" spans="1:88" x14ac:dyDescent="0.25">
      <c r="A127">
        <f>IF(C127&lt;='PV IN'!$O$22*12,C127,"")</f>
        <v>123</v>
      </c>
      <c r="C127">
        <v>123</v>
      </c>
      <c r="D127" s="2">
        <f>BattCalcs!CK127+PVCalcs!AT127</f>
        <v>12094.65722583235</v>
      </c>
      <c r="E127" s="20">
        <f>PVCalcs!AV127</f>
        <v>278506.76574396761</v>
      </c>
      <c r="F127" s="20">
        <f>PVCalcs!AW127</f>
        <v>7335.0528794844749</v>
      </c>
      <c r="G127" s="20">
        <f>PVCalcs!AX127</f>
        <v>-100899.54427128314</v>
      </c>
      <c r="H127" s="20">
        <f>BattCalcs!CM127</f>
        <v>0</v>
      </c>
      <c r="I127" s="20">
        <f>BattCalcs!CN127</f>
        <v>0</v>
      </c>
      <c r="J127" s="20">
        <f>IF(C127&lt;='Batt IN'!H$43*12,BattCalcs!CO127,NA())</f>
        <v>0</v>
      </c>
      <c r="L127" s="20">
        <f t="shared" si="142"/>
        <v>7335.0528794844749</v>
      </c>
      <c r="M127" s="20">
        <f>G127+BattCalcs!CO127</f>
        <v>-100899.54427128314</v>
      </c>
      <c r="O127" s="10">
        <f>PVLoan!G155</f>
        <v>0</v>
      </c>
      <c r="P127" s="10">
        <f>PVLoan!J155</f>
        <v>0</v>
      </c>
      <c r="Q127" s="2" t="str">
        <f>BattLoan!G155</f>
        <v>-</v>
      </c>
      <c r="R127" s="10" t="str">
        <f>BattLoan!J155</f>
        <v>-</v>
      </c>
      <c r="T127" s="33">
        <f>IF('PV IN'!$F$4="Battery Only",0,PVCalcs!G127)</f>
        <v>140583.8544471426</v>
      </c>
      <c r="U127" s="33">
        <f>IF('PV IN'!$F$4="Battery Only",0,PVCalcs!M127)</f>
        <v>140583.8544471426</v>
      </c>
      <c r="V127" s="33">
        <f>PVCalcs!L127</f>
        <v>25811.765833333331</v>
      </c>
      <c r="W127" s="158">
        <f>PVCalcs!F127</f>
        <v>8.0758328633592641E-2</v>
      </c>
      <c r="X127" s="144">
        <f>IF('PV IN'!$F$4="Battery Only",0,PVCalcs!Y127+PVCalcs!Z127)</f>
        <v>1827.5901078128538</v>
      </c>
      <c r="Y127" s="144">
        <f>IF('PV IN'!$F$4="PV Only",0,BattCalcs!AX127+BattCalcs!BC127)</f>
        <v>0</v>
      </c>
      <c r="Z127" s="144">
        <f>IF('PV IN'!$F$4="PV Only",0,BattCalcs!AY127+BattCalcs!BD127)</f>
        <v>0</v>
      </c>
      <c r="AA127" s="144">
        <f>IF('PV IN'!$F$4="PV Only",0,BattCalcs!AZ127+BattCalcs!BE127)</f>
        <v>0</v>
      </c>
      <c r="AB127" s="144">
        <f>IF('PV IN'!$F$4="PV Only",0,BattCalcs!BA127+BattCalcs!BF127)</f>
        <v>0</v>
      </c>
      <c r="AC127" s="144">
        <f>IF('PV IN'!$F$4="PV Only",0,BattCalcs!BB127+BattCalcs!BG127)</f>
        <v>0</v>
      </c>
      <c r="AD127" s="144">
        <f>IF('PV IN'!$F$4="PV Only",0,BattCalcs!BU127)</f>
        <v>0</v>
      </c>
      <c r="AE127" s="144">
        <f>IF('PV IN'!$F$4="PV Only",PVCalcs!W127+PVCalcs!AA127,IF('PV IN'!$F$4="Battery Only",BattCalcs!AV127+BattCalcs!BH127,PVCalcs!W127+PVCalcs!AA127+BattCalcs!AV127+BattCalcs!BH127))</f>
        <v>0</v>
      </c>
      <c r="AF127" s="10">
        <f>PVCalcs!AC127+BattCalcs!BJ127</f>
        <v>0</v>
      </c>
      <c r="AG127" s="144">
        <f>IF('PV IN'!$F$4="Battery Only",0,PVCalcs!AG127)</f>
        <v>-750</v>
      </c>
      <c r="AH127" s="144">
        <f>IF('PV IN'!$F$4="Battery Only",0,PVCalcs!AI127)</f>
        <v>0</v>
      </c>
      <c r="AI127" s="144">
        <f>IF('PV IN'!$F$4="PV Only",0,BattCalcs!BM127)</f>
        <v>0</v>
      </c>
      <c r="AJ127" s="144">
        <f>IF('PV IN'!$F$4="PV Only",0,SUM(BattCalcs!BO127:BT127))</f>
        <v>0</v>
      </c>
      <c r="AK127" s="144">
        <f>IF('PV IN'!$F$4="PV Only",PVCalcs!AH127,IF('PV IN'!$F$4="Battery Only",BattCalcs!BN127,PVCalcs!AH127+BattCalcs!BN127))</f>
        <v>-625</v>
      </c>
      <c r="AL127" s="144">
        <f>IF('PV IN'!$F$4="PV Only",0,BattCalcs!BV127)</f>
        <v>0</v>
      </c>
      <c r="AM127" s="144">
        <f>IF('PV IN'!$F$4="PV Only",0,SUM(BattCalcs!BW127:BX127))</f>
        <v>0</v>
      </c>
      <c r="AN127" s="144">
        <f>IF('PV IN'!$F$4="PV Only",0,BattCalcs!BY127)</f>
        <v>0</v>
      </c>
      <c r="AO127" s="144">
        <f>IF('PV IN'!$F$4="Battery Only",0,PVCalcs!U127)</f>
        <v>11353.317118019497</v>
      </c>
      <c r="AP127" s="10">
        <f>IF('PV IN'!$F$4="PV Only",0,BattCalcs!AS127)</f>
        <v>0</v>
      </c>
      <c r="AQ127" s="10">
        <f>IF('PV IN'!$F$4="PV Only",0,BattCalcs!AT127)</f>
        <v>0</v>
      </c>
      <c r="AR127" s="10">
        <f>IF('PV IN'!$F$4="PV Only",0,BattCalcs!AU127)</f>
        <v>0</v>
      </c>
      <c r="AS127" s="144">
        <f>IF('PV IN'!$F$4="PV Only",PVCalcs!X127,IF('PV IN'!$F$4="Battery Only",BattCalcs!AW127,PVCalcs!X127+BattCalcs!AW127))</f>
        <v>0</v>
      </c>
      <c r="AT127" s="144">
        <f>IF('PV IN'!$F$4="Battery Only",0,-PVCalcs!AQ127*'PV IN'!$E$8)</f>
        <v>0</v>
      </c>
      <c r="AU127" s="144">
        <f>IF('PV IN'!$F$4="PV Only",0,-BattCalcs!CG127*'PV IN'!$E$8)</f>
        <v>0</v>
      </c>
      <c r="AV127" s="144">
        <f>IF('PV IN'!$F$4="PV Only",PVCalcs!Z127+PVCalcs!AA127,IF('PV IN'!$F$4="Battery Only",SUM(BattCalcs!BC127:BH127),PVCalcs!Z127+PVCalcs!AA127+SUM(BattCalcs!BC127:BH127)))</f>
        <v>0</v>
      </c>
      <c r="AW127" s="144">
        <f>IF('PV IN'!$F$4="PV Only",SUM(PVCalcs!AF127:AI127),IF('PV IN'!$F$4="Battery Only",SUM(BattCalcs!BL127:BY127),SUM(PVCalcs!AF127:AI127)+SUM(BattCalcs!BL127:BY127)))</f>
        <v>-1375</v>
      </c>
      <c r="AX127" s="144">
        <f>IF('PV IN'!$F$4="Battery Only",0,-PVLoan!F155)</f>
        <v>0</v>
      </c>
      <c r="AY127" s="144">
        <f>IF('PV IN'!$F$4="PV Only",0,-BattLoan!F155)</f>
        <v>0</v>
      </c>
      <c r="AZ127" s="144">
        <f>IF('PV IN'!$F$4="Battery Only",0,-PVLoan!H155)</f>
        <v>0</v>
      </c>
      <c r="BA127" s="144">
        <f>IF('PV IN'!$F$4="PV Only",0,-BattLoan!H155)</f>
        <v>0</v>
      </c>
    </row>
    <row r="128" spans="1:88" x14ac:dyDescent="0.25">
      <c r="A128">
        <f>IF(C128&lt;='PV IN'!$O$22*12,C128,"")</f>
        <v>124</v>
      </c>
      <c r="C128">
        <v>124</v>
      </c>
      <c r="D128" s="2">
        <f>BattCalcs!CK128+PVCalcs!AT128</f>
        <v>12085.869954348462</v>
      </c>
      <c r="E128" s="20">
        <f>PVCalcs!AV128</f>
        <v>290592.63569831609</v>
      </c>
      <c r="F128" s="20">
        <f>PVCalcs!AW128</f>
        <v>7299.9826256717433</v>
      </c>
      <c r="G128" s="20">
        <f>PVCalcs!AX128</f>
        <v>-93599.561645611393</v>
      </c>
      <c r="H128" s="20">
        <f>BattCalcs!CM128</f>
        <v>0</v>
      </c>
      <c r="I128" s="20">
        <f>BattCalcs!CN128</f>
        <v>0</v>
      </c>
      <c r="J128" s="20">
        <f>IF(C128&lt;='Batt IN'!H$43*12,BattCalcs!CO128,NA())</f>
        <v>0</v>
      </c>
      <c r="L128" s="20">
        <f t="shared" si="142"/>
        <v>7299.9826256717433</v>
      </c>
      <c r="M128" s="20">
        <f>G128+BattCalcs!CO128</f>
        <v>-93599.561645611393</v>
      </c>
      <c r="O128" s="10">
        <f>PVLoan!G156</f>
        <v>0</v>
      </c>
      <c r="P128" s="10">
        <f>PVLoan!J156</f>
        <v>0</v>
      </c>
      <c r="Q128" s="2" t="str">
        <f>BattLoan!G156</f>
        <v>-</v>
      </c>
      <c r="R128" s="10" t="str">
        <f>BattLoan!J156</f>
        <v>-</v>
      </c>
      <c r="T128" s="33">
        <f>IF('PV IN'!$F$4="Battery Only",0,PVCalcs!G128)</f>
        <v>140490.13187751116</v>
      </c>
      <c r="U128" s="33">
        <f>IF('PV IN'!$F$4="Battery Only",0,PVCalcs!M128)</f>
        <v>140490.13187751116</v>
      </c>
      <c r="V128" s="33">
        <f>PVCalcs!L128</f>
        <v>25811.765833333331</v>
      </c>
      <c r="W128" s="158">
        <f>PVCalcs!F128</f>
        <v>8.0758328633592641E-2</v>
      </c>
      <c r="X128" s="144">
        <f>IF('PV IN'!$F$4="Battery Only",0,PVCalcs!Y128+PVCalcs!Z128)</f>
        <v>1826.3717144076452</v>
      </c>
      <c r="Y128" s="144">
        <f>IF('PV IN'!$F$4="PV Only",0,BattCalcs!AX128+BattCalcs!BC128)</f>
        <v>0</v>
      </c>
      <c r="Z128" s="144">
        <f>IF('PV IN'!$F$4="PV Only",0,BattCalcs!AY128+BattCalcs!BD128)</f>
        <v>0</v>
      </c>
      <c r="AA128" s="144">
        <f>IF('PV IN'!$F$4="PV Only",0,BattCalcs!AZ128+BattCalcs!BE128)</f>
        <v>0</v>
      </c>
      <c r="AB128" s="144">
        <f>IF('PV IN'!$F$4="PV Only",0,BattCalcs!BA128+BattCalcs!BF128)</f>
        <v>0</v>
      </c>
      <c r="AC128" s="144">
        <f>IF('PV IN'!$F$4="PV Only",0,BattCalcs!BB128+BattCalcs!BG128)</f>
        <v>0</v>
      </c>
      <c r="AD128" s="144">
        <f>IF('PV IN'!$F$4="PV Only",0,BattCalcs!BU128)</f>
        <v>0</v>
      </c>
      <c r="AE128" s="144">
        <f>IF('PV IN'!$F$4="PV Only",PVCalcs!W128+PVCalcs!AA128,IF('PV IN'!$F$4="Battery Only",BattCalcs!AV128+BattCalcs!BH128,PVCalcs!W128+PVCalcs!AA128+BattCalcs!AV128+BattCalcs!BH128))</f>
        <v>0</v>
      </c>
      <c r="AF128" s="10">
        <f>PVCalcs!AC128+BattCalcs!BJ128</f>
        <v>0</v>
      </c>
      <c r="AG128" s="144">
        <f>IF('PV IN'!$F$4="Battery Only",0,PVCalcs!AG128)</f>
        <v>-750</v>
      </c>
      <c r="AH128" s="144">
        <f>IF('PV IN'!$F$4="Battery Only",0,PVCalcs!AI128)</f>
        <v>0</v>
      </c>
      <c r="AI128" s="144">
        <f>IF('PV IN'!$F$4="PV Only",0,BattCalcs!BM128)</f>
        <v>0</v>
      </c>
      <c r="AJ128" s="144">
        <f>IF('PV IN'!$F$4="PV Only",0,SUM(BattCalcs!BO128:BT128))</f>
        <v>0</v>
      </c>
      <c r="AK128" s="144">
        <f>IF('PV IN'!$F$4="PV Only",PVCalcs!AH128,IF('PV IN'!$F$4="Battery Only",BattCalcs!BN128,PVCalcs!AH128+BattCalcs!BN128))</f>
        <v>-625</v>
      </c>
      <c r="AL128" s="144">
        <f>IF('PV IN'!$F$4="PV Only",0,BattCalcs!BV128)</f>
        <v>0</v>
      </c>
      <c r="AM128" s="144">
        <f>IF('PV IN'!$F$4="PV Only",0,SUM(BattCalcs!BW128:BX128))</f>
        <v>0</v>
      </c>
      <c r="AN128" s="144">
        <f>IF('PV IN'!$F$4="PV Only",0,BattCalcs!BY128)</f>
        <v>0</v>
      </c>
      <c r="AO128" s="144">
        <f>IF('PV IN'!$F$4="Battery Only",0,PVCalcs!U128)</f>
        <v>11345.748239940816</v>
      </c>
      <c r="AP128" s="10">
        <f>IF('PV IN'!$F$4="PV Only",0,BattCalcs!AS128)</f>
        <v>0</v>
      </c>
      <c r="AQ128" s="10">
        <f>IF('PV IN'!$F$4="PV Only",0,BattCalcs!AT128)</f>
        <v>0</v>
      </c>
      <c r="AR128" s="10">
        <f>IF('PV IN'!$F$4="PV Only",0,BattCalcs!AU128)</f>
        <v>0</v>
      </c>
      <c r="AS128" s="144">
        <f>IF('PV IN'!$F$4="PV Only",PVCalcs!X128,IF('PV IN'!$F$4="Battery Only",BattCalcs!AW128,PVCalcs!X128+BattCalcs!AW128))</f>
        <v>0</v>
      </c>
      <c r="AT128" s="144">
        <f>IF('PV IN'!$F$4="Battery Only",0,-PVCalcs!AQ128*'PV IN'!$E$8)</f>
        <v>0</v>
      </c>
      <c r="AU128" s="144">
        <f>IF('PV IN'!$F$4="PV Only",0,-BattCalcs!CG128*'PV IN'!$E$8)</f>
        <v>0</v>
      </c>
      <c r="AV128" s="144">
        <f>IF('PV IN'!$F$4="PV Only",PVCalcs!Z128+PVCalcs!AA128,IF('PV IN'!$F$4="Battery Only",SUM(BattCalcs!BC128:BH128),PVCalcs!Z128+PVCalcs!AA128+SUM(BattCalcs!BC128:BH128)))</f>
        <v>0</v>
      </c>
      <c r="AW128" s="144">
        <f>IF('PV IN'!$F$4="PV Only",SUM(PVCalcs!AF128:AI128),IF('PV IN'!$F$4="Battery Only",SUM(BattCalcs!BL128:BY128),SUM(PVCalcs!AF128:AI128)+SUM(BattCalcs!BL128:BY128)))</f>
        <v>-1375</v>
      </c>
      <c r="AX128" s="144">
        <f>IF('PV IN'!$F$4="Battery Only",0,-PVLoan!F156)</f>
        <v>0</v>
      </c>
      <c r="AY128" s="144">
        <f>IF('PV IN'!$F$4="PV Only",0,-BattLoan!F156)</f>
        <v>0</v>
      </c>
      <c r="AZ128" s="144">
        <f>IF('PV IN'!$F$4="Battery Only",0,-PVLoan!H156)</f>
        <v>0</v>
      </c>
      <c r="BA128" s="144">
        <f>IF('PV IN'!$F$4="PV Only",0,-BattLoan!H156)</f>
        <v>0</v>
      </c>
    </row>
    <row r="129" spans="1:88" x14ac:dyDescent="0.25">
      <c r="A129">
        <f>IF(C129&lt;='PV IN'!$O$22*12,C129,"")</f>
        <v>125</v>
      </c>
      <c r="C129">
        <v>125</v>
      </c>
      <c r="D129" s="2">
        <f>BattCalcs!CK129+PVCalcs!AT129</f>
        <v>12077.088541045561</v>
      </c>
      <c r="E129" s="20">
        <f>PVCalcs!AV129</f>
        <v>302669.72423936165</v>
      </c>
      <c r="F129" s="20">
        <f>PVCalcs!AW129</f>
        <v>7265.0797327710698</v>
      </c>
      <c r="G129" s="20">
        <f>PVCalcs!AX129</f>
        <v>-86334.481912840318</v>
      </c>
      <c r="H129" s="20">
        <f>BattCalcs!CM129</f>
        <v>0</v>
      </c>
      <c r="I129" s="20">
        <f>BattCalcs!CN129</f>
        <v>0</v>
      </c>
      <c r="J129" s="20">
        <f>IF(C129&lt;='Batt IN'!H$43*12,BattCalcs!CO129,NA())</f>
        <v>0</v>
      </c>
      <c r="L129" s="20">
        <f t="shared" si="142"/>
        <v>7265.0797327710698</v>
      </c>
      <c r="M129" s="20">
        <f>G129+BattCalcs!CO129</f>
        <v>-86334.481912840318</v>
      </c>
      <c r="O129" s="10">
        <f>PVLoan!G157</f>
        <v>0</v>
      </c>
      <c r="P129" s="10">
        <f>PVLoan!J157</f>
        <v>0</v>
      </c>
      <c r="Q129" s="2" t="str">
        <f>BattLoan!G157</f>
        <v>-</v>
      </c>
      <c r="R129" s="10" t="str">
        <f>BattLoan!J157</f>
        <v>-</v>
      </c>
      <c r="T129" s="33">
        <f>IF('PV IN'!$F$4="Battery Only",0,PVCalcs!G129)</f>
        <v>140396.47178959282</v>
      </c>
      <c r="U129" s="33">
        <f>IF('PV IN'!$F$4="Battery Only",0,PVCalcs!M129)</f>
        <v>140396.47178959282</v>
      </c>
      <c r="V129" s="33">
        <f>PVCalcs!L129</f>
        <v>25811.765833333331</v>
      </c>
      <c r="W129" s="158">
        <f>PVCalcs!F129</f>
        <v>8.0758328633592641E-2</v>
      </c>
      <c r="X129" s="144">
        <f>IF('PV IN'!$F$4="Battery Only",0,PVCalcs!Y129+PVCalcs!Z129)</f>
        <v>1825.1541332647066</v>
      </c>
      <c r="Y129" s="144">
        <f>IF('PV IN'!$F$4="PV Only",0,BattCalcs!AX129+BattCalcs!BC129)</f>
        <v>0</v>
      </c>
      <c r="Z129" s="144">
        <f>IF('PV IN'!$F$4="PV Only",0,BattCalcs!AY129+BattCalcs!BD129)</f>
        <v>0</v>
      </c>
      <c r="AA129" s="144">
        <f>IF('PV IN'!$F$4="PV Only",0,BattCalcs!AZ129+BattCalcs!BE129)</f>
        <v>0</v>
      </c>
      <c r="AB129" s="144">
        <f>IF('PV IN'!$F$4="PV Only",0,BattCalcs!BA129+BattCalcs!BF129)</f>
        <v>0</v>
      </c>
      <c r="AC129" s="144">
        <f>IF('PV IN'!$F$4="PV Only",0,BattCalcs!BB129+BattCalcs!BG129)</f>
        <v>0</v>
      </c>
      <c r="AD129" s="144">
        <f>IF('PV IN'!$F$4="PV Only",0,BattCalcs!BU129)</f>
        <v>0</v>
      </c>
      <c r="AE129" s="144">
        <f>IF('PV IN'!$F$4="PV Only",PVCalcs!W129+PVCalcs!AA129,IF('PV IN'!$F$4="Battery Only",BattCalcs!AV129+BattCalcs!BH129,PVCalcs!W129+PVCalcs!AA129+BattCalcs!AV129+BattCalcs!BH129))</f>
        <v>0</v>
      </c>
      <c r="AF129" s="10">
        <f>PVCalcs!AC129+BattCalcs!BJ129</f>
        <v>0</v>
      </c>
      <c r="AG129" s="144">
        <f>IF('PV IN'!$F$4="Battery Only",0,PVCalcs!AG129)</f>
        <v>-750</v>
      </c>
      <c r="AH129" s="144">
        <f>IF('PV IN'!$F$4="Battery Only",0,PVCalcs!AI129)</f>
        <v>0</v>
      </c>
      <c r="AI129" s="144">
        <f>IF('PV IN'!$F$4="PV Only",0,BattCalcs!BM129)</f>
        <v>0</v>
      </c>
      <c r="AJ129" s="144">
        <f>IF('PV IN'!$F$4="PV Only",0,SUM(BattCalcs!BO129:BT129))</f>
        <v>0</v>
      </c>
      <c r="AK129" s="144">
        <f>IF('PV IN'!$F$4="PV Only",PVCalcs!AH129,IF('PV IN'!$F$4="Battery Only",BattCalcs!BN129,PVCalcs!AH129+BattCalcs!BN129))</f>
        <v>-625</v>
      </c>
      <c r="AL129" s="144">
        <f>IF('PV IN'!$F$4="PV Only",0,BattCalcs!BV129)</f>
        <v>0</v>
      </c>
      <c r="AM129" s="144">
        <f>IF('PV IN'!$F$4="PV Only",0,SUM(BattCalcs!BW129:BX129))</f>
        <v>0</v>
      </c>
      <c r="AN129" s="144">
        <f>IF('PV IN'!$F$4="PV Only",0,BattCalcs!BY129)</f>
        <v>0</v>
      </c>
      <c r="AO129" s="144">
        <f>IF('PV IN'!$F$4="Battery Only",0,PVCalcs!U129)</f>
        <v>11338.184407780855</v>
      </c>
      <c r="AP129" s="10">
        <f>IF('PV IN'!$F$4="PV Only",0,BattCalcs!AS129)</f>
        <v>0</v>
      </c>
      <c r="AQ129" s="10">
        <f>IF('PV IN'!$F$4="PV Only",0,BattCalcs!AT129)</f>
        <v>0</v>
      </c>
      <c r="AR129" s="10">
        <f>IF('PV IN'!$F$4="PV Only",0,BattCalcs!AU129)</f>
        <v>0</v>
      </c>
      <c r="AS129" s="144">
        <f>IF('PV IN'!$F$4="PV Only",PVCalcs!X129,IF('PV IN'!$F$4="Battery Only",BattCalcs!AW129,PVCalcs!X129+BattCalcs!AW129))</f>
        <v>0</v>
      </c>
      <c r="AT129" s="144">
        <f>IF('PV IN'!$F$4="Battery Only",0,-PVCalcs!AQ129*'PV IN'!$E$8)</f>
        <v>0</v>
      </c>
      <c r="AU129" s="144">
        <f>IF('PV IN'!$F$4="PV Only",0,-BattCalcs!CG129*'PV IN'!$E$8)</f>
        <v>0</v>
      </c>
      <c r="AV129" s="144">
        <f>IF('PV IN'!$F$4="PV Only",PVCalcs!Z129+PVCalcs!AA129,IF('PV IN'!$F$4="Battery Only",SUM(BattCalcs!BC129:BH129),PVCalcs!Z129+PVCalcs!AA129+SUM(BattCalcs!BC129:BH129)))</f>
        <v>0</v>
      </c>
      <c r="AW129" s="144">
        <f>IF('PV IN'!$F$4="PV Only",SUM(PVCalcs!AF129:AI129),IF('PV IN'!$F$4="Battery Only",SUM(BattCalcs!BL129:BY129),SUM(PVCalcs!AF129:AI129)+SUM(BattCalcs!BL129:BY129)))</f>
        <v>-1375</v>
      </c>
      <c r="AX129" s="144">
        <f>IF('PV IN'!$F$4="Battery Only",0,-PVLoan!F157)</f>
        <v>0</v>
      </c>
      <c r="AY129" s="144">
        <f>IF('PV IN'!$F$4="PV Only",0,-BattLoan!F157)</f>
        <v>0</v>
      </c>
      <c r="AZ129" s="144">
        <f>IF('PV IN'!$F$4="Battery Only",0,-PVLoan!H157)</f>
        <v>0</v>
      </c>
      <c r="BA129" s="144">
        <f>IF('PV IN'!$F$4="PV Only",0,-BattLoan!H157)</f>
        <v>0</v>
      </c>
    </row>
    <row r="130" spans="1:88" x14ac:dyDescent="0.25">
      <c r="A130">
        <f>IF(C130&lt;='PV IN'!$O$22*12,C130,"")</f>
        <v>126</v>
      </c>
      <c r="C130">
        <v>126</v>
      </c>
      <c r="D130" s="2">
        <f>BattCalcs!CK130+PVCalcs!AT130</f>
        <v>12068.3129820182</v>
      </c>
      <c r="E130" s="20">
        <f>PVCalcs!AV130</f>
        <v>314738.03722137987</v>
      </c>
      <c r="F130" s="20">
        <f>PVCalcs!AW130</f>
        <v>7230.3434033773938</v>
      </c>
      <c r="G130" s="20">
        <f>PVCalcs!AX130</f>
        <v>-79104.138509462922</v>
      </c>
      <c r="H130" s="20">
        <f>BattCalcs!CM130</f>
        <v>0</v>
      </c>
      <c r="I130" s="20">
        <f>BattCalcs!CN130</f>
        <v>0</v>
      </c>
      <c r="J130" s="20">
        <f>IF(C130&lt;='Batt IN'!H$43*12,BattCalcs!CO130,NA())</f>
        <v>0</v>
      </c>
      <c r="L130" s="20">
        <f t="shared" si="142"/>
        <v>7230.3434033773938</v>
      </c>
      <c r="M130" s="20">
        <f>G130+BattCalcs!CO130</f>
        <v>-79104.138509462922</v>
      </c>
      <c r="O130" s="10">
        <f>PVLoan!G158</f>
        <v>0</v>
      </c>
      <c r="P130" s="10">
        <f>PVLoan!J158</f>
        <v>0</v>
      </c>
      <c r="Q130" s="2" t="str">
        <f>BattLoan!G158</f>
        <v>-</v>
      </c>
      <c r="R130" s="10" t="str">
        <f>BattLoan!J158</f>
        <v>-</v>
      </c>
      <c r="T130" s="33">
        <f>IF('PV IN'!$F$4="Battery Only",0,PVCalcs!G130)</f>
        <v>140302.8741417331</v>
      </c>
      <c r="U130" s="33">
        <f>IF('PV IN'!$F$4="Battery Only",0,PVCalcs!M130)</f>
        <v>140302.8741417331</v>
      </c>
      <c r="V130" s="33">
        <f>PVCalcs!L130</f>
        <v>25811.765833333331</v>
      </c>
      <c r="W130" s="158">
        <f>PVCalcs!F130</f>
        <v>8.0758328633592641E-2</v>
      </c>
      <c r="X130" s="144">
        <f>IF('PV IN'!$F$4="Battery Only",0,PVCalcs!Y130+PVCalcs!Z130)</f>
        <v>1823.9373638425304</v>
      </c>
      <c r="Y130" s="144">
        <f>IF('PV IN'!$F$4="PV Only",0,BattCalcs!AX130+BattCalcs!BC130)</f>
        <v>0</v>
      </c>
      <c r="Z130" s="144">
        <f>IF('PV IN'!$F$4="PV Only",0,BattCalcs!AY130+BattCalcs!BD130)</f>
        <v>0</v>
      </c>
      <c r="AA130" s="144">
        <f>IF('PV IN'!$F$4="PV Only",0,BattCalcs!AZ130+BattCalcs!BE130)</f>
        <v>0</v>
      </c>
      <c r="AB130" s="144">
        <f>IF('PV IN'!$F$4="PV Only",0,BattCalcs!BA130+BattCalcs!BF130)</f>
        <v>0</v>
      </c>
      <c r="AC130" s="144">
        <f>IF('PV IN'!$F$4="PV Only",0,BattCalcs!BB130+BattCalcs!BG130)</f>
        <v>0</v>
      </c>
      <c r="AD130" s="144">
        <f>IF('PV IN'!$F$4="PV Only",0,BattCalcs!BU130)</f>
        <v>0</v>
      </c>
      <c r="AE130" s="144">
        <f>IF('PV IN'!$F$4="PV Only",PVCalcs!W130+PVCalcs!AA130,IF('PV IN'!$F$4="Battery Only",BattCalcs!AV130+BattCalcs!BH130,PVCalcs!W130+PVCalcs!AA130+BattCalcs!AV130+BattCalcs!BH130))</f>
        <v>0</v>
      </c>
      <c r="AF130" s="10">
        <f>PVCalcs!AC130+BattCalcs!BJ130</f>
        <v>0</v>
      </c>
      <c r="AG130" s="144">
        <f>IF('PV IN'!$F$4="Battery Only",0,PVCalcs!AG130)</f>
        <v>-750</v>
      </c>
      <c r="AH130" s="144">
        <f>IF('PV IN'!$F$4="Battery Only",0,PVCalcs!AI130)</f>
        <v>0</v>
      </c>
      <c r="AI130" s="144">
        <f>IF('PV IN'!$F$4="PV Only",0,BattCalcs!BM130)</f>
        <v>0</v>
      </c>
      <c r="AJ130" s="144">
        <f>IF('PV IN'!$F$4="PV Only",0,SUM(BattCalcs!BO130:BT130))</f>
        <v>0</v>
      </c>
      <c r="AK130" s="144">
        <f>IF('PV IN'!$F$4="PV Only",PVCalcs!AH130,IF('PV IN'!$F$4="Battery Only",BattCalcs!BN130,PVCalcs!AH130+BattCalcs!BN130))</f>
        <v>-625</v>
      </c>
      <c r="AL130" s="144">
        <f>IF('PV IN'!$F$4="PV Only",0,BattCalcs!BV130)</f>
        <v>0</v>
      </c>
      <c r="AM130" s="144">
        <f>IF('PV IN'!$F$4="PV Only",0,SUM(BattCalcs!BW130:BX130))</f>
        <v>0</v>
      </c>
      <c r="AN130" s="144">
        <f>IF('PV IN'!$F$4="PV Only",0,BattCalcs!BY130)</f>
        <v>0</v>
      </c>
      <c r="AO130" s="144">
        <f>IF('PV IN'!$F$4="Battery Only",0,PVCalcs!U130)</f>
        <v>11330.625618175669</v>
      </c>
      <c r="AP130" s="10">
        <f>IF('PV IN'!$F$4="PV Only",0,BattCalcs!AS130)</f>
        <v>0</v>
      </c>
      <c r="AQ130" s="10">
        <f>IF('PV IN'!$F$4="PV Only",0,BattCalcs!AT130)</f>
        <v>0</v>
      </c>
      <c r="AR130" s="10">
        <f>IF('PV IN'!$F$4="PV Only",0,BattCalcs!AU130)</f>
        <v>0</v>
      </c>
      <c r="AS130" s="144">
        <f>IF('PV IN'!$F$4="PV Only",PVCalcs!X130,IF('PV IN'!$F$4="Battery Only",BattCalcs!AW130,PVCalcs!X130+BattCalcs!AW130))</f>
        <v>0</v>
      </c>
      <c r="AT130" s="144">
        <f>IF('PV IN'!$F$4="Battery Only",0,-PVCalcs!AQ130*'PV IN'!$E$8)</f>
        <v>0</v>
      </c>
      <c r="AU130" s="144">
        <f>IF('PV IN'!$F$4="PV Only",0,-BattCalcs!CG130*'PV IN'!$E$8)</f>
        <v>0</v>
      </c>
      <c r="AV130" s="144">
        <f>IF('PV IN'!$F$4="PV Only",PVCalcs!Z130+PVCalcs!AA130,IF('PV IN'!$F$4="Battery Only",SUM(BattCalcs!BC130:BH130),PVCalcs!Z130+PVCalcs!AA130+SUM(BattCalcs!BC130:BH130)))</f>
        <v>0</v>
      </c>
      <c r="AW130" s="144">
        <f>IF('PV IN'!$F$4="PV Only",SUM(PVCalcs!AF130:AI130),IF('PV IN'!$F$4="Battery Only",SUM(BattCalcs!BL130:BY130),SUM(PVCalcs!AF130:AI130)+SUM(BattCalcs!BL130:BY130)))</f>
        <v>-1375</v>
      </c>
      <c r="AX130" s="144">
        <f>IF('PV IN'!$F$4="Battery Only",0,-PVLoan!F158)</f>
        <v>0</v>
      </c>
      <c r="AY130" s="144">
        <f>IF('PV IN'!$F$4="PV Only",0,-BattLoan!F158)</f>
        <v>0</v>
      </c>
      <c r="AZ130" s="144">
        <f>IF('PV IN'!$F$4="Battery Only",0,-PVLoan!H158)</f>
        <v>0</v>
      </c>
      <c r="BA130" s="144">
        <f>IF('PV IN'!$F$4="PV Only",0,-BattLoan!H158)</f>
        <v>0</v>
      </c>
    </row>
    <row r="131" spans="1:88" x14ac:dyDescent="0.25">
      <c r="A131">
        <f>IF(C131&lt;='PV IN'!$O$22*12,C131,"")</f>
        <v>127</v>
      </c>
      <c r="C131">
        <v>127</v>
      </c>
      <c r="D131" s="2">
        <f>BattCalcs!CK131+PVCalcs!AT131</f>
        <v>12059.543273363517</v>
      </c>
      <c r="E131" s="20">
        <f>PVCalcs!AV131</f>
        <v>326797.58049474336</v>
      </c>
      <c r="F131" s="20">
        <f>PVCalcs!AW131</f>
        <v>7195.7728438798513</v>
      </c>
      <c r="G131" s="20">
        <f>PVCalcs!AX131</f>
        <v>-71908.365665583071</v>
      </c>
      <c r="H131" s="20">
        <f>BattCalcs!CM131</f>
        <v>0</v>
      </c>
      <c r="I131" s="20">
        <f>BattCalcs!CN131</f>
        <v>0</v>
      </c>
      <c r="J131" s="20">
        <f>IF(C131&lt;='Batt IN'!H$43*12,BattCalcs!CO131,NA())</f>
        <v>0</v>
      </c>
      <c r="L131" s="20">
        <f t="shared" si="142"/>
        <v>7195.7728438798513</v>
      </c>
      <c r="M131" s="20">
        <f>G131+BattCalcs!CO131</f>
        <v>-71908.365665583071</v>
      </c>
      <c r="O131" s="10">
        <f>PVLoan!G159</f>
        <v>0</v>
      </c>
      <c r="P131" s="10">
        <f>PVLoan!J159</f>
        <v>0</v>
      </c>
      <c r="Q131" s="2" t="str">
        <f>BattLoan!G159</f>
        <v>-</v>
      </c>
      <c r="R131" s="10" t="str">
        <f>BattLoan!J159</f>
        <v>-</v>
      </c>
      <c r="T131" s="33">
        <f>IF('PV IN'!$F$4="Battery Only",0,PVCalcs!G131)</f>
        <v>140209.33889230524</v>
      </c>
      <c r="U131" s="33">
        <f>IF('PV IN'!$F$4="Battery Only",0,PVCalcs!M131)</f>
        <v>140209.33889230524</v>
      </c>
      <c r="V131" s="33">
        <f>PVCalcs!L131</f>
        <v>25811.765833333331</v>
      </c>
      <c r="W131" s="158">
        <f>PVCalcs!F131</f>
        <v>8.0758328633592641E-2</v>
      </c>
      <c r="X131" s="144">
        <f>IF('PV IN'!$F$4="Battery Only",0,PVCalcs!Y131+PVCalcs!Z131)</f>
        <v>1822.721405599968</v>
      </c>
      <c r="Y131" s="144">
        <f>IF('PV IN'!$F$4="PV Only",0,BattCalcs!AX131+BattCalcs!BC131)</f>
        <v>0</v>
      </c>
      <c r="Z131" s="144">
        <f>IF('PV IN'!$F$4="PV Only",0,BattCalcs!AY131+BattCalcs!BD131)</f>
        <v>0</v>
      </c>
      <c r="AA131" s="144">
        <f>IF('PV IN'!$F$4="PV Only",0,BattCalcs!AZ131+BattCalcs!BE131)</f>
        <v>0</v>
      </c>
      <c r="AB131" s="144">
        <f>IF('PV IN'!$F$4="PV Only",0,BattCalcs!BA131+BattCalcs!BF131)</f>
        <v>0</v>
      </c>
      <c r="AC131" s="144">
        <f>IF('PV IN'!$F$4="PV Only",0,BattCalcs!BB131+BattCalcs!BG131)</f>
        <v>0</v>
      </c>
      <c r="AD131" s="144">
        <f>IF('PV IN'!$F$4="PV Only",0,BattCalcs!BU131)</f>
        <v>0</v>
      </c>
      <c r="AE131" s="144">
        <f>IF('PV IN'!$F$4="PV Only",PVCalcs!W131+PVCalcs!AA131,IF('PV IN'!$F$4="Battery Only",BattCalcs!AV131+BattCalcs!BH131,PVCalcs!W131+PVCalcs!AA131+BattCalcs!AV131+BattCalcs!BH131))</f>
        <v>0</v>
      </c>
      <c r="AF131" s="10">
        <f>PVCalcs!AC131+BattCalcs!BJ131</f>
        <v>0</v>
      </c>
      <c r="AG131" s="144">
        <f>IF('PV IN'!$F$4="Battery Only",0,PVCalcs!AG131)</f>
        <v>-750</v>
      </c>
      <c r="AH131" s="144">
        <f>IF('PV IN'!$F$4="Battery Only",0,PVCalcs!AI131)</f>
        <v>0</v>
      </c>
      <c r="AI131" s="144">
        <f>IF('PV IN'!$F$4="PV Only",0,BattCalcs!BM131)</f>
        <v>0</v>
      </c>
      <c r="AJ131" s="144">
        <f>IF('PV IN'!$F$4="PV Only",0,SUM(BattCalcs!BO131:BT131))</f>
        <v>0</v>
      </c>
      <c r="AK131" s="144">
        <f>IF('PV IN'!$F$4="PV Only",PVCalcs!AH131,IF('PV IN'!$F$4="Battery Only",BattCalcs!BN131,PVCalcs!AH131+BattCalcs!BN131))</f>
        <v>-625</v>
      </c>
      <c r="AL131" s="144">
        <f>IF('PV IN'!$F$4="PV Only",0,BattCalcs!BV131)</f>
        <v>0</v>
      </c>
      <c r="AM131" s="144">
        <f>IF('PV IN'!$F$4="PV Only",0,SUM(BattCalcs!BW131:BX131))</f>
        <v>0</v>
      </c>
      <c r="AN131" s="144">
        <f>IF('PV IN'!$F$4="PV Only",0,BattCalcs!BY131)</f>
        <v>0</v>
      </c>
      <c r="AO131" s="144">
        <f>IF('PV IN'!$F$4="Battery Only",0,PVCalcs!U131)</f>
        <v>11323.071867763549</v>
      </c>
      <c r="AP131" s="10">
        <f>IF('PV IN'!$F$4="PV Only",0,BattCalcs!AS131)</f>
        <v>0</v>
      </c>
      <c r="AQ131" s="10">
        <f>IF('PV IN'!$F$4="PV Only",0,BattCalcs!AT131)</f>
        <v>0</v>
      </c>
      <c r="AR131" s="10">
        <f>IF('PV IN'!$F$4="PV Only",0,BattCalcs!AU131)</f>
        <v>0</v>
      </c>
      <c r="AS131" s="144">
        <f>IF('PV IN'!$F$4="PV Only",PVCalcs!X131,IF('PV IN'!$F$4="Battery Only",BattCalcs!AW131,PVCalcs!X131+BattCalcs!AW131))</f>
        <v>0</v>
      </c>
      <c r="AT131" s="144">
        <f>IF('PV IN'!$F$4="Battery Only",0,-PVCalcs!AQ131*'PV IN'!$E$8)</f>
        <v>0</v>
      </c>
      <c r="AU131" s="144">
        <f>IF('PV IN'!$F$4="PV Only",0,-BattCalcs!CG131*'PV IN'!$E$8)</f>
        <v>0</v>
      </c>
      <c r="AV131" s="144">
        <f>IF('PV IN'!$F$4="PV Only",PVCalcs!Z131+PVCalcs!AA131,IF('PV IN'!$F$4="Battery Only",SUM(BattCalcs!BC131:BH131),PVCalcs!Z131+PVCalcs!AA131+SUM(BattCalcs!BC131:BH131)))</f>
        <v>0</v>
      </c>
      <c r="AW131" s="144">
        <f>IF('PV IN'!$F$4="PV Only",SUM(PVCalcs!AF131:AI131),IF('PV IN'!$F$4="Battery Only",SUM(BattCalcs!BL131:BY131),SUM(PVCalcs!AF131:AI131)+SUM(BattCalcs!BL131:BY131)))</f>
        <v>-1375</v>
      </c>
      <c r="AX131" s="144">
        <f>IF('PV IN'!$F$4="Battery Only",0,-PVLoan!F159)</f>
        <v>0</v>
      </c>
      <c r="AY131" s="144">
        <f>IF('PV IN'!$F$4="PV Only",0,-BattLoan!F159)</f>
        <v>0</v>
      </c>
      <c r="AZ131" s="144">
        <f>IF('PV IN'!$F$4="Battery Only",0,-PVLoan!H159)</f>
        <v>0</v>
      </c>
      <c r="BA131" s="144">
        <f>IF('PV IN'!$F$4="PV Only",0,-BattLoan!H159)</f>
        <v>0</v>
      </c>
    </row>
    <row r="132" spans="1:88" x14ac:dyDescent="0.25">
      <c r="A132">
        <f>IF(C132&lt;='PV IN'!$O$22*12,C132,"")</f>
        <v>128</v>
      </c>
      <c r="C132">
        <v>128</v>
      </c>
      <c r="D132" s="2">
        <f>BattCalcs!CK132+PVCalcs!AT132</f>
        <v>12050.779411181276</v>
      </c>
      <c r="E132" s="20">
        <f>PVCalcs!AV132</f>
        <v>338848.35990592465</v>
      </c>
      <c r="F132" s="20">
        <f>PVCalcs!AW132</f>
        <v>7161.3672644437765</v>
      </c>
      <c r="G132" s="20">
        <f>PVCalcs!AX132</f>
        <v>-64746.998401139295</v>
      </c>
      <c r="H132" s="20">
        <f>BattCalcs!CM132</f>
        <v>0</v>
      </c>
      <c r="I132" s="20">
        <f>BattCalcs!CN132</f>
        <v>0</v>
      </c>
      <c r="J132" s="20">
        <f>IF(C132&lt;='Batt IN'!H$43*12,BattCalcs!CO132,NA())</f>
        <v>0</v>
      </c>
      <c r="L132" s="20">
        <f t="shared" si="142"/>
        <v>7161.3672644437765</v>
      </c>
      <c r="M132" s="20">
        <f>G132+BattCalcs!CO132</f>
        <v>-64746.998401139295</v>
      </c>
      <c r="O132" s="10">
        <f>PVLoan!G160</f>
        <v>0</v>
      </c>
      <c r="P132" s="10">
        <f>PVLoan!J160</f>
        <v>0</v>
      </c>
      <c r="Q132" s="2" t="str">
        <f>BattLoan!G160</f>
        <v>-</v>
      </c>
      <c r="R132" s="10" t="str">
        <f>BattLoan!J160</f>
        <v>-</v>
      </c>
      <c r="T132" s="33">
        <f>IF('PV IN'!$F$4="Battery Only",0,PVCalcs!G132)</f>
        <v>140115.8659997104</v>
      </c>
      <c r="U132" s="33">
        <f>IF('PV IN'!$F$4="Battery Only",0,PVCalcs!M132)</f>
        <v>140115.8659997104</v>
      </c>
      <c r="V132" s="33">
        <f>PVCalcs!L132</f>
        <v>25811.765833333331</v>
      </c>
      <c r="W132" s="158">
        <f>PVCalcs!F132</f>
        <v>8.0758328633592641E-2</v>
      </c>
      <c r="X132" s="144">
        <f>IF('PV IN'!$F$4="Battery Only",0,PVCalcs!Y132+PVCalcs!Z132)</f>
        <v>1821.506257996235</v>
      </c>
      <c r="Y132" s="144">
        <f>IF('PV IN'!$F$4="PV Only",0,BattCalcs!AX132+BattCalcs!BC132)</f>
        <v>0</v>
      </c>
      <c r="Z132" s="144">
        <f>IF('PV IN'!$F$4="PV Only",0,BattCalcs!AY132+BattCalcs!BD132)</f>
        <v>0</v>
      </c>
      <c r="AA132" s="144">
        <f>IF('PV IN'!$F$4="PV Only",0,BattCalcs!AZ132+BattCalcs!BE132)</f>
        <v>0</v>
      </c>
      <c r="AB132" s="144">
        <f>IF('PV IN'!$F$4="PV Only",0,BattCalcs!BA132+BattCalcs!BF132)</f>
        <v>0</v>
      </c>
      <c r="AC132" s="144">
        <f>IF('PV IN'!$F$4="PV Only",0,BattCalcs!BB132+BattCalcs!BG132)</f>
        <v>0</v>
      </c>
      <c r="AD132" s="144">
        <f>IF('PV IN'!$F$4="PV Only",0,BattCalcs!BU132)</f>
        <v>0</v>
      </c>
      <c r="AE132" s="144">
        <f>IF('PV IN'!$F$4="PV Only",PVCalcs!W132+PVCalcs!AA132,IF('PV IN'!$F$4="Battery Only",BattCalcs!AV132+BattCalcs!BH132,PVCalcs!W132+PVCalcs!AA132+BattCalcs!AV132+BattCalcs!BH132))</f>
        <v>0</v>
      </c>
      <c r="AF132" s="10">
        <f>PVCalcs!AC132+BattCalcs!BJ132</f>
        <v>0</v>
      </c>
      <c r="AG132" s="144">
        <f>IF('PV IN'!$F$4="Battery Only",0,PVCalcs!AG132)</f>
        <v>-750</v>
      </c>
      <c r="AH132" s="144">
        <f>IF('PV IN'!$F$4="Battery Only",0,PVCalcs!AI132)</f>
        <v>0</v>
      </c>
      <c r="AI132" s="144">
        <f>IF('PV IN'!$F$4="PV Only",0,BattCalcs!BM132)</f>
        <v>0</v>
      </c>
      <c r="AJ132" s="144">
        <f>IF('PV IN'!$F$4="PV Only",0,SUM(BattCalcs!BO132:BT132))</f>
        <v>0</v>
      </c>
      <c r="AK132" s="144">
        <f>IF('PV IN'!$F$4="PV Only",PVCalcs!AH132,IF('PV IN'!$F$4="Battery Only",BattCalcs!BN132,PVCalcs!AH132+BattCalcs!BN132))</f>
        <v>-625</v>
      </c>
      <c r="AL132" s="144">
        <f>IF('PV IN'!$F$4="PV Only",0,BattCalcs!BV132)</f>
        <v>0</v>
      </c>
      <c r="AM132" s="144">
        <f>IF('PV IN'!$F$4="PV Only",0,SUM(BattCalcs!BW132:BX132))</f>
        <v>0</v>
      </c>
      <c r="AN132" s="144">
        <f>IF('PV IN'!$F$4="PV Only",0,BattCalcs!BY132)</f>
        <v>0</v>
      </c>
      <c r="AO132" s="144">
        <f>IF('PV IN'!$F$4="Battery Only",0,PVCalcs!U132)</f>
        <v>11315.523153185042</v>
      </c>
      <c r="AP132" s="10">
        <f>IF('PV IN'!$F$4="PV Only",0,BattCalcs!AS132)</f>
        <v>0</v>
      </c>
      <c r="AQ132" s="10">
        <f>IF('PV IN'!$F$4="PV Only",0,BattCalcs!AT132)</f>
        <v>0</v>
      </c>
      <c r="AR132" s="10">
        <f>IF('PV IN'!$F$4="PV Only",0,BattCalcs!AU132)</f>
        <v>0</v>
      </c>
      <c r="AS132" s="144">
        <f>IF('PV IN'!$F$4="PV Only",PVCalcs!X132,IF('PV IN'!$F$4="Battery Only",BattCalcs!AW132,PVCalcs!X132+BattCalcs!AW132))</f>
        <v>0</v>
      </c>
      <c r="AT132" s="144">
        <f>IF('PV IN'!$F$4="Battery Only",0,-PVCalcs!AQ132*'PV IN'!$E$8)</f>
        <v>0</v>
      </c>
      <c r="AU132" s="144">
        <f>IF('PV IN'!$F$4="PV Only",0,-BattCalcs!CG132*'PV IN'!$E$8)</f>
        <v>0</v>
      </c>
      <c r="AV132" s="144">
        <f>IF('PV IN'!$F$4="PV Only",PVCalcs!Z132+PVCalcs!AA132,IF('PV IN'!$F$4="Battery Only",SUM(BattCalcs!BC132:BH132),PVCalcs!Z132+PVCalcs!AA132+SUM(BattCalcs!BC132:BH132)))</f>
        <v>0</v>
      </c>
      <c r="AW132" s="144">
        <f>IF('PV IN'!$F$4="PV Only",SUM(PVCalcs!AF132:AI132),IF('PV IN'!$F$4="Battery Only",SUM(BattCalcs!BL132:BY132),SUM(PVCalcs!AF132:AI132)+SUM(BattCalcs!BL132:BY132)))</f>
        <v>-1375</v>
      </c>
      <c r="AX132" s="144">
        <f>IF('PV IN'!$F$4="Battery Only",0,-PVLoan!F160)</f>
        <v>0</v>
      </c>
      <c r="AY132" s="144">
        <f>IF('PV IN'!$F$4="PV Only",0,-BattLoan!F160)</f>
        <v>0</v>
      </c>
      <c r="AZ132" s="144">
        <f>IF('PV IN'!$F$4="Battery Only",0,-PVLoan!H160)</f>
        <v>0</v>
      </c>
      <c r="BA132" s="144">
        <f>IF('PV IN'!$F$4="PV Only",0,-BattLoan!H160)</f>
        <v>0</v>
      </c>
    </row>
    <row r="133" spans="1:88" x14ac:dyDescent="0.25">
      <c r="A133">
        <f>IF(C133&lt;='PV IN'!$O$22*12,C133,"")</f>
        <v>129</v>
      </c>
      <c r="C133">
        <v>129</v>
      </c>
      <c r="D133" s="2">
        <f>BattCalcs!CK133+PVCalcs!AT133</f>
        <v>12042.021391573822</v>
      </c>
      <c r="E133" s="20">
        <f>PVCalcs!AV133</f>
        <v>350890.38129749848</v>
      </c>
      <c r="F133" s="20">
        <f>PVCalcs!AW133</f>
        <v>7127.1258789927206</v>
      </c>
      <c r="G133" s="20">
        <f>PVCalcs!AX133</f>
        <v>-57619.872522146572</v>
      </c>
      <c r="H133" s="20">
        <f>BattCalcs!CM133</f>
        <v>0</v>
      </c>
      <c r="I133" s="20">
        <f>BattCalcs!CN133</f>
        <v>0</v>
      </c>
      <c r="J133" s="20">
        <f>IF(C133&lt;='Batt IN'!H$43*12,BattCalcs!CO133,NA())</f>
        <v>0</v>
      </c>
      <c r="L133" s="20">
        <f t="shared" ref="L133:L196" si="313">F133+I133</f>
        <v>7127.1258789927206</v>
      </c>
      <c r="M133" s="20">
        <f>G133+BattCalcs!CO133</f>
        <v>-57619.872522146572</v>
      </c>
      <c r="O133" s="10">
        <f>PVLoan!G161</f>
        <v>0</v>
      </c>
      <c r="P133" s="10">
        <f>PVLoan!J161</f>
        <v>0</v>
      </c>
      <c r="Q133" s="2" t="str">
        <f>BattLoan!G161</f>
        <v>-</v>
      </c>
      <c r="R133" s="10" t="str">
        <f>BattLoan!J161</f>
        <v>-</v>
      </c>
      <c r="T133" s="33">
        <f>IF('PV IN'!$F$4="Battery Only",0,PVCalcs!G133)</f>
        <v>140022.45542237724</v>
      </c>
      <c r="U133" s="33">
        <f>IF('PV IN'!$F$4="Battery Only",0,PVCalcs!M133)</f>
        <v>140022.45542237724</v>
      </c>
      <c r="V133" s="33">
        <f>PVCalcs!L133</f>
        <v>25811.765833333331</v>
      </c>
      <c r="W133" s="158">
        <f>PVCalcs!F133</f>
        <v>8.0758328633592641E-2</v>
      </c>
      <c r="X133" s="144">
        <f>IF('PV IN'!$F$4="Battery Only",0,PVCalcs!Y133+PVCalcs!Z133)</f>
        <v>1820.2919204909042</v>
      </c>
      <c r="Y133" s="144">
        <f>IF('PV IN'!$F$4="PV Only",0,BattCalcs!AX133+BattCalcs!BC133)</f>
        <v>0</v>
      </c>
      <c r="Z133" s="144">
        <f>IF('PV IN'!$F$4="PV Only",0,BattCalcs!AY133+BattCalcs!BD133)</f>
        <v>0</v>
      </c>
      <c r="AA133" s="144">
        <f>IF('PV IN'!$F$4="PV Only",0,BattCalcs!AZ133+BattCalcs!BE133)</f>
        <v>0</v>
      </c>
      <c r="AB133" s="144">
        <f>IF('PV IN'!$F$4="PV Only",0,BattCalcs!BA133+BattCalcs!BF133)</f>
        <v>0</v>
      </c>
      <c r="AC133" s="144">
        <f>IF('PV IN'!$F$4="PV Only",0,BattCalcs!BB133+BattCalcs!BG133)</f>
        <v>0</v>
      </c>
      <c r="AD133" s="144">
        <f>IF('PV IN'!$F$4="PV Only",0,BattCalcs!BU133)</f>
        <v>0</v>
      </c>
      <c r="AE133" s="144">
        <f>IF('PV IN'!$F$4="PV Only",PVCalcs!W133+PVCalcs!AA133,IF('PV IN'!$F$4="Battery Only",BattCalcs!AV133+BattCalcs!BH133,PVCalcs!W133+PVCalcs!AA133+BattCalcs!AV133+BattCalcs!BH133))</f>
        <v>0</v>
      </c>
      <c r="AF133" s="10">
        <f>PVCalcs!AC133+BattCalcs!BJ133</f>
        <v>0</v>
      </c>
      <c r="AG133" s="144">
        <f>IF('PV IN'!$F$4="Battery Only",0,PVCalcs!AG133)</f>
        <v>-750</v>
      </c>
      <c r="AH133" s="144">
        <f>IF('PV IN'!$F$4="Battery Only",0,PVCalcs!AI133)</f>
        <v>0</v>
      </c>
      <c r="AI133" s="144">
        <f>IF('PV IN'!$F$4="PV Only",0,BattCalcs!BM133)</f>
        <v>0</v>
      </c>
      <c r="AJ133" s="144">
        <f>IF('PV IN'!$F$4="PV Only",0,SUM(BattCalcs!BO133:BT133))</f>
        <v>0</v>
      </c>
      <c r="AK133" s="144">
        <f>IF('PV IN'!$F$4="PV Only",PVCalcs!AH133,IF('PV IN'!$F$4="Battery Only",BattCalcs!BN133,PVCalcs!AH133+BattCalcs!BN133))</f>
        <v>-625</v>
      </c>
      <c r="AL133" s="144">
        <f>IF('PV IN'!$F$4="PV Only",0,BattCalcs!BV133)</f>
        <v>0</v>
      </c>
      <c r="AM133" s="144">
        <f>IF('PV IN'!$F$4="PV Only",0,SUM(BattCalcs!BW133:BX133))</f>
        <v>0</v>
      </c>
      <c r="AN133" s="144">
        <f>IF('PV IN'!$F$4="PV Only",0,BattCalcs!BY133)</f>
        <v>0</v>
      </c>
      <c r="AO133" s="144">
        <f>IF('PV IN'!$F$4="Battery Only",0,PVCalcs!U133)</f>
        <v>11307.979471082917</v>
      </c>
      <c r="AP133" s="10">
        <f>IF('PV IN'!$F$4="PV Only",0,BattCalcs!AS133)</f>
        <v>0</v>
      </c>
      <c r="AQ133" s="10">
        <f>IF('PV IN'!$F$4="PV Only",0,BattCalcs!AT133)</f>
        <v>0</v>
      </c>
      <c r="AR133" s="10">
        <f>IF('PV IN'!$F$4="PV Only",0,BattCalcs!AU133)</f>
        <v>0</v>
      </c>
      <c r="AS133" s="144">
        <f>IF('PV IN'!$F$4="PV Only",PVCalcs!X133,IF('PV IN'!$F$4="Battery Only",BattCalcs!AW133,PVCalcs!X133+BattCalcs!AW133))</f>
        <v>0</v>
      </c>
      <c r="AT133" s="144">
        <f>IF('PV IN'!$F$4="Battery Only",0,-PVCalcs!AQ133*'PV IN'!$E$8)</f>
        <v>0</v>
      </c>
      <c r="AU133" s="144">
        <f>IF('PV IN'!$F$4="PV Only",0,-BattCalcs!CG133*'PV IN'!$E$8)</f>
        <v>0</v>
      </c>
      <c r="AV133" s="144">
        <f>IF('PV IN'!$F$4="PV Only",PVCalcs!Z133+PVCalcs!AA133,IF('PV IN'!$F$4="Battery Only",SUM(BattCalcs!BC133:BH133),PVCalcs!Z133+PVCalcs!AA133+SUM(BattCalcs!BC133:BH133)))</f>
        <v>0</v>
      </c>
      <c r="AW133" s="144">
        <f>IF('PV IN'!$F$4="PV Only",SUM(PVCalcs!AF133:AI133),IF('PV IN'!$F$4="Battery Only",SUM(BattCalcs!BL133:BY133),SUM(PVCalcs!AF133:AI133)+SUM(BattCalcs!BL133:BY133)))</f>
        <v>-1375</v>
      </c>
      <c r="AX133" s="144">
        <f>IF('PV IN'!$F$4="Battery Only",0,-PVLoan!F161)</f>
        <v>0</v>
      </c>
      <c r="AY133" s="144">
        <f>IF('PV IN'!$F$4="PV Only",0,-BattLoan!F161)</f>
        <v>0</v>
      </c>
      <c r="AZ133" s="144">
        <f>IF('PV IN'!$F$4="Battery Only",0,-PVLoan!H161)</f>
        <v>0</v>
      </c>
      <c r="BA133" s="144">
        <f>IF('PV IN'!$F$4="PV Only",0,-BattLoan!H161)</f>
        <v>0</v>
      </c>
    </row>
    <row r="134" spans="1:88" x14ac:dyDescent="0.25">
      <c r="A134">
        <f>IF(C134&lt;='PV IN'!$O$22*12,C134,"")</f>
        <v>130</v>
      </c>
      <c r="C134">
        <v>130</v>
      </c>
      <c r="D134" s="2">
        <f>BattCalcs!CK134+PVCalcs!AT134</f>
        <v>12033.269210646105</v>
      </c>
      <c r="E134" s="20">
        <f>PVCalcs!AV134</f>
        <v>362923.65050814458</v>
      </c>
      <c r="F134" s="20">
        <f>PVCalcs!AW134</f>
        <v>7093.0479051906077</v>
      </c>
      <c r="G134" s="20">
        <f>PVCalcs!AX134</f>
        <v>-50526.824616955964</v>
      </c>
      <c r="H134" s="20">
        <f>BattCalcs!CM134</f>
        <v>0</v>
      </c>
      <c r="I134" s="20">
        <f>BattCalcs!CN134</f>
        <v>0</v>
      </c>
      <c r="J134" s="20">
        <f>IF(C134&lt;='Batt IN'!H$43*12,BattCalcs!CO134,NA())</f>
        <v>0</v>
      </c>
      <c r="L134" s="20">
        <f t="shared" si="313"/>
        <v>7093.0479051906077</v>
      </c>
      <c r="M134" s="20">
        <f>G134+BattCalcs!CO134</f>
        <v>-50526.824616955964</v>
      </c>
      <c r="O134" s="10">
        <f>PVLoan!G162</f>
        <v>0</v>
      </c>
      <c r="P134" s="10">
        <f>PVLoan!J162</f>
        <v>0</v>
      </c>
      <c r="Q134" s="2" t="str">
        <f>BattLoan!G162</f>
        <v>-</v>
      </c>
      <c r="R134" s="10" t="str">
        <f>BattLoan!J162</f>
        <v>-</v>
      </c>
      <c r="T134" s="33">
        <f>IF('PV IN'!$F$4="Battery Only",0,PVCalcs!G134)</f>
        <v>139929.10711876233</v>
      </c>
      <c r="U134" s="33">
        <f>IF('PV IN'!$F$4="Battery Only",0,PVCalcs!M134)</f>
        <v>139929.10711876233</v>
      </c>
      <c r="V134" s="33">
        <f>PVCalcs!L134</f>
        <v>25811.765833333331</v>
      </c>
      <c r="W134" s="158">
        <f>PVCalcs!F134</f>
        <v>8.0758328633592641E-2</v>
      </c>
      <c r="X134" s="144">
        <f>IF('PV IN'!$F$4="Battery Only",0,PVCalcs!Y134+PVCalcs!Z134)</f>
        <v>1819.0783925439102</v>
      </c>
      <c r="Y134" s="144">
        <f>IF('PV IN'!$F$4="PV Only",0,BattCalcs!AX134+BattCalcs!BC134)</f>
        <v>0</v>
      </c>
      <c r="Z134" s="144">
        <f>IF('PV IN'!$F$4="PV Only",0,BattCalcs!AY134+BattCalcs!BD134)</f>
        <v>0</v>
      </c>
      <c r="AA134" s="144">
        <f>IF('PV IN'!$F$4="PV Only",0,BattCalcs!AZ134+BattCalcs!BE134)</f>
        <v>0</v>
      </c>
      <c r="AB134" s="144">
        <f>IF('PV IN'!$F$4="PV Only",0,BattCalcs!BA134+BattCalcs!BF134)</f>
        <v>0</v>
      </c>
      <c r="AC134" s="144">
        <f>IF('PV IN'!$F$4="PV Only",0,BattCalcs!BB134+BattCalcs!BG134)</f>
        <v>0</v>
      </c>
      <c r="AD134" s="144">
        <f>IF('PV IN'!$F$4="PV Only",0,BattCalcs!BU134)</f>
        <v>0</v>
      </c>
      <c r="AE134" s="144">
        <f>IF('PV IN'!$F$4="PV Only",PVCalcs!W134+PVCalcs!AA134,IF('PV IN'!$F$4="Battery Only",BattCalcs!AV134+BattCalcs!BH134,PVCalcs!W134+PVCalcs!AA134+BattCalcs!AV134+BattCalcs!BH134))</f>
        <v>0</v>
      </c>
      <c r="AF134" s="10">
        <f>PVCalcs!AC134+BattCalcs!BJ134</f>
        <v>0</v>
      </c>
      <c r="AG134" s="144">
        <f>IF('PV IN'!$F$4="Battery Only",0,PVCalcs!AG134)</f>
        <v>-750</v>
      </c>
      <c r="AH134" s="144">
        <f>IF('PV IN'!$F$4="Battery Only",0,PVCalcs!AI134)</f>
        <v>0</v>
      </c>
      <c r="AI134" s="144">
        <f>IF('PV IN'!$F$4="PV Only",0,BattCalcs!BM134)</f>
        <v>0</v>
      </c>
      <c r="AJ134" s="144">
        <f>IF('PV IN'!$F$4="PV Only",0,SUM(BattCalcs!BO134:BT134))</f>
        <v>0</v>
      </c>
      <c r="AK134" s="144">
        <f>IF('PV IN'!$F$4="PV Only",PVCalcs!AH134,IF('PV IN'!$F$4="Battery Only",BattCalcs!BN134,PVCalcs!AH134+BattCalcs!BN134))</f>
        <v>-625</v>
      </c>
      <c r="AL134" s="144">
        <f>IF('PV IN'!$F$4="PV Only",0,BattCalcs!BV134)</f>
        <v>0</v>
      </c>
      <c r="AM134" s="144">
        <f>IF('PV IN'!$F$4="PV Only",0,SUM(BattCalcs!BW134:BX134))</f>
        <v>0</v>
      </c>
      <c r="AN134" s="144">
        <f>IF('PV IN'!$F$4="PV Only",0,BattCalcs!BY134)</f>
        <v>0</v>
      </c>
      <c r="AO134" s="144">
        <f>IF('PV IN'!$F$4="Battery Only",0,PVCalcs!U134)</f>
        <v>11300.440818102195</v>
      </c>
      <c r="AP134" s="10">
        <f>IF('PV IN'!$F$4="PV Only",0,BattCalcs!AS134)</f>
        <v>0</v>
      </c>
      <c r="AQ134" s="10">
        <f>IF('PV IN'!$F$4="PV Only",0,BattCalcs!AT134)</f>
        <v>0</v>
      </c>
      <c r="AR134" s="10">
        <f>IF('PV IN'!$F$4="PV Only",0,BattCalcs!AU134)</f>
        <v>0</v>
      </c>
      <c r="AS134" s="144">
        <f>IF('PV IN'!$F$4="PV Only",PVCalcs!X134,IF('PV IN'!$F$4="Battery Only",BattCalcs!AW134,PVCalcs!X134+BattCalcs!AW134))</f>
        <v>0</v>
      </c>
      <c r="AT134" s="144">
        <f>IF('PV IN'!$F$4="Battery Only",0,-PVCalcs!AQ134*'PV IN'!$E$8)</f>
        <v>0</v>
      </c>
      <c r="AU134" s="144">
        <f>IF('PV IN'!$F$4="PV Only",0,-BattCalcs!CG134*'PV IN'!$E$8)</f>
        <v>0</v>
      </c>
      <c r="AV134" s="144">
        <f>IF('PV IN'!$F$4="PV Only",PVCalcs!Z134+PVCalcs!AA134,IF('PV IN'!$F$4="Battery Only",SUM(BattCalcs!BC134:BH134),PVCalcs!Z134+PVCalcs!AA134+SUM(BattCalcs!BC134:BH134)))</f>
        <v>0</v>
      </c>
      <c r="AW134" s="144">
        <f>IF('PV IN'!$F$4="PV Only",SUM(PVCalcs!AF134:AI134),IF('PV IN'!$F$4="Battery Only",SUM(BattCalcs!BL134:BY134),SUM(PVCalcs!AF134:AI134)+SUM(BattCalcs!BL134:BY134)))</f>
        <v>-1375</v>
      </c>
      <c r="AX134" s="144">
        <f>IF('PV IN'!$F$4="Battery Only",0,-PVLoan!F162)</f>
        <v>0</v>
      </c>
      <c r="AY134" s="144">
        <f>IF('PV IN'!$F$4="PV Only",0,-BattLoan!F162)</f>
        <v>0</v>
      </c>
      <c r="AZ134" s="144">
        <f>IF('PV IN'!$F$4="Battery Only",0,-PVLoan!H162)</f>
        <v>0</v>
      </c>
      <c r="BA134" s="144">
        <f>IF('PV IN'!$F$4="PV Only",0,-BattLoan!H162)</f>
        <v>0</v>
      </c>
    </row>
    <row r="135" spans="1:88" x14ac:dyDescent="0.25">
      <c r="A135">
        <f>IF(C135&lt;='PV IN'!$O$22*12,C135,"")</f>
        <v>131</v>
      </c>
      <c r="C135">
        <v>131</v>
      </c>
      <c r="D135" s="2">
        <f>BattCalcs!CK135+PVCalcs!AT135</f>
        <v>12024.522864505674</v>
      </c>
      <c r="E135" s="20">
        <f>PVCalcs!AV135</f>
        <v>374948.17337265023</v>
      </c>
      <c r="F135" s="20">
        <f>PVCalcs!AW135</f>
        <v>7059.1325644239541</v>
      </c>
      <c r="G135" s="20">
        <f>PVCalcs!AX135</f>
        <v>-43467.692052532009</v>
      </c>
      <c r="H135" s="20">
        <f>BattCalcs!CM135</f>
        <v>0</v>
      </c>
      <c r="I135" s="20">
        <f>BattCalcs!CN135</f>
        <v>0</v>
      </c>
      <c r="J135" s="20">
        <f>IF(C135&lt;='Batt IN'!H$43*12,BattCalcs!CO135,NA())</f>
        <v>0</v>
      </c>
      <c r="L135" s="20">
        <f t="shared" si="313"/>
        <v>7059.1325644239541</v>
      </c>
      <c r="M135" s="20">
        <f>G135+BattCalcs!CO135</f>
        <v>-43467.692052532009</v>
      </c>
      <c r="O135" s="10">
        <f>PVLoan!G163</f>
        <v>0</v>
      </c>
      <c r="P135" s="10">
        <f>PVLoan!J163</f>
        <v>0</v>
      </c>
      <c r="Q135" s="2" t="str">
        <f>BattLoan!G163</f>
        <v>-</v>
      </c>
      <c r="R135" s="10" t="str">
        <f>BattLoan!J163</f>
        <v>-</v>
      </c>
      <c r="T135" s="33">
        <f>IF('PV IN'!$F$4="Battery Only",0,PVCalcs!G135)</f>
        <v>139835.8210473498</v>
      </c>
      <c r="U135" s="33">
        <f>IF('PV IN'!$F$4="Battery Only",0,PVCalcs!M135)</f>
        <v>139835.8210473498</v>
      </c>
      <c r="V135" s="33">
        <f>PVCalcs!L135</f>
        <v>25811.765833333331</v>
      </c>
      <c r="W135" s="158">
        <f>PVCalcs!F135</f>
        <v>8.0758328633592641E-2</v>
      </c>
      <c r="X135" s="144">
        <f>IF('PV IN'!$F$4="Battery Only",0,PVCalcs!Y135+PVCalcs!Z135)</f>
        <v>1817.8656736155474</v>
      </c>
      <c r="Y135" s="144">
        <f>IF('PV IN'!$F$4="PV Only",0,BattCalcs!AX135+BattCalcs!BC135)</f>
        <v>0</v>
      </c>
      <c r="Z135" s="144">
        <f>IF('PV IN'!$F$4="PV Only",0,BattCalcs!AY135+BattCalcs!BD135)</f>
        <v>0</v>
      </c>
      <c r="AA135" s="144">
        <f>IF('PV IN'!$F$4="PV Only",0,BattCalcs!AZ135+BattCalcs!BE135)</f>
        <v>0</v>
      </c>
      <c r="AB135" s="144">
        <f>IF('PV IN'!$F$4="PV Only",0,BattCalcs!BA135+BattCalcs!BF135)</f>
        <v>0</v>
      </c>
      <c r="AC135" s="144">
        <f>IF('PV IN'!$F$4="PV Only",0,BattCalcs!BB135+BattCalcs!BG135)</f>
        <v>0</v>
      </c>
      <c r="AD135" s="144">
        <f>IF('PV IN'!$F$4="PV Only",0,BattCalcs!BU135)</f>
        <v>0</v>
      </c>
      <c r="AE135" s="144">
        <f>IF('PV IN'!$F$4="PV Only",PVCalcs!W135+PVCalcs!AA135,IF('PV IN'!$F$4="Battery Only",BattCalcs!AV135+BattCalcs!BH135,PVCalcs!W135+PVCalcs!AA135+BattCalcs!AV135+BattCalcs!BH135))</f>
        <v>0</v>
      </c>
      <c r="AF135" s="10">
        <f>PVCalcs!AC135+BattCalcs!BJ135</f>
        <v>0</v>
      </c>
      <c r="AG135" s="144">
        <f>IF('PV IN'!$F$4="Battery Only",0,PVCalcs!AG135)</f>
        <v>-750</v>
      </c>
      <c r="AH135" s="144">
        <f>IF('PV IN'!$F$4="Battery Only",0,PVCalcs!AI135)</f>
        <v>0</v>
      </c>
      <c r="AI135" s="144">
        <f>IF('PV IN'!$F$4="PV Only",0,BattCalcs!BM135)</f>
        <v>0</v>
      </c>
      <c r="AJ135" s="144">
        <f>IF('PV IN'!$F$4="PV Only",0,SUM(BattCalcs!BO135:BT135))</f>
        <v>0</v>
      </c>
      <c r="AK135" s="144">
        <f>IF('PV IN'!$F$4="PV Only",PVCalcs!AH135,IF('PV IN'!$F$4="Battery Only",BattCalcs!BN135,PVCalcs!AH135+BattCalcs!BN135))</f>
        <v>-625</v>
      </c>
      <c r="AL135" s="144">
        <f>IF('PV IN'!$F$4="PV Only",0,BattCalcs!BV135)</f>
        <v>0</v>
      </c>
      <c r="AM135" s="144">
        <f>IF('PV IN'!$F$4="PV Only",0,SUM(BattCalcs!BW135:BX135))</f>
        <v>0</v>
      </c>
      <c r="AN135" s="144">
        <f>IF('PV IN'!$F$4="PV Only",0,BattCalcs!BY135)</f>
        <v>0</v>
      </c>
      <c r="AO135" s="144">
        <f>IF('PV IN'!$F$4="Battery Only",0,PVCalcs!U135)</f>
        <v>11292.907190890126</v>
      </c>
      <c r="AP135" s="10">
        <f>IF('PV IN'!$F$4="PV Only",0,BattCalcs!AS135)</f>
        <v>0</v>
      </c>
      <c r="AQ135" s="10">
        <f>IF('PV IN'!$F$4="PV Only",0,BattCalcs!AT135)</f>
        <v>0</v>
      </c>
      <c r="AR135" s="10">
        <f>IF('PV IN'!$F$4="PV Only",0,BattCalcs!AU135)</f>
        <v>0</v>
      </c>
      <c r="AS135" s="144">
        <f>IF('PV IN'!$F$4="PV Only",PVCalcs!X135,IF('PV IN'!$F$4="Battery Only",BattCalcs!AW135,PVCalcs!X135+BattCalcs!AW135))</f>
        <v>0</v>
      </c>
      <c r="AT135" s="144">
        <f>IF('PV IN'!$F$4="Battery Only",0,-PVCalcs!AQ135*'PV IN'!$E$8)</f>
        <v>0</v>
      </c>
      <c r="AU135" s="144">
        <f>IF('PV IN'!$F$4="PV Only",0,-BattCalcs!CG135*'PV IN'!$E$8)</f>
        <v>0</v>
      </c>
      <c r="AV135" s="144">
        <f>IF('PV IN'!$F$4="PV Only",PVCalcs!Z135+PVCalcs!AA135,IF('PV IN'!$F$4="Battery Only",SUM(BattCalcs!BC135:BH135),PVCalcs!Z135+PVCalcs!AA135+SUM(BattCalcs!BC135:BH135)))</f>
        <v>0</v>
      </c>
      <c r="AW135" s="144">
        <f>IF('PV IN'!$F$4="PV Only",SUM(PVCalcs!AF135:AI135),IF('PV IN'!$F$4="Battery Only",SUM(BattCalcs!BL135:BY135),SUM(PVCalcs!AF135:AI135)+SUM(BattCalcs!BL135:BY135)))</f>
        <v>-1375</v>
      </c>
      <c r="AX135" s="144">
        <f>IF('PV IN'!$F$4="Battery Only",0,-PVLoan!F163)</f>
        <v>0</v>
      </c>
      <c r="AY135" s="144">
        <f>IF('PV IN'!$F$4="PV Only",0,-BattLoan!F163)</f>
        <v>0</v>
      </c>
      <c r="AZ135" s="144">
        <f>IF('PV IN'!$F$4="Battery Only",0,-PVLoan!H163)</f>
        <v>0</v>
      </c>
      <c r="BA135" s="144">
        <f>IF('PV IN'!$F$4="PV Only",0,-BattLoan!H163)</f>
        <v>0</v>
      </c>
    </row>
    <row r="136" spans="1:88" x14ac:dyDescent="0.25">
      <c r="A136">
        <f>IF(C136&lt;='PV IN'!$O$22*12,C136,"")</f>
        <v>132</v>
      </c>
      <c r="B136">
        <f>B124+1</f>
        <v>2036</v>
      </c>
      <c r="C136">
        <v>132</v>
      </c>
      <c r="D136" s="2">
        <f>BattCalcs!CK136+PVCalcs!AT136</f>
        <v>12015.78234926267</v>
      </c>
      <c r="E136" s="20">
        <f>PVCalcs!AV136</f>
        <v>386963.95572191291</v>
      </c>
      <c r="F136" s="20">
        <f>PVCalcs!AW136</f>
        <v>7025.3790817841755</v>
      </c>
      <c r="G136" s="20">
        <f>PVCalcs!AX136</f>
        <v>-36442.312970747837</v>
      </c>
      <c r="H136" s="20">
        <f>BattCalcs!CM136</f>
        <v>0</v>
      </c>
      <c r="I136" s="20">
        <f>BattCalcs!CN136</f>
        <v>0</v>
      </c>
      <c r="J136" s="20">
        <f>IF(C136&lt;='Batt IN'!H$43*12,BattCalcs!CO136,NA())</f>
        <v>0</v>
      </c>
      <c r="L136" s="20">
        <f t="shared" si="313"/>
        <v>7025.3790817841755</v>
      </c>
      <c r="M136" s="20">
        <f>G136+BattCalcs!CO136</f>
        <v>-36442.312970747837</v>
      </c>
      <c r="O136" s="10">
        <f>PVLoan!G164</f>
        <v>0</v>
      </c>
      <c r="P136" s="10">
        <f>PVLoan!J164</f>
        <v>0</v>
      </c>
      <c r="Q136" s="2" t="str">
        <f>BattLoan!G164</f>
        <v>-</v>
      </c>
      <c r="R136" s="10" t="str">
        <f>BattLoan!J164</f>
        <v>-</v>
      </c>
      <c r="T136" s="33">
        <f>IF('PV IN'!$F$4="Battery Only",0,PVCalcs!G136)</f>
        <v>139742.59716665157</v>
      </c>
      <c r="U136" s="33">
        <f>IF('PV IN'!$F$4="Battery Only",0,PVCalcs!M136)</f>
        <v>139742.59716665157</v>
      </c>
      <c r="V136" s="33">
        <f>PVCalcs!L136</f>
        <v>25811.765833333331</v>
      </c>
      <c r="W136" s="158">
        <f>PVCalcs!F136</f>
        <v>8.0758328633592641E-2</v>
      </c>
      <c r="X136" s="144">
        <f>IF('PV IN'!$F$4="Battery Only",0,PVCalcs!Y136+PVCalcs!Z136)</f>
        <v>1816.6537631664705</v>
      </c>
      <c r="Y136" s="144">
        <f>IF('PV IN'!$F$4="PV Only",0,BattCalcs!AX136+BattCalcs!BC136)</f>
        <v>0</v>
      </c>
      <c r="Z136" s="144">
        <f>IF('PV IN'!$F$4="PV Only",0,BattCalcs!AY136+BattCalcs!BD136)</f>
        <v>0</v>
      </c>
      <c r="AA136" s="144">
        <f>IF('PV IN'!$F$4="PV Only",0,BattCalcs!AZ136+BattCalcs!BE136)</f>
        <v>0</v>
      </c>
      <c r="AB136" s="144">
        <f>IF('PV IN'!$F$4="PV Only",0,BattCalcs!BA136+BattCalcs!BF136)</f>
        <v>0</v>
      </c>
      <c r="AC136" s="144">
        <f>IF('PV IN'!$F$4="PV Only",0,BattCalcs!BB136+BattCalcs!BG136)</f>
        <v>0</v>
      </c>
      <c r="AD136" s="144">
        <f>IF('PV IN'!$F$4="PV Only",0,BattCalcs!BU136)</f>
        <v>0</v>
      </c>
      <c r="AE136" s="144">
        <f>IF('PV IN'!$F$4="PV Only",PVCalcs!W136+PVCalcs!AA136,IF('PV IN'!$F$4="Battery Only",BattCalcs!AV136+BattCalcs!BH136,PVCalcs!W136+PVCalcs!AA136+BattCalcs!AV136+BattCalcs!BH136))</f>
        <v>0</v>
      </c>
      <c r="AF136" s="10">
        <f>PVCalcs!AC136+BattCalcs!BJ136</f>
        <v>0</v>
      </c>
      <c r="AG136" s="144">
        <f>IF('PV IN'!$F$4="Battery Only",0,PVCalcs!AG136)</f>
        <v>-750</v>
      </c>
      <c r="AH136" s="144">
        <f>IF('PV IN'!$F$4="Battery Only",0,PVCalcs!AI136)</f>
        <v>0</v>
      </c>
      <c r="AI136" s="144">
        <f>IF('PV IN'!$F$4="PV Only",0,BattCalcs!BM136)</f>
        <v>0</v>
      </c>
      <c r="AJ136" s="144">
        <f>IF('PV IN'!$F$4="PV Only",0,SUM(BattCalcs!BO136:BT136))</f>
        <v>0</v>
      </c>
      <c r="AK136" s="144">
        <f>IF('PV IN'!$F$4="PV Only",PVCalcs!AH136,IF('PV IN'!$F$4="Battery Only",BattCalcs!BN136,PVCalcs!AH136+BattCalcs!BN136))</f>
        <v>-625</v>
      </c>
      <c r="AL136" s="144">
        <f>IF('PV IN'!$F$4="PV Only",0,BattCalcs!BV136)</f>
        <v>0</v>
      </c>
      <c r="AM136" s="144">
        <f>IF('PV IN'!$F$4="PV Only",0,SUM(BattCalcs!BW136:BX136))</f>
        <v>0</v>
      </c>
      <c r="AN136" s="144">
        <f>IF('PV IN'!$F$4="PV Only",0,BattCalcs!BY136)</f>
        <v>0</v>
      </c>
      <c r="AO136" s="144">
        <f>IF('PV IN'!$F$4="Battery Only",0,PVCalcs!U136)</f>
        <v>11285.3785860962</v>
      </c>
      <c r="AP136" s="10">
        <f>IF('PV IN'!$F$4="PV Only",0,BattCalcs!AS136)</f>
        <v>0</v>
      </c>
      <c r="AQ136" s="10">
        <f>IF('PV IN'!$F$4="PV Only",0,BattCalcs!AT136)</f>
        <v>0</v>
      </c>
      <c r="AR136" s="10">
        <f>IF('PV IN'!$F$4="PV Only",0,BattCalcs!AU136)</f>
        <v>0</v>
      </c>
      <c r="AS136" s="144">
        <f>IF('PV IN'!$F$4="PV Only",PVCalcs!X136,IF('PV IN'!$F$4="Battery Only",BattCalcs!AW136,PVCalcs!X136+BattCalcs!AW136))</f>
        <v>0</v>
      </c>
      <c r="AT136" s="144">
        <f>IF('PV IN'!$F$4="Battery Only",0,-PVCalcs!AQ136*'PV IN'!$E$8)</f>
        <v>0</v>
      </c>
      <c r="AU136" s="144">
        <f>IF('PV IN'!$F$4="PV Only",0,-BattCalcs!CG136*'PV IN'!$E$8)</f>
        <v>0</v>
      </c>
      <c r="AV136" s="144">
        <f>IF('PV IN'!$F$4="PV Only",PVCalcs!Z136+PVCalcs!AA136,IF('PV IN'!$F$4="Battery Only",SUM(BattCalcs!BC136:BH136),PVCalcs!Z136+PVCalcs!AA136+SUM(BattCalcs!BC136:BH136)))</f>
        <v>0</v>
      </c>
      <c r="AW136" s="144">
        <f>IF('PV IN'!$F$4="PV Only",SUM(PVCalcs!AF136:AI136),IF('PV IN'!$F$4="Battery Only",SUM(BattCalcs!BL136:BY136),SUM(PVCalcs!AF136:AI136)+SUM(BattCalcs!BL136:BY136)))</f>
        <v>-1375</v>
      </c>
      <c r="AX136" s="144">
        <f>IF('PV IN'!$F$4="Battery Only",0,-PVLoan!F164)</f>
        <v>0</v>
      </c>
      <c r="AY136" s="144">
        <f>IF('PV IN'!$F$4="PV Only",0,-BattLoan!F164)</f>
        <v>0</v>
      </c>
      <c r="AZ136" s="144">
        <f>IF('PV IN'!$F$4="Battery Only",0,-PVLoan!H164)</f>
        <v>0</v>
      </c>
      <c r="BA136" s="144">
        <f>IF('PV IN'!$F$4="PV Only",0,-BattLoan!H164)</f>
        <v>0</v>
      </c>
      <c r="BC136" s="33">
        <f t="shared" ref="BC136" si="314">SUM(T125:T136)</f>
        <v>1683077.6446416075</v>
      </c>
      <c r="BD136" s="33">
        <f t="shared" ref="BD136" si="315">SUM(U125:U136)</f>
        <v>1683077.6446416075</v>
      </c>
      <c r="BE136" s="33">
        <f t="shared" ref="BE136" si="316">SUM(V125:V136)</f>
        <v>309741.19</v>
      </c>
      <c r="BF136" s="50">
        <f t="shared" ref="BF136" si="317">W136</f>
        <v>8.0758328633592641E-2</v>
      </c>
      <c r="BG136" s="2">
        <f t="shared" ref="BG136" si="318">SUM(X125:X136)</f>
        <v>21880.009380340896</v>
      </c>
      <c r="BH136" s="2">
        <f t="shared" ref="BH136" si="319">SUM(Y125:Y136)</f>
        <v>0</v>
      </c>
      <c r="BI136" s="2">
        <f t="shared" ref="BI136" si="320">SUM(Z125:Z136)</f>
        <v>0</v>
      </c>
      <c r="BJ136" s="2">
        <f t="shared" ref="BJ136" si="321">SUM(AA125:AA136)</f>
        <v>0</v>
      </c>
      <c r="BK136" s="2">
        <f t="shared" ref="BK136" si="322">SUM(AB125:AB136)</f>
        <v>0</v>
      </c>
      <c r="BL136" s="2">
        <f t="shared" ref="BL136" si="323">SUM(AC125:AC136)</f>
        <v>0</v>
      </c>
      <c r="BM136" s="2">
        <f t="shared" ref="BM136" si="324">SUM(AD125:AD136)</f>
        <v>0</v>
      </c>
      <c r="BN136" s="2">
        <f t="shared" ref="BN136" si="325">SUM(AE125:AE136)</f>
        <v>0</v>
      </c>
      <c r="BO136" s="2">
        <f t="shared" ref="BO136" si="326">SUM(AF125:AF136)</f>
        <v>0</v>
      </c>
      <c r="BP136" s="2">
        <f t="shared" ref="BP136" si="327">SUM(AG125:AG136)</f>
        <v>-9000</v>
      </c>
      <c r="BQ136" s="2">
        <f t="shared" ref="BQ136" si="328">SUM(AH125:AH136)</f>
        <v>0</v>
      </c>
      <c r="BR136" s="2">
        <f t="shared" ref="BR136" si="329">SUM(AI125:AI136)</f>
        <v>0</v>
      </c>
      <c r="BS136" s="2">
        <f t="shared" ref="BS136" si="330">SUM(AJ125:AJ136)</f>
        <v>0</v>
      </c>
      <c r="BT136" s="2">
        <f t="shared" ref="BT136" si="331">SUM(AK125:AK136)</f>
        <v>-7500</v>
      </c>
      <c r="BU136" s="2">
        <f t="shared" ref="BU136" si="332">SUM(AL125:AL136)</f>
        <v>0</v>
      </c>
      <c r="BV136" s="2">
        <f t="shared" ref="BV136" si="333">SUM(AM125:AM136)</f>
        <v>0</v>
      </c>
      <c r="BW136" s="2">
        <f t="shared" ref="BW136" si="334">SUM(AN125:AN136)</f>
        <v>0</v>
      </c>
      <c r="BX136" s="2">
        <f t="shared" ref="BX136" si="335">SUM(AO125:AO136)</f>
        <v>135922.53754181997</v>
      </c>
      <c r="BY136" s="2">
        <f t="shared" ref="BY136" si="336">SUM(AP125:AP136)</f>
        <v>0</v>
      </c>
      <c r="BZ136" s="2">
        <f t="shared" ref="BZ136" si="337">SUM(AQ125:AQ136)</f>
        <v>0</v>
      </c>
      <c r="CA136" s="2">
        <f t="shared" ref="CA136" si="338">SUM(AR125:AR136)</f>
        <v>0</v>
      </c>
      <c r="CB136" s="2">
        <f t="shared" ref="CB136" si="339">SUM(AS125:AS136)</f>
        <v>0</v>
      </c>
      <c r="CC136" s="2">
        <f t="shared" ref="CC136" si="340">SUM(AT125:AT136)</f>
        <v>0</v>
      </c>
      <c r="CD136" s="2">
        <f t="shared" ref="CD136" si="341">SUM(AU125:AU136)</f>
        <v>0</v>
      </c>
      <c r="CE136" s="2">
        <f t="shared" ref="CE136" si="342">SUM(AV125:AV136)</f>
        <v>0</v>
      </c>
      <c r="CF136" s="2">
        <f t="shared" ref="CF136" si="343">SUM(AW125:AW136)</f>
        <v>-16500</v>
      </c>
      <c r="CG136" s="2">
        <f t="shared" ref="CG136" si="344">SUM(AX125:AX136)</f>
        <v>0</v>
      </c>
      <c r="CH136" s="2">
        <f t="shared" ref="CH136" si="345">SUM(AY125:AY136)</f>
        <v>0</v>
      </c>
      <c r="CI136" s="2">
        <f t="shared" ref="CI136" si="346">SUM(AZ125:AZ136)</f>
        <v>0</v>
      </c>
      <c r="CJ136" s="2">
        <f t="shared" ref="CJ136" si="347">SUM(BA125:BA136)</f>
        <v>0</v>
      </c>
    </row>
    <row r="137" spans="1:88" x14ac:dyDescent="0.25">
      <c r="A137">
        <f>IF(C137&lt;='PV IN'!$O$22*12,C137,"")</f>
        <v>133</v>
      </c>
      <c r="C137">
        <v>133</v>
      </c>
      <c r="D137" s="2">
        <f>BattCalcs!CK137+PVCalcs!AT137</f>
        <v>11951.230299994506</v>
      </c>
      <c r="E137" s="20">
        <f>PVCalcs!AV137</f>
        <v>398915.18602190743</v>
      </c>
      <c r="F137" s="20">
        <f>PVCalcs!AW137</f>
        <v>6959.2838516518186</v>
      </c>
      <c r="G137" s="20">
        <f>PVCalcs!AX137</f>
        <v>-29483.02911909602</v>
      </c>
      <c r="H137" s="20">
        <f>BattCalcs!CM137</f>
        <v>0</v>
      </c>
      <c r="I137" s="20">
        <f>BattCalcs!CN137</f>
        <v>0</v>
      </c>
      <c r="J137" s="20">
        <f>IF(C137&lt;='Batt IN'!H$43*12,BattCalcs!CO137,NA())</f>
        <v>0</v>
      </c>
      <c r="L137" s="20">
        <f t="shared" si="313"/>
        <v>6959.2838516518186</v>
      </c>
      <c r="M137" s="20">
        <f>G137+BattCalcs!CO137</f>
        <v>-29483.02911909602</v>
      </c>
      <c r="O137" s="10">
        <f>PVLoan!G165</f>
        <v>0</v>
      </c>
      <c r="P137" s="10">
        <f>PVLoan!J165</f>
        <v>0</v>
      </c>
      <c r="Q137" s="2" t="str">
        <f>BattLoan!G165</f>
        <v>-</v>
      </c>
      <c r="R137" s="10" t="str">
        <f>BattLoan!J165</f>
        <v>-</v>
      </c>
      <c r="T137" s="33">
        <f>IF('PV IN'!$F$4="Battery Only",0,PVCalcs!G137)</f>
        <v>139649.43543520712</v>
      </c>
      <c r="U137" s="33">
        <f>IF('PV IN'!$F$4="Battery Only",0,PVCalcs!M137)</f>
        <v>139649.43543520712</v>
      </c>
      <c r="V137" s="33">
        <f>PVCalcs!L137</f>
        <v>25811.765833333331</v>
      </c>
      <c r="W137" s="158">
        <f>PVCalcs!F137</f>
        <v>8.0358632345087277E-2</v>
      </c>
      <c r="X137" s="144">
        <f>IF('PV IN'!$F$4="Battery Only",0,PVCalcs!Y137+PVCalcs!Z137)</f>
        <v>1815.4426606576926</v>
      </c>
      <c r="Y137" s="144">
        <f>IF('PV IN'!$F$4="PV Only",0,BattCalcs!AX137+BattCalcs!BC137)</f>
        <v>0</v>
      </c>
      <c r="Z137" s="144">
        <f>IF('PV IN'!$F$4="PV Only",0,BattCalcs!AY137+BattCalcs!BD137)</f>
        <v>0</v>
      </c>
      <c r="AA137" s="144">
        <f>IF('PV IN'!$F$4="PV Only",0,BattCalcs!AZ137+BattCalcs!BE137)</f>
        <v>0</v>
      </c>
      <c r="AB137" s="144">
        <f>IF('PV IN'!$F$4="PV Only",0,BattCalcs!BA137+BattCalcs!BF137)</f>
        <v>0</v>
      </c>
      <c r="AC137" s="144">
        <f>IF('PV IN'!$F$4="PV Only",0,BattCalcs!BB137+BattCalcs!BG137)</f>
        <v>0</v>
      </c>
      <c r="AD137" s="144">
        <f>IF('PV IN'!$F$4="PV Only",0,BattCalcs!BU137)</f>
        <v>0</v>
      </c>
      <c r="AE137" s="144">
        <f>IF('PV IN'!$F$4="PV Only",PVCalcs!W137+PVCalcs!AA137,IF('PV IN'!$F$4="Battery Only",BattCalcs!AV137+BattCalcs!BH137,PVCalcs!W137+PVCalcs!AA137+BattCalcs!AV137+BattCalcs!BH137))</f>
        <v>0</v>
      </c>
      <c r="AF137" s="10">
        <f>PVCalcs!AC137+BattCalcs!BJ137</f>
        <v>0</v>
      </c>
      <c r="AG137" s="144">
        <f>IF('PV IN'!$F$4="Battery Only",0,PVCalcs!AG137)</f>
        <v>-750</v>
      </c>
      <c r="AH137" s="144">
        <f>IF('PV IN'!$F$4="Battery Only",0,PVCalcs!AI137)</f>
        <v>0</v>
      </c>
      <c r="AI137" s="144">
        <f>IF('PV IN'!$F$4="PV Only",0,BattCalcs!BM137)</f>
        <v>0</v>
      </c>
      <c r="AJ137" s="144">
        <f>IF('PV IN'!$F$4="PV Only",0,SUM(BattCalcs!BO137:BT137))</f>
        <v>0</v>
      </c>
      <c r="AK137" s="144">
        <f>IF('PV IN'!$F$4="PV Only",PVCalcs!AH137,IF('PV IN'!$F$4="Battery Only",BattCalcs!BN137,PVCalcs!AH137+BattCalcs!BN137))</f>
        <v>-625</v>
      </c>
      <c r="AL137" s="144">
        <f>IF('PV IN'!$F$4="PV Only",0,BattCalcs!BV137)</f>
        <v>0</v>
      </c>
      <c r="AM137" s="144">
        <f>IF('PV IN'!$F$4="PV Only",0,SUM(BattCalcs!BW137:BX137))</f>
        <v>0</v>
      </c>
      <c r="AN137" s="144">
        <f>IF('PV IN'!$F$4="PV Only",0,BattCalcs!BY137)</f>
        <v>0</v>
      </c>
      <c r="AO137" s="144">
        <f>IF('PV IN'!$F$4="Battery Only",0,PVCalcs!U137)</f>
        <v>11222.037639336813</v>
      </c>
      <c r="AP137" s="10">
        <f>IF('PV IN'!$F$4="PV Only",0,BattCalcs!AS137)</f>
        <v>0</v>
      </c>
      <c r="AQ137" s="10">
        <f>IF('PV IN'!$F$4="PV Only",0,BattCalcs!AT137)</f>
        <v>0</v>
      </c>
      <c r="AR137" s="10">
        <f>IF('PV IN'!$F$4="PV Only",0,BattCalcs!AU137)</f>
        <v>0</v>
      </c>
      <c r="AS137" s="144">
        <f>IF('PV IN'!$F$4="PV Only",PVCalcs!X137,IF('PV IN'!$F$4="Battery Only",BattCalcs!AW137,PVCalcs!X137+BattCalcs!AW137))</f>
        <v>0</v>
      </c>
      <c r="AT137" s="144">
        <f>IF('PV IN'!$F$4="Battery Only",0,-PVCalcs!AQ137*'PV IN'!$E$8)</f>
        <v>0</v>
      </c>
      <c r="AU137" s="144">
        <f>IF('PV IN'!$F$4="PV Only",0,-BattCalcs!CG137*'PV IN'!$E$8)</f>
        <v>0</v>
      </c>
      <c r="AV137" s="144">
        <f>IF('PV IN'!$F$4="PV Only",PVCalcs!Z137+PVCalcs!AA137,IF('PV IN'!$F$4="Battery Only",SUM(BattCalcs!BC137:BH137),PVCalcs!Z137+PVCalcs!AA137+SUM(BattCalcs!BC137:BH137)))</f>
        <v>0</v>
      </c>
      <c r="AW137" s="144">
        <f>IF('PV IN'!$F$4="PV Only",SUM(PVCalcs!AF137:AI137),IF('PV IN'!$F$4="Battery Only",SUM(BattCalcs!BL137:BY137),SUM(PVCalcs!AF137:AI137)+SUM(BattCalcs!BL137:BY137)))</f>
        <v>-1375</v>
      </c>
      <c r="AX137" s="144">
        <f>IF('PV IN'!$F$4="Battery Only",0,-PVLoan!F165)</f>
        <v>0</v>
      </c>
      <c r="AY137" s="144">
        <f>IF('PV IN'!$F$4="PV Only",0,-BattLoan!F165)</f>
        <v>0</v>
      </c>
      <c r="AZ137" s="144">
        <f>IF('PV IN'!$F$4="Battery Only",0,-PVLoan!H165)</f>
        <v>0</v>
      </c>
      <c r="BA137" s="144">
        <f>IF('PV IN'!$F$4="PV Only",0,-BattLoan!H165)</f>
        <v>0</v>
      </c>
    </row>
    <row r="138" spans="1:88" x14ac:dyDescent="0.25">
      <c r="A138">
        <f>IF(C138&lt;='PV IN'!$O$22*12,C138,"")</f>
        <v>134</v>
      </c>
      <c r="C138">
        <v>134</v>
      </c>
      <c r="D138" s="2">
        <f>BattCalcs!CK138+PVCalcs!AT138</f>
        <v>11942.538646461175</v>
      </c>
      <c r="E138" s="20">
        <f>PVCalcs!AV138</f>
        <v>410857.72466836858</v>
      </c>
      <c r="F138" s="20">
        <f>PVCalcs!AW138</f>
        <v>6926.0052391676745</v>
      </c>
      <c r="G138" s="20">
        <f>PVCalcs!AX138</f>
        <v>-22557.023879928347</v>
      </c>
      <c r="H138" s="20">
        <f>BattCalcs!CM138</f>
        <v>0</v>
      </c>
      <c r="I138" s="20">
        <f>BattCalcs!CN138</f>
        <v>0</v>
      </c>
      <c r="J138" s="20">
        <f>IF(C138&lt;='Batt IN'!H$43*12,BattCalcs!CO138,NA())</f>
        <v>0</v>
      </c>
      <c r="L138" s="20">
        <f t="shared" si="313"/>
        <v>6926.0052391676745</v>
      </c>
      <c r="M138" s="20">
        <f>G138+BattCalcs!CO138</f>
        <v>-22557.023879928347</v>
      </c>
      <c r="O138" s="10">
        <f>PVLoan!G166</f>
        <v>0</v>
      </c>
      <c r="P138" s="10">
        <f>PVLoan!J166</f>
        <v>0</v>
      </c>
      <c r="Q138" s="2" t="str">
        <f>BattLoan!G166</f>
        <v>-</v>
      </c>
      <c r="R138" s="10" t="str">
        <f>BattLoan!J166</f>
        <v>-</v>
      </c>
      <c r="T138" s="33">
        <f>IF('PV IN'!$F$4="Battery Only",0,PVCalcs!G138)</f>
        <v>139556.33581158365</v>
      </c>
      <c r="U138" s="33">
        <f>IF('PV IN'!$F$4="Battery Only",0,PVCalcs!M138)</f>
        <v>139556.33581158365</v>
      </c>
      <c r="V138" s="33">
        <f>PVCalcs!L138</f>
        <v>25811.765833333331</v>
      </c>
      <c r="W138" s="158">
        <f>PVCalcs!F138</f>
        <v>8.0358632345087277E-2</v>
      </c>
      <c r="X138" s="144">
        <f>IF('PV IN'!$F$4="Battery Only",0,PVCalcs!Y138+PVCalcs!Z138)</f>
        <v>1814.2323655505875</v>
      </c>
      <c r="Y138" s="144">
        <f>IF('PV IN'!$F$4="PV Only",0,BattCalcs!AX138+BattCalcs!BC138)</f>
        <v>0</v>
      </c>
      <c r="Z138" s="144">
        <f>IF('PV IN'!$F$4="PV Only",0,BattCalcs!AY138+BattCalcs!BD138)</f>
        <v>0</v>
      </c>
      <c r="AA138" s="144">
        <f>IF('PV IN'!$F$4="PV Only",0,BattCalcs!AZ138+BattCalcs!BE138)</f>
        <v>0</v>
      </c>
      <c r="AB138" s="144">
        <f>IF('PV IN'!$F$4="PV Only",0,BattCalcs!BA138+BattCalcs!BF138)</f>
        <v>0</v>
      </c>
      <c r="AC138" s="144">
        <f>IF('PV IN'!$F$4="PV Only",0,BattCalcs!BB138+BattCalcs!BG138)</f>
        <v>0</v>
      </c>
      <c r="AD138" s="144">
        <f>IF('PV IN'!$F$4="PV Only",0,BattCalcs!BU138)</f>
        <v>0</v>
      </c>
      <c r="AE138" s="144">
        <f>IF('PV IN'!$F$4="PV Only",PVCalcs!W138+PVCalcs!AA138,IF('PV IN'!$F$4="Battery Only",BattCalcs!AV138+BattCalcs!BH138,PVCalcs!W138+PVCalcs!AA138+BattCalcs!AV138+BattCalcs!BH138))</f>
        <v>0</v>
      </c>
      <c r="AF138" s="10">
        <f>PVCalcs!AC138+BattCalcs!BJ138</f>
        <v>0</v>
      </c>
      <c r="AG138" s="144">
        <f>IF('PV IN'!$F$4="Battery Only",0,PVCalcs!AG138)</f>
        <v>-750</v>
      </c>
      <c r="AH138" s="144">
        <f>IF('PV IN'!$F$4="Battery Only",0,PVCalcs!AI138)</f>
        <v>0</v>
      </c>
      <c r="AI138" s="144">
        <f>IF('PV IN'!$F$4="PV Only",0,BattCalcs!BM138)</f>
        <v>0</v>
      </c>
      <c r="AJ138" s="144">
        <f>IF('PV IN'!$F$4="PV Only",0,SUM(BattCalcs!BO138:BT138))</f>
        <v>0</v>
      </c>
      <c r="AK138" s="144">
        <f>IF('PV IN'!$F$4="PV Only",PVCalcs!AH138,IF('PV IN'!$F$4="Battery Only",BattCalcs!BN138,PVCalcs!AH138+BattCalcs!BN138))</f>
        <v>-625</v>
      </c>
      <c r="AL138" s="144">
        <f>IF('PV IN'!$F$4="PV Only",0,BattCalcs!BV138)</f>
        <v>0</v>
      </c>
      <c r="AM138" s="144">
        <f>IF('PV IN'!$F$4="PV Only",0,SUM(BattCalcs!BW138:BX138))</f>
        <v>0</v>
      </c>
      <c r="AN138" s="144">
        <f>IF('PV IN'!$F$4="PV Only",0,BattCalcs!BY138)</f>
        <v>0</v>
      </c>
      <c r="AO138" s="144">
        <f>IF('PV IN'!$F$4="Battery Only",0,PVCalcs!U138)</f>
        <v>11214.556280910587</v>
      </c>
      <c r="AP138" s="10">
        <f>IF('PV IN'!$F$4="PV Only",0,BattCalcs!AS138)</f>
        <v>0</v>
      </c>
      <c r="AQ138" s="10">
        <f>IF('PV IN'!$F$4="PV Only",0,BattCalcs!AT138)</f>
        <v>0</v>
      </c>
      <c r="AR138" s="10">
        <f>IF('PV IN'!$F$4="PV Only",0,BattCalcs!AU138)</f>
        <v>0</v>
      </c>
      <c r="AS138" s="144">
        <f>IF('PV IN'!$F$4="PV Only",PVCalcs!X138,IF('PV IN'!$F$4="Battery Only",BattCalcs!AW138,PVCalcs!X138+BattCalcs!AW138))</f>
        <v>0</v>
      </c>
      <c r="AT138" s="144">
        <f>IF('PV IN'!$F$4="Battery Only",0,-PVCalcs!AQ138*'PV IN'!$E$8)</f>
        <v>0</v>
      </c>
      <c r="AU138" s="144">
        <f>IF('PV IN'!$F$4="PV Only",0,-BattCalcs!CG138*'PV IN'!$E$8)</f>
        <v>0</v>
      </c>
      <c r="AV138" s="144">
        <f>IF('PV IN'!$F$4="PV Only",PVCalcs!Z138+PVCalcs!AA138,IF('PV IN'!$F$4="Battery Only",SUM(BattCalcs!BC138:BH138),PVCalcs!Z138+PVCalcs!AA138+SUM(BattCalcs!BC138:BH138)))</f>
        <v>0</v>
      </c>
      <c r="AW138" s="144">
        <f>IF('PV IN'!$F$4="PV Only",SUM(PVCalcs!AF138:AI138),IF('PV IN'!$F$4="Battery Only",SUM(BattCalcs!BL138:BY138),SUM(PVCalcs!AF138:AI138)+SUM(BattCalcs!BL138:BY138)))</f>
        <v>-1375</v>
      </c>
      <c r="AX138" s="144">
        <f>IF('PV IN'!$F$4="Battery Only",0,-PVLoan!F166)</f>
        <v>0</v>
      </c>
      <c r="AY138" s="144">
        <f>IF('PV IN'!$F$4="PV Only",0,-BattLoan!F166)</f>
        <v>0</v>
      </c>
      <c r="AZ138" s="144">
        <f>IF('PV IN'!$F$4="Battery Only",0,-PVLoan!H166)</f>
        <v>0</v>
      </c>
      <c r="BA138" s="144">
        <f>IF('PV IN'!$F$4="PV Only",0,-BattLoan!H166)</f>
        <v>0</v>
      </c>
    </row>
    <row r="139" spans="1:88" x14ac:dyDescent="0.25">
      <c r="A139">
        <f>IF(C139&lt;='PV IN'!$O$22*12,C139,"")</f>
        <v>135</v>
      </c>
      <c r="C139">
        <v>135</v>
      </c>
      <c r="D139" s="2">
        <f>BattCalcs!CK139+PVCalcs!AT139</f>
        <v>11933.852787363534</v>
      </c>
      <c r="E139" s="20">
        <f>PVCalcs!AV139</f>
        <v>422791.5774557321</v>
      </c>
      <c r="F139" s="20">
        <f>PVCalcs!AW139</f>
        <v>6892.8854575502528</v>
      </c>
      <c r="G139" s="20">
        <f>PVCalcs!AX139</f>
        <v>-15664.138422378095</v>
      </c>
      <c r="H139" s="20">
        <f>BattCalcs!CM139</f>
        <v>0</v>
      </c>
      <c r="I139" s="20">
        <f>BattCalcs!CN139</f>
        <v>0</v>
      </c>
      <c r="J139" s="20">
        <f>IF(C139&lt;='Batt IN'!H$43*12,BattCalcs!CO139,NA())</f>
        <v>0</v>
      </c>
      <c r="L139" s="20">
        <f t="shared" si="313"/>
        <v>6892.8854575502528</v>
      </c>
      <c r="M139" s="20">
        <f>G139+BattCalcs!CO139</f>
        <v>-15664.138422378095</v>
      </c>
      <c r="O139" s="10">
        <f>PVLoan!G167</f>
        <v>0</v>
      </c>
      <c r="P139" s="10">
        <f>PVLoan!J167</f>
        <v>0</v>
      </c>
      <c r="Q139" s="2" t="str">
        <f>BattLoan!G167</f>
        <v>-</v>
      </c>
      <c r="R139" s="10" t="str">
        <f>BattLoan!J167</f>
        <v>-</v>
      </c>
      <c r="T139" s="33">
        <f>IF('PV IN'!$F$4="Battery Only",0,PVCalcs!G139)</f>
        <v>139463.29825437593</v>
      </c>
      <c r="U139" s="33">
        <f>IF('PV IN'!$F$4="Battery Only",0,PVCalcs!M139)</f>
        <v>139463.29825437593</v>
      </c>
      <c r="V139" s="33">
        <f>PVCalcs!L139</f>
        <v>25811.765833333331</v>
      </c>
      <c r="W139" s="158">
        <f>PVCalcs!F139</f>
        <v>8.0358632345087277E-2</v>
      </c>
      <c r="X139" s="144">
        <f>IF('PV IN'!$F$4="Battery Only",0,PVCalcs!Y139+PVCalcs!Z139)</f>
        <v>1813.022877306887</v>
      </c>
      <c r="Y139" s="144">
        <f>IF('PV IN'!$F$4="PV Only",0,BattCalcs!AX139+BattCalcs!BC139)</f>
        <v>0</v>
      </c>
      <c r="Z139" s="144">
        <f>IF('PV IN'!$F$4="PV Only",0,BattCalcs!AY139+BattCalcs!BD139)</f>
        <v>0</v>
      </c>
      <c r="AA139" s="144">
        <f>IF('PV IN'!$F$4="PV Only",0,BattCalcs!AZ139+BattCalcs!BE139)</f>
        <v>0</v>
      </c>
      <c r="AB139" s="144">
        <f>IF('PV IN'!$F$4="PV Only",0,BattCalcs!BA139+BattCalcs!BF139)</f>
        <v>0</v>
      </c>
      <c r="AC139" s="144">
        <f>IF('PV IN'!$F$4="PV Only",0,BattCalcs!BB139+BattCalcs!BG139)</f>
        <v>0</v>
      </c>
      <c r="AD139" s="144">
        <f>IF('PV IN'!$F$4="PV Only",0,BattCalcs!BU139)</f>
        <v>0</v>
      </c>
      <c r="AE139" s="144">
        <f>IF('PV IN'!$F$4="PV Only",PVCalcs!W139+PVCalcs!AA139,IF('PV IN'!$F$4="Battery Only",BattCalcs!AV139+BattCalcs!BH139,PVCalcs!W139+PVCalcs!AA139+BattCalcs!AV139+BattCalcs!BH139))</f>
        <v>0</v>
      </c>
      <c r="AF139" s="10">
        <f>PVCalcs!AC139+BattCalcs!BJ139</f>
        <v>0</v>
      </c>
      <c r="AG139" s="144">
        <f>IF('PV IN'!$F$4="Battery Only",0,PVCalcs!AG139)</f>
        <v>-750</v>
      </c>
      <c r="AH139" s="144">
        <f>IF('PV IN'!$F$4="Battery Only",0,PVCalcs!AI139)</f>
        <v>0</v>
      </c>
      <c r="AI139" s="144">
        <f>IF('PV IN'!$F$4="PV Only",0,BattCalcs!BM139)</f>
        <v>0</v>
      </c>
      <c r="AJ139" s="144">
        <f>IF('PV IN'!$F$4="PV Only",0,SUM(BattCalcs!BO139:BT139))</f>
        <v>0</v>
      </c>
      <c r="AK139" s="144">
        <f>IF('PV IN'!$F$4="PV Only",PVCalcs!AH139,IF('PV IN'!$F$4="Battery Only",BattCalcs!BN139,PVCalcs!AH139+BattCalcs!BN139))</f>
        <v>-625</v>
      </c>
      <c r="AL139" s="144">
        <f>IF('PV IN'!$F$4="PV Only",0,BattCalcs!BV139)</f>
        <v>0</v>
      </c>
      <c r="AM139" s="144">
        <f>IF('PV IN'!$F$4="PV Only",0,SUM(BattCalcs!BW139:BX139))</f>
        <v>0</v>
      </c>
      <c r="AN139" s="144">
        <f>IF('PV IN'!$F$4="PV Only",0,BattCalcs!BY139)</f>
        <v>0</v>
      </c>
      <c r="AO139" s="144">
        <f>IF('PV IN'!$F$4="Battery Only",0,PVCalcs!U139)</f>
        <v>11207.079910056647</v>
      </c>
      <c r="AP139" s="10">
        <f>IF('PV IN'!$F$4="PV Only",0,BattCalcs!AS139)</f>
        <v>0</v>
      </c>
      <c r="AQ139" s="10">
        <f>IF('PV IN'!$F$4="PV Only",0,BattCalcs!AT139)</f>
        <v>0</v>
      </c>
      <c r="AR139" s="10">
        <f>IF('PV IN'!$F$4="PV Only",0,BattCalcs!AU139)</f>
        <v>0</v>
      </c>
      <c r="AS139" s="144">
        <f>IF('PV IN'!$F$4="PV Only",PVCalcs!X139,IF('PV IN'!$F$4="Battery Only",BattCalcs!AW139,PVCalcs!X139+BattCalcs!AW139))</f>
        <v>0</v>
      </c>
      <c r="AT139" s="144">
        <f>IF('PV IN'!$F$4="Battery Only",0,-PVCalcs!AQ139*'PV IN'!$E$8)</f>
        <v>0</v>
      </c>
      <c r="AU139" s="144">
        <f>IF('PV IN'!$F$4="PV Only",0,-BattCalcs!CG139*'PV IN'!$E$8)</f>
        <v>0</v>
      </c>
      <c r="AV139" s="144">
        <f>IF('PV IN'!$F$4="PV Only",PVCalcs!Z139+PVCalcs!AA139,IF('PV IN'!$F$4="Battery Only",SUM(BattCalcs!BC139:BH139),PVCalcs!Z139+PVCalcs!AA139+SUM(BattCalcs!BC139:BH139)))</f>
        <v>0</v>
      </c>
      <c r="AW139" s="144">
        <f>IF('PV IN'!$F$4="PV Only",SUM(PVCalcs!AF139:AI139),IF('PV IN'!$F$4="Battery Only",SUM(BattCalcs!BL139:BY139),SUM(PVCalcs!AF139:AI139)+SUM(BattCalcs!BL139:BY139)))</f>
        <v>-1375</v>
      </c>
      <c r="AX139" s="144">
        <f>IF('PV IN'!$F$4="Battery Only",0,-PVLoan!F167)</f>
        <v>0</v>
      </c>
      <c r="AY139" s="144">
        <f>IF('PV IN'!$F$4="PV Only",0,-BattLoan!F167)</f>
        <v>0</v>
      </c>
      <c r="AZ139" s="144">
        <f>IF('PV IN'!$F$4="Battery Only",0,-PVLoan!H167)</f>
        <v>0</v>
      </c>
      <c r="BA139" s="144">
        <f>IF('PV IN'!$F$4="PV Only",0,-BattLoan!H167)</f>
        <v>0</v>
      </c>
    </row>
    <row r="140" spans="1:88" x14ac:dyDescent="0.25">
      <c r="A140">
        <f>IF(C140&lt;='PV IN'!$O$22*12,C140,"")</f>
        <v>136</v>
      </c>
      <c r="C140">
        <v>136</v>
      </c>
      <c r="D140" s="2">
        <f>BattCalcs!CK140+PVCalcs!AT140</f>
        <v>11925.172718838627</v>
      </c>
      <c r="E140" s="20">
        <f>PVCalcs!AV140</f>
        <v>434716.75017457071</v>
      </c>
      <c r="F140" s="20">
        <f>PVCalcs!AW140</f>
        <v>6859.9237499564861</v>
      </c>
      <c r="G140" s="20">
        <f>PVCalcs!AX140</f>
        <v>-8804.2146724216091</v>
      </c>
      <c r="H140" s="20">
        <f>BattCalcs!CM140</f>
        <v>0</v>
      </c>
      <c r="I140" s="20">
        <f>BattCalcs!CN140</f>
        <v>0</v>
      </c>
      <c r="J140" s="20">
        <f>IF(C140&lt;='Batt IN'!H$43*12,BattCalcs!CO140,NA())</f>
        <v>0</v>
      </c>
      <c r="L140" s="20">
        <f t="shared" si="313"/>
        <v>6859.9237499564861</v>
      </c>
      <c r="M140" s="20">
        <f>G140+BattCalcs!CO140</f>
        <v>-8804.2146724216091</v>
      </c>
      <c r="O140" s="10">
        <f>PVLoan!G168</f>
        <v>0</v>
      </c>
      <c r="P140" s="10">
        <f>PVLoan!J168</f>
        <v>0</v>
      </c>
      <c r="Q140" s="2" t="str">
        <f>BattLoan!G168</f>
        <v>-</v>
      </c>
      <c r="R140" s="10" t="str">
        <f>BattLoan!J168</f>
        <v>-</v>
      </c>
      <c r="T140" s="33">
        <f>IF('PV IN'!$F$4="Battery Only",0,PVCalcs!G140)</f>
        <v>139370.32272220636</v>
      </c>
      <c r="U140" s="33">
        <f>IF('PV IN'!$F$4="Battery Only",0,PVCalcs!M140)</f>
        <v>139370.32272220636</v>
      </c>
      <c r="V140" s="33">
        <f>PVCalcs!L140</f>
        <v>25811.765833333331</v>
      </c>
      <c r="W140" s="158">
        <f>PVCalcs!F140</f>
        <v>8.0358632345087277E-2</v>
      </c>
      <c r="X140" s="144">
        <f>IF('PV IN'!$F$4="Battery Only",0,PVCalcs!Y140+PVCalcs!Z140)</f>
        <v>1811.8141953886827</v>
      </c>
      <c r="Y140" s="144">
        <f>IF('PV IN'!$F$4="PV Only",0,BattCalcs!AX140+BattCalcs!BC140)</f>
        <v>0</v>
      </c>
      <c r="Z140" s="144">
        <f>IF('PV IN'!$F$4="PV Only",0,BattCalcs!AY140+BattCalcs!BD140)</f>
        <v>0</v>
      </c>
      <c r="AA140" s="144">
        <f>IF('PV IN'!$F$4="PV Only",0,BattCalcs!AZ140+BattCalcs!BE140)</f>
        <v>0</v>
      </c>
      <c r="AB140" s="144">
        <f>IF('PV IN'!$F$4="PV Only",0,BattCalcs!BA140+BattCalcs!BF140)</f>
        <v>0</v>
      </c>
      <c r="AC140" s="144">
        <f>IF('PV IN'!$F$4="PV Only",0,BattCalcs!BB140+BattCalcs!BG140)</f>
        <v>0</v>
      </c>
      <c r="AD140" s="144">
        <f>IF('PV IN'!$F$4="PV Only",0,BattCalcs!BU140)</f>
        <v>0</v>
      </c>
      <c r="AE140" s="144">
        <f>IF('PV IN'!$F$4="PV Only",PVCalcs!W140+PVCalcs!AA140,IF('PV IN'!$F$4="Battery Only",BattCalcs!AV140+BattCalcs!BH140,PVCalcs!W140+PVCalcs!AA140+BattCalcs!AV140+BattCalcs!BH140))</f>
        <v>0</v>
      </c>
      <c r="AF140" s="10">
        <f>PVCalcs!AC140+BattCalcs!BJ140</f>
        <v>0</v>
      </c>
      <c r="AG140" s="144">
        <f>IF('PV IN'!$F$4="Battery Only",0,PVCalcs!AG140)</f>
        <v>-750</v>
      </c>
      <c r="AH140" s="144">
        <f>IF('PV IN'!$F$4="Battery Only",0,PVCalcs!AI140)</f>
        <v>0</v>
      </c>
      <c r="AI140" s="144">
        <f>IF('PV IN'!$F$4="PV Only",0,BattCalcs!BM140)</f>
        <v>0</v>
      </c>
      <c r="AJ140" s="144">
        <f>IF('PV IN'!$F$4="PV Only",0,SUM(BattCalcs!BO140:BT140))</f>
        <v>0</v>
      </c>
      <c r="AK140" s="144">
        <f>IF('PV IN'!$F$4="PV Only",PVCalcs!AH140,IF('PV IN'!$F$4="Battery Only",BattCalcs!BN140,PVCalcs!AH140+BattCalcs!BN140))</f>
        <v>-625</v>
      </c>
      <c r="AL140" s="144">
        <f>IF('PV IN'!$F$4="PV Only",0,BattCalcs!BV140)</f>
        <v>0</v>
      </c>
      <c r="AM140" s="144">
        <f>IF('PV IN'!$F$4="PV Only",0,SUM(BattCalcs!BW140:BX140))</f>
        <v>0</v>
      </c>
      <c r="AN140" s="144">
        <f>IF('PV IN'!$F$4="PV Only",0,BattCalcs!BY140)</f>
        <v>0</v>
      </c>
      <c r="AO140" s="144">
        <f>IF('PV IN'!$F$4="Battery Only",0,PVCalcs!U140)</f>
        <v>11199.608523449944</v>
      </c>
      <c r="AP140" s="10">
        <f>IF('PV IN'!$F$4="PV Only",0,BattCalcs!AS140)</f>
        <v>0</v>
      </c>
      <c r="AQ140" s="10">
        <f>IF('PV IN'!$F$4="PV Only",0,BattCalcs!AT140)</f>
        <v>0</v>
      </c>
      <c r="AR140" s="10">
        <f>IF('PV IN'!$F$4="PV Only",0,BattCalcs!AU140)</f>
        <v>0</v>
      </c>
      <c r="AS140" s="144">
        <f>IF('PV IN'!$F$4="PV Only",PVCalcs!X140,IF('PV IN'!$F$4="Battery Only",BattCalcs!AW140,PVCalcs!X140+BattCalcs!AW140))</f>
        <v>0</v>
      </c>
      <c r="AT140" s="144">
        <f>IF('PV IN'!$F$4="Battery Only",0,-PVCalcs!AQ140*'PV IN'!$E$8)</f>
        <v>0</v>
      </c>
      <c r="AU140" s="144">
        <f>IF('PV IN'!$F$4="PV Only",0,-BattCalcs!CG140*'PV IN'!$E$8)</f>
        <v>0</v>
      </c>
      <c r="AV140" s="144">
        <f>IF('PV IN'!$F$4="PV Only",PVCalcs!Z140+PVCalcs!AA140,IF('PV IN'!$F$4="Battery Only",SUM(BattCalcs!BC140:BH140),PVCalcs!Z140+PVCalcs!AA140+SUM(BattCalcs!BC140:BH140)))</f>
        <v>0</v>
      </c>
      <c r="AW140" s="144">
        <f>IF('PV IN'!$F$4="PV Only",SUM(PVCalcs!AF140:AI140),IF('PV IN'!$F$4="Battery Only",SUM(BattCalcs!BL140:BY140),SUM(PVCalcs!AF140:AI140)+SUM(BattCalcs!BL140:BY140)))</f>
        <v>-1375</v>
      </c>
      <c r="AX140" s="144">
        <f>IF('PV IN'!$F$4="Battery Only",0,-PVLoan!F168)</f>
        <v>0</v>
      </c>
      <c r="AY140" s="144">
        <f>IF('PV IN'!$F$4="PV Only",0,-BattLoan!F168)</f>
        <v>0</v>
      </c>
      <c r="AZ140" s="144">
        <f>IF('PV IN'!$F$4="Battery Only",0,-PVLoan!H168)</f>
        <v>0</v>
      </c>
      <c r="BA140" s="144">
        <f>IF('PV IN'!$F$4="PV Only",0,-BattLoan!H168)</f>
        <v>0</v>
      </c>
    </row>
    <row r="141" spans="1:88" x14ac:dyDescent="0.25">
      <c r="A141">
        <f>IF(C141&lt;='PV IN'!$O$22*12,C141,"")</f>
        <v>137</v>
      </c>
      <c r="C141">
        <v>137</v>
      </c>
      <c r="D141" s="2">
        <f>BattCalcs!CK141+PVCalcs!AT141</f>
        <v>11916.498437026064</v>
      </c>
      <c r="E141" s="20">
        <f>PVCalcs!AV141</f>
        <v>446633.24861159676</v>
      </c>
      <c r="F141" s="20">
        <f>PVCalcs!AW141</f>
        <v>6827.119363144835</v>
      </c>
      <c r="G141" s="20">
        <f>PVCalcs!AX141</f>
        <v>-1977.0953092767741</v>
      </c>
      <c r="H141" s="20">
        <f>BattCalcs!CM141</f>
        <v>0</v>
      </c>
      <c r="I141" s="20">
        <f>BattCalcs!CN141</f>
        <v>0</v>
      </c>
      <c r="J141" s="20">
        <f>IF(C141&lt;='Batt IN'!H$43*12,BattCalcs!CO141,NA())</f>
        <v>0</v>
      </c>
      <c r="L141" s="20">
        <f t="shared" si="313"/>
        <v>6827.119363144835</v>
      </c>
      <c r="M141" s="20">
        <f>G141+BattCalcs!CO141</f>
        <v>-1977.0953092767741</v>
      </c>
      <c r="O141" s="10">
        <f>PVLoan!G169</f>
        <v>0</v>
      </c>
      <c r="P141" s="10">
        <f>PVLoan!J169</f>
        <v>0</v>
      </c>
      <c r="Q141" s="2" t="str">
        <f>BattLoan!G169</f>
        <v>-</v>
      </c>
      <c r="R141" s="10" t="str">
        <f>BattLoan!J169</f>
        <v>-</v>
      </c>
      <c r="T141" s="33">
        <f>IF('PV IN'!$F$4="Battery Only",0,PVCalcs!G141)</f>
        <v>139277.40917372485</v>
      </c>
      <c r="U141" s="33">
        <f>IF('PV IN'!$F$4="Battery Only",0,PVCalcs!M141)</f>
        <v>139277.40917372485</v>
      </c>
      <c r="V141" s="33">
        <f>PVCalcs!L141</f>
        <v>25811.765833333331</v>
      </c>
      <c r="W141" s="158">
        <f>PVCalcs!F141</f>
        <v>8.0358632345087277E-2</v>
      </c>
      <c r="X141" s="144">
        <f>IF('PV IN'!$F$4="Battery Only",0,PVCalcs!Y141+PVCalcs!Z141)</f>
        <v>1810.6063192584231</v>
      </c>
      <c r="Y141" s="144">
        <f>IF('PV IN'!$F$4="PV Only",0,BattCalcs!AX141+BattCalcs!BC141)</f>
        <v>0</v>
      </c>
      <c r="Z141" s="144">
        <f>IF('PV IN'!$F$4="PV Only",0,BattCalcs!AY141+BattCalcs!BD141)</f>
        <v>0</v>
      </c>
      <c r="AA141" s="144">
        <f>IF('PV IN'!$F$4="PV Only",0,BattCalcs!AZ141+BattCalcs!BE141)</f>
        <v>0</v>
      </c>
      <c r="AB141" s="144">
        <f>IF('PV IN'!$F$4="PV Only",0,BattCalcs!BA141+BattCalcs!BF141)</f>
        <v>0</v>
      </c>
      <c r="AC141" s="144">
        <f>IF('PV IN'!$F$4="PV Only",0,BattCalcs!BB141+BattCalcs!BG141)</f>
        <v>0</v>
      </c>
      <c r="AD141" s="144">
        <f>IF('PV IN'!$F$4="PV Only",0,BattCalcs!BU141)</f>
        <v>0</v>
      </c>
      <c r="AE141" s="144">
        <f>IF('PV IN'!$F$4="PV Only",PVCalcs!W141+PVCalcs!AA141,IF('PV IN'!$F$4="Battery Only",BattCalcs!AV141+BattCalcs!BH141,PVCalcs!W141+PVCalcs!AA141+BattCalcs!AV141+BattCalcs!BH141))</f>
        <v>0</v>
      </c>
      <c r="AF141" s="10">
        <f>PVCalcs!AC141+BattCalcs!BJ141</f>
        <v>0</v>
      </c>
      <c r="AG141" s="144">
        <f>IF('PV IN'!$F$4="Battery Only",0,PVCalcs!AG141)</f>
        <v>-750</v>
      </c>
      <c r="AH141" s="144">
        <f>IF('PV IN'!$F$4="Battery Only",0,PVCalcs!AI141)</f>
        <v>0</v>
      </c>
      <c r="AI141" s="144">
        <f>IF('PV IN'!$F$4="PV Only",0,BattCalcs!BM141)</f>
        <v>0</v>
      </c>
      <c r="AJ141" s="144">
        <f>IF('PV IN'!$F$4="PV Only",0,SUM(BattCalcs!BO141:BT141))</f>
        <v>0</v>
      </c>
      <c r="AK141" s="144">
        <f>IF('PV IN'!$F$4="PV Only",PVCalcs!AH141,IF('PV IN'!$F$4="Battery Only",BattCalcs!BN141,PVCalcs!AH141+BattCalcs!BN141))</f>
        <v>-625</v>
      </c>
      <c r="AL141" s="144">
        <f>IF('PV IN'!$F$4="PV Only",0,BattCalcs!BV141)</f>
        <v>0</v>
      </c>
      <c r="AM141" s="144">
        <f>IF('PV IN'!$F$4="PV Only",0,SUM(BattCalcs!BW141:BX141))</f>
        <v>0</v>
      </c>
      <c r="AN141" s="144">
        <f>IF('PV IN'!$F$4="PV Only",0,BattCalcs!BY141)</f>
        <v>0</v>
      </c>
      <c r="AO141" s="144">
        <f>IF('PV IN'!$F$4="Battery Only",0,PVCalcs!U141)</f>
        <v>11192.142117767642</v>
      </c>
      <c r="AP141" s="10">
        <f>IF('PV IN'!$F$4="PV Only",0,BattCalcs!AS141)</f>
        <v>0</v>
      </c>
      <c r="AQ141" s="10">
        <f>IF('PV IN'!$F$4="PV Only",0,BattCalcs!AT141)</f>
        <v>0</v>
      </c>
      <c r="AR141" s="10">
        <f>IF('PV IN'!$F$4="PV Only",0,BattCalcs!AU141)</f>
        <v>0</v>
      </c>
      <c r="AS141" s="144">
        <f>IF('PV IN'!$F$4="PV Only",PVCalcs!X141,IF('PV IN'!$F$4="Battery Only",BattCalcs!AW141,PVCalcs!X141+BattCalcs!AW141))</f>
        <v>0</v>
      </c>
      <c r="AT141" s="144">
        <f>IF('PV IN'!$F$4="Battery Only",0,-PVCalcs!AQ141*'PV IN'!$E$8)</f>
        <v>0</v>
      </c>
      <c r="AU141" s="144">
        <f>IF('PV IN'!$F$4="PV Only",0,-BattCalcs!CG141*'PV IN'!$E$8)</f>
        <v>0</v>
      </c>
      <c r="AV141" s="144">
        <f>IF('PV IN'!$F$4="PV Only",PVCalcs!Z141+PVCalcs!AA141,IF('PV IN'!$F$4="Battery Only",SUM(BattCalcs!BC141:BH141),PVCalcs!Z141+PVCalcs!AA141+SUM(BattCalcs!BC141:BH141)))</f>
        <v>0</v>
      </c>
      <c r="AW141" s="144">
        <f>IF('PV IN'!$F$4="PV Only",SUM(PVCalcs!AF141:AI141),IF('PV IN'!$F$4="Battery Only",SUM(BattCalcs!BL141:BY141),SUM(PVCalcs!AF141:AI141)+SUM(BattCalcs!BL141:BY141)))</f>
        <v>-1375</v>
      </c>
      <c r="AX141" s="144">
        <f>IF('PV IN'!$F$4="Battery Only",0,-PVLoan!F169)</f>
        <v>0</v>
      </c>
      <c r="AY141" s="144">
        <f>IF('PV IN'!$F$4="PV Only",0,-BattLoan!F169)</f>
        <v>0</v>
      </c>
      <c r="AZ141" s="144">
        <f>IF('PV IN'!$F$4="Battery Only",0,-PVLoan!H169)</f>
        <v>0</v>
      </c>
      <c r="BA141" s="144">
        <f>IF('PV IN'!$F$4="PV Only",0,-BattLoan!H169)</f>
        <v>0</v>
      </c>
    </row>
    <row r="142" spans="1:88" x14ac:dyDescent="0.25">
      <c r="A142">
        <f>IF(C142&lt;='PV IN'!$O$22*12,C142,"")</f>
        <v>138</v>
      </c>
      <c r="C142">
        <v>138</v>
      </c>
      <c r="D142" s="2">
        <f>BattCalcs!CK142+PVCalcs!AT142</f>
        <v>11907.829938068047</v>
      </c>
      <c r="E142" s="20">
        <f>PVCalcs!AV142</f>
        <v>458541.07854966482</v>
      </c>
      <c r="F142" s="20">
        <f>PVCalcs!AW142</f>
        <v>6794.4715474581835</v>
      </c>
      <c r="G142" s="20">
        <f>PVCalcs!AX142</f>
        <v>4817.3762381814095</v>
      </c>
      <c r="H142" s="20">
        <f>BattCalcs!CM142</f>
        <v>0</v>
      </c>
      <c r="I142" s="20">
        <f>BattCalcs!CN142</f>
        <v>0</v>
      </c>
      <c r="J142" s="20">
        <f>IF(C142&lt;='Batt IN'!H$43*12,BattCalcs!CO142,NA())</f>
        <v>0</v>
      </c>
      <c r="L142" s="20">
        <f t="shared" si="313"/>
        <v>6794.4715474581835</v>
      </c>
      <c r="M142" s="20">
        <f>G142+BattCalcs!CO142</f>
        <v>4817.3762381814095</v>
      </c>
      <c r="O142" s="10">
        <f>PVLoan!G170</f>
        <v>0</v>
      </c>
      <c r="P142" s="10">
        <f>PVLoan!J170</f>
        <v>0</v>
      </c>
      <c r="Q142" s="2" t="str">
        <f>BattLoan!G170</f>
        <v>-</v>
      </c>
      <c r="R142" s="10" t="str">
        <f>BattLoan!J170</f>
        <v>-</v>
      </c>
      <c r="T142" s="33">
        <f>IF('PV IN'!$F$4="Battery Only",0,PVCalcs!G142)</f>
        <v>139184.55756760904</v>
      </c>
      <c r="U142" s="33">
        <f>IF('PV IN'!$F$4="Battery Only",0,PVCalcs!M142)</f>
        <v>139184.55756760904</v>
      </c>
      <c r="V142" s="33">
        <f>PVCalcs!L142</f>
        <v>25811.765833333331</v>
      </c>
      <c r="W142" s="158">
        <f>PVCalcs!F142</f>
        <v>8.0358632345087277E-2</v>
      </c>
      <c r="X142" s="144">
        <f>IF('PV IN'!$F$4="Battery Only",0,PVCalcs!Y142+PVCalcs!Z142)</f>
        <v>1809.3992483789175</v>
      </c>
      <c r="Y142" s="144">
        <f>IF('PV IN'!$F$4="PV Only",0,BattCalcs!AX142+BattCalcs!BC142)</f>
        <v>0</v>
      </c>
      <c r="Z142" s="144">
        <f>IF('PV IN'!$F$4="PV Only",0,BattCalcs!AY142+BattCalcs!BD142)</f>
        <v>0</v>
      </c>
      <c r="AA142" s="144">
        <f>IF('PV IN'!$F$4="PV Only",0,BattCalcs!AZ142+BattCalcs!BE142)</f>
        <v>0</v>
      </c>
      <c r="AB142" s="144">
        <f>IF('PV IN'!$F$4="PV Only",0,BattCalcs!BA142+BattCalcs!BF142)</f>
        <v>0</v>
      </c>
      <c r="AC142" s="144">
        <f>IF('PV IN'!$F$4="PV Only",0,BattCalcs!BB142+BattCalcs!BG142)</f>
        <v>0</v>
      </c>
      <c r="AD142" s="144">
        <f>IF('PV IN'!$F$4="PV Only",0,BattCalcs!BU142)</f>
        <v>0</v>
      </c>
      <c r="AE142" s="144">
        <f>IF('PV IN'!$F$4="PV Only",PVCalcs!W142+PVCalcs!AA142,IF('PV IN'!$F$4="Battery Only",BattCalcs!AV142+BattCalcs!BH142,PVCalcs!W142+PVCalcs!AA142+BattCalcs!AV142+BattCalcs!BH142))</f>
        <v>0</v>
      </c>
      <c r="AF142" s="10">
        <f>PVCalcs!AC142+BattCalcs!BJ142</f>
        <v>0</v>
      </c>
      <c r="AG142" s="144">
        <f>IF('PV IN'!$F$4="Battery Only",0,PVCalcs!AG142)</f>
        <v>-750</v>
      </c>
      <c r="AH142" s="144">
        <f>IF('PV IN'!$F$4="Battery Only",0,PVCalcs!AI142)</f>
        <v>0</v>
      </c>
      <c r="AI142" s="144">
        <f>IF('PV IN'!$F$4="PV Only",0,BattCalcs!BM142)</f>
        <v>0</v>
      </c>
      <c r="AJ142" s="144">
        <f>IF('PV IN'!$F$4="PV Only",0,SUM(BattCalcs!BO142:BT142))</f>
        <v>0</v>
      </c>
      <c r="AK142" s="144">
        <f>IF('PV IN'!$F$4="PV Only",PVCalcs!AH142,IF('PV IN'!$F$4="Battery Only",BattCalcs!BN142,PVCalcs!AH142+BattCalcs!BN142))</f>
        <v>-625</v>
      </c>
      <c r="AL142" s="144">
        <f>IF('PV IN'!$F$4="PV Only",0,BattCalcs!BV142)</f>
        <v>0</v>
      </c>
      <c r="AM142" s="144">
        <f>IF('PV IN'!$F$4="PV Only",0,SUM(BattCalcs!BW142:BX142))</f>
        <v>0</v>
      </c>
      <c r="AN142" s="144">
        <f>IF('PV IN'!$F$4="PV Only",0,BattCalcs!BY142)</f>
        <v>0</v>
      </c>
      <c r="AO142" s="144">
        <f>IF('PV IN'!$F$4="Battery Only",0,PVCalcs!U142)</f>
        <v>11184.68068968913</v>
      </c>
      <c r="AP142" s="10">
        <f>IF('PV IN'!$F$4="PV Only",0,BattCalcs!AS142)</f>
        <v>0</v>
      </c>
      <c r="AQ142" s="10">
        <f>IF('PV IN'!$F$4="PV Only",0,BattCalcs!AT142)</f>
        <v>0</v>
      </c>
      <c r="AR142" s="10">
        <f>IF('PV IN'!$F$4="PV Only",0,BattCalcs!AU142)</f>
        <v>0</v>
      </c>
      <c r="AS142" s="144">
        <f>IF('PV IN'!$F$4="PV Only",PVCalcs!X142,IF('PV IN'!$F$4="Battery Only",BattCalcs!AW142,PVCalcs!X142+BattCalcs!AW142))</f>
        <v>0</v>
      </c>
      <c r="AT142" s="144">
        <f>IF('PV IN'!$F$4="Battery Only",0,-PVCalcs!AQ142*'PV IN'!$E$8)</f>
        <v>0</v>
      </c>
      <c r="AU142" s="144">
        <f>IF('PV IN'!$F$4="PV Only",0,-BattCalcs!CG142*'PV IN'!$E$8)</f>
        <v>0</v>
      </c>
      <c r="AV142" s="144">
        <f>IF('PV IN'!$F$4="PV Only",PVCalcs!Z142+PVCalcs!AA142,IF('PV IN'!$F$4="Battery Only",SUM(BattCalcs!BC142:BH142),PVCalcs!Z142+PVCalcs!AA142+SUM(BattCalcs!BC142:BH142)))</f>
        <v>0</v>
      </c>
      <c r="AW142" s="144">
        <f>IF('PV IN'!$F$4="PV Only",SUM(PVCalcs!AF142:AI142),IF('PV IN'!$F$4="Battery Only",SUM(BattCalcs!BL142:BY142),SUM(PVCalcs!AF142:AI142)+SUM(BattCalcs!BL142:BY142)))</f>
        <v>-1375</v>
      </c>
      <c r="AX142" s="144">
        <f>IF('PV IN'!$F$4="Battery Only",0,-PVLoan!F170)</f>
        <v>0</v>
      </c>
      <c r="AY142" s="144">
        <f>IF('PV IN'!$F$4="PV Only",0,-BattLoan!F170)</f>
        <v>0</v>
      </c>
      <c r="AZ142" s="144">
        <f>IF('PV IN'!$F$4="Battery Only",0,-PVLoan!H170)</f>
        <v>0</v>
      </c>
      <c r="BA142" s="144">
        <f>IF('PV IN'!$F$4="PV Only",0,-BattLoan!H170)</f>
        <v>0</v>
      </c>
    </row>
    <row r="143" spans="1:88" x14ac:dyDescent="0.25">
      <c r="A143">
        <f>IF(C143&lt;='PV IN'!$O$22*12,C143,"")</f>
        <v>139</v>
      </c>
      <c r="C143">
        <v>139</v>
      </c>
      <c r="D143" s="2">
        <f>BattCalcs!CK143+PVCalcs!AT143</f>
        <v>11899.167218109334</v>
      </c>
      <c r="E143" s="20">
        <f>PVCalcs!AV143</f>
        <v>470440.24576777418</v>
      </c>
      <c r="F143" s="20">
        <f>PVCalcs!AW143</f>
        <v>6761.979556806783</v>
      </c>
      <c r="G143" s="20">
        <f>PVCalcs!AX143</f>
        <v>11579.355794988192</v>
      </c>
      <c r="H143" s="20">
        <f>BattCalcs!CM143</f>
        <v>0</v>
      </c>
      <c r="I143" s="20">
        <f>BattCalcs!CN143</f>
        <v>0</v>
      </c>
      <c r="J143" s="20">
        <f>IF(C143&lt;='Batt IN'!H$43*12,BattCalcs!CO143,NA())</f>
        <v>0</v>
      </c>
      <c r="L143" s="20">
        <f t="shared" si="313"/>
        <v>6761.979556806783</v>
      </c>
      <c r="M143" s="20">
        <f>G143+BattCalcs!CO143</f>
        <v>11579.355794988192</v>
      </c>
      <c r="O143" s="10">
        <f>PVLoan!G171</f>
        <v>0</v>
      </c>
      <c r="P143" s="10">
        <f>PVLoan!J171</f>
        <v>0</v>
      </c>
      <c r="Q143" s="2" t="str">
        <f>BattLoan!G171</f>
        <v>-</v>
      </c>
      <c r="R143" s="10" t="str">
        <f>BattLoan!J171</f>
        <v>-</v>
      </c>
      <c r="T143" s="33">
        <f>IF('PV IN'!$F$4="Battery Only",0,PVCalcs!G143)</f>
        <v>139091.76786256395</v>
      </c>
      <c r="U143" s="33">
        <f>IF('PV IN'!$F$4="Battery Only",0,PVCalcs!M143)</f>
        <v>139091.76786256395</v>
      </c>
      <c r="V143" s="33">
        <f>PVCalcs!L143</f>
        <v>25811.765833333331</v>
      </c>
      <c r="W143" s="158">
        <f>PVCalcs!F143</f>
        <v>8.0358632345087277E-2</v>
      </c>
      <c r="X143" s="144">
        <f>IF('PV IN'!$F$4="Battery Only",0,PVCalcs!Y143+PVCalcs!Z143)</f>
        <v>1808.1929822133313</v>
      </c>
      <c r="Y143" s="144">
        <f>IF('PV IN'!$F$4="PV Only",0,BattCalcs!AX143+BattCalcs!BC143)</f>
        <v>0</v>
      </c>
      <c r="Z143" s="144">
        <f>IF('PV IN'!$F$4="PV Only",0,BattCalcs!AY143+BattCalcs!BD143)</f>
        <v>0</v>
      </c>
      <c r="AA143" s="144">
        <f>IF('PV IN'!$F$4="PV Only",0,BattCalcs!AZ143+BattCalcs!BE143)</f>
        <v>0</v>
      </c>
      <c r="AB143" s="144">
        <f>IF('PV IN'!$F$4="PV Only",0,BattCalcs!BA143+BattCalcs!BF143)</f>
        <v>0</v>
      </c>
      <c r="AC143" s="144">
        <f>IF('PV IN'!$F$4="PV Only",0,BattCalcs!BB143+BattCalcs!BG143)</f>
        <v>0</v>
      </c>
      <c r="AD143" s="144">
        <f>IF('PV IN'!$F$4="PV Only",0,BattCalcs!BU143)</f>
        <v>0</v>
      </c>
      <c r="AE143" s="144">
        <f>IF('PV IN'!$F$4="PV Only",PVCalcs!W143+PVCalcs!AA143,IF('PV IN'!$F$4="Battery Only",BattCalcs!AV143+BattCalcs!BH143,PVCalcs!W143+PVCalcs!AA143+BattCalcs!AV143+BattCalcs!BH143))</f>
        <v>0</v>
      </c>
      <c r="AF143" s="10">
        <f>PVCalcs!AC143+BattCalcs!BJ143</f>
        <v>0</v>
      </c>
      <c r="AG143" s="144">
        <f>IF('PV IN'!$F$4="Battery Only",0,PVCalcs!AG143)</f>
        <v>-750</v>
      </c>
      <c r="AH143" s="144">
        <f>IF('PV IN'!$F$4="Battery Only",0,PVCalcs!AI143)</f>
        <v>0</v>
      </c>
      <c r="AI143" s="144">
        <f>IF('PV IN'!$F$4="PV Only",0,BattCalcs!BM143)</f>
        <v>0</v>
      </c>
      <c r="AJ143" s="144">
        <f>IF('PV IN'!$F$4="PV Only",0,SUM(BattCalcs!BO143:BT143))</f>
        <v>0</v>
      </c>
      <c r="AK143" s="144">
        <f>IF('PV IN'!$F$4="PV Only",PVCalcs!AH143,IF('PV IN'!$F$4="Battery Only",BattCalcs!BN143,PVCalcs!AH143+BattCalcs!BN143))</f>
        <v>-625</v>
      </c>
      <c r="AL143" s="144">
        <f>IF('PV IN'!$F$4="PV Only",0,BattCalcs!BV143)</f>
        <v>0</v>
      </c>
      <c r="AM143" s="144">
        <f>IF('PV IN'!$F$4="PV Only",0,SUM(BattCalcs!BW143:BX143))</f>
        <v>0</v>
      </c>
      <c r="AN143" s="144">
        <f>IF('PV IN'!$F$4="PV Only",0,BattCalcs!BY143)</f>
        <v>0</v>
      </c>
      <c r="AO143" s="144">
        <f>IF('PV IN'!$F$4="Battery Only",0,PVCalcs!U143)</f>
        <v>11177.224235896003</v>
      </c>
      <c r="AP143" s="10">
        <f>IF('PV IN'!$F$4="PV Only",0,BattCalcs!AS143)</f>
        <v>0</v>
      </c>
      <c r="AQ143" s="10">
        <f>IF('PV IN'!$F$4="PV Only",0,BattCalcs!AT143)</f>
        <v>0</v>
      </c>
      <c r="AR143" s="10">
        <f>IF('PV IN'!$F$4="PV Only",0,BattCalcs!AU143)</f>
        <v>0</v>
      </c>
      <c r="AS143" s="144">
        <f>IF('PV IN'!$F$4="PV Only",PVCalcs!X143,IF('PV IN'!$F$4="Battery Only",BattCalcs!AW143,PVCalcs!X143+BattCalcs!AW143))</f>
        <v>0</v>
      </c>
      <c r="AT143" s="144">
        <f>IF('PV IN'!$F$4="Battery Only",0,-PVCalcs!AQ143*'PV IN'!$E$8)</f>
        <v>0</v>
      </c>
      <c r="AU143" s="144">
        <f>IF('PV IN'!$F$4="PV Only",0,-BattCalcs!CG143*'PV IN'!$E$8)</f>
        <v>0</v>
      </c>
      <c r="AV143" s="144">
        <f>IF('PV IN'!$F$4="PV Only",PVCalcs!Z143+PVCalcs!AA143,IF('PV IN'!$F$4="Battery Only",SUM(BattCalcs!BC143:BH143),PVCalcs!Z143+PVCalcs!AA143+SUM(BattCalcs!BC143:BH143)))</f>
        <v>0</v>
      </c>
      <c r="AW143" s="144">
        <f>IF('PV IN'!$F$4="PV Only",SUM(PVCalcs!AF143:AI143),IF('PV IN'!$F$4="Battery Only",SUM(BattCalcs!BL143:BY143),SUM(PVCalcs!AF143:AI143)+SUM(BattCalcs!BL143:BY143)))</f>
        <v>-1375</v>
      </c>
      <c r="AX143" s="144">
        <f>IF('PV IN'!$F$4="Battery Only",0,-PVLoan!F171)</f>
        <v>0</v>
      </c>
      <c r="AY143" s="144">
        <f>IF('PV IN'!$F$4="PV Only",0,-BattLoan!F171)</f>
        <v>0</v>
      </c>
      <c r="AZ143" s="144">
        <f>IF('PV IN'!$F$4="Battery Only",0,-PVLoan!H171)</f>
        <v>0</v>
      </c>
      <c r="BA143" s="144">
        <f>IF('PV IN'!$F$4="PV Only",0,-BattLoan!H171)</f>
        <v>0</v>
      </c>
    </row>
    <row r="144" spans="1:88" x14ac:dyDescent="0.25">
      <c r="A144">
        <f>IF(C144&lt;='PV IN'!$O$22*12,C144,"")</f>
        <v>140</v>
      </c>
      <c r="C144">
        <v>140</v>
      </c>
      <c r="D144" s="2">
        <f>BattCalcs!CK144+PVCalcs!AT144</f>
        <v>11890.510273297263</v>
      </c>
      <c r="E144" s="20">
        <f>PVCalcs!AV144</f>
        <v>482330.75604107144</v>
      </c>
      <c r="F144" s="20">
        <f>PVCalcs!AW144</f>
        <v>6729.6426486513074</v>
      </c>
      <c r="G144" s="20">
        <f>PVCalcs!AX144</f>
        <v>18308.998443639499</v>
      </c>
      <c r="H144" s="20">
        <f>BattCalcs!CM144</f>
        <v>0</v>
      </c>
      <c r="I144" s="20">
        <f>BattCalcs!CN144</f>
        <v>0</v>
      </c>
      <c r="J144" s="20">
        <f>IF(C144&lt;='Batt IN'!H$43*12,BattCalcs!CO144,NA())</f>
        <v>0</v>
      </c>
      <c r="L144" s="20">
        <f t="shared" si="313"/>
        <v>6729.6426486513074</v>
      </c>
      <c r="M144" s="20">
        <f>G144+BattCalcs!CO144</f>
        <v>18308.998443639499</v>
      </c>
      <c r="O144" s="10">
        <f>PVLoan!G172</f>
        <v>0</v>
      </c>
      <c r="P144" s="10">
        <f>PVLoan!J172</f>
        <v>0</v>
      </c>
      <c r="Q144" s="2" t="str">
        <f>BattLoan!G172</f>
        <v>-</v>
      </c>
      <c r="R144" s="10" t="str">
        <f>BattLoan!J172</f>
        <v>-</v>
      </c>
      <c r="T144" s="33">
        <f>IF('PV IN'!$F$4="Battery Only",0,PVCalcs!G144)</f>
        <v>138999.04001732226</v>
      </c>
      <c r="U144" s="33">
        <f>IF('PV IN'!$F$4="Battery Only",0,PVCalcs!M144)</f>
        <v>138999.04001732226</v>
      </c>
      <c r="V144" s="33">
        <f>PVCalcs!L144</f>
        <v>25811.765833333331</v>
      </c>
      <c r="W144" s="158">
        <f>PVCalcs!F144</f>
        <v>8.0358632345087277E-2</v>
      </c>
      <c r="X144" s="144">
        <f>IF('PV IN'!$F$4="Battery Only",0,PVCalcs!Y144+PVCalcs!Z144)</f>
        <v>1806.9875202251894</v>
      </c>
      <c r="Y144" s="144">
        <f>IF('PV IN'!$F$4="PV Only",0,BattCalcs!AX144+BattCalcs!BC144)</f>
        <v>0</v>
      </c>
      <c r="Z144" s="144">
        <f>IF('PV IN'!$F$4="PV Only",0,BattCalcs!AY144+BattCalcs!BD144)</f>
        <v>0</v>
      </c>
      <c r="AA144" s="144">
        <f>IF('PV IN'!$F$4="PV Only",0,BattCalcs!AZ144+BattCalcs!BE144)</f>
        <v>0</v>
      </c>
      <c r="AB144" s="144">
        <f>IF('PV IN'!$F$4="PV Only",0,BattCalcs!BA144+BattCalcs!BF144)</f>
        <v>0</v>
      </c>
      <c r="AC144" s="144">
        <f>IF('PV IN'!$F$4="PV Only",0,BattCalcs!BB144+BattCalcs!BG144)</f>
        <v>0</v>
      </c>
      <c r="AD144" s="144">
        <f>IF('PV IN'!$F$4="PV Only",0,BattCalcs!BU144)</f>
        <v>0</v>
      </c>
      <c r="AE144" s="144">
        <f>IF('PV IN'!$F$4="PV Only",PVCalcs!W144+PVCalcs!AA144,IF('PV IN'!$F$4="Battery Only",BattCalcs!AV144+BattCalcs!BH144,PVCalcs!W144+PVCalcs!AA144+BattCalcs!AV144+BattCalcs!BH144))</f>
        <v>0</v>
      </c>
      <c r="AF144" s="10">
        <f>PVCalcs!AC144+BattCalcs!BJ144</f>
        <v>0</v>
      </c>
      <c r="AG144" s="144">
        <f>IF('PV IN'!$F$4="Battery Only",0,PVCalcs!AG144)</f>
        <v>-750</v>
      </c>
      <c r="AH144" s="144">
        <f>IF('PV IN'!$F$4="Battery Only",0,PVCalcs!AI144)</f>
        <v>0</v>
      </c>
      <c r="AI144" s="144">
        <f>IF('PV IN'!$F$4="PV Only",0,BattCalcs!BM144)</f>
        <v>0</v>
      </c>
      <c r="AJ144" s="144">
        <f>IF('PV IN'!$F$4="PV Only",0,SUM(BattCalcs!BO144:BT144))</f>
        <v>0</v>
      </c>
      <c r="AK144" s="144">
        <f>IF('PV IN'!$F$4="PV Only",PVCalcs!AH144,IF('PV IN'!$F$4="Battery Only",BattCalcs!BN144,PVCalcs!AH144+BattCalcs!BN144))</f>
        <v>-625</v>
      </c>
      <c r="AL144" s="144">
        <f>IF('PV IN'!$F$4="PV Only",0,BattCalcs!BV144)</f>
        <v>0</v>
      </c>
      <c r="AM144" s="144">
        <f>IF('PV IN'!$F$4="PV Only",0,SUM(BattCalcs!BW144:BX144))</f>
        <v>0</v>
      </c>
      <c r="AN144" s="144">
        <f>IF('PV IN'!$F$4="PV Only",0,BattCalcs!BY144)</f>
        <v>0</v>
      </c>
      <c r="AO144" s="144">
        <f>IF('PV IN'!$F$4="Battery Only",0,PVCalcs!U144)</f>
        <v>11169.772753072073</v>
      </c>
      <c r="AP144" s="10">
        <f>IF('PV IN'!$F$4="PV Only",0,BattCalcs!AS144)</f>
        <v>0</v>
      </c>
      <c r="AQ144" s="10">
        <f>IF('PV IN'!$F$4="PV Only",0,BattCalcs!AT144)</f>
        <v>0</v>
      </c>
      <c r="AR144" s="10">
        <f>IF('PV IN'!$F$4="PV Only",0,BattCalcs!AU144)</f>
        <v>0</v>
      </c>
      <c r="AS144" s="144">
        <f>IF('PV IN'!$F$4="PV Only",PVCalcs!X144,IF('PV IN'!$F$4="Battery Only",BattCalcs!AW144,PVCalcs!X144+BattCalcs!AW144))</f>
        <v>0</v>
      </c>
      <c r="AT144" s="144">
        <f>IF('PV IN'!$F$4="Battery Only",0,-PVCalcs!AQ144*'PV IN'!$E$8)</f>
        <v>0</v>
      </c>
      <c r="AU144" s="144">
        <f>IF('PV IN'!$F$4="PV Only",0,-BattCalcs!CG144*'PV IN'!$E$8)</f>
        <v>0</v>
      </c>
      <c r="AV144" s="144">
        <f>IF('PV IN'!$F$4="PV Only",PVCalcs!Z144+PVCalcs!AA144,IF('PV IN'!$F$4="Battery Only",SUM(BattCalcs!BC144:BH144),PVCalcs!Z144+PVCalcs!AA144+SUM(BattCalcs!BC144:BH144)))</f>
        <v>0</v>
      </c>
      <c r="AW144" s="144">
        <f>IF('PV IN'!$F$4="PV Only",SUM(PVCalcs!AF144:AI144),IF('PV IN'!$F$4="Battery Only",SUM(BattCalcs!BL144:BY144),SUM(PVCalcs!AF144:AI144)+SUM(BattCalcs!BL144:BY144)))</f>
        <v>-1375</v>
      </c>
      <c r="AX144" s="144">
        <f>IF('PV IN'!$F$4="Battery Only",0,-PVLoan!F172)</f>
        <v>0</v>
      </c>
      <c r="AY144" s="144">
        <f>IF('PV IN'!$F$4="PV Only",0,-BattLoan!F172)</f>
        <v>0</v>
      </c>
      <c r="AZ144" s="144">
        <f>IF('PV IN'!$F$4="Battery Only",0,-PVLoan!H172)</f>
        <v>0</v>
      </c>
      <c r="BA144" s="144">
        <f>IF('PV IN'!$F$4="PV Only",0,-BattLoan!H172)</f>
        <v>0</v>
      </c>
    </row>
    <row r="145" spans="1:88" x14ac:dyDescent="0.25">
      <c r="A145">
        <f>IF(C145&lt;='PV IN'!$O$22*12,C145,"")</f>
        <v>141</v>
      </c>
      <c r="C145">
        <v>141</v>
      </c>
      <c r="D145" s="2">
        <f>BattCalcs!CK145+PVCalcs!AT145</f>
        <v>11881.85909978173</v>
      </c>
      <c r="E145" s="20">
        <f>PVCalcs!AV145</f>
        <v>494212.61514085316</v>
      </c>
      <c r="F145" s="20">
        <f>PVCalcs!AW145</f>
        <v>6697.4600839859713</v>
      </c>
      <c r="G145" s="20">
        <f>PVCalcs!AX145</f>
        <v>25006.458527625469</v>
      </c>
      <c r="H145" s="20">
        <f>BattCalcs!CM145</f>
        <v>0</v>
      </c>
      <c r="I145" s="20">
        <f>BattCalcs!CN145</f>
        <v>0</v>
      </c>
      <c r="J145" s="20">
        <f>IF(C145&lt;='Batt IN'!H$43*12,BattCalcs!CO145,NA())</f>
        <v>0</v>
      </c>
      <c r="L145" s="20">
        <f t="shared" si="313"/>
        <v>6697.4600839859713</v>
      </c>
      <c r="M145" s="20">
        <f>G145+BattCalcs!CO145</f>
        <v>25006.458527625469</v>
      </c>
      <c r="O145" s="10">
        <f>PVLoan!G173</f>
        <v>0</v>
      </c>
      <c r="P145" s="10">
        <f>PVLoan!J173</f>
        <v>0</v>
      </c>
      <c r="Q145" s="2" t="str">
        <f>BattLoan!G173</f>
        <v>-</v>
      </c>
      <c r="R145" s="10" t="str">
        <f>BattLoan!J173</f>
        <v>-</v>
      </c>
      <c r="T145" s="33">
        <f>IF('PV IN'!$F$4="Battery Only",0,PVCalcs!G145)</f>
        <v>138906.37399064403</v>
      </c>
      <c r="U145" s="33">
        <f>IF('PV IN'!$F$4="Battery Only",0,PVCalcs!M145)</f>
        <v>138906.37399064403</v>
      </c>
      <c r="V145" s="33">
        <f>PVCalcs!L145</f>
        <v>25811.765833333331</v>
      </c>
      <c r="W145" s="158">
        <f>PVCalcs!F145</f>
        <v>8.0358632345087277E-2</v>
      </c>
      <c r="X145" s="144">
        <f>IF('PV IN'!$F$4="Battery Only",0,PVCalcs!Y145+PVCalcs!Z145)</f>
        <v>1805.7828618783724</v>
      </c>
      <c r="Y145" s="144">
        <f>IF('PV IN'!$F$4="PV Only",0,BattCalcs!AX145+BattCalcs!BC145)</f>
        <v>0</v>
      </c>
      <c r="Z145" s="144">
        <f>IF('PV IN'!$F$4="PV Only",0,BattCalcs!AY145+BattCalcs!BD145)</f>
        <v>0</v>
      </c>
      <c r="AA145" s="144">
        <f>IF('PV IN'!$F$4="PV Only",0,BattCalcs!AZ145+BattCalcs!BE145)</f>
        <v>0</v>
      </c>
      <c r="AB145" s="144">
        <f>IF('PV IN'!$F$4="PV Only",0,BattCalcs!BA145+BattCalcs!BF145)</f>
        <v>0</v>
      </c>
      <c r="AC145" s="144">
        <f>IF('PV IN'!$F$4="PV Only",0,BattCalcs!BB145+BattCalcs!BG145)</f>
        <v>0</v>
      </c>
      <c r="AD145" s="144">
        <f>IF('PV IN'!$F$4="PV Only",0,BattCalcs!BU145)</f>
        <v>0</v>
      </c>
      <c r="AE145" s="144">
        <f>IF('PV IN'!$F$4="PV Only",PVCalcs!W145+PVCalcs!AA145,IF('PV IN'!$F$4="Battery Only",BattCalcs!AV145+BattCalcs!BH145,PVCalcs!W145+PVCalcs!AA145+BattCalcs!AV145+BattCalcs!BH145))</f>
        <v>0</v>
      </c>
      <c r="AF145" s="10">
        <f>PVCalcs!AC145+BattCalcs!BJ145</f>
        <v>0</v>
      </c>
      <c r="AG145" s="144">
        <f>IF('PV IN'!$F$4="Battery Only",0,PVCalcs!AG145)</f>
        <v>-750</v>
      </c>
      <c r="AH145" s="144">
        <f>IF('PV IN'!$F$4="Battery Only",0,PVCalcs!AI145)</f>
        <v>0</v>
      </c>
      <c r="AI145" s="144">
        <f>IF('PV IN'!$F$4="PV Only",0,BattCalcs!BM145)</f>
        <v>0</v>
      </c>
      <c r="AJ145" s="144">
        <f>IF('PV IN'!$F$4="PV Only",0,SUM(BattCalcs!BO145:BT145))</f>
        <v>0</v>
      </c>
      <c r="AK145" s="144">
        <f>IF('PV IN'!$F$4="PV Only",PVCalcs!AH145,IF('PV IN'!$F$4="Battery Only",BattCalcs!BN145,PVCalcs!AH145+BattCalcs!BN145))</f>
        <v>-625</v>
      </c>
      <c r="AL145" s="144">
        <f>IF('PV IN'!$F$4="PV Only",0,BattCalcs!BV145)</f>
        <v>0</v>
      </c>
      <c r="AM145" s="144">
        <f>IF('PV IN'!$F$4="PV Only",0,SUM(BattCalcs!BW145:BX145))</f>
        <v>0</v>
      </c>
      <c r="AN145" s="144">
        <f>IF('PV IN'!$F$4="PV Only",0,BattCalcs!BY145)</f>
        <v>0</v>
      </c>
      <c r="AO145" s="144">
        <f>IF('PV IN'!$F$4="Battery Only",0,PVCalcs!U145)</f>
        <v>11162.326237903357</v>
      </c>
      <c r="AP145" s="10">
        <f>IF('PV IN'!$F$4="PV Only",0,BattCalcs!AS145)</f>
        <v>0</v>
      </c>
      <c r="AQ145" s="10">
        <f>IF('PV IN'!$F$4="PV Only",0,BattCalcs!AT145)</f>
        <v>0</v>
      </c>
      <c r="AR145" s="10">
        <f>IF('PV IN'!$F$4="PV Only",0,BattCalcs!AU145)</f>
        <v>0</v>
      </c>
      <c r="AS145" s="144">
        <f>IF('PV IN'!$F$4="PV Only",PVCalcs!X145,IF('PV IN'!$F$4="Battery Only",BattCalcs!AW145,PVCalcs!X145+BattCalcs!AW145))</f>
        <v>0</v>
      </c>
      <c r="AT145" s="144">
        <f>IF('PV IN'!$F$4="Battery Only",0,-PVCalcs!AQ145*'PV IN'!$E$8)</f>
        <v>0</v>
      </c>
      <c r="AU145" s="144">
        <f>IF('PV IN'!$F$4="PV Only",0,-BattCalcs!CG145*'PV IN'!$E$8)</f>
        <v>0</v>
      </c>
      <c r="AV145" s="144">
        <f>IF('PV IN'!$F$4="PV Only",PVCalcs!Z145+PVCalcs!AA145,IF('PV IN'!$F$4="Battery Only",SUM(BattCalcs!BC145:BH145),PVCalcs!Z145+PVCalcs!AA145+SUM(BattCalcs!BC145:BH145)))</f>
        <v>0</v>
      </c>
      <c r="AW145" s="144">
        <f>IF('PV IN'!$F$4="PV Only",SUM(PVCalcs!AF145:AI145),IF('PV IN'!$F$4="Battery Only",SUM(BattCalcs!BL145:BY145),SUM(PVCalcs!AF145:AI145)+SUM(BattCalcs!BL145:BY145)))</f>
        <v>-1375</v>
      </c>
      <c r="AX145" s="144">
        <f>IF('PV IN'!$F$4="Battery Only",0,-PVLoan!F173)</f>
        <v>0</v>
      </c>
      <c r="AY145" s="144">
        <f>IF('PV IN'!$F$4="PV Only",0,-BattLoan!F173)</f>
        <v>0</v>
      </c>
      <c r="AZ145" s="144">
        <f>IF('PV IN'!$F$4="Battery Only",0,-PVLoan!H173)</f>
        <v>0</v>
      </c>
      <c r="BA145" s="144">
        <f>IF('PV IN'!$F$4="PV Only",0,-BattLoan!H173)</f>
        <v>0</v>
      </c>
    </row>
    <row r="146" spans="1:88" x14ac:dyDescent="0.25">
      <c r="A146">
        <f>IF(C146&lt;='PV IN'!$O$22*12,C146,"")</f>
        <v>142</v>
      </c>
      <c r="C146">
        <v>142</v>
      </c>
      <c r="D146" s="2">
        <f>BattCalcs!CK146+PVCalcs!AT146</f>
        <v>11873.213693715206</v>
      </c>
      <c r="E146" s="20">
        <f>PVCalcs!AV146</f>
        <v>506085.82883456838</v>
      </c>
      <c r="F146" s="20">
        <f>PVCalcs!AW146</f>
        <v>6665.431127321739</v>
      </c>
      <c r="G146" s="20">
        <f>PVCalcs!AX146</f>
        <v>31671.889654947208</v>
      </c>
      <c r="H146" s="20">
        <f>BattCalcs!CM146</f>
        <v>0</v>
      </c>
      <c r="I146" s="20">
        <f>BattCalcs!CN146</f>
        <v>0</v>
      </c>
      <c r="J146" s="20">
        <f>IF(C146&lt;='Batt IN'!H$43*12,BattCalcs!CO146,NA())</f>
        <v>0</v>
      </c>
      <c r="L146" s="20">
        <f t="shared" si="313"/>
        <v>6665.431127321739</v>
      </c>
      <c r="M146" s="20">
        <f>G146+BattCalcs!CO146</f>
        <v>31671.889654947208</v>
      </c>
      <c r="O146" s="10">
        <f>PVLoan!G174</f>
        <v>0</v>
      </c>
      <c r="P146" s="10">
        <f>PVLoan!J174</f>
        <v>0</v>
      </c>
      <c r="Q146" s="2" t="str">
        <f>BattLoan!G174</f>
        <v>-</v>
      </c>
      <c r="R146" s="10" t="str">
        <f>BattLoan!J174</f>
        <v>-</v>
      </c>
      <c r="T146" s="33">
        <f>IF('PV IN'!$F$4="Battery Only",0,PVCalcs!G146)</f>
        <v>138813.76974131691</v>
      </c>
      <c r="U146" s="33">
        <f>IF('PV IN'!$F$4="Battery Only",0,PVCalcs!M146)</f>
        <v>138813.76974131691</v>
      </c>
      <c r="V146" s="33">
        <f>PVCalcs!L146</f>
        <v>25811.765833333331</v>
      </c>
      <c r="W146" s="158">
        <f>PVCalcs!F146</f>
        <v>8.0358632345087277E-2</v>
      </c>
      <c r="X146" s="144">
        <f>IF('PV IN'!$F$4="Battery Only",0,PVCalcs!Y146+PVCalcs!Z146)</f>
        <v>1804.5790066371196</v>
      </c>
      <c r="Y146" s="144">
        <f>IF('PV IN'!$F$4="PV Only",0,BattCalcs!AX146+BattCalcs!BC146)</f>
        <v>0</v>
      </c>
      <c r="Z146" s="144">
        <f>IF('PV IN'!$F$4="PV Only",0,BattCalcs!AY146+BattCalcs!BD146)</f>
        <v>0</v>
      </c>
      <c r="AA146" s="144">
        <f>IF('PV IN'!$F$4="PV Only",0,BattCalcs!AZ146+BattCalcs!BE146)</f>
        <v>0</v>
      </c>
      <c r="AB146" s="144">
        <f>IF('PV IN'!$F$4="PV Only",0,BattCalcs!BA146+BattCalcs!BF146)</f>
        <v>0</v>
      </c>
      <c r="AC146" s="144">
        <f>IF('PV IN'!$F$4="PV Only",0,BattCalcs!BB146+BattCalcs!BG146)</f>
        <v>0</v>
      </c>
      <c r="AD146" s="144">
        <f>IF('PV IN'!$F$4="PV Only",0,BattCalcs!BU146)</f>
        <v>0</v>
      </c>
      <c r="AE146" s="144">
        <f>IF('PV IN'!$F$4="PV Only",PVCalcs!W146+PVCalcs!AA146,IF('PV IN'!$F$4="Battery Only",BattCalcs!AV146+BattCalcs!BH146,PVCalcs!W146+PVCalcs!AA146+BattCalcs!AV146+BattCalcs!BH146))</f>
        <v>0</v>
      </c>
      <c r="AF146" s="10">
        <f>PVCalcs!AC146+BattCalcs!BJ146</f>
        <v>0</v>
      </c>
      <c r="AG146" s="144">
        <f>IF('PV IN'!$F$4="Battery Only",0,PVCalcs!AG146)</f>
        <v>-750</v>
      </c>
      <c r="AH146" s="144">
        <f>IF('PV IN'!$F$4="Battery Only",0,PVCalcs!AI146)</f>
        <v>0</v>
      </c>
      <c r="AI146" s="144">
        <f>IF('PV IN'!$F$4="PV Only",0,BattCalcs!BM146)</f>
        <v>0</v>
      </c>
      <c r="AJ146" s="144">
        <f>IF('PV IN'!$F$4="PV Only",0,SUM(BattCalcs!BO146:BT146))</f>
        <v>0</v>
      </c>
      <c r="AK146" s="144">
        <f>IF('PV IN'!$F$4="PV Only",PVCalcs!AH146,IF('PV IN'!$F$4="Battery Only",BattCalcs!BN146,PVCalcs!AH146+BattCalcs!BN146))</f>
        <v>-625</v>
      </c>
      <c r="AL146" s="144">
        <f>IF('PV IN'!$F$4="PV Only",0,BattCalcs!BV146)</f>
        <v>0</v>
      </c>
      <c r="AM146" s="144">
        <f>IF('PV IN'!$F$4="PV Only",0,SUM(BattCalcs!BW146:BX146))</f>
        <v>0</v>
      </c>
      <c r="AN146" s="144">
        <f>IF('PV IN'!$F$4="PV Only",0,BattCalcs!BY146)</f>
        <v>0</v>
      </c>
      <c r="AO146" s="144">
        <f>IF('PV IN'!$F$4="Battery Only",0,PVCalcs!U146)</f>
        <v>11154.884687078087</v>
      </c>
      <c r="AP146" s="10">
        <f>IF('PV IN'!$F$4="PV Only",0,BattCalcs!AS146)</f>
        <v>0</v>
      </c>
      <c r="AQ146" s="10">
        <f>IF('PV IN'!$F$4="PV Only",0,BattCalcs!AT146)</f>
        <v>0</v>
      </c>
      <c r="AR146" s="10">
        <f>IF('PV IN'!$F$4="PV Only",0,BattCalcs!AU146)</f>
        <v>0</v>
      </c>
      <c r="AS146" s="144">
        <f>IF('PV IN'!$F$4="PV Only",PVCalcs!X146,IF('PV IN'!$F$4="Battery Only",BattCalcs!AW146,PVCalcs!X146+BattCalcs!AW146))</f>
        <v>0</v>
      </c>
      <c r="AT146" s="144">
        <f>IF('PV IN'!$F$4="Battery Only",0,-PVCalcs!AQ146*'PV IN'!$E$8)</f>
        <v>0</v>
      </c>
      <c r="AU146" s="144">
        <f>IF('PV IN'!$F$4="PV Only",0,-BattCalcs!CG146*'PV IN'!$E$8)</f>
        <v>0</v>
      </c>
      <c r="AV146" s="144">
        <f>IF('PV IN'!$F$4="PV Only",PVCalcs!Z146+PVCalcs!AA146,IF('PV IN'!$F$4="Battery Only",SUM(BattCalcs!BC146:BH146),PVCalcs!Z146+PVCalcs!AA146+SUM(BattCalcs!BC146:BH146)))</f>
        <v>0</v>
      </c>
      <c r="AW146" s="144">
        <f>IF('PV IN'!$F$4="PV Only",SUM(PVCalcs!AF146:AI146),IF('PV IN'!$F$4="Battery Only",SUM(BattCalcs!BL146:BY146),SUM(PVCalcs!AF146:AI146)+SUM(BattCalcs!BL146:BY146)))</f>
        <v>-1375</v>
      </c>
      <c r="AX146" s="144">
        <f>IF('PV IN'!$F$4="Battery Only",0,-PVLoan!F174)</f>
        <v>0</v>
      </c>
      <c r="AY146" s="144">
        <f>IF('PV IN'!$F$4="PV Only",0,-BattLoan!F174)</f>
        <v>0</v>
      </c>
      <c r="AZ146" s="144">
        <f>IF('PV IN'!$F$4="Battery Only",0,-PVLoan!H174)</f>
        <v>0</v>
      </c>
      <c r="BA146" s="144">
        <f>IF('PV IN'!$F$4="PV Only",0,-BattLoan!H174)</f>
        <v>0</v>
      </c>
    </row>
    <row r="147" spans="1:88" x14ac:dyDescent="0.25">
      <c r="A147">
        <f>IF(C147&lt;='PV IN'!$O$22*12,C147,"")</f>
        <v>143</v>
      </c>
      <c r="C147">
        <v>143</v>
      </c>
      <c r="D147" s="2">
        <f>BattCalcs!CK147+PVCalcs!AT147</f>
        <v>11864.574051252728</v>
      </c>
      <c r="E147" s="20">
        <f>PVCalcs!AV147</f>
        <v>517950.40288582112</v>
      </c>
      <c r="F147" s="20">
        <f>PVCalcs!AW147</f>
        <v>6633.5550466696077</v>
      </c>
      <c r="G147" s="20">
        <f>PVCalcs!AX147</f>
        <v>38305.444701616812</v>
      </c>
      <c r="H147" s="20">
        <f>BattCalcs!CM147</f>
        <v>0</v>
      </c>
      <c r="I147" s="20">
        <f>BattCalcs!CN147</f>
        <v>0</v>
      </c>
      <c r="J147" s="20">
        <f>IF(C147&lt;='Batt IN'!H$43*12,BattCalcs!CO147,NA())</f>
        <v>0</v>
      </c>
      <c r="L147" s="20">
        <f t="shared" si="313"/>
        <v>6633.5550466696077</v>
      </c>
      <c r="M147" s="20">
        <f>G147+BattCalcs!CO147</f>
        <v>38305.444701616812</v>
      </c>
      <c r="O147" s="10">
        <f>PVLoan!G175</f>
        <v>0</v>
      </c>
      <c r="P147" s="10">
        <f>PVLoan!J175</f>
        <v>0</v>
      </c>
      <c r="Q147" s="2" t="str">
        <f>BattLoan!G175</f>
        <v>-</v>
      </c>
      <c r="R147" s="10" t="str">
        <f>BattLoan!J175</f>
        <v>-</v>
      </c>
      <c r="T147" s="33">
        <f>IF('PV IN'!$F$4="Battery Only",0,PVCalcs!G147)</f>
        <v>138721.22722815603</v>
      </c>
      <c r="U147" s="33">
        <f>IF('PV IN'!$F$4="Battery Only",0,PVCalcs!M147)</f>
        <v>138721.22722815603</v>
      </c>
      <c r="V147" s="33">
        <f>PVCalcs!L147</f>
        <v>25811.765833333331</v>
      </c>
      <c r="W147" s="158">
        <f>PVCalcs!F147</f>
        <v>8.0358632345087277E-2</v>
      </c>
      <c r="X147" s="144">
        <f>IF('PV IN'!$F$4="Battery Only",0,PVCalcs!Y147+PVCalcs!Z147)</f>
        <v>1803.3759539660282</v>
      </c>
      <c r="Y147" s="144">
        <f>IF('PV IN'!$F$4="PV Only",0,BattCalcs!AX147+BattCalcs!BC147)</f>
        <v>0</v>
      </c>
      <c r="Z147" s="144">
        <f>IF('PV IN'!$F$4="PV Only",0,BattCalcs!AY147+BattCalcs!BD147)</f>
        <v>0</v>
      </c>
      <c r="AA147" s="144">
        <f>IF('PV IN'!$F$4="PV Only",0,BattCalcs!AZ147+BattCalcs!BE147)</f>
        <v>0</v>
      </c>
      <c r="AB147" s="144">
        <f>IF('PV IN'!$F$4="PV Only",0,BattCalcs!BA147+BattCalcs!BF147)</f>
        <v>0</v>
      </c>
      <c r="AC147" s="144">
        <f>IF('PV IN'!$F$4="PV Only",0,BattCalcs!BB147+BattCalcs!BG147)</f>
        <v>0</v>
      </c>
      <c r="AD147" s="144">
        <f>IF('PV IN'!$F$4="PV Only",0,BattCalcs!BU147)</f>
        <v>0</v>
      </c>
      <c r="AE147" s="144">
        <f>IF('PV IN'!$F$4="PV Only",PVCalcs!W147+PVCalcs!AA147,IF('PV IN'!$F$4="Battery Only",BattCalcs!AV147+BattCalcs!BH147,PVCalcs!W147+PVCalcs!AA147+BattCalcs!AV147+BattCalcs!BH147))</f>
        <v>0</v>
      </c>
      <c r="AF147" s="10">
        <f>PVCalcs!AC147+BattCalcs!BJ147</f>
        <v>0</v>
      </c>
      <c r="AG147" s="144">
        <f>IF('PV IN'!$F$4="Battery Only",0,PVCalcs!AG147)</f>
        <v>-750</v>
      </c>
      <c r="AH147" s="144">
        <f>IF('PV IN'!$F$4="Battery Only",0,PVCalcs!AI147)</f>
        <v>0</v>
      </c>
      <c r="AI147" s="144">
        <f>IF('PV IN'!$F$4="PV Only",0,BattCalcs!BM147)</f>
        <v>0</v>
      </c>
      <c r="AJ147" s="144">
        <f>IF('PV IN'!$F$4="PV Only",0,SUM(BattCalcs!BO147:BT147))</f>
        <v>0</v>
      </c>
      <c r="AK147" s="144">
        <f>IF('PV IN'!$F$4="PV Only",PVCalcs!AH147,IF('PV IN'!$F$4="Battery Only",BattCalcs!BN147,PVCalcs!AH147+BattCalcs!BN147))</f>
        <v>-625</v>
      </c>
      <c r="AL147" s="144">
        <f>IF('PV IN'!$F$4="PV Only",0,BattCalcs!BV147)</f>
        <v>0</v>
      </c>
      <c r="AM147" s="144">
        <f>IF('PV IN'!$F$4="PV Only",0,SUM(BattCalcs!BW147:BX147))</f>
        <v>0</v>
      </c>
      <c r="AN147" s="144">
        <f>IF('PV IN'!$F$4="PV Only",0,BattCalcs!BY147)</f>
        <v>0</v>
      </c>
      <c r="AO147" s="144">
        <f>IF('PV IN'!$F$4="Battery Only",0,PVCalcs!U147)</f>
        <v>11147.4480972867</v>
      </c>
      <c r="AP147" s="10">
        <f>IF('PV IN'!$F$4="PV Only",0,BattCalcs!AS147)</f>
        <v>0</v>
      </c>
      <c r="AQ147" s="10">
        <f>IF('PV IN'!$F$4="PV Only",0,BattCalcs!AT147)</f>
        <v>0</v>
      </c>
      <c r="AR147" s="10">
        <f>IF('PV IN'!$F$4="PV Only",0,BattCalcs!AU147)</f>
        <v>0</v>
      </c>
      <c r="AS147" s="144">
        <f>IF('PV IN'!$F$4="PV Only",PVCalcs!X147,IF('PV IN'!$F$4="Battery Only",BattCalcs!AW147,PVCalcs!X147+BattCalcs!AW147))</f>
        <v>0</v>
      </c>
      <c r="AT147" s="144">
        <f>IF('PV IN'!$F$4="Battery Only",0,-PVCalcs!AQ147*'PV IN'!$E$8)</f>
        <v>0</v>
      </c>
      <c r="AU147" s="144">
        <f>IF('PV IN'!$F$4="PV Only",0,-BattCalcs!CG147*'PV IN'!$E$8)</f>
        <v>0</v>
      </c>
      <c r="AV147" s="144">
        <f>IF('PV IN'!$F$4="PV Only",PVCalcs!Z147+PVCalcs!AA147,IF('PV IN'!$F$4="Battery Only",SUM(BattCalcs!BC147:BH147),PVCalcs!Z147+PVCalcs!AA147+SUM(BattCalcs!BC147:BH147)))</f>
        <v>0</v>
      </c>
      <c r="AW147" s="144">
        <f>IF('PV IN'!$F$4="PV Only",SUM(PVCalcs!AF147:AI147),IF('PV IN'!$F$4="Battery Only",SUM(BattCalcs!BL147:BY147),SUM(PVCalcs!AF147:AI147)+SUM(BattCalcs!BL147:BY147)))</f>
        <v>-1375</v>
      </c>
      <c r="AX147" s="144">
        <f>IF('PV IN'!$F$4="Battery Only",0,-PVLoan!F175)</f>
        <v>0</v>
      </c>
      <c r="AY147" s="144">
        <f>IF('PV IN'!$F$4="PV Only",0,-BattLoan!F175)</f>
        <v>0</v>
      </c>
      <c r="AZ147" s="144">
        <f>IF('PV IN'!$F$4="Battery Only",0,-PVLoan!H175)</f>
        <v>0</v>
      </c>
      <c r="BA147" s="144">
        <f>IF('PV IN'!$F$4="PV Only",0,-BattLoan!H175)</f>
        <v>0</v>
      </c>
    </row>
    <row r="148" spans="1:88" x14ac:dyDescent="0.25">
      <c r="A148">
        <f>IF(C148&lt;='PV IN'!$O$22*12,C148,"")</f>
        <v>144</v>
      </c>
      <c r="B148">
        <f>B136+1</f>
        <v>2037</v>
      </c>
      <c r="C148">
        <v>144</v>
      </c>
      <c r="D148" s="2">
        <f>BattCalcs!CK148+PVCalcs!AT148</f>
        <v>11855.940168551897</v>
      </c>
      <c r="E148" s="20">
        <f>PVCalcs!AV148</f>
        <v>529806.34305437305</v>
      </c>
      <c r="F148" s="20">
        <f>PVCalcs!AW148</f>
        <v>6601.8311135239701</v>
      </c>
      <c r="G148" s="20">
        <f>PVCalcs!AX148</f>
        <v>44907.275815140783</v>
      </c>
      <c r="H148" s="20">
        <f>BattCalcs!CM148</f>
        <v>0</v>
      </c>
      <c r="I148" s="20">
        <f>BattCalcs!CN148</f>
        <v>0</v>
      </c>
      <c r="J148" s="20">
        <f>IF(C148&lt;='Batt IN'!H$43*12,BattCalcs!CO148,NA())</f>
        <v>0</v>
      </c>
      <c r="L148" s="20">
        <f t="shared" si="313"/>
        <v>6601.8311135239701</v>
      </c>
      <c r="M148" s="20">
        <f>G148+BattCalcs!CO148</f>
        <v>44907.275815140783</v>
      </c>
      <c r="O148" s="10">
        <f>PVLoan!G176</f>
        <v>0</v>
      </c>
      <c r="P148" s="10">
        <f>PVLoan!J176</f>
        <v>0</v>
      </c>
      <c r="Q148" s="2" t="str">
        <f>BattLoan!G176</f>
        <v>-</v>
      </c>
      <c r="R148" s="10" t="str">
        <f>BattLoan!J176</f>
        <v>-</v>
      </c>
      <c r="T148" s="33">
        <f>IF('PV IN'!$F$4="Battery Only",0,PVCalcs!G148)</f>
        <v>138628.74641000395</v>
      </c>
      <c r="U148" s="33">
        <f>IF('PV IN'!$F$4="Battery Only",0,PVCalcs!M148)</f>
        <v>138628.74641000395</v>
      </c>
      <c r="V148" s="33">
        <f>PVCalcs!L148</f>
        <v>25811.765833333331</v>
      </c>
      <c r="W148" s="158">
        <f>PVCalcs!F148</f>
        <v>8.0358632345087277E-2</v>
      </c>
      <c r="X148" s="144">
        <f>IF('PV IN'!$F$4="Battery Only",0,PVCalcs!Y148+PVCalcs!Z148)</f>
        <v>1802.1737033300515</v>
      </c>
      <c r="Y148" s="144">
        <f>IF('PV IN'!$F$4="PV Only",0,BattCalcs!AX148+BattCalcs!BC148)</f>
        <v>0</v>
      </c>
      <c r="Z148" s="144">
        <f>IF('PV IN'!$F$4="PV Only",0,BattCalcs!AY148+BattCalcs!BD148)</f>
        <v>0</v>
      </c>
      <c r="AA148" s="144">
        <f>IF('PV IN'!$F$4="PV Only",0,BattCalcs!AZ148+BattCalcs!BE148)</f>
        <v>0</v>
      </c>
      <c r="AB148" s="144">
        <f>IF('PV IN'!$F$4="PV Only",0,BattCalcs!BA148+BattCalcs!BF148)</f>
        <v>0</v>
      </c>
      <c r="AC148" s="144">
        <f>IF('PV IN'!$F$4="PV Only",0,BattCalcs!BB148+BattCalcs!BG148)</f>
        <v>0</v>
      </c>
      <c r="AD148" s="144">
        <f>IF('PV IN'!$F$4="PV Only",0,BattCalcs!BU148)</f>
        <v>0</v>
      </c>
      <c r="AE148" s="144">
        <f>IF('PV IN'!$F$4="PV Only",PVCalcs!W148+PVCalcs!AA148,IF('PV IN'!$F$4="Battery Only",BattCalcs!AV148+BattCalcs!BH148,PVCalcs!W148+PVCalcs!AA148+BattCalcs!AV148+BattCalcs!BH148))</f>
        <v>0</v>
      </c>
      <c r="AF148" s="10">
        <f>PVCalcs!AC148+BattCalcs!BJ148</f>
        <v>0</v>
      </c>
      <c r="AG148" s="144">
        <f>IF('PV IN'!$F$4="Battery Only",0,PVCalcs!AG148)</f>
        <v>-750</v>
      </c>
      <c r="AH148" s="144">
        <f>IF('PV IN'!$F$4="Battery Only",0,PVCalcs!AI148)</f>
        <v>0</v>
      </c>
      <c r="AI148" s="144">
        <f>IF('PV IN'!$F$4="PV Only",0,BattCalcs!BM148)</f>
        <v>0</v>
      </c>
      <c r="AJ148" s="144">
        <f>IF('PV IN'!$F$4="PV Only",0,SUM(BattCalcs!BO148:BT148))</f>
        <v>0</v>
      </c>
      <c r="AK148" s="144">
        <f>IF('PV IN'!$F$4="PV Only",PVCalcs!AH148,IF('PV IN'!$F$4="Battery Only",BattCalcs!BN148,PVCalcs!AH148+BattCalcs!BN148))</f>
        <v>-625</v>
      </c>
      <c r="AL148" s="144">
        <f>IF('PV IN'!$F$4="PV Only",0,BattCalcs!BV148)</f>
        <v>0</v>
      </c>
      <c r="AM148" s="144">
        <f>IF('PV IN'!$F$4="PV Only",0,SUM(BattCalcs!BW148:BX148))</f>
        <v>0</v>
      </c>
      <c r="AN148" s="144">
        <f>IF('PV IN'!$F$4="PV Only",0,BattCalcs!BY148)</f>
        <v>0</v>
      </c>
      <c r="AO148" s="144">
        <f>IF('PV IN'!$F$4="Battery Only",0,PVCalcs!U148)</f>
        <v>11140.016465221845</v>
      </c>
      <c r="AP148" s="10">
        <f>IF('PV IN'!$F$4="PV Only",0,BattCalcs!AS148)</f>
        <v>0</v>
      </c>
      <c r="AQ148" s="10">
        <f>IF('PV IN'!$F$4="PV Only",0,BattCalcs!AT148)</f>
        <v>0</v>
      </c>
      <c r="AR148" s="10">
        <f>IF('PV IN'!$F$4="PV Only",0,BattCalcs!AU148)</f>
        <v>0</v>
      </c>
      <c r="AS148" s="144">
        <f>IF('PV IN'!$F$4="PV Only",PVCalcs!X148,IF('PV IN'!$F$4="Battery Only",BattCalcs!AW148,PVCalcs!X148+BattCalcs!AW148))</f>
        <v>0</v>
      </c>
      <c r="AT148" s="144">
        <f>IF('PV IN'!$F$4="Battery Only",0,-PVCalcs!AQ148*'PV IN'!$E$8)</f>
        <v>0</v>
      </c>
      <c r="AU148" s="144">
        <f>IF('PV IN'!$F$4="PV Only",0,-BattCalcs!CG148*'PV IN'!$E$8)</f>
        <v>0</v>
      </c>
      <c r="AV148" s="144">
        <f>IF('PV IN'!$F$4="PV Only",PVCalcs!Z148+PVCalcs!AA148,IF('PV IN'!$F$4="Battery Only",SUM(BattCalcs!BC148:BH148),PVCalcs!Z148+PVCalcs!AA148+SUM(BattCalcs!BC148:BH148)))</f>
        <v>0</v>
      </c>
      <c r="AW148" s="144">
        <f>IF('PV IN'!$F$4="PV Only",SUM(PVCalcs!AF148:AI148),IF('PV IN'!$F$4="Battery Only",SUM(BattCalcs!BL148:BY148),SUM(PVCalcs!AF148:AI148)+SUM(BattCalcs!BL148:BY148)))</f>
        <v>-1375</v>
      </c>
      <c r="AX148" s="144">
        <f>IF('PV IN'!$F$4="Battery Only",0,-PVLoan!F176)</f>
        <v>0</v>
      </c>
      <c r="AY148" s="144">
        <f>IF('PV IN'!$F$4="PV Only",0,-BattLoan!F176)</f>
        <v>0</v>
      </c>
      <c r="AZ148" s="144">
        <f>IF('PV IN'!$F$4="Battery Only",0,-PVLoan!H176)</f>
        <v>0</v>
      </c>
      <c r="BA148" s="144">
        <f>IF('PV IN'!$F$4="PV Only",0,-BattLoan!H176)</f>
        <v>0</v>
      </c>
      <c r="BC148" s="33">
        <f t="shared" ref="BC148" si="348">SUM(T137:T148)</f>
        <v>1669662.2842147138</v>
      </c>
      <c r="BD148" s="33">
        <f t="shared" ref="BD148" si="349">SUM(U137:U148)</f>
        <v>1669662.2842147138</v>
      </c>
      <c r="BE148" s="33">
        <f t="shared" ref="BE148" si="350">SUM(V137:V148)</f>
        <v>309741.19</v>
      </c>
      <c r="BF148" s="50">
        <f t="shared" ref="BF148" si="351">W148</f>
        <v>8.0358632345087277E-2</v>
      </c>
      <c r="BG148" s="2">
        <f t="shared" ref="BG148" si="352">SUM(X137:X148)</f>
        <v>21705.609694791281</v>
      </c>
      <c r="BH148" s="2">
        <f t="shared" ref="BH148" si="353">SUM(Y137:Y148)</f>
        <v>0</v>
      </c>
      <c r="BI148" s="2">
        <f t="shared" ref="BI148" si="354">SUM(Z137:Z148)</f>
        <v>0</v>
      </c>
      <c r="BJ148" s="2">
        <f t="shared" ref="BJ148" si="355">SUM(AA137:AA148)</f>
        <v>0</v>
      </c>
      <c r="BK148" s="2">
        <f t="shared" ref="BK148" si="356">SUM(AB137:AB148)</f>
        <v>0</v>
      </c>
      <c r="BL148" s="2">
        <f t="shared" ref="BL148" si="357">SUM(AC137:AC148)</f>
        <v>0</v>
      </c>
      <c r="BM148" s="2">
        <f t="shared" ref="BM148" si="358">SUM(AD137:AD148)</f>
        <v>0</v>
      </c>
      <c r="BN148" s="2">
        <f t="shared" ref="BN148" si="359">SUM(AE137:AE148)</f>
        <v>0</v>
      </c>
      <c r="BO148" s="2">
        <f t="shared" ref="BO148" si="360">SUM(AF137:AF148)</f>
        <v>0</v>
      </c>
      <c r="BP148" s="2">
        <f t="shared" ref="BP148" si="361">SUM(AG137:AG148)</f>
        <v>-9000</v>
      </c>
      <c r="BQ148" s="2">
        <f t="shared" ref="BQ148" si="362">SUM(AH137:AH148)</f>
        <v>0</v>
      </c>
      <c r="BR148" s="2">
        <f t="shared" ref="BR148" si="363">SUM(AI137:AI148)</f>
        <v>0</v>
      </c>
      <c r="BS148" s="2">
        <f t="shared" ref="BS148" si="364">SUM(AJ137:AJ148)</f>
        <v>0</v>
      </c>
      <c r="BT148" s="2">
        <f t="shared" ref="BT148" si="365">SUM(AK137:AK148)</f>
        <v>-7500</v>
      </c>
      <c r="BU148" s="2">
        <f t="shared" ref="BU148" si="366">SUM(AL137:AL148)</f>
        <v>0</v>
      </c>
      <c r="BV148" s="2">
        <f t="shared" ref="BV148" si="367">SUM(AM137:AM148)</f>
        <v>0</v>
      </c>
      <c r="BW148" s="2">
        <f t="shared" ref="BW148" si="368">SUM(AN137:AN148)</f>
        <v>0</v>
      </c>
      <c r="BX148" s="2">
        <f t="shared" ref="BX148" si="369">SUM(AO137:AO148)</f>
        <v>134171.77763766883</v>
      </c>
      <c r="BY148" s="2">
        <f t="shared" ref="BY148" si="370">SUM(AP137:AP148)</f>
        <v>0</v>
      </c>
      <c r="BZ148" s="2">
        <f t="shared" ref="BZ148" si="371">SUM(AQ137:AQ148)</f>
        <v>0</v>
      </c>
      <c r="CA148" s="2">
        <f t="shared" ref="CA148" si="372">SUM(AR137:AR148)</f>
        <v>0</v>
      </c>
      <c r="CB148" s="2">
        <f t="shared" ref="CB148" si="373">SUM(AS137:AS148)</f>
        <v>0</v>
      </c>
      <c r="CC148" s="2">
        <f t="shared" ref="CC148" si="374">SUM(AT137:AT148)</f>
        <v>0</v>
      </c>
      <c r="CD148" s="2">
        <f t="shared" ref="CD148" si="375">SUM(AU137:AU148)</f>
        <v>0</v>
      </c>
      <c r="CE148" s="2">
        <f t="shared" ref="CE148" si="376">SUM(AV137:AV148)</f>
        <v>0</v>
      </c>
      <c r="CF148" s="2">
        <f t="shared" ref="CF148" si="377">SUM(AW137:AW148)</f>
        <v>-16500</v>
      </c>
      <c r="CG148" s="2">
        <f t="shared" ref="CG148" si="378">SUM(AX137:AX148)</f>
        <v>0</v>
      </c>
      <c r="CH148" s="2">
        <f t="shared" ref="CH148" si="379">SUM(AY137:AY148)</f>
        <v>0</v>
      </c>
      <c r="CI148" s="2">
        <f t="shared" ref="CI148" si="380">SUM(AZ137:AZ148)</f>
        <v>0</v>
      </c>
      <c r="CJ148" s="2">
        <f t="shared" ref="CJ148" si="381">SUM(BA137:BA148)</f>
        <v>0</v>
      </c>
    </row>
    <row r="149" spans="1:88" x14ac:dyDescent="0.25">
      <c r="A149">
        <f>IF(C149&lt;='PV IN'!$O$22*12,C149,"")</f>
        <v>145</v>
      </c>
      <c r="C149">
        <v>145</v>
      </c>
      <c r="D149" s="2">
        <f>BattCalcs!CK149+PVCalcs!AT149</f>
        <v>11881.268232631546</v>
      </c>
      <c r="E149" s="20">
        <f>PVCalcs!AV149</f>
        <v>541687.61128700455</v>
      </c>
      <c r="F149" s="20">
        <f>PVCalcs!AW149</f>
        <v>6589.0899592180685</v>
      </c>
      <c r="G149" s="20">
        <f>PVCalcs!AX149</f>
        <v>51496.365774358856</v>
      </c>
      <c r="H149" s="20">
        <f>BattCalcs!CM149</f>
        <v>0</v>
      </c>
      <c r="I149" s="20">
        <f>BattCalcs!CN149</f>
        <v>0</v>
      </c>
      <c r="J149" s="20">
        <f>IF(C149&lt;='Batt IN'!H$43*12,BattCalcs!CO149,NA())</f>
        <v>0</v>
      </c>
      <c r="L149" s="20">
        <f t="shared" si="313"/>
        <v>6589.0899592180685</v>
      </c>
      <c r="M149" s="20">
        <f>G149+BattCalcs!CO149</f>
        <v>51496.365774358856</v>
      </c>
      <c r="O149" s="10">
        <f>PVLoan!G177</f>
        <v>0</v>
      </c>
      <c r="P149" s="10">
        <f>PVLoan!J177</f>
        <v>0</v>
      </c>
      <c r="Q149" s="2" t="str">
        <f>BattLoan!G177</f>
        <v>-</v>
      </c>
      <c r="R149" s="10" t="str">
        <f>BattLoan!J177</f>
        <v>-</v>
      </c>
      <c r="T149" s="33">
        <f>IF('PV IN'!$F$4="Battery Only",0,PVCalcs!G149)</f>
        <v>138536.32724573059</v>
      </c>
      <c r="U149" s="33">
        <f>IF('PV IN'!$F$4="Battery Only",0,PVCalcs!M149)</f>
        <v>138536.32724573059</v>
      </c>
      <c r="V149" s="33">
        <f>PVCalcs!L149</f>
        <v>25811.765833333331</v>
      </c>
      <c r="W149" s="158">
        <f>PVCalcs!F149</f>
        <v>8.0603739109022604E-2</v>
      </c>
      <c r="X149" s="144">
        <f>IF('PV IN'!$F$4="Battery Only",0,PVCalcs!Y149+PVCalcs!Z149)</f>
        <v>1800.9722541944975</v>
      </c>
      <c r="Y149" s="144">
        <f>IF('PV IN'!$F$4="PV Only",0,BattCalcs!AX149+BattCalcs!BC149)</f>
        <v>0</v>
      </c>
      <c r="Z149" s="144">
        <f>IF('PV IN'!$F$4="PV Only",0,BattCalcs!AY149+BattCalcs!BD149)</f>
        <v>0</v>
      </c>
      <c r="AA149" s="144">
        <f>IF('PV IN'!$F$4="PV Only",0,BattCalcs!AZ149+BattCalcs!BE149)</f>
        <v>0</v>
      </c>
      <c r="AB149" s="144">
        <f>IF('PV IN'!$F$4="PV Only",0,BattCalcs!BA149+BattCalcs!BF149)</f>
        <v>0</v>
      </c>
      <c r="AC149" s="144">
        <f>IF('PV IN'!$F$4="PV Only",0,BattCalcs!BB149+BattCalcs!BG149)</f>
        <v>0</v>
      </c>
      <c r="AD149" s="144">
        <f>IF('PV IN'!$F$4="PV Only",0,BattCalcs!BU149)</f>
        <v>0</v>
      </c>
      <c r="AE149" s="144">
        <f>IF('PV IN'!$F$4="PV Only",PVCalcs!W149+PVCalcs!AA149,IF('PV IN'!$F$4="Battery Only",BattCalcs!AV149+BattCalcs!BH149,PVCalcs!W149+PVCalcs!AA149+BattCalcs!AV149+BattCalcs!BH149))</f>
        <v>0</v>
      </c>
      <c r="AF149" s="10">
        <f>PVCalcs!AC149+BattCalcs!BJ149</f>
        <v>0</v>
      </c>
      <c r="AG149" s="144">
        <f>IF('PV IN'!$F$4="Battery Only",0,PVCalcs!AG149)</f>
        <v>-750</v>
      </c>
      <c r="AH149" s="144">
        <f>IF('PV IN'!$F$4="Battery Only",0,PVCalcs!AI149)</f>
        <v>0</v>
      </c>
      <c r="AI149" s="144">
        <f>IF('PV IN'!$F$4="PV Only",0,BattCalcs!BM149)</f>
        <v>0</v>
      </c>
      <c r="AJ149" s="144">
        <f>IF('PV IN'!$F$4="PV Only",0,SUM(BattCalcs!BO149:BT149))</f>
        <v>0</v>
      </c>
      <c r="AK149" s="144">
        <f>IF('PV IN'!$F$4="PV Only",PVCalcs!AH149,IF('PV IN'!$F$4="Battery Only",BattCalcs!BN149,PVCalcs!AH149+BattCalcs!BN149))</f>
        <v>-625</v>
      </c>
      <c r="AL149" s="144">
        <f>IF('PV IN'!$F$4="PV Only",0,BattCalcs!BV149)</f>
        <v>0</v>
      </c>
      <c r="AM149" s="144">
        <f>IF('PV IN'!$F$4="PV Only",0,SUM(BattCalcs!BW149:BX149))</f>
        <v>0</v>
      </c>
      <c r="AN149" s="144">
        <f>IF('PV IN'!$F$4="PV Only",0,BattCalcs!BY149)</f>
        <v>0</v>
      </c>
      <c r="AO149" s="144">
        <f>IF('PV IN'!$F$4="Battery Only",0,PVCalcs!U149)</f>
        <v>11166.545978437049</v>
      </c>
      <c r="AP149" s="10">
        <f>IF('PV IN'!$F$4="PV Only",0,BattCalcs!AS149)</f>
        <v>0</v>
      </c>
      <c r="AQ149" s="10">
        <f>IF('PV IN'!$F$4="PV Only",0,BattCalcs!AT149)</f>
        <v>0</v>
      </c>
      <c r="AR149" s="10">
        <f>IF('PV IN'!$F$4="PV Only",0,BattCalcs!AU149)</f>
        <v>0</v>
      </c>
      <c r="AS149" s="144">
        <f>IF('PV IN'!$F$4="PV Only",PVCalcs!X149,IF('PV IN'!$F$4="Battery Only",BattCalcs!AW149,PVCalcs!X149+BattCalcs!AW149))</f>
        <v>0</v>
      </c>
      <c r="AT149" s="144">
        <f>IF('PV IN'!$F$4="Battery Only",0,-PVCalcs!AQ149*'PV IN'!$E$8)</f>
        <v>0</v>
      </c>
      <c r="AU149" s="144">
        <f>IF('PV IN'!$F$4="PV Only",0,-BattCalcs!CG149*'PV IN'!$E$8)</f>
        <v>0</v>
      </c>
      <c r="AV149" s="144">
        <f>IF('PV IN'!$F$4="PV Only",PVCalcs!Z149+PVCalcs!AA149,IF('PV IN'!$F$4="Battery Only",SUM(BattCalcs!BC149:BH149),PVCalcs!Z149+PVCalcs!AA149+SUM(BattCalcs!BC149:BH149)))</f>
        <v>0</v>
      </c>
      <c r="AW149" s="144">
        <f>IF('PV IN'!$F$4="PV Only",SUM(PVCalcs!AF149:AI149),IF('PV IN'!$F$4="Battery Only",SUM(BattCalcs!BL149:BY149),SUM(PVCalcs!AF149:AI149)+SUM(BattCalcs!BL149:BY149)))</f>
        <v>-1375</v>
      </c>
      <c r="AX149" s="144">
        <f>IF('PV IN'!$F$4="Battery Only",0,-PVLoan!F177)</f>
        <v>0</v>
      </c>
      <c r="AY149" s="144">
        <f>IF('PV IN'!$F$4="PV Only",0,-BattLoan!F177)</f>
        <v>0</v>
      </c>
      <c r="AZ149" s="144">
        <f>IF('PV IN'!$F$4="Battery Only",0,-PVLoan!H177)</f>
        <v>0</v>
      </c>
      <c r="BA149" s="144">
        <f>IF('PV IN'!$F$4="PV Only",0,-BattLoan!H177)</f>
        <v>0</v>
      </c>
    </row>
    <row r="150" spans="1:88" x14ac:dyDescent="0.25">
      <c r="A150">
        <f>IF(C150&lt;='PV IN'!$O$22*12,C150,"")</f>
        <v>146</v>
      </c>
      <c r="C150">
        <v>146</v>
      </c>
      <c r="D150" s="2">
        <f>BattCalcs!CK150+PVCalcs!AT150</f>
        <v>11872.623220476456</v>
      </c>
      <c r="E150" s="20">
        <f>PVCalcs!AV150</f>
        <v>553560.23450748099</v>
      </c>
      <c r="F150" s="20">
        <f>PVCalcs!AW150</f>
        <v>6557.5792361486656</v>
      </c>
      <c r="G150" s="20">
        <f>PVCalcs!AX150</f>
        <v>58053.945010507523</v>
      </c>
      <c r="H150" s="20">
        <f>BattCalcs!CM150</f>
        <v>0</v>
      </c>
      <c r="I150" s="20">
        <f>BattCalcs!CN150</f>
        <v>0</v>
      </c>
      <c r="J150" s="20">
        <f>IF(C150&lt;='Batt IN'!H$43*12,BattCalcs!CO150,NA())</f>
        <v>0</v>
      </c>
      <c r="L150" s="20">
        <f t="shared" si="313"/>
        <v>6557.5792361486656</v>
      </c>
      <c r="M150" s="20">
        <f>G150+BattCalcs!CO150</f>
        <v>58053.945010507523</v>
      </c>
      <c r="O150" s="10">
        <f>PVLoan!G178</f>
        <v>0</v>
      </c>
      <c r="P150" s="10">
        <f>PVLoan!J178</f>
        <v>0</v>
      </c>
      <c r="Q150" s="2" t="str">
        <f>BattLoan!G178</f>
        <v>-</v>
      </c>
      <c r="R150" s="10" t="str">
        <f>BattLoan!J178</f>
        <v>-</v>
      </c>
      <c r="T150" s="33">
        <f>IF('PV IN'!$F$4="Battery Only",0,PVCalcs!G150)</f>
        <v>138443.96969423341</v>
      </c>
      <c r="U150" s="33">
        <f>IF('PV IN'!$F$4="Battery Only",0,PVCalcs!M150)</f>
        <v>138443.96969423341</v>
      </c>
      <c r="V150" s="33">
        <f>PVCalcs!L150</f>
        <v>25811.765833333331</v>
      </c>
      <c r="W150" s="158">
        <f>PVCalcs!F150</f>
        <v>8.0603739109022604E-2</v>
      </c>
      <c r="X150" s="144">
        <f>IF('PV IN'!$F$4="Battery Only",0,PVCalcs!Y150+PVCalcs!Z150)</f>
        <v>1799.7716060250343</v>
      </c>
      <c r="Y150" s="144">
        <f>IF('PV IN'!$F$4="PV Only",0,BattCalcs!AX150+BattCalcs!BC150)</f>
        <v>0</v>
      </c>
      <c r="Z150" s="144">
        <f>IF('PV IN'!$F$4="PV Only",0,BattCalcs!AY150+BattCalcs!BD150)</f>
        <v>0</v>
      </c>
      <c r="AA150" s="144">
        <f>IF('PV IN'!$F$4="PV Only",0,BattCalcs!AZ150+BattCalcs!BE150)</f>
        <v>0</v>
      </c>
      <c r="AB150" s="144">
        <f>IF('PV IN'!$F$4="PV Only",0,BattCalcs!BA150+BattCalcs!BF150)</f>
        <v>0</v>
      </c>
      <c r="AC150" s="144">
        <f>IF('PV IN'!$F$4="PV Only",0,BattCalcs!BB150+BattCalcs!BG150)</f>
        <v>0</v>
      </c>
      <c r="AD150" s="144">
        <f>IF('PV IN'!$F$4="PV Only",0,BattCalcs!BU150)</f>
        <v>0</v>
      </c>
      <c r="AE150" s="144">
        <f>IF('PV IN'!$F$4="PV Only",PVCalcs!W150+PVCalcs!AA150,IF('PV IN'!$F$4="Battery Only",BattCalcs!AV150+BattCalcs!BH150,PVCalcs!W150+PVCalcs!AA150+BattCalcs!AV150+BattCalcs!BH150))</f>
        <v>0</v>
      </c>
      <c r="AF150" s="10">
        <f>PVCalcs!AC150+BattCalcs!BJ150</f>
        <v>0</v>
      </c>
      <c r="AG150" s="144">
        <f>IF('PV IN'!$F$4="Battery Only",0,PVCalcs!AG150)</f>
        <v>-750</v>
      </c>
      <c r="AH150" s="144">
        <f>IF('PV IN'!$F$4="Battery Only",0,PVCalcs!AI150)</f>
        <v>0</v>
      </c>
      <c r="AI150" s="144">
        <f>IF('PV IN'!$F$4="PV Only",0,BattCalcs!BM150)</f>
        <v>0</v>
      </c>
      <c r="AJ150" s="144">
        <f>IF('PV IN'!$F$4="PV Only",0,SUM(BattCalcs!BO150:BT150))</f>
        <v>0</v>
      </c>
      <c r="AK150" s="144">
        <f>IF('PV IN'!$F$4="PV Only",PVCalcs!AH150,IF('PV IN'!$F$4="Battery Only",BattCalcs!BN150,PVCalcs!AH150+BattCalcs!BN150))</f>
        <v>-625</v>
      </c>
      <c r="AL150" s="144">
        <f>IF('PV IN'!$F$4="PV Only",0,BattCalcs!BV150)</f>
        <v>0</v>
      </c>
      <c r="AM150" s="144">
        <f>IF('PV IN'!$F$4="PV Only",0,SUM(BattCalcs!BW150:BX150))</f>
        <v>0</v>
      </c>
      <c r="AN150" s="144">
        <f>IF('PV IN'!$F$4="PV Only",0,BattCalcs!BY150)</f>
        <v>0</v>
      </c>
      <c r="AO150" s="144">
        <f>IF('PV IN'!$F$4="Battery Only",0,PVCalcs!U150)</f>
        <v>11159.101614451421</v>
      </c>
      <c r="AP150" s="10">
        <f>IF('PV IN'!$F$4="PV Only",0,BattCalcs!AS150)</f>
        <v>0</v>
      </c>
      <c r="AQ150" s="10">
        <f>IF('PV IN'!$F$4="PV Only",0,BattCalcs!AT150)</f>
        <v>0</v>
      </c>
      <c r="AR150" s="10">
        <f>IF('PV IN'!$F$4="PV Only",0,BattCalcs!AU150)</f>
        <v>0</v>
      </c>
      <c r="AS150" s="144">
        <f>IF('PV IN'!$F$4="PV Only",PVCalcs!X150,IF('PV IN'!$F$4="Battery Only",BattCalcs!AW150,PVCalcs!X150+BattCalcs!AW150))</f>
        <v>0</v>
      </c>
      <c r="AT150" s="144">
        <f>IF('PV IN'!$F$4="Battery Only",0,-PVCalcs!AQ150*'PV IN'!$E$8)</f>
        <v>0</v>
      </c>
      <c r="AU150" s="144">
        <f>IF('PV IN'!$F$4="PV Only",0,-BattCalcs!CG150*'PV IN'!$E$8)</f>
        <v>0</v>
      </c>
      <c r="AV150" s="144">
        <f>IF('PV IN'!$F$4="PV Only",PVCalcs!Z150+PVCalcs!AA150,IF('PV IN'!$F$4="Battery Only",SUM(BattCalcs!BC150:BH150),PVCalcs!Z150+PVCalcs!AA150+SUM(BattCalcs!BC150:BH150)))</f>
        <v>0</v>
      </c>
      <c r="AW150" s="144">
        <f>IF('PV IN'!$F$4="PV Only",SUM(PVCalcs!AF150:AI150),IF('PV IN'!$F$4="Battery Only",SUM(BattCalcs!BL150:BY150),SUM(PVCalcs!AF150:AI150)+SUM(BattCalcs!BL150:BY150)))</f>
        <v>-1375</v>
      </c>
      <c r="AX150" s="144">
        <f>IF('PV IN'!$F$4="Battery Only",0,-PVLoan!F178)</f>
        <v>0</v>
      </c>
      <c r="AY150" s="144">
        <f>IF('PV IN'!$F$4="PV Only",0,-BattLoan!F178)</f>
        <v>0</v>
      </c>
      <c r="AZ150" s="144">
        <f>IF('PV IN'!$F$4="Battery Only",0,-PVLoan!H178)</f>
        <v>0</v>
      </c>
      <c r="BA150" s="144">
        <f>IF('PV IN'!$F$4="PV Only",0,-BattLoan!H178)</f>
        <v>0</v>
      </c>
    </row>
    <row r="151" spans="1:88" x14ac:dyDescent="0.25">
      <c r="A151">
        <f>IF(C151&lt;='PV IN'!$O$22*12,C151,"")</f>
        <v>147</v>
      </c>
      <c r="C151">
        <v>147</v>
      </c>
      <c r="D151" s="2">
        <f>BattCalcs!CK151+PVCalcs!AT151</f>
        <v>11863.983971662805</v>
      </c>
      <c r="E151" s="20">
        <f>PVCalcs!AV151</f>
        <v>565424.2184791438</v>
      </c>
      <c r="F151" s="20">
        <f>PVCalcs!AW151</f>
        <v>6526.2189156129416</v>
      </c>
      <c r="G151" s="20">
        <f>PVCalcs!AX151</f>
        <v>64580.163926120462</v>
      </c>
      <c r="H151" s="20">
        <f>BattCalcs!CM151</f>
        <v>0</v>
      </c>
      <c r="I151" s="20">
        <f>BattCalcs!CN151</f>
        <v>0</v>
      </c>
      <c r="J151" s="20">
        <f>IF(C151&lt;='Batt IN'!H$43*12,BattCalcs!CO151,NA())</f>
        <v>0</v>
      </c>
      <c r="L151" s="20">
        <f t="shared" si="313"/>
        <v>6526.2189156129416</v>
      </c>
      <c r="M151" s="20">
        <f>G151+BattCalcs!CO151</f>
        <v>64580.163926120462</v>
      </c>
      <c r="O151" s="10">
        <f>PVLoan!G179</f>
        <v>0</v>
      </c>
      <c r="P151" s="10">
        <f>PVLoan!J179</f>
        <v>0</v>
      </c>
      <c r="Q151" s="2" t="str">
        <f>BattLoan!G179</f>
        <v>-</v>
      </c>
      <c r="R151" s="10" t="str">
        <f>BattLoan!J179</f>
        <v>-</v>
      </c>
      <c r="T151" s="33">
        <f>IF('PV IN'!$F$4="Battery Only",0,PVCalcs!G151)</f>
        <v>138351.67371443726</v>
      </c>
      <c r="U151" s="33">
        <f>IF('PV IN'!$F$4="Battery Only",0,PVCalcs!M151)</f>
        <v>138351.67371443726</v>
      </c>
      <c r="V151" s="33">
        <f>PVCalcs!L151</f>
        <v>25811.765833333331</v>
      </c>
      <c r="W151" s="158">
        <f>PVCalcs!F151</f>
        <v>8.0603739109022604E-2</v>
      </c>
      <c r="X151" s="144">
        <f>IF('PV IN'!$F$4="Battery Only",0,PVCalcs!Y151+PVCalcs!Z151)</f>
        <v>1798.5717582876844</v>
      </c>
      <c r="Y151" s="144">
        <f>IF('PV IN'!$F$4="PV Only",0,BattCalcs!AX151+BattCalcs!BC151)</f>
        <v>0</v>
      </c>
      <c r="Z151" s="144">
        <f>IF('PV IN'!$F$4="PV Only",0,BattCalcs!AY151+BattCalcs!BD151)</f>
        <v>0</v>
      </c>
      <c r="AA151" s="144">
        <f>IF('PV IN'!$F$4="PV Only",0,BattCalcs!AZ151+BattCalcs!BE151)</f>
        <v>0</v>
      </c>
      <c r="AB151" s="144">
        <f>IF('PV IN'!$F$4="PV Only",0,BattCalcs!BA151+BattCalcs!BF151)</f>
        <v>0</v>
      </c>
      <c r="AC151" s="144">
        <f>IF('PV IN'!$F$4="PV Only",0,BattCalcs!BB151+BattCalcs!BG151)</f>
        <v>0</v>
      </c>
      <c r="AD151" s="144">
        <f>IF('PV IN'!$F$4="PV Only",0,BattCalcs!BU151)</f>
        <v>0</v>
      </c>
      <c r="AE151" s="144">
        <f>IF('PV IN'!$F$4="PV Only",PVCalcs!W151+PVCalcs!AA151,IF('PV IN'!$F$4="Battery Only",BattCalcs!AV151+BattCalcs!BH151,PVCalcs!W151+PVCalcs!AA151+BattCalcs!AV151+BattCalcs!BH151))</f>
        <v>0</v>
      </c>
      <c r="AF151" s="10">
        <f>PVCalcs!AC151+BattCalcs!BJ151</f>
        <v>0</v>
      </c>
      <c r="AG151" s="144">
        <f>IF('PV IN'!$F$4="Battery Only",0,PVCalcs!AG151)</f>
        <v>-750</v>
      </c>
      <c r="AH151" s="144">
        <f>IF('PV IN'!$F$4="Battery Only",0,PVCalcs!AI151)</f>
        <v>0</v>
      </c>
      <c r="AI151" s="144">
        <f>IF('PV IN'!$F$4="PV Only",0,BattCalcs!BM151)</f>
        <v>0</v>
      </c>
      <c r="AJ151" s="144">
        <f>IF('PV IN'!$F$4="PV Only",0,SUM(BattCalcs!BO151:BT151))</f>
        <v>0</v>
      </c>
      <c r="AK151" s="144">
        <f>IF('PV IN'!$F$4="PV Only",PVCalcs!AH151,IF('PV IN'!$F$4="Battery Only",BattCalcs!BN151,PVCalcs!AH151+BattCalcs!BN151))</f>
        <v>-625</v>
      </c>
      <c r="AL151" s="144">
        <f>IF('PV IN'!$F$4="PV Only",0,BattCalcs!BV151)</f>
        <v>0</v>
      </c>
      <c r="AM151" s="144">
        <f>IF('PV IN'!$F$4="PV Only",0,SUM(BattCalcs!BW151:BX151))</f>
        <v>0</v>
      </c>
      <c r="AN151" s="144">
        <f>IF('PV IN'!$F$4="PV Only",0,BattCalcs!BY151)</f>
        <v>0</v>
      </c>
      <c r="AO151" s="144">
        <f>IF('PV IN'!$F$4="Battery Only",0,PVCalcs!U151)</f>
        <v>11151.662213375121</v>
      </c>
      <c r="AP151" s="10">
        <f>IF('PV IN'!$F$4="PV Only",0,BattCalcs!AS151)</f>
        <v>0</v>
      </c>
      <c r="AQ151" s="10">
        <f>IF('PV IN'!$F$4="PV Only",0,BattCalcs!AT151)</f>
        <v>0</v>
      </c>
      <c r="AR151" s="10">
        <f>IF('PV IN'!$F$4="PV Only",0,BattCalcs!AU151)</f>
        <v>0</v>
      </c>
      <c r="AS151" s="144">
        <f>IF('PV IN'!$F$4="PV Only",PVCalcs!X151,IF('PV IN'!$F$4="Battery Only",BattCalcs!AW151,PVCalcs!X151+BattCalcs!AW151))</f>
        <v>0</v>
      </c>
      <c r="AT151" s="144">
        <f>IF('PV IN'!$F$4="Battery Only",0,-PVCalcs!AQ151*'PV IN'!$E$8)</f>
        <v>0</v>
      </c>
      <c r="AU151" s="144">
        <f>IF('PV IN'!$F$4="PV Only",0,-BattCalcs!CG151*'PV IN'!$E$8)</f>
        <v>0</v>
      </c>
      <c r="AV151" s="144">
        <f>IF('PV IN'!$F$4="PV Only",PVCalcs!Z151+PVCalcs!AA151,IF('PV IN'!$F$4="Battery Only",SUM(BattCalcs!BC151:BH151),PVCalcs!Z151+PVCalcs!AA151+SUM(BattCalcs!BC151:BH151)))</f>
        <v>0</v>
      </c>
      <c r="AW151" s="144">
        <f>IF('PV IN'!$F$4="PV Only",SUM(PVCalcs!AF151:AI151),IF('PV IN'!$F$4="Battery Only",SUM(BattCalcs!BL151:BY151),SUM(PVCalcs!AF151:AI151)+SUM(BattCalcs!BL151:BY151)))</f>
        <v>-1375</v>
      </c>
      <c r="AX151" s="144">
        <f>IF('PV IN'!$F$4="Battery Only",0,-PVLoan!F179)</f>
        <v>0</v>
      </c>
      <c r="AY151" s="144">
        <f>IF('PV IN'!$F$4="PV Only",0,-BattLoan!F179)</f>
        <v>0</v>
      </c>
      <c r="AZ151" s="144">
        <f>IF('PV IN'!$F$4="Battery Only",0,-PVLoan!H179)</f>
        <v>0</v>
      </c>
      <c r="BA151" s="144">
        <f>IF('PV IN'!$F$4="PV Only",0,-BattLoan!H179)</f>
        <v>0</v>
      </c>
    </row>
    <row r="152" spans="1:88" x14ac:dyDescent="0.25">
      <c r="A152">
        <f>IF(C152&lt;='PV IN'!$O$22*12,C152,"")</f>
        <v>148</v>
      </c>
      <c r="C152">
        <v>148</v>
      </c>
      <c r="D152" s="2">
        <f>BattCalcs!CK152+PVCalcs!AT152</f>
        <v>11855.350482348365</v>
      </c>
      <c r="E152" s="20">
        <f>PVCalcs!AV152</f>
        <v>577279.56896149216</v>
      </c>
      <c r="F152" s="20">
        <f>PVCalcs!AW152</f>
        <v>6495.0082808919269</v>
      </c>
      <c r="G152" s="20">
        <f>PVCalcs!AX152</f>
        <v>71075.172207012394</v>
      </c>
      <c r="H152" s="20">
        <f>BattCalcs!CM152</f>
        <v>0</v>
      </c>
      <c r="I152" s="20">
        <f>BattCalcs!CN152</f>
        <v>0</v>
      </c>
      <c r="J152" s="20">
        <f>IF(C152&lt;='Batt IN'!H$43*12,BattCalcs!CO152,NA())</f>
        <v>0</v>
      </c>
      <c r="L152" s="20">
        <f t="shared" si="313"/>
        <v>6495.0082808919269</v>
      </c>
      <c r="M152" s="20">
        <f>G152+BattCalcs!CO152</f>
        <v>71075.172207012394</v>
      </c>
      <c r="O152" s="10">
        <f>PVLoan!G180</f>
        <v>0</v>
      </c>
      <c r="P152" s="10">
        <f>PVLoan!J180</f>
        <v>0</v>
      </c>
      <c r="Q152" s="2" t="str">
        <f>BattLoan!G180</f>
        <v>-</v>
      </c>
      <c r="R152" s="10" t="str">
        <f>BattLoan!J180</f>
        <v>-</v>
      </c>
      <c r="T152" s="33">
        <f>IF('PV IN'!$F$4="Battery Only",0,PVCalcs!G152)</f>
        <v>138259.43926529432</v>
      </c>
      <c r="U152" s="33">
        <f>IF('PV IN'!$F$4="Battery Only",0,PVCalcs!M152)</f>
        <v>138259.43926529432</v>
      </c>
      <c r="V152" s="33">
        <f>PVCalcs!L152</f>
        <v>25811.765833333331</v>
      </c>
      <c r="W152" s="158">
        <f>PVCalcs!F152</f>
        <v>8.0603739109022604E-2</v>
      </c>
      <c r="X152" s="144">
        <f>IF('PV IN'!$F$4="Battery Only",0,PVCalcs!Y152+PVCalcs!Z152)</f>
        <v>1797.3727104488262</v>
      </c>
      <c r="Y152" s="144">
        <f>IF('PV IN'!$F$4="PV Only",0,BattCalcs!AX152+BattCalcs!BC152)</f>
        <v>0</v>
      </c>
      <c r="Z152" s="144">
        <f>IF('PV IN'!$F$4="PV Only",0,BattCalcs!AY152+BattCalcs!BD152)</f>
        <v>0</v>
      </c>
      <c r="AA152" s="144">
        <f>IF('PV IN'!$F$4="PV Only",0,BattCalcs!AZ152+BattCalcs!BE152)</f>
        <v>0</v>
      </c>
      <c r="AB152" s="144">
        <f>IF('PV IN'!$F$4="PV Only",0,BattCalcs!BA152+BattCalcs!BF152)</f>
        <v>0</v>
      </c>
      <c r="AC152" s="144">
        <f>IF('PV IN'!$F$4="PV Only",0,BattCalcs!BB152+BattCalcs!BG152)</f>
        <v>0</v>
      </c>
      <c r="AD152" s="144">
        <f>IF('PV IN'!$F$4="PV Only",0,BattCalcs!BU152)</f>
        <v>0</v>
      </c>
      <c r="AE152" s="144">
        <f>IF('PV IN'!$F$4="PV Only",PVCalcs!W152+PVCalcs!AA152,IF('PV IN'!$F$4="Battery Only",BattCalcs!AV152+BattCalcs!BH152,PVCalcs!W152+PVCalcs!AA152+BattCalcs!AV152+BattCalcs!BH152))</f>
        <v>0</v>
      </c>
      <c r="AF152" s="10">
        <f>PVCalcs!AC152+BattCalcs!BJ152</f>
        <v>0</v>
      </c>
      <c r="AG152" s="144">
        <f>IF('PV IN'!$F$4="Battery Only",0,PVCalcs!AG152)</f>
        <v>-750</v>
      </c>
      <c r="AH152" s="144">
        <f>IF('PV IN'!$F$4="Battery Only",0,PVCalcs!AI152)</f>
        <v>0</v>
      </c>
      <c r="AI152" s="144">
        <f>IF('PV IN'!$F$4="PV Only",0,BattCalcs!BM152)</f>
        <v>0</v>
      </c>
      <c r="AJ152" s="144">
        <f>IF('PV IN'!$F$4="PV Only",0,SUM(BattCalcs!BO152:BT152))</f>
        <v>0</v>
      </c>
      <c r="AK152" s="144">
        <f>IF('PV IN'!$F$4="PV Only",PVCalcs!AH152,IF('PV IN'!$F$4="Battery Only",BattCalcs!BN152,PVCalcs!AH152+BattCalcs!BN152))</f>
        <v>-625</v>
      </c>
      <c r="AL152" s="144">
        <f>IF('PV IN'!$F$4="PV Only",0,BattCalcs!BV152)</f>
        <v>0</v>
      </c>
      <c r="AM152" s="144">
        <f>IF('PV IN'!$F$4="PV Only",0,SUM(BattCalcs!BW152:BX152))</f>
        <v>0</v>
      </c>
      <c r="AN152" s="144">
        <f>IF('PV IN'!$F$4="PV Only",0,BattCalcs!BY152)</f>
        <v>0</v>
      </c>
      <c r="AO152" s="144">
        <f>IF('PV IN'!$F$4="Battery Only",0,PVCalcs!U152)</f>
        <v>11144.227771899539</v>
      </c>
      <c r="AP152" s="10">
        <f>IF('PV IN'!$F$4="PV Only",0,BattCalcs!AS152)</f>
        <v>0</v>
      </c>
      <c r="AQ152" s="10">
        <f>IF('PV IN'!$F$4="PV Only",0,BattCalcs!AT152)</f>
        <v>0</v>
      </c>
      <c r="AR152" s="10">
        <f>IF('PV IN'!$F$4="PV Only",0,BattCalcs!AU152)</f>
        <v>0</v>
      </c>
      <c r="AS152" s="144">
        <f>IF('PV IN'!$F$4="PV Only",PVCalcs!X152,IF('PV IN'!$F$4="Battery Only",BattCalcs!AW152,PVCalcs!X152+BattCalcs!AW152))</f>
        <v>0</v>
      </c>
      <c r="AT152" s="144">
        <f>IF('PV IN'!$F$4="Battery Only",0,-PVCalcs!AQ152*'PV IN'!$E$8)</f>
        <v>0</v>
      </c>
      <c r="AU152" s="144">
        <f>IF('PV IN'!$F$4="PV Only",0,-BattCalcs!CG152*'PV IN'!$E$8)</f>
        <v>0</v>
      </c>
      <c r="AV152" s="144">
        <f>IF('PV IN'!$F$4="PV Only",PVCalcs!Z152+PVCalcs!AA152,IF('PV IN'!$F$4="Battery Only",SUM(BattCalcs!BC152:BH152),PVCalcs!Z152+PVCalcs!AA152+SUM(BattCalcs!BC152:BH152)))</f>
        <v>0</v>
      </c>
      <c r="AW152" s="144">
        <f>IF('PV IN'!$F$4="PV Only",SUM(PVCalcs!AF152:AI152),IF('PV IN'!$F$4="Battery Only",SUM(BattCalcs!BL152:BY152),SUM(PVCalcs!AF152:AI152)+SUM(BattCalcs!BL152:BY152)))</f>
        <v>-1375</v>
      </c>
      <c r="AX152" s="144">
        <f>IF('PV IN'!$F$4="Battery Only",0,-PVLoan!F180)</f>
        <v>0</v>
      </c>
      <c r="AY152" s="144">
        <f>IF('PV IN'!$F$4="PV Only",0,-BattLoan!F180)</f>
        <v>0</v>
      </c>
      <c r="AZ152" s="144">
        <f>IF('PV IN'!$F$4="Battery Only",0,-PVLoan!H180)</f>
        <v>0</v>
      </c>
      <c r="BA152" s="144">
        <f>IF('PV IN'!$F$4="PV Only",0,-BattLoan!H180)</f>
        <v>0</v>
      </c>
    </row>
    <row r="153" spans="1:88" x14ac:dyDescent="0.25">
      <c r="A153">
        <f>IF(C153&lt;='PV IN'!$O$22*12,C153,"")</f>
        <v>149</v>
      </c>
      <c r="C153">
        <v>149</v>
      </c>
      <c r="D153" s="2">
        <f>BattCalcs!CK153+PVCalcs!AT153</f>
        <v>11846.722748693466</v>
      </c>
      <c r="E153" s="20">
        <f>PVCalcs!AV153</f>
        <v>589126.29171018559</v>
      </c>
      <c r="F153" s="20">
        <f>PVCalcs!AW153</f>
        <v>6463.9466186773898</v>
      </c>
      <c r="G153" s="20">
        <f>PVCalcs!AX153</f>
        <v>77539.118825689788</v>
      </c>
      <c r="H153" s="20">
        <f>BattCalcs!CM153</f>
        <v>0</v>
      </c>
      <c r="I153" s="20">
        <f>BattCalcs!CN153</f>
        <v>0</v>
      </c>
      <c r="J153" s="20">
        <f>IF(C153&lt;='Batt IN'!H$43*12,BattCalcs!CO153,NA())</f>
        <v>0</v>
      </c>
      <c r="L153" s="20">
        <f t="shared" si="313"/>
        <v>6463.9466186773898</v>
      </c>
      <c r="M153" s="20">
        <f>G153+BattCalcs!CO153</f>
        <v>77539.118825689788</v>
      </c>
      <c r="O153" s="10">
        <f>PVLoan!G181</f>
        <v>0</v>
      </c>
      <c r="P153" s="10">
        <f>PVLoan!J181</f>
        <v>0</v>
      </c>
      <c r="Q153" s="2" t="str">
        <f>BattLoan!G181</f>
        <v>-</v>
      </c>
      <c r="R153" s="10" t="str">
        <f>BattLoan!J181</f>
        <v>-</v>
      </c>
      <c r="T153" s="33">
        <f>IF('PV IN'!$F$4="Battery Only",0,PVCalcs!G153)</f>
        <v>138167.26630578411</v>
      </c>
      <c r="U153" s="33">
        <f>IF('PV IN'!$F$4="Battery Only",0,PVCalcs!M153)</f>
        <v>138167.26630578411</v>
      </c>
      <c r="V153" s="33">
        <f>PVCalcs!L153</f>
        <v>25811.765833333331</v>
      </c>
      <c r="W153" s="158">
        <f>PVCalcs!F153</f>
        <v>8.0603739109022604E-2</v>
      </c>
      <c r="X153" s="144">
        <f>IF('PV IN'!$F$4="Battery Only",0,PVCalcs!Y153+PVCalcs!Z153)</f>
        <v>1796.1744619751935</v>
      </c>
      <c r="Y153" s="144">
        <f>IF('PV IN'!$F$4="PV Only",0,BattCalcs!AX153+BattCalcs!BC153)</f>
        <v>0</v>
      </c>
      <c r="Z153" s="144">
        <f>IF('PV IN'!$F$4="PV Only",0,BattCalcs!AY153+BattCalcs!BD153)</f>
        <v>0</v>
      </c>
      <c r="AA153" s="144">
        <f>IF('PV IN'!$F$4="PV Only",0,BattCalcs!AZ153+BattCalcs!BE153)</f>
        <v>0</v>
      </c>
      <c r="AB153" s="144">
        <f>IF('PV IN'!$F$4="PV Only",0,BattCalcs!BA153+BattCalcs!BF153)</f>
        <v>0</v>
      </c>
      <c r="AC153" s="144">
        <f>IF('PV IN'!$F$4="PV Only",0,BattCalcs!BB153+BattCalcs!BG153)</f>
        <v>0</v>
      </c>
      <c r="AD153" s="144">
        <f>IF('PV IN'!$F$4="PV Only",0,BattCalcs!BU153)</f>
        <v>0</v>
      </c>
      <c r="AE153" s="144">
        <f>IF('PV IN'!$F$4="PV Only",PVCalcs!W153+PVCalcs!AA153,IF('PV IN'!$F$4="Battery Only",BattCalcs!AV153+BattCalcs!BH153,PVCalcs!W153+PVCalcs!AA153+BattCalcs!AV153+BattCalcs!BH153))</f>
        <v>0</v>
      </c>
      <c r="AF153" s="10">
        <f>PVCalcs!AC153+BattCalcs!BJ153</f>
        <v>0</v>
      </c>
      <c r="AG153" s="144">
        <f>IF('PV IN'!$F$4="Battery Only",0,PVCalcs!AG153)</f>
        <v>-750</v>
      </c>
      <c r="AH153" s="144">
        <f>IF('PV IN'!$F$4="Battery Only",0,PVCalcs!AI153)</f>
        <v>0</v>
      </c>
      <c r="AI153" s="144">
        <f>IF('PV IN'!$F$4="PV Only",0,BattCalcs!BM153)</f>
        <v>0</v>
      </c>
      <c r="AJ153" s="144">
        <f>IF('PV IN'!$F$4="PV Only",0,SUM(BattCalcs!BO153:BT153))</f>
        <v>0</v>
      </c>
      <c r="AK153" s="144">
        <f>IF('PV IN'!$F$4="PV Only",PVCalcs!AH153,IF('PV IN'!$F$4="Battery Only",BattCalcs!BN153,PVCalcs!AH153+BattCalcs!BN153))</f>
        <v>-625</v>
      </c>
      <c r="AL153" s="144">
        <f>IF('PV IN'!$F$4="PV Only",0,BattCalcs!BV153)</f>
        <v>0</v>
      </c>
      <c r="AM153" s="144">
        <f>IF('PV IN'!$F$4="PV Only",0,SUM(BattCalcs!BW153:BX153))</f>
        <v>0</v>
      </c>
      <c r="AN153" s="144">
        <f>IF('PV IN'!$F$4="PV Only",0,BattCalcs!BY153)</f>
        <v>0</v>
      </c>
      <c r="AO153" s="144">
        <f>IF('PV IN'!$F$4="Battery Only",0,PVCalcs!U153)</f>
        <v>11136.798286718273</v>
      </c>
      <c r="AP153" s="10">
        <f>IF('PV IN'!$F$4="PV Only",0,BattCalcs!AS153)</f>
        <v>0</v>
      </c>
      <c r="AQ153" s="10">
        <f>IF('PV IN'!$F$4="PV Only",0,BattCalcs!AT153)</f>
        <v>0</v>
      </c>
      <c r="AR153" s="10">
        <f>IF('PV IN'!$F$4="PV Only",0,BattCalcs!AU153)</f>
        <v>0</v>
      </c>
      <c r="AS153" s="144">
        <f>IF('PV IN'!$F$4="PV Only",PVCalcs!X153,IF('PV IN'!$F$4="Battery Only",BattCalcs!AW153,PVCalcs!X153+BattCalcs!AW153))</f>
        <v>0</v>
      </c>
      <c r="AT153" s="144">
        <f>IF('PV IN'!$F$4="Battery Only",0,-PVCalcs!AQ153*'PV IN'!$E$8)</f>
        <v>0</v>
      </c>
      <c r="AU153" s="144">
        <f>IF('PV IN'!$F$4="PV Only",0,-BattCalcs!CG153*'PV IN'!$E$8)</f>
        <v>0</v>
      </c>
      <c r="AV153" s="144">
        <f>IF('PV IN'!$F$4="PV Only",PVCalcs!Z153+PVCalcs!AA153,IF('PV IN'!$F$4="Battery Only",SUM(BattCalcs!BC153:BH153),PVCalcs!Z153+PVCalcs!AA153+SUM(BattCalcs!BC153:BH153)))</f>
        <v>0</v>
      </c>
      <c r="AW153" s="144">
        <f>IF('PV IN'!$F$4="PV Only",SUM(PVCalcs!AF153:AI153),IF('PV IN'!$F$4="Battery Only",SUM(BattCalcs!BL153:BY153),SUM(PVCalcs!AF153:AI153)+SUM(BattCalcs!BL153:BY153)))</f>
        <v>-1375</v>
      </c>
      <c r="AX153" s="144">
        <f>IF('PV IN'!$F$4="Battery Only",0,-PVLoan!F181)</f>
        <v>0</v>
      </c>
      <c r="AY153" s="144">
        <f>IF('PV IN'!$F$4="PV Only",0,-BattLoan!F181)</f>
        <v>0</v>
      </c>
      <c r="AZ153" s="144">
        <f>IF('PV IN'!$F$4="Battery Only",0,-PVLoan!H181)</f>
        <v>0</v>
      </c>
      <c r="BA153" s="144">
        <f>IF('PV IN'!$F$4="PV Only",0,-BattLoan!H181)</f>
        <v>0</v>
      </c>
    </row>
    <row r="154" spans="1:88" x14ac:dyDescent="0.25">
      <c r="A154">
        <f>IF(C154&lt;='PV IN'!$O$22*12,C154,"")</f>
        <v>150</v>
      </c>
      <c r="C154">
        <v>150</v>
      </c>
      <c r="D154" s="2">
        <f>BattCalcs!CK154+PVCalcs!AT154</f>
        <v>11838.100766861002</v>
      </c>
      <c r="E154" s="20">
        <f>PVCalcs!AV154</f>
        <v>600964.39247704658</v>
      </c>
      <c r="F154" s="20">
        <f>PVCalcs!AW154</f>
        <v>6433.0332190556428</v>
      </c>
      <c r="G154" s="20">
        <f>PVCalcs!AX154</f>
        <v>83972.152044745424</v>
      </c>
      <c r="H154" s="20">
        <f>BattCalcs!CM154</f>
        <v>0</v>
      </c>
      <c r="I154" s="20">
        <f>BattCalcs!CN154</f>
        <v>0</v>
      </c>
      <c r="J154" s="20">
        <f>IF(C154&lt;='Batt IN'!H$43*12,BattCalcs!CO154,NA())</f>
        <v>0</v>
      </c>
      <c r="L154" s="20">
        <f t="shared" si="313"/>
        <v>6433.0332190556428</v>
      </c>
      <c r="M154" s="20">
        <f>G154+BattCalcs!CO154</f>
        <v>83972.152044745424</v>
      </c>
      <c r="O154" s="10">
        <f>PVLoan!G182</f>
        <v>0</v>
      </c>
      <c r="P154" s="10">
        <f>PVLoan!J182</f>
        <v>0</v>
      </c>
      <c r="Q154" s="2" t="str">
        <f>BattLoan!G182</f>
        <v>-</v>
      </c>
      <c r="R154" s="10" t="str">
        <f>BattLoan!J182</f>
        <v>-</v>
      </c>
      <c r="T154" s="33">
        <f>IF('PV IN'!$F$4="Battery Only",0,PVCalcs!G154)</f>
        <v>138075.15479491357</v>
      </c>
      <c r="U154" s="33">
        <f>IF('PV IN'!$F$4="Battery Only",0,PVCalcs!M154)</f>
        <v>138075.15479491357</v>
      </c>
      <c r="V154" s="33">
        <f>PVCalcs!L154</f>
        <v>25811.765833333331</v>
      </c>
      <c r="W154" s="158">
        <f>PVCalcs!F154</f>
        <v>8.0603739109022604E-2</v>
      </c>
      <c r="X154" s="144">
        <f>IF('PV IN'!$F$4="Battery Only",0,PVCalcs!Y154+PVCalcs!Z154)</f>
        <v>1794.9770123338765</v>
      </c>
      <c r="Y154" s="144">
        <f>IF('PV IN'!$F$4="PV Only",0,BattCalcs!AX154+BattCalcs!BC154)</f>
        <v>0</v>
      </c>
      <c r="Z154" s="144">
        <f>IF('PV IN'!$F$4="PV Only",0,BattCalcs!AY154+BattCalcs!BD154)</f>
        <v>0</v>
      </c>
      <c r="AA154" s="144">
        <f>IF('PV IN'!$F$4="PV Only",0,BattCalcs!AZ154+BattCalcs!BE154)</f>
        <v>0</v>
      </c>
      <c r="AB154" s="144">
        <f>IF('PV IN'!$F$4="PV Only",0,BattCalcs!BA154+BattCalcs!BF154)</f>
        <v>0</v>
      </c>
      <c r="AC154" s="144">
        <f>IF('PV IN'!$F$4="PV Only",0,BattCalcs!BB154+BattCalcs!BG154)</f>
        <v>0</v>
      </c>
      <c r="AD154" s="144">
        <f>IF('PV IN'!$F$4="PV Only",0,BattCalcs!BU154)</f>
        <v>0</v>
      </c>
      <c r="AE154" s="144">
        <f>IF('PV IN'!$F$4="PV Only",PVCalcs!W154+PVCalcs!AA154,IF('PV IN'!$F$4="Battery Only",BattCalcs!AV154+BattCalcs!BH154,PVCalcs!W154+PVCalcs!AA154+BattCalcs!AV154+BattCalcs!BH154))</f>
        <v>0</v>
      </c>
      <c r="AF154" s="10">
        <f>PVCalcs!AC154+BattCalcs!BJ154</f>
        <v>0</v>
      </c>
      <c r="AG154" s="144">
        <f>IF('PV IN'!$F$4="Battery Only",0,PVCalcs!AG154)</f>
        <v>-750</v>
      </c>
      <c r="AH154" s="144">
        <f>IF('PV IN'!$F$4="Battery Only",0,PVCalcs!AI154)</f>
        <v>0</v>
      </c>
      <c r="AI154" s="144">
        <f>IF('PV IN'!$F$4="PV Only",0,BattCalcs!BM154)</f>
        <v>0</v>
      </c>
      <c r="AJ154" s="144">
        <f>IF('PV IN'!$F$4="PV Only",0,SUM(BattCalcs!BO154:BT154))</f>
        <v>0</v>
      </c>
      <c r="AK154" s="144">
        <f>IF('PV IN'!$F$4="PV Only",PVCalcs!AH154,IF('PV IN'!$F$4="Battery Only",BattCalcs!BN154,PVCalcs!AH154+BattCalcs!BN154))</f>
        <v>-625</v>
      </c>
      <c r="AL154" s="144">
        <f>IF('PV IN'!$F$4="PV Only",0,BattCalcs!BV154)</f>
        <v>0</v>
      </c>
      <c r="AM154" s="144">
        <f>IF('PV IN'!$F$4="PV Only",0,SUM(BattCalcs!BW154:BX154))</f>
        <v>0</v>
      </c>
      <c r="AN154" s="144">
        <f>IF('PV IN'!$F$4="PV Only",0,BattCalcs!BY154)</f>
        <v>0</v>
      </c>
      <c r="AO154" s="144">
        <f>IF('PV IN'!$F$4="Battery Only",0,PVCalcs!U154)</f>
        <v>11129.373754527125</v>
      </c>
      <c r="AP154" s="10">
        <f>IF('PV IN'!$F$4="PV Only",0,BattCalcs!AS154)</f>
        <v>0</v>
      </c>
      <c r="AQ154" s="10">
        <f>IF('PV IN'!$F$4="PV Only",0,BattCalcs!AT154)</f>
        <v>0</v>
      </c>
      <c r="AR154" s="10">
        <f>IF('PV IN'!$F$4="PV Only",0,BattCalcs!AU154)</f>
        <v>0</v>
      </c>
      <c r="AS154" s="144">
        <f>IF('PV IN'!$F$4="PV Only",PVCalcs!X154,IF('PV IN'!$F$4="Battery Only",BattCalcs!AW154,PVCalcs!X154+BattCalcs!AW154))</f>
        <v>0</v>
      </c>
      <c r="AT154" s="144">
        <f>IF('PV IN'!$F$4="Battery Only",0,-PVCalcs!AQ154*'PV IN'!$E$8)</f>
        <v>0</v>
      </c>
      <c r="AU154" s="144">
        <f>IF('PV IN'!$F$4="PV Only",0,-BattCalcs!CG154*'PV IN'!$E$8)</f>
        <v>0</v>
      </c>
      <c r="AV154" s="144">
        <f>IF('PV IN'!$F$4="PV Only",PVCalcs!Z154+PVCalcs!AA154,IF('PV IN'!$F$4="Battery Only",SUM(BattCalcs!BC154:BH154),PVCalcs!Z154+PVCalcs!AA154+SUM(BattCalcs!BC154:BH154)))</f>
        <v>0</v>
      </c>
      <c r="AW154" s="144">
        <f>IF('PV IN'!$F$4="PV Only",SUM(PVCalcs!AF154:AI154),IF('PV IN'!$F$4="Battery Only",SUM(BattCalcs!BL154:BY154),SUM(PVCalcs!AF154:AI154)+SUM(BattCalcs!BL154:BY154)))</f>
        <v>-1375</v>
      </c>
      <c r="AX154" s="144">
        <f>IF('PV IN'!$F$4="Battery Only",0,-PVLoan!F182)</f>
        <v>0</v>
      </c>
      <c r="AY154" s="144">
        <f>IF('PV IN'!$F$4="PV Only",0,-BattLoan!F182)</f>
        <v>0</v>
      </c>
      <c r="AZ154" s="144">
        <f>IF('PV IN'!$F$4="Battery Only",0,-PVLoan!H182)</f>
        <v>0</v>
      </c>
      <c r="BA154" s="144">
        <f>IF('PV IN'!$F$4="PV Only",0,-BattLoan!H182)</f>
        <v>0</v>
      </c>
    </row>
    <row r="155" spans="1:88" x14ac:dyDescent="0.25">
      <c r="A155">
        <f>IF(C155&lt;='PV IN'!$O$22*12,C155,"")</f>
        <v>151</v>
      </c>
      <c r="C155">
        <v>151</v>
      </c>
      <c r="D155" s="2">
        <f>BattCalcs!CK155+PVCalcs!AT155</f>
        <v>11829.484533016428</v>
      </c>
      <c r="E155" s="20">
        <f>PVCalcs!AV155</f>
        <v>612793.87701006304</v>
      </c>
      <c r="F155" s="20">
        <f>PVCalcs!AW155</f>
        <v>6402.2673754913994</v>
      </c>
      <c r="G155" s="20">
        <f>PVCalcs!AX155</f>
        <v>90374.419420236823</v>
      </c>
      <c r="H155" s="20">
        <f>BattCalcs!CM155</f>
        <v>0</v>
      </c>
      <c r="I155" s="20">
        <f>BattCalcs!CN155</f>
        <v>0</v>
      </c>
      <c r="J155" s="20">
        <f>IF(C155&lt;='Batt IN'!H$43*12,BattCalcs!CO155,NA())</f>
        <v>0</v>
      </c>
      <c r="L155" s="20">
        <f t="shared" si="313"/>
        <v>6402.2673754913994</v>
      </c>
      <c r="M155" s="20">
        <f>G155+BattCalcs!CO155</f>
        <v>90374.419420236823</v>
      </c>
      <c r="O155" s="10">
        <f>PVLoan!G183</f>
        <v>0</v>
      </c>
      <c r="P155" s="10">
        <f>PVLoan!J183</f>
        <v>0</v>
      </c>
      <c r="Q155" s="2" t="str">
        <f>BattLoan!G183</f>
        <v>-</v>
      </c>
      <c r="R155" s="10" t="str">
        <f>BattLoan!J183</f>
        <v>-</v>
      </c>
      <c r="T155" s="33">
        <f>IF('PV IN'!$F$4="Battery Only",0,PVCalcs!G155)</f>
        <v>137983.10469171696</v>
      </c>
      <c r="U155" s="33">
        <f>IF('PV IN'!$F$4="Battery Only",0,PVCalcs!M155)</f>
        <v>137983.10469171696</v>
      </c>
      <c r="V155" s="33">
        <f>PVCalcs!L155</f>
        <v>25811.765833333331</v>
      </c>
      <c r="W155" s="158">
        <f>PVCalcs!F155</f>
        <v>8.0603739109022604E-2</v>
      </c>
      <c r="X155" s="144">
        <f>IF('PV IN'!$F$4="Battery Only",0,PVCalcs!Y155+PVCalcs!Z155)</f>
        <v>1793.7803609923203</v>
      </c>
      <c r="Y155" s="144">
        <f>IF('PV IN'!$F$4="PV Only",0,BattCalcs!AX155+BattCalcs!BC155)</f>
        <v>0</v>
      </c>
      <c r="Z155" s="144">
        <f>IF('PV IN'!$F$4="PV Only",0,BattCalcs!AY155+BattCalcs!BD155)</f>
        <v>0</v>
      </c>
      <c r="AA155" s="144">
        <f>IF('PV IN'!$F$4="PV Only",0,BattCalcs!AZ155+BattCalcs!BE155)</f>
        <v>0</v>
      </c>
      <c r="AB155" s="144">
        <f>IF('PV IN'!$F$4="PV Only",0,BattCalcs!BA155+BattCalcs!BF155)</f>
        <v>0</v>
      </c>
      <c r="AC155" s="144">
        <f>IF('PV IN'!$F$4="PV Only",0,BattCalcs!BB155+BattCalcs!BG155)</f>
        <v>0</v>
      </c>
      <c r="AD155" s="144">
        <f>IF('PV IN'!$F$4="PV Only",0,BattCalcs!BU155)</f>
        <v>0</v>
      </c>
      <c r="AE155" s="144">
        <f>IF('PV IN'!$F$4="PV Only",PVCalcs!W155+PVCalcs!AA155,IF('PV IN'!$F$4="Battery Only",BattCalcs!AV155+BattCalcs!BH155,PVCalcs!W155+PVCalcs!AA155+BattCalcs!AV155+BattCalcs!BH155))</f>
        <v>0</v>
      </c>
      <c r="AF155" s="10">
        <f>PVCalcs!AC155+BattCalcs!BJ155</f>
        <v>0</v>
      </c>
      <c r="AG155" s="144">
        <f>IF('PV IN'!$F$4="Battery Only",0,PVCalcs!AG155)</f>
        <v>-750</v>
      </c>
      <c r="AH155" s="144">
        <f>IF('PV IN'!$F$4="Battery Only",0,PVCalcs!AI155)</f>
        <v>0</v>
      </c>
      <c r="AI155" s="144">
        <f>IF('PV IN'!$F$4="PV Only",0,BattCalcs!BM155)</f>
        <v>0</v>
      </c>
      <c r="AJ155" s="144">
        <f>IF('PV IN'!$F$4="PV Only",0,SUM(BattCalcs!BO155:BT155))</f>
        <v>0</v>
      </c>
      <c r="AK155" s="144">
        <f>IF('PV IN'!$F$4="PV Only",PVCalcs!AH155,IF('PV IN'!$F$4="Battery Only",BattCalcs!BN155,PVCalcs!AH155+BattCalcs!BN155))</f>
        <v>-625</v>
      </c>
      <c r="AL155" s="144">
        <f>IF('PV IN'!$F$4="PV Only",0,BattCalcs!BV155)</f>
        <v>0</v>
      </c>
      <c r="AM155" s="144">
        <f>IF('PV IN'!$F$4="PV Only",0,SUM(BattCalcs!BW155:BX155))</f>
        <v>0</v>
      </c>
      <c r="AN155" s="144">
        <f>IF('PV IN'!$F$4="PV Only",0,BattCalcs!BY155)</f>
        <v>0</v>
      </c>
      <c r="AO155" s="144">
        <f>IF('PV IN'!$F$4="Battery Only",0,PVCalcs!U155)</f>
        <v>11121.954172024107</v>
      </c>
      <c r="AP155" s="10">
        <f>IF('PV IN'!$F$4="PV Only",0,BattCalcs!AS155)</f>
        <v>0</v>
      </c>
      <c r="AQ155" s="10">
        <f>IF('PV IN'!$F$4="PV Only",0,BattCalcs!AT155)</f>
        <v>0</v>
      </c>
      <c r="AR155" s="10">
        <f>IF('PV IN'!$F$4="PV Only",0,BattCalcs!AU155)</f>
        <v>0</v>
      </c>
      <c r="AS155" s="144">
        <f>IF('PV IN'!$F$4="PV Only",PVCalcs!X155,IF('PV IN'!$F$4="Battery Only",BattCalcs!AW155,PVCalcs!X155+BattCalcs!AW155))</f>
        <v>0</v>
      </c>
      <c r="AT155" s="144">
        <f>IF('PV IN'!$F$4="Battery Only",0,-PVCalcs!AQ155*'PV IN'!$E$8)</f>
        <v>0</v>
      </c>
      <c r="AU155" s="144">
        <f>IF('PV IN'!$F$4="PV Only",0,-BattCalcs!CG155*'PV IN'!$E$8)</f>
        <v>0</v>
      </c>
      <c r="AV155" s="144">
        <f>IF('PV IN'!$F$4="PV Only",PVCalcs!Z155+PVCalcs!AA155,IF('PV IN'!$F$4="Battery Only",SUM(BattCalcs!BC155:BH155),PVCalcs!Z155+PVCalcs!AA155+SUM(BattCalcs!BC155:BH155)))</f>
        <v>0</v>
      </c>
      <c r="AW155" s="144">
        <f>IF('PV IN'!$F$4="PV Only",SUM(PVCalcs!AF155:AI155),IF('PV IN'!$F$4="Battery Only",SUM(BattCalcs!BL155:BY155),SUM(PVCalcs!AF155:AI155)+SUM(BattCalcs!BL155:BY155)))</f>
        <v>-1375</v>
      </c>
      <c r="AX155" s="144">
        <f>IF('PV IN'!$F$4="Battery Only",0,-PVLoan!F183)</f>
        <v>0</v>
      </c>
      <c r="AY155" s="144">
        <f>IF('PV IN'!$F$4="PV Only",0,-BattLoan!F183)</f>
        <v>0</v>
      </c>
      <c r="AZ155" s="144">
        <f>IF('PV IN'!$F$4="Battery Only",0,-PVLoan!H183)</f>
        <v>0</v>
      </c>
      <c r="BA155" s="144">
        <f>IF('PV IN'!$F$4="PV Only",0,-BattLoan!H183)</f>
        <v>0</v>
      </c>
    </row>
    <row r="156" spans="1:88" x14ac:dyDescent="0.25">
      <c r="A156">
        <f>IF(C156&lt;='PV IN'!$O$22*12,C156,"")</f>
        <v>152</v>
      </c>
      <c r="C156">
        <v>152</v>
      </c>
      <c r="D156" s="2">
        <f>BattCalcs!CK156+PVCalcs!AT156</f>
        <v>11820.874043327749</v>
      </c>
      <c r="E156" s="20">
        <f>PVCalcs!AV156</f>
        <v>624614.75105339079</v>
      </c>
      <c r="F156" s="20">
        <f>PVCalcs!AW156</f>
        <v>6371.648384811705</v>
      </c>
      <c r="G156" s="20">
        <f>PVCalcs!AX156</f>
        <v>96746.067805048529</v>
      </c>
      <c r="H156" s="20">
        <f>BattCalcs!CM156</f>
        <v>0</v>
      </c>
      <c r="I156" s="20">
        <f>BattCalcs!CN156</f>
        <v>0</v>
      </c>
      <c r="J156" s="20">
        <f>IF(C156&lt;='Batt IN'!H$43*12,BattCalcs!CO156,NA())</f>
        <v>0</v>
      </c>
      <c r="L156" s="20">
        <f t="shared" si="313"/>
        <v>6371.648384811705</v>
      </c>
      <c r="M156" s="20">
        <f>G156+BattCalcs!CO156</f>
        <v>96746.067805048529</v>
      </c>
      <c r="O156" s="10">
        <f>PVLoan!G184</f>
        <v>0</v>
      </c>
      <c r="P156" s="10">
        <f>PVLoan!J184</f>
        <v>0</v>
      </c>
      <c r="Q156" s="2" t="str">
        <f>BattLoan!G184</f>
        <v>-</v>
      </c>
      <c r="R156" s="10" t="str">
        <f>BattLoan!J184</f>
        <v>-</v>
      </c>
      <c r="T156" s="33">
        <f>IF('PV IN'!$F$4="Battery Only",0,PVCalcs!G156)</f>
        <v>137891.11595525581</v>
      </c>
      <c r="U156" s="33">
        <f>IF('PV IN'!$F$4="Battery Only",0,PVCalcs!M156)</f>
        <v>137891.11595525581</v>
      </c>
      <c r="V156" s="33">
        <f>PVCalcs!L156</f>
        <v>25811.765833333331</v>
      </c>
      <c r="W156" s="158">
        <f>PVCalcs!F156</f>
        <v>8.0603739109022604E-2</v>
      </c>
      <c r="X156" s="144">
        <f>IF('PV IN'!$F$4="Battery Only",0,PVCalcs!Y156+PVCalcs!Z156)</f>
        <v>1792.5845074183255</v>
      </c>
      <c r="Y156" s="144">
        <f>IF('PV IN'!$F$4="PV Only",0,BattCalcs!AX156+BattCalcs!BC156)</f>
        <v>0</v>
      </c>
      <c r="Z156" s="144">
        <f>IF('PV IN'!$F$4="PV Only",0,BattCalcs!AY156+BattCalcs!BD156)</f>
        <v>0</v>
      </c>
      <c r="AA156" s="144">
        <f>IF('PV IN'!$F$4="PV Only",0,BattCalcs!AZ156+BattCalcs!BE156)</f>
        <v>0</v>
      </c>
      <c r="AB156" s="144">
        <f>IF('PV IN'!$F$4="PV Only",0,BattCalcs!BA156+BattCalcs!BF156)</f>
        <v>0</v>
      </c>
      <c r="AC156" s="144">
        <f>IF('PV IN'!$F$4="PV Only",0,BattCalcs!BB156+BattCalcs!BG156)</f>
        <v>0</v>
      </c>
      <c r="AD156" s="144">
        <f>IF('PV IN'!$F$4="PV Only",0,BattCalcs!BU156)</f>
        <v>0</v>
      </c>
      <c r="AE156" s="144">
        <f>IF('PV IN'!$F$4="PV Only",PVCalcs!W156+PVCalcs!AA156,IF('PV IN'!$F$4="Battery Only",BattCalcs!AV156+BattCalcs!BH156,PVCalcs!W156+PVCalcs!AA156+BattCalcs!AV156+BattCalcs!BH156))</f>
        <v>0</v>
      </c>
      <c r="AF156" s="10">
        <f>PVCalcs!AC156+BattCalcs!BJ156</f>
        <v>0</v>
      </c>
      <c r="AG156" s="144">
        <f>IF('PV IN'!$F$4="Battery Only",0,PVCalcs!AG156)</f>
        <v>-750</v>
      </c>
      <c r="AH156" s="144">
        <f>IF('PV IN'!$F$4="Battery Only",0,PVCalcs!AI156)</f>
        <v>0</v>
      </c>
      <c r="AI156" s="144">
        <f>IF('PV IN'!$F$4="PV Only",0,BattCalcs!BM156)</f>
        <v>0</v>
      </c>
      <c r="AJ156" s="144">
        <f>IF('PV IN'!$F$4="PV Only",0,SUM(BattCalcs!BO156:BT156))</f>
        <v>0</v>
      </c>
      <c r="AK156" s="144">
        <f>IF('PV IN'!$F$4="PV Only",PVCalcs!AH156,IF('PV IN'!$F$4="Battery Only",BattCalcs!BN156,PVCalcs!AH156+BattCalcs!BN156))</f>
        <v>-625</v>
      </c>
      <c r="AL156" s="144">
        <f>IF('PV IN'!$F$4="PV Only",0,BattCalcs!BV156)</f>
        <v>0</v>
      </c>
      <c r="AM156" s="144">
        <f>IF('PV IN'!$F$4="PV Only",0,SUM(BattCalcs!BW156:BX156))</f>
        <v>0</v>
      </c>
      <c r="AN156" s="144">
        <f>IF('PV IN'!$F$4="PV Only",0,BattCalcs!BY156)</f>
        <v>0</v>
      </c>
      <c r="AO156" s="144">
        <f>IF('PV IN'!$F$4="Battery Only",0,PVCalcs!U156)</f>
        <v>11114.539535909424</v>
      </c>
      <c r="AP156" s="10">
        <f>IF('PV IN'!$F$4="PV Only",0,BattCalcs!AS156)</f>
        <v>0</v>
      </c>
      <c r="AQ156" s="10">
        <f>IF('PV IN'!$F$4="PV Only",0,BattCalcs!AT156)</f>
        <v>0</v>
      </c>
      <c r="AR156" s="10">
        <f>IF('PV IN'!$F$4="PV Only",0,BattCalcs!AU156)</f>
        <v>0</v>
      </c>
      <c r="AS156" s="144">
        <f>IF('PV IN'!$F$4="PV Only",PVCalcs!X156,IF('PV IN'!$F$4="Battery Only",BattCalcs!AW156,PVCalcs!X156+BattCalcs!AW156))</f>
        <v>0</v>
      </c>
      <c r="AT156" s="144">
        <f>IF('PV IN'!$F$4="Battery Only",0,-PVCalcs!AQ156*'PV IN'!$E$8)</f>
        <v>0</v>
      </c>
      <c r="AU156" s="144">
        <f>IF('PV IN'!$F$4="PV Only",0,-BattCalcs!CG156*'PV IN'!$E$8)</f>
        <v>0</v>
      </c>
      <c r="AV156" s="144">
        <f>IF('PV IN'!$F$4="PV Only",PVCalcs!Z156+PVCalcs!AA156,IF('PV IN'!$F$4="Battery Only",SUM(BattCalcs!BC156:BH156),PVCalcs!Z156+PVCalcs!AA156+SUM(BattCalcs!BC156:BH156)))</f>
        <v>0</v>
      </c>
      <c r="AW156" s="144">
        <f>IF('PV IN'!$F$4="PV Only",SUM(PVCalcs!AF156:AI156),IF('PV IN'!$F$4="Battery Only",SUM(BattCalcs!BL156:BY156),SUM(PVCalcs!AF156:AI156)+SUM(BattCalcs!BL156:BY156)))</f>
        <v>-1375</v>
      </c>
      <c r="AX156" s="144">
        <f>IF('PV IN'!$F$4="Battery Only",0,-PVLoan!F184)</f>
        <v>0</v>
      </c>
      <c r="AY156" s="144">
        <f>IF('PV IN'!$F$4="PV Only",0,-BattLoan!F184)</f>
        <v>0</v>
      </c>
      <c r="AZ156" s="144">
        <f>IF('PV IN'!$F$4="Battery Only",0,-PVLoan!H184)</f>
        <v>0</v>
      </c>
      <c r="BA156" s="144">
        <f>IF('PV IN'!$F$4="PV Only",0,-BattLoan!H184)</f>
        <v>0</v>
      </c>
    </row>
    <row r="157" spans="1:88" x14ac:dyDescent="0.25">
      <c r="A157">
        <f>IF(C157&lt;='PV IN'!$O$22*12,C157,"")</f>
        <v>153</v>
      </c>
      <c r="C157">
        <v>153</v>
      </c>
      <c r="D157" s="2">
        <f>BattCalcs!CK157+PVCalcs!AT157</f>
        <v>11812.269293965532</v>
      </c>
      <c r="E157" s="20">
        <f>PVCalcs!AV157</f>
        <v>636427.02034735633</v>
      </c>
      <c r="F157" s="20">
        <f>PVCalcs!AW157</f>
        <v>6341.1755471899742</v>
      </c>
      <c r="G157" s="20">
        <f>PVCalcs!AX157</f>
        <v>103087.2433522385</v>
      </c>
      <c r="H157" s="20">
        <f>BattCalcs!CM157</f>
        <v>0</v>
      </c>
      <c r="I157" s="20">
        <f>BattCalcs!CN157</f>
        <v>0</v>
      </c>
      <c r="J157" s="20">
        <f>IF(C157&lt;='Batt IN'!H$43*12,BattCalcs!CO157,NA())</f>
        <v>0</v>
      </c>
      <c r="L157" s="20">
        <f t="shared" si="313"/>
        <v>6341.1755471899742</v>
      </c>
      <c r="M157" s="20">
        <f>G157+BattCalcs!CO157</f>
        <v>103087.2433522385</v>
      </c>
      <c r="O157" s="10">
        <f>PVLoan!G185</f>
        <v>0</v>
      </c>
      <c r="P157" s="10">
        <f>PVLoan!J185</f>
        <v>0</v>
      </c>
      <c r="Q157" s="2" t="str">
        <f>BattLoan!G185</f>
        <v>-</v>
      </c>
      <c r="R157" s="10" t="str">
        <f>BattLoan!J185</f>
        <v>-</v>
      </c>
      <c r="T157" s="33">
        <f>IF('PV IN'!$F$4="Battery Only",0,PVCalcs!G157)</f>
        <v>137799.18854461898</v>
      </c>
      <c r="U157" s="33">
        <f>IF('PV IN'!$F$4="Battery Only",0,PVCalcs!M157)</f>
        <v>137799.18854461898</v>
      </c>
      <c r="V157" s="33">
        <f>PVCalcs!L157</f>
        <v>25811.765833333331</v>
      </c>
      <c r="W157" s="158">
        <f>PVCalcs!F157</f>
        <v>8.0603739109022604E-2</v>
      </c>
      <c r="X157" s="144">
        <f>IF('PV IN'!$F$4="Battery Only",0,PVCalcs!Y157+PVCalcs!Z157)</f>
        <v>1791.3894510800469</v>
      </c>
      <c r="Y157" s="144">
        <f>IF('PV IN'!$F$4="PV Only",0,BattCalcs!AX157+BattCalcs!BC157)</f>
        <v>0</v>
      </c>
      <c r="Z157" s="144">
        <f>IF('PV IN'!$F$4="PV Only",0,BattCalcs!AY157+BattCalcs!BD157)</f>
        <v>0</v>
      </c>
      <c r="AA157" s="144">
        <f>IF('PV IN'!$F$4="PV Only",0,BattCalcs!AZ157+BattCalcs!BE157)</f>
        <v>0</v>
      </c>
      <c r="AB157" s="144">
        <f>IF('PV IN'!$F$4="PV Only",0,BattCalcs!BA157+BattCalcs!BF157)</f>
        <v>0</v>
      </c>
      <c r="AC157" s="144">
        <f>IF('PV IN'!$F$4="PV Only",0,BattCalcs!BB157+BattCalcs!BG157)</f>
        <v>0</v>
      </c>
      <c r="AD157" s="144">
        <f>IF('PV IN'!$F$4="PV Only",0,BattCalcs!BU157)</f>
        <v>0</v>
      </c>
      <c r="AE157" s="144">
        <f>IF('PV IN'!$F$4="PV Only",PVCalcs!W157+PVCalcs!AA157,IF('PV IN'!$F$4="Battery Only",BattCalcs!AV157+BattCalcs!BH157,PVCalcs!W157+PVCalcs!AA157+BattCalcs!AV157+BattCalcs!BH157))</f>
        <v>0</v>
      </c>
      <c r="AF157" s="10">
        <f>PVCalcs!AC157+BattCalcs!BJ157</f>
        <v>0</v>
      </c>
      <c r="AG157" s="144">
        <f>IF('PV IN'!$F$4="Battery Only",0,PVCalcs!AG157)</f>
        <v>-750</v>
      </c>
      <c r="AH157" s="144">
        <f>IF('PV IN'!$F$4="Battery Only",0,PVCalcs!AI157)</f>
        <v>0</v>
      </c>
      <c r="AI157" s="144">
        <f>IF('PV IN'!$F$4="PV Only",0,BattCalcs!BM157)</f>
        <v>0</v>
      </c>
      <c r="AJ157" s="144">
        <f>IF('PV IN'!$F$4="PV Only",0,SUM(BattCalcs!BO157:BT157))</f>
        <v>0</v>
      </c>
      <c r="AK157" s="144">
        <f>IF('PV IN'!$F$4="PV Only",PVCalcs!AH157,IF('PV IN'!$F$4="Battery Only",BattCalcs!BN157,PVCalcs!AH157+BattCalcs!BN157))</f>
        <v>-625</v>
      </c>
      <c r="AL157" s="144">
        <f>IF('PV IN'!$F$4="PV Only",0,BattCalcs!BV157)</f>
        <v>0</v>
      </c>
      <c r="AM157" s="144">
        <f>IF('PV IN'!$F$4="PV Only",0,SUM(BattCalcs!BW157:BX157))</f>
        <v>0</v>
      </c>
      <c r="AN157" s="144">
        <f>IF('PV IN'!$F$4="PV Only",0,BattCalcs!BY157)</f>
        <v>0</v>
      </c>
      <c r="AO157" s="144">
        <f>IF('PV IN'!$F$4="Battery Only",0,PVCalcs!U157)</f>
        <v>11107.129842885484</v>
      </c>
      <c r="AP157" s="10">
        <f>IF('PV IN'!$F$4="PV Only",0,BattCalcs!AS157)</f>
        <v>0</v>
      </c>
      <c r="AQ157" s="10">
        <f>IF('PV IN'!$F$4="PV Only",0,BattCalcs!AT157)</f>
        <v>0</v>
      </c>
      <c r="AR157" s="10">
        <f>IF('PV IN'!$F$4="PV Only",0,BattCalcs!AU157)</f>
        <v>0</v>
      </c>
      <c r="AS157" s="144">
        <f>IF('PV IN'!$F$4="PV Only",PVCalcs!X157,IF('PV IN'!$F$4="Battery Only",BattCalcs!AW157,PVCalcs!X157+BattCalcs!AW157))</f>
        <v>0</v>
      </c>
      <c r="AT157" s="144">
        <f>IF('PV IN'!$F$4="Battery Only",0,-PVCalcs!AQ157*'PV IN'!$E$8)</f>
        <v>0</v>
      </c>
      <c r="AU157" s="144">
        <f>IF('PV IN'!$F$4="PV Only",0,-BattCalcs!CG157*'PV IN'!$E$8)</f>
        <v>0</v>
      </c>
      <c r="AV157" s="144">
        <f>IF('PV IN'!$F$4="PV Only",PVCalcs!Z157+PVCalcs!AA157,IF('PV IN'!$F$4="Battery Only",SUM(BattCalcs!BC157:BH157),PVCalcs!Z157+PVCalcs!AA157+SUM(BattCalcs!BC157:BH157)))</f>
        <v>0</v>
      </c>
      <c r="AW157" s="144">
        <f>IF('PV IN'!$F$4="PV Only",SUM(PVCalcs!AF157:AI157),IF('PV IN'!$F$4="Battery Only",SUM(BattCalcs!BL157:BY157),SUM(PVCalcs!AF157:AI157)+SUM(BattCalcs!BL157:BY157)))</f>
        <v>-1375</v>
      </c>
      <c r="AX157" s="144">
        <f>IF('PV IN'!$F$4="Battery Only",0,-PVLoan!F185)</f>
        <v>0</v>
      </c>
      <c r="AY157" s="144">
        <f>IF('PV IN'!$F$4="PV Only",0,-BattLoan!F185)</f>
        <v>0</v>
      </c>
      <c r="AZ157" s="144">
        <f>IF('PV IN'!$F$4="Battery Only",0,-PVLoan!H185)</f>
        <v>0</v>
      </c>
      <c r="BA157" s="144">
        <f>IF('PV IN'!$F$4="PV Only",0,-BattLoan!H185)</f>
        <v>0</v>
      </c>
    </row>
    <row r="158" spans="1:88" x14ac:dyDescent="0.25">
      <c r="A158">
        <f>IF(C158&lt;='PV IN'!$O$22*12,C158,"")</f>
        <v>154</v>
      </c>
      <c r="C158">
        <v>154</v>
      </c>
      <c r="D158" s="2">
        <f>BattCalcs!CK158+PVCalcs!AT158</f>
        <v>11803.670281102886</v>
      </c>
      <c r="E158" s="20">
        <f>PVCalcs!AV158</f>
        <v>648230.69062845921</v>
      </c>
      <c r="F158" s="20">
        <f>PVCalcs!AW158</f>
        <v>6310.8481661300657</v>
      </c>
      <c r="G158" s="20">
        <f>PVCalcs!AX158</f>
        <v>109398.09151836856</v>
      </c>
      <c r="H158" s="20">
        <f>BattCalcs!CM158</f>
        <v>0</v>
      </c>
      <c r="I158" s="20">
        <f>BattCalcs!CN158</f>
        <v>0</v>
      </c>
      <c r="J158" s="20">
        <f>IF(C158&lt;='Batt IN'!H$43*12,BattCalcs!CO158,NA())</f>
        <v>0</v>
      </c>
      <c r="L158" s="20">
        <f t="shared" si="313"/>
        <v>6310.8481661300657</v>
      </c>
      <c r="M158" s="20">
        <f>G158+BattCalcs!CO158</f>
        <v>109398.09151836856</v>
      </c>
      <c r="O158" s="10">
        <f>PVLoan!G186</f>
        <v>0</v>
      </c>
      <c r="P158" s="10">
        <f>PVLoan!J186</f>
        <v>0</v>
      </c>
      <c r="Q158" s="2" t="str">
        <f>BattLoan!G186</f>
        <v>-</v>
      </c>
      <c r="R158" s="10" t="str">
        <f>BattLoan!J186</f>
        <v>-</v>
      </c>
      <c r="T158" s="33">
        <f>IF('PV IN'!$F$4="Battery Only",0,PVCalcs!G158)</f>
        <v>137707.32241892256</v>
      </c>
      <c r="U158" s="33">
        <f>IF('PV IN'!$F$4="Battery Only",0,PVCalcs!M158)</f>
        <v>137707.32241892256</v>
      </c>
      <c r="V158" s="33">
        <f>PVCalcs!L158</f>
        <v>25811.765833333331</v>
      </c>
      <c r="W158" s="158">
        <f>PVCalcs!F158</f>
        <v>8.0603739109022604E-2</v>
      </c>
      <c r="X158" s="144">
        <f>IF('PV IN'!$F$4="Battery Only",0,PVCalcs!Y158+PVCalcs!Z158)</f>
        <v>1790.1951914459933</v>
      </c>
      <c r="Y158" s="144">
        <f>IF('PV IN'!$F$4="PV Only",0,BattCalcs!AX158+BattCalcs!BC158)</f>
        <v>0</v>
      </c>
      <c r="Z158" s="144">
        <f>IF('PV IN'!$F$4="PV Only",0,BattCalcs!AY158+BattCalcs!BD158)</f>
        <v>0</v>
      </c>
      <c r="AA158" s="144">
        <f>IF('PV IN'!$F$4="PV Only",0,BattCalcs!AZ158+BattCalcs!BE158)</f>
        <v>0</v>
      </c>
      <c r="AB158" s="144">
        <f>IF('PV IN'!$F$4="PV Only",0,BattCalcs!BA158+BattCalcs!BF158)</f>
        <v>0</v>
      </c>
      <c r="AC158" s="144">
        <f>IF('PV IN'!$F$4="PV Only",0,BattCalcs!BB158+BattCalcs!BG158)</f>
        <v>0</v>
      </c>
      <c r="AD158" s="144">
        <f>IF('PV IN'!$F$4="PV Only",0,BattCalcs!BU158)</f>
        <v>0</v>
      </c>
      <c r="AE158" s="144">
        <f>IF('PV IN'!$F$4="PV Only",PVCalcs!W158+PVCalcs!AA158,IF('PV IN'!$F$4="Battery Only",BattCalcs!AV158+BattCalcs!BH158,PVCalcs!W158+PVCalcs!AA158+BattCalcs!AV158+BattCalcs!BH158))</f>
        <v>0</v>
      </c>
      <c r="AF158" s="10">
        <f>PVCalcs!AC158+BattCalcs!BJ158</f>
        <v>0</v>
      </c>
      <c r="AG158" s="144">
        <f>IF('PV IN'!$F$4="Battery Only",0,PVCalcs!AG158)</f>
        <v>-750</v>
      </c>
      <c r="AH158" s="144">
        <f>IF('PV IN'!$F$4="Battery Only",0,PVCalcs!AI158)</f>
        <v>0</v>
      </c>
      <c r="AI158" s="144">
        <f>IF('PV IN'!$F$4="PV Only",0,BattCalcs!BM158)</f>
        <v>0</v>
      </c>
      <c r="AJ158" s="144">
        <f>IF('PV IN'!$F$4="PV Only",0,SUM(BattCalcs!BO158:BT158))</f>
        <v>0</v>
      </c>
      <c r="AK158" s="144">
        <f>IF('PV IN'!$F$4="PV Only",PVCalcs!AH158,IF('PV IN'!$F$4="Battery Only",BattCalcs!BN158,PVCalcs!AH158+BattCalcs!BN158))</f>
        <v>-625</v>
      </c>
      <c r="AL158" s="144">
        <f>IF('PV IN'!$F$4="PV Only",0,BattCalcs!BV158)</f>
        <v>0</v>
      </c>
      <c r="AM158" s="144">
        <f>IF('PV IN'!$F$4="PV Only",0,SUM(BattCalcs!BW158:BX158))</f>
        <v>0</v>
      </c>
      <c r="AN158" s="144">
        <f>IF('PV IN'!$F$4="PV Only",0,BattCalcs!BY158)</f>
        <v>0</v>
      </c>
      <c r="AO158" s="144">
        <f>IF('PV IN'!$F$4="Battery Only",0,PVCalcs!U158)</f>
        <v>11099.725089656893</v>
      </c>
      <c r="AP158" s="10">
        <f>IF('PV IN'!$F$4="PV Only",0,BattCalcs!AS158)</f>
        <v>0</v>
      </c>
      <c r="AQ158" s="10">
        <f>IF('PV IN'!$F$4="PV Only",0,BattCalcs!AT158)</f>
        <v>0</v>
      </c>
      <c r="AR158" s="10">
        <f>IF('PV IN'!$F$4="PV Only",0,BattCalcs!AU158)</f>
        <v>0</v>
      </c>
      <c r="AS158" s="144">
        <f>IF('PV IN'!$F$4="PV Only",PVCalcs!X158,IF('PV IN'!$F$4="Battery Only",BattCalcs!AW158,PVCalcs!X158+BattCalcs!AW158))</f>
        <v>0</v>
      </c>
      <c r="AT158" s="144">
        <f>IF('PV IN'!$F$4="Battery Only",0,-PVCalcs!AQ158*'PV IN'!$E$8)</f>
        <v>0</v>
      </c>
      <c r="AU158" s="144">
        <f>IF('PV IN'!$F$4="PV Only",0,-BattCalcs!CG158*'PV IN'!$E$8)</f>
        <v>0</v>
      </c>
      <c r="AV158" s="144">
        <f>IF('PV IN'!$F$4="PV Only",PVCalcs!Z158+PVCalcs!AA158,IF('PV IN'!$F$4="Battery Only",SUM(BattCalcs!BC158:BH158),PVCalcs!Z158+PVCalcs!AA158+SUM(BattCalcs!BC158:BH158)))</f>
        <v>0</v>
      </c>
      <c r="AW158" s="144">
        <f>IF('PV IN'!$F$4="PV Only",SUM(PVCalcs!AF158:AI158),IF('PV IN'!$F$4="Battery Only",SUM(BattCalcs!BL158:BY158),SUM(PVCalcs!AF158:AI158)+SUM(BattCalcs!BL158:BY158)))</f>
        <v>-1375</v>
      </c>
      <c r="AX158" s="144">
        <f>IF('PV IN'!$F$4="Battery Only",0,-PVLoan!F186)</f>
        <v>0</v>
      </c>
      <c r="AY158" s="144">
        <f>IF('PV IN'!$F$4="PV Only",0,-BattLoan!F186)</f>
        <v>0</v>
      </c>
      <c r="AZ158" s="144">
        <f>IF('PV IN'!$F$4="Battery Only",0,-PVLoan!H186)</f>
        <v>0</v>
      </c>
      <c r="BA158" s="144">
        <f>IF('PV IN'!$F$4="PV Only",0,-BattLoan!H186)</f>
        <v>0</v>
      </c>
    </row>
    <row r="159" spans="1:88" x14ac:dyDescent="0.25">
      <c r="A159">
        <f>IF(C159&lt;='PV IN'!$O$22*12,C159,"")</f>
        <v>155</v>
      </c>
      <c r="C159">
        <v>155</v>
      </c>
      <c r="D159" s="2">
        <f>BattCalcs!CK159+PVCalcs!AT159</f>
        <v>11795.077000915484</v>
      </c>
      <c r="E159" s="20">
        <f>PVCalcs!AV159</f>
        <v>660025.76762937475</v>
      </c>
      <c r="F159" s="20">
        <f>PVCalcs!AW159</f>
        <v>6280.6655484504618</v>
      </c>
      <c r="G159" s="20">
        <f>PVCalcs!AX159</f>
        <v>115678.75706681902</v>
      </c>
      <c r="H159" s="20">
        <f>BattCalcs!CM159</f>
        <v>0</v>
      </c>
      <c r="I159" s="20">
        <f>BattCalcs!CN159</f>
        <v>0</v>
      </c>
      <c r="J159" s="20">
        <f>IF(C159&lt;='Batt IN'!H$43*12,BattCalcs!CO159,NA())</f>
        <v>0</v>
      </c>
      <c r="L159" s="20">
        <f t="shared" si="313"/>
        <v>6280.6655484504618</v>
      </c>
      <c r="M159" s="20">
        <f>G159+BattCalcs!CO159</f>
        <v>115678.75706681902</v>
      </c>
      <c r="O159" s="10">
        <f>PVLoan!G187</f>
        <v>0</v>
      </c>
      <c r="P159" s="10">
        <f>PVLoan!J187</f>
        <v>0</v>
      </c>
      <c r="Q159" s="2" t="str">
        <f>BattLoan!G187</f>
        <v>-</v>
      </c>
      <c r="R159" s="10" t="str">
        <f>BattLoan!J187</f>
        <v>-</v>
      </c>
      <c r="T159" s="33">
        <f>IF('PV IN'!$F$4="Battery Only",0,PVCalcs!G159)</f>
        <v>137615.51753730993</v>
      </c>
      <c r="U159" s="33">
        <f>IF('PV IN'!$F$4="Battery Only",0,PVCalcs!M159)</f>
        <v>137615.51753730993</v>
      </c>
      <c r="V159" s="33">
        <f>PVCalcs!L159</f>
        <v>25811.765833333331</v>
      </c>
      <c r="W159" s="158">
        <f>PVCalcs!F159</f>
        <v>8.0603739109022604E-2</v>
      </c>
      <c r="X159" s="144">
        <f>IF('PV IN'!$F$4="Battery Only",0,PVCalcs!Y159+PVCalcs!Z159)</f>
        <v>1789.0017279850292</v>
      </c>
      <c r="Y159" s="144">
        <f>IF('PV IN'!$F$4="PV Only",0,BattCalcs!AX159+BattCalcs!BC159)</f>
        <v>0</v>
      </c>
      <c r="Z159" s="144">
        <f>IF('PV IN'!$F$4="PV Only",0,BattCalcs!AY159+BattCalcs!BD159)</f>
        <v>0</v>
      </c>
      <c r="AA159" s="144">
        <f>IF('PV IN'!$F$4="PV Only",0,BattCalcs!AZ159+BattCalcs!BE159)</f>
        <v>0</v>
      </c>
      <c r="AB159" s="144">
        <f>IF('PV IN'!$F$4="PV Only",0,BattCalcs!BA159+BattCalcs!BF159)</f>
        <v>0</v>
      </c>
      <c r="AC159" s="144">
        <f>IF('PV IN'!$F$4="PV Only",0,BattCalcs!BB159+BattCalcs!BG159)</f>
        <v>0</v>
      </c>
      <c r="AD159" s="144">
        <f>IF('PV IN'!$F$4="PV Only",0,BattCalcs!BU159)</f>
        <v>0</v>
      </c>
      <c r="AE159" s="144">
        <f>IF('PV IN'!$F$4="PV Only",PVCalcs!W159+PVCalcs!AA159,IF('PV IN'!$F$4="Battery Only",BattCalcs!AV159+BattCalcs!BH159,PVCalcs!W159+PVCalcs!AA159+BattCalcs!AV159+BattCalcs!BH159))</f>
        <v>0</v>
      </c>
      <c r="AF159" s="10">
        <f>PVCalcs!AC159+BattCalcs!BJ159</f>
        <v>0</v>
      </c>
      <c r="AG159" s="144">
        <f>IF('PV IN'!$F$4="Battery Only",0,PVCalcs!AG159)</f>
        <v>-750</v>
      </c>
      <c r="AH159" s="144">
        <f>IF('PV IN'!$F$4="Battery Only",0,PVCalcs!AI159)</f>
        <v>0</v>
      </c>
      <c r="AI159" s="144">
        <f>IF('PV IN'!$F$4="PV Only",0,BattCalcs!BM159)</f>
        <v>0</v>
      </c>
      <c r="AJ159" s="144">
        <f>IF('PV IN'!$F$4="PV Only",0,SUM(BattCalcs!BO159:BT159))</f>
        <v>0</v>
      </c>
      <c r="AK159" s="144">
        <f>IF('PV IN'!$F$4="PV Only",PVCalcs!AH159,IF('PV IN'!$F$4="Battery Only",BattCalcs!BN159,PVCalcs!AH159+BattCalcs!BN159))</f>
        <v>-625</v>
      </c>
      <c r="AL159" s="144">
        <f>IF('PV IN'!$F$4="PV Only",0,BattCalcs!BV159)</f>
        <v>0</v>
      </c>
      <c r="AM159" s="144">
        <f>IF('PV IN'!$F$4="PV Only",0,SUM(BattCalcs!BW159:BX159))</f>
        <v>0</v>
      </c>
      <c r="AN159" s="144">
        <f>IF('PV IN'!$F$4="PV Only",0,BattCalcs!BY159)</f>
        <v>0</v>
      </c>
      <c r="AO159" s="144">
        <f>IF('PV IN'!$F$4="Battery Only",0,PVCalcs!U159)</f>
        <v>11092.325272930455</v>
      </c>
      <c r="AP159" s="10">
        <f>IF('PV IN'!$F$4="PV Only",0,BattCalcs!AS159)</f>
        <v>0</v>
      </c>
      <c r="AQ159" s="10">
        <f>IF('PV IN'!$F$4="PV Only",0,BattCalcs!AT159)</f>
        <v>0</v>
      </c>
      <c r="AR159" s="10">
        <f>IF('PV IN'!$F$4="PV Only",0,BattCalcs!AU159)</f>
        <v>0</v>
      </c>
      <c r="AS159" s="144">
        <f>IF('PV IN'!$F$4="PV Only",PVCalcs!X159,IF('PV IN'!$F$4="Battery Only",BattCalcs!AW159,PVCalcs!X159+BattCalcs!AW159))</f>
        <v>0</v>
      </c>
      <c r="AT159" s="144">
        <f>IF('PV IN'!$F$4="Battery Only",0,-PVCalcs!AQ159*'PV IN'!$E$8)</f>
        <v>0</v>
      </c>
      <c r="AU159" s="144">
        <f>IF('PV IN'!$F$4="PV Only",0,-BattCalcs!CG159*'PV IN'!$E$8)</f>
        <v>0</v>
      </c>
      <c r="AV159" s="144">
        <f>IF('PV IN'!$F$4="PV Only",PVCalcs!Z159+PVCalcs!AA159,IF('PV IN'!$F$4="Battery Only",SUM(BattCalcs!BC159:BH159),PVCalcs!Z159+PVCalcs!AA159+SUM(BattCalcs!BC159:BH159)))</f>
        <v>0</v>
      </c>
      <c r="AW159" s="144">
        <f>IF('PV IN'!$F$4="PV Only",SUM(PVCalcs!AF159:AI159),IF('PV IN'!$F$4="Battery Only",SUM(BattCalcs!BL159:BY159),SUM(PVCalcs!AF159:AI159)+SUM(BattCalcs!BL159:BY159)))</f>
        <v>-1375</v>
      </c>
      <c r="AX159" s="144">
        <f>IF('PV IN'!$F$4="Battery Only",0,-PVLoan!F187)</f>
        <v>0</v>
      </c>
      <c r="AY159" s="144">
        <f>IF('PV IN'!$F$4="PV Only",0,-BattLoan!F187)</f>
        <v>0</v>
      </c>
      <c r="AZ159" s="144">
        <f>IF('PV IN'!$F$4="Battery Only",0,-PVLoan!H187)</f>
        <v>0</v>
      </c>
      <c r="BA159" s="144">
        <f>IF('PV IN'!$F$4="PV Only",0,-BattLoan!H187)</f>
        <v>0</v>
      </c>
    </row>
    <row r="160" spans="1:88" x14ac:dyDescent="0.25">
      <c r="A160">
        <f>IF(C160&lt;='PV IN'!$O$22*12,C160,"")</f>
        <v>156</v>
      </c>
      <c r="B160">
        <f>B148+1</f>
        <v>2038</v>
      </c>
      <c r="C160">
        <v>156</v>
      </c>
      <c r="D160" s="2">
        <f>BattCalcs!CK160+PVCalcs!AT160</f>
        <v>11786.489449581539</v>
      </c>
      <c r="E160" s="20">
        <f>PVCalcs!AV160</f>
        <v>671812.25707895635</v>
      </c>
      <c r="F160" s="20">
        <f>PVCalcs!AW160</f>
        <v>6250.6270042685082</v>
      </c>
      <c r="G160" s="20">
        <f>PVCalcs!AX160</f>
        <v>121929.38407108752</v>
      </c>
      <c r="H160" s="20">
        <f>BattCalcs!CM160</f>
        <v>0</v>
      </c>
      <c r="I160" s="20">
        <f>BattCalcs!CN160</f>
        <v>0</v>
      </c>
      <c r="J160" s="20">
        <f>IF(C160&lt;='Batt IN'!H$43*12,BattCalcs!CO160,NA())</f>
        <v>0</v>
      </c>
      <c r="L160" s="20">
        <f t="shared" si="313"/>
        <v>6250.6270042685082</v>
      </c>
      <c r="M160" s="20">
        <f>G160+BattCalcs!CO160</f>
        <v>121929.38407108752</v>
      </c>
      <c r="O160" s="10">
        <f>PVLoan!G188</f>
        <v>0</v>
      </c>
      <c r="P160" s="10">
        <f>PVLoan!J188</f>
        <v>0</v>
      </c>
      <c r="Q160" s="2" t="str">
        <f>BattLoan!G188</f>
        <v>-</v>
      </c>
      <c r="R160" s="10" t="str">
        <f>BattLoan!J188</f>
        <v>-</v>
      </c>
      <c r="T160" s="33">
        <f>IF('PV IN'!$F$4="Battery Only",0,PVCalcs!G160)</f>
        <v>137523.77385895172</v>
      </c>
      <c r="U160" s="33">
        <f>IF('PV IN'!$F$4="Battery Only",0,PVCalcs!M160)</f>
        <v>137523.77385895172</v>
      </c>
      <c r="V160" s="33">
        <f>PVCalcs!L160</f>
        <v>25811.765833333331</v>
      </c>
      <c r="W160" s="158">
        <f>PVCalcs!F160</f>
        <v>8.0603739109022604E-2</v>
      </c>
      <c r="X160" s="144">
        <f>IF('PV IN'!$F$4="Battery Only",0,PVCalcs!Y160+PVCalcs!Z160)</f>
        <v>1787.8090601663725</v>
      </c>
      <c r="Y160" s="144">
        <f>IF('PV IN'!$F$4="PV Only",0,BattCalcs!AX160+BattCalcs!BC160)</f>
        <v>0</v>
      </c>
      <c r="Z160" s="144">
        <f>IF('PV IN'!$F$4="PV Only",0,BattCalcs!AY160+BattCalcs!BD160)</f>
        <v>0</v>
      </c>
      <c r="AA160" s="144">
        <f>IF('PV IN'!$F$4="PV Only",0,BattCalcs!AZ160+BattCalcs!BE160)</f>
        <v>0</v>
      </c>
      <c r="AB160" s="144">
        <f>IF('PV IN'!$F$4="PV Only",0,BattCalcs!BA160+BattCalcs!BF160)</f>
        <v>0</v>
      </c>
      <c r="AC160" s="144">
        <f>IF('PV IN'!$F$4="PV Only",0,BattCalcs!BB160+BattCalcs!BG160)</f>
        <v>0</v>
      </c>
      <c r="AD160" s="144">
        <f>IF('PV IN'!$F$4="PV Only",0,BattCalcs!BU160)</f>
        <v>0</v>
      </c>
      <c r="AE160" s="144">
        <f>IF('PV IN'!$F$4="PV Only",PVCalcs!W160+PVCalcs!AA160,IF('PV IN'!$F$4="Battery Only",BattCalcs!AV160+BattCalcs!BH160,PVCalcs!W160+PVCalcs!AA160+BattCalcs!AV160+BattCalcs!BH160))</f>
        <v>0</v>
      </c>
      <c r="AF160" s="10">
        <f>PVCalcs!AC160+BattCalcs!BJ160</f>
        <v>0</v>
      </c>
      <c r="AG160" s="144">
        <f>IF('PV IN'!$F$4="Battery Only",0,PVCalcs!AG160)</f>
        <v>-750</v>
      </c>
      <c r="AH160" s="144">
        <f>IF('PV IN'!$F$4="Battery Only",0,PVCalcs!AI160)</f>
        <v>0</v>
      </c>
      <c r="AI160" s="144">
        <f>IF('PV IN'!$F$4="PV Only",0,BattCalcs!BM160)</f>
        <v>0</v>
      </c>
      <c r="AJ160" s="144">
        <f>IF('PV IN'!$F$4="PV Only",0,SUM(BattCalcs!BO160:BT160))</f>
        <v>0</v>
      </c>
      <c r="AK160" s="144">
        <f>IF('PV IN'!$F$4="PV Only",PVCalcs!AH160,IF('PV IN'!$F$4="Battery Only",BattCalcs!BN160,PVCalcs!AH160+BattCalcs!BN160))</f>
        <v>-625</v>
      </c>
      <c r="AL160" s="144">
        <f>IF('PV IN'!$F$4="PV Only",0,BattCalcs!BV160)</f>
        <v>0</v>
      </c>
      <c r="AM160" s="144">
        <f>IF('PV IN'!$F$4="PV Only",0,SUM(BattCalcs!BW160:BX160))</f>
        <v>0</v>
      </c>
      <c r="AN160" s="144">
        <f>IF('PV IN'!$F$4="PV Only",0,BattCalcs!BY160)</f>
        <v>0</v>
      </c>
      <c r="AO160" s="144">
        <f>IF('PV IN'!$F$4="Battery Only",0,PVCalcs!U160)</f>
        <v>11084.930389415167</v>
      </c>
      <c r="AP160" s="10">
        <f>IF('PV IN'!$F$4="PV Only",0,BattCalcs!AS160)</f>
        <v>0</v>
      </c>
      <c r="AQ160" s="10">
        <f>IF('PV IN'!$F$4="PV Only",0,BattCalcs!AT160)</f>
        <v>0</v>
      </c>
      <c r="AR160" s="10">
        <f>IF('PV IN'!$F$4="PV Only",0,BattCalcs!AU160)</f>
        <v>0</v>
      </c>
      <c r="AS160" s="144">
        <f>IF('PV IN'!$F$4="PV Only",PVCalcs!X160,IF('PV IN'!$F$4="Battery Only",BattCalcs!AW160,PVCalcs!X160+BattCalcs!AW160))</f>
        <v>0</v>
      </c>
      <c r="AT160" s="144">
        <f>IF('PV IN'!$F$4="Battery Only",0,-PVCalcs!AQ160*'PV IN'!$E$8)</f>
        <v>0</v>
      </c>
      <c r="AU160" s="144">
        <f>IF('PV IN'!$F$4="PV Only",0,-BattCalcs!CG160*'PV IN'!$E$8)</f>
        <v>0</v>
      </c>
      <c r="AV160" s="144">
        <f>IF('PV IN'!$F$4="PV Only",PVCalcs!Z160+PVCalcs!AA160,IF('PV IN'!$F$4="Battery Only",SUM(BattCalcs!BC160:BH160),PVCalcs!Z160+PVCalcs!AA160+SUM(BattCalcs!BC160:BH160)))</f>
        <v>0</v>
      </c>
      <c r="AW160" s="144">
        <f>IF('PV IN'!$F$4="PV Only",SUM(PVCalcs!AF160:AI160),IF('PV IN'!$F$4="Battery Only",SUM(BattCalcs!BL160:BY160),SUM(PVCalcs!AF160:AI160)+SUM(BattCalcs!BL160:BY160)))</f>
        <v>-1375</v>
      </c>
      <c r="AX160" s="144">
        <f>IF('PV IN'!$F$4="Battery Only",0,-PVLoan!F188)</f>
        <v>0</v>
      </c>
      <c r="AY160" s="144">
        <f>IF('PV IN'!$F$4="PV Only",0,-BattLoan!F188)</f>
        <v>0</v>
      </c>
      <c r="AZ160" s="144">
        <f>IF('PV IN'!$F$4="Battery Only",0,-PVLoan!H188)</f>
        <v>0</v>
      </c>
      <c r="BA160" s="144">
        <f>IF('PV IN'!$F$4="PV Only",0,-BattLoan!H188)</f>
        <v>0</v>
      </c>
      <c r="BC160" s="33">
        <f t="shared" ref="BC160" si="382">SUM(T149:T160)</f>
        <v>1656353.8540271693</v>
      </c>
      <c r="BD160" s="33">
        <f t="shared" ref="BD160" si="383">SUM(U149:U160)</f>
        <v>1656353.8540271693</v>
      </c>
      <c r="BE160" s="33">
        <f t="shared" ref="BE160" si="384">SUM(V149:V160)</f>
        <v>309741.19</v>
      </c>
      <c r="BF160" s="50">
        <f t="shared" ref="BF160" si="385">W160</f>
        <v>8.0603739109022604E-2</v>
      </c>
      <c r="BG160" s="2">
        <f t="shared" ref="BG160" si="386">SUM(X149:X160)</f>
        <v>21532.600102353197</v>
      </c>
      <c r="BH160" s="2">
        <f t="shared" ref="BH160" si="387">SUM(Y149:Y160)</f>
        <v>0</v>
      </c>
      <c r="BI160" s="2">
        <f t="shared" ref="BI160" si="388">SUM(Z149:Z160)</f>
        <v>0</v>
      </c>
      <c r="BJ160" s="2">
        <f t="shared" ref="BJ160" si="389">SUM(AA149:AA160)</f>
        <v>0</v>
      </c>
      <c r="BK160" s="2">
        <f t="shared" ref="BK160" si="390">SUM(AB149:AB160)</f>
        <v>0</v>
      </c>
      <c r="BL160" s="2">
        <f t="shared" ref="BL160" si="391">SUM(AC149:AC160)</f>
        <v>0</v>
      </c>
      <c r="BM160" s="2">
        <f t="shared" ref="BM160" si="392">SUM(AD149:AD160)</f>
        <v>0</v>
      </c>
      <c r="BN160" s="2">
        <f t="shared" ref="BN160" si="393">SUM(AE149:AE160)</f>
        <v>0</v>
      </c>
      <c r="BO160" s="2">
        <f t="shared" ref="BO160" si="394">SUM(AF149:AF160)</f>
        <v>0</v>
      </c>
      <c r="BP160" s="2">
        <f t="shared" ref="BP160" si="395">SUM(AG149:AG160)</f>
        <v>-9000</v>
      </c>
      <c r="BQ160" s="2">
        <f t="shared" ref="BQ160" si="396">SUM(AH149:AH160)</f>
        <v>0</v>
      </c>
      <c r="BR160" s="2">
        <f t="shared" ref="BR160" si="397">SUM(AI149:AI160)</f>
        <v>0</v>
      </c>
      <c r="BS160" s="2">
        <f t="shared" ref="BS160" si="398">SUM(AJ149:AJ160)</f>
        <v>0</v>
      </c>
      <c r="BT160" s="2">
        <f t="shared" ref="BT160" si="399">SUM(AK149:AK160)</f>
        <v>-7500</v>
      </c>
      <c r="BU160" s="2">
        <f t="shared" ref="BU160" si="400">SUM(AL149:AL160)</f>
        <v>0</v>
      </c>
      <c r="BV160" s="2">
        <f t="shared" ref="BV160" si="401">SUM(AM149:AM160)</f>
        <v>0</v>
      </c>
      <c r="BW160" s="2">
        <f t="shared" ref="BW160" si="402">SUM(AN149:AN160)</f>
        <v>0</v>
      </c>
      <c r="BX160" s="2">
        <f t="shared" ref="BX160" si="403">SUM(AO149:AO160)</f>
        <v>133508.31392223004</v>
      </c>
      <c r="BY160" s="2">
        <f t="shared" ref="BY160" si="404">SUM(AP149:AP160)</f>
        <v>0</v>
      </c>
      <c r="BZ160" s="2">
        <f t="shared" ref="BZ160" si="405">SUM(AQ149:AQ160)</f>
        <v>0</v>
      </c>
      <c r="CA160" s="2">
        <f t="shared" ref="CA160" si="406">SUM(AR149:AR160)</f>
        <v>0</v>
      </c>
      <c r="CB160" s="2">
        <f t="shared" ref="CB160" si="407">SUM(AS149:AS160)</f>
        <v>0</v>
      </c>
      <c r="CC160" s="2">
        <f t="shared" ref="CC160" si="408">SUM(AT149:AT160)</f>
        <v>0</v>
      </c>
      <c r="CD160" s="2">
        <f t="shared" ref="CD160" si="409">SUM(AU149:AU160)</f>
        <v>0</v>
      </c>
      <c r="CE160" s="2">
        <f t="shared" ref="CE160" si="410">SUM(AV149:AV160)</f>
        <v>0</v>
      </c>
      <c r="CF160" s="2">
        <f t="shared" ref="CF160" si="411">SUM(AW149:AW160)</f>
        <v>-16500</v>
      </c>
      <c r="CG160" s="2">
        <f t="shared" ref="CG160" si="412">SUM(AX149:AX160)</f>
        <v>0</v>
      </c>
      <c r="CH160" s="2">
        <f t="shared" ref="CH160" si="413">SUM(AY149:AY160)</f>
        <v>0</v>
      </c>
      <c r="CI160" s="2">
        <f t="shared" ref="CI160" si="414">SUM(AZ149:AZ160)</f>
        <v>0</v>
      </c>
      <c r="CJ160" s="2">
        <f t="shared" ref="CJ160" si="415">SUM(BA149:BA160)</f>
        <v>0</v>
      </c>
    </row>
    <row r="161" spans="1:88" x14ac:dyDescent="0.25">
      <c r="A161">
        <f>IF(C161&lt;='PV IN'!$O$22*12,C161,"")</f>
        <v>157</v>
      </c>
      <c r="C161">
        <v>157</v>
      </c>
      <c r="D161" s="2">
        <f>BattCalcs!CK161+PVCalcs!AT161</f>
        <v>11872.42433608861</v>
      </c>
      <c r="E161" s="20">
        <f>PVCalcs!AV161</f>
        <v>683684.68141504494</v>
      </c>
      <c r="F161" s="20">
        <f>PVCalcs!AW161</f>
        <v>6270.6526940685835</v>
      </c>
      <c r="G161" s="20">
        <f>PVCalcs!AX161</f>
        <v>128200.03676515611</v>
      </c>
      <c r="H161" s="20">
        <f>BattCalcs!CM161</f>
        <v>0</v>
      </c>
      <c r="I161" s="20">
        <f>BattCalcs!CN161</f>
        <v>0</v>
      </c>
      <c r="J161" s="20">
        <f>IF(C161&lt;='Batt IN'!H$43*12,BattCalcs!CO161,NA())</f>
        <v>0</v>
      </c>
      <c r="L161" s="20">
        <f t="shared" si="313"/>
        <v>6270.6526940685835</v>
      </c>
      <c r="M161" s="20">
        <f>G161+BattCalcs!CO161</f>
        <v>128200.03676515611</v>
      </c>
      <c r="O161" s="10">
        <f>PVLoan!G189</f>
        <v>0</v>
      </c>
      <c r="P161" s="10">
        <f>PVLoan!J189</f>
        <v>0</v>
      </c>
      <c r="Q161" s="2" t="str">
        <f>BattLoan!G189</f>
        <v>-</v>
      </c>
      <c r="R161" s="10" t="str">
        <f>BattLoan!J189</f>
        <v>-</v>
      </c>
      <c r="T161" s="33">
        <f>IF('PV IN'!$F$4="Battery Only",0,PVCalcs!G161)</f>
        <v>137432.09134304576</v>
      </c>
      <c r="U161" s="33">
        <f>IF('PV IN'!$F$4="Battery Only",0,PVCalcs!M161)</f>
        <v>137432.09134304576</v>
      </c>
      <c r="V161" s="33">
        <f>PVCalcs!L161</f>
        <v>25811.765833333331</v>
      </c>
      <c r="W161" s="158">
        <f>PVCalcs!F161</f>
        <v>8.1291473042801335E-2</v>
      </c>
      <c r="X161" s="144">
        <f>IF('PV IN'!$F$4="Battery Only",0,PVCalcs!Y161+PVCalcs!Z161)</f>
        <v>1786.6171874595948</v>
      </c>
      <c r="Y161" s="144">
        <f>IF('PV IN'!$F$4="PV Only",0,BattCalcs!AX161+BattCalcs!BC161)</f>
        <v>0</v>
      </c>
      <c r="Z161" s="144">
        <f>IF('PV IN'!$F$4="PV Only",0,BattCalcs!AY161+BattCalcs!BD161)</f>
        <v>0</v>
      </c>
      <c r="AA161" s="144">
        <f>IF('PV IN'!$F$4="PV Only",0,BattCalcs!AZ161+BattCalcs!BE161)</f>
        <v>0</v>
      </c>
      <c r="AB161" s="144">
        <f>IF('PV IN'!$F$4="PV Only",0,BattCalcs!BA161+BattCalcs!BF161)</f>
        <v>0</v>
      </c>
      <c r="AC161" s="144">
        <f>IF('PV IN'!$F$4="PV Only",0,BattCalcs!BB161+BattCalcs!BG161)</f>
        <v>0</v>
      </c>
      <c r="AD161" s="144">
        <f>IF('PV IN'!$F$4="PV Only",0,BattCalcs!BU161)</f>
        <v>0</v>
      </c>
      <c r="AE161" s="144">
        <f>IF('PV IN'!$F$4="PV Only",PVCalcs!W161+PVCalcs!AA161,IF('PV IN'!$F$4="Battery Only",BattCalcs!AV161+BattCalcs!BH161,PVCalcs!W161+PVCalcs!AA161+BattCalcs!AV161+BattCalcs!BH161))</f>
        <v>0</v>
      </c>
      <c r="AF161" s="10">
        <f>PVCalcs!AC161+BattCalcs!BJ161</f>
        <v>0</v>
      </c>
      <c r="AG161" s="144">
        <f>IF('PV IN'!$F$4="Battery Only",0,PVCalcs!AG161)</f>
        <v>-750</v>
      </c>
      <c r="AH161" s="144">
        <f>IF('PV IN'!$F$4="Battery Only",0,PVCalcs!AI161)</f>
        <v>0</v>
      </c>
      <c r="AI161" s="144">
        <f>IF('PV IN'!$F$4="PV Only",0,BattCalcs!BM161)</f>
        <v>0</v>
      </c>
      <c r="AJ161" s="144">
        <f>IF('PV IN'!$F$4="PV Only",0,SUM(BattCalcs!BO161:BT161))</f>
        <v>0</v>
      </c>
      <c r="AK161" s="144">
        <f>IF('PV IN'!$F$4="PV Only",PVCalcs!AH161,IF('PV IN'!$F$4="Battery Only",BattCalcs!BN161,PVCalcs!AH161+BattCalcs!BN161))</f>
        <v>-625</v>
      </c>
      <c r="AL161" s="144">
        <f>IF('PV IN'!$F$4="PV Only",0,BattCalcs!BV161)</f>
        <v>0</v>
      </c>
      <c r="AM161" s="144">
        <f>IF('PV IN'!$F$4="PV Only",0,SUM(BattCalcs!BW161:BX161))</f>
        <v>0</v>
      </c>
      <c r="AN161" s="144">
        <f>IF('PV IN'!$F$4="PV Only",0,BattCalcs!BY161)</f>
        <v>0</v>
      </c>
      <c r="AO161" s="144">
        <f>IF('PV IN'!$F$4="Battery Only",0,PVCalcs!U161)</f>
        <v>11172.057148629016</v>
      </c>
      <c r="AP161" s="10">
        <f>IF('PV IN'!$F$4="PV Only",0,BattCalcs!AS161)</f>
        <v>0</v>
      </c>
      <c r="AQ161" s="10">
        <f>IF('PV IN'!$F$4="PV Only",0,BattCalcs!AT161)</f>
        <v>0</v>
      </c>
      <c r="AR161" s="10">
        <f>IF('PV IN'!$F$4="PV Only",0,BattCalcs!AU161)</f>
        <v>0</v>
      </c>
      <c r="AS161" s="144">
        <f>IF('PV IN'!$F$4="PV Only",PVCalcs!X161,IF('PV IN'!$F$4="Battery Only",BattCalcs!AW161,PVCalcs!X161+BattCalcs!AW161))</f>
        <v>0</v>
      </c>
      <c r="AT161" s="144">
        <f>IF('PV IN'!$F$4="Battery Only",0,-PVCalcs!AQ161*'PV IN'!$E$8)</f>
        <v>0</v>
      </c>
      <c r="AU161" s="144">
        <f>IF('PV IN'!$F$4="PV Only",0,-BattCalcs!CG161*'PV IN'!$E$8)</f>
        <v>0</v>
      </c>
      <c r="AV161" s="144">
        <f>IF('PV IN'!$F$4="PV Only",PVCalcs!Z161+PVCalcs!AA161,IF('PV IN'!$F$4="Battery Only",SUM(BattCalcs!BC161:BH161),PVCalcs!Z161+PVCalcs!AA161+SUM(BattCalcs!BC161:BH161)))</f>
        <v>0</v>
      </c>
      <c r="AW161" s="144">
        <f>IF('PV IN'!$F$4="PV Only",SUM(PVCalcs!AF161:AI161),IF('PV IN'!$F$4="Battery Only",SUM(BattCalcs!BL161:BY161),SUM(PVCalcs!AF161:AI161)+SUM(BattCalcs!BL161:BY161)))</f>
        <v>-1375</v>
      </c>
      <c r="AX161" s="144">
        <f>IF('PV IN'!$F$4="Battery Only",0,-PVLoan!F189)</f>
        <v>0</v>
      </c>
      <c r="AY161" s="144">
        <f>IF('PV IN'!$F$4="PV Only",0,-BattLoan!F189)</f>
        <v>0</v>
      </c>
      <c r="AZ161" s="144">
        <f>IF('PV IN'!$F$4="Battery Only",0,-PVLoan!H189)</f>
        <v>0</v>
      </c>
      <c r="BA161" s="144">
        <f>IF('PV IN'!$F$4="PV Only",0,-BattLoan!H189)</f>
        <v>0</v>
      </c>
    </row>
    <row r="162" spans="1:88" x14ac:dyDescent="0.25">
      <c r="A162">
        <f>IF(C162&lt;='PV IN'!$O$22*12,C162,"")</f>
        <v>158</v>
      </c>
      <c r="C162">
        <v>158</v>
      </c>
      <c r="D162" s="2">
        <f>BattCalcs!CK162+PVCalcs!AT162</f>
        <v>11863.785219864549</v>
      </c>
      <c r="E162" s="20">
        <f>PVCalcs!AV162</f>
        <v>695548.46663490951</v>
      </c>
      <c r="F162" s="20">
        <f>PVCalcs!AW162</f>
        <v>6240.6645363631969</v>
      </c>
      <c r="G162" s="20">
        <f>PVCalcs!AX162</f>
        <v>134440.70130151929</v>
      </c>
      <c r="H162" s="20">
        <f>BattCalcs!CM162</f>
        <v>0</v>
      </c>
      <c r="I162" s="20">
        <f>BattCalcs!CN162</f>
        <v>0</v>
      </c>
      <c r="J162" s="20">
        <f>IF(C162&lt;='Batt IN'!H$43*12,BattCalcs!CO162,NA())</f>
        <v>0</v>
      </c>
      <c r="L162" s="20">
        <f t="shared" si="313"/>
        <v>6240.6645363631969</v>
      </c>
      <c r="M162" s="20">
        <f>G162+BattCalcs!CO162</f>
        <v>134440.70130151929</v>
      </c>
      <c r="O162" s="10">
        <f>PVLoan!G190</f>
        <v>0</v>
      </c>
      <c r="P162" s="10">
        <f>PVLoan!J190</f>
        <v>0</v>
      </c>
      <c r="Q162" s="2" t="str">
        <f>BattLoan!G190</f>
        <v>-</v>
      </c>
      <c r="R162" s="10" t="str">
        <f>BattLoan!J190</f>
        <v>-</v>
      </c>
      <c r="T162" s="33">
        <f>IF('PV IN'!$F$4="Battery Only",0,PVCalcs!G162)</f>
        <v>137340.46994881704</v>
      </c>
      <c r="U162" s="33">
        <f>IF('PV IN'!$F$4="Battery Only",0,PVCalcs!M162)</f>
        <v>137340.46994881704</v>
      </c>
      <c r="V162" s="33">
        <f>PVCalcs!L162</f>
        <v>25811.765833333331</v>
      </c>
      <c r="W162" s="158">
        <f>PVCalcs!F162</f>
        <v>8.1291473042801335E-2</v>
      </c>
      <c r="X162" s="144">
        <f>IF('PV IN'!$F$4="Battery Only",0,PVCalcs!Y162+PVCalcs!Z162)</f>
        <v>1785.4261093346215</v>
      </c>
      <c r="Y162" s="144">
        <f>IF('PV IN'!$F$4="PV Only",0,BattCalcs!AX162+BattCalcs!BC162)</f>
        <v>0</v>
      </c>
      <c r="Z162" s="144">
        <f>IF('PV IN'!$F$4="PV Only",0,BattCalcs!AY162+BattCalcs!BD162)</f>
        <v>0</v>
      </c>
      <c r="AA162" s="144">
        <f>IF('PV IN'!$F$4="PV Only",0,BattCalcs!AZ162+BattCalcs!BE162)</f>
        <v>0</v>
      </c>
      <c r="AB162" s="144">
        <f>IF('PV IN'!$F$4="PV Only",0,BattCalcs!BA162+BattCalcs!BF162)</f>
        <v>0</v>
      </c>
      <c r="AC162" s="144">
        <f>IF('PV IN'!$F$4="PV Only",0,BattCalcs!BB162+BattCalcs!BG162)</f>
        <v>0</v>
      </c>
      <c r="AD162" s="144">
        <f>IF('PV IN'!$F$4="PV Only",0,BattCalcs!BU162)</f>
        <v>0</v>
      </c>
      <c r="AE162" s="144">
        <f>IF('PV IN'!$F$4="PV Only",PVCalcs!W162+PVCalcs!AA162,IF('PV IN'!$F$4="Battery Only",BattCalcs!AV162+BattCalcs!BH162,PVCalcs!W162+PVCalcs!AA162+BattCalcs!AV162+BattCalcs!BH162))</f>
        <v>0</v>
      </c>
      <c r="AF162" s="10">
        <f>PVCalcs!AC162+BattCalcs!BJ162</f>
        <v>0</v>
      </c>
      <c r="AG162" s="144">
        <f>IF('PV IN'!$F$4="Battery Only",0,PVCalcs!AG162)</f>
        <v>-750</v>
      </c>
      <c r="AH162" s="144">
        <f>IF('PV IN'!$F$4="Battery Only",0,PVCalcs!AI162)</f>
        <v>0</v>
      </c>
      <c r="AI162" s="144">
        <f>IF('PV IN'!$F$4="PV Only",0,BattCalcs!BM162)</f>
        <v>0</v>
      </c>
      <c r="AJ162" s="144">
        <f>IF('PV IN'!$F$4="PV Only",0,SUM(BattCalcs!BO162:BT162))</f>
        <v>0</v>
      </c>
      <c r="AK162" s="144">
        <f>IF('PV IN'!$F$4="PV Only",PVCalcs!AH162,IF('PV IN'!$F$4="Battery Only",BattCalcs!BN162,PVCalcs!AH162+BattCalcs!BN162))</f>
        <v>-625</v>
      </c>
      <c r="AL162" s="144">
        <f>IF('PV IN'!$F$4="PV Only",0,BattCalcs!BV162)</f>
        <v>0</v>
      </c>
      <c r="AM162" s="144">
        <f>IF('PV IN'!$F$4="PV Only",0,SUM(BattCalcs!BW162:BX162))</f>
        <v>0</v>
      </c>
      <c r="AN162" s="144">
        <f>IF('PV IN'!$F$4="PV Only",0,BattCalcs!BY162)</f>
        <v>0</v>
      </c>
      <c r="AO162" s="144">
        <f>IF('PV IN'!$F$4="Battery Only",0,PVCalcs!U162)</f>
        <v>11164.609110529927</v>
      </c>
      <c r="AP162" s="10">
        <f>IF('PV IN'!$F$4="PV Only",0,BattCalcs!AS162)</f>
        <v>0</v>
      </c>
      <c r="AQ162" s="10">
        <f>IF('PV IN'!$F$4="PV Only",0,BattCalcs!AT162)</f>
        <v>0</v>
      </c>
      <c r="AR162" s="10">
        <f>IF('PV IN'!$F$4="PV Only",0,BattCalcs!AU162)</f>
        <v>0</v>
      </c>
      <c r="AS162" s="144">
        <f>IF('PV IN'!$F$4="PV Only",PVCalcs!X162,IF('PV IN'!$F$4="Battery Only",BattCalcs!AW162,PVCalcs!X162+BattCalcs!AW162))</f>
        <v>0</v>
      </c>
      <c r="AT162" s="144">
        <f>IF('PV IN'!$F$4="Battery Only",0,-PVCalcs!AQ162*'PV IN'!$E$8)</f>
        <v>0</v>
      </c>
      <c r="AU162" s="144">
        <f>IF('PV IN'!$F$4="PV Only",0,-BattCalcs!CG162*'PV IN'!$E$8)</f>
        <v>0</v>
      </c>
      <c r="AV162" s="144">
        <f>IF('PV IN'!$F$4="PV Only",PVCalcs!Z162+PVCalcs!AA162,IF('PV IN'!$F$4="Battery Only",SUM(BattCalcs!BC162:BH162),PVCalcs!Z162+PVCalcs!AA162+SUM(BattCalcs!BC162:BH162)))</f>
        <v>0</v>
      </c>
      <c r="AW162" s="144">
        <f>IF('PV IN'!$F$4="PV Only",SUM(PVCalcs!AF162:AI162),IF('PV IN'!$F$4="Battery Only",SUM(BattCalcs!BL162:BY162),SUM(PVCalcs!AF162:AI162)+SUM(BattCalcs!BL162:BY162)))</f>
        <v>-1375</v>
      </c>
      <c r="AX162" s="144">
        <f>IF('PV IN'!$F$4="Battery Only",0,-PVLoan!F190)</f>
        <v>0</v>
      </c>
      <c r="AY162" s="144">
        <f>IF('PV IN'!$F$4="PV Only",0,-BattLoan!F190)</f>
        <v>0</v>
      </c>
      <c r="AZ162" s="144">
        <f>IF('PV IN'!$F$4="Battery Only",0,-PVLoan!H190)</f>
        <v>0</v>
      </c>
      <c r="BA162" s="144">
        <f>IF('PV IN'!$F$4="PV Only",0,-BattLoan!H190)</f>
        <v>0</v>
      </c>
    </row>
    <row r="163" spans="1:88" x14ac:dyDescent="0.25">
      <c r="A163">
        <f>IF(C163&lt;='PV IN'!$O$22*12,C163,"")</f>
        <v>159</v>
      </c>
      <c r="C163">
        <v>159</v>
      </c>
      <c r="D163" s="2">
        <f>BattCalcs!CK163+PVCalcs!AT163</f>
        <v>11855.151863051307</v>
      </c>
      <c r="E163" s="20">
        <f>PVCalcs!AV163</f>
        <v>707403.61849796085</v>
      </c>
      <c r="F163" s="20">
        <f>PVCalcs!AW163</f>
        <v>6210.8195150334177</v>
      </c>
      <c r="G163" s="20">
        <f>PVCalcs!AX163</f>
        <v>140651.52081655271</v>
      </c>
      <c r="H163" s="20">
        <f>BattCalcs!CM163</f>
        <v>0</v>
      </c>
      <c r="I163" s="20">
        <f>BattCalcs!CN163</f>
        <v>0</v>
      </c>
      <c r="J163" s="20">
        <f>IF(C163&lt;='Batt IN'!H$43*12,BattCalcs!CO163,NA())</f>
        <v>0</v>
      </c>
      <c r="L163" s="20">
        <f t="shared" si="313"/>
        <v>6210.8195150334177</v>
      </c>
      <c r="M163" s="20">
        <f>G163+BattCalcs!CO163</f>
        <v>140651.52081655271</v>
      </c>
      <c r="O163" s="10">
        <f>PVLoan!G191</f>
        <v>0</v>
      </c>
      <c r="P163" s="10">
        <f>PVLoan!J191</f>
        <v>0</v>
      </c>
      <c r="Q163" s="2" t="str">
        <f>BattLoan!G191</f>
        <v>-</v>
      </c>
      <c r="R163" s="10" t="str">
        <f>BattLoan!J191</f>
        <v>-</v>
      </c>
      <c r="T163" s="33">
        <f>IF('PV IN'!$F$4="Battery Only",0,PVCalcs!G163)</f>
        <v>137248.90963551783</v>
      </c>
      <c r="U163" s="33">
        <f>IF('PV IN'!$F$4="Battery Only",0,PVCalcs!M163)</f>
        <v>137248.90963551783</v>
      </c>
      <c r="V163" s="33">
        <f>PVCalcs!L163</f>
        <v>25811.765833333331</v>
      </c>
      <c r="W163" s="158">
        <f>PVCalcs!F163</f>
        <v>8.1291473042801335E-2</v>
      </c>
      <c r="X163" s="144">
        <f>IF('PV IN'!$F$4="Battery Only",0,PVCalcs!Y163+PVCalcs!Z163)</f>
        <v>1784.2358252617319</v>
      </c>
      <c r="Y163" s="144">
        <f>IF('PV IN'!$F$4="PV Only",0,BattCalcs!AX163+BattCalcs!BC163)</f>
        <v>0</v>
      </c>
      <c r="Z163" s="144">
        <f>IF('PV IN'!$F$4="PV Only",0,BattCalcs!AY163+BattCalcs!BD163)</f>
        <v>0</v>
      </c>
      <c r="AA163" s="144">
        <f>IF('PV IN'!$F$4="PV Only",0,BattCalcs!AZ163+BattCalcs!BE163)</f>
        <v>0</v>
      </c>
      <c r="AB163" s="144">
        <f>IF('PV IN'!$F$4="PV Only",0,BattCalcs!BA163+BattCalcs!BF163)</f>
        <v>0</v>
      </c>
      <c r="AC163" s="144">
        <f>IF('PV IN'!$F$4="PV Only",0,BattCalcs!BB163+BattCalcs!BG163)</f>
        <v>0</v>
      </c>
      <c r="AD163" s="144">
        <f>IF('PV IN'!$F$4="PV Only",0,BattCalcs!BU163)</f>
        <v>0</v>
      </c>
      <c r="AE163" s="144">
        <f>IF('PV IN'!$F$4="PV Only",PVCalcs!W163+PVCalcs!AA163,IF('PV IN'!$F$4="Battery Only",BattCalcs!AV163+BattCalcs!BH163,PVCalcs!W163+PVCalcs!AA163+BattCalcs!AV163+BattCalcs!BH163))</f>
        <v>0</v>
      </c>
      <c r="AF163" s="10">
        <f>PVCalcs!AC163+BattCalcs!BJ163</f>
        <v>0</v>
      </c>
      <c r="AG163" s="144">
        <f>IF('PV IN'!$F$4="Battery Only",0,PVCalcs!AG163)</f>
        <v>-750</v>
      </c>
      <c r="AH163" s="144">
        <f>IF('PV IN'!$F$4="Battery Only",0,PVCalcs!AI163)</f>
        <v>0</v>
      </c>
      <c r="AI163" s="144">
        <f>IF('PV IN'!$F$4="PV Only",0,BattCalcs!BM163)</f>
        <v>0</v>
      </c>
      <c r="AJ163" s="144">
        <f>IF('PV IN'!$F$4="PV Only",0,SUM(BattCalcs!BO163:BT163))</f>
        <v>0</v>
      </c>
      <c r="AK163" s="144">
        <f>IF('PV IN'!$F$4="PV Only",PVCalcs!AH163,IF('PV IN'!$F$4="Battery Only",BattCalcs!BN163,PVCalcs!AH163+BattCalcs!BN163))</f>
        <v>-625</v>
      </c>
      <c r="AL163" s="144">
        <f>IF('PV IN'!$F$4="PV Only",0,BattCalcs!BV163)</f>
        <v>0</v>
      </c>
      <c r="AM163" s="144">
        <f>IF('PV IN'!$F$4="PV Only",0,SUM(BattCalcs!BW163:BX163))</f>
        <v>0</v>
      </c>
      <c r="AN163" s="144">
        <f>IF('PV IN'!$F$4="PV Only",0,BattCalcs!BY163)</f>
        <v>0</v>
      </c>
      <c r="AO163" s="144">
        <f>IF('PV IN'!$F$4="Battery Only",0,PVCalcs!U163)</f>
        <v>11157.166037789575</v>
      </c>
      <c r="AP163" s="10">
        <f>IF('PV IN'!$F$4="PV Only",0,BattCalcs!AS163)</f>
        <v>0</v>
      </c>
      <c r="AQ163" s="10">
        <f>IF('PV IN'!$F$4="PV Only",0,BattCalcs!AT163)</f>
        <v>0</v>
      </c>
      <c r="AR163" s="10">
        <f>IF('PV IN'!$F$4="PV Only",0,BattCalcs!AU163)</f>
        <v>0</v>
      </c>
      <c r="AS163" s="144">
        <f>IF('PV IN'!$F$4="PV Only",PVCalcs!X163,IF('PV IN'!$F$4="Battery Only",BattCalcs!AW163,PVCalcs!X163+BattCalcs!AW163))</f>
        <v>0</v>
      </c>
      <c r="AT163" s="144">
        <f>IF('PV IN'!$F$4="Battery Only",0,-PVCalcs!AQ163*'PV IN'!$E$8)</f>
        <v>0</v>
      </c>
      <c r="AU163" s="144">
        <f>IF('PV IN'!$F$4="PV Only",0,-BattCalcs!CG163*'PV IN'!$E$8)</f>
        <v>0</v>
      </c>
      <c r="AV163" s="144">
        <f>IF('PV IN'!$F$4="PV Only",PVCalcs!Z163+PVCalcs!AA163,IF('PV IN'!$F$4="Battery Only",SUM(BattCalcs!BC163:BH163),PVCalcs!Z163+PVCalcs!AA163+SUM(BattCalcs!BC163:BH163)))</f>
        <v>0</v>
      </c>
      <c r="AW163" s="144">
        <f>IF('PV IN'!$F$4="PV Only",SUM(PVCalcs!AF163:AI163),IF('PV IN'!$F$4="Battery Only",SUM(BattCalcs!BL163:BY163),SUM(PVCalcs!AF163:AI163)+SUM(BattCalcs!BL163:BY163)))</f>
        <v>-1375</v>
      </c>
      <c r="AX163" s="144">
        <f>IF('PV IN'!$F$4="Battery Only",0,-PVLoan!F191)</f>
        <v>0</v>
      </c>
      <c r="AY163" s="144">
        <f>IF('PV IN'!$F$4="PV Only",0,-BattLoan!F191)</f>
        <v>0</v>
      </c>
      <c r="AZ163" s="144">
        <f>IF('PV IN'!$F$4="Battery Only",0,-PVLoan!H191)</f>
        <v>0</v>
      </c>
      <c r="BA163" s="144">
        <f>IF('PV IN'!$F$4="PV Only",0,-BattLoan!H191)</f>
        <v>0</v>
      </c>
    </row>
    <row r="164" spans="1:88" x14ac:dyDescent="0.25">
      <c r="A164">
        <f>IF(C164&lt;='PV IN'!$O$22*12,C164,"")</f>
        <v>160</v>
      </c>
      <c r="C164">
        <v>160</v>
      </c>
      <c r="D164" s="2">
        <f>BattCalcs!CK164+PVCalcs!AT164</f>
        <v>11846.524261809274</v>
      </c>
      <c r="E164" s="20">
        <f>PVCalcs!AV164</f>
        <v>719250.14275977015</v>
      </c>
      <c r="F164" s="20">
        <f>PVCalcs!AW164</f>
        <v>6181.1169479814134</v>
      </c>
      <c r="G164" s="20">
        <f>PVCalcs!AX164</f>
        <v>146832.63776453413</v>
      </c>
      <c r="H164" s="20">
        <f>BattCalcs!CM164</f>
        <v>0</v>
      </c>
      <c r="I164" s="20">
        <f>BattCalcs!CN164</f>
        <v>0</v>
      </c>
      <c r="J164" s="20">
        <f>IF(C164&lt;='Batt IN'!H$43*12,BattCalcs!CO164,NA())</f>
        <v>0</v>
      </c>
      <c r="L164" s="20">
        <f t="shared" si="313"/>
        <v>6181.1169479814134</v>
      </c>
      <c r="M164" s="20">
        <f>G164+BattCalcs!CO164</f>
        <v>146832.63776453413</v>
      </c>
      <c r="O164" s="10">
        <f>PVLoan!G192</f>
        <v>0</v>
      </c>
      <c r="P164" s="10">
        <f>PVLoan!J192</f>
        <v>0</v>
      </c>
      <c r="Q164" s="2" t="str">
        <f>BattLoan!G192</f>
        <v>-</v>
      </c>
      <c r="R164" s="10" t="str">
        <f>BattLoan!J192</f>
        <v>-</v>
      </c>
      <c r="T164" s="33">
        <f>IF('PV IN'!$F$4="Battery Only",0,PVCalcs!G164)</f>
        <v>137157.4103624275</v>
      </c>
      <c r="U164" s="33">
        <f>IF('PV IN'!$F$4="Battery Only",0,PVCalcs!M164)</f>
        <v>137157.4103624275</v>
      </c>
      <c r="V164" s="33">
        <f>PVCalcs!L164</f>
        <v>25811.765833333331</v>
      </c>
      <c r="W164" s="158">
        <f>PVCalcs!F164</f>
        <v>8.1291473042801335E-2</v>
      </c>
      <c r="X164" s="144">
        <f>IF('PV IN'!$F$4="Battery Only",0,PVCalcs!Y164+PVCalcs!Z164)</f>
        <v>1783.0463347115574</v>
      </c>
      <c r="Y164" s="144">
        <f>IF('PV IN'!$F$4="PV Only",0,BattCalcs!AX164+BattCalcs!BC164)</f>
        <v>0</v>
      </c>
      <c r="Z164" s="144">
        <f>IF('PV IN'!$F$4="PV Only",0,BattCalcs!AY164+BattCalcs!BD164)</f>
        <v>0</v>
      </c>
      <c r="AA164" s="144">
        <f>IF('PV IN'!$F$4="PV Only",0,BattCalcs!AZ164+BattCalcs!BE164)</f>
        <v>0</v>
      </c>
      <c r="AB164" s="144">
        <f>IF('PV IN'!$F$4="PV Only",0,BattCalcs!BA164+BattCalcs!BF164)</f>
        <v>0</v>
      </c>
      <c r="AC164" s="144">
        <f>IF('PV IN'!$F$4="PV Only",0,BattCalcs!BB164+BattCalcs!BG164)</f>
        <v>0</v>
      </c>
      <c r="AD164" s="144">
        <f>IF('PV IN'!$F$4="PV Only",0,BattCalcs!BU164)</f>
        <v>0</v>
      </c>
      <c r="AE164" s="144">
        <f>IF('PV IN'!$F$4="PV Only",PVCalcs!W164+PVCalcs!AA164,IF('PV IN'!$F$4="Battery Only",BattCalcs!AV164+BattCalcs!BH164,PVCalcs!W164+PVCalcs!AA164+BattCalcs!AV164+BattCalcs!BH164))</f>
        <v>0</v>
      </c>
      <c r="AF164" s="10">
        <f>PVCalcs!AC164+BattCalcs!BJ164</f>
        <v>0</v>
      </c>
      <c r="AG164" s="144">
        <f>IF('PV IN'!$F$4="Battery Only",0,PVCalcs!AG164)</f>
        <v>-750</v>
      </c>
      <c r="AH164" s="144">
        <f>IF('PV IN'!$F$4="Battery Only",0,PVCalcs!AI164)</f>
        <v>0</v>
      </c>
      <c r="AI164" s="144">
        <f>IF('PV IN'!$F$4="PV Only",0,BattCalcs!BM164)</f>
        <v>0</v>
      </c>
      <c r="AJ164" s="144">
        <f>IF('PV IN'!$F$4="PV Only",0,SUM(BattCalcs!BO164:BT164))</f>
        <v>0</v>
      </c>
      <c r="AK164" s="144">
        <f>IF('PV IN'!$F$4="PV Only",PVCalcs!AH164,IF('PV IN'!$F$4="Battery Only",BattCalcs!BN164,PVCalcs!AH164+BattCalcs!BN164))</f>
        <v>-625</v>
      </c>
      <c r="AL164" s="144">
        <f>IF('PV IN'!$F$4="PV Only",0,BattCalcs!BV164)</f>
        <v>0</v>
      </c>
      <c r="AM164" s="144">
        <f>IF('PV IN'!$F$4="PV Only",0,SUM(BattCalcs!BW164:BX164))</f>
        <v>0</v>
      </c>
      <c r="AN164" s="144">
        <f>IF('PV IN'!$F$4="PV Only",0,BattCalcs!BY164)</f>
        <v>0</v>
      </c>
      <c r="AO164" s="144">
        <f>IF('PV IN'!$F$4="Battery Only",0,PVCalcs!U164)</f>
        <v>11149.727927097716</v>
      </c>
      <c r="AP164" s="10">
        <f>IF('PV IN'!$F$4="PV Only",0,BattCalcs!AS164)</f>
        <v>0</v>
      </c>
      <c r="AQ164" s="10">
        <f>IF('PV IN'!$F$4="PV Only",0,BattCalcs!AT164)</f>
        <v>0</v>
      </c>
      <c r="AR164" s="10">
        <f>IF('PV IN'!$F$4="PV Only",0,BattCalcs!AU164)</f>
        <v>0</v>
      </c>
      <c r="AS164" s="144">
        <f>IF('PV IN'!$F$4="PV Only",PVCalcs!X164,IF('PV IN'!$F$4="Battery Only",BattCalcs!AW164,PVCalcs!X164+BattCalcs!AW164))</f>
        <v>0</v>
      </c>
      <c r="AT164" s="144">
        <f>IF('PV IN'!$F$4="Battery Only",0,-PVCalcs!AQ164*'PV IN'!$E$8)</f>
        <v>0</v>
      </c>
      <c r="AU164" s="144">
        <f>IF('PV IN'!$F$4="PV Only",0,-BattCalcs!CG164*'PV IN'!$E$8)</f>
        <v>0</v>
      </c>
      <c r="AV164" s="144">
        <f>IF('PV IN'!$F$4="PV Only",PVCalcs!Z164+PVCalcs!AA164,IF('PV IN'!$F$4="Battery Only",SUM(BattCalcs!BC164:BH164),PVCalcs!Z164+PVCalcs!AA164+SUM(BattCalcs!BC164:BH164)))</f>
        <v>0</v>
      </c>
      <c r="AW164" s="144">
        <f>IF('PV IN'!$F$4="PV Only",SUM(PVCalcs!AF164:AI164),IF('PV IN'!$F$4="Battery Only",SUM(BattCalcs!BL164:BY164),SUM(PVCalcs!AF164:AI164)+SUM(BattCalcs!BL164:BY164)))</f>
        <v>-1375</v>
      </c>
      <c r="AX164" s="144">
        <f>IF('PV IN'!$F$4="Battery Only",0,-PVLoan!F192)</f>
        <v>0</v>
      </c>
      <c r="AY164" s="144">
        <f>IF('PV IN'!$F$4="PV Only",0,-BattLoan!F192)</f>
        <v>0</v>
      </c>
      <c r="AZ164" s="144">
        <f>IF('PV IN'!$F$4="Battery Only",0,-PVLoan!H192)</f>
        <v>0</v>
      </c>
      <c r="BA164" s="144">
        <f>IF('PV IN'!$F$4="PV Only",0,-BattLoan!H192)</f>
        <v>0</v>
      </c>
    </row>
    <row r="165" spans="1:88" x14ac:dyDescent="0.25">
      <c r="A165">
        <f>IF(C165&lt;='PV IN'!$O$22*12,C165,"")</f>
        <v>161</v>
      </c>
      <c r="C165">
        <v>161</v>
      </c>
      <c r="D165" s="2">
        <f>BattCalcs!CK165+PVCalcs!AT165</f>
        <v>11837.902412301397</v>
      </c>
      <c r="E165" s="20">
        <f>PVCalcs!AV165</f>
        <v>731088.04517207155</v>
      </c>
      <c r="F165" s="20">
        <f>PVCalcs!AW165</f>
        <v>6151.5561563553629</v>
      </c>
      <c r="G165" s="20">
        <f>PVCalcs!AX165</f>
        <v>152984.19392088949</v>
      </c>
      <c r="H165" s="20">
        <f>BattCalcs!CM165</f>
        <v>0</v>
      </c>
      <c r="I165" s="20">
        <f>BattCalcs!CN165</f>
        <v>0</v>
      </c>
      <c r="J165" s="20">
        <f>IF(C165&lt;='Batt IN'!H$43*12,BattCalcs!CO165,NA())</f>
        <v>0</v>
      </c>
      <c r="L165" s="20">
        <f t="shared" si="313"/>
        <v>6151.5561563553629</v>
      </c>
      <c r="M165" s="20">
        <f>G165+BattCalcs!CO165</f>
        <v>152984.19392088949</v>
      </c>
      <c r="O165" s="10">
        <f>PVLoan!G193</f>
        <v>0</v>
      </c>
      <c r="P165" s="10">
        <f>PVLoan!J193</f>
        <v>0</v>
      </c>
      <c r="Q165" s="2" t="str">
        <f>BattLoan!G193</f>
        <v>-</v>
      </c>
      <c r="R165" s="10" t="str">
        <f>BattLoan!J193</f>
        <v>-</v>
      </c>
      <c r="T165" s="33">
        <f>IF('PV IN'!$F$4="Battery Only",0,PVCalcs!G165)</f>
        <v>137065.97208885252</v>
      </c>
      <c r="U165" s="33">
        <f>IF('PV IN'!$F$4="Battery Only",0,PVCalcs!M165)</f>
        <v>137065.97208885252</v>
      </c>
      <c r="V165" s="33">
        <f>PVCalcs!L165</f>
        <v>25811.765833333331</v>
      </c>
      <c r="W165" s="158">
        <f>PVCalcs!F165</f>
        <v>8.1291473042801335E-2</v>
      </c>
      <c r="X165" s="144">
        <f>IF('PV IN'!$F$4="Battery Only",0,PVCalcs!Y165+PVCalcs!Z165)</f>
        <v>1781.8576371550828</v>
      </c>
      <c r="Y165" s="144">
        <f>IF('PV IN'!$F$4="PV Only",0,BattCalcs!AX165+BattCalcs!BC165)</f>
        <v>0</v>
      </c>
      <c r="Z165" s="144">
        <f>IF('PV IN'!$F$4="PV Only",0,BattCalcs!AY165+BattCalcs!BD165)</f>
        <v>0</v>
      </c>
      <c r="AA165" s="144">
        <f>IF('PV IN'!$F$4="PV Only",0,BattCalcs!AZ165+BattCalcs!BE165)</f>
        <v>0</v>
      </c>
      <c r="AB165" s="144">
        <f>IF('PV IN'!$F$4="PV Only",0,BattCalcs!BA165+BattCalcs!BF165)</f>
        <v>0</v>
      </c>
      <c r="AC165" s="144">
        <f>IF('PV IN'!$F$4="PV Only",0,BattCalcs!BB165+BattCalcs!BG165)</f>
        <v>0</v>
      </c>
      <c r="AD165" s="144">
        <f>IF('PV IN'!$F$4="PV Only",0,BattCalcs!BU165)</f>
        <v>0</v>
      </c>
      <c r="AE165" s="144">
        <f>IF('PV IN'!$F$4="PV Only",PVCalcs!W165+PVCalcs!AA165,IF('PV IN'!$F$4="Battery Only",BattCalcs!AV165+BattCalcs!BH165,PVCalcs!W165+PVCalcs!AA165+BattCalcs!AV165+BattCalcs!BH165))</f>
        <v>0</v>
      </c>
      <c r="AF165" s="10">
        <f>PVCalcs!AC165+BattCalcs!BJ165</f>
        <v>0</v>
      </c>
      <c r="AG165" s="144">
        <f>IF('PV IN'!$F$4="Battery Only",0,PVCalcs!AG165)</f>
        <v>-750</v>
      </c>
      <c r="AH165" s="144">
        <f>IF('PV IN'!$F$4="Battery Only",0,PVCalcs!AI165)</f>
        <v>0</v>
      </c>
      <c r="AI165" s="144">
        <f>IF('PV IN'!$F$4="PV Only",0,BattCalcs!BM165)</f>
        <v>0</v>
      </c>
      <c r="AJ165" s="144">
        <f>IF('PV IN'!$F$4="PV Only",0,SUM(BattCalcs!BO165:BT165))</f>
        <v>0</v>
      </c>
      <c r="AK165" s="144">
        <f>IF('PV IN'!$F$4="PV Only",PVCalcs!AH165,IF('PV IN'!$F$4="Battery Only",BattCalcs!BN165,PVCalcs!AH165+BattCalcs!BN165))</f>
        <v>-625</v>
      </c>
      <c r="AL165" s="144">
        <f>IF('PV IN'!$F$4="PV Only",0,BattCalcs!BV165)</f>
        <v>0</v>
      </c>
      <c r="AM165" s="144">
        <f>IF('PV IN'!$F$4="PV Only",0,SUM(BattCalcs!BW165:BX165))</f>
        <v>0</v>
      </c>
      <c r="AN165" s="144">
        <f>IF('PV IN'!$F$4="PV Only",0,BattCalcs!BY165)</f>
        <v>0</v>
      </c>
      <c r="AO165" s="144">
        <f>IF('PV IN'!$F$4="Battery Only",0,PVCalcs!U165)</f>
        <v>11142.294775146314</v>
      </c>
      <c r="AP165" s="10">
        <f>IF('PV IN'!$F$4="PV Only",0,BattCalcs!AS165)</f>
        <v>0</v>
      </c>
      <c r="AQ165" s="10">
        <f>IF('PV IN'!$F$4="PV Only",0,BattCalcs!AT165)</f>
        <v>0</v>
      </c>
      <c r="AR165" s="10">
        <f>IF('PV IN'!$F$4="PV Only",0,BattCalcs!AU165)</f>
        <v>0</v>
      </c>
      <c r="AS165" s="144">
        <f>IF('PV IN'!$F$4="PV Only",PVCalcs!X165,IF('PV IN'!$F$4="Battery Only",BattCalcs!AW165,PVCalcs!X165+BattCalcs!AW165))</f>
        <v>0</v>
      </c>
      <c r="AT165" s="144">
        <f>IF('PV IN'!$F$4="Battery Only",0,-PVCalcs!AQ165*'PV IN'!$E$8)</f>
        <v>0</v>
      </c>
      <c r="AU165" s="144">
        <f>IF('PV IN'!$F$4="PV Only",0,-BattCalcs!CG165*'PV IN'!$E$8)</f>
        <v>0</v>
      </c>
      <c r="AV165" s="144">
        <f>IF('PV IN'!$F$4="PV Only",PVCalcs!Z165+PVCalcs!AA165,IF('PV IN'!$F$4="Battery Only",SUM(BattCalcs!BC165:BH165),PVCalcs!Z165+PVCalcs!AA165+SUM(BattCalcs!BC165:BH165)))</f>
        <v>0</v>
      </c>
      <c r="AW165" s="144">
        <f>IF('PV IN'!$F$4="PV Only",SUM(PVCalcs!AF165:AI165),IF('PV IN'!$F$4="Battery Only",SUM(BattCalcs!BL165:BY165),SUM(PVCalcs!AF165:AI165)+SUM(BattCalcs!BL165:BY165)))</f>
        <v>-1375</v>
      </c>
      <c r="AX165" s="144">
        <f>IF('PV IN'!$F$4="Battery Only",0,-PVLoan!F193)</f>
        <v>0</v>
      </c>
      <c r="AY165" s="144">
        <f>IF('PV IN'!$F$4="PV Only",0,-BattLoan!F193)</f>
        <v>0</v>
      </c>
      <c r="AZ165" s="144">
        <f>IF('PV IN'!$F$4="Battery Only",0,-PVLoan!H193)</f>
        <v>0</v>
      </c>
      <c r="BA165" s="144">
        <f>IF('PV IN'!$F$4="PV Only",0,-BattLoan!H193)</f>
        <v>0</v>
      </c>
    </row>
    <row r="166" spans="1:88" x14ac:dyDescent="0.25">
      <c r="A166">
        <f>IF(C166&lt;='PV IN'!$O$22*12,C166,"")</f>
        <v>162</v>
      </c>
      <c r="C166">
        <v>162</v>
      </c>
      <c r="D166" s="2">
        <f>BattCalcs!CK166+PVCalcs!AT166</f>
        <v>11829.286310693198</v>
      </c>
      <c r="E166" s="20">
        <f>PVCalcs!AV166</f>
        <v>742917.3314827648</v>
      </c>
      <c r="F166" s="20">
        <f>PVCalcs!AW166</f>
        <v>6122.1364645340309</v>
      </c>
      <c r="G166" s="20">
        <f>PVCalcs!AX166</f>
        <v>159106.33038542353</v>
      </c>
      <c r="H166" s="20">
        <f>BattCalcs!CM166</f>
        <v>0</v>
      </c>
      <c r="I166" s="20">
        <f>BattCalcs!CN166</f>
        <v>0</v>
      </c>
      <c r="J166" s="20">
        <f>IF(C166&lt;='Batt IN'!H$43*12,BattCalcs!CO166,NA())</f>
        <v>0</v>
      </c>
      <c r="L166" s="20">
        <f t="shared" si="313"/>
        <v>6122.1364645340309</v>
      </c>
      <c r="M166" s="20">
        <f>G166+BattCalcs!CO166</f>
        <v>159106.33038542353</v>
      </c>
      <c r="O166" s="10">
        <f>PVLoan!G194</f>
        <v>0</v>
      </c>
      <c r="P166" s="10">
        <f>PVLoan!J194</f>
        <v>0</v>
      </c>
      <c r="Q166" s="2" t="str">
        <f>BattLoan!G194</f>
        <v>-</v>
      </c>
      <c r="R166" s="10" t="str">
        <f>BattLoan!J194</f>
        <v>-</v>
      </c>
      <c r="T166" s="33">
        <f>IF('PV IN'!$F$4="Battery Only",0,PVCalcs!G166)</f>
        <v>136974.59477412663</v>
      </c>
      <c r="U166" s="33">
        <f>IF('PV IN'!$F$4="Battery Only",0,PVCalcs!M166)</f>
        <v>136974.59477412663</v>
      </c>
      <c r="V166" s="33">
        <f>PVCalcs!L166</f>
        <v>25811.765833333331</v>
      </c>
      <c r="W166" s="158">
        <f>PVCalcs!F166</f>
        <v>8.1291473042801335E-2</v>
      </c>
      <c r="X166" s="144">
        <f>IF('PV IN'!$F$4="Battery Only",0,PVCalcs!Y166+PVCalcs!Z166)</f>
        <v>1780.6697320636463</v>
      </c>
      <c r="Y166" s="144">
        <f>IF('PV IN'!$F$4="PV Only",0,BattCalcs!AX166+BattCalcs!BC166)</f>
        <v>0</v>
      </c>
      <c r="Z166" s="144">
        <f>IF('PV IN'!$F$4="PV Only",0,BattCalcs!AY166+BattCalcs!BD166)</f>
        <v>0</v>
      </c>
      <c r="AA166" s="144">
        <f>IF('PV IN'!$F$4="PV Only",0,BattCalcs!AZ166+BattCalcs!BE166)</f>
        <v>0</v>
      </c>
      <c r="AB166" s="144">
        <f>IF('PV IN'!$F$4="PV Only",0,BattCalcs!BA166+BattCalcs!BF166)</f>
        <v>0</v>
      </c>
      <c r="AC166" s="144">
        <f>IF('PV IN'!$F$4="PV Only",0,BattCalcs!BB166+BattCalcs!BG166)</f>
        <v>0</v>
      </c>
      <c r="AD166" s="144">
        <f>IF('PV IN'!$F$4="PV Only",0,BattCalcs!BU166)</f>
        <v>0</v>
      </c>
      <c r="AE166" s="144">
        <f>IF('PV IN'!$F$4="PV Only",PVCalcs!W166+PVCalcs!AA166,IF('PV IN'!$F$4="Battery Only",BattCalcs!AV166+BattCalcs!BH166,PVCalcs!W166+PVCalcs!AA166+BattCalcs!AV166+BattCalcs!BH166))</f>
        <v>0</v>
      </c>
      <c r="AF166" s="10">
        <f>PVCalcs!AC166+BattCalcs!BJ166</f>
        <v>0</v>
      </c>
      <c r="AG166" s="144">
        <f>IF('PV IN'!$F$4="Battery Only",0,PVCalcs!AG166)</f>
        <v>-750</v>
      </c>
      <c r="AH166" s="144">
        <f>IF('PV IN'!$F$4="Battery Only",0,PVCalcs!AI166)</f>
        <v>0</v>
      </c>
      <c r="AI166" s="144">
        <f>IF('PV IN'!$F$4="PV Only",0,BattCalcs!BM166)</f>
        <v>0</v>
      </c>
      <c r="AJ166" s="144">
        <f>IF('PV IN'!$F$4="PV Only",0,SUM(BattCalcs!BO166:BT166))</f>
        <v>0</v>
      </c>
      <c r="AK166" s="144">
        <f>IF('PV IN'!$F$4="PV Only",PVCalcs!AH166,IF('PV IN'!$F$4="Battery Only",BattCalcs!BN166,PVCalcs!AH166+BattCalcs!BN166))</f>
        <v>-625</v>
      </c>
      <c r="AL166" s="144">
        <f>IF('PV IN'!$F$4="PV Only",0,BattCalcs!BV166)</f>
        <v>0</v>
      </c>
      <c r="AM166" s="144">
        <f>IF('PV IN'!$F$4="PV Only",0,SUM(BattCalcs!BW166:BX166))</f>
        <v>0</v>
      </c>
      <c r="AN166" s="144">
        <f>IF('PV IN'!$F$4="PV Only",0,BattCalcs!BY166)</f>
        <v>0</v>
      </c>
      <c r="AO166" s="144">
        <f>IF('PV IN'!$F$4="Battery Only",0,PVCalcs!U166)</f>
        <v>11134.866578629551</v>
      </c>
      <c r="AP166" s="10">
        <f>IF('PV IN'!$F$4="PV Only",0,BattCalcs!AS166)</f>
        <v>0</v>
      </c>
      <c r="AQ166" s="10">
        <f>IF('PV IN'!$F$4="PV Only",0,BattCalcs!AT166)</f>
        <v>0</v>
      </c>
      <c r="AR166" s="10">
        <f>IF('PV IN'!$F$4="PV Only",0,BattCalcs!AU166)</f>
        <v>0</v>
      </c>
      <c r="AS166" s="144">
        <f>IF('PV IN'!$F$4="PV Only",PVCalcs!X166,IF('PV IN'!$F$4="Battery Only",BattCalcs!AW166,PVCalcs!X166+BattCalcs!AW166))</f>
        <v>0</v>
      </c>
      <c r="AT166" s="144">
        <f>IF('PV IN'!$F$4="Battery Only",0,-PVCalcs!AQ166*'PV IN'!$E$8)</f>
        <v>0</v>
      </c>
      <c r="AU166" s="144">
        <f>IF('PV IN'!$F$4="PV Only",0,-BattCalcs!CG166*'PV IN'!$E$8)</f>
        <v>0</v>
      </c>
      <c r="AV166" s="144">
        <f>IF('PV IN'!$F$4="PV Only",PVCalcs!Z166+PVCalcs!AA166,IF('PV IN'!$F$4="Battery Only",SUM(BattCalcs!BC166:BH166),PVCalcs!Z166+PVCalcs!AA166+SUM(BattCalcs!BC166:BH166)))</f>
        <v>0</v>
      </c>
      <c r="AW166" s="144">
        <f>IF('PV IN'!$F$4="PV Only",SUM(PVCalcs!AF166:AI166),IF('PV IN'!$F$4="Battery Only",SUM(BattCalcs!BL166:BY166),SUM(PVCalcs!AF166:AI166)+SUM(BattCalcs!BL166:BY166)))</f>
        <v>-1375</v>
      </c>
      <c r="AX166" s="144">
        <f>IF('PV IN'!$F$4="Battery Only",0,-PVLoan!F194)</f>
        <v>0</v>
      </c>
      <c r="AY166" s="144">
        <f>IF('PV IN'!$F$4="PV Only",0,-BattLoan!F194)</f>
        <v>0</v>
      </c>
      <c r="AZ166" s="144">
        <f>IF('PV IN'!$F$4="Battery Only",0,-PVLoan!H194)</f>
        <v>0</v>
      </c>
      <c r="BA166" s="144">
        <f>IF('PV IN'!$F$4="PV Only",0,-BattLoan!H194)</f>
        <v>0</v>
      </c>
    </row>
    <row r="167" spans="1:88" x14ac:dyDescent="0.25">
      <c r="A167">
        <f>IF(C167&lt;='PV IN'!$O$22*12,C167,"")</f>
        <v>163</v>
      </c>
      <c r="C167">
        <v>163</v>
      </c>
      <c r="D167" s="2">
        <f>BattCalcs!CK167+PVCalcs!AT167</f>
        <v>11820.675953152733</v>
      </c>
      <c r="E167" s="20">
        <f>PVCalcs!AV167</f>
        <v>754738.00743591751</v>
      </c>
      <c r="F167" s="20">
        <f>PVCalcs!AW167</f>
        <v>6092.8572001113971</v>
      </c>
      <c r="G167" s="20">
        <f>PVCalcs!AX167</f>
        <v>165199.18758553494</v>
      </c>
      <c r="H167" s="20">
        <f>BattCalcs!CM167</f>
        <v>0</v>
      </c>
      <c r="I167" s="20">
        <f>BattCalcs!CN167</f>
        <v>0</v>
      </c>
      <c r="J167" s="20">
        <f>IF(C167&lt;='Batt IN'!H$43*12,BattCalcs!CO167,NA())</f>
        <v>0</v>
      </c>
      <c r="L167" s="20">
        <f t="shared" si="313"/>
        <v>6092.8572001113971</v>
      </c>
      <c r="M167" s="20">
        <f>G167+BattCalcs!CO167</f>
        <v>165199.18758553494</v>
      </c>
      <c r="O167" s="10">
        <f>PVLoan!G195</f>
        <v>0</v>
      </c>
      <c r="P167" s="10">
        <f>PVLoan!J195</f>
        <v>0</v>
      </c>
      <c r="Q167" s="2" t="str">
        <f>BattLoan!G195</f>
        <v>-</v>
      </c>
      <c r="R167" s="10" t="str">
        <f>BattLoan!J195</f>
        <v>-</v>
      </c>
      <c r="T167" s="33">
        <f>IF('PV IN'!$F$4="Battery Only",0,PVCalcs!G167)</f>
        <v>136883.27837761052</v>
      </c>
      <c r="U167" s="33">
        <f>IF('PV IN'!$F$4="Battery Only",0,PVCalcs!M167)</f>
        <v>136883.27837761052</v>
      </c>
      <c r="V167" s="33">
        <f>PVCalcs!L167</f>
        <v>25811.765833333331</v>
      </c>
      <c r="W167" s="158">
        <f>PVCalcs!F167</f>
        <v>8.1291473042801335E-2</v>
      </c>
      <c r="X167" s="144">
        <f>IF('PV IN'!$F$4="Battery Only",0,PVCalcs!Y167+PVCalcs!Z167)</f>
        <v>1779.482618908937</v>
      </c>
      <c r="Y167" s="144">
        <f>IF('PV IN'!$F$4="PV Only",0,BattCalcs!AX167+BattCalcs!BC167)</f>
        <v>0</v>
      </c>
      <c r="Z167" s="144">
        <f>IF('PV IN'!$F$4="PV Only",0,BattCalcs!AY167+BattCalcs!BD167)</f>
        <v>0</v>
      </c>
      <c r="AA167" s="144">
        <f>IF('PV IN'!$F$4="PV Only",0,BattCalcs!AZ167+BattCalcs!BE167)</f>
        <v>0</v>
      </c>
      <c r="AB167" s="144">
        <f>IF('PV IN'!$F$4="PV Only",0,BattCalcs!BA167+BattCalcs!BF167)</f>
        <v>0</v>
      </c>
      <c r="AC167" s="144">
        <f>IF('PV IN'!$F$4="PV Only",0,BattCalcs!BB167+BattCalcs!BG167)</f>
        <v>0</v>
      </c>
      <c r="AD167" s="144">
        <f>IF('PV IN'!$F$4="PV Only",0,BattCalcs!BU167)</f>
        <v>0</v>
      </c>
      <c r="AE167" s="144">
        <f>IF('PV IN'!$F$4="PV Only",PVCalcs!W167+PVCalcs!AA167,IF('PV IN'!$F$4="Battery Only",BattCalcs!AV167+BattCalcs!BH167,PVCalcs!W167+PVCalcs!AA167+BattCalcs!AV167+BattCalcs!BH167))</f>
        <v>0</v>
      </c>
      <c r="AF167" s="10">
        <f>PVCalcs!AC167+BattCalcs!BJ167</f>
        <v>0</v>
      </c>
      <c r="AG167" s="144">
        <f>IF('PV IN'!$F$4="Battery Only",0,PVCalcs!AG167)</f>
        <v>-750</v>
      </c>
      <c r="AH167" s="144">
        <f>IF('PV IN'!$F$4="Battery Only",0,PVCalcs!AI167)</f>
        <v>0</v>
      </c>
      <c r="AI167" s="144">
        <f>IF('PV IN'!$F$4="PV Only",0,BattCalcs!BM167)</f>
        <v>0</v>
      </c>
      <c r="AJ167" s="144">
        <f>IF('PV IN'!$F$4="PV Only",0,SUM(BattCalcs!BO167:BT167))</f>
        <v>0</v>
      </c>
      <c r="AK167" s="144">
        <f>IF('PV IN'!$F$4="PV Only",PVCalcs!AH167,IF('PV IN'!$F$4="Battery Only",BattCalcs!BN167,PVCalcs!AH167+BattCalcs!BN167))</f>
        <v>-625</v>
      </c>
      <c r="AL167" s="144">
        <f>IF('PV IN'!$F$4="PV Only",0,BattCalcs!BV167)</f>
        <v>0</v>
      </c>
      <c r="AM167" s="144">
        <f>IF('PV IN'!$F$4="PV Only",0,SUM(BattCalcs!BW167:BX167))</f>
        <v>0</v>
      </c>
      <c r="AN167" s="144">
        <f>IF('PV IN'!$F$4="PV Only",0,BattCalcs!BY167)</f>
        <v>0</v>
      </c>
      <c r="AO167" s="144">
        <f>IF('PV IN'!$F$4="Battery Only",0,PVCalcs!U167)</f>
        <v>11127.443334243797</v>
      </c>
      <c r="AP167" s="10">
        <f>IF('PV IN'!$F$4="PV Only",0,BattCalcs!AS167)</f>
        <v>0</v>
      </c>
      <c r="AQ167" s="10">
        <f>IF('PV IN'!$F$4="PV Only",0,BattCalcs!AT167)</f>
        <v>0</v>
      </c>
      <c r="AR167" s="10">
        <f>IF('PV IN'!$F$4="PV Only",0,BattCalcs!AU167)</f>
        <v>0</v>
      </c>
      <c r="AS167" s="144">
        <f>IF('PV IN'!$F$4="PV Only",PVCalcs!X167,IF('PV IN'!$F$4="Battery Only",BattCalcs!AW167,PVCalcs!X167+BattCalcs!AW167))</f>
        <v>0</v>
      </c>
      <c r="AT167" s="144">
        <f>IF('PV IN'!$F$4="Battery Only",0,-PVCalcs!AQ167*'PV IN'!$E$8)</f>
        <v>0</v>
      </c>
      <c r="AU167" s="144">
        <f>IF('PV IN'!$F$4="PV Only",0,-BattCalcs!CG167*'PV IN'!$E$8)</f>
        <v>0</v>
      </c>
      <c r="AV167" s="144">
        <f>IF('PV IN'!$F$4="PV Only",PVCalcs!Z167+PVCalcs!AA167,IF('PV IN'!$F$4="Battery Only",SUM(BattCalcs!BC167:BH167),PVCalcs!Z167+PVCalcs!AA167+SUM(BattCalcs!BC167:BH167)))</f>
        <v>0</v>
      </c>
      <c r="AW167" s="144">
        <f>IF('PV IN'!$F$4="PV Only",SUM(PVCalcs!AF167:AI167),IF('PV IN'!$F$4="Battery Only",SUM(BattCalcs!BL167:BY167),SUM(PVCalcs!AF167:AI167)+SUM(BattCalcs!BL167:BY167)))</f>
        <v>-1375</v>
      </c>
      <c r="AX167" s="144">
        <f>IF('PV IN'!$F$4="Battery Only",0,-PVLoan!F195)</f>
        <v>0</v>
      </c>
      <c r="AY167" s="144">
        <f>IF('PV IN'!$F$4="PV Only",0,-BattLoan!F195)</f>
        <v>0</v>
      </c>
      <c r="AZ167" s="144">
        <f>IF('PV IN'!$F$4="Battery Only",0,-PVLoan!H195)</f>
        <v>0</v>
      </c>
      <c r="BA167" s="144">
        <f>IF('PV IN'!$F$4="PV Only",0,-BattLoan!H195)</f>
        <v>0</v>
      </c>
    </row>
    <row r="168" spans="1:88" x14ac:dyDescent="0.25">
      <c r="A168">
        <f>IF(C168&lt;='PV IN'!$O$22*12,C168,"")</f>
        <v>164</v>
      </c>
      <c r="C168">
        <v>164</v>
      </c>
      <c r="D168" s="2">
        <f>BattCalcs!CK168+PVCalcs!AT168</f>
        <v>11812.071335850633</v>
      </c>
      <c r="E168" s="20">
        <f>PVCalcs!AV168</f>
        <v>766550.07877176814</v>
      </c>
      <c r="F168" s="20">
        <f>PVCalcs!AW168</f>
        <v>6063.7176938813918</v>
      </c>
      <c r="G168" s="20">
        <f>PVCalcs!AX168</f>
        <v>171262.90527941633</v>
      </c>
      <c r="H168" s="20">
        <f>BattCalcs!CM168</f>
        <v>0</v>
      </c>
      <c r="I168" s="20">
        <f>BattCalcs!CN168</f>
        <v>0</v>
      </c>
      <c r="J168" s="20">
        <f>IF(C168&lt;='Batt IN'!H$43*12,BattCalcs!CO168,NA())</f>
        <v>0</v>
      </c>
      <c r="L168" s="20">
        <f t="shared" si="313"/>
        <v>6063.7176938813918</v>
      </c>
      <c r="M168" s="20">
        <f>G168+BattCalcs!CO168</f>
        <v>171262.90527941633</v>
      </c>
      <c r="O168" s="10">
        <f>PVLoan!G196</f>
        <v>0</v>
      </c>
      <c r="P168" s="10">
        <f>PVLoan!J196</f>
        <v>0</v>
      </c>
      <c r="Q168" s="2" t="str">
        <f>BattLoan!G196</f>
        <v>-</v>
      </c>
      <c r="R168" s="10" t="str">
        <f>BattLoan!J196</f>
        <v>-</v>
      </c>
      <c r="T168" s="33">
        <f>IF('PV IN'!$F$4="Battery Only",0,PVCalcs!G168)</f>
        <v>136792.02285869213</v>
      </c>
      <c r="U168" s="33">
        <f>IF('PV IN'!$F$4="Battery Only",0,PVCalcs!M168)</f>
        <v>136792.02285869213</v>
      </c>
      <c r="V168" s="33">
        <f>PVCalcs!L168</f>
        <v>25811.765833333331</v>
      </c>
      <c r="W168" s="158">
        <f>PVCalcs!F168</f>
        <v>8.1291473042801335E-2</v>
      </c>
      <c r="X168" s="144">
        <f>IF('PV IN'!$F$4="Battery Only",0,PVCalcs!Y168+PVCalcs!Z168)</f>
        <v>1778.2962971629977</v>
      </c>
      <c r="Y168" s="144">
        <f>IF('PV IN'!$F$4="PV Only",0,BattCalcs!AX168+BattCalcs!BC168)</f>
        <v>0</v>
      </c>
      <c r="Z168" s="144">
        <f>IF('PV IN'!$F$4="PV Only",0,BattCalcs!AY168+BattCalcs!BD168)</f>
        <v>0</v>
      </c>
      <c r="AA168" s="144">
        <f>IF('PV IN'!$F$4="PV Only",0,BattCalcs!AZ168+BattCalcs!BE168)</f>
        <v>0</v>
      </c>
      <c r="AB168" s="144">
        <f>IF('PV IN'!$F$4="PV Only",0,BattCalcs!BA168+BattCalcs!BF168)</f>
        <v>0</v>
      </c>
      <c r="AC168" s="144">
        <f>IF('PV IN'!$F$4="PV Only",0,BattCalcs!BB168+BattCalcs!BG168)</f>
        <v>0</v>
      </c>
      <c r="AD168" s="144">
        <f>IF('PV IN'!$F$4="PV Only",0,BattCalcs!BU168)</f>
        <v>0</v>
      </c>
      <c r="AE168" s="144">
        <f>IF('PV IN'!$F$4="PV Only",PVCalcs!W168+PVCalcs!AA168,IF('PV IN'!$F$4="Battery Only",BattCalcs!AV168+BattCalcs!BH168,PVCalcs!W168+PVCalcs!AA168+BattCalcs!AV168+BattCalcs!BH168))</f>
        <v>0</v>
      </c>
      <c r="AF168" s="10">
        <f>PVCalcs!AC168+BattCalcs!BJ168</f>
        <v>0</v>
      </c>
      <c r="AG168" s="144">
        <f>IF('PV IN'!$F$4="Battery Only",0,PVCalcs!AG168)</f>
        <v>-750</v>
      </c>
      <c r="AH168" s="144">
        <f>IF('PV IN'!$F$4="Battery Only",0,PVCalcs!AI168)</f>
        <v>0</v>
      </c>
      <c r="AI168" s="144">
        <f>IF('PV IN'!$F$4="PV Only",0,BattCalcs!BM168)</f>
        <v>0</v>
      </c>
      <c r="AJ168" s="144">
        <f>IF('PV IN'!$F$4="PV Only",0,SUM(BattCalcs!BO168:BT168))</f>
        <v>0</v>
      </c>
      <c r="AK168" s="144">
        <f>IF('PV IN'!$F$4="PV Only",PVCalcs!AH168,IF('PV IN'!$F$4="Battery Only",BattCalcs!BN168,PVCalcs!AH168+BattCalcs!BN168))</f>
        <v>-625</v>
      </c>
      <c r="AL168" s="144">
        <f>IF('PV IN'!$F$4="PV Only",0,BattCalcs!BV168)</f>
        <v>0</v>
      </c>
      <c r="AM168" s="144">
        <f>IF('PV IN'!$F$4="PV Only",0,SUM(BattCalcs!BW168:BX168))</f>
        <v>0</v>
      </c>
      <c r="AN168" s="144">
        <f>IF('PV IN'!$F$4="PV Only",0,BattCalcs!BY168)</f>
        <v>0</v>
      </c>
      <c r="AO168" s="144">
        <f>IF('PV IN'!$F$4="Battery Only",0,PVCalcs!U168)</f>
        <v>11120.025038687636</v>
      </c>
      <c r="AP168" s="10">
        <f>IF('PV IN'!$F$4="PV Only",0,BattCalcs!AS168)</f>
        <v>0</v>
      </c>
      <c r="AQ168" s="10">
        <f>IF('PV IN'!$F$4="PV Only",0,BattCalcs!AT168)</f>
        <v>0</v>
      </c>
      <c r="AR168" s="10">
        <f>IF('PV IN'!$F$4="PV Only",0,BattCalcs!AU168)</f>
        <v>0</v>
      </c>
      <c r="AS168" s="144">
        <f>IF('PV IN'!$F$4="PV Only",PVCalcs!X168,IF('PV IN'!$F$4="Battery Only",BattCalcs!AW168,PVCalcs!X168+BattCalcs!AW168))</f>
        <v>0</v>
      </c>
      <c r="AT168" s="144">
        <f>IF('PV IN'!$F$4="Battery Only",0,-PVCalcs!AQ168*'PV IN'!$E$8)</f>
        <v>0</v>
      </c>
      <c r="AU168" s="144">
        <f>IF('PV IN'!$F$4="PV Only",0,-BattCalcs!CG168*'PV IN'!$E$8)</f>
        <v>0</v>
      </c>
      <c r="AV168" s="144">
        <f>IF('PV IN'!$F$4="PV Only",PVCalcs!Z168+PVCalcs!AA168,IF('PV IN'!$F$4="Battery Only",SUM(BattCalcs!BC168:BH168),PVCalcs!Z168+PVCalcs!AA168+SUM(BattCalcs!BC168:BH168)))</f>
        <v>0</v>
      </c>
      <c r="AW168" s="144">
        <f>IF('PV IN'!$F$4="PV Only",SUM(PVCalcs!AF168:AI168),IF('PV IN'!$F$4="Battery Only",SUM(BattCalcs!BL168:BY168),SUM(PVCalcs!AF168:AI168)+SUM(BattCalcs!BL168:BY168)))</f>
        <v>-1375</v>
      </c>
      <c r="AX168" s="144">
        <f>IF('PV IN'!$F$4="Battery Only",0,-PVLoan!F196)</f>
        <v>0</v>
      </c>
      <c r="AY168" s="144">
        <f>IF('PV IN'!$F$4="PV Only",0,-BattLoan!F196)</f>
        <v>0</v>
      </c>
      <c r="AZ168" s="144">
        <f>IF('PV IN'!$F$4="Battery Only",0,-PVLoan!H196)</f>
        <v>0</v>
      </c>
      <c r="BA168" s="144">
        <f>IF('PV IN'!$F$4="PV Only",0,-BattLoan!H196)</f>
        <v>0</v>
      </c>
    </row>
    <row r="169" spans="1:88" x14ac:dyDescent="0.25">
      <c r="A169">
        <f>IF(C169&lt;='PV IN'!$O$22*12,C169,"")</f>
        <v>165</v>
      </c>
      <c r="C169">
        <v>165</v>
      </c>
      <c r="D169" s="2">
        <f>BattCalcs!CK169+PVCalcs!AT169</f>
        <v>11803.472454960067</v>
      </c>
      <c r="E169" s="20">
        <f>PVCalcs!AV169</f>
        <v>778353.55122672825</v>
      </c>
      <c r="F169" s="20">
        <f>PVCalcs!AW169</f>
        <v>6034.7172798226675</v>
      </c>
      <c r="G169" s="20">
        <f>PVCalcs!AX169</f>
        <v>177297.62255923898</v>
      </c>
      <c r="H169" s="20">
        <f>BattCalcs!CM169</f>
        <v>0</v>
      </c>
      <c r="I169" s="20">
        <f>BattCalcs!CN169</f>
        <v>0</v>
      </c>
      <c r="J169" s="20">
        <f>IF(C169&lt;='Batt IN'!H$43*12,BattCalcs!CO169,NA())</f>
        <v>0</v>
      </c>
      <c r="L169" s="20">
        <f t="shared" si="313"/>
        <v>6034.7172798226675</v>
      </c>
      <c r="M169" s="20">
        <f>G169+BattCalcs!CO169</f>
        <v>177297.62255923898</v>
      </c>
      <c r="O169" s="10">
        <f>PVLoan!G197</f>
        <v>0</v>
      </c>
      <c r="P169" s="10">
        <f>PVLoan!J197</f>
        <v>0</v>
      </c>
      <c r="Q169" s="2" t="str">
        <f>BattLoan!G197</f>
        <v>-</v>
      </c>
      <c r="R169" s="10" t="str">
        <f>BattLoan!J197</f>
        <v>-</v>
      </c>
      <c r="T169" s="33">
        <f>IF('PV IN'!$F$4="Battery Only",0,PVCalcs!G169)</f>
        <v>136700.82817678634</v>
      </c>
      <c r="U169" s="33">
        <f>IF('PV IN'!$F$4="Battery Only",0,PVCalcs!M169)</f>
        <v>136700.82817678634</v>
      </c>
      <c r="V169" s="33">
        <f>PVCalcs!L169</f>
        <v>25811.765833333331</v>
      </c>
      <c r="W169" s="158">
        <f>PVCalcs!F169</f>
        <v>8.1291473042801335E-2</v>
      </c>
      <c r="X169" s="144">
        <f>IF('PV IN'!$F$4="Battery Only",0,PVCalcs!Y169+PVCalcs!Z169)</f>
        <v>1777.1107662982224</v>
      </c>
      <c r="Y169" s="144">
        <f>IF('PV IN'!$F$4="PV Only",0,BattCalcs!AX169+BattCalcs!BC169)</f>
        <v>0</v>
      </c>
      <c r="Z169" s="144">
        <f>IF('PV IN'!$F$4="PV Only",0,BattCalcs!AY169+BattCalcs!BD169)</f>
        <v>0</v>
      </c>
      <c r="AA169" s="144">
        <f>IF('PV IN'!$F$4="PV Only",0,BattCalcs!AZ169+BattCalcs!BE169)</f>
        <v>0</v>
      </c>
      <c r="AB169" s="144">
        <f>IF('PV IN'!$F$4="PV Only",0,BattCalcs!BA169+BattCalcs!BF169)</f>
        <v>0</v>
      </c>
      <c r="AC169" s="144">
        <f>IF('PV IN'!$F$4="PV Only",0,BattCalcs!BB169+BattCalcs!BG169)</f>
        <v>0</v>
      </c>
      <c r="AD169" s="144">
        <f>IF('PV IN'!$F$4="PV Only",0,BattCalcs!BU169)</f>
        <v>0</v>
      </c>
      <c r="AE169" s="144">
        <f>IF('PV IN'!$F$4="PV Only",PVCalcs!W169+PVCalcs!AA169,IF('PV IN'!$F$4="Battery Only",BattCalcs!AV169+BattCalcs!BH169,PVCalcs!W169+PVCalcs!AA169+BattCalcs!AV169+BattCalcs!BH169))</f>
        <v>0</v>
      </c>
      <c r="AF169" s="10">
        <f>PVCalcs!AC169+BattCalcs!BJ169</f>
        <v>0</v>
      </c>
      <c r="AG169" s="144">
        <f>IF('PV IN'!$F$4="Battery Only",0,PVCalcs!AG169)</f>
        <v>-750</v>
      </c>
      <c r="AH169" s="144">
        <f>IF('PV IN'!$F$4="Battery Only",0,PVCalcs!AI169)</f>
        <v>0</v>
      </c>
      <c r="AI169" s="144">
        <f>IF('PV IN'!$F$4="PV Only",0,BattCalcs!BM169)</f>
        <v>0</v>
      </c>
      <c r="AJ169" s="144">
        <f>IF('PV IN'!$F$4="PV Only",0,SUM(BattCalcs!BO169:BT169))</f>
        <v>0</v>
      </c>
      <c r="AK169" s="144">
        <f>IF('PV IN'!$F$4="PV Only",PVCalcs!AH169,IF('PV IN'!$F$4="Battery Only",BattCalcs!BN169,PVCalcs!AH169+BattCalcs!BN169))</f>
        <v>-625</v>
      </c>
      <c r="AL169" s="144">
        <f>IF('PV IN'!$F$4="PV Only",0,BattCalcs!BV169)</f>
        <v>0</v>
      </c>
      <c r="AM169" s="144">
        <f>IF('PV IN'!$F$4="PV Only",0,SUM(BattCalcs!BW169:BX169))</f>
        <v>0</v>
      </c>
      <c r="AN169" s="144">
        <f>IF('PV IN'!$F$4="PV Only",0,BattCalcs!BY169)</f>
        <v>0</v>
      </c>
      <c r="AO169" s="144">
        <f>IF('PV IN'!$F$4="Battery Only",0,PVCalcs!U169)</f>
        <v>11112.611688661844</v>
      </c>
      <c r="AP169" s="10">
        <f>IF('PV IN'!$F$4="PV Only",0,BattCalcs!AS169)</f>
        <v>0</v>
      </c>
      <c r="AQ169" s="10">
        <f>IF('PV IN'!$F$4="PV Only",0,BattCalcs!AT169)</f>
        <v>0</v>
      </c>
      <c r="AR169" s="10">
        <f>IF('PV IN'!$F$4="PV Only",0,BattCalcs!AU169)</f>
        <v>0</v>
      </c>
      <c r="AS169" s="144">
        <f>IF('PV IN'!$F$4="PV Only",PVCalcs!X169,IF('PV IN'!$F$4="Battery Only",BattCalcs!AW169,PVCalcs!X169+BattCalcs!AW169))</f>
        <v>0</v>
      </c>
      <c r="AT169" s="144">
        <f>IF('PV IN'!$F$4="Battery Only",0,-PVCalcs!AQ169*'PV IN'!$E$8)</f>
        <v>0</v>
      </c>
      <c r="AU169" s="144">
        <f>IF('PV IN'!$F$4="PV Only",0,-BattCalcs!CG169*'PV IN'!$E$8)</f>
        <v>0</v>
      </c>
      <c r="AV169" s="144">
        <f>IF('PV IN'!$F$4="PV Only",PVCalcs!Z169+PVCalcs!AA169,IF('PV IN'!$F$4="Battery Only",SUM(BattCalcs!BC169:BH169),PVCalcs!Z169+PVCalcs!AA169+SUM(BattCalcs!BC169:BH169)))</f>
        <v>0</v>
      </c>
      <c r="AW169" s="144">
        <f>IF('PV IN'!$F$4="PV Only",SUM(PVCalcs!AF169:AI169),IF('PV IN'!$F$4="Battery Only",SUM(BattCalcs!BL169:BY169),SUM(PVCalcs!AF169:AI169)+SUM(BattCalcs!BL169:BY169)))</f>
        <v>-1375</v>
      </c>
      <c r="AX169" s="144">
        <f>IF('PV IN'!$F$4="Battery Only",0,-PVLoan!F197)</f>
        <v>0</v>
      </c>
      <c r="AY169" s="144">
        <f>IF('PV IN'!$F$4="PV Only",0,-BattLoan!F197)</f>
        <v>0</v>
      </c>
      <c r="AZ169" s="144">
        <f>IF('PV IN'!$F$4="Battery Only",0,-PVLoan!H197)</f>
        <v>0</v>
      </c>
      <c r="BA169" s="144">
        <f>IF('PV IN'!$F$4="PV Only",0,-BattLoan!H197)</f>
        <v>0</v>
      </c>
    </row>
    <row r="170" spans="1:88" x14ac:dyDescent="0.25">
      <c r="A170">
        <f>IF(C170&lt;='PV IN'!$O$22*12,C170,"")</f>
        <v>166</v>
      </c>
      <c r="C170">
        <v>166</v>
      </c>
      <c r="D170" s="2">
        <f>BattCalcs!CK170+PVCalcs!AT170</f>
        <v>11794.879306656756</v>
      </c>
      <c r="E170" s="20">
        <f>PVCalcs!AV170</f>
        <v>790148.43053338502</v>
      </c>
      <c r="F170" s="20">
        <f>PVCalcs!AW170</f>
        <v>6005.8552950834655</v>
      </c>
      <c r="G170" s="20">
        <f>PVCalcs!AX170</f>
        <v>183303.47785432244</v>
      </c>
      <c r="H170" s="20">
        <f>BattCalcs!CM170</f>
        <v>0</v>
      </c>
      <c r="I170" s="20">
        <f>BattCalcs!CN170</f>
        <v>0</v>
      </c>
      <c r="J170" s="20">
        <f>IF(C170&lt;='Batt IN'!H$43*12,BattCalcs!CO170,NA())</f>
        <v>0</v>
      </c>
      <c r="L170" s="20">
        <f t="shared" si="313"/>
        <v>6005.8552950834655</v>
      </c>
      <c r="M170" s="20">
        <f>G170+BattCalcs!CO170</f>
        <v>183303.47785432244</v>
      </c>
      <c r="O170" s="10">
        <f>PVLoan!G198</f>
        <v>0</v>
      </c>
      <c r="P170" s="10">
        <f>PVLoan!J198</f>
        <v>0</v>
      </c>
      <c r="Q170" s="2" t="str">
        <f>BattLoan!G198</f>
        <v>-</v>
      </c>
      <c r="R170" s="10" t="str">
        <f>BattLoan!J198</f>
        <v>-</v>
      </c>
      <c r="T170" s="33">
        <f>IF('PV IN'!$F$4="Battery Only",0,PVCalcs!G170)</f>
        <v>136609.69429133512</v>
      </c>
      <c r="U170" s="33">
        <f>IF('PV IN'!$F$4="Battery Only",0,PVCalcs!M170)</f>
        <v>136609.69429133512</v>
      </c>
      <c r="V170" s="33">
        <f>PVCalcs!L170</f>
        <v>25811.765833333331</v>
      </c>
      <c r="W170" s="158">
        <f>PVCalcs!F170</f>
        <v>8.1291473042801335E-2</v>
      </c>
      <c r="X170" s="144">
        <f>IF('PV IN'!$F$4="Battery Only",0,PVCalcs!Y170+PVCalcs!Z170)</f>
        <v>1775.9260257873566</v>
      </c>
      <c r="Y170" s="144">
        <f>IF('PV IN'!$F$4="PV Only",0,BattCalcs!AX170+BattCalcs!BC170)</f>
        <v>0</v>
      </c>
      <c r="Z170" s="144">
        <f>IF('PV IN'!$F$4="PV Only",0,BattCalcs!AY170+BattCalcs!BD170)</f>
        <v>0</v>
      </c>
      <c r="AA170" s="144">
        <f>IF('PV IN'!$F$4="PV Only",0,BattCalcs!AZ170+BattCalcs!BE170)</f>
        <v>0</v>
      </c>
      <c r="AB170" s="144">
        <f>IF('PV IN'!$F$4="PV Only",0,BattCalcs!BA170+BattCalcs!BF170)</f>
        <v>0</v>
      </c>
      <c r="AC170" s="144">
        <f>IF('PV IN'!$F$4="PV Only",0,BattCalcs!BB170+BattCalcs!BG170)</f>
        <v>0</v>
      </c>
      <c r="AD170" s="144">
        <f>IF('PV IN'!$F$4="PV Only",0,BattCalcs!BU170)</f>
        <v>0</v>
      </c>
      <c r="AE170" s="144">
        <f>IF('PV IN'!$F$4="PV Only",PVCalcs!W170+PVCalcs!AA170,IF('PV IN'!$F$4="Battery Only",BattCalcs!AV170+BattCalcs!BH170,PVCalcs!W170+PVCalcs!AA170+BattCalcs!AV170+BattCalcs!BH170))</f>
        <v>0</v>
      </c>
      <c r="AF170" s="10">
        <f>PVCalcs!AC170+BattCalcs!BJ170</f>
        <v>0</v>
      </c>
      <c r="AG170" s="144">
        <f>IF('PV IN'!$F$4="Battery Only",0,PVCalcs!AG170)</f>
        <v>-750</v>
      </c>
      <c r="AH170" s="144">
        <f>IF('PV IN'!$F$4="Battery Only",0,PVCalcs!AI170)</f>
        <v>0</v>
      </c>
      <c r="AI170" s="144">
        <f>IF('PV IN'!$F$4="PV Only",0,BattCalcs!BM170)</f>
        <v>0</v>
      </c>
      <c r="AJ170" s="144">
        <f>IF('PV IN'!$F$4="PV Only",0,SUM(BattCalcs!BO170:BT170))</f>
        <v>0</v>
      </c>
      <c r="AK170" s="144">
        <f>IF('PV IN'!$F$4="PV Only",PVCalcs!AH170,IF('PV IN'!$F$4="Battery Only",BattCalcs!BN170,PVCalcs!AH170+BattCalcs!BN170))</f>
        <v>-625</v>
      </c>
      <c r="AL170" s="144">
        <f>IF('PV IN'!$F$4="PV Only",0,BattCalcs!BV170)</f>
        <v>0</v>
      </c>
      <c r="AM170" s="144">
        <f>IF('PV IN'!$F$4="PV Only",0,SUM(BattCalcs!BW170:BX170))</f>
        <v>0</v>
      </c>
      <c r="AN170" s="144">
        <f>IF('PV IN'!$F$4="PV Only",0,BattCalcs!BY170)</f>
        <v>0</v>
      </c>
      <c r="AO170" s="144">
        <f>IF('PV IN'!$F$4="Battery Only",0,PVCalcs!U170)</f>
        <v>11105.2032808694</v>
      </c>
      <c r="AP170" s="10">
        <f>IF('PV IN'!$F$4="PV Only",0,BattCalcs!AS170)</f>
        <v>0</v>
      </c>
      <c r="AQ170" s="10">
        <f>IF('PV IN'!$F$4="PV Only",0,BattCalcs!AT170)</f>
        <v>0</v>
      </c>
      <c r="AR170" s="10">
        <f>IF('PV IN'!$F$4="PV Only",0,BattCalcs!AU170)</f>
        <v>0</v>
      </c>
      <c r="AS170" s="144">
        <f>IF('PV IN'!$F$4="PV Only",PVCalcs!X170,IF('PV IN'!$F$4="Battery Only",BattCalcs!AW170,PVCalcs!X170+BattCalcs!AW170))</f>
        <v>0</v>
      </c>
      <c r="AT170" s="144">
        <f>IF('PV IN'!$F$4="Battery Only",0,-PVCalcs!AQ170*'PV IN'!$E$8)</f>
        <v>0</v>
      </c>
      <c r="AU170" s="144">
        <f>IF('PV IN'!$F$4="PV Only",0,-BattCalcs!CG170*'PV IN'!$E$8)</f>
        <v>0</v>
      </c>
      <c r="AV170" s="144">
        <f>IF('PV IN'!$F$4="PV Only",PVCalcs!Z170+PVCalcs!AA170,IF('PV IN'!$F$4="Battery Only",SUM(BattCalcs!BC170:BH170),PVCalcs!Z170+PVCalcs!AA170+SUM(BattCalcs!BC170:BH170)))</f>
        <v>0</v>
      </c>
      <c r="AW170" s="144">
        <f>IF('PV IN'!$F$4="PV Only",SUM(PVCalcs!AF170:AI170),IF('PV IN'!$F$4="Battery Only",SUM(BattCalcs!BL170:BY170),SUM(PVCalcs!AF170:AI170)+SUM(BattCalcs!BL170:BY170)))</f>
        <v>-1375</v>
      </c>
      <c r="AX170" s="144">
        <f>IF('PV IN'!$F$4="Battery Only",0,-PVLoan!F198)</f>
        <v>0</v>
      </c>
      <c r="AY170" s="144">
        <f>IF('PV IN'!$F$4="PV Only",0,-BattLoan!F198)</f>
        <v>0</v>
      </c>
      <c r="AZ170" s="144">
        <f>IF('PV IN'!$F$4="Battery Only",0,-PVLoan!H198)</f>
        <v>0</v>
      </c>
      <c r="BA170" s="144">
        <f>IF('PV IN'!$F$4="PV Only",0,-BattLoan!H198)</f>
        <v>0</v>
      </c>
    </row>
    <row r="171" spans="1:88" x14ac:dyDescent="0.25">
      <c r="A171">
        <f>IF(C171&lt;='PV IN'!$O$22*12,C171,"")</f>
        <v>167</v>
      </c>
      <c r="C171">
        <v>167</v>
      </c>
      <c r="D171" s="2">
        <f>BattCalcs!CK171+PVCalcs!AT171</f>
        <v>11786.291887118987</v>
      </c>
      <c r="E171" s="20">
        <f>PVCalcs!AV171</f>
        <v>801934.72242050397</v>
      </c>
      <c r="F171" s="20">
        <f>PVCalcs!AW171</f>
        <v>5977.1310799665662</v>
      </c>
      <c r="G171" s="20">
        <f>PVCalcs!AX171</f>
        <v>189280.60893428902</v>
      </c>
      <c r="H171" s="20">
        <f>BattCalcs!CM171</f>
        <v>0</v>
      </c>
      <c r="I171" s="20">
        <f>BattCalcs!CN171</f>
        <v>0</v>
      </c>
      <c r="J171" s="20">
        <f>IF(C171&lt;='Batt IN'!H$43*12,BattCalcs!CO171,NA())</f>
        <v>0</v>
      </c>
      <c r="L171" s="20">
        <f t="shared" si="313"/>
        <v>5977.1310799665662</v>
      </c>
      <c r="M171" s="20">
        <f>G171+BattCalcs!CO171</f>
        <v>189280.60893428902</v>
      </c>
      <c r="O171" s="10">
        <f>PVLoan!G199</f>
        <v>0</v>
      </c>
      <c r="P171" s="10">
        <f>PVLoan!J199</f>
        <v>0</v>
      </c>
      <c r="Q171" s="2" t="str">
        <f>BattLoan!G199</f>
        <v>-</v>
      </c>
      <c r="R171" s="10" t="str">
        <f>BattLoan!J199</f>
        <v>-</v>
      </c>
      <c r="T171" s="33">
        <f>IF('PV IN'!$F$4="Battery Only",0,PVCalcs!G171)</f>
        <v>136518.62116180756</v>
      </c>
      <c r="U171" s="33">
        <f>IF('PV IN'!$F$4="Battery Only",0,PVCalcs!M171)</f>
        <v>136518.62116180756</v>
      </c>
      <c r="V171" s="33">
        <f>PVCalcs!L171</f>
        <v>25811.765833333331</v>
      </c>
      <c r="W171" s="158">
        <f>PVCalcs!F171</f>
        <v>8.1291473042801335E-2</v>
      </c>
      <c r="X171" s="144">
        <f>IF('PV IN'!$F$4="Battery Only",0,PVCalcs!Y171+PVCalcs!Z171)</f>
        <v>1774.7420751034983</v>
      </c>
      <c r="Y171" s="144">
        <f>IF('PV IN'!$F$4="PV Only",0,BattCalcs!AX171+BattCalcs!BC171)</f>
        <v>0</v>
      </c>
      <c r="Z171" s="144">
        <f>IF('PV IN'!$F$4="PV Only",0,BattCalcs!AY171+BattCalcs!BD171)</f>
        <v>0</v>
      </c>
      <c r="AA171" s="144">
        <f>IF('PV IN'!$F$4="PV Only",0,BattCalcs!AZ171+BattCalcs!BE171)</f>
        <v>0</v>
      </c>
      <c r="AB171" s="144">
        <f>IF('PV IN'!$F$4="PV Only",0,BattCalcs!BA171+BattCalcs!BF171)</f>
        <v>0</v>
      </c>
      <c r="AC171" s="144">
        <f>IF('PV IN'!$F$4="PV Only",0,BattCalcs!BB171+BattCalcs!BG171)</f>
        <v>0</v>
      </c>
      <c r="AD171" s="144">
        <f>IF('PV IN'!$F$4="PV Only",0,BattCalcs!BU171)</f>
        <v>0</v>
      </c>
      <c r="AE171" s="144">
        <f>IF('PV IN'!$F$4="PV Only",PVCalcs!W171+PVCalcs!AA171,IF('PV IN'!$F$4="Battery Only",BattCalcs!AV171+BattCalcs!BH171,PVCalcs!W171+PVCalcs!AA171+BattCalcs!AV171+BattCalcs!BH171))</f>
        <v>0</v>
      </c>
      <c r="AF171" s="10">
        <f>PVCalcs!AC171+BattCalcs!BJ171</f>
        <v>0</v>
      </c>
      <c r="AG171" s="144">
        <f>IF('PV IN'!$F$4="Battery Only",0,PVCalcs!AG171)</f>
        <v>-750</v>
      </c>
      <c r="AH171" s="144">
        <f>IF('PV IN'!$F$4="Battery Only",0,PVCalcs!AI171)</f>
        <v>0</v>
      </c>
      <c r="AI171" s="144">
        <f>IF('PV IN'!$F$4="PV Only",0,BattCalcs!BM171)</f>
        <v>0</v>
      </c>
      <c r="AJ171" s="144">
        <f>IF('PV IN'!$F$4="PV Only",0,SUM(BattCalcs!BO171:BT171))</f>
        <v>0</v>
      </c>
      <c r="AK171" s="144">
        <f>IF('PV IN'!$F$4="PV Only",PVCalcs!AH171,IF('PV IN'!$F$4="Battery Only",BattCalcs!BN171,PVCalcs!AH171+BattCalcs!BN171))</f>
        <v>-625</v>
      </c>
      <c r="AL171" s="144">
        <f>IF('PV IN'!$F$4="PV Only",0,BattCalcs!BV171)</f>
        <v>0</v>
      </c>
      <c r="AM171" s="144">
        <f>IF('PV IN'!$F$4="PV Only",0,SUM(BattCalcs!BW171:BX171))</f>
        <v>0</v>
      </c>
      <c r="AN171" s="144">
        <f>IF('PV IN'!$F$4="PV Only",0,BattCalcs!BY171)</f>
        <v>0</v>
      </c>
      <c r="AO171" s="144">
        <f>IF('PV IN'!$F$4="Battery Only",0,PVCalcs!U171)</f>
        <v>11097.799812015488</v>
      </c>
      <c r="AP171" s="10">
        <f>IF('PV IN'!$F$4="PV Only",0,BattCalcs!AS171)</f>
        <v>0</v>
      </c>
      <c r="AQ171" s="10">
        <f>IF('PV IN'!$F$4="PV Only",0,BattCalcs!AT171)</f>
        <v>0</v>
      </c>
      <c r="AR171" s="10">
        <f>IF('PV IN'!$F$4="PV Only",0,BattCalcs!AU171)</f>
        <v>0</v>
      </c>
      <c r="AS171" s="144">
        <f>IF('PV IN'!$F$4="PV Only",PVCalcs!X171,IF('PV IN'!$F$4="Battery Only",BattCalcs!AW171,PVCalcs!X171+BattCalcs!AW171))</f>
        <v>0</v>
      </c>
      <c r="AT171" s="144">
        <f>IF('PV IN'!$F$4="Battery Only",0,-PVCalcs!AQ171*'PV IN'!$E$8)</f>
        <v>0</v>
      </c>
      <c r="AU171" s="144">
        <f>IF('PV IN'!$F$4="PV Only",0,-BattCalcs!CG171*'PV IN'!$E$8)</f>
        <v>0</v>
      </c>
      <c r="AV171" s="144">
        <f>IF('PV IN'!$F$4="PV Only",PVCalcs!Z171+PVCalcs!AA171,IF('PV IN'!$F$4="Battery Only",SUM(BattCalcs!BC171:BH171),PVCalcs!Z171+PVCalcs!AA171+SUM(BattCalcs!BC171:BH171)))</f>
        <v>0</v>
      </c>
      <c r="AW171" s="144">
        <f>IF('PV IN'!$F$4="PV Only",SUM(PVCalcs!AF171:AI171),IF('PV IN'!$F$4="Battery Only",SUM(BattCalcs!BL171:BY171),SUM(PVCalcs!AF171:AI171)+SUM(BattCalcs!BL171:BY171)))</f>
        <v>-1375</v>
      </c>
      <c r="AX171" s="144">
        <f>IF('PV IN'!$F$4="Battery Only",0,-PVLoan!F199)</f>
        <v>0</v>
      </c>
      <c r="AY171" s="144">
        <f>IF('PV IN'!$F$4="PV Only",0,-BattLoan!F199)</f>
        <v>0</v>
      </c>
      <c r="AZ171" s="144">
        <f>IF('PV IN'!$F$4="Battery Only",0,-PVLoan!H199)</f>
        <v>0</v>
      </c>
      <c r="BA171" s="144">
        <f>IF('PV IN'!$F$4="PV Only",0,-BattLoan!H199)</f>
        <v>0</v>
      </c>
    </row>
    <row r="172" spans="1:88" x14ac:dyDescent="0.25">
      <c r="A172">
        <f>IF(C172&lt;='PV IN'!$O$22*12,C172,"")</f>
        <v>168</v>
      </c>
      <c r="B172">
        <f>B160+1</f>
        <v>2039</v>
      </c>
      <c r="C172">
        <v>168</v>
      </c>
      <c r="D172" s="2">
        <f>BattCalcs!CK172+PVCalcs!AT172</f>
        <v>11777.710192527575</v>
      </c>
      <c r="E172" s="20">
        <f>PVCalcs!AV172</f>
        <v>813712.43261303159</v>
      </c>
      <c r="F172" s="20">
        <f>PVCalcs!AW172</f>
        <v>5948.543977914268</v>
      </c>
      <c r="G172" s="20">
        <f>PVCalcs!AX172</f>
        <v>195229.15291220328</v>
      </c>
      <c r="H172" s="20">
        <f>BattCalcs!CM172</f>
        <v>0</v>
      </c>
      <c r="I172" s="20">
        <f>BattCalcs!CN172</f>
        <v>0</v>
      </c>
      <c r="J172" s="20">
        <f>IF(C172&lt;='Batt IN'!H$43*12,BattCalcs!CO172,NA())</f>
        <v>0</v>
      </c>
      <c r="L172" s="20">
        <f t="shared" si="313"/>
        <v>5948.543977914268</v>
      </c>
      <c r="M172" s="20">
        <f>G172+BattCalcs!CO172</f>
        <v>195229.15291220328</v>
      </c>
      <c r="O172" s="10">
        <f>PVLoan!G200</f>
        <v>0</v>
      </c>
      <c r="P172" s="10">
        <f>PVLoan!J200</f>
        <v>0</v>
      </c>
      <c r="Q172" s="2" t="str">
        <f>BattLoan!G200</f>
        <v>-</v>
      </c>
      <c r="R172" s="10" t="str">
        <f>BattLoan!J200</f>
        <v>-</v>
      </c>
      <c r="T172" s="33">
        <f>IF('PV IN'!$F$4="Battery Only",0,PVCalcs!G172)</f>
        <v>136427.60874769971</v>
      </c>
      <c r="U172" s="33">
        <f>IF('PV IN'!$F$4="Battery Only",0,PVCalcs!M172)</f>
        <v>136427.60874769971</v>
      </c>
      <c r="V172" s="33">
        <f>PVCalcs!L172</f>
        <v>25811.765833333331</v>
      </c>
      <c r="W172" s="158">
        <f>PVCalcs!F172</f>
        <v>8.1291473042801335E-2</v>
      </c>
      <c r="X172" s="144">
        <f>IF('PV IN'!$F$4="Battery Only",0,PVCalcs!Y172+PVCalcs!Z172)</f>
        <v>1773.5589137200961</v>
      </c>
      <c r="Y172" s="144">
        <f>IF('PV IN'!$F$4="PV Only",0,BattCalcs!AX172+BattCalcs!BC172)</f>
        <v>0</v>
      </c>
      <c r="Z172" s="144">
        <f>IF('PV IN'!$F$4="PV Only",0,BattCalcs!AY172+BattCalcs!BD172)</f>
        <v>0</v>
      </c>
      <c r="AA172" s="144">
        <f>IF('PV IN'!$F$4="PV Only",0,BattCalcs!AZ172+BattCalcs!BE172)</f>
        <v>0</v>
      </c>
      <c r="AB172" s="144">
        <f>IF('PV IN'!$F$4="PV Only",0,BattCalcs!BA172+BattCalcs!BF172)</f>
        <v>0</v>
      </c>
      <c r="AC172" s="144">
        <f>IF('PV IN'!$F$4="PV Only",0,BattCalcs!BB172+BattCalcs!BG172)</f>
        <v>0</v>
      </c>
      <c r="AD172" s="144">
        <f>IF('PV IN'!$F$4="PV Only",0,BattCalcs!BU172)</f>
        <v>0</v>
      </c>
      <c r="AE172" s="144">
        <f>IF('PV IN'!$F$4="PV Only",PVCalcs!W172+PVCalcs!AA172,IF('PV IN'!$F$4="Battery Only",BattCalcs!AV172+BattCalcs!BH172,PVCalcs!W172+PVCalcs!AA172+BattCalcs!AV172+BattCalcs!BH172))</f>
        <v>0</v>
      </c>
      <c r="AF172" s="10">
        <f>PVCalcs!AC172+BattCalcs!BJ172</f>
        <v>0</v>
      </c>
      <c r="AG172" s="144">
        <f>IF('PV IN'!$F$4="Battery Only",0,PVCalcs!AG172)</f>
        <v>-750</v>
      </c>
      <c r="AH172" s="144">
        <f>IF('PV IN'!$F$4="Battery Only",0,PVCalcs!AI172)</f>
        <v>0</v>
      </c>
      <c r="AI172" s="144">
        <f>IF('PV IN'!$F$4="PV Only",0,BattCalcs!BM172)</f>
        <v>0</v>
      </c>
      <c r="AJ172" s="144">
        <f>IF('PV IN'!$F$4="PV Only",0,SUM(BattCalcs!BO172:BT172))</f>
        <v>0</v>
      </c>
      <c r="AK172" s="144">
        <f>IF('PV IN'!$F$4="PV Only",PVCalcs!AH172,IF('PV IN'!$F$4="Battery Only",BattCalcs!BN172,PVCalcs!AH172+BattCalcs!BN172))</f>
        <v>-625</v>
      </c>
      <c r="AL172" s="144">
        <f>IF('PV IN'!$F$4="PV Only",0,BattCalcs!BV172)</f>
        <v>0</v>
      </c>
      <c r="AM172" s="144">
        <f>IF('PV IN'!$F$4="PV Only",0,SUM(BattCalcs!BW172:BX172))</f>
        <v>0</v>
      </c>
      <c r="AN172" s="144">
        <f>IF('PV IN'!$F$4="PV Only",0,BattCalcs!BY172)</f>
        <v>0</v>
      </c>
      <c r="AO172" s="144">
        <f>IF('PV IN'!$F$4="Battery Only",0,PVCalcs!U172)</f>
        <v>11090.401278807478</v>
      </c>
      <c r="AP172" s="10">
        <f>IF('PV IN'!$F$4="PV Only",0,BattCalcs!AS172)</f>
        <v>0</v>
      </c>
      <c r="AQ172" s="10">
        <f>IF('PV IN'!$F$4="PV Only",0,BattCalcs!AT172)</f>
        <v>0</v>
      </c>
      <c r="AR172" s="10">
        <f>IF('PV IN'!$F$4="PV Only",0,BattCalcs!AU172)</f>
        <v>0</v>
      </c>
      <c r="AS172" s="144">
        <f>IF('PV IN'!$F$4="PV Only",PVCalcs!X172,IF('PV IN'!$F$4="Battery Only",BattCalcs!AW172,PVCalcs!X172+BattCalcs!AW172))</f>
        <v>0</v>
      </c>
      <c r="AT172" s="144">
        <f>IF('PV IN'!$F$4="Battery Only",0,-PVCalcs!AQ172*'PV IN'!$E$8)</f>
        <v>0</v>
      </c>
      <c r="AU172" s="144">
        <f>IF('PV IN'!$F$4="PV Only",0,-BattCalcs!CG172*'PV IN'!$E$8)</f>
        <v>0</v>
      </c>
      <c r="AV172" s="144">
        <f>IF('PV IN'!$F$4="PV Only",PVCalcs!Z172+PVCalcs!AA172,IF('PV IN'!$F$4="Battery Only",SUM(BattCalcs!BC172:BH172),PVCalcs!Z172+PVCalcs!AA172+SUM(BattCalcs!BC172:BH172)))</f>
        <v>0</v>
      </c>
      <c r="AW172" s="144">
        <f>IF('PV IN'!$F$4="PV Only",SUM(PVCalcs!AF172:AI172),IF('PV IN'!$F$4="Battery Only",SUM(BattCalcs!BL172:BY172),SUM(PVCalcs!AF172:AI172)+SUM(BattCalcs!BL172:BY172)))</f>
        <v>-1375</v>
      </c>
      <c r="AX172" s="144">
        <f>IF('PV IN'!$F$4="Battery Only",0,-PVLoan!F200)</f>
        <v>0</v>
      </c>
      <c r="AY172" s="144">
        <f>IF('PV IN'!$F$4="PV Only",0,-BattLoan!F200)</f>
        <v>0</v>
      </c>
      <c r="AZ172" s="144">
        <f>IF('PV IN'!$F$4="Battery Only",0,-PVLoan!H200)</f>
        <v>0</v>
      </c>
      <c r="BA172" s="144">
        <f>IF('PV IN'!$F$4="PV Only",0,-BattLoan!H200)</f>
        <v>0</v>
      </c>
      <c r="BC172" s="33">
        <f t="shared" ref="BC172" si="416">SUM(T161:T172)</f>
        <v>1643151.5017667187</v>
      </c>
      <c r="BD172" s="33">
        <f t="shared" ref="BD172" si="417">SUM(U161:U172)</f>
        <v>1643151.5017667187</v>
      </c>
      <c r="BE172" s="33">
        <f t="shared" ref="BE172" si="418">SUM(V161:V172)</f>
        <v>309741.19</v>
      </c>
      <c r="BF172" s="50">
        <f t="shared" ref="BF172" si="419">W172</f>
        <v>8.1291473042801335E-2</v>
      </c>
      <c r="BG172" s="2">
        <f t="shared" ref="BG172" si="420">SUM(X161:X172)</f>
        <v>21360.969522967342</v>
      </c>
      <c r="BH172" s="2">
        <f t="shared" ref="BH172" si="421">SUM(Y161:Y172)</f>
        <v>0</v>
      </c>
      <c r="BI172" s="2">
        <f t="shared" ref="BI172" si="422">SUM(Z161:Z172)</f>
        <v>0</v>
      </c>
      <c r="BJ172" s="2">
        <f t="shared" ref="BJ172" si="423">SUM(AA161:AA172)</f>
        <v>0</v>
      </c>
      <c r="BK172" s="2">
        <f t="shared" ref="BK172" si="424">SUM(AB161:AB172)</f>
        <v>0</v>
      </c>
      <c r="BL172" s="2">
        <f t="shared" ref="BL172" si="425">SUM(AC161:AC172)</f>
        <v>0</v>
      </c>
      <c r="BM172" s="2">
        <f t="shared" ref="BM172" si="426">SUM(AD161:AD172)</f>
        <v>0</v>
      </c>
      <c r="BN172" s="2">
        <f t="shared" ref="BN172" si="427">SUM(AE161:AE172)</f>
        <v>0</v>
      </c>
      <c r="BO172" s="2">
        <f t="shared" ref="BO172" si="428">SUM(AF161:AF172)</f>
        <v>0</v>
      </c>
      <c r="BP172" s="2">
        <f t="shared" ref="BP172" si="429">SUM(AG161:AG172)</f>
        <v>-9000</v>
      </c>
      <c r="BQ172" s="2">
        <f t="shared" ref="BQ172" si="430">SUM(AH161:AH172)</f>
        <v>0</v>
      </c>
      <c r="BR172" s="2">
        <f t="shared" ref="BR172" si="431">SUM(AI161:AI172)</f>
        <v>0</v>
      </c>
      <c r="BS172" s="2">
        <f t="shared" ref="BS172" si="432">SUM(AJ161:AJ172)</f>
        <v>0</v>
      </c>
      <c r="BT172" s="2">
        <f t="shared" ref="BT172" si="433">SUM(AK161:AK172)</f>
        <v>-7500</v>
      </c>
      <c r="BU172" s="2">
        <f t="shared" ref="BU172" si="434">SUM(AL161:AL172)</f>
        <v>0</v>
      </c>
      <c r="BV172" s="2">
        <f t="shared" ref="BV172" si="435">SUM(AM161:AM172)</f>
        <v>0</v>
      </c>
      <c r="BW172" s="2">
        <f t="shared" ref="BW172" si="436">SUM(AN161:AN172)</f>
        <v>0</v>
      </c>
      <c r="BX172" s="2">
        <f t="shared" ref="BX172" si="437">SUM(AO161:AO172)</f>
        <v>133574.20601110774</v>
      </c>
      <c r="BY172" s="2">
        <f t="shared" ref="BY172" si="438">SUM(AP161:AP172)</f>
        <v>0</v>
      </c>
      <c r="BZ172" s="2">
        <f t="shared" ref="BZ172" si="439">SUM(AQ161:AQ172)</f>
        <v>0</v>
      </c>
      <c r="CA172" s="2">
        <f t="shared" ref="CA172" si="440">SUM(AR161:AR172)</f>
        <v>0</v>
      </c>
      <c r="CB172" s="2">
        <f t="shared" ref="CB172" si="441">SUM(AS161:AS172)</f>
        <v>0</v>
      </c>
      <c r="CC172" s="2">
        <f t="shared" ref="CC172" si="442">SUM(AT161:AT172)</f>
        <v>0</v>
      </c>
      <c r="CD172" s="2">
        <f t="shared" ref="CD172" si="443">SUM(AU161:AU172)</f>
        <v>0</v>
      </c>
      <c r="CE172" s="2">
        <f t="shared" ref="CE172" si="444">SUM(AV161:AV172)</f>
        <v>0</v>
      </c>
      <c r="CF172" s="2">
        <f t="shared" ref="CF172" si="445">SUM(AW161:AW172)</f>
        <v>-16500</v>
      </c>
      <c r="CG172" s="2">
        <f t="shared" ref="CG172" si="446">SUM(AX161:AX172)</f>
        <v>0</v>
      </c>
      <c r="CH172" s="2">
        <f t="shared" ref="CH172" si="447">SUM(AY161:AY172)</f>
        <v>0</v>
      </c>
      <c r="CI172" s="2">
        <f t="shared" ref="CI172" si="448">SUM(AZ161:AZ172)</f>
        <v>0</v>
      </c>
      <c r="CJ172" s="2">
        <f t="shared" ref="CJ172" si="449">SUM(BA161:BA172)</f>
        <v>0</v>
      </c>
    </row>
    <row r="173" spans="1:88" x14ac:dyDescent="0.25">
      <c r="A173">
        <f>IF(C173&lt;='PV IN'!$O$22*12,C173,"")</f>
        <v>169</v>
      </c>
      <c r="C173">
        <v>169</v>
      </c>
      <c r="D173" s="2">
        <f>BattCalcs!CK173+PVCalcs!AT173</f>
        <v>11799.107785226786</v>
      </c>
      <c r="E173" s="20">
        <f>PVCalcs!AV173</f>
        <v>825511.54039825837</v>
      </c>
      <c r="F173" s="20">
        <f>PVCalcs!AW173</f>
        <v>5935.1705965703914</v>
      </c>
      <c r="G173" s="20">
        <f>PVCalcs!AX173</f>
        <v>201164.32350877367</v>
      </c>
      <c r="H173" s="20">
        <f>BattCalcs!CM173</f>
        <v>0</v>
      </c>
      <c r="I173" s="20">
        <f>BattCalcs!CN173</f>
        <v>0</v>
      </c>
      <c r="J173" s="20">
        <f>IF(C173&lt;='Batt IN'!H$43*12,BattCalcs!CO173,NA())</f>
        <v>0</v>
      </c>
      <c r="L173" s="20">
        <f t="shared" si="313"/>
        <v>5935.1705965703914</v>
      </c>
      <c r="M173" s="20">
        <f>G173+BattCalcs!CO173</f>
        <v>201164.32350877367</v>
      </c>
      <c r="O173" s="10">
        <f>PVLoan!G201</f>
        <v>0</v>
      </c>
      <c r="P173" s="10">
        <f>PVLoan!J201</f>
        <v>0</v>
      </c>
      <c r="Q173" s="2" t="str">
        <f>BattLoan!G201</f>
        <v>-</v>
      </c>
      <c r="R173" s="10" t="str">
        <f>BattLoan!J201</f>
        <v>-</v>
      </c>
      <c r="T173" s="33">
        <f>IF('PV IN'!$F$4="Battery Only",0,PVCalcs!G173)</f>
        <v>136336.65700853456</v>
      </c>
      <c r="U173" s="33">
        <f>IF('PV IN'!$F$4="Battery Only",0,PVCalcs!M173)</f>
        <v>136336.65700853456</v>
      </c>
      <c r="V173" s="33">
        <f>PVCalcs!L173</f>
        <v>25811.765833333331</v>
      </c>
      <c r="W173" s="158">
        <f>PVCalcs!F173</f>
        <v>8.1511322691594043E-2</v>
      </c>
      <c r="X173" s="144">
        <f>IF('PV IN'!$F$4="Battery Only",0,PVCalcs!Y173+PVCalcs!Z173)</f>
        <v>1772.3765411109493</v>
      </c>
      <c r="Y173" s="144">
        <f>IF('PV IN'!$F$4="PV Only",0,BattCalcs!AX173+BattCalcs!BC173)</f>
        <v>0</v>
      </c>
      <c r="Z173" s="144">
        <f>IF('PV IN'!$F$4="PV Only",0,BattCalcs!AY173+BattCalcs!BD173)</f>
        <v>0</v>
      </c>
      <c r="AA173" s="144">
        <f>IF('PV IN'!$F$4="PV Only",0,BattCalcs!AZ173+BattCalcs!BE173)</f>
        <v>0</v>
      </c>
      <c r="AB173" s="144">
        <f>IF('PV IN'!$F$4="PV Only",0,BattCalcs!BA173+BattCalcs!BF173)</f>
        <v>0</v>
      </c>
      <c r="AC173" s="144">
        <f>IF('PV IN'!$F$4="PV Only",0,BattCalcs!BB173+BattCalcs!BG173)</f>
        <v>0</v>
      </c>
      <c r="AD173" s="144">
        <f>IF('PV IN'!$F$4="PV Only",0,BattCalcs!BU173)</f>
        <v>0</v>
      </c>
      <c r="AE173" s="144">
        <f>IF('PV IN'!$F$4="PV Only",PVCalcs!W173+PVCalcs!AA173,IF('PV IN'!$F$4="Battery Only",BattCalcs!AV173+BattCalcs!BH173,PVCalcs!W173+PVCalcs!AA173+BattCalcs!AV173+BattCalcs!BH173))</f>
        <v>0</v>
      </c>
      <c r="AF173" s="10">
        <f>PVCalcs!AC173+BattCalcs!BJ173</f>
        <v>0</v>
      </c>
      <c r="AG173" s="144">
        <f>IF('PV IN'!$F$4="Battery Only",0,PVCalcs!AG173)</f>
        <v>-750</v>
      </c>
      <c r="AH173" s="144">
        <f>IF('PV IN'!$F$4="Battery Only",0,PVCalcs!AI173)</f>
        <v>0</v>
      </c>
      <c r="AI173" s="144">
        <f>IF('PV IN'!$F$4="PV Only",0,BattCalcs!BM173)</f>
        <v>0</v>
      </c>
      <c r="AJ173" s="144">
        <f>IF('PV IN'!$F$4="PV Only",0,SUM(BattCalcs!BO173:BT173))</f>
        <v>0</v>
      </c>
      <c r="AK173" s="144">
        <f>IF('PV IN'!$F$4="PV Only",PVCalcs!AH173,IF('PV IN'!$F$4="Battery Only",BattCalcs!BN173,PVCalcs!AH173+BattCalcs!BN173))</f>
        <v>-625</v>
      </c>
      <c r="AL173" s="144">
        <f>IF('PV IN'!$F$4="PV Only",0,BattCalcs!BV173)</f>
        <v>0</v>
      </c>
      <c r="AM173" s="144">
        <f>IF('PV IN'!$F$4="PV Only",0,SUM(BattCalcs!BW173:BX173))</f>
        <v>0</v>
      </c>
      <c r="AN173" s="144">
        <f>IF('PV IN'!$F$4="PV Only",0,BattCalcs!BY173)</f>
        <v>0</v>
      </c>
      <c r="AO173" s="144">
        <f>IF('PV IN'!$F$4="Battery Only",0,PVCalcs!U173)</f>
        <v>11112.981244115837</v>
      </c>
      <c r="AP173" s="10">
        <f>IF('PV IN'!$F$4="PV Only",0,BattCalcs!AS173)</f>
        <v>0</v>
      </c>
      <c r="AQ173" s="10">
        <f>IF('PV IN'!$F$4="PV Only",0,BattCalcs!AT173)</f>
        <v>0</v>
      </c>
      <c r="AR173" s="10">
        <f>IF('PV IN'!$F$4="PV Only",0,BattCalcs!AU173)</f>
        <v>0</v>
      </c>
      <c r="AS173" s="144">
        <f>IF('PV IN'!$F$4="PV Only",PVCalcs!X173,IF('PV IN'!$F$4="Battery Only",BattCalcs!AW173,PVCalcs!X173+BattCalcs!AW173))</f>
        <v>0</v>
      </c>
      <c r="AT173" s="144">
        <f>IF('PV IN'!$F$4="Battery Only",0,-PVCalcs!AQ173*'PV IN'!$E$8)</f>
        <v>0</v>
      </c>
      <c r="AU173" s="144">
        <f>IF('PV IN'!$F$4="PV Only",0,-BattCalcs!CG173*'PV IN'!$E$8)</f>
        <v>0</v>
      </c>
      <c r="AV173" s="144">
        <f>IF('PV IN'!$F$4="PV Only",PVCalcs!Z173+PVCalcs!AA173,IF('PV IN'!$F$4="Battery Only",SUM(BattCalcs!BC173:BH173),PVCalcs!Z173+PVCalcs!AA173+SUM(BattCalcs!BC173:BH173)))</f>
        <v>0</v>
      </c>
      <c r="AW173" s="144">
        <f>IF('PV IN'!$F$4="PV Only",SUM(PVCalcs!AF173:AI173),IF('PV IN'!$F$4="Battery Only",SUM(BattCalcs!BL173:BY173),SUM(PVCalcs!AF173:AI173)+SUM(BattCalcs!BL173:BY173)))</f>
        <v>-1375</v>
      </c>
      <c r="AX173" s="144">
        <f>IF('PV IN'!$F$4="Battery Only",0,-PVLoan!F201)</f>
        <v>0</v>
      </c>
      <c r="AY173" s="144">
        <f>IF('PV IN'!$F$4="PV Only",0,-BattLoan!F201)</f>
        <v>0</v>
      </c>
      <c r="AZ173" s="144">
        <f>IF('PV IN'!$F$4="Battery Only",0,-PVLoan!H201)</f>
        <v>0</v>
      </c>
      <c r="BA173" s="144">
        <f>IF('PV IN'!$F$4="PV Only",0,-BattLoan!H201)</f>
        <v>0</v>
      </c>
    </row>
    <row r="174" spans="1:88" x14ac:dyDescent="0.25">
      <c r="A174">
        <f>IF(C174&lt;='PV IN'!$O$22*12,C174,"")</f>
        <v>170</v>
      </c>
      <c r="C174">
        <v>170</v>
      </c>
      <c r="D174" s="2">
        <f>BattCalcs!CK174+PVCalcs!AT174</f>
        <v>11790.5175467033</v>
      </c>
      <c r="E174" s="20">
        <f>PVCalcs!AV174</f>
        <v>837302.05794496171</v>
      </c>
      <c r="F174" s="20">
        <f>PVCalcs!AW174</f>
        <v>5906.7845753515985</v>
      </c>
      <c r="G174" s="20">
        <f>PVCalcs!AX174</f>
        <v>207071.10808412527</v>
      </c>
      <c r="H174" s="20">
        <f>BattCalcs!CM174</f>
        <v>0</v>
      </c>
      <c r="I174" s="20">
        <f>BattCalcs!CN174</f>
        <v>0</v>
      </c>
      <c r="J174" s="20">
        <f>IF(C174&lt;='Batt IN'!H$43*12,BattCalcs!CO174,NA())</f>
        <v>0</v>
      </c>
      <c r="L174" s="20">
        <f t="shared" si="313"/>
        <v>5906.7845753515985</v>
      </c>
      <c r="M174" s="20">
        <f>G174+BattCalcs!CO174</f>
        <v>207071.10808412527</v>
      </c>
      <c r="O174" s="10">
        <f>PVLoan!G202</f>
        <v>0</v>
      </c>
      <c r="P174" s="10">
        <f>PVLoan!J202</f>
        <v>0</v>
      </c>
      <c r="Q174" s="2" t="str">
        <f>BattLoan!G202</f>
        <v>-</v>
      </c>
      <c r="R174" s="10" t="str">
        <f>BattLoan!J202</f>
        <v>-</v>
      </c>
      <c r="T174" s="33">
        <f>IF('PV IN'!$F$4="Battery Only",0,PVCalcs!G174)</f>
        <v>136245.76590386219</v>
      </c>
      <c r="U174" s="33">
        <f>IF('PV IN'!$F$4="Battery Only",0,PVCalcs!M174)</f>
        <v>136245.76590386219</v>
      </c>
      <c r="V174" s="33">
        <f>PVCalcs!L174</f>
        <v>25811.765833333331</v>
      </c>
      <c r="W174" s="158">
        <f>PVCalcs!F174</f>
        <v>8.1511322691594043E-2</v>
      </c>
      <c r="X174" s="144">
        <f>IF('PV IN'!$F$4="Battery Only",0,PVCalcs!Y174+PVCalcs!Z174)</f>
        <v>1771.1949567502086</v>
      </c>
      <c r="Y174" s="144">
        <f>IF('PV IN'!$F$4="PV Only",0,BattCalcs!AX174+BattCalcs!BC174)</f>
        <v>0</v>
      </c>
      <c r="Z174" s="144">
        <f>IF('PV IN'!$F$4="PV Only",0,BattCalcs!AY174+BattCalcs!BD174)</f>
        <v>0</v>
      </c>
      <c r="AA174" s="144">
        <f>IF('PV IN'!$F$4="PV Only",0,BattCalcs!AZ174+BattCalcs!BE174)</f>
        <v>0</v>
      </c>
      <c r="AB174" s="144">
        <f>IF('PV IN'!$F$4="PV Only",0,BattCalcs!BA174+BattCalcs!BF174)</f>
        <v>0</v>
      </c>
      <c r="AC174" s="144">
        <f>IF('PV IN'!$F$4="PV Only",0,BattCalcs!BB174+BattCalcs!BG174)</f>
        <v>0</v>
      </c>
      <c r="AD174" s="144">
        <f>IF('PV IN'!$F$4="PV Only",0,BattCalcs!BU174)</f>
        <v>0</v>
      </c>
      <c r="AE174" s="144">
        <f>IF('PV IN'!$F$4="PV Only",PVCalcs!W174+PVCalcs!AA174,IF('PV IN'!$F$4="Battery Only",BattCalcs!AV174+BattCalcs!BH174,PVCalcs!W174+PVCalcs!AA174+BattCalcs!AV174+BattCalcs!BH174))</f>
        <v>0</v>
      </c>
      <c r="AF174" s="10">
        <f>PVCalcs!AC174+BattCalcs!BJ174</f>
        <v>0</v>
      </c>
      <c r="AG174" s="144">
        <f>IF('PV IN'!$F$4="Battery Only",0,PVCalcs!AG174)</f>
        <v>-750</v>
      </c>
      <c r="AH174" s="144">
        <f>IF('PV IN'!$F$4="Battery Only",0,PVCalcs!AI174)</f>
        <v>0</v>
      </c>
      <c r="AI174" s="144">
        <f>IF('PV IN'!$F$4="PV Only",0,BattCalcs!BM174)</f>
        <v>0</v>
      </c>
      <c r="AJ174" s="144">
        <f>IF('PV IN'!$F$4="PV Only",0,SUM(BattCalcs!BO174:BT174))</f>
        <v>0</v>
      </c>
      <c r="AK174" s="144">
        <f>IF('PV IN'!$F$4="PV Only",PVCalcs!AH174,IF('PV IN'!$F$4="Battery Only",BattCalcs!BN174,PVCalcs!AH174+BattCalcs!BN174))</f>
        <v>-625</v>
      </c>
      <c r="AL174" s="144">
        <f>IF('PV IN'!$F$4="PV Only",0,BattCalcs!BV174)</f>
        <v>0</v>
      </c>
      <c r="AM174" s="144">
        <f>IF('PV IN'!$F$4="PV Only",0,SUM(BattCalcs!BW174:BX174))</f>
        <v>0</v>
      </c>
      <c r="AN174" s="144">
        <f>IF('PV IN'!$F$4="PV Only",0,BattCalcs!BY174)</f>
        <v>0</v>
      </c>
      <c r="AO174" s="144">
        <f>IF('PV IN'!$F$4="Battery Only",0,PVCalcs!U174)</f>
        <v>11105.572589953092</v>
      </c>
      <c r="AP174" s="10">
        <f>IF('PV IN'!$F$4="PV Only",0,BattCalcs!AS174)</f>
        <v>0</v>
      </c>
      <c r="AQ174" s="10">
        <f>IF('PV IN'!$F$4="PV Only",0,BattCalcs!AT174)</f>
        <v>0</v>
      </c>
      <c r="AR174" s="10">
        <f>IF('PV IN'!$F$4="PV Only",0,BattCalcs!AU174)</f>
        <v>0</v>
      </c>
      <c r="AS174" s="144">
        <f>IF('PV IN'!$F$4="PV Only",PVCalcs!X174,IF('PV IN'!$F$4="Battery Only",BattCalcs!AW174,PVCalcs!X174+BattCalcs!AW174))</f>
        <v>0</v>
      </c>
      <c r="AT174" s="144">
        <f>IF('PV IN'!$F$4="Battery Only",0,-PVCalcs!AQ174*'PV IN'!$E$8)</f>
        <v>0</v>
      </c>
      <c r="AU174" s="144">
        <f>IF('PV IN'!$F$4="PV Only",0,-BattCalcs!CG174*'PV IN'!$E$8)</f>
        <v>0</v>
      </c>
      <c r="AV174" s="144">
        <f>IF('PV IN'!$F$4="PV Only",PVCalcs!Z174+PVCalcs!AA174,IF('PV IN'!$F$4="Battery Only",SUM(BattCalcs!BC174:BH174),PVCalcs!Z174+PVCalcs!AA174+SUM(BattCalcs!BC174:BH174)))</f>
        <v>0</v>
      </c>
      <c r="AW174" s="144">
        <f>IF('PV IN'!$F$4="PV Only",SUM(PVCalcs!AF174:AI174),IF('PV IN'!$F$4="Battery Only",SUM(BattCalcs!BL174:BY174),SUM(PVCalcs!AF174:AI174)+SUM(BattCalcs!BL174:BY174)))</f>
        <v>-1375</v>
      </c>
      <c r="AX174" s="144">
        <f>IF('PV IN'!$F$4="Battery Only",0,-PVLoan!F202)</f>
        <v>0</v>
      </c>
      <c r="AY174" s="144">
        <f>IF('PV IN'!$F$4="PV Only",0,-BattLoan!F202)</f>
        <v>0</v>
      </c>
      <c r="AZ174" s="144">
        <f>IF('PV IN'!$F$4="Battery Only",0,-PVLoan!H202)</f>
        <v>0</v>
      </c>
      <c r="BA174" s="144">
        <f>IF('PV IN'!$F$4="PV Only",0,-BattLoan!H202)</f>
        <v>0</v>
      </c>
    </row>
    <row r="175" spans="1:88" x14ac:dyDescent="0.25">
      <c r="A175">
        <f>IF(C175&lt;='PV IN'!$O$22*12,C175,"")</f>
        <v>171</v>
      </c>
      <c r="C175">
        <v>171</v>
      </c>
      <c r="D175" s="2">
        <f>BattCalcs!CK175+PVCalcs!AT175</f>
        <v>11781.933035005497</v>
      </c>
      <c r="E175" s="20">
        <f>PVCalcs!AV175</f>
        <v>849083.99097996717</v>
      </c>
      <c r="F175" s="20">
        <f>PVCalcs!AW175</f>
        <v>5878.5340523311143</v>
      </c>
      <c r="G175" s="20">
        <f>PVCalcs!AX175</f>
        <v>212949.64213645639</v>
      </c>
      <c r="H175" s="20">
        <f>BattCalcs!CM175</f>
        <v>0</v>
      </c>
      <c r="I175" s="20">
        <f>BattCalcs!CN175</f>
        <v>0</v>
      </c>
      <c r="J175" s="20">
        <f>IF(C175&lt;='Batt IN'!H$43*12,BattCalcs!CO175,NA())</f>
        <v>0</v>
      </c>
      <c r="L175" s="20">
        <f t="shared" si="313"/>
        <v>5878.5340523311143</v>
      </c>
      <c r="M175" s="20">
        <f>G175+BattCalcs!CO175</f>
        <v>212949.64213645639</v>
      </c>
      <c r="O175" s="10">
        <f>PVLoan!G203</f>
        <v>0</v>
      </c>
      <c r="P175" s="10">
        <f>PVLoan!J203</f>
        <v>0</v>
      </c>
      <c r="Q175" s="2" t="str">
        <f>BattLoan!G203</f>
        <v>-</v>
      </c>
      <c r="R175" s="10" t="str">
        <f>BattLoan!J203</f>
        <v>-</v>
      </c>
      <c r="T175" s="33">
        <f>IF('PV IN'!$F$4="Battery Only",0,PVCalcs!G175)</f>
        <v>136154.9353932596</v>
      </c>
      <c r="U175" s="33">
        <f>IF('PV IN'!$F$4="Battery Only",0,PVCalcs!M175)</f>
        <v>136154.9353932596</v>
      </c>
      <c r="V175" s="33">
        <f>PVCalcs!L175</f>
        <v>25811.765833333331</v>
      </c>
      <c r="W175" s="158">
        <f>PVCalcs!F175</f>
        <v>8.1511322691594043E-2</v>
      </c>
      <c r="X175" s="144">
        <f>IF('PV IN'!$F$4="Battery Only",0,PVCalcs!Y175+PVCalcs!Z175)</f>
        <v>1770.0141601123746</v>
      </c>
      <c r="Y175" s="144">
        <f>IF('PV IN'!$F$4="PV Only",0,BattCalcs!AX175+BattCalcs!BC175)</f>
        <v>0</v>
      </c>
      <c r="Z175" s="144">
        <f>IF('PV IN'!$F$4="PV Only",0,BattCalcs!AY175+BattCalcs!BD175)</f>
        <v>0</v>
      </c>
      <c r="AA175" s="144">
        <f>IF('PV IN'!$F$4="PV Only",0,BattCalcs!AZ175+BattCalcs!BE175)</f>
        <v>0</v>
      </c>
      <c r="AB175" s="144">
        <f>IF('PV IN'!$F$4="PV Only",0,BattCalcs!BA175+BattCalcs!BF175)</f>
        <v>0</v>
      </c>
      <c r="AC175" s="144">
        <f>IF('PV IN'!$F$4="PV Only",0,BattCalcs!BB175+BattCalcs!BG175)</f>
        <v>0</v>
      </c>
      <c r="AD175" s="144">
        <f>IF('PV IN'!$F$4="PV Only",0,BattCalcs!BU175)</f>
        <v>0</v>
      </c>
      <c r="AE175" s="144">
        <f>IF('PV IN'!$F$4="PV Only",PVCalcs!W175+PVCalcs!AA175,IF('PV IN'!$F$4="Battery Only",BattCalcs!AV175+BattCalcs!BH175,PVCalcs!W175+PVCalcs!AA175+BattCalcs!AV175+BattCalcs!BH175))</f>
        <v>0</v>
      </c>
      <c r="AF175" s="10">
        <f>PVCalcs!AC175+BattCalcs!BJ175</f>
        <v>0</v>
      </c>
      <c r="AG175" s="144">
        <f>IF('PV IN'!$F$4="Battery Only",0,PVCalcs!AG175)</f>
        <v>-750</v>
      </c>
      <c r="AH175" s="144">
        <f>IF('PV IN'!$F$4="Battery Only",0,PVCalcs!AI175)</f>
        <v>0</v>
      </c>
      <c r="AI175" s="144">
        <f>IF('PV IN'!$F$4="PV Only",0,BattCalcs!BM175)</f>
        <v>0</v>
      </c>
      <c r="AJ175" s="144">
        <f>IF('PV IN'!$F$4="PV Only",0,SUM(BattCalcs!BO175:BT175))</f>
        <v>0</v>
      </c>
      <c r="AK175" s="144">
        <f>IF('PV IN'!$F$4="PV Only",PVCalcs!AH175,IF('PV IN'!$F$4="Battery Only",BattCalcs!BN175,PVCalcs!AH175+BattCalcs!BN175))</f>
        <v>-625</v>
      </c>
      <c r="AL175" s="144">
        <f>IF('PV IN'!$F$4="PV Only",0,BattCalcs!BV175)</f>
        <v>0</v>
      </c>
      <c r="AM175" s="144">
        <f>IF('PV IN'!$F$4="PV Only",0,SUM(BattCalcs!BW175:BX175))</f>
        <v>0</v>
      </c>
      <c r="AN175" s="144">
        <f>IF('PV IN'!$F$4="PV Only",0,BattCalcs!BY175)</f>
        <v>0</v>
      </c>
      <c r="AO175" s="144">
        <f>IF('PV IN'!$F$4="Battery Only",0,PVCalcs!U175)</f>
        <v>11098.168874893123</v>
      </c>
      <c r="AP175" s="10">
        <f>IF('PV IN'!$F$4="PV Only",0,BattCalcs!AS175)</f>
        <v>0</v>
      </c>
      <c r="AQ175" s="10">
        <f>IF('PV IN'!$F$4="PV Only",0,BattCalcs!AT175)</f>
        <v>0</v>
      </c>
      <c r="AR175" s="10">
        <f>IF('PV IN'!$F$4="PV Only",0,BattCalcs!AU175)</f>
        <v>0</v>
      </c>
      <c r="AS175" s="144">
        <f>IF('PV IN'!$F$4="PV Only",PVCalcs!X175,IF('PV IN'!$F$4="Battery Only",BattCalcs!AW175,PVCalcs!X175+BattCalcs!AW175))</f>
        <v>0</v>
      </c>
      <c r="AT175" s="144">
        <f>IF('PV IN'!$F$4="Battery Only",0,-PVCalcs!AQ175*'PV IN'!$E$8)</f>
        <v>0</v>
      </c>
      <c r="AU175" s="144">
        <f>IF('PV IN'!$F$4="PV Only",0,-BattCalcs!CG175*'PV IN'!$E$8)</f>
        <v>0</v>
      </c>
      <c r="AV175" s="144">
        <f>IF('PV IN'!$F$4="PV Only",PVCalcs!Z175+PVCalcs!AA175,IF('PV IN'!$F$4="Battery Only",SUM(BattCalcs!BC175:BH175),PVCalcs!Z175+PVCalcs!AA175+SUM(BattCalcs!BC175:BH175)))</f>
        <v>0</v>
      </c>
      <c r="AW175" s="144">
        <f>IF('PV IN'!$F$4="PV Only",SUM(PVCalcs!AF175:AI175),IF('PV IN'!$F$4="Battery Only",SUM(BattCalcs!BL175:BY175),SUM(PVCalcs!AF175:AI175)+SUM(BattCalcs!BL175:BY175)))</f>
        <v>-1375</v>
      </c>
      <c r="AX175" s="144">
        <f>IF('PV IN'!$F$4="Battery Only",0,-PVLoan!F203)</f>
        <v>0</v>
      </c>
      <c r="AY175" s="144">
        <f>IF('PV IN'!$F$4="PV Only",0,-BattLoan!F203)</f>
        <v>0</v>
      </c>
      <c r="AZ175" s="144">
        <f>IF('PV IN'!$F$4="Battery Only",0,-PVLoan!H203)</f>
        <v>0</v>
      </c>
      <c r="BA175" s="144">
        <f>IF('PV IN'!$F$4="PV Only",0,-BattLoan!H203)</f>
        <v>0</v>
      </c>
    </row>
    <row r="176" spans="1:88" x14ac:dyDescent="0.25">
      <c r="A176">
        <f>IF(C176&lt;='PV IN'!$O$22*12,C176,"")</f>
        <v>172</v>
      </c>
      <c r="C176">
        <v>172</v>
      </c>
      <c r="D176" s="2">
        <f>BattCalcs!CK176+PVCalcs!AT176</f>
        <v>11773.354246315495</v>
      </c>
      <c r="E176" s="20">
        <f>PVCalcs!AV176</f>
        <v>860857.34522628272</v>
      </c>
      <c r="F176" s="20">
        <f>PVCalcs!AW176</f>
        <v>5850.4183817738312</v>
      </c>
      <c r="G176" s="20">
        <f>PVCalcs!AX176</f>
        <v>218800.06051823022</v>
      </c>
      <c r="H176" s="20">
        <f>BattCalcs!CM176</f>
        <v>0</v>
      </c>
      <c r="I176" s="20">
        <f>BattCalcs!CN176</f>
        <v>0</v>
      </c>
      <c r="J176" s="20">
        <f>IF(C176&lt;='Batt IN'!H$43*12,BattCalcs!CO176,NA())</f>
        <v>0</v>
      </c>
      <c r="L176" s="20">
        <f t="shared" si="313"/>
        <v>5850.4183817738312</v>
      </c>
      <c r="M176" s="20">
        <f>G176+BattCalcs!CO176</f>
        <v>218800.06051823022</v>
      </c>
      <c r="O176" s="10">
        <f>PVLoan!G204</f>
        <v>0</v>
      </c>
      <c r="P176" s="10">
        <f>PVLoan!J204</f>
        <v>0</v>
      </c>
      <c r="Q176" s="2" t="str">
        <f>BattLoan!G204</f>
        <v>-</v>
      </c>
      <c r="R176" s="10" t="str">
        <f>BattLoan!J204</f>
        <v>-</v>
      </c>
      <c r="T176" s="33">
        <f>IF('PV IN'!$F$4="Battery Only",0,PVCalcs!G176)</f>
        <v>136064.16543633078</v>
      </c>
      <c r="U176" s="33">
        <f>IF('PV IN'!$F$4="Battery Only",0,PVCalcs!M176)</f>
        <v>136064.16543633078</v>
      </c>
      <c r="V176" s="33">
        <f>PVCalcs!L176</f>
        <v>25811.765833333331</v>
      </c>
      <c r="W176" s="158">
        <f>PVCalcs!F176</f>
        <v>8.1511322691594043E-2</v>
      </c>
      <c r="X176" s="144">
        <f>IF('PV IN'!$F$4="Battery Only",0,PVCalcs!Y176+PVCalcs!Z176)</f>
        <v>1768.8341506723</v>
      </c>
      <c r="Y176" s="144">
        <f>IF('PV IN'!$F$4="PV Only",0,BattCalcs!AX176+BattCalcs!BC176)</f>
        <v>0</v>
      </c>
      <c r="Z176" s="144">
        <f>IF('PV IN'!$F$4="PV Only",0,BattCalcs!AY176+BattCalcs!BD176)</f>
        <v>0</v>
      </c>
      <c r="AA176" s="144">
        <f>IF('PV IN'!$F$4="PV Only",0,BattCalcs!AZ176+BattCalcs!BE176)</f>
        <v>0</v>
      </c>
      <c r="AB176" s="144">
        <f>IF('PV IN'!$F$4="PV Only",0,BattCalcs!BA176+BattCalcs!BF176)</f>
        <v>0</v>
      </c>
      <c r="AC176" s="144">
        <f>IF('PV IN'!$F$4="PV Only",0,BattCalcs!BB176+BattCalcs!BG176)</f>
        <v>0</v>
      </c>
      <c r="AD176" s="144">
        <f>IF('PV IN'!$F$4="PV Only",0,BattCalcs!BU176)</f>
        <v>0</v>
      </c>
      <c r="AE176" s="144">
        <f>IF('PV IN'!$F$4="PV Only",PVCalcs!W176+PVCalcs!AA176,IF('PV IN'!$F$4="Battery Only",BattCalcs!AV176+BattCalcs!BH176,PVCalcs!W176+PVCalcs!AA176+BattCalcs!AV176+BattCalcs!BH176))</f>
        <v>0</v>
      </c>
      <c r="AF176" s="10">
        <f>PVCalcs!AC176+BattCalcs!BJ176</f>
        <v>0</v>
      </c>
      <c r="AG176" s="144">
        <f>IF('PV IN'!$F$4="Battery Only",0,PVCalcs!AG176)</f>
        <v>-750</v>
      </c>
      <c r="AH176" s="144">
        <f>IF('PV IN'!$F$4="Battery Only",0,PVCalcs!AI176)</f>
        <v>0</v>
      </c>
      <c r="AI176" s="144">
        <f>IF('PV IN'!$F$4="PV Only",0,BattCalcs!BM176)</f>
        <v>0</v>
      </c>
      <c r="AJ176" s="144">
        <f>IF('PV IN'!$F$4="PV Only",0,SUM(BattCalcs!BO176:BT176))</f>
        <v>0</v>
      </c>
      <c r="AK176" s="144">
        <f>IF('PV IN'!$F$4="PV Only",PVCalcs!AH176,IF('PV IN'!$F$4="Battery Only",BattCalcs!BN176,PVCalcs!AH176+BattCalcs!BN176))</f>
        <v>-625</v>
      </c>
      <c r="AL176" s="144">
        <f>IF('PV IN'!$F$4="PV Only",0,BattCalcs!BV176)</f>
        <v>0</v>
      </c>
      <c r="AM176" s="144">
        <f>IF('PV IN'!$F$4="PV Only",0,SUM(BattCalcs!BW176:BX176))</f>
        <v>0</v>
      </c>
      <c r="AN176" s="144">
        <f>IF('PV IN'!$F$4="PV Only",0,BattCalcs!BY176)</f>
        <v>0</v>
      </c>
      <c r="AO176" s="144">
        <f>IF('PV IN'!$F$4="Battery Only",0,PVCalcs!U176)</f>
        <v>11090.770095643195</v>
      </c>
      <c r="AP176" s="10">
        <f>IF('PV IN'!$F$4="PV Only",0,BattCalcs!AS176)</f>
        <v>0</v>
      </c>
      <c r="AQ176" s="10">
        <f>IF('PV IN'!$F$4="PV Only",0,BattCalcs!AT176)</f>
        <v>0</v>
      </c>
      <c r="AR176" s="10">
        <f>IF('PV IN'!$F$4="PV Only",0,BattCalcs!AU176)</f>
        <v>0</v>
      </c>
      <c r="AS176" s="144">
        <f>IF('PV IN'!$F$4="PV Only",PVCalcs!X176,IF('PV IN'!$F$4="Battery Only",BattCalcs!AW176,PVCalcs!X176+BattCalcs!AW176))</f>
        <v>0</v>
      </c>
      <c r="AT176" s="144">
        <f>IF('PV IN'!$F$4="Battery Only",0,-PVCalcs!AQ176*'PV IN'!$E$8)</f>
        <v>0</v>
      </c>
      <c r="AU176" s="144">
        <f>IF('PV IN'!$F$4="PV Only",0,-BattCalcs!CG176*'PV IN'!$E$8)</f>
        <v>0</v>
      </c>
      <c r="AV176" s="144">
        <f>IF('PV IN'!$F$4="PV Only",PVCalcs!Z176+PVCalcs!AA176,IF('PV IN'!$F$4="Battery Only",SUM(BattCalcs!BC176:BH176),PVCalcs!Z176+PVCalcs!AA176+SUM(BattCalcs!BC176:BH176)))</f>
        <v>0</v>
      </c>
      <c r="AW176" s="144">
        <f>IF('PV IN'!$F$4="PV Only",SUM(PVCalcs!AF176:AI176),IF('PV IN'!$F$4="Battery Only",SUM(BattCalcs!BL176:BY176),SUM(PVCalcs!AF176:AI176)+SUM(BattCalcs!BL176:BY176)))</f>
        <v>-1375</v>
      </c>
      <c r="AX176" s="144">
        <f>IF('PV IN'!$F$4="Battery Only",0,-PVLoan!F204)</f>
        <v>0</v>
      </c>
      <c r="AY176" s="144">
        <f>IF('PV IN'!$F$4="PV Only",0,-BattLoan!F204)</f>
        <v>0</v>
      </c>
      <c r="AZ176" s="144">
        <f>IF('PV IN'!$F$4="Battery Only",0,-PVLoan!H204)</f>
        <v>0</v>
      </c>
      <c r="BA176" s="144">
        <f>IF('PV IN'!$F$4="PV Only",0,-BattLoan!H204)</f>
        <v>0</v>
      </c>
    </row>
    <row r="177" spans="1:88" x14ac:dyDescent="0.25">
      <c r="A177">
        <f>IF(C177&lt;='PV IN'!$O$22*12,C177,"")</f>
        <v>173</v>
      </c>
      <c r="C177">
        <v>173</v>
      </c>
      <c r="D177" s="2">
        <f>BattCalcs!CK177+PVCalcs!AT177</f>
        <v>11764.781176817951</v>
      </c>
      <c r="E177" s="20">
        <f>PVCalcs!AV177</f>
        <v>872622.12640310067</v>
      </c>
      <c r="F177" s="20">
        <f>PVCalcs!AW177</f>
        <v>5822.436921017742</v>
      </c>
      <c r="G177" s="20">
        <f>PVCalcs!AX177</f>
        <v>224622.49743924796</v>
      </c>
      <c r="H177" s="20">
        <f>BattCalcs!CM177</f>
        <v>0</v>
      </c>
      <c r="I177" s="20">
        <f>BattCalcs!CN177</f>
        <v>0</v>
      </c>
      <c r="J177" s="20">
        <f>IF(C177&lt;='Batt IN'!H$43*12,BattCalcs!CO177,NA())</f>
        <v>0</v>
      </c>
      <c r="L177" s="20">
        <f t="shared" si="313"/>
        <v>5822.436921017742</v>
      </c>
      <c r="M177" s="20">
        <f>G177+BattCalcs!CO177</f>
        <v>224622.49743924796</v>
      </c>
      <c r="O177" s="10">
        <f>PVLoan!G205</f>
        <v>0</v>
      </c>
      <c r="P177" s="10">
        <f>PVLoan!J205</f>
        <v>0</v>
      </c>
      <c r="Q177" s="2" t="str">
        <f>BattLoan!G205</f>
        <v>-</v>
      </c>
      <c r="R177" s="10" t="str">
        <f>BattLoan!J205</f>
        <v>-</v>
      </c>
      <c r="T177" s="33">
        <f>IF('PV IN'!$F$4="Battery Only",0,PVCalcs!G177)</f>
        <v>135973.45599270656</v>
      </c>
      <c r="U177" s="33">
        <f>IF('PV IN'!$F$4="Battery Only",0,PVCalcs!M177)</f>
        <v>135973.45599270656</v>
      </c>
      <c r="V177" s="33">
        <f>PVCalcs!L177</f>
        <v>25811.765833333331</v>
      </c>
      <c r="W177" s="158">
        <f>PVCalcs!F177</f>
        <v>8.1511322691594043E-2</v>
      </c>
      <c r="X177" s="144">
        <f>IF('PV IN'!$F$4="Battery Only",0,PVCalcs!Y177+PVCalcs!Z177)</f>
        <v>1767.6549279051851</v>
      </c>
      <c r="Y177" s="144">
        <f>IF('PV IN'!$F$4="PV Only",0,BattCalcs!AX177+BattCalcs!BC177)</f>
        <v>0</v>
      </c>
      <c r="Z177" s="144">
        <f>IF('PV IN'!$F$4="PV Only",0,BattCalcs!AY177+BattCalcs!BD177)</f>
        <v>0</v>
      </c>
      <c r="AA177" s="144">
        <f>IF('PV IN'!$F$4="PV Only",0,BattCalcs!AZ177+BattCalcs!BE177)</f>
        <v>0</v>
      </c>
      <c r="AB177" s="144">
        <f>IF('PV IN'!$F$4="PV Only",0,BattCalcs!BA177+BattCalcs!BF177)</f>
        <v>0</v>
      </c>
      <c r="AC177" s="144">
        <f>IF('PV IN'!$F$4="PV Only",0,BattCalcs!BB177+BattCalcs!BG177)</f>
        <v>0</v>
      </c>
      <c r="AD177" s="144">
        <f>IF('PV IN'!$F$4="PV Only",0,BattCalcs!BU177)</f>
        <v>0</v>
      </c>
      <c r="AE177" s="144">
        <f>IF('PV IN'!$F$4="PV Only",PVCalcs!W177+PVCalcs!AA177,IF('PV IN'!$F$4="Battery Only",BattCalcs!AV177+BattCalcs!BH177,PVCalcs!W177+PVCalcs!AA177+BattCalcs!AV177+BattCalcs!BH177))</f>
        <v>0</v>
      </c>
      <c r="AF177" s="10">
        <f>PVCalcs!AC177+BattCalcs!BJ177</f>
        <v>0</v>
      </c>
      <c r="AG177" s="144">
        <f>IF('PV IN'!$F$4="Battery Only",0,PVCalcs!AG177)</f>
        <v>-750</v>
      </c>
      <c r="AH177" s="144">
        <f>IF('PV IN'!$F$4="Battery Only",0,PVCalcs!AI177)</f>
        <v>0</v>
      </c>
      <c r="AI177" s="144">
        <f>IF('PV IN'!$F$4="PV Only",0,BattCalcs!BM177)</f>
        <v>0</v>
      </c>
      <c r="AJ177" s="144">
        <f>IF('PV IN'!$F$4="PV Only",0,SUM(BattCalcs!BO177:BT177))</f>
        <v>0</v>
      </c>
      <c r="AK177" s="144">
        <f>IF('PV IN'!$F$4="PV Only",PVCalcs!AH177,IF('PV IN'!$F$4="Battery Only",BattCalcs!BN177,PVCalcs!AH177+BattCalcs!BN177))</f>
        <v>-625</v>
      </c>
      <c r="AL177" s="144">
        <f>IF('PV IN'!$F$4="PV Only",0,BattCalcs!BV177)</f>
        <v>0</v>
      </c>
      <c r="AM177" s="144">
        <f>IF('PV IN'!$F$4="PV Only",0,SUM(BattCalcs!BW177:BX177))</f>
        <v>0</v>
      </c>
      <c r="AN177" s="144">
        <f>IF('PV IN'!$F$4="PV Only",0,BattCalcs!BY177)</f>
        <v>0</v>
      </c>
      <c r="AO177" s="144">
        <f>IF('PV IN'!$F$4="Battery Only",0,PVCalcs!U177)</f>
        <v>11083.376248912766</v>
      </c>
      <c r="AP177" s="10">
        <f>IF('PV IN'!$F$4="PV Only",0,BattCalcs!AS177)</f>
        <v>0</v>
      </c>
      <c r="AQ177" s="10">
        <f>IF('PV IN'!$F$4="PV Only",0,BattCalcs!AT177)</f>
        <v>0</v>
      </c>
      <c r="AR177" s="10">
        <f>IF('PV IN'!$F$4="PV Only",0,BattCalcs!AU177)</f>
        <v>0</v>
      </c>
      <c r="AS177" s="144">
        <f>IF('PV IN'!$F$4="PV Only",PVCalcs!X177,IF('PV IN'!$F$4="Battery Only",BattCalcs!AW177,PVCalcs!X177+BattCalcs!AW177))</f>
        <v>0</v>
      </c>
      <c r="AT177" s="144">
        <f>IF('PV IN'!$F$4="Battery Only",0,-PVCalcs!AQ177*'PV IN'!$E$8)</f>
        <v>0</v>
      </c>
      <c r="AU177" s="144">
        <f>IF('PV IN'!$F$4="PV Only",0,-BattCalcs!CG177*'PV IN'!$E$8)</f>
        <v>0</v>
      </c>
      <c r="AV177" s="144">
        <f>IF('PV IN'!$F$4="PV Only",PVCalcs!Z177+PVCalcs!AA177,IF('PV IN'!$F$4="Battery Only",SUM(BattCalcs!BC177:BH177),PVCalcs!Z177+PVCalcs!AA177+SUM(BattCalcs!BC177:BH177)))</f>
        <v>0</v>
      </c>
      <c r="AW177" s="144">
        <f>IF('PV IN'!$F$4="PV Only",SUM(PVCalcs!AF177:AI177),IF('PV IN'!$F$4="Battery Only",SUM(BattCalcs!BL177:BY177),SUM(PVCalcs!AF177:AI177)+SUM(BattCalcs!BL177:BY177)))</f>
        <v>-1375</v>
      </c>
      <c r="AX177" s="144">
        <f>IF('PV IN'!$F$4="Battery Only",0,-PVLoan!F205)</f>
        <v>0</v>
      </c>
      <c r="AY177" s="144">
        <f>IF('PV IN'!$F$4="PV Only",0,-BattLoan!F205)</f>
        <v>0</v>
      </c>
      <c r="AZ177" s="144">
        <f>IF('PV IN'!$F$4="Battery Only",0,-PVLoan!H205)</f>
        <v>0</v>
      </c>
      <c r="BA177" s="144">
        <f>IF('PV IN'!$F$4="PV Only",0,-BattLoan!H205)</f>
        <v>0</v>
      </c>
    </row>
    <row r="178" spans="1:88" x14ac:dyDescent="0.25">
      <c r="A178">
        <f>IF(C178&lt;='PV IN'!$O$22*12,C178,"")</f>
        <v>174</v>
      </c>
      <c r="C178">
        <v>174</v>
      </c>
      <c r="D178" s="2">
        <f>BattCalcs!CK178+PVCalcs!AT178</f>
        <v>11756.213822700072</v>
      </c>
      <c r="E178" s="20">
        <f>PVCalcs!AV178</f>
        <v>884378.34022580076</v>
      </c>
      <c r="F178" s="20">
        <f>PVCalcs!AW178</f>
        <v>5794.5890304593513</v>
      </c>
      <c r="G178" s="20">
        <f>PVCalcs!AX178</f>
        <v>230417.08646970731</v>
      </c>
      <c r="H178" s="20">
        <f>BattCalcs!CM178</f>
        <v>0</v>
      </c>
      <c r="I178" s="20">
        <f>BattCalcs!CN178</f>
        <v>0</v>
      </c>
      <c r="J178" s="20">
        <f>IF(C178&lt;='Batt IN'!H$43*12,BattCalcs!CO178,NA())</f>
        <v>0</v>
      </c>
      <c r="L178" s="20">
        <f t="shared" si="313"/>
        <v>5794.5890304593513</v>
      </c>
      <c r="M178" s="20">
        <f>G178+BattCalcs!CO178</f>
        <v>230417.08646970731</v>
      </c>
      <c r="O178" s="10">
        <f>PVLoan!G206</f>
        <v>0</v>
      </c>
      <c r="P178" s="10">
        <f>PVLoan!J206</f>
        <v>0</v>
      </c>
      <c r="Q178" s="2" t="str">
        <f>BattLoan!G206</f>
        <v>-</v>
      </c>
      <c r="R178" s="10" t="str">
        <f>BattLoan!J206</f>
        <v>-</v>
      </c>
      <c r="T178" s="33">
        <f>IF('PV IN'!$F$4="Battery Only",0,PVCalcs!G178)</f>
        <v>135882.80702204476</v>
      </c>
      <c r="U178" s="33">
        <f>IF('PV IN'!$F$4="Battery Only",0,PVCalcs!M178)</f>
        <v>135882.80702204476</v>
      </c>
      <c r="V178" s="33">
        <f>PVCalcs!L178</f>
        <v>25811.765833333331</v>
      </c>
      <c r="W178" s="158">
        <f>PVCalcs!F178</f>
        <v>8.1511322691594043E-2</v>
      </c>
      <c r="X178" s="144">
        <f>IF('PV IN'!$F$4="Battery Only",0,PVCalcs!Y178+PVCalcs!Z178)</f>
        <v>1766.4764912865819</v>
      </c>
      <c r="Y178" s="144">
        <f>IF('PV IN'!$F$4="PV Only",0,BattCalcs!AX178+BattCalcs!BC178)</f>
        <v>0</v>
      </c>
      <c r="Z178" s="144">
        <f>IF('PV IN'!$F$4="PV Only",0,BattCalcs!AY178+BattCalcs!BD178)</f>
        <v>0</v>
      </c>
      <c r="AA178" s="144">
        <f>IF('PV IN'!$F$4="PV Only",0,BattCalcs!AZ178+BattCalcs!BE178)</f>
        <v>0</v>
      </c>
      <c r="AB178" s="144">
        <f>IF('PV IN'!$F$4="PV Only",0,BattCalcs!BA178+BattCalcs!BF178)</f>
        <v>0</v>
      </c>
      <c r="AC178" s="144">
        <f>IF('PV IN'!$F$4="PV Only",0,BattCalcs!BB178+BattCalcs!BG178)</f>
        <v>0</v>
      </c>
      <c r="AD178" s="144">
        <f>IF('PV IN'!$F$4="PV Only",0,BattCalcs!BU178)</f>
        <v>0</v>
      </c>
      <c r="AE178" s="144">
        <f>IF('PV IN'!$F$4="PV Only",PVCalcs!W178+PVCalcs!AA178,IF('PV IN'!$F$4="Battery Only",BattCalcs!AV178+BattCalcs!BH178,PVCalcs!W178+PVCalcs!AA178+BattCalcs!AV178+BattCalcs!BH178))</f>
        <v>0</v>
      </c>
      <c r="AF178" s="10">
        <f>PVCalcs!AC178+BattCalcs!BJ178</f>
        <v>0</v>
      </c>
      <c r="AG178" s="144">
        <f>IF('PV IN'!$F$4="Battery Only",0,PVCalcs!AG178)</f>
        <v>-750</v>
      </c>
      <c r="AH178" s="144">
        <f>IF('PV IN'!$F$4="Battery Only",0,PVCalcs!AI178)</f>
        <v>0</v>
      </c>
      <c r="AI178" s="144">
        <f>IF('PV IN'!$F$4="PV Only",0,BattCalcs!BM178)</f>
        <v>0</v>
      </c>
      <c r="AJ178" s="144">
        <f>IF('PV IN'!$F$4="PV Only",0,SUM(BattCalcs!BO178:BT178))</f>
        <v>0</v>
      </c>
      <c r="AK178" s="144">
        <f>IF('PV IN'!$F$4="PV Only",PVCalcs!AH178,IF('PV IN'!$F$4="Battery Only",BattCalcs!BN178,PVCalcs!AH178+BattCalcs!BN178))</f>
        <v>-625</v>
      </c>
      <c r="AL178" s="144">
        <f>IF('PV IN'!$F$4="PV Only",0,BattCalcs!BV178)</f>
        <v>0</v>
      </c>
      <c r="AM178" s="144">
        <f>IF('PV IN'!$F$4="PV Only",0,SUM(BattCalcs!BW178:BX178))</f>
        <v>0</v>
      </c>
      <c r="AN178" s="144">
        <f>IF('PV IN'!$F$4="PV Only",0,BattCalcs!BY178)</f>
        <v>0</v>
      </c>
      <c r="AO178" s="144">
        <f>IF('PV IN'!$F$4="Battery Only",0,PVCalcs!U178)</f>
        <v>11075.987331413491</v>
      </c>
      <c r="AP178" s="10">
        <f>IF('PV IN'!$F$4="PV Only",0,BattCalcs!AS178)</f>
        <v>0</v>
      </c>
      <c r="AQ178" s="10">
        <f>IF('PV IN'!$F$4="PV Only",0,BattCalcs!AT178)</f>
        <v>0</v>
      </c>
      <c r="AR178" s="10">
        <f>IF('PV IN'!$F$4="PV Only",0,BattCalcs!AU178)</f>
        <v>0</v>
      </c>
      <c r="AS178" s="144">
        <f>IF('PV IN'!$F$4="PV Only",PVCalcs!X178,IF('PV IN'!$F$4="Battery Only",BattCalcs!AW178,PVCalcs!X178+BattCalcs!AW178))</f>
        <v>0</v>
      </c>
      <c r="AT178" s="144">
        <f>IF('PV IN'!$F$4="Battery Only",0,-PVCalcs!AQ178*'PV IN'!$E$8)</f>
        <v>0</v>
      </c>
      <c r="AU178" s="144">
        <f>IF('PV IN'!$F$4="PV Only",0,-BattCalcs!CG178*'PV IN'!$E$8)</f>
        <v>0</v>
      </c>
      <c r="AV178" s="144">
        <f>IF('PV IN'!$F$4="PV Only",PVCalcs!Z178+PVCalcs!AA178,IF('PV IN'!$F$4="Battery Only",SUM(BattCalcs!BC178:BH178),PVCalcs!Z178+PVCalcs!AA178+SUM(BattCalcs!BC178:BH178)))</f>
        <v>0</v>
      </c>
      <c r="AW178" s="144">
        <f>IF('PV IN'!$F$4="PV Only",SUM(PVCalcs!AF178:AI178),IF('PV IN'!$F$4="Battery Only",SUM(BattCalcs!BL178:BY178),SUM(PVCalcs!AF178:AI178)+SUM(BattCalcs!BL178:BY178)))</f>
        <v>-1375</v>
      </c>
      <c r="AX178" s="144">
        <f>IF('PV IN'!$F$4="Battery Only",0,-PVLoan!F206)</f>
        <v>0</v>
      </c>
      <c r="AY178" s="144">
        <f>IF('PV IN'!$F$4="PV Only",0,-BattLoan!F206)</f>
        <v>0</v>
      </c>
      <c r="AZ178" s="144">
        <f>IF('PV IN'!$F$4="Battery Only",0,-PVLoan!H206)</f>
        <v>0</v>
      </c>
      <c r="BA178" s="144">
        <f>IF('PV IN'!$F$4="PV Only",0,-BattLoan!H206)</f>
        <v>0</v>
      </c>
    </row>
    <row r="179" spans="1:88" x14ac:dyDescent="0.25">
      <c r="A179">
        <f>IF(C179&lt;='PV IN'!$O$22*12,C179,"")</f>
        <v>175</v>
      </c>
      <c r="C179">
        <v>175</v>
      </c>
      <c r="D179" s="2">
        <f>BattCalcs!CK179+PVCalcs!AT179</f>
        <v>11747.652180151603</v>
      </c>
      <c r="E179" s="20">
        <f>PVCalcs!AV179</f>
        <v>896125.9924059523</v>
      </c>
      <c r="F179" s="20">
        <f>PVCalcs!AW179</f>
        <v>5766.8740735391166</v>
      </c>
      <c r="G179" s="20">
        <f>PVCalcs!AX179</f>
        <v>236183.96054324642</v>
      </c>
      <c r="H179" s="20">
        <f>BattCalcs!CM179</f>
        <v>0</v>
      </c>
      <c r="I179" s="20">
        <f>BattCalcs!CN179</f>
        <v>0</v>
      </c>
      <c r="J179" s="20">
        <f>IF(C179&lt;='Batt IN'!H$43*12,BattCalcs!CO179,NA())</f>
        <v>0</v>
      </c>
      <c r="L179" s="20">
        <f t="shared" si="313"/>
        <v>5766.8740735391166</v>
      </c>
      <c r="M179" s="20">
        <f>G179+BattCalcs!CO179</f>
        <v>236183.96054324642</v>
      </c>
      <c r="O179" s="10">
        <f>PVLoan!G207</f>
        <v>0</v>
      </c>
      <c r="P179" s="10">
        <f>PVLoan!J207</f>
        <v>0</v>
      </c>
      <c r="Q179" s="2" t="str">
        <f>BattLoan!G207</f>
        <v>-</v>
      </c>
      <c r="R179" s="10" t="str">
        <f>BattLoan!J207</f>
        <v>-</v>
      </c>
      <c r="T179" s="33">
        <f>IF('PV IN'!$F$4="Battery Only",0,PVCalcs!G179)</f>
        <v>135792.21848403002</v>
      </c>
      <c r="U179" s="33">
        <f>IF('PV IN'!$F$4="Battery Only",0,PVCalcs!M179)</f>
        <v>135792.21848403002</v>
      </c>
      <c r="V179" s="33">
        <f>PVCalcs!L179</f>
        <v>25811.765833333331</v>
      </c>
      <c r="W179" s="158">
        <f>PVCalcs!F179</f>
        <v>8.1511322691594043E-2</v>
      </c>
      <c r="X179" s="144">
        <f>IF('PV IN'!$F$4="Battery Only",0,PVCalcs!Y179+PVCalcs!Z179)</f>
        <v>1765.2988402923902</v>
      </c>
      <c r="Y179" s="144">
        <f>IF('PV IN'!$F$4="PV Only",0,BattCalcs!AX179+BattCalcs!BC179)</f>
        <v>0</v>
      </c>
      <c r="Z179" s="144">
        <f>IF('PV IN'!$F$4="PV Only",0,BattCalcs!AY179+BattCalcs!BD179)</f>
        <v>0</v>
      </c>
      <c r="AA179" s="144">
        <f>IF('PV IN'!$F$4="PV Only",0,BattCalcs!AZ179+BattCalcs!BE179)</f>
        <v>0</v>
      </c>
      <c r="AB179" s="144">
        <f>IF('PV IN'!$F$4="PV Only",0,BattCalcs!BA179+BattCalcs!BF179)</f>
        <v>0</v>
      </c>
      <c r="AC179" s="144">
        <f>IF('PV IN'!$F$4="PV Only",0,BattCalcs!BB179+BattCalcs!BG179)</f>
        <v>0</v>
      </c>
      <c r="AD179" s="144">
        <f>IF('PV IN'!$F$4="PV Only",0,BattCalcs!BU179)</f>
        <v>0</v>
      </c>
      <c r="AE179" s="144">
        <f>IF('PV IN'!$F$4="PV Only",PVCalcs!W179+PVCalcs!AA179,IF('PV IN'!$F$4="Battery Only",BattCalcs!AV179+BattCalcs!BH179,PVCalcs!W179+PVCalcs!AA179+BattCalcs!AV179+BattCalcs!BH179))</f>
        <v>0</v>
      </c>
      <c r="AF179" s="10">
        <f>PVCalcs!AC179+BattCalcs!BJ179</f>
        <v>0</v>
      </c>
      <c r="AG179" s="144">
        <f>IF('PV IN'!$F$4="Battery Only",0,PVCalcs!AG179)</f>
        <v>-750</v>
      </c>
      <c r="AH179" s="144">
        <f>IF('PV IN'!$F$4="Battery Only",0,PVCalcs!AI179)</f>
        <v>0</v>
      </c>
      <c r="AI179" s="144">
        <f>IF('PV IN'!$F$4="PV Only",0,BattCalcs!BM179)</f>
        <v>0</v>
      </c>
      <c r="AJ179" s="144">
        <f>IF('PV IN'!$F$4="PV Only",0,SUM(BattCalcs!BO179:BT179))</f>
        <v>0</v>
      </c>
      <c r="AK179" s="144">
        <f>IF('PV IN'!$F$4="PV Only",PVCalcs!AH179,IF('PV IN'!$F$4="Battery Only",BattCalcs!BN179,PVCalcs!AH179+BattCalcs!BN179))</f>
        <v>-625</v>
      </c>
      <c r="AL179" s="144">
        <f>IF('PV IN'!$F$4="PV Only",0,BattCalcs!BV179)</f>
        <v>0</v>
      </c>
      <c r="AM179" s="144">
        <f>IF('PV IN'!$F$4="PV Only",0,SUM(BattCalcs!BW179:BX179))</f>
        <v>0</v>
      </c>
      <c r="AN179" s="144">
        <f>IF('PV IN'!$F$4="PV Only",0,BattCalcs!BY179)</f>
        <v>0</v>
      </c>
      <c r="AO179" s="144">
        <f>IF('PV IN'!$F$4="Battery Only",0,PVCalcs!U179)</f>
        <v>11068.603339859212</v>
      </c>
      <c r="AP179" s="10">
        <f>IF('PV IN'!$F$4="PV Only",0,BattCalcs!AS179)</f>
        <v>0</v>
      </c>
      <c r="AQ179" s="10">
        <f>IF('PV IN'!$F$4="PV Only",0,BattCalcs!AT179)</f>
        <v>0</v>
      </c>
      <c r="AR179" s="10">
        <f>IF('PV IN'!$F$4="PV Only",0,BattCalcs!AU179)</f>
        <v>0</v>
      </c>
      <c r="AS179" s="144">
        <f>IF('PV IN'!$F$4="PV Only",PVCalcs!X179,IF('PV IN'!$F$4="Battery Only",BattCalcs!AW179,PVCalcs!X179+BattCalcs!AW179))</f>
        <v>0</v>
      </c>
      <c r="AT179" s="144">
        <f>IF('PV IN'!$F$4="Battery Only",0,-PVCalcs!AQ179*'PV IN'!$E$8)</f>
        <v>0</v>
      </c>
      <c r="AU179" s="144">
        <f>IF('PV IN'!$F$4="PV Only",0,-BattCalcs!CG179*'PV IN'!$E$8)</f>
        <v>0</v>
      </c>
      <c r="AV179" s="144">
        <f>IF('PV IN'!$F$4="PV Only",PVCalcs!Z179+PVCalcs!AA179,IF('PV IN'!$F$4="Battery Only",SUM(BattCalcs!BC179:BH179),PVCalcs!Z179+PVCalcs!AA179+SUM(BattCalcs!BC179:BH179)))</f>
        <v>0</v>
      </c>
      <c r="AW179" s="144">
        <f>IF('PV IN'!$F$4="PV Only",SUM(PVCalcs!AF179:AI179),IF('PV IN'!$F$4="Battery Only",SUM(BattCalcs!BL179:BY179),SUM(PVCalcs!AF179:AI179)+SUM(BattCalcs!BL179:BY179)))</f>
        <v>-1375</v>
      </c>
      <c r="AX179" s="144">
        <f>IF('PV IN'!$F$4="Battery Only",0,-PVLoan!F207)</f>
        <v>0</v>
      </c>
      <c r="AY179" s="144">
        <f>IF('PV IN'!$F$4="PV Only",0,-BattLoan!F207)</f>
        <v>0</v>
      </c>
      <c r="AZ179" s="144">
        <f>IF('PV IN'!$F$4="Battery Only",0,-PVLoan!H207)</f>
        <v>0</v>
      </c>
      <c r="BA179" s="144">
        <f>IF('PV IN'!$F$4="PV Only",0,-BattLoan!H207)</f>
        <v>0</v>
      </c>
    </row>
    <row r="180" spans="1:88" x14ac:dyDescent="0.25">
      <c r="A180">
        <f>IF(C180&lt;='PV IN'!$O$22*12,C180,"")</f>
        <v>176</v>
      </c>
      <c r="C180">
        <v>176</v>
      </c>
      <c r="D180" s="2">
        <f>BattCalcs!CK180+PVCalcs!AT180</f>
        <v>11739.096245364835</v>
      </c>
      <c r="E180" s="20">
        <f>PVCalcs!AV180</f>
        <v>907865.08865131717</v>
      </c>
      <c r="F180" s="20">
        <f>PVCalcs!AW180</f>
        <v>5739.2914167269982</v>
      </c>
      <c r="G180" s="20">
        <f>PVCalcs!AX180</f>
        <v>241923.25195997342</v>
      </c>
      <c r="H180" s="20">
        <f>BattCalcs!CM180</f>
        <v>0</v>
      </c>
      <c r="I180" s="20">
        <f>BattCalcs!CN180</f>
        <v>0</v>
      </c>
      <c r="J180" s="20">
        <f>IF(C180&lt;='Batt IN'!H$43*12,BattCalcs!CO180,NA())</f>
        <v>0</v>
      </c>
      <c r="L180" s="20">
        <f t="shared" si="313"/>
        <v>5739.2914167269982</v>
      </c>
      <c r="M180" s="20">
        <f>G180+BattCalcs!CO180</f>
        <v>241923.25195997342</v>
      </c>
      <c r="O180" s="10">
        <f>PVLoan!G208</f>
        <v>0</v>
      </c>
      <c r="P180" s="10">
        <f>PVLoan!J208</f>
        <v>0</v>
      </c>
      <c r="Q180" s="2" t="str">
        <f>BattLoan!G208</f>
        <v>-</v>
      </c>
      <c r="R180" s="10" t="str">
        <f>BattLoan!J208</f>
        <v>-</v>
      </c>
      <c r="T180" s="33">
        <f>IF('PV IN'!$F$4="Battery Only",0,PVCalcs!G180)</f>
        <v>135701.690338374</v>
      </c>
      <c r="U180" s="33">
        <f>IF('PV IN'!$F$4="Battery Only",0,PVCalcs!M180)</f>
        <v>135701.690338374</v>
      </c>
      <c r="V180" s="33">
        <f>PVCalcs!L180</f>
        <v>25811.765833333331</v>
      </c>
      <c r="W180" s="158">
        <f>PVCalcs!F180</f>
        <v>8.1511322691594043E-2</v>
      </c>
      <c r="X180" s="144">
        <f>IF('PV IN'!$F$4="Battery Only",0,PVCalcs!Y180+PVCalcs!Z180)</f>
        <v>1764.121974398862</v>
      </c>
      <c r="Y180" s="144">
        <f>IF('PV IN'!$F$4="PV Only",0,BattCalcs!AX180+BattCalcs!BC180)</f>
        <v>0</v>
      </c>
      <c r="Z180" s="144">
        <f>IF('PV IN'!$F$4="PV Only",0,BattCalcs!AY180+BattCalcs!BD180)</f>
        <v>0</v>
      </c>
      <c r="AA180" s="144">
        <f>IF('PV IN'!$F$4="PV Only",0,BattCalcs!AZ180+BattCalcs!BE180)</f>
        <v>0</v>
      </c>
      <c r="AB180" s="144">
        <f>IF('PV IN'!$F$4="PV Only",0,BattCalcs!BA180+BattCalcs!BF180)</f>
        <v>0</v>
      </c>
      <c r="AC180" s="144">
        <f>IF('PV IN'!$F$4="PV Only",0,BattCalcs!BB180+BattCalcs!BG180)</f>
        <v>0</v>
      </c>
      <c r="AD180" s="144">
        <f>IF('PV IN'!$F$4="PV Only",0,BattCalcs!BU180)</f>
        <v>0</v>
      </c>
      <c r="AE180" s="144">
        <f>IF('PV IN'!$F$4="PV Only",PVCalcs!W180+PVCalcs!AA180,IF('PV IN'!$F$4="Battery Only",BattCalcs!AV180+BattCalcs!BH180,PVCalcs!W180+PVCalcs!AA180+BattCalcs!AV180+BattCalcs!BH180))</f>
        <v>0</v>
      </c>
      <c r="AF180" s="10">
        <f>PVCalcs!AC180+BattCalcs!BJ180</f>
        <v>0</v>
      </c>
      <c r="AG180" s="144">
        <f>IF('PV IN'!$F$4="Battery Only",0,PVCalcs!AG180)</f>
        <v>-750</v>
      </c>
      <c r="AH180" s="144">
        <f>IF('PV IN'!$F$4="Battery Only",0,PVCalcs!AI180)</f>
        <v>0</v>
      </c>
      <c r="AI180" s="144">
        <f>IF('PV IN'!$F$4="PV Only",0,BattCalcs!BM180)</f>
        <v>0</v>
      </c>
      <c r="AJ180" s="144">
        <f>IF('PV IN'!$F$4="PV Only",0,SUM(BattCalcs!BO180:BT180))</f>
        <v>0</v>
      </c>
      <c r="AK180" s="144">
        <f>IF('PV IN'!$F$4="PV Only",PVCalcs!AH180,IF('PV IN'!$F$4="Battery Only",BattCalcs!BN180,PVCalcs!AH180+BattCalcs!BN180))</f>
        <v>-625</v>
      </c>
      <c r="AL180" s="144">
        <f>IF('PV IN'!$F$4="PV Only",0,BattCalcs!BV180)</f>
        <v>0</v>
      </c>
      <c r="AM180" s="144">
        <f>IF('PV IN'!$F$4="PV Only",0,SUM(BattCalcs!BW180:BX180))</f>
        <v>0</v>
      </c>
      <c r="AN180" s="144">
        <f>IF('PV IN'!$F$4="PV Only",0,BattCalcs!BY180)</f>
        <v>0</v>
      </c>
      <c r="AO180" s="144">
        <f>IF('PV IN'!$F$4="Battery Only",0,PVCalcs!U180)</f>
        <v>11061.224270965973</v>
      </c>
      <c r="AP180" s="10">
        <f>IF('PV IN'!$F$4="PV Only",0,BattCalcs!AS180)</f>
        <v>0</v>
      </c>
      <c r="AQ180" s="10">
        <f>IF('PV IN'!$F$4="PV Only",0,BattCalcs!AT180)</f>
        <v>0</v>
      </c>
      <c r="AR180" s="10">
        <f>IF('PV IN'!$F$4="PV Only",0,BattCalcs!AU180)</f>
        <v>0</v>
      </c>
      <c r="AS180" s="144">
        <f>IF('PV IN'!$F$4="PV Only",PVCalcs!X180,IF('PV IN'!$F$4="Battery Only",BattCalcs!AW180,PVCalcs!X180+BattCalcs!AW180))</f>
        <v>0</v>
      </c>
      <c r="AT180" s="144">
        <f>IF('PV IN'!$F$4="Battery Only",0,-PVCalcs!AQ180*'PV IN'!$E$8)</f>
        <v>0</v>
      </c>
      <c r="AU180" s="144">
        <f>IF('PV IN'!$F$4="PV Only",0,-BattCalcs!CG180*'PV IN'!$E$8)</f>
        <v>0</v>
      </c>
      <c r="AV180" s="144">
        <f>IF('PV IN'!$F$4="PV Only",PVCalcs!Z180+PVCalcs!AA180,IF('PV IN'!$F$4="Battery Only",SUM(BattCalcs!BC180:BH180),PVCalcs!Z180+PVCalcs!AA180+SUM(BattCalcs!BC180:BH180)))</f>
        <v>0</v>
      </c>
      <c r="AW180" s="144">
        <f>IF('PV IN'!$F$4="PV Only",SUM(PVCalcs!AF180:AI180),IF('PV IN'!$F$4="Battery Only",SUM(BattCalcs!BL180:BY180),SUM(PVCalcs!AF180:AI180)+SUM(BattCalcs!BL180:BY180)))</f>
        <v>-1375</v>
      </c>
      <c r="AX180" s="144">
        <f>IF('PV IN'!$F$4="Battery Only",0,-PVLoan!F208)</f>
        <v>0</v>
      </c>
      <c r="AY180" s="144">
        <f>IF('PV IN'!$F$4="PV Only",0,-BattLoan!F208)</f>
        <v>0</v>
      </c>
      <c r="AZ180" s="144">
        <f>IF('PV IN'!$F$4="Battery Only",0,-PVLoan!H208)</f>
        <v>0</v>
      </c>
      <c r="BA180" s="144">
        <f>IF('PV IN'!$F$4="PV Only",0,-BattLoan!H208)</f>
        <v>0</v>
      </c>
    </row>
    <row r="181" spans="1:88" x14ac:dyDescent="0.25">
      <c r="A181">
        <f>IF(C181&lt;='PV IN'!$O$22*12,C181,"")</f>
        <v>177</v>
      </c>
      <c r="C181">
        <v>177</v>
      </c>
      <c r="D181" s="2">
        <f>BattCalcs!CK181+PVCalcs!AT181</f>
        <v>11730.546014534593</v>
      </c>
      <c r="E181" s="20">
        <f>PVCalcs!AV181</f>
        <v>919595.63466585171</v>
      </c>
      <c r="F181" s="20">
        <f>PVCalcs!AW181</f>
        <v>5711.8404295080445</v>
      </c>
      <c r="G181" s="20">
        <f>PVCalcs!AX181</f>
        <v>247635.09238948146</v>
      </c>
      <c r="H181" s="20">
        <f>BattCalcs!CM181</f>
        <v>0</v>
      </c>
      <c r="I181" s="20">
        <f>BattCalcs!CN181</f>
        <v>0</v>
      </c>
      <c r="J181" s="20">
        <f>IF(C181&lt;='Batt IN'!H$43*12,BattCalcs!CO181,NA())</f>
        <v>0</v>
      </c>
      <c r="L181" s="20">
        <f t="shared" si="313"/>
        <v>5711.8404295080445</v>
      </c>
      <c r="M181" s="20">
        <f>G181+BattCalcs!CO181</f>
        <v>247635.09238948146</v>
      </c>
      <c r="O181" s="10">
        <f>PVLoan!G209</f>
        <v>0</v>
      </c>
      <c r="P181" s="10">
        <f>PVLoan!J209</f>
        <v>0</v>
      </c>
      <c r="Q181" s="2" t="str">
        <f>BattLoan!G209</f>
        <v>-</v>
      </c>
      <c r="R181" s="10" t="str">
        <f>BattLoan!J209</f>
        <v>-</v>
      </c>
      <c r="T181" s="33">
        <f>IF('PV IN'!$F$4="Battery Only",0,PVCalcs!G181)</f>
        <v>135611.2225448151</v>
      </c>
      <c r="U181" s="33">
        <f>IF('PV IN'!$F$4="Battery Only",0,PVCalcs!M181)</f>
        <v>135611.2225448151</v>
      </c>
      <c r="V181" s="33">
        <f>PVCalcs!L181</f>
        <v>25811.765833333331</v>
      </c>
      <c r="W181" s="158">
        <f>PVCalcs!F181</f>
        <v>8.1511322691594043E-2</v>
      </c>
      <c r="X181" s="144">
        <f>IF('PV IN'!$F$4="Battery Only",0,PVCalcs!Y181+PVCalcs!Z181)</f>
        <v>1762.9458930825963</v>
      </c>
      <c r="Y181" s="144">
        <f>IF('PV IN'!$F$4="PV Only",0,BattCalcs!AX181+BattCalcs!BC181)</f>
        <v>0</v>
      </c>
      <c r="Z181" s="144">
        <f>IF('PV IN'!$F$4="PV Only",0,BattCalcs!AY181+BattCalcs!BD181)</f>
        <v>0</v>
      </c>
      <c r="AA181" s="144">
        <f>IF('PV IN'!$F$4="PV Only",0,BattCalcs!AZ181+BattCalcs!BE181)</f>
        <v>0</v>
      </c>
      <c r="AB181" s="144">
        <f>IF('PV IN'!$F$4="PV Only",0,BattCalcs!BA181+BattCalcs!BF181)</f>
        <v>0</v>
      </c>
      <c r="AC181" s="144">
        <f>IF('PV IN'!$F$4="PV Only",0,BattCalcs!BB181+BattCalcs!BG181)</f>
        <v>0</v>
      </c>
      <c r="AD181" s="144">
        <f>IF('PV IN'!$F$4="PV Only",0,BattCalcs!BU181)</f>
        <v>0</v>
      </c>
      <c r="AE181" s="144">
        <f>IF('PV IN'!$F$4="PV Only",PVCalcs!W181+PVCalcs!AA181,IF('PV IN'!$F$4="Battery Only",BattCalcs!AV181+BattCalcs!BH181,PVCalcs!W181+PVCalcs!AA181+BattCalcs!AV181+BattCalcs!BH181))</f>
        <v>0</v>
      </c>
      <c r="AF181" s="10">
        <f>PVCalcs!AC181+BattCalcs!BJ181</f>
        <v>0</v>
      </c>
      <c r="AG181" s="144">
        <f>IF('PV IN'!$F$4="Battery Only",0,PVCalcs!AG181)</f>
        <v>-750</v>
      </c>
      <c r="AH181" s="144">
        <f>IF('PV IN'!$F$4="Battery Only",0,PVCalcs!AI181)</f>
        <v>0</v>
      </c>
      <c r="AI181" s="144">
        <f>IF('PV IN'!$F$4="PV Only",0,BattCalcs!BM181)</f>
        <v>0</v>
      </c>
      <c r="AJ181" s="144">
        <f>IF('PV IN'!$F$4="PV Only",0,SUM(BattCalcs!BO181:BT181))</f>
        <v>0</v>
      </c>
      <c r="AK181" s="144">
        <f>IF('PV IN'!$F$4="PV Only",PVCalcs!AH181,IF('PV IN'!$F$4="Battery Only",BattCalcs!BN181,PVCalcs!AH181+BattCalcs!BN181))</f>
        <v>-625</v>
      </c>
      <c r="AL181" s="144">
        <f>IF('PV IN'!$F$4="PV Only",0,BattCalcs!BV181)</f>
        <v>0</v>
      </c>
      <c r="AM181" s="144">
        <f>IF('PV IN'!$F$4="PV Only",0,SUM(BattCalcs!BW181:BX181))</f>
        <v>0</v>
      </c>
      <c r="AN181" s="144">
        <f>IF('PV IN'!$F$4="PV Only",0,BattCalcs!BY181)</f>
        <v>0</v>
      </c>
      <c r="AO181" s="144">
        <f>IF('PV IN'!$F$4="Battery Only",0,PVCalcs!U181)</f>
        <v>11053.850121451997</v>
      </c>
      <c r="AP181" s="10">
        <f>IF('PV IN'!$F$4="PV Only",0,BattCalcs!AS181)</f>
        <v>0</v>
      </c>
      <c r="AQ181" s="10">
        <f>IF('PV IN'!$F$4="PV Only",0,BattCalcs!AT181)</f>
        <v>0</v>
      </c>
      <c r="AR181" s="10">
        <f>IF('PV IN'!$F$4="PV Only",0,BattCalcs!AU181)</f>
        <v>0</v>
      </c>
      <c r="AS181" s="144">
        <f>IF('PV IN'!$F$4="PV Only",PVCalcs!X181,IF('PV IN'!$F$4="Battery Only",BattCalcs!AW181,PVCalcs!X181+BattCalcs!AW181))</f>
        <v>0</v>
      </c>
      <c r="AT181" s="144">
        <f>IF('PV IN'!$F$4="Battery Only",0,-PVCalcs!AQ181*'PV IN'!$E$8)</f>
        <v>0</v>
      </c>
      <c r="AU181" s="144">
        <f>IF('PV IN'!$F$4="PV Only",0,-BattCalcs!CG181*'PV IN'!$E$8)</f>
        <v>0</v>
      </c>
      <c r="AV181" s="144">
        <f>IF('PV IN'!$F$4="PV Only",PVCalcs!Z181+PVCalcs!AA181,IF('PV IN'!$F$4="Battery Only",SUM(BattCalcs!BC181:BH181),PVCalcs!Z181+PVCalcs!AA181+SUM(BattCalcs!BC181:BH181)))</f>
        <v>0</v>
      </c>
      <c r="AW181" s="144">
        <f>IF('PV IN'!$F$4="PV Only",SUM(PVCalcs!AF181:AI181),IF('PV IN'!$F$4="Battery Only",SUM(BattCalcs!BL181:BY181),SUM(PVCalcs!AF181:AI181)+SUM(BattCalcs!BL181:BY181)))</f>
        <v>-1375</v>
      </c>
      <c r="AX181" s="144">
        <f>IF('PV IN'!$F$4="Battery Only",0,-PVLoan!F209)</f>
        <v>0</v>
      </c>
      <c r="AY181" s="144">
        <f>IF('PV IN'!$F$4="PV Only",0,-BattLoan!F209)</f>
        <v>0</v>
      </c>
      <c r="AZ181" s="144">
        <f>IF('PV IN'!$F$4="Battery Only",0,-PVLoan!H209)</f>
        <v>0</v>
      </c>
      <c r="BA181" s="144">
        <f>IF('PV IN'!$F$4="PV Only",0,-BattLoan!H209)</f>
        <v>0</v>
      </c>
    </row>
    <row r="182" spans="1:88" x14ac:dyDescent="0.25">
      <c r="A182">
        <f>IF(C182&lt;='PV IN'!$O$22*12,C182,"")</f>
        <v>178</v>
      </c>
      <c r="C182">
        <v>178</v>
      </c>
      <c r="D182" s="2">
        <f>BattCalcs!CK182+PVCalcs!AT182</f>
        <v>11722.001483858234</v>
      </c>
      <c r="E182" s="20">
        <f>PVCalcs!AV182</f>
        <v>931317.63614970993</v>
      </c>
      <c r="F182" s="20">
        <f>PVCalcs!AW182</f>
        <v>5684.5204843680513</v>
      </c>
      <c r="G182" s="20">
        <f>PVCalcs!AX182</f>
        <v>253319.61287384952</v>
      </c>
      <c r="H182" s="20">
        <f>BattCalcs!CM182</f>
        <v>0</v>
      </c>
      <c r="I182" s="20">
        <f>BattCalcs!CN182</f>
        <v>0</v>
      </c>
      <c r="J182" s="20">
        <f>IF(C182&lt;='Batt IN'!H$43*12,BattCalcs!CO182,NA())</f>
        <v>0</v>
      </c>
      <c r="L182" s="20">
        <f t="shared" si="313"/>
        <v>5684.5204843680513</v>
      </c>
      <c r="M182" s="20">
        <f>G182+BattCalcs!CO182</f>
        <v>253319.61287384952</v>
      </c>
      <c r="O182" s="10">
        <f>PVLoan!G210</f>
        <v>0</v>
      </c>
      <c r="P182" s="10">
        <f>PVLoan!J210</f>
        <v>0</v>
      </c>
      <c r="Q182" s="2" t="str">
        <f>BattLoan!G210</f>
        <v>-</v>
      </c>
      <c r="R182" s="10" t="str">
        <f>BattLoan!J210</f>
        <v>-</v>
      </c>
      <c r="T182" s="33">
        <f>IF('PV IN'!$F$4="Battery Only",0,PVCalcs!G182)</f>
        <v>135520.81506311853</v>
      </c>
      <c r="U182" s="33">
        <f>IF('PV IN'!$F$4="Battery Only",0,PVCalcs!M182)</f>
        <v>135520.81506311853</v>
      </c>
      <c r="V182" s="33">
        <f>PVCalcs!L182</f>
        <v>25811.765833333331</v>
      </c>
      <c r="W182" s="158">
        <f>PVCalcs!F182</f>
        <v>8.1511322691594043E-2</v>
      </c>
      <c r="X182" s="144">
        <f>IF('PV IN'!$F$4="Battery Only",0,PVCalcs!Y182+PVCalcs!Z182)</f>
        <v>1761.7705958205408</v>
      </c>
      <c r="Y182" s="144">
        <f>IF('PV IN'!$F$4="PV Only",0,BattCalcs!AX182+BattCalcs!BC182)</f>
        <v>0</v>
      </c>
      <c r="Z182" s="144">
        <f>IF('PV IN'!$F$4="PV Only",0,BattCalcs!AY182+BattCalcs!BD182)</f>
        <v>0</v>
      </c>
      <c r="AA182" s="144">
        <f>IF('PV IN'!$F$4="PV Only",0,BattCalcs!AZ182+BattCalcs!BE182)</f>
        <v>0</v>
      </c>
      <c r="AB182" s="144">
        <f>IF('PV IN'!$F$4="PV Only",0,BattCalcs!BA182+BattCalcs!BF182)</f>
        <v>0</v>
      </c>
      <c r="AC182" s="144">
        <f>IF('PV IN'!$F$4="PV Only",0,BattCalcs!BB182+BattCalcs!BG182)</f>
        <v>0</v>
      </c>
      <c r="AD182" s="144">
        <f>IF('PV IN'!$F$4="PV Only",0,BattCalcs!BU182)</f>
        <v>0</v>
      </c>
      <c r="AE182" s="144">
        <f>IF('PV IN'!$F$4="PV Only",PVCalcs!W182+PVCalcs!AA182,IF('PV IN'!$F$4="Battery Only",BattCalcs!AV182+BattCalcs!BH182,PVCalcs!W182+PVCalcs!AA182+BattCalcs!AV182+BattCalcs!BH182))</f>
        <v>0</v>
      </c>
      <c r="AF182" s="10">
        <f>PVCalcs!AC182+BattCalcs!BJ182</f>
        <v>0</v>
      </c>
      <c r="AG182" s="144">
        <f>IF('PV IN'!$F$4="Battery Only",0,PVCalcs!AG182)</f>
        <v>-750</v>
      </c>
      <c r="AH182" s="144">
        <f>IF('PV IN'!$F$4="Battery Only",0,PVCalcs!AI182)</f>
        <v>0</v>
      </c>
      <c r="AI182" s="144">
        <f>IF('PV IN'!$F$4="PV Only",0,BattCalcs!BM182)</f>
        <v>0</v>
      </c>
      <c r="AJ182" s="144">
        <f>IF('PV IN'!$F$4="PV Only",0,SUM(BattCalcs!BO182:BT182))</f>
        <v>0</v>
      </c>
      <c r="AK182" s="144">
        <f>IF('PV IN'!$F$4="PV Only",PVCalcs!AH182,IF('PV IN'!$F$4="Battery Only",BattCalcs!BN182,PVCalcs!AH182+BattCalcs!BN182))</f>
        <v>-625</v>
      </c>
      <c r="AL182" s="144">
        <f>IF('PV IN'!$F$4="PV Only",0,BattCalcs!BV182)</f>
        <v>0</v>
      </c>
      <c r="AM182" s="144">
        <f>IF('PV IN'!$F$4="PV Only",0,SUM(BattCalcs!BW182:BX182))</f>
        <v>0</v>
      </c>
      <c r="AN182" s="144">
        <f>IF('PV IN'!$F$4="PV Only",0,BattCalcs!BY182)</f>
        <v>0</v>
      </c>
      <c r="AO182" s="144">
        <f>IF('PV IN'!$F$4="Battery Only",0,PVCalcs!U182)</f>
        <v>11046.480888037693</v>
      </c>
      <c r="AP182" s="10">
        <f>IF('PV IN'!$F$4="PV Only",0,BattCalcs!AS182)</f>
        <v>0</v>
      </c>
      <c r="AQ182" s="10">
        <f>IF('PV IN'!$F$4="PV Only",0,BattCalcs!AT182)</f>
        <v>0</v>
      </c>
      <c r="AR182" s="10">
        <f>IF('PV IN'!$F$4="PV Only",0,BattCalcs!AU182)</f>
        <v>0</v>
      </c>
      <c r="AS182" s="144">
        <f>IF('PV IN'!$F$4="PV Only",PVCalcs!X182,IF('PV IN'!$F$4="Battery Only",BattCalcs!AW182,PVCalcs!X182+BattCalcs!AW182))</f>
        <v>0</v>
      </c>
      <c r="AT182" s="144">
        <f>IF('PV IN'!$F$4="Battery Only",0,-PVCalcs!AQ182*'PV IN'!$E$8)</f>
        <v>0</v>
      </c>
      <c r="AU182" s="144">
        <f>IF('PV IN'!$F$4="PV Only",0,-BattCalcs!CG182*'PV IN'!$E$8)</f>
        <v>0</v>
      </c>
      <c r="AV182" s="144">
        <f>IF('PV IN'!$F$4="PV Only",PVCalcs!Z182+PVCalcs!AA182,IF('PV IN'!$F$4="Battery Only",SUM(BattCalcs!BC182:BH182),PVCalcs!Z182+PVCalcs!AA182+SUM(BattCalcs!BC182:BH182)))</f>
        <v>0</v>
      </c>
      <c r="AW182" s="144">
        <f>IF('PV IN'!$F$4="PV Only",SUM(PVCalcs!AF182:AI182),IF('PV IN'!$F$4="Battery Only",SUM(BattCalcs!BL182:BY182),SUM(PVCalcs!AF182:AI182)+SUM(BattCalcs!BL182:BY182)))</f>
        <v>-1375</v>
      </c>
      <c r="AX182" s="144">
        <f>IF('PV IN'!$F$4="Battery Only",0,-PVLoan!F210)</f>
        <v>0</v>
      </c>
      <c r="AY182" s="144">
        <f>IF('PV IN'!$F$4="PV Only",0,-BattLoan!F210)</f>
        <v>0</v>
      </c>
      <c r="AZ182" s="144">
        <f>IF('PV IN'!$F$4="Battery Only",0,-PVLoan!H210)</f>
        <v>0</v>
      </c>
      <c r="BA182" s="144">
        <f>IF('PV IN'!$F$4="PV Only",0,-BattLoan!H210)</f>
        <v>0</v>
      </c>
    </row>
    <row r="183" spans="1:88" x14ac:dyDescent="0.25">
      <c r="A183">
        <f>IF(C183&lt;='PV IN'!$O$22*12,C183,"")</f>
        <v>179</v>
      </c>
      <c r="C183">
        <v>179</v>
      </c>
      <c r="D183" s="2">
        <f>BattCalcs!CK183+PVCalcs!AT183</f>
        <v>11713.462649535664</v>
      </c>
      <c r="E183" s="20">
        <f>PVCalcs!AV183</f>
        <v>943031.09879924555</v>
      </c>
      <c r="F183" s="20">
        <f>PVCalcs!AW183</f>
        <v>5657.3309567793285</v>
      </c>
      <c r="G183" s="20">
        <f>PVCalcs!AX183</f>
        <v>258976.94383062885</v>
      </c>
      <c r="H183" s="20">
        <f>BattCalcs!CM183</f>
        <v>0</v>
      </c>
      <c r="I183" s="20">
        <f>BattCalcs!CN183</f>
        <v>0</v>
      </c>
      <c r="J183" s="20">
        <f>IF(C183&lt;='Batt IN'!H$43*12,BattCalcs!CO183,NA())</f>
        <v>0</v>
      </c>
      <c r="L183" s="20">
        <f t="shared" si="313"/>
        <v>5657.3309567793285</v>
      </c>
      <c r="M183" s="20">
        <f>G183+BattCalcs!CO183</f>
        <v>258976.94383062885</v>
      </c>
      <c r="O183" s="10">
        <f>PVLoan!G211</f>
        <v>0</v>
      </c>
      <c r="P183" s="10">
        <f>PVLoan!J211</f>
        <v>0</v>
      </c>
      <c r="Q183" s="2" t="str">
        <f>BattLoan!G211</f>
        <v>-</v>
      </c>
      <c r="R183" s="10" t="str">
        <f>BattLoan!J211</f>
        <v>-</v>
      </c>
      <c r="T183" s="33">
        <f>IF('PV IN'!$F$4="Battery Only",0,PVCalcs!G183)</f>
        <v>135430.46785307646</v>
      </c>
      <c r="U183" s="33">
        <f>IF('PV IN'!$F$4="Battery Only",0,PVCalcs!M183)</f>
        <v>135430.46785307646</v>
      </c>
      <c r="V183" s="33">
        <f>PVCalcs!L183</f>
        <v>25811.765833333331</v>
      </c>
      <c r="W183" s="158">
        <f>PVCalcs!F183</f>
        <v>8.1511322691594043E-2</v>
      </c>
      <c r="X183" s="144">
        <f>IF('PV IN'!$F$4="Battery Only",0,PVCalcs!Y183+PVCalcs!Z183)</f>
        <v>1760.5960820899941</v>
      </c>
      <c r="Y183" s="144">
        <f>IF('PV IN'!$F$4="PV Only",0,BattCalcs!AX183+BattCalcs!BC183)</f>
        <v>0</v>
      </c>
      <c r="Z183" s="144">
        <f>IF('PV IN'!$F$4="PV Only",0,BattCalcs!AY183+BattCalcs!BD183)</f>
        <v>0</v>
      </c>
      <c r="AA183" s="144">
        <f>IF('PV IN'!$F$4="PV Only",0,BattCalcs!AZ183+BattCalcs!BE183)</f>
        <v>0</v>
      </c>
      <c r="AB183" s="144">
        <f>IF('PV IN'!$F$4="PV Only",0,BattCalcs!BA183+BattCalcs!BF183)</f>
        <v>0</v>
      </c>
      <c r="AC183" s="144">
        <f>IF('PV IN'!$F$4="PV Only",0,BattCalcs!BB183+BattCalcs!BG183)</f>
        <v>0</v>
      </c>
      <c r="AD183" s="144">
        <f>IF('PV IN'!$F$4="PV Only",0,BattCalcs!BU183)</f>
        <v>0</v>
      </c>
      <c r="AE183" s="144">
        <f>IF('PV IN'!$F$4="PV Only",PVCalcs!W183+PVCalcs!AA183,IF('PV IN'!$F$4="Battery Only",BattCalcs!AV183+BattCalcs!BH183,PVCalcs!W183+PVCalcs!AA183+BattCalcs!AV183+BattCalcs!BH183))</f>
        <v>0</v>
      </c>
      <c r="AF183" s="10">
        <f>PVCalcs!AC183+BattCalcs!BJ183</f>
        <v>0</v>
      </c>
      <c r="AG183" s="144">
        <f>IF('PV IN'!$F$4="Battery Only",0,PVCalcs!AG183)</f>
        <v>-750</v>
      </c>
      <c r="AH183" s="144">
        <f>IF('PV IN'!$F$4="Battery Only",0,PVCalcs!AI183)</f>
        <v>0</v>
      </c>
      <c r="AI183" s="144">
        <f>IF('PV IN'!$F$4="PV Only",0,BattCalcs!BM183)</f>
        <v>0</v>
      </c>
      <c r="AJ183" s="144">
        <f>IF('PV IN'!$F$4="PV Only",0,SUM(BattCalcs!BO183:BT183))</f>
        <v>0</v>
      </c>
      <c r="AK183" s="144">
        <f>IF('PV IN'!$F$4="PV Only",PVCalcs!AH183,IF('PV IN'!$F$4="Battery Only",BattCalcs!BN183,PVCalcs!AH183+BattCalcs!BN183))</f>
        <v>-625</v>
      </c>
      <c r="AL183" s="144">
        <f>IF('PV IN'!$F$4="PV Only",0,BattCalcs!BV183)</f>
        <v>0</v>
      </c>
      <c r="AM183" s="144">
        <f>IF('PV IN'!$F$4="PV Only",0,SUM(BattCalcs!BW183:BX183))</f>
        <v>0</v>
      </c>
      <c r="AN183" s="144">
        <f>IF('PV IN'!$F$4="PV Only",0,BattCalcs!BY183)</f>
        <v>0</v>
      </c>
      <c r="AO183" s="144">
        <f>IF('PV IN'!$F$4="Battery Only",0,PVCalcs!U183)</f>
        <v>11039.11656744567</v>
      </c>
      <c r="AP183" s="10">
        <f>IF('PV IN'!$F$4="PV Only",0,BattCalcs!AS183)</f>
        <v>0</v>
      </c>
      <c r="AQ183" s="10">
        <f>IF('PV IN'!$F$4="PV Only",0,BattCalcs!AT183)</f>
        <v>0</v>
      </c>
      <c r="AR183" s="10">
        <f>IF('PV IN'!$F$4="PV Only",0,BattCalcs!AU183)</f>
        <v>0</v>
      </c>
      <c r="AS183" s="144">
        <f>IF('PV IN'!$F$4="PV Only",PVCalcs!X183,IF('PV IN'!$F$4="Battery Only",BattCalcs!AW183,PVCalcs!X183+BattCalcs!AW183))</f>
        <v>0</v>
      </c>
      <c r="AT183" s="144">
        <f>IF('PV IN'!$F$4="Battery Only",0,-PVCalcs!AQ183*'PV IN'!$E$8)</f>
        <v>0</v>
      </c>
      <c r="AU183" s="144">
        <f>IF('PV IN'!$F$4="PV Only",0,-BattCalcs!CG183*'PV IN'!$E$8)</f>
        <v>0</v>
      </c>
      <c r="AV183" s="144">
        <f>IF('PV IN'!$F$4="PV Only",PVCalcs!Z183+PVCalcs!AA183,IF('PV IN'!$F$4="Battery Only",SUM(BattCalcs!BC183:BH183),PVCalcs!Z183+PVCalcs!AA183+SUM(BattCalcs!BC183:BH183)))</f>
        <v>0</v>
      </c>
      <c r="AW183" s="144">
        <f>IF('PV IN'!$F$4="PV Only",SUM(PVCalcs!AF183:AI183),IF('PV IN'!$F$4="Battery Only",SUM(BattCalcs!BL183:BY183),SUM(PVCalcs!AF183:AI183)+SUM(BattCalcs!BL183:BY183)))</f>
        <v>-1375</v>
      </c>
      <c r="AX183" s="144">
        <f>IF('PV IN'!$F$4="Battery Only",0,-PVLoan!F211)</f>
        <v>0</v>
      </c>
      <c r="AY183" s="144">
        <f>IF('PV IN'!$F$4="PV Only",0,-BattLoan!F211)</f>
        <v>0</v>
      </c>
      <c r="AZ183" s="144">
        <f>IF('PV IN'!$F$4="Battery Only",0,-PVLoan!H211)</f>
        <v>0</v>
      </c>
      <c r="BA183" s="144">
        <f>IF('PV IN'!$F$4="PV Only",0,-BattLoan!H211)</f>
        <v>0</v>
      </c>
    </row>
    <row r="184" spans="1:88" x14ac:dyDescent="0.25">
      <c r="A184">
        <f>IF(C184&lt;='PV IN'!$O$22*12,C184,"")</f>
        <v>180</v>
      </c>
      <c r="B184">
        <f>B172+1</f>
        <v>2040</v>
      </c>
      <c r="C184">
        <v>180</v>
      </c>
      <c r="D184" s="2">
        <f>BattCalcs!CK184+PVCalcs!AT184</f>
        <v>-166045.0704922307</v>
      </c>
      <c r="E184" s="20">
        <f>PVCalcs!AV184</f>
        <v>776986.02830701484</v>
      </c>
      <c r="F184" s="20">
        <f>PVCalcs!AW184</f>
        <v>-79870.517960482088</v>
      </c>
      <c r="G184" s="20">
        <f>PVCalcs!AX184</f>
        <v>179106.42587014678</v>
      </c>
      <c r="H184" s="20">
        <f>BattCalcs!CM184</f>
        <v>0</v>
      </c>
      <c r="I184" s="20">
        <f>BattCalcs!CN184</f>
        <v>0</v>
      </c>
      <c r="J184" s="20">
        <f>IF(C184&lt;='Batt IN'!H$43*12,BattCalcs!CO184,NA())</f>
        <v>0</v>
      </c>
      <c r="L184" s="20">
        <f t="shared" si="313"/>
        <v>-79870.517960482088</v>
      </c>
      <c r="M184" s="20">
        <f>G184+BattCalcs!CO184</f>
        <v>179106.42587014678</v>
      </c>
      <c r="O184" s="10">
        <f>PVLoan!G212</f>
        <v>0</v>
      </c>
      <c r="P184" s="10">
        <f>PVLoan!J212</f>
        <v>0</v>
      </c>
      <c r="Q184" s="2" t="str">
        <f>BattLoan!G212</f>
        <v>-</v>
      </c>
      <c r="R184" s="10" t="str">
        <f>BattLoan!J212</f>
        <v>-</v>
      </c>
      <c r="T184" s="33">
        <f>IF('PV IN'!$F$4="Battery Only",0,PVCalcs!G184)</f>
        <v>135340.18087450776</v>
      </c>
      <c r="U184" s="33">
        <f>IF('PV IN'!$F$4="Battery Only",0,PVCalcs!M184)</f>
        <v>135340.18087450776</v>
      </c>
      <c r="V184" s="33">
        <f>PVCalcs!L184</f>
        <v>25811.765833333331</v>
      </c>
      <c r="W184" s="158">
        <f>PVCalcs!F184</f>
        <v>8.1511322691594043E-2</v>
      </c>
      <c r="X184" s="144">
        <f>IF('PV IN'!$F$4="Battery Only",0,PVCalcs!Y184+PVCalcs!Z184)</f>
        <v>1759.4223513686009</v>
      </c>
      <c r="Y184" s="144">
        <f>IF('PV IN'!$F$4="PV Only",0,BattCalcs!AX184+BattCalcs!BC184)</f>
        <v>0</v>
      </c>
      <c r="Z184" s="144">
        <f>IF('PV IN'!$F$4="PV Only",0,BattCalcs!AY184+BattCalcs!BD184)</f>
        <v>0</v>
      </c>
      <c r="AA184" s="144">
        <f>IF('PV IN'!$F$4="PV Only",0,BattCalcs!AZ184+BattCalcs!BE184)</f>
        <v>0</v>
      </c>
      <c r="AB184" s="144">
        <f>IF('PV IN'!$F$4="PV Only",0,BattCalcs!BA184+BattCalcs!BF184)</f>
        <v>0</v>
      </c>
      <c r="AC184" s="144">
        <f>IF('PV IN'!$F$4="PV Only",0,BattCalcs!BB184+BattCalcs!BG184)</f>
        <v>0</v>
      </c>
      <c r="AD184" s="144">
        <f>IF('PV IN'!$F$4="PV Only",0,BattCalcs!BU184)</f>
        <v>0</v>
      </c>
      <c r="AE184" s="144">
        <f>IF('PV IN'!$F$4="PV Only",PVCalcs!W184+PVCalcs!AA184,IF('PV IN'!$F$4="Battery Only",BattCalcs!AV184+BattCalcs!BH184,PVCalcs!W184+PVCalcs!AA184+BattCalcs!AV184+BattCalcs!BH184))</f>
        <v>0</v>
      </c>
      <c r="AF184" s="10">
        <f>PVCalcs!AC184+BattCalcs!BJ184</f>
        <v>0</v>
      </c>
      <c r="AG184" s="144">
        <f>IF('PV IN'!$F$4="Battery Only",0,PVCalcs!AG184)</f>
        <v>-750</v>
      </c>
      <c r="AH184" s="144">
        <f>IF('PV IN'!$F$4="Battery Only",0,PVCalcs!AI184)</f>
        <v>-225000</v>
      </c>
      <c r="AI184" s="144">
        <f>IF('PV IN'!$F$4="PV Only",0,BattCalcs!BM184)</f>
        <v>0</v>
      </c>
      <c r="AJ184" s="144">
        <f>IF('PV IN'!$F$4="PV Only",0,SUM(BattCalcs!BO184:BT184))</f>
        <v>0</v>
      </c>
      <c r="AK184" s="144">
        <f>IF('PV IN'!$F$4="PV Only",PVCalcs!AH184,IF('PV IN'!$F$4="Battery Only",BattCalcs!BN184,PVCalcs!AH184+BattCalcs!BN184))</f>
        <v>-625</v>
      </c>
      <c r="AL184" s="144">
        <f>IF('PV IN'!$F$4="PV Only",0,BattCalcs!BV184)</f>
        <v>0</v>
      </c>
      <c r="AM184" s="144">
        <f>IF('PV IN'!$F$4="PV Only",0,SUM(BattCalcs!BW184:BX184))</f>
        <v>0</v>
      </c>
      <c r="AN184" s="144">
        <f>IF('PV IN'!$F$4="PV Only",0,BattCalcs!BY184)</f>
        <v>0</v>
      </c>
      <c r="AO184" s="144">
        <f>IF('PV IN'!$F$4="Battery Only",0,PVCalcs!U184)</f>
        <v>11031.757156400707</v>
      </c>
      <c r="AP184" s="10">
        <f>IF('PV IN'!$F$4="PV Only",0,BattCalcs!AS184)</f>
        <v>0</v>
      </c>
      <c r="AQ184" s="10">
        <f>IF('PV IN'!$F$4="PV Only",0,BattCalcs!AT184)</f>
        <v>0</v>
      </c>
      <c r="AR184" s="10">
        <f>IF('PV IN'!$F$4="PV Only",0,BattCalcs!AU184)</f>
        <v>0</v>
      </c>
      <c r="AS184" s="144">
        <f>IF('PV IN'!$F$4="PV Only",PVCalcs!X184,IF('PV IN'!$F$4="Battery Only",BattCalcs!AW184,PVCalcs!X184+BattCalcs!AW184))</f>
        <v>0</v>
      </c>
      <c r="AT184" s="144">
        <f>IF('PV IN'!$F$4="Battery Only",0,-PVCalcs!AQ184*'PV IN'!$E$8)</f>
        <v>0</v>
      </c>
      <c r="AU184" s="144">
        <f>IF('PV IN'!$F$4="PV Only",0,-BattCalcs!CG184*'PV IN'!$E$8)</f>
        <v>0</v>
      </c>
      <c r="AV184" s="144">
        <f>IF('PV IN'!$F$4="PV Only",PVCalcs!Z184+PVCalcs!AA184,IF('PV IN'!$F$4="Battery Only",SUM(BattCalcs!BC184:BH184),PVCalcs!Z184+PVCalcs!AA184+SUM(BattCalcs!BC184:BH184)))</f>
        <v>0</v>
      </c>
      <c r="AW184" s="144">
        <f>IF('PV IN'!$F$4="PV Only",SUM(PVCalcs!AF184:AI184),IF('PV IN'!$F$4="Battery Only",SUM(BattCalcs!BL184:BY184),SUM(PVCalcs!AF184:AI184)+SUM(BattCalcs!BL184:BY184)))</f>
        <v>-226375</v>
      </c>
      <c r="AX184" s="144">
        <f>IF('PV IN'!$F$4="Battery Only",0,-PVLoan!F212)</f>
        <v>0</v>
      </c>
      <c r="AY184" s="144">
        <f>IF('PV IN'!$F$4="PV Only",0,-BattLoan!F212)</f>
        <v>0</v>
      </c>
      <c r="AZ184" s="144">
        <f>IF('PV IN'!$F$4="Battery Only",0,-PVLoan!H212)</f>
        <v>0</v>
      </c>
      <c r="BA184" s="144">
        <f>IF('PV IN'!$F$4="PV Only",0,-BattLoan!H212)</f>
        <v>0</v>
      </c>
      <c r="BC184" s="33">
        <f t="shared" ref="BC184" si="450">SUM(T173:T184)</f>
        <v>1630054.3819146603</v>
      </c>
      <c r="BD184" s="33">
        <f t="shared" ref="BD184" si="451">SUM(U173:U184)</f>
        <v>1630054.3819146603</v>
      </c>
      <c r="BE184" s="33">
        <f t="shared" ref="BE184" si="452">SUM(V173:V184)</f>
        <v>309741.19</v>
      </c>
      <c r="BF184" s="50">
        <f t="shared" ref="BF184" si="453">W184</f>
        <v>8.1511322691594043E-2</v>
      </c>
      <c r="BG184" s="2">
        <f t="shared" ref="BG184" si="454">SUM(X173:X184)</f>
        <v>21190.706964890582</v>
      </c>
      <c r="BH184" s="2">
        <f t="shared" ref="BH184" si="455">SUM(Y173:Y184)</f>
        <v>0</v>
      </c>
      <c r="BI184" s="2">
        <f t="shared" ref="BI184" si="456">SUM(Z173:Z184)</f>
        <v>0</v>
      </c>
      <c r="BJ184" s="2">
        <f t="shared" ref="BJ184" si="457">SUM(AA173:AA184)</f>
        <v>0</v>
      </c>
      <c r="BK184" s="2">
        <f t="shared" ref="BK184" si="458">SUM(AB173:AB184)</f>
        <v>0</v>
      </c>
      <c r="BL184" s="2">
        <f t="shared" ref="BL184" si="459">SUM(AC173:AC184)</f>
        <v>0</v>
      </c>
      <c r="BM184" s="2">
        <f t="shared" ref="BM184" si="460">SUM(AD173:AD184)</f>
        <v>0</v>
      </c>
      <c r="BN184" s="2">
        <f t="shared" ref="BN184" si="461">SUM(AE173:AE184)</f>
        <v>0</v>
      </c>
      <c r="BO184" s="2">
        <f t="shared" ref="BO184" si="462">SUM(AF173:AF184)</f>
        <v>0</v>
      </c>
      <c r="BP184" s="2">
        <f t="shared" ref="BP184" si="463">SUM(AG173:AG184)</f>
        <v>-9000</v>
      </c>
      <c r="BQ184" s="2">
        <f t="shared" ref="BQ184" si="464">SUM(AH173:AH184)</f>
        <v>-225000</v>
      </c>
      <c r="BR184" s="2">
        <f t="shared" ref="BR184" si="465">SUM(AI173:AI184)</f>
        <v>0</v>
      </c>
      <c r="BS184" s="2">
        <f t="shared" ref="BS184" si="466">SUM(AJ173:AJ184)</f>
        <v>0</v>
      </c>
      <c r="BT184" s="2">
        <f t="shared" ref="BT184" si="467">SUM(AK173:AK184)</f>
        <v>-7500</v>
      </c>
      <c r="BU184" s="2">
        <f t="shared" ref="BU184" si="468">SUM(AL173:AL184)</f>
        <v>0</v>
      </c>
      <c r="BV184" s="2">
        <f t="shared" ref="BV184" si="469">SUM(AM173:AM184)</f>
        <v>0</v>
      </c>
      <c r="BW184" s="2">
        <f t="shared" ref="BW184" si="470">SUM(AN173:AN184)</f>
        <v>0</v>
      </c>
      <c r="BX184" s="2">
        <f t="shared" ref="BX184" si="471">SUM(AO173:AO184)</f>
        <v>132867.88872909275</v>
      </c>
      <c r="BY184" s="2">
        <f t="shared" ref="BY184" si="472">SUM(AP173:AP184)</f>
        <v>0</v>
      </c>
      <c r="BZ184" s="2">
        <f t="shared" ref="BZ184" si="473">SUM(AQ173:AQ184)</f>
        <v>0</v>
      </c>
      <c r="CA184" s="2">
        <f t="shared" ref="CA184" si="474">SUM(AR173:AR184)</f>
        <v>0</v>
      </c>
      <c r="CB184" s="2">
        <f t="shared" ref="CB184" si="475">SUM(AS173:AS184)</f>
        <v>0</v>
      </c>
      <c r="CC184" s="2">
        <f t="shared" ref="CC184" si="476">SUM(AT173:AT184)</f>
        <v>0</v>
      </c>
      <c r="CD184" s="2">
        <f t="shared" ref="CD184" si="477">SUM(AU173:AU184)</f>
        <v>0</v>
      </c>
      <c r="CE184" s="2">
        <f t="shared" ref="CE184" si="478">SUM(AV173:AV184)</f>
        <v>0</v>
      </c>
      <c r="CF184" s="2">
        <f t="shared" ref="CF184" si="479">SUM(AW173:AW184)</f>
        <v>-241500</v>
      </c>
      <c r="CG184" s="2">
        <f t="shared" ref="CG184" si="480">SUM(AX173:AX184)</f>
        <v>0</v>
      </c>
      <c r="CH184" s="2">
        <f t="shared" ref="CH184" si="481">SUM(AY173:AY184)</f>
        <v>0</v>
      </c>
      <c r="CI184" s="2">
        <f t="shared" ref="CI184" si="482">SUM(AZ173:AZ184)</f>
        <v>0</v>
      </c>
      <c r="CJ184" s="2">
        <f t="shared" ref="CJ184" si="483">SUM(BA173:BA184)</f>
        <v>0</v>
      </c>
    </row>
    <row r="185" spans="1:88" x14ac:dyDescent="0.25">
      <c r="A185">
        <f>IF(C185&lt;='PV IN'!$O$22*12,C185,"")</f>
        <v>181</v>
      </c>
      <c r="C185">
        <v>181</v>
      </c>
      <c r="D185" s="2">
        <f>BattCalcs!CK185+PVCalcs!AT185</f>
        <v>9973.4168222379903</v>
      </c>
      <c r="E185" s="20">
        <f>PVCalcs!AV185</f>
        <v>786959.44512925285</v>
      </c>
      <c r="F185" s="20">
        <f>PVCalcs!AW185</f>
        <v>4777.9181877594283</v>
      </c>
      <c r="G185" s="20">
        <f>PVCalcs!AX185</f>
        <v>183884.34405790622</v>
      </c>
      <c r="H185" s="20">
        <f>BattCalcs!CM185</f>
        <v>0</v>
      </c>
      <c r="I185" s="20">
        <f>BattCalcs!CN185</f>
        <v>0</v>
      </c>
      <c r="J185" s="20">
        <f>IF(C185&lt;='Batt IN'!H$43*12,BattCalcs!CO185,NA())</f>
        <v>0</v>
      </c>
      <c r="L185" s="20">
        <f t="shared" si="313"/>
        <v>4777.9181877594283</v>
      </c>
      <c r="M185" s="20">
        <f>G185+BattCalcs!CO185</f>
        <v>183884.34405790622</v>
      </c>
      <c r="O185" s="10">
        <f>PVLoan!G213</f>
        <v>0</v>
      </c>
      <c r="P185" s="10">
        <f>PVLoan!J213</f>
        <v>0</v>
      </c>
      <c r="Q185" s="2" t="str">
        <f>BattLoan!G213</f>
        <v>-</v>
      </c>
      <c r="R185" s="10" t="str">
        <f>BattLoan!J213</f>
        <v>-</v>
      </c>
      <c r="T185" s="33">
        <f>IF('PV IN'!$F$4="Battery Only",0,PVCalcs!G185)</f>
        <v>135249.95408725805</v>
      </c>
      <c r="U185" s="33">
        <f>IF('PV IN'!$F$4="Battery Only",0,PVCalcs!M185)</f>
        <v>135249.95408725805</v>
      </c>
      <c r="V185" s="33">
        <f>PVCalcs!L185</f>
        <v>25811.765833333331</v>
      </c>
      <c r="W185" s="158">
        <f>PVCalcs!F185</f>
        <v>8.1772056019351544E-2</v>
      </c>
      <c r="X185" s="144">
        <f>IF('PV IN'!$F$4="Battery Only",0,PVCalcs!Y185+PVCalcs!Z185)</f>
        <v>0</v>
      </c>
      <c r="Y185" s="144">
        <f>IF('PV IN'!$F$4="PV Only",0,BattCalcs!AX185+BattCalcs!BC185)</f>
        <v>0</v>
      </c>
      <c r="Z185" s="144">
        <f>IF('PV IN'!$F$4="PV Only",0,BattCalcs!AY185+BattCalcs!BD185)</f>
        <v>0</v>
      </c>
      <c r="AA185" s="144">
        <f>IF('PV IN'!$F$4="PV Only",0,BattCalcs!AZ185+BattCalcs!BE185)</f>
        <v>0</v>
      </c>
      <c r="AB185" s="144">
        <f>IF('PV IN'!$F$4="PV Only",0,BattCalcs!BA185+BattCalcs!BF185)</f>
        <v>0</v>
      </c>
      <c r="AC185" s="144">
        <f>IF('PV IN'!$F$4="PV Only",0,BattCalcs!BB185+BattCalcs!BG185)</f>
        <v>0</v>
      </c>
      <c r="AD185" s="144">
        <f>IF('PV IN'!$F$4="PV Only",0,BattCalcs!BU185)</f>
        <v>0</v>
      </c>
      <c r="AE185" s="144">
        <f>IF('PV IN'!$F$4="PV Only",PVCalcs!W185+PVCalcs!AA185,IF('PV IN'!$F$4="Battery Only",BattCalcs!AV185+BattCalcs!BH185,PVCalcs!W185+PVCalcs!AA185+BattCalcs!AV185+BattCalcs!BH185))</f>
        <v>0</v>
      </c>
      <c r="AF185" s="10">
        <f>PVCalcs!AC185+BattCalcs!BJ185</f>
        <v>0</v>
      </c>
      <c r="AG185" s="144">
        <f>IF('PV IN'!$F$4="Battery Only",0,PVCalcs!AG185)</f>
        <v>-750</v>
      </c>
      <c r="AH185" s="144">
        <f>IF('PV IN'!$F$4="Battery Only",0,PVCalcs!AI185)</f>
        <v>0</v>
      </c>
      <c r="AI185" s="144">
        <f>IF('PV IN'!$F$4="PV Only",0,BattCalcs!BM185)</f>
        <v>0</v>
      </c>
      <c r="AJ185" s="144">
        <f>IF('PV IN'!$F$4="PV Only",0,SUM(BattCalcs!BO185:BT185))</f>
        <v>0</v>
      </c>
      <c r="AK185" s="144">
        <f>IF('PV IN'!$F$4="PV Only",PVCalcs!AH185,IF('PV IN'!$F$4="Battery Only",BattCalcs!BN185,PVCalcs!AH185+BattCalcs!BN185))</f>
        <v>-625</v>
      </c>
      <c r="AL185" s="144">
        <f>IF('PV IN'!$F$4="PV Only",0,BattCalcs!BV185)</f>
        <v>0</v>
      </c>
      <c r="AM185" s="144">
        <f>IF('PV IN'!$F$4="PV Only",0,SUM(BattCalcs!BW185:BX185))</f>
        <v>0</v>
      </c>
      <c r="AN185" s="144">
        <f>IF('PV IN'!$F$4="PV Only",0,BattCalcs!BY185)</f>
        <v>0</v>
      </c>
      <c r="AO185" s="144">
        <f>IF('PV IN'!$F$4="Battery Only",0,PVCalcs!U185)</f>
        <v>11059.66682223799</v>
      </c>
      <c r="AP185" s="10">
        <f>IF('PV IN'!$F$4="PV Only",0,BattCalcs!AS185)</f>
        <v>0</v>
      </c>
      <c r="AQ185" s="10">
        <f>IF('PV IN'!$F$4="PV Only",0,BattCalcs!AT185)</f>
        <v>0</v>
      </c>
      <c r="AR185" s="10">
        <f>IF('PV IN'!$F$4="PV Only",0,BattCalcs!AU185)</f>
        <v>0</v>
      </c>
      <c r="AS185" s="144">
        <f>IF('PV IN'!$F$4="PV Only",PVCalcs!X185,IF('PV IN'!$F$4="Battery Only",BattCalcs!AW185,PVCalcs!X185+BattCalcs!AW185))</f>
        <v>0</v>
      </c>
      <c r="AT185" s="144">
        <f>IF('PV IN'!$F$4="Battery Only",0,-PVCalcs!AQ185*'PV IN'!$E$8)</f>
        <v>0</v>
      </c>
      <c r="AU185" s="144">
        <f>IF('PV IN'!$F$4="PV Only",0,-BattCalcs!CG185*'PV IN'!$E$8)</f>
        <v>0</v>
      </c>
      <c r="AV185" s="144">
        <f>IF('PV IN'!$F$4="PV Only",PVCalcs!Z185+PVCalcs!AA185,IF('PV IN'!$F$4="Battery Only",SUM(BattCalcs!BC185:BH185),PVCalcs!Z185+PVCalcs!AA185+SUM(BattCalcs!BC185:BH185)))</f>
        <v>0</v>
      </c>
      <c r="AW185" s="144">
        <f>IF('PV IN'!$F$4="PV Only",SUM(PVCalcs!AF185:AI185),IF('PV IN'!$F$4="Battery Only",SUM(BattCalcs!BL185:BY185),SUM(PVCalcs!AF185:AI185)+SUM(BattCalcs!BL185:BY185)))</f>
        <v>-1375</v>
      </c>
      <c r="AX185" s="144">
        <f>IF('PV IN'!$F$4="Battery Only",0,-PVLoan!F213)</f>
        <v>0</v>
      </c>
      <c r="AY185" s="144">
        <f>IF('PV IN'!$F$4="PV Only",0,-BattLoan!F213)</f>
        <v>0</v>
      </c>
      <c r="AZ185" s="144">
        <f>IF('PV IN'!$F$4="Battery Only",0,-PVLoan!H213)</f>
        <v>0</v>
      </c>
      <c r="BA185" s="144">
        <f>IF('PV IN'!$F$4="PV Only",0,-BattLoan!H213)</f>
        <v>0</v>
      </c>
    </row>
    <row r="186" spans="1:88" x14ac:dyDescent="0.25">
      <c r="A186">
        <f>IF(C186&lt;='PV IN'!$O$22*12,C186,"")</f>
        <v>182</v>
      </c>
      <c r="C186">
        <v>182</v>
      </c>
      <c r="D186" s="2">
        <f>BattCalcs!CK186+PVCalcs!AT186</f>
        <v>9966.0437110231633</v>
      </c>
      <c r="E186" s="20">
        <f>PVCalcs!AV186</f>
        <v>796925.48884027603</v>
      </c>
      <c r="F186" s="20">
        <f>PVCalcs!AW186</f>
        <v>4755.0134723476122</v>
      </c>
      <c r="G186" s="20">
        <f>PVCalcs!AX186</f>
        <v>188639.35753025382</v>
      </c>
      <c r="H186" s="20">
        <f>BattCalcs!CM186</f>
        <v>0</v>
      </c>
      <c r="I186" s="20">
        <f>BattCalcs!CN186</f>
        <v>0</v>
      </c>
      <c r="J186" s="20">
        <f>IF(C186&lt;='Batt IN'!H$43*12,BattCalcs!CO186,NA())</f>
        <v>0</v>
      </c>
      <c r="L186" s="20">
        <f t="shared" si="313"/>
        <v>4755.0134723476122</v>
      </c>
      <c r="M186" s="20">
        <f>G186+BattCalcs!CO186</f>
        <v>188639.35753025382</v>
      </c>
      <c r="O186" s="10">
        <f>PVLoan!G214</f>
        <v>0</v>
      </c>
      <c r="P186" s="10">
        <f>PVLoan!J214</f>
        <v>0</v>
      </c>
      <c r="Q186" s="2" t="str">
        <f>BattLoan!G214</f>
        <v>-</v>
      </c>
      <c r="R186" s="10" t="str">
        <f>BattLoan!J214</f>
        <v>-</v>
      </c>
      <c r="T186" s="33">
        <f>IF('PV IN'!$F$4="Battery Only",0,PVCalcs!G186)</f>
        <v>135159.78745119987</v>
      </c>
      <c r="U186" s="33">
        <f>IF('PV IN'!$F$4="Battery Only",0,PVCalcs!M186)</f>
        <v>135159.78745119987</v>
      </c>
      <c r="V186" s="33">
        <f>PVCalcs!L186</f>
        <v>25811.765833333331</v>
      </c>
      <c r="W186" s="158">
        <f>PVCalcs!F186</f>
        <v>8.1772056019351544E-2</v>
      </c>
      <c r="X186" s="144">
        <f>IF('PV IN'!$F$4="Battery Only",0,PVCalcs!Y186+PVCalcs!Z186)</f>
        <v>0</v>
      </c>
      <c r="Y186" s="144">
        <f>IF('PV IN'!$F$4="PV Only",0,BattCalcs!AX186+BattCalcs!BC186)</f>
        <v>0</v>
      </c>
      <c r="Z186" s="144">
        <f>IF('PV IN'!$F$4="PV Only",0,BattCalcs!AY186+BattCalcs!BD186)</f>
        <v>0</v>
      </c>
      <c r="AA186" s="144">
        <f>IF('PV IN'!$F$4="PV Only",0,BattCalcs!AZ186+BattCalcs!BE186)</f>
        <v>0</v>
      </c>
      <c r="AB186" s="144">
        <f>IF('PV IN'!$F$4="PV Only",0,BattCalcs!BA186+BattCalcs!BF186)</f>
        <v>0</v>
      </c>
      <c r="AC186" s="144">
        <f>IF('PV IN'!$F$4="PV Only",0,BattCalcs!BB186+BattCalcs!BG186)</f>
        <v>0</v>
      </c>
      <c r="AD186" s="144">
        <f>IF('PV IN'!$F$4="PV Only",0,BattCalcs!BU186)</f>
        <v>0</v>
      </c>
      <c r="AE186" s="144">
        <f>IF('PV IN'!$F$4="PV Only",PVCalcs!W186+PVCalcs!AA186,IF('PV IN'!$F$4="Battery Only",BattCalcs!AV186+BattCalcs!BH186,PVCalcs!W186+PVCalcs!AA186+BattCalcs!AV186+BattCalcs!BH186))</f>
        <v>0</v>
      </c>
      <c r="AF186" s="10">
        <f>PVCalcs!AC186+BattCalcs!BJ186</f>
        <v>0</v>
      </c>
      <c r="AG186" s="144">
        <f>IF('PV IN'!$F$4="Battery Only",0,PVCalcs!AG186)</f>
        <v>-750</v>
      </c>
      <c r="AH186" s="144">
        <f>IF('PV IN'!$F$4="Battery Only",0,PVCalcs!AI186)</f>
        <v>0</v>
      </c>
      <c r="AI186" s="144">
        <f>IF('PV IN'!$F$4="PV Only",0,BattCalcs!BM186)</f>
        <v>0</v>
      </c>
      <c r="AJ186" s="144">
        <f>IF('PV IN'!$F$4="PV Only",0,SUM(BattCalcs!BO186:BT186))</f>
        <v>0</v>
      </c>
      <c r="AK186" s="144">
        <f>IF('PV IN'!$F$4="PV Only",PVCalcs!AH186,IF('PV IN'!$F$4="Battery Only",BattCalcs!BN186,PVCalcs!AH186+BattCalcs!BN186))</f>
        <v>-625</v>
      </c>
      <c r="AL186" s="144">
        <f>IF('PV IN'!$F$4="PV Only",0,BattCalcs!BV186)</f>
        <v>0</v>
      </c>
      <c r="AM186" s="144">
        <f>IF('PV IN'!$F$4="PV Only",0,SUM(BattCalcs!BW186:BX186))</f>
        <v>0</v>
      </c>
      <c r="AN186" s="144">
        <f>IF('PV IN'!$F$4="PV Only",0,BattCalcs!BY186)</f>
        <v>0</v>
      </c>
      <c r="AO186" s="144">
        <f>IF('PV IN'!$F$4="Battery Only",0,PVCalcs!U186)</f>
        <v>11052.293711023163</v>
      </c>
      <c r="AP186" s="10">
        <f>IF('PV IN'!$F$4="PV Only",0,BattCalcs!AS186)</f>
        <v>0</v>
      </c>
      <c r="AQ186" s="10">
        <f>IF('PV IN'!$F$4="PV Only",0,BattCalcs!AT186)</f>
        <v>0</v>
      </c>
      <c r="AR186" s="10">
        <f>IF('PV IN'!$F$4="PV Only",0,BattCalcs!AU186)</f>
        <v>0</v>
      </c>
      <c r="AS186" s="144">
        <f>IF('PV IN'!$F$4="PV Only",PVCalcs!X186,IF('PV IN'!$F$4="Battery Only",BattCalcs!AW186,PVCalcs!X186+BattCalcs!AW186))</f>
        <v>0</v>
      </c>
      <c r="AT186" s="144">
        <f>IF('PV IN'!$F$4="Battery Only",0,-PVCalcs!AQ186*'PV IN'!$E$8)</f>
        <v>0</v>
      </c>
      <c r="AU186" s="144">
        <f>IF('PV IN'!$F$4="PV Only",0,-BattCalcs!CG186*'PV IN'!$E$8)</f>
        <v>0</v>
      </c>
      <c r="AV186" s="144">
        <f>IF('PV IN'!$F$4="PV Only",PVCalcs!Z186+PVCalcs!AA186,IF('PV IN'!$F$4="Battery Only",SUM(BattCalcs!BC186:BH186),PVCalcs!Z186+PVCalcs!AA186+SUM(BattCalcs!BC186:BH186)))</f>
        <v>0</v>
      </c>
      <c r="AW186" s="144">
        <f>IF('PV IN'!$F$4="PV Only",SUM(PVCalcs!AF186:AI186),IF('PV IN'!$F$4="Battery Only",SUM(BattCalcs!BL186:BY186),SUM(PVCalcs!AF186:AI186)+SUM(BattCalcs!BL186:BY186)))</f>
        <v>-1375</v>
      </c>
      <c r="AX186" s="144">
        <f>IF('PV IN'!$F$4="Battery Only",0,-PVLoan!F214)</f>
        <v>0</v>
      </c>
      <c r="AY186" s="144">
        <f>IF('PV IN'!$F$4="PV Only",0,-BattLoan!F214)</f>
        <v>0</v>
      </c>
      <c r="AZ186" s="144">
        <f>IF('PV IN'!$F$4="Battery Only",0,-PVLoan!H214)</f>
        <v>0</v>
      </c>
      <c r="BA186" s="144">
        <f>IF('PV IN'!$F$4="PV Only",0,-BattLoan!H214)</f>
        <v>0</v>
      </c>
    </row>
    <row r="187" spans="1:88" x14ac:dyDescent="0.25">
      <c r="A187">
        <f>IF(C187&lt;='PV IN'!$O$22*12,C187,"")</f>
        <v>183</v>
      </c>
      <c r="C187">
        <v>183</v>
      </c>
      <c r="D187" s="2">
        <f>BattCalcs!CK187+PVCalcs!AT187</f>
        <v>9958.6755152158166</v>
      </c>
      <c r="E187" s="20">
        <f>PVCalcs!AV187</f>
        <v>806884.16435549187</v>
      </c>
      <c r="F187" s="20">
        <f>PVCalcs!AW187</f>
        <v>4732.2183047533072</v>
      </c>
      <c r="G187" s="20">
        <f>PVCalcs!AX187</f>
        <v>193371.57583500713</v>
      </c>
      <c r="H187" s="20">
        <f>BattCalcs!CM187</f>
        <v>0</v>
      </c>
      <c r="I187" s="20">
        <f>BattCalcs!CN187</f>
        <v>0</v>
      </c>
      <c r="J187" s="20">
        <f>IF(C187&lt;='Batt IN'!H$43*12,BattCalcs!CO187,NA())</f>
        <v>0</v>
      </c>
      <c r="L187" s="20">
        <f t="shared" si="313"/>
        <v>4732.2183047533072</v>
      </c>
      <c r="M187" s="20">
        <f>G187+BattCalcs!CO187</f>
        <v>193371.57583500713</v>
      </c>
      <c r="O187" s="10">
        <f>PVLoan!G215</f>
        <v>0</v>
      </c>
      <c r="P187" s="10">
        <f>PVLoan!J215</f>
        <v>0</v>
      </c>
      <c r="Q187" s="2" t="str">
        <f>BattLoan!G215</f>
        <v>-</v>
      </c>
      <c r="R187" s="10" t="str">
        <f>BattLoan!J215</f>
        <v>-</v>
      </c>
      <c r="T187" s="33">
        <f>IF('PV IN'!$F$4="Battery Only",0,PVCalcs!G187)</f>
        <v>135069.68092623242</v>
      </c>
      <c r="U187" s="33">
        <f>IF('PV IN'!$F$4="Battery Only",0,PVCalcs!M187)</f>
        <v>135069.68092623242</v>
      </c>
      <c r="V187" s="33">
        <f>PVCalcs!L187</f>
        <v>25811.765833333331</v>
      </c>
      <c r="W187" s="158">
        <f>PVCalcs!F187</f>
        <v>8.1772056019351544E-2</v>
      </c>
      <c r="X187" s="144">
        <f>IF('PV IN'!$F$4="Battery Only",0,PVCalcs!Y187+PVCalcs!Z187)</f>
        <v>0</v>
      </c>
      <c r="Y187" s="144">
        <f>IF('PV IN'!$F$4="PV Only",0,BattCalcs!AX187+BattCalcs!BC187)</f>
        <v>0</v>
      </c>
      <c r="Z187" s="144">
        <f>IF('PV IN'!$F$4="PV Only",0,BattCalcs!AY187+BattCalcs!BD187)</f>
        <v>0</v>
      </c>
      <c r="AA187" s="144">
        <f>IF('PV IN'!$F$4="PV Only",0,BattCalcs!AZ187+BattCalcs!BE187)</f>
        <v>0</v>
      </c>
      <c r="AB187" s="144">
        <f>IF('PV IN'!$F$4="PV Only",0,BattCalcs!BA187+BattCalcs!BF187)</f>
        <v>0</v>
      </c>
      <c r="AC187" s="144">
        <f>IF('PV IN'!$F$4="PV Only",0,BattCalcs!BB187+BattCalcs!BG187)</f>
        <v>0</v>
      </c>
      <c r="AD187" s="144">
        <f>IF('PV IN'!$F$4="PV Only",0,BattCalcs!BU187)</f>
        <v>0</v>
      </c>
      <c r="AE187" s="144">
        <f>IF('PV IN'!$F$4="PV Only",PVCalcs!W187+PVCalcs!AA187,IF('PV IN'!$F$4="Battery Only",BattCalcs!AV187+BattCalcs!BH187,PVCalcs!W187+PVCalcs!AA187+BattCalcs!AV187+BattCalcs!BH187))</f>
        <v>0</v>
      </c>
      <c r="AF187" s="10">
        <f>PVCalcs!AC187+BattCalcs!BJ187</f>
        <v>0</v>
      </c>
      <c r="AG187" s="144">
        <f>IF('PV IN'!$F$4="Battery Only",0,PVCalcs!AG187)</f>
        <v>-750</v>
      </c>
      <c r="AH187" s="144">
        <f>IF('PV IN'!$F$4="Battery Only",0,PVCalcs!AI187)</f>
        <v>0</v>
      </c>
      <c r="AI187" s="144">
        <f>IF('PV IN'!$F$4="PV Only",0,BattCalcs!BM187)</f>
        <v>0</v>
      </c>
      <c r="AJ187" s="144">
        <f>IF('PV IN'!$F$4="PV Only",0,SUM(BattCalcs!BO187:BT187))</f>
        <v>0</v>
      </c>
      <c r="AK187" s="144">
        <f>IF('PV IN'!$F$4="PV Only",PVCalcs!AH187,IF('PV IN'!$F$4="Battery Only",BattCalcs!BN187,PVCalcs!AH187+BattCalcs!BN187))</f>
        <v>-625</v>
      </c>
      <c r="AL187" s="144">
        <f>IF('PV IN'!$F$4="PV Only",0,BattCalcs!BV187)</f>
        <v>0</v>
      </c>
      <c r="AM187" s="144">
        <f>IF('PV IN'!$F$4="PV Only",0,SUM(BattCalcs!BW187:BX187))</f>
        <v>0</v>
      </c>
      <c r="AN187" s="144">
        <f>IF('PV IN'!$F$4="PV Only",0,BattCalcs!BY187)</f>
        <v>0</v>
      </c>
      <c r="AO187" s="144">
        <f>IF('PV IN'!$F$4="Battery Only",0,PVCalcs!U187)</f>
        <v>11044.925515215817</v>
      </c>
      <c r="AP187" s="10">
        <f>IF('PV IN'!$F$4="PV Only",0,BattCalcs!AS187)</f>
        <v>0</v>
      </c>
      <c r="AQ187" s="10">
        <f>IF('PV IN'!$F$4="PV Only",0,BattCalcs!AT187)</f>
        <v>0</v>
      </c>
      <c r="AR187" s="10">
        <f>IF('PV IN'!$F$4="PV Only",0,BattCalcs!AU187)</f>
        <v>0</v>
      </c>
      <c r="AS187" s="144">
        <f>IF('PV IN'!$F$4="PV Only",PVCalcs!X187,IF('PV IN'!$F$4="Battery Only",BattCalcs!AW187,PVCalcs!X187+BattCalcs!AW187))</f>
        <v>0</v>
      </c>
      <c r="AT187" s="144">
        <f>IF('PV IN'!$F$4="Battery Only",0,-PVCalcs!AQ187*'PV IN'!$E$8)</f>
        <v>0</v>
      </c>
      <c r="AU187" s="144">
        <f>IF('PV IN'!$F$4="PV Only",0,-BattCalcs!CG187*'PV IN'!$E$8)</f>
        <v>0</v>
      </c>
      <c r="AV187" s="144">
        <f>IF('PV IN'!$F$4="PV Only",PVCalcs!Z187+PVCalcs!AA187,IF('PV IN'!$F$4="Battery Only",SUM(BattCalcs!BC187:BH187),PVCalcs!Z187+PVCalcs!AA187+SUM(BattCalcs!BC187:BH187)))</f>
        <v>0</v>
      </c>
      <c r="AW187" s="144">
        <f>IF('PV IN'!$F$4="PV Only",SUM(PVCalcs!AF187:AI187),IF('PV IN'!$F$4="Battery Only",SUM(BattCalcs!BL187:BY187),SUM(PVCalcs!AF187:AI187)+SUM(BattCalcs!BL187:BY187)))</f>
        <v>-1375</v>
      </c>
      <c r="AX187" s="144">
        <f>IF('PV IN'!$F$4="Battery Only",0,-PVLoan!F215)</f>
        <v>0</v>
      </c>
      <c r="AY187" s="144">
        <f>IF('PV IN'!$F$4="PV Only",0,-BattLoan!F215)</f>
        <v>0</v>
      </c>
      <c r="AZ187" s="144">
        <f>IF('PV IN'!$F$4="Battery Only",0,-PVLoan!H215)</f>
        <v>0</v>
      </c>
      <c r="BA187" s="144">
        <f>IF('PV IN'!$F$4="PV Only",0,-BattLoan!H215)</f>
        <v>0</v>
      </c>
    </row>
    <row r="188" spans="1:88" x14ac:dyDescent="0.25">
      <c r="A188">
        <f>IF(C188&lt;='PV IN'!$O$22*12,C188,"")</f>
        <v>184</v>
      </c>
      <c r="C188">
        <v>184</v>
      </c>
      <c r="D188" s="2">
        <f>BattCalcs!CK188+PVCalcs!AT188</f>
        <v>9951.3122315390046</v>
      </c>
      <c r="E188" s="20">
        <f>PVCalcs!AV188</f>
        <v>816835.47658703092</v>
      </c>
      <c r="F188" s="20">
        <f>PVCalcs!AW188</f>
        <v>4709.5321620519562</v>
      </c>
      <c r="G188" s="20">
        <f>PVCalcs!AX188</f>
        <v>198081.10799705909</v>
      </c>
      <c r="H188" s="20">
        <f>BattCalcs!CM188</f>
        <v>0</v>
      </c>
      <c r="I188" s="20">
        <f>BattCalcs!CN188</f>
        <v>0</v>
      </c>
      <c r="J188" s="20">
        <f>IF(C188&lt;='Batt IN'!H$43*12,BattCalcs!CO188,NA())</f>
        <v>0</v>
      </c>
      <c r="L188" s="20">
        <f t="shared" si="313"/>
        <v>4709.5321620519562</v>
      </c>
      <c r="M188" s="20">
        <f>G188+BattCalcs!CO188</f>
        <v>198081.10799705909</v>
      </c>
      <c r="O188" s="10">
        <f>PVLoan!G216</f>
        <v>0</v>
      </c>
      <c r="P188" s="10">
        <f>PVLoan!J216</f>
        <v>0</v>
      </c>
      <c r="Q188" s="2" t="str">
        <f>BattLoan!G216</f>
        <v>-</v>
      </c>
      <c r="R188" s="10" t="str">
        <f>BattLoan!J216</f>
        <v>-</v>
      </c>
      <c r="T188" s="33">
        <f>IF('PV IN'!$F$4="Battery Only",0,PVCalcs!G188)</f>
        <v>134979.63447228158</v>
      </c>
      <c r="U188" s="33">
        <f>IF('PV IN'!$F$4="Battery Only",0,PVCalcs!M188)</f>
        <v>134979.63447228158</v>
      </c>
      <c r="V188" s="33">
        <f>PVCalcs!L188</f>
        <v>25811.765833333331</v>
      </c>
      <c r="W188" s="158">
        <f>PVCalcs!F188</f>
        <v>8.1772056019351544E-2</v>
      </c>
      <c r="X188" s="144">
        <f>IF('PV IN'!$F$4="Battery Only",0,PVCalcs!Y188+PVCalcs!Z188)</f>
        <v>0</v>
      </c>
      <c r="Y188" s="144">
        <f>IF('PV IN'!$F$4="PV Only",0,BattCalcs!AX188+BattCalcs!BC188)</f>
        <v>0</v>
      </c>
      <c r="Z188" s="144">
        <f>IF('PV IN'!$F$4="PV Only",0,BattCalcs!AY188+BattCalcs!BD188)</f>
        <v>0</v>
      </c>
      <c r="AA188" s="144">
        <f>IF('PV IN'!$F$4="PV Only",0,BattCalcs!AZ188+BattCalcs!BE188)</f>
        <v>0</v>
      </c>
      <c r="AB188" s="144">
        <f>IF('PV IN'!$F$4="PV Only",0,BattCalcs!BA188+BattCalcs!BF188)</f>
        <v>0</v>
      </c>
      <c r="AC188" s="144">
        <f>IF('PV IN'!$F$4="PV Only",0,BattCalcs!BB188+BattCalcs!BG188)</f>
        <v>0</v>
      </c>
      <c r="AD188" s="144">
        <f>IF('PV IN'!$F$4="PV Only",0,BattCalcs!BU188)</f>
        <v>0</v>
      </c>
      <c r="AE188" s="144">
        <f>IF('PV IN'!$F$4="PV Only",PVCalcs!W188+PVCalcs!AA188,IF('PV IN'!$F$4="Battery Only",BattCalcs!AV188+BattCalcs!BH188,PVCalcs!W188+PVCalcs!AA188+BattCalcs!AV188+BattCalcs!BH188))</f>
        <v>0</v>
      </c>
      <c r="AF188" s="10">
        <f>PVCalcs!AC188+BattCalcs!BJ188</f>
        <v>0</v>
      </c>
      <c r="AG188" s="144">
        <f>IF('PV IN'!$F$4="Battery Only",0,PVCalcs!AG188)</f>
        <v>-750</v>
      </c>
      <c r="AH188" s="144">
        <f>IF('PV IN'!$F$4="Battery Only",0,PVCalcs!AI188)</f>
        <v>0</v>
      </c>
      <c r="AI188" s="144">
        <f>IF('PV IN'!$F$4="PV Only",0,BattCalcs!BM188)</f>
        <v>0</v>
      </c>
      <c r="AJ188" s="144">
        <f>IF('PV IN'!$F$4="PV Only",0,SUM(BattCalcs!BO188:BT188))</f>
        <v>0</v>
      </c>
      <c r="AK188" s="144">
        <f>IF('PV IN'!$F$4="PV Only",PVCalcs!AH188,IF('PV IN'!$F$4="Battery Only",BattCalcs!BN188,PVCalcs!AH188+BattCalcs!BN188))</f>
        <v>-625</v>
      </c>
      <c r="AL188" s="144">
        <f>IF('PV IN'!$F$4="PV Only",0,BattCalcs!BV188)</f>
        <v>0</v>
      </c>
      <c r="AM188" s="144">
        <f>IF('PV IN'!$F$4="PV Only",0,SUM(BattCalcs!BW188:BX188))</f>
        <v>0</v>
      </c>
      <c r="AN188" s="144">
        <f>IF('PV IN'!$F$4="PV Only",0,BattCalcs!BY188)</f>
        <v>0</v>
      </c>
      <c r="AO188" s="144">
        <f>IF('PV IN'!$F$4="Battery Only",0,PVCalcs!U188)</f>
        <v>11037.562231539005</v>
      </c>
      <c r="AP188" s="10">
        <f>IF('PV IN'!$F$4="PV Only",0,BattCalcs!AS188)</f>
        <v>0</v>
      </c>
      <c r="AQ188" s="10">
        <f>IF('PV IN'!$F$4="PV Only",0,BattCalcs!AT188)</f>
        <v>0</v>
      </c>
      <c r="AR188" s="10">
        <f>IF('PV IN'!$F$4="PV Only",0,BattCalcs!AU188)</f>
        <v>0</v>
      </c>
      <c r="AS188" s="144">
        <f>IF('PV IN'!$F$4="PV Only",PVCalcs!X188,IF('PV IN'!$F$4="Battery Only",BattCalcs!AW188,PVCalcs!X188+BattCalcs!AW188))</f>
        <v>0</v>
      </c>
      <c r="AT188" s="144">
        <f>IF('PV IN'!$F$4="Battery Only",0,-PVCalcs!AQ188*'PV IN'!$E$8)</f>
        <v>0</v>
      </c>
      <c r="AU188" s="144">
        <f>IF('PV IN'!$F$4="PV Only",0,-BattCalcs!CG188*'PV IN'!$E$8)</f>
        <v>0</v>
      </c>
      <c r="AV188" s="144">
        <f>IF('PV IN'!$F$4="PV Only",PVCalcs!Z188+PVCalcs!AA188,IF('PV IN'!$F$4="Battery Only",SUM(BattCalcs!BC188:BH188),PVCalcs!Z188+PVCalcs!AA188+SUM(BattCalcs!BC188:BH188)))</f>
        <v>0</v>
      </c>
      <c r="AW188" s="144">
        <f>IF('PV IN'!$F$4="PV Only",SUM(PVCalcs!AF188:AI188),IF('PV IN'!$F$4="Battery Only",SUM(BattCalcs!BL188:BY188),SUM(PVCalcs!AF188:AI188)+SUM(BattCalcs!BL188:BY188)))</f>
        <v>-1375</v>
      </c>
      <c r="AX188" s="144">
        <f>IF('PV IN'!$F$4="Battery Only",0,-PVLoan!F216)</f>
        <v>0</v>
      </c>
      <c r="AY188" s="144">
        <f>IF('PV IN'!$F$4="PV Only",0,-BattLoan!F216)</f>
        <v>0</v>
      </c>
      <c r="AZ188" s="144">
        <f>IF('PV IN'!$F$4="Battery Only",0,-PVLoan!H216)</f>
        <v>0</v>
      </c>
      <c r="BA188" s="144">
        <f>IF('PV IN'!$F$4="PV Only",0,-BattLoan!H216)</f>
        <v>0</v>
      </c>
    </row>
    <row r="189" spans="1:88" x14ac:dyDescent="0.25">
      <c r="A189">
        <f>IF(C189&lt;='PV IN'!$O$22*12,C189,"")</f>
        <v>185</v>
      </c>
      <c r="C189">
        <v>185</v>
      </c>
      <c r="D189" s="2">
        <f>BattCalcs!CK189+PVCalcs!AT189</f>
        <v>9943.953856717977</v>
      </c>
      <c r="E189" s="20">
        <f>PVCalcs!AV189</f>
        <v>826779.43044374895</v>
      </c>
      <c r="F189" s="20">
        <f>PVCalcs!AW189</f>
        <v>4686.9545238111114</v>
      </c>
      <c r="G189" s="20">
        <f>PVCalcs!AX189</f>
        <v>202768.06252087021</v>
      </c>
      <c r="H189" s="20">
        <f>BattCalcs!CM189</f>
        <v>0</v>
      </c>
      <c r="I189" s="20">
        <f>BattCalcs!CN189</f>
        <v>0</v>
      </c>
      <c r="J189" s="20">
        <f>IF(C189&lt;='Batt IN'!H$43*12,BattCalcs!CO189,NA())</f>
        <v>0</v>
      </c>
      <c r="L189" s="20">
        <f t="shared" si="313"/>
        <v>4686.9545238111114</v>
      </c>
      <c r="M189" s="20">
        <f>G189+BattCalcs!CO189</f>
        <v>202768.06252087021</v>
      </c>
      <c r="O189" s="10">
        <f>PVLoan!G217</f>
        <v>0</v>
      </c>
      <c r="P189" s="10">
        <f>PVLoan!J217</f>
        <v>0</v>
      </c>
      <c r="Q189" s="2" t="str">
        <f>BattLoan!G217</f>
        <v>-</v>
      </c>
      <c r="R189" s="10" t="str">
        <f>BattLoan!J217</f>
        <v>-</v>
      </c>
      <c r="T189" s="33">
        <f>IF('PV IN'!$F$4="Battery Only",0,PVCalcs!G189)</f>
        <v>134889.64804930004</v>
      </c>
      <c r="U189" s="33">
        <f>IF('PV IN'!$F$4="Battery Only",0,PVCalcs!M189)</f>
        <v>134889.64804930004</v>
      </c>
      <c r="V189" s="33">
        <f>PVCalcs!L189</f>
        <v>25811.765833333331</v>
      </c>
      <c r="W189" s="158">
        <f>PVCalcs!F189</f>
        <v>8.1772056019351544E-2</v>
      </c>
      <c r="X189" s="144">
        <f>IF('PV IN'!$F$4="Battery Only",0,PVCalcs!Y189+PVCalcs!Z189)</f>
        <v>0</v>
      </c>
      <c r="Y189" s="144">
        <f>IF('PV IN'!$F$4="PV Only",0,BattCalcs!AX189+BattCalcs!BC189)</f>
        <v>0</v>
      </c>
      <c r="Z189" s="144">
        <f>IF('PV IN'!$F$4="PV Only",0,BattCalcs!AY189+BattCalcs!BD189)</f>
        <v>0</v>
      </c>
      <c r="AA189" s="144">
        <f>IF('PV IN'!$F$4="PV Only",0,BattCalcs!AZ189+BattCalcs!BE189)</f>
        <v>0</v>
      </c>
      <c r="AB189" s="144">
        <f>IF('PV IN'!$F$4="PV Only",0,BattCalcs!BA189+BattCalcs!BF189)</f>
        <v>0</v>
      </c>
      <c r="AC189" s="144">
        <f>IF('PV IN'!$F$4="PV Only",0,BattCalcs!BB189+BattCalcs!BG189)</f>
        <v>0</v>
      </c>
      <c r="AD189" s="144">
        <f>IF('PV IN'!$F$4="PV Only",0,BattCalcs!BU189)</f>
        <v>0</v>
      </c>
      <c r="AE189" s="144">
        <f>IF('PV IN'!$F$4="PV Only",PVCalcs!W189+PVCalcs!AA189,IF('PV IN'!$F$4="Battery Only",BattCalcs!AV189+BattCalcs!BH189,PVCalcs!W189+PVCalcs!AA189+BattCalcs!AV189+BattCalcs!BH189))</f>
        <v>0</v>
      </c>
      <c r="AF189" s="10">
        <f>PVCalcs!AC189+BattCalcs!BJ189</f>
        <v>0</v>
      </c>
      <c r="AG189" s="144">
        <f>IF('PV IN'!$F$4="Battery Only",0,PVCalcs!AG189)</f>
        <v>-750</v>
      </c>
      <c r="AH189" s="144">
        <f>IF('PV IN'!$F$4="Battery Only",0,PVCalcs!AI189)</f>
        <v>0</v>
      </c>
      <c r="AI189" s="144">
        <f>IF('PV IN'!$F$4="PV Only",0,BattCalcs!BM189)</f>
        <v>0</v>
      </c>
      <c r="AJ189" s="144">
        <f>IF('PV IN'!$F$4="PV Only",0,SUM(BattCalcs!BO189:BT189))</f>
        <v>0</v>
      </c>
      <c r="AK189" s="144">
        <f>IF('PV IN'!$F$4="PV Only",PVCalcs!AH189,IF('PV IN'!$F$4="Battery Only",BattCalcs!BN189,PVCalcs!AH189+BattCalcs!BN189))</f>
        <v>-625</v>
      </c>
      <c r="AL189" s="144">
        <f>IF('PV IN'!$F$4="PV Only",0,BattCalcs!BV189)</f>
        <v>0</v>
      </c>
      <c r="AM189" s="144">
        <f>IF('PV IN'!$F$4="PV Only",0,SUM(BattCalcs!BW189:BX189))</f>
        <v>0</v>
      </c>
      <c r="AN189" s="144">
        <f>IF('PV IN'!$F$4="PV Only",0,BattCalcs!BY189)</f>
        <v>0</v>
      </c>
      <c r="AO189" s="144">
        <f>IF('PV IN'!$F$4="Battery Only",0,PVCalcs!U189)</f>
        <v>11030.203856717977</v>
      </c>
      <c r="AP189" s="10">
        <f>IF('PV IN'!$F$4="PV Only",0,BattCalcs!AS189)</f>
        <v>0</v>
      </c>
      <c r="AQ189" s="10">
        <f>IF('PV IN'!$F$4="PV Only",0,BattCalcs!AT189)</f>
        <v>0</v>
      </c>
      <c r="AR189" s="10">
        <f>IF('PV IN'!$F$4="PV Only",0,BattCalcs!AU189)</f>
        <v>0</v>
      </c>
      <c r="AS189" s="144">
        <f>IF('PV IN'!$F$4="PV Only",PVCalcs!X189,IF('PV IN'!$F$4="Battery Only",BattCalcs!AW189,PVCalcs!X189+BattCalcs!AW189))</f>
        <v>0</v>
      </c>
      <c r="AT189" s="144">
        <f>IF('PV IN'!$F$4="Battery Only",0,-PVCalcs!AQ189*'PV IN'!$E$8)</f>
        <v>0</v>
      </c>
      <c r="AU189" s="144">
        <f>IF('PV IN'!$F$4="PV Only",0,-BattCalcs!CG189*'PV IN'!$E$8)</f>
        <v>0</v>
      </c>
      <c r="AV189" s="144">
        <f>IF('PV IN'!$F$4="PV Only",PVCalcs!Z189+PVCalcs!AA189,IF('PV IN'!$F$4="Battery Only",SUM(BattCalcs!BC189:BH189),PVCalcs!Z189+PVCalcs!AA189+SUM(BattCalcs!BC189:BH189)))</f>
        <v>0</v>
      </c>
      <c r="AW189" s="144">
        <f>IF('PV IN'!$F$4="PV Only",SUM(PVCalcs!AF189:AI189),IF('PV IN'!$F$4="Battery Only",SUM(BattCalcs!BL189:BY189),SUM(PVCalcs!AF189:AI189)+SUM(BattCalcs!BL189:BY189)))</f>
        <v>-1375</v>
      </c>
      <c r="AX189" s="144">
        <f>IF('PV IN'!$F$4="Battery Only",0,-PVLoan!F217)</f>
        <v>0</v>
      </c>
      <c r="AY189" s="144">
        <f>IF('PV IN'!$F$4="PV Only",0,-BattLoan!F217)</f>
        <v>0</v>
      </c>
      <c r="AZ189" s="144">
        <f>IF('PV IN'!$F$4="Battery Only",0,-PVLoan!H217)</f>
        <v>0</v>
      </c>
      <c r="BA189" s="144">
        <f>IF('PV IN'!$F$4="PV Only",0,-BattLoan!H217)</f>
        <v>0</v>
      </c>
    </row>
    <row r="190" spans="1:88" x14ac:dyDescent="0.25">
      <c r="A190">
        <f>IF(C190&lt;='PV IN'!$O$22*12,C190,"")</f>
        <v>186</v>
      </c>
      <c r="C190">
        <v>186</v>
      </c>
      <c r="D190" s="2">
        <f>BattCalcs!CK190+PVCalcs!AT190</f>
        <v>9936.6003874801645</v>
      </c>
      <c r="E190" s="20">
        <f>PVCalcs!AV190</f>
        <v>836716.03083122906</v>
      </c>
      <c r="F190" s="20">
        <f>PVCalcs!AW190</f>
        <v>4664.4848720785621</v>
      </c>
      <c r="G190" s="20">
        <f>PVCalcs!AX190</f>
        <v>207432.54739294876</v>
      </c>
      <c r="H190" s="20">
        <f>BattCalcs!CM190</f>
        <v>0</v>
      </c>
      <c r="I190" s="20">
        <f>BattCalcs!CN190</f>
        <v>0</v>
      </c>
      <c r="J190" s="20">
        <f>IF(C190&lt;='Batt IN'!H$43*12,BattCalcs!CO190,NA())</f>
        <v>0</v>
      </c>
      <c r="L190" s="20">
        <f t="shared" si="313"/>
        <v>4664.4848720785621</v>
      </c>
      <c r="M190" s="20">
        <f>G190+BattCalcs!CO190</f>
        <v>207432.54739294876</v>
      </c>
      <c r="O190" s="10">
        <f>PVLoan!G218</f>
        <v>0</v>
      </c>
      <c r="P190" s="10">
        <f>PVLoan!J218</f>
        <v>0</v>
      </c>
      <c r="Q190" s="2" t="str">
        <f>BattLoan!G218</f>
        <v>-</v>
      </c>
      <c r="R190" s="10" t="str">
        <f>BattLoan!J218</f>
        <v>-</v>
      </c>
      <c r="T190" s="33">
        <f>IF('PV IN'!$F$4="Battery Only",0,PVCalcs!G190)</f>
        <v>134799.72161726718</v>
      </c>
      <c r="U190" s="33">
        <f>IF('PV IN'!$F$4="Battery Only",0,PVCalcs!M190)</f>
        <v>134799.72161726718</v>
      </c>
      <c r="V190" s="33">
        <f>PVCalcs!L190</f>
        <v>25811.765833333331</v>
      </c>
      <c r="W190" s="158">
        <f>PVCalcs!F190</f>
        <v>8.1772056019351544E-2</v>
      </c>
      <c r="X190" s="144">
        <f>IF('PV IN'!$F$4="Battery Only",0,PVCalcs!Y190+PVCalcs!Z190)</f>
        <v>0</v>
      </c>
      <c r="Y190" s="144">
        <f>IF('PV IN'!$F$4="PV Only",0,BattCalcs!AX190+BattCalcs!BC190)</f>
        <v>0</v>
      </c>
      <c r="Z190" s="144">
        <f>IF('PV IN'!$F$4="PV Only",0,BattCalcs!AY190+BattCalcs!BD190)</f>
        <v>0</v>
      </c>
      <c r="AA190" s="144">
        <f>IF('PV IN'!$F$4="PV Only",0,BattCalcs!AZ190+BattCalcs!BE190)</f>
        <v>0</v>
      </c>
      <c r="AB190" s="144">
        <f>IF('PV IN'!$F$4="PV Only",0,BattCalcs!BA190+BattCalcs!BF190)</f>
        <v>0</v>
      </c>
      <c r="AC190" s="144">
        <f>IF('PV IN'!$F$4="PV Only",0,BattCalcs!BB190+BattCalcs!BG190)</f>
        <v>0</v>
      </c>
      <c r="AD190" s="144">
        <f>IF('PV IN'!$F$4="PV Only",0,BattCalcs!BU190)</f>
        <v>0</v>
      </c>
      <c r="AE190" s="144">
        <f>IF('PV IN'!$F$4="PV Only",PVCalcs!W190+PVCalcs!AA190,IF('PV IN'!$F$4="Battery Only",BattCalcs!AV190+BattCalcs!BH190,PVCalcs!W190+PVCalcs!AA190+BattCalcs!AV190+BattCalcs!BH190))</f>
        <v>0</v>
      </c>
      <c r="AF190" s="10">
        <f>PVCalcs!AC190+BattCalcs!BJ190</f>
        <v>0</v>
      </c>
      <c r="AG190" s="144">
        <f>IF('PV IN'!$F$4="Battery Only",0,PVCalcs!AG190)</f>
        <v>-750</v>
      </c>
      <c r="AH190" s="144">
        <f>IF('PV IN'!$F$4="Battery Only",0,PVCalcs!AI190)</f>
        <v>0</v>
      </c>
      <c r="AI190" s="144">
        <f>IF('PV IN'!$F$4="PV Only",0,BattCalcs!BM190)</f>
        <v>0</v>
      </c>
      <c r="AJ190" s="144">
        <f>IF('PV IN'!$F$4="PV Only",0,SUM(BattCalcs!BO190:BT190))</f>
        <v>0</v>
      </c>
      <c r="AK190" s="144">
        <f>IF('PV IN'!$F$4="PV Only",PVCalcs!AH190,IF('PV IN'!$F$4="Battery Only",BattCalcs!BN190,PVCalcs!AH190+BattCalcs!BN190))</f>
        <v>-625</v>
      </c>
      <c r="AL190" s="144">
        <f>IF('PV IN'!$F$4="PV Only",0,BattCalcs!BV190)</f>
        <v>0</v>
      </c>
      <c r="AM190" s="144">
        <f>IF('PV IN'!$F$4="PV Only",0,SUM(BattCalcs!BW190:BX190))</f>
        <v>0</v>
      </c>
      <c r="AN190" s="144">
        <f>IF('PV IN'!$F$4="PV Only",0,BattCalcs!BY190)</f>
        <v>0</v>
      </c>
      <c r="AO190" s="144">
        <f>IF('PV IN'!$F$4="Battery Only",0,PVCalcs!U190)</f>
        <v>11022.850387480164</v>
      </c>
      <c r="AP190" s="10">
        <f>IF('PV IN'!$F$4="PV Only",0,BattCalcs!AS190)</f>
        <v>0</v>
      </c>
      <c r="AQ190" s="10">
        <f>IF('PV IN'!$F$4="PV Only",0,BattCalcs!AT190)</f>
        <v>0</v>
      </c>
      <c r="AR190" s="10">
        <f>IF('PV IN'!$F$4="PV Only",0,BattCalcs!AU190)</f>
        <v>0</v>
      </c>
      <c r="AS190" s="144">
        <f>IF('PV IN'!$F$4="PV Only",PVCalcs!X190,IF('PV IN'!$F$4="Battery Only",BattCalcs!AW190,PVCalcs!X190+BattCalcs!AW190))</f>
        <v>0</v>
      </c>
      <c r="AT190" s="144">
        <f>IF('PV IN'!$F$4="Battery Only",0,-PVCalcs!AQ190*'PV IN'!$E$8)</f>
        <v>0</v>
      </c>
      <c r="AU190" s="144">
        <f>IF('PV IN'!$F$4="PV Only",0,-BattCalcs!CG190*'PV IN'!$E$8)</f>
        <v>0</v>
      </c>
      <c r="AV190" s="144">
        <f>IF('PV IN'!$F$4="PV Only",PVCalcs!Z190+PVCalcs!AA190,IF('PV IN'!$F$4="Battery Only",SUM(BattCalcs!BC190:BH190),PVCalcs!Z190+PVCalcs!AA190+SUM(BattCalcs!BC190:BH190)))</f>
        <v>0</v>
      </c>
      <c r="AW190" s="144">
        <f>IF('PV IN'!$F$4="PV Only",SUM(PVCalcs!AF190:AI190),IF('PV IN'!$F$4="Battery Only",SUM(BattCalcs!BL190:BY190),SUM(PVCalcs!AF190:AI190)+SUM(BattCalcs!BL190:BY190)))</f>
        <v>-1375</v>
      </c>
      <c r="AX190" s="144">
        <f>IF('PV IN'!$F$4="Battery Only",0,-PVLoan!F218)</f>
        <v>0</v>
      </c>
      <c r="AY190" s="144">
        <f>IF('PV IN'!$F$4="PV Only",0,-BattLoan!F218)</f>
        <v>0</v>
      </c>
      <c r="AZ190" s="144">
        <f>IF('PV IN'!$F$4="Battery Only",0,-PVLoan!H218)</f>
        <v>0</v>
      </c>
      <c r="BA190" s="144">
        <f>IF('PV IN'!$F$4="PV Only",0,-BattLoan!H218)</f>
        <v>0</v>
      </c>
    </row>
    <row r="191" spans="1:88" x14ac:dyDescent="0.25">
      <c r="A191">
        <f>IF(C191&lt;='PV IN'!$O$22*12,C191,"")</f>
        <v>187</v>
      </c>
      <c r="C191">
        <v>187</v>
      </c>
      <c r="D191" s="2">
        <f>BattCalcs!CK191+PVCalcs!AT191</f>
        <v>9929.2518205551787</v>
      </c>
      <c r="E191" s="20">
        <f>PVCalcs!AV191</f>
        <v>846645.28265178425</v>
      </c>
      <c r="F191" s="20">
        <f>PVCalcs!AW191</f>
        <v>4642.1226913705241</v>
      </c>
      <c r="G191" s="20">
        <f>PVCalcs!AX191</f>
        <v>212074.67008431928</v>
      </c>
      <c r="H191" s="20">
        <f>BattCalcs!CM191</f>
        <v>0</v>
      </c>
      <c r="I191" s="20">
        <f>BattCalcs!CN191</f>
        <v>0</v>
      </c>
      <c r="J191" s="20">
        <f>IF(C191&lt;='Batt IN'!H$43*12,BattCalcs!CO191,NA())</f>
        <v>0</v>
      </c>
      <c r="L191" s="20">
        <f t="shared" si="313"/>
        <v>4642.1226913705241</v>
      </c>
      <c r="M191" s="20">
        <f>G191+BattCalcs!CO191</f>
        <v>212074.67008431928</v>
      </c>
      <c r="O191" s="10">
        <f>PVLoan!G219</f>
        <v>0</v>
      </c>
      <c r="P191" s="10">
        <f>PVLoan!J219</f>
        <v>0</v>
      </c>
      <c r="Q191" s="2" t="str">
        <f>BattLoan!G219</f>
        <v>-</v>
      </c>
      <c r="R191" s="10" t="str">
        <f>BattLoan!J219</f>
        <v>-</v>
      </c>
      <c r="T191" s="33">
        <f>IF('PV IN'!$F$4="Battery Only",0,PVCalcs!G191)</f>
        <v>134709.855136189</v>
      </c>
      <c r="U191" s="33">
        <f>IF('PV IN'!$F$4="Battery Only",0,PVCalcs!M191)</f>
        <v>134709.855136189</v>
      </c>
      <c r="V191" s="33">
        <f>PVCalcs!L191</f>
        <v>25811.765833333331</v>
      </c>
      <c r="W191" s="158">
        <f>PVCalcs!F191</f>
        <v>8.1772056019351544E-2</v>
      </c>
      <c r="X191" s="144">
        <f>IF('PV IN'!$F$4="Battery Only",0,PVCalcs!Y191+PVCalcs!Z191)</f>
        <v>0</v>
      </c>
      <c r="Y191" s="144">
        <f>IF('PV IN'!$F$4="PV Only",0,BattCalcs!AX191+BattCalcs!BC191)</f>
        <v>0</v>
      </c>
      <c r="Z191" s="144">
        <f>IF('PV IN'!$F$4="PV Only",0,BattCalcs!AY191+BattCalcs!BD191)</f>
        <v>0</v>
      </c>
      <c r="AA191" s="144">
        <f>IF('PV IN'!$F$4="PV Only",0,BattCalcs!AZ191+BattCalcs!BE191)</f>
        <v>0</v>
      </c>
      <c r="AB191" s="144">
        <f>IF('PV IN'!$F$4="PV Only",0,BattCalcs!BA191+BattCalcs!BF191)</f>
        <v>0</v>
      </c>
      <c r="AC191" s="144">
        <f>IF('PV IN'!$F$4="PV Only",0,BattCalcs!BB191+BattCalcs!BG191)</f>
        <v>0</v>
      </c>
      <c r="AD191" s="144">
        <f>IF('PV IN'!$F$4="PV Only",0,BattCalcs!BU191)</f>
        <v>0</v>
      </c>
      <c r="AE191" s="144">
        <f>IF('PV IN'!$F$4="PV Only",PVCalcs!W191+PVCalcs!AA191,IF('PV IN'!$F$4="Battery Only",BattCalcs!AV191+BattCalcs!BH191,PVCalcs!W191+PVCalcs!AA191+BattCalcs!AV191+BattCalcs!BH191))</f>
        <v>0</v>
      </c>
      <c r="AF191" s="10">
        <f>PVCalcs!AC191+BattCalcs!BJ191</f>
        <v>0</v>
      </c>
      <c r="AG191" s="144">
        <f>IF('PV IN'!$F$4="Battery Only",0,PVCalcs!AG191)</f>
        <v>-750</v>
      </c>
      <c r="AH191" s="144">
        <f>IF('PV IN'!$F$4="Battery Only",0,PVCalcs!AI191)</f>
        <v>0</v>
      </c>
      <c r="AI191" s="144">
        <f>IF('PV IN'!$F$4="PV Only",0,BattCalcs!BM191)</f>
        <v>0</v>
      </c>
      <c r="AJ191" s="144">
        <f>IF('PV IN'!$F$4="PV Only",0,SUM(BattCalcs!BO191:BT191))</f>
        <v>0</v>
      </c>
      <c r="AK191" s="144">
        <f>IF('PV IN'!$F$4="PV Only",PVCalcs!AH191,IF('PV IN'!$F$4="Battery Only",BattCalcs!BN191,PVCalcs!AH191+BattCalcs!BN191))</f>
        <v>-625</v>
      </c>
      <c r="AL191" s="144">
        <f>IF('PV IN'!$F$4="PV Only",0,BattCalcs!BV191)</f>
        <v>0</v>
      </c>
      <c r="AM191" s="144">
        <f>IF('PV IN'!$F$4="PV Only",0,SUM(BattCalcs!BW191:BX191))</f>
        <v>0</v>
      </c>
      <c r="AN191" s="144">
        <f>IF('PV IN'!$F$4="PV Only",0,BattCalcs!BY191)</f>
        <v>0</v>
      </c>
      <c r="AO191" s="144">
        <f>IF('PV IN'!$F$4="Battery Only",0,PVCalcs!U191)</f>
        <v>11015.501820555179</v>
      </c>
      <c r="AP191" s="10">
        <f>IF('PV IN'!$F$4="PV Only",0,BattCalcs!AS191)</f>
        <v>0</v>
      </c>
      <c r="AQ191" s="10">
        <f>IF('PV IN'!$F$4="PV Only",0,BattCalcs!AT191)</f>
        <v>0</v>
      </c>
      <c r="AR191" s="10">
        <f>IF('PV IN'!$F$4="PV Only",0,BattCalcs!AU191)</f>
        <v>0</v>
      </c>
      <c r="AS191" s="144">
        <f>IF('PV IN'!$F$4="PV Only",PVCalcs!X191,IF('PV IN'!$F$4="Battery Only",BattCalcs!AW191,PVCalcs!X191+BattCalcs!AW191))</f>
        <v>0</v>
      </c>
      <c r="AT191" s="144">
        <f>IF('PV IN'!$F$4="Battery Only",0,-PVCalcs!AQ191*'PV IN'!$E$8)</f>
        <v>0</v>
      </c>
      <c r="AU191" s="144">
        <f>IF('PV IN'!$F$4="PV Only",0,-BattCalcs!CG191*'PV IN'!$E$8)</f>
        <v>0</v>
      </c>
      <c r="AV191" s="144">
        <f>IF('PV IN'!$F$4="PV Only",PVCalcs!Z191+PVCalcs!AA191,IF('PV IN'!$F$4="Battery Only",SUM(BattCalcs!BC191:BH191),PVCalcs!Z191+PVCalcs!AA191+SUM(BattCalcs!BC191:BH191)))</f>
        <v>0</v>
      </c>
      <c r="AW191" s="144">
        <f>IF('PV IN'!$F$4="PV Only",SUM(PVCalcs!AF191:AI191),IF('PV IN'!$F$4="Battery Only",SUM(BattCalcs!BL191:BY191),SUM(PVCalcs!AF191:AI191)+SUM(BattCalcs!BL191:BY191)))</f>
        <v>-1375</v>
      </c>
      <c r="AX191" s="144">
        <f>IF('PV IN'!$F$4="Battery Only",0,-PVLoan!F219)</f>
        <v>0</v>
      </c>
      <c r="AY191" s="144">
        <f>IF('PV IN'!$F$4="PV Only",0,-BattLoan!F219)</f>
        <v>0</v>
      </c>
      <c r="AZ191" s="144">
        <f>IF('PV IN'!$F$4="Battery Only",0,-PVLoan!H219)</f>
        <v>0</v>
      </c>
      <c r="BA191" s="144">
        <f>IF('PV IN'!$F$4="PV Only",0,-BattLoan!H219)</f>
        <v>0</v>
      </c>
    </row>
    <row r="192" spans="1:88" x14ac:dyDescent="0.25">
      <c r="A192">
        <f>IF(C192&lt;='PV IN'!$O$22*12,C192,"")</f>
        <v>188</v>
      </c>
      <c r="C192">
        <v>188</v>
      </c>
      <c r="D192" s="2">
        <f>BattCalcs!CK192+PVCalcs!AT192</f>
        <v>9921.9081526748087</v>
      </c>
      <c r="E192" s="20">
        <f>PVCalcs!AV192</f>
        <v>856567.19080445904</v>
      </c>
      <c r="F192" s="20">
        <f>PVCalcs!AW192</f>
        <v>4619.8674686599088</v>
      </c>
      <c r="G192" s="20">
        <f>PVCalcs!AX192</f>
        <v>216694.53755297919</v>
      </c>
      <c r="H192" s="20">
        <f>BattCalcs!CM192</f>
        <v>0</v>
      </c>
      <c r="I192" s="20">
        <f>BattCalcs!CN192</f>
        <v>0</v>
      </c>
      <c r="J192" s="20">
        <f>IF(C192&lt;='Batt IN'!H$43*12,BattCalcs!CO192,NA())</f>
        <v>0</v>
      </c>
      <c r="L192" s="20">
        <f t="shared" si="313"/>
        <v>4619.8674686599088</v>
      </c>
      <c r="M192" s="20">
        <f>G192+BattCalcs!CO192</f>
        <v>216694.53755297919</v>
      </c>
      <c r="O192" s="10">
        <f>PVLoan!G220</f>
        <v>0</v>
      </c>
      <c r="P192" s="10">
        <f>PVLoan!J220</f>
        <v>0</v>
      </c>
      <c r="Q192" s="2" t="str">
        <f>BattLoan!G220</f>
        <v>-</v>
      </c>
      <c r="R192" s="10" t="str">
        <f>BattLoan!J220</f>
        <v>-</v>
      </c>
      <c r="T192" s="33">
        <f>IF('PV IN'!$F$4="Battery Only",0,PVCalcs!G192)</f>
        <v>134620.04856609821</v>
      </c>
      <c r="U192" s="33">
        <f>IF('PV IN'!$F$4="Battery Only",0,PVCalcs!M192)</f>
        <v>134620.04856609821</v>
      </c>
      <c r="V192" s="33">
        <f>PVCalcs!L192</f>
        <v>25811.765833333331</v>
      </c>
      <c r="W192" s="158">
        <f>PVCalcs!F192</f>
        <v>8.1772056019351544E-2</v>
      </c>
      <c r="X192" s="144">
        <f>IF('PV IN'!$F$4="Battery Only",0,PVCalcs!Y192+PVCalcs!Z192)</f>
        <v>0</v>
      </c>
      <c r="Y192" s="144">
        <f>IF('PV IN'!$F$4="PV Only",0,BattCalcs!AX192+BattCalcs!BC192)</f>
        <v>0</v>
      </c>
      <c r="Z192" s="144">
        <f>IF('PV IN'!$F$4="PV Only",0,BattCalcs!AY192+BattCalcs!BD192)</f>
        <v>0</v>
      </c>
      <c r="AA192" s="144">
        <f>IF('PV IN'!$F$4="PV Only",0,BattCalcs!AZ192+BattCalcs!BE192)</f>
        <v>0</v>
      </c>
      <c r="AB192" s="144">
        <f>IF('PV IN'!$F$4="PV Only",0,BattCalcs!BA192+BattCalcs!BF192)</f>
        <v>0</v>
      </c>
      <c r="AC192" s="144">
        <f>IF('PV IN'!$F$4="PV Only",0,BattCalcs!BB192+BattCalcs!BG192)</f>
        <v>0</v>
      </c>
      <c r="AD192" s="144">
        <f>IF('PV IN'!$F$4="PV Only",0,BattCalcs!BU192)</f>
        <v>0</v>
      </c>
      <c r="AE192" s="144">
        <f>IF('PV IN'!$F$4="PV Only",PVCalcs!W192+PVCalcs!AA192,IF('PV IN'!$F$4="Battery Only",BattCalcs!AV192+BattCalcs!BH192,PVCalcs!W192+PVCalcs!AA192+BattCalcs!AV192+BattCalcs!BH192))</f>
        <v>0</v>
      </c>
      <c r="AF192" s="10">
        <f>PVCalcs!AC192+BattCalcs!BJ192</f>
        <v>0</v>
      </c>
      <c r="AG192" s="144">
        <f>IF('PV IN'!$F$4="Battery Only",0,PVCalcs!AG192)</f>
        <v>-750</v>
      </c>
      <c r="AH192" s="144">
        <f>IF('PV IN'!$F$4="Battery Only",0,PVCalcs!AI192)</f>
        <v>0</v>
      </c>
      <c r="AI192" s="144">
        <f>IF('PV IN'!$F$4="PV Only",0,BattCalcs!BM192)</f>
        <v>0</v>
      </c>
      <c r="AJ192" s="144">
        <f>IF('PV IN'!$F$4="PV Only",0,SUM(BattCalcs!BO192:BT192))</f>
        <v>0</v>
      </c>
      <c r="AK192" s="144">
        <f>IF('PV IN'!$F$4="PV Only",PVCalcs!AH192,IF('PV IN'!$F$4="Battery Only",BattCalcs!BN192,PVCalcs!AH192+BattCalcs!BN192))</f>
        <v>-625</v>
      </c>
      <c r="AL192" s="144">
        <f>IF('PV IN'!$F$4="PV Only",0,BattCalcs!BV192)</f>
        <v>0</v>
      </c>
      <c r="AM192" s="144">
        <f>IF('PV IN'!$F$4="PV Only",0,SUM(BattCalcs!BW192:BX192))</f>
        <v>0</v>
      </c>
      <c r="AN192" s="144">
        <f>IF('PV IN'!$F$4="PV Only",0,BattCalcs!BY192)</f>
        <v>0</v>
      </c>
      <c r="AO192" s="144">
        <f>IF('PV IN'!$F$4="Battery Only",0,PVCalcs!U192)</f>
        <v>11008.158152674809</v>
      </c>
      <c r="AP192" s="10">
        <f>IF('PV IN'!$F$4="PV Only",0,BattCalcs!AS192)</f>
        <v>0</v>
      </c>
      <c r="AQ192" s="10">
        <f>IF('PV IN'!$F$4="PV Only",0,BattCalcs!AT192)</f>
        <v>0</v>
      </c>
      <c r="AR192" s="10">
        <f>IF('PV IN'!$F$4="PV Only",0,BattCalcs!AU192)</f>
        <v>0</v>
      </c>
      <c r="AS192" s="144">
        <f>IF('PV IN'!$F$4="PV Only",PVCalcs!X192,IF('PV IN'!$F$4="Battery Only",BattCalcs!AW192,PVCalcs!X192+BattCalcs!AW192))</f>
        <v>0</v>
      </c>
      <c r="AT192" s="144">
        <f>IF('PV IN'!$F$4="Battery Only",0,-PVCalcs!AQ192*'PV IN'!$E$8)</f>
        <v>0</v>
      </c>
      <c r="AU192" s="144">
        <f>IF('PV IN'!$F$4="PV Only",0,-BattCalcs!CG192*'PV IN'!$E$8)</f>
        <v>0</v>
      </c>
      <c r="AV192" s="144">
        <f>IF('PV IN'!$F$4="PV Only",PVCalcs!Z192+PVCalcs!AA192,IF('PV IN'!$F$4="Battery Only",SUM(BattCalcs!BC192:BH192),PVCalcs!Z192+PVCalcs!AA192+SUM(BattCalcs!BC192:BH192)))</f>
        <v>0</v>
      </c>
      <c r="AW192" s="144">
        <f>IF('PV IN'!$F$4="PV Only",SUM(PVCalcs!AF192:AI192),IF('PV IN'!$F$4="Battery Only",SUM(BattCalcs!BL192:BY192),SUM(PVCalcs!AF192:AI192)+SUM(BattCalcs!BL192:BY192)))</f>
        <v>-1375</v>
      </c>
      <c r="AX192" s="144">
        <f>IF('PV IN'!$F$4="Battery Only",0,-PVLoan!F220)</f>
        <v>0</v>
      </c>
      <c r="AY192" s="144">
        <f>IF('PV IN'!$F$4="PV Only",0,-BattLoan!F220)</f>
        <v>0</v>
      </c>
      <c r="AZ192" s="144">
        <f>IF('PV IN'!$F$4="Battery Only",0,-PVLoan!H220)</f>
        <v>0</v>
      </c>
      <c r="BA192" s="144">
        <f>IF('PV IN'!$F$4="PV Only",0,-BattLoan!H220)</f>
        <v>0</v>
      </c>
    </row>
    <row r="193" spans="1:88" x14ac:dyDescent="0.25">
      <c r="A193">
        <f>IF(C193&lt;='PV IN'!$O$22*12,C193,"")</f>
        <v>189</v>
      </c>
      <c r="C193">
        <v>189</v>
      </c>
      <c r="D193" s="2">
        <f>BattCalcs!CK193+PVCalcs!AT193</f>
        <v>9914.5693805730243</v>
      </c>
      <c r="E193" s="20">
        <f>PVCalcs!AV193</f>
        <v>866481.76018503204</v>
      </c>
      <c r="F193" s="20">
        <f>PVCalcs!AW193</f>
        <v>4597.7186933646144</v>
      </c>
      <c r="G193" s="20">
        <f>PVCalcs!AX193</f>
        <v>221292.25624634381</v>
      </c>
      <c r="H193" s="20">
        <f>BattCalcs!CM193</f>
        <v>0</v>
      </c>
      <c r="I193" s="20">
        <f>BattCalcs!CN193</f>
        <v>0</v>
      </c>
      <c r="J193" s="20">
        <f>IF(C193&lt;='Batt IN'!H$43*12,BattCalcs!CO193,NA())</f>
        <v>0</v>
      </c>
      <c r="L193" s="20">
        <f t="shared" si="313"/>
        <v>4597.7186933646144</v>
      </c>
      <c r="M193" s="20">
        <f>G193+BattCalcs!CO193</f>
        <v>221292.25624634381</v>
      </c>
      <c r="O193" s="10">
        <f>PVLoan!G221</f>
        <v>0</v>
      </c>
      <c r="P193" s="10">
        <f>PVLoan!J221</f>
        <v>0</v>
      </c>
      <c r="Q193" s="2" t="str">
        <f>BattLoan!G221</f>
        <v>-</v>
      </c>
      <c r="R193" s="10" t="str">
        <f>BattLoan!J221</f>
        <v>-</v>
      </c>
      <c r="T193" s="33">
        <f>IF('PV IN'!$F$4="Battery Only",0,PVCalcs!G193)</f>
        <v>134530.30186705414</v>
      </c>
      <c r="U193" s="33">
        <f>IF('PV IN'!$F$4="Battery Only",0,PVCalcs!M193)</f>
        <v>134530.30186705414</v>
      </c>
      <c r="V193" s="33">
        <f>PVCalcs!L193</f>
        <v>25811.765833333331</v>
      </c>
      <c r="W193" s="158">
        <f>PVCalcs!F193</f>
        <v>8.1772056019351544E-2</v>
      </c>
      <c r="X193" s="144">
        <f>IF('PV IN'!$F$4="Battery Only",0,PVCalcs!Y193+PVCalcs!Z193)</f>
        <v>0</v>
      </c>
      <c r="Y193" s="144">
        <f>IF('PV IN'!$F$4="PV Only",0,BattCalcs!AX193+BattCalcs!BC193)</f>
        <v>0</v>
      </c>
      <c r="Z193" s="144">
        <f>IF('PV IN'!$F$4="PV Only",0,BattCalcs!AY193+BattCalcs!BD193)</f>
        <v>0</v>
      </c>
      <c r="AA193" s="144">
        <f>IF('PV IN'!$F$4="PV Only",0,BattCalcs!AZ193+BattCalcs!BE193)</f>
        <v>0</v>
      </c>
      <c r="AB193" s="144">
        <f>IF('PV IN'!$F$4="PV Only",0,BattCalcs!BA193+BattCalcs!BF193)</f>
        <v>0</v>
      </c>
      <c r="AC193" s="144">
        <f>IF('PV IN'!$F$4="PV Only",0,BattCalcs!BB193+BattCalcs!BG193)</f>
        <v>0</v>
      </c>
      <c r="AD193" s="144">
        <f>IF('PV IN'!$F$4="PV Only",0,BattCalcs!BU193)</f>
        <v>0</v>
      </c>
      <c r="AE193" s="144">
        <f>IF('PV IN'!$F$4="PV Only",PVCalcs!W193+PVCalcs!AA193,IF('PV IN'!$F$4="Battery Only",BattCalcs!AV193+BattCalcs!BH193,PVCalcs!W193+PVCalcs!AA193+BattCalcs!AV193+BattCalcs!BH193))</f>
        <v>0</v>
      </c>
      <c r="AF193" s="10">
        <f>PVCalcs!AC193+BattCalcs!BJ193</f>
        <v>0</v>
      </c>
      <c r="AG193" s="144">
        <f>IF('PV IN'!$F$4="Battery Only",0,PVCalcs!AG193)</f>
        <v>-750</v>
      </c>
      <c r="AH193" s="144">
        <f>IF('PV IN'!$F$4="Battery Only",0,PVCalcs!AI193)</f>
        <v>0</v>
      </c>
      <c r="AI193" s="144">
        <f>IF('PV IN'!$F$4="PV Only",0,BattCalcs!BM193)</f>
        <v>0</v>
      </c>
      <c r="AJ193" s="144">
        <f>IF('PV IN'!$F$4="PV Only",0,SUM(BattCalcs!BO193:BT193))</f>
        <v>0</v>
      </c>
      <c r="AK193" s="144">
        <f>IF('PV IN'!$F$4="PV Only",PVCalcs!AH193,IF('PV IN'!$F$4="Battery Only",BattCalcs!BN193,PVCalcs!AH193+BattCalcs!BN193))</f>
        <v>-625</v>
      </c>
      <c r="AL193" s="144">
        <f>IF('PV IN'!$F$4="PV Only",0,BattCalcs!BV193)</f>
        <v>0</v>
      </c>
      <c r="AM193" s="144">
        <f>IF('PV IN'!$F$4="PV Only",0,SUM(BattCalcs!BW193:BX193))</f>
        <v>0</v>
      </c>
      <c r="AN193" s="144">
        <f>IF('PV IN'!$F$4="PV Only",0,BattCalcs!BY193)</f>
        <v>0</v>
      </c>
      <c r="AO193" s="144">
        <f>IF('PV IN'!$F$4="Battery Only",0,PVCalcs!U193)</f>
        <v>11000.819380573024</v>
      </c>
      <c r="AP193" s="10">
        <f>IF('PV IN'!$F$4="PV Only",0,BattCalcs!AS193)</f>
        <v>0</v>
      </c>
      <c r="AQ193" s="10">
        <f>IF('PV IN'!$F$4="PV Only",0,BattCalcs!AT193)</f>
        <v>0</v>
      </c>
      <c r="AR193" s="10">
        <f>IF('PV IN'!$F$4="PV Only",0,BattCalcs!AU193)</f>
        <v>0</v>
      </c>
      <c r="AS193" s="144">
        <f>IF('PV IN'!$F$4="PV Only",PVCalcs!X193,IF('PV IN'!$F$4="Battery Only",BattCalcs!AW193,PVCalcs!X193+BattCalcs!AW193))</f>
        <v>0</v>
      </c>
      <c r="AT193" s="144">
        <f>IF('PV IN'!$F$4="Battery Only",0,-PVCalcs!AQ193*'PV IN'!$E$8)</f>
        <v>0</v>
      </c>
      <c r="AU193" s="144">
        <f>IF('PV IN'!$F$4="PV Only",0,-BattCalcs!CG193*'PV IN'!$E$8)</f>
        <v>0</v>
      </c>
      <c r="AV193" s="144">
        <f>IF('PV IN'!$F$4="PV Only",PVCalcs!Z193+PVCalcs!AA193,IF('PV IN'!$F$4="Battery Only",SUM(BattCalcs!BC193:BH193),PVCalcs!Z193+PVCalcs!AA193+SUM(BattCalcs!BC193:BH193)))</f>
        <v>0</v>
      </c>
      <c r="AW193" s="144">
        <f>IF('PV IN'!$F$4="PV Only",SUM(PVCalcs!AF193:AI193),IF('PV IN'!$F$4="Battery Only",SUM(BattCalcs!BL193:BY193),SUM(PVCalcs!AF193:AI193)+SUM(BattCalcs!BL193:BY193)))</f>
        <v>-1375</v>
      </c>
      <c r="AX193" s="144">
        <f>IF('PV IN'!$F$4="Battery Only",0,-PVLoan!F221)</f>
        <v>0</v>
      </c>
      <c r="AY193" s="144">
        <f>IF('PV IN'!$F$4="PV Only",0,-BattLoan!F221)</f>
        <v>0</v>
      </c>
      <c r="AZ193" s="144">
        <f>IF('PV IN'!$F$4="Battery Only",0,-PVLoan!H221)</f>
        <v>0</v>
      </c>
      <c r="BA193" s="144">
        <f>IF('PV IN'!$F$4="PV Only",0,-BattLoan!H221)</f>
        <v>0</v>
      </c>
    </row>
    <row r="194" spans="1:88" x14ac:dyDescent="0.25">
      <c r="A194">
        <f>IF(C194&lt;='PV IN'!$O$22*12,C194,"")</f>
        <v>190</v>
      </c>
      <c r="C194">
        <v>190</v>
      </c>
      <c r="D194" s="2">
        <f>BattCalcs!CK194+PVCalcs!AT194</f>
        <v>9907.2355009859766</v>
      </c>
      <c r="E194" s="20">
        <f>PVCalcs!AV194</f>
        <v>876388.99568601802</v>
      </c>
      <c r="F194" s="20">
        <f>PVCalcs!AW194</f>
        <v>4575.6758573359075</v>
      </c>
      <c r="G194" s="20">
        <f>PVCalcs!AX194</f>
        <v>225867.93210367972</v>
      </c>
      <c r="H194" s="20">
        <f>BattCalcs!CM194</f>
        <v>0</v>
      </c>
      <c r="I194" s="20">
        <f>BattCalcs!CN194</f>
        <v>0</v>
      </c>
      <c r="J194" s="20">
        <f>IF(C194&lt;='Batt IN'!H$43*12,BattCalcs!CO194,NA())</f>
        <v>0</v>
      </c>
      <c r="L194" s="20">
        <f t="shared" si="313"/>
        <v>4575.6758573359075</v>
      </c>
      <c r="M194" s="20">
        <f>G194+BattCalcs!CO194</f>
        <v>225867.93210367972</v>
      </c>
      <c r="O194" s="10">
        <f>PVLoan!G222</f>
        <v>0</v>
      </c>
      <c r="P194" s="10">
        <f>PVLoan!J222</f>
        <v>0</v>
      </c>
      <c r="Q194" s="2" t="str">
        <f>BattLoan!G222</f>
        <v>-</v>
      </c>
      <c r="R194" s="10" t="str">
        <f>BattLoan!J222</f>
        <v>-</v>
      </c>
      <c r="T194" s="33">
        <f>IF('PV IN'!$F$4="Battery Only",0,PVCalcs!G194)</f>
        <v>134440.61499914277</v>
      </c>
      <c r="U194" s="33">
        <f>IF('PV IN'!$F$4="Battery Only",0,PVCalcs!M194)</f>
        <v>134440.61499914277</v>
      </c>
      <c r="V194" s="33">
        <f>PVCalcs!L194</f>
        <v>25811.765833333331</v>
      </c>
      <c r="W194" s="158">
        <f>PVCalcs!F194</f>
        <v>8.1772056019351544E-2</v>
      </c>
      <c r="X194" s="144">
        <f>IF('PV IN'!$F$4="Battery Only",0,PVCalcs!Y194+PVCalcs!Z194)</f>
        <v>0</v>
      </c>
      <c r="Y194" s="144">
        <f>IF('PV IN'!$F$4="PV Only",0,BattCalcs!AX194+BattCalcs!BC194)</f>
        <v>0</v>
      </c>
      <c r="Z194" s="144">
        <f>IF('PV IN'!$F$4="PV Only",0,BattCalcs!AY194+BattCalcs!BD194)</f>
        <v>0</v>
      </c>
      <c r="AA194" s="144">
        <f>IF('PV IN'!$F$4="PV Only",0,BattCalcs!AZ194+BattCalcs!BE194)</f>
        <v>0</v>
      </c>
      <c r="AB194" s="144">
        <f>IF('PV IN'!$F$4="PV Only",0,BattCalcs!BA194+BattCalcs!BF194)</f>
        <v>0</v>
      </c>
      <c r="AC194" s="144">
        <f>IF('PV IN'!$F$4="PV Only",0,BattCalcs!BB194+BattCalcs!BG194)</f>
        <v>0</v>
      </c>
      <c r="AD194" s="144">
        <f>IF('PV IN'!$F$4="PV Only",0,BattCalcs!BU194)</f>
        <v>0</v>
      </c>
      <c r="AE194" s="144">
        <f>IF('PV IN'!$F$4="PV Only",PVCalcs!W194+PVCalcs!AA194,IF('PV IN'!$F$4="Battery Only",BattCalcs!AV194+BattCalcs!BH194,PVCalcs!W194+PVCalcs!AA194+BattCalcs!AV194+BattCalcs!BH194))</f>
        <v>0</v>
      </c>
      <c r="AF194" s="10">
        <f>PVCalcs!AC194+BattCalcs!BJ194</f>
        <v>0</v>
      </c>
      <c r="AG194" s="144">
        <f>IF('PV IN'!$F$4="Battery Only",0,PVCalcs!AG194)</f>
        <v>-750</v>
      </c>
      <c r="AH194" s="144">
        <f>IF('PV IN'!$F$4="Battery Only",0,PVCalcs!AI194)</f>
        <v>0</v>
      </c>
      <c r="AI194" s="144">
        <f>IF('PV IN'!$F$4="PV Only",0,BattCalcs!BM194)</f>
        <v>0</v>
      </c>
      <c r="AJ194" s="144">
        <f>IF('PV IN'!$F$4="PV Only",0,SUM(BattCalcs!BO194:BT194))</f>
        <v>0</v>
      </c>
      <c r="AK194" s="144">
        <f>IF('PV IN'!$F$4="PV Only",PVCalcs!AH194,IF('PV IN'!$F$4="Battery Only",BattCalcs!BN194,PVCalcs!AH194+BattCalcs!BN194))</f>
        <v>-625</v>
      </c>
      <c r="AL194" s="144">
        <f>IF('PV IN'!$F$4="PV Only",0,BattCalcs!BV194)</f>
        <v>0</v>
      </c>
      <c r="AM194" s="144">
        <f>IF('PV IN'!$F$4="PV Only",0,SUM(BattCalcs!BW194:BX194))</f>
        <v>0</v>
      </c>
      <c r="AN194" s="144">
        <f>IF('PV IN'!$F$4="PV Only",0,BattCalcs!BY194)</f>
        <v>0</v>
      </c>
      <c r="AO194" s="144">
        <f>IF('PV IN'!$F$4="Battery Only",0,PVCalcs!U194)</f>
        <v>10993.485500985977</v>
      </c>
      <c r="AP194" s="10">
        <f>IF('PV IN'!$F$4="PV Only",0,BattCalcs!AS194)</f>
        <v>0</v>
      </c>
      <c r="AQ194" s="10">
        <f>IF('PV IN'!$F$4="PV Only",0,BattCalcs!AT194)</f>
        <v>0</v>
      </c>
      <c r="AR194" s="10">
        <f>IF('PV IN'!$F$4="PV Only",0,BattCalcs!AU194)</f>
        <v>0</v>
      </c>
      <c r="AS194" s="144">
        <f>IF('PV IN'!$F$4="PV Only",PVCalcs!X194,IF('PV IN'!$F$4="Battery Only",BattCalcs!AW194,PVCalcs!X194+BattCalcs!AW194))</f>
        <v>0</v>
      </c>
      <c r="AT194" s="144">
        <f>IF('PV IN'!$F$4="Battery Only",0,-PVCalcs!AQ194*'PV IN'!$E$8)</f>
        <v>0</v>
      </c>
      <c r="AU194" s="144">
        <f>IF('PV IN'!$F$4="PV Only",0,-BattCalcs!CG194*'PV IN'!$E$8)</f>
        <v>0</v>
      </c>
      <c r="AV194" s="144">
        <f>IF('PV IN'!$F$4="PV Only",PVCalcs!Z194+PVCalcs!AA194,IF('PV IN'!$F$4="Battery Only",SUM(BattCalcs!BC194:BH194),PVCalcs!Z194+PVCalcs!AA194+SUM(BattCalcs!BC194:BH194)))</f>
        <v>0</v>
      </c>
      <c r="AW194" s="144">
        <f>IF('PV IN'!$F$4="PV Only",SUM(PVCalcs!AF194:AI194),IF('PV IN'!$F$4="Battery Only",SUM(BattCalcs!BL194:BY194),SUM(PVCalcs!AF194:AI194)+SUM(BattCalcs!BL194:BY194)))</f>
        <v>-1375</v>
      </c>
      <c r="AX194" s="144">
        <f>IF('PV IN'!$F$4="Battery Only",0,-PVLoan!F222)</f>
        <v>0</v>
      </c>
      <c r="AY194" s="144">
        <f>IF('PV IN'!$F$4="PV Only",0,-BattLoan!F222)</f>
        <v>0</v>
      </c>
      <c r="AZ194" s="144">
        <f>IF('PV IN'!$F$4="Battery Only",0,-PVLoan!H222)</f>
        <v>0</v>
      </c>
      <c r="BA194" s="144">
        <f>IF('PV IN'!$F$4="PV Only",0,-BattLoan!H222)</f>
        <v>0</v>
      </c>
    </row>
    <row r="195" spans="1:88" x14ac:dyDescent="0.25">
      <c r="A195">
        <f>IF(C195&lt;='PV IN'!$O$22*12,C195,"")</f>
        <v>191</v>
      </c>
      <c r="C195">
        <v>191</v>
      </c>
      <c r="D195" s="2">
        <f>BattCalcs!CK195+PVCalcs!AT195</f>
        <v>9899.9065106519847</v>
      </c>
      <c r="E195" s="20">
        <f>PVCalcs!AV195</f>
        <v>886288.90219666995</v>
      </c>
      <c r="F195" s="20">
        <f>PVCalcs!AW195</f>
        <v>4553.7384548468235</v>
      </c>
      <c r="G195" s="20">
        <f>PVCalcs!AX195</f>
        <v>230421.67055852653</v>
      </c>
      <c r="H195" s="20">
        <f>BattCalcs!CM195</f>
        <v>0</v>
      </c>
      <c r="I195" s="20">
        <f>BattCalcs!CN195</f>
        <v>0</v>
      </c>
      <c r="J195" s="20">
        <f>IF(C195&lt;='Batt IN'!H$43*12,BattCalcs!CO195,NA())</f>
        <v>0</v>
      </c>
      <c r="L195" s="20">
        <f t="shared" si="313"/>
        <v>4553.7384548468235</v>
      </c>
      <c r="M195" s="20">
        <f>G195+BattCalcs!CO195</f>
        <v>230421.67055852653</v>
      </c>
      <c r="O195" s="10">
        <f>PVLoan!G223</f>
        <v>0</v>
      </c>
      <c r="P195" s="10">
        <f>PVLoan!J223</f>
        <v>0</v>
      </c>
      <c r="Q195" s="2" t="str">
        <f>BattLoan!G223</f>
        <v>-</v>
      </c>
      <c r="R195" s="10" t="str">
        <f>BattLoan!J223</f>
        <v>-</v>
      </c>
      <c r="T195" s="33">
        <f>IF('PV IN'!$F$4="Battery Only",0,PVCalcs!G195)</f>
        <v>134350.98792247666</v>
      </c>
      <c r="U195" s="33">
        <f>IF('PV IN'!$F$4="Battery Only",0,PVCalcs!M195)</f>
        <v>134350.98792247666</v>
      </c>
      <c r="V195" s="33">
        <f>PVCalcs!L195</f>
        <v>25811.765833333331</v>
      </c>
      <c r="W195" s="158">
        <f>PVCalcs!F195</f>
        <v>8.1772056019351544E-2</v>
      </c>
      <c r="X195" s="144">
        <f>IF('PV IN'!$F$4="Battery Only",0,PVCalcs!Y195+PVCalcs!Z195)</f>
        <v>0</v>
      </c>
      <c r="Y195" s="144">
        <f>IF('PV IN'!$F$4="PV Only",0,BattCalcs!AX195+BattCalcs!BC195)</f>
        <v>0</v>
      </c>
      <c r="Z195" s="144">
        <f>IF('PV IN'!$F$4="PV Only",0,BattCalcs!AY195+BattCalcs!BD195)</f>
        <v>0</v>
      </c>
      <c r="AA195" s="144">
        <f>IF('PV IN'!$F$4="PV Only",0,BattCalcs!AZ195+BattCalcs!BE195)</f>
        <v>0</v>
      </c>
      <c r="AB195" s="144">
        <f>IF('PV IN'!$F$4="PV Only",0,BattCalcs!BA195+BattCalcs!BF195)</f>
        <v>0</v>
      </c>
      <c r="AC195" s="144">
        <f>IF('PV IN'!$F$4="PV Only",0,BattCalcs!BB195+BattCalcs!BG195)</f>
        <v>0</v>
      </c>
      <c r="AD195" s="144">
        <f>IF('PV IN'!$F$4="PV Only",0,BattCalcs!BU195)</f>
        <v>0</v>
      </c>
      <c r="AE195" s="144">
        <f>IF('PV IN'!$F$4="PV Only",PVCalcs!W195+PVCalcs!AA195,IF('PV IN'!$F$4="Battery Only",BattCalcs!AV195+BattCalcs!BH195,PVCalcs!W195+PVCalcs!AA195+BattCalcs!AV195+BattCalcs!BH195))</f>
        <v>0</v>
      </c>
      <c r="AF195" s="10">
        <f>PVCalcs!AC195+BattCalcs!BJ195</f>
        <v>0</v>
      </c>
      <c r="AG195" s="144">
        <f>IF('PV IN'!$F$4="Battery Only",0,PVCalcs!AG195)</f>
        <v>-750</v>
      </c>
      <c r="AH195" s="144">
        <f>IF('PV IN'!$F$4="Battery Only",0,PVCalcs!AI195)</f>
        <v>0</v>
      </c>
      <c r="AI195" s="144">
        <f>IF('PV IN'!$F$4="PV Only",0,BattCalcs!BM195)</f>
        <v>0</v>
      </c>
      <c r="AJ195" s="144">
        <f>IF('PV IN'!$F$4="PV Only",0,SUM(BattCalcs!BO195:BT195))</f>
        <v>0</v>
      </c>
      <c r="AK195" s="144">
        <f>IF('PV IN'!$F$4="PV Only",PVCalcs!AH195,IF('PV IN'!$F$4="Battery Only",BattCalcs!BN195,PVCalcs!AH195+BattCalcs!BN195))</f>
        <v>-625</v>
      </c>
      <c r="AL195" s="144">
        <f>IF('PV IN'!$F$4="PV Only",0,BattCalcs!BV195)</f>
        <v>0</v>
      </c>
      <c r="AM195" s="144">
        <f>IF('PV IN'!$F$4="PV Only",0,SUM(BattCalcs!BW195:BX195))</f>
        <v>0</v>
      </c>
      <c r="AN195" s="144">
        <f>IF('PV IN'!$F$4="PV Only",0,BattCalcs!BY195)</f>
        <v>0</v>
      </c>
      <c r="AO195" s="144">
        <f>IF('PV IN'!$F$4="Battery Only",0,PVCalcs!U195)</f>
        <v>10986.156510651985</v>
      </c>
      <c r="AP195" s="10">
        <f>IF('PV IN'!$F$4="PV Only",0,BattCalcs!AS195)</f>
        <v>0</v>
      </c>
      <c r="AQ195" s="10">
        <f>IF('PV IN'!$F$4="PV Only",0,BattCalcs!AT195)</f>
        <v>0</v>
      </c>
      <c r="AR195" s="10">
        <f>IF('PV IN'!$F$4="PV Only",0,BattCalcs!AU195)</f>
        <v>0</v>
      </c>
      <c r="AS195" s="144">
        <f>IF('PV IN'!$F$4="PV Only",PVCalcs!X195,IF('PV IN'!$F$4="Battery Only",BattCalcs!AW195,PVCalcs!X195+BattCalcs!AW195))</f>
        <v>0</v>
      </c>
      <c r="AT195" s="144">
        <f>IF('PV IN'!$F$4="Battery Only",0,-PVCalcs!AQ195*'PV IN'!$E$8)</f>
        <v>0</v>
      </c>
      <c r="AU195" s="144">
        <f>IF('PV IN'!$F$4="PV Only",0,-BattCalcs!CG195*'PV IN'!$E$8)</f>
        <v>0</v>
      </c>
      <c r="AV195" s="144">
        <f>IF('PV IN'!$F$4="PV Only",PVCalcs!Z195+PVCalcs!AA195,IF('PV IN'!$F$4="Battery Only",SUM(BattCalcs!BC195:BH195),PVCalcs!Z195+PVCalcs!AA195+SUM(BattCalcs!BC195:BH195)))</f>
        <v>0</v>
      </c>
      <c r="AW195" s="144">
        <f>IF('PV IN'!$F$4="PV Only",SUM(PVCalcs!AF195:AI195),IF('PV IN'!$F$4="Battery Only",SUM(BattCalcs!BL195:BY195),SUM(PVCalcs!AF195:AI195)+SUM(BattCalcs!BL195:BY195)))</f>
        <v>-1375</v>
      </c>
      <c r="AX195" s="144">
        <f>IF('PV IN'!$F$4="Battery Only",0,-PVLoan!F223)</f>
        <v>0</v>
      </c>
      <c r="AY195" s="144">
        <f>IF('PV IN'!$F$4="PV Only",0,-BattLoan!F223)</f>
        <v>0</v>
      </c>
      <c r="AZ195" s="144">
        <f>IF('PV IN'!$F$4="Battery Only",0,-PVLoan!H223)</f>
        <v>0</v>
      </c>
      <c r="BA195" s="144">
        <f>IF('PV IN'!$F$4="PV Only",0,-BattLoan!H223)</f>
        <v>0</v>
      </c>
    </row>
    <row r="196" spans="1:88" x14ac:dyDescent="0.25">
      <c r="A196">
        <f>IF(C196&lt;='PV IN'!$O$22*12,C196,"")</f>
        <v>192</v>
      </c>
      <c r="B196">
        <f>B184+1</f>
        <v>2041</v>
      </c>
      <c r="C196">
        <v>192</v>
      </c>
      <c r="D196" s="2">
        <f>BattCalcs!CK196+PVCalcs!AT196</f>
        <v>9892.5824063115506</v>
      </c>
      <c r="E196" s="20">
        <f>PVCalcs!AV196</f>
        <v>896181.48460298148</v>
      </c>
      <c r="F196" s="20">
        <f>PVCalcs!AW196</f>
        <v>4531.9059825806526</v>
      </c>
      <c r="G196" s="20">
        <f>PVCalcs!AX196</f>
        <v>234953.57654110718</v>
      </c>
      <c r="H196" s="20">
        <f>BattCalcs!CM196</f>
        <v>0</v>
      </c>
      <c r="I196" s="20">
        <f>BattCalcs!CN196</f>
        <v>0</v>
      </c>
      <c r="J196" s="20">
        <f>IF(C196&lt;='Batt IN'!H$43*12,BattCalcs!CO196,NA())</f>
        <v>0</v>
      </c>
      <c r="L196" s="20">
        <f t="shared" si="313"/>
        <v>4531.9059825806526</v>
      </c>
      <c r="M196" s="20">
        <f>G196+BattCalcs!CO196</f>
        <v>234953.57654110718</v>
      </c>
      <c r="O196" s="10">
        <f>PVLoan!G224</f>
        <v>0</v>
      </c>
      <c r="P196" s="10">
        <f>PVLoan!J224</f>
        <v>0</v>
      </c>
      <c r="Q196" s="2" t="str">
        <f>BattLoan!G224</f>
        <v>-</v>
      </c>
      <c r="R196" s="10" t="str">
        <f>BattLoan!J224</f>
        <v>-</v>
      </c>
      <c r="T196" s="33">
        <f>IF('PV IN'!$F$4="Battery Only",0,PVCalcs!G196)</f>
        <v>134261.42059719501</v>
      </c>
      <c r="U196" s="33">
        <f>IF('PV IN'!$F$4="Battery Only",0,PVCalcs!M196)</f>
        <v>134261.42059719501</v>
      </c>
      <c r="V196" s="33">
        <f>PVCalcs!L196</f>
        <v>25811.765833333331</v>
      </c>
      <c r="W196" s="158">
        <f>PVCalcs!F196</f>
        <v>8.1772056019351544E-2</v>
      </c>
      <c r="X196" s="144">
        <f>IF('PV IN'!$F$4="Battery Only",0,PVCalcs!Y196+PVCalcs!Z196)</f>
        <v>0</v>
      </c>
      <c r="Y196" s="144">
        <f>IF('PV IN'!$F$4="PV Only",0,BattCalcs!AX196+BattCalcs!BC196)</f>
        <v>0</v>
      </c>
      <c r="Z196" s="144">
        <f>IF('PV IN'!$F$4="PV Only",0,BattCalcs!AY196+BattCalcs!BD196)</f>
        <v>0</v>
      </c>
      <c r="AA196" s="144">
        <f>IF('PV IN'!$F$4="PV Only",0,BattCalcs!AZ196+BattCalcs!BE196)</f>
        <v>0</v>
      </c>
      <c r="AB196" s="144">
        <f>IF('PV IN'!$F$4="PV Only",0,BattCalcs!BA196+BattCalcs!BF196)</f>
        <v>0</v>
      </c>
      <c r="AC196" s="144">
        <f>IF('PV IN'!$F$4="PV Only",0,BattCalcs!BB196+BattCalcs!BG196)</f>
        <v>0</v>
      </c>
      <c r="AD196" s="144">
        <f>IF('PV IN'!$F$4="PV Only",0,BattCalcs!BU196)</f>
        <v>0</v>
      </c>
      <c r="AE196" s="144">
        <f>IF('PV IN'!$F$4="PV Only",PVCalcs!W196+PVCalcs!AA196,IF('PV IN'!$F$4="Battery Only",BattCalcs!AV196+BattCalcs!BH196,PVCalcs!W196+PVCalcs!AA196+BattCalcs!AV196+BattCalcs!BH196))</f>
        <v>0</v>
      </c>
      <c r="AF196" s="10">
        <f>PVCalcs!AC196+BattCalcs!BJ196</f>
        <v>0</v>
      </c>
      <c r="AG196" s="144">
        <f>IF('PV IN'!$F$4="Battery Only",0,PVCalcs!AG196)</f>
        <v>-750</v>
      </c>
      <c r="AH196" s="144">
        <f>IF('PV IN'!$F$4="Battery Only",0,PVCalcs!AI196)</f>
        <v>0</v>
      </c>
      <c r="AI196" s="144">
        <f>IF('PV IN'!$F$4="PV Only",0,BattCalcs!BM196)</f>
        <v>0</v>
      </c>
      <c r="AJ196" s="144">
        <f>IF('PV IN'!$F$4="PV Only",0,SUM(BattCalcs!BO196:BT196))</f>
        <v>0</v>
      </c>
      <c r="AK196" s="144">
        <f>IF('PV IN'!$F$4="PV Only",PVCalcs!AH196,IF('PV IN'!$F$4="Battery Only",BattCalcs!BN196,PVCalcs!AH196+BattCalcs!BN196))</f>
        <v>-625</v>
      </c>
      <c r="AL196" s="144">
        <f>IF('PV IN'!$F$4="PV Only",0,BattCalcs!BV196)</f>
        <v>0</v>
      </c>
      <c r="AM196" s="144">
        <f>IF('PV IN'!$F$4="PV Only",0,SUM(BattCalcs!BW196:BX196))</f>
        <v>0</v>
      </c>
      <c r="AN196" s="144">
        <f>IF('PV IN'!$F$4="PV Only",0,BattCalcs!BY196)</f>
        <v>0</v>
      </c>
      <c r="AO196" s="144">
        <f>IF('PV IN'!$F$4="Battery Only",0,PVCalcs!U196)</f>
        <v>10978.832406311551</v>
      </c>
      <c r="AP196" s="10">
        <f>IF('PV IN'!$F$4="PV Only",0,BattCalcs!AS196)</f>
        <v>0</v>
      </c>
      <c r="AQ196" s="10">
        <f>IF('PV IN'!$F$4="PV Only",0,BattCalcs!AT196)</f>
        <v>0</v>
      </c>
      <c r="AR196" s="10">
        <f>IF('PV IN'!$F$4="PV Only",0,BattCalcs!AU196)</f>
        <v>0</v>
      </c>
      <c r="AS196" s="144">
        <f>IF('PV IN'!$F$4="PV Only",PVCalcs!X196,IF('PV IN'!$F$4="Battery Only",BattCalcs!AW196,PVCalcs!X196+BattCalcs!AW196))</f>
        <v>0</v>
      </c>
      <c r="AT196" s="144">
        <f>IF('PV IN'!$F$4="Battery Only",0,-PVCalcs!AQ196*'PV IN'!$E$8)</f>
        <v>0</v>
      </c>
      <c r="AU196" s="144">
        <f>IF('PV IN'!$F$4="PV Only",0,-BattCalcs!CG196*'PV IN'!$E$8)</f>
        <v>0</v>
      </c>
      <c r="AV196" s="144">
        <f>IF('PV IN'!$F$4="PV Only",PVCalcs!Z196+PVCalcs!AA196,IF('PV IN'!$F$4="Battery Only",SUM(BattCalcs!BC196:BH196),PVCalcs!Z196+PVCalcs!AA196+SUM(BattCalcs!BC196:BH196)))</f>
        <v>0</v>
      </c>
      <c r="AW196" s="144">
        <f>IF('PV IN'!$F$4="PV Only",SUM(PVCalcs!AF196:AI196),IF('PV IN'!$F$4="Battery Only",SUM(BattCalcs!BL196:BY196),SUM(PVCalcs!AF196:AI196)+SUM(BattCalcs!BL196:BY196)))</f>
        <v>-1375</v>
      </c>
      <c r="AX196" s="144">
        <f>IF('PV IN'!$F$4="Battery Only",0,-PVLoan!F224)</f>
        <v>0</v>
      </c>
      <c r="AY196" s="144">
        <f>IF('PV IN'!$F$4="PV Only",0,-BattLoan!F224)</f>
        <v>0</v>
      </c>
      <c r="AZ196" s="144">
        <f>IF('PV IN'!$F$4="Battery Only",0,-PVLoan!H224)</f>
        <v>0</v>
      </c>
      <c r="BA196" s="144">
        <f>IF('PV IN'!$F$4="PV Only",0,-BattLoan!H224)</f>
        <v>0</v>
      </c>
      <c r="BC196" s="33">
        <f t="shared" ref="BC196" si="484">SUM(T185:T196)</f>
        <v>1617061.6556916947</v>
      </c>
      <c r="BD196" s="33">
        <f t="shared" ref="BD196" si="485">SUM(U185:U196)</f>
        <v>1617061.6556916947</v>
      </c>
      <c r="BE196" s="33">
        <f t="shared" ref="BE196" si="486">SUM(V185:V196)</f>
        <v>309741.19</v>
      </c>
      <c r="BF196" s="50">
        <f t="shared" ref="BF196" si="487">W196</f>
        <v>8.1772056019351544E-2</v>
      </c>
      <c r="BG196" s="2">
        <f t="shared" ref="BG196" si="488">SUM(X185:X196)</f>
        <v>0</v>
      </c>
      <c r="BH196" s="2">
        <f t="shared" ref="BH196" si="489">SUM(Y185:Y196)</f>
        <v>0</v>
      </c>
      <c r="BI196" s="2">
        <f t="shared" ref="BI196" si="490">SUM(Z185:Z196)</f>
        <v>0</v>
      </c>
      <c r="BJ196" s="2">
        <f t="shared" ref="BJ196" si="491">SUM(AA185:AA196)</f>
        <v>0</v>
      </c>
      <c r="BK196" s="2">
        <f t="shared" ref="BK196" si="492">SUM(AB185:AB196)</f>
        <v>0</v>
      </c>
      <c r="BL196" s="2">
        <f t="shared" ref="BL196" si="493">SUM(AC185:AC196)</f>
        <v>0</v>
      </c>
      <c r="BM196" s="2">
        <f t="shared" ref="BM196" si="494">SUM(AD185:AD196)</f>
        <v>0</v>
      </c>
      <c r="BN196" s="2">
        <f t="shared" ref="BN196" si="495">SUM(AE185:AE196)</f>
        <v>0</v>
      </c>
      <c r="BO196" s="2">
        <f t="shared" ref="BO196" si="496">SUM(AF185:AF196)</f>
        <v>0</v>
      </c>
      <c r="BP196" s="2">
        <f t="shared" ref="BP196" si="497">SUM(AG185:AG196)</f>
        <v>-9000</v>
      </c>
      <c r="BQ196" s="2">
        <f t="shared" ref="BQ196" si="498">SUM(AH185:AH196)</f>
        <v>0</v>
      </c>
      <c r="BR196" s="2">
        <f t="shared" ref="BR196" si="499">SUM(AI185:AI196)</f>
        <v>0</v>
      </c>
      <c r="BS196" s="2">
        <f t="shared" ref="BS196" si="500">SUM(AJ185:AJ196)</f>
        <v>0</v>
      </c>
      <c r="BT196" s="2">
        <f t="shared" ref="BT196" si="501">SUM(AK185:AK196)</f>
        <v>-7500</v>
      </c>
      <c r="BU196" s="2">
        <f t="shared" ref="BU196" si="502">SUM(AL185:AL196)</f>
        <v>0</v>
      </c>
      <c r="BV196" s="2">
        <f t="shared" ref="BV196" si="503">SUM(AM185:AM196)</f>
        <v>0</v>
      </c>
      <c r="BW196" s="2">
        <f t="shared" ref="BW196" si="504">SUM(AN185:AN196)</f>
        <v>0</v>
      </c>
      <c r="BX196" s="2">
        <f t="shared" ref="BX196" si="505">SUM(AO185:AO196)</f>
        <v>132230.45629596664</v>
      </c>
      <c r="BY196" s="2">
        <f t="shared" ref="BY196" si="506">SUM(AP185:AP196)</f>
        <v>0</v>
      </c>
      <c r="BZ196" s="2">
        <f t="shared" ref="BZ196" si="507">SUM(AQ185:AQ196)</f>
        <v>0</v>
      </c>
      <c r="CA196" s="2">
        <f t="shared" ref="CA196" si="508">SUM(AR185:AR196)</f>
        <v>0</v>
      </c>
      <c r="CB196" s="2">
        <f t="shared" ref="CB196" si="509">SUM(AS185:AS196)</f>
        <v>0</v>
      </c>
      <c r="CC196" s="2">
        <f t="shared" ref="CC196" si="510">SUM(AT185:AT196)</f>
        <v>0</v>
      </c>
      <c r="CD196" s="2">
        <f t="shared" ref="CD196" si="511">SUM(AU185:AU196)</f>
        <v>0</v>
      </c>
      <c r="CE196" s="2">
        <f t="shared" ref="CE196" si="512">SUM(AV185:AV196)</f>
        <v>0</v>
      </c>
      <c r="CF196" s="2">
        <f t="shared" ref="CF196" si="513">SUM(AW185:AW196)</f>
        <v>-16500</v>
      </c>
      <c r="CG196" s="2">
        <f t="shared" ref="CG196" si="514">SUM(AX185:AX196)</f>
        <v>0</v>
      </c>
      <c r="CH196" s="2">
        <f t="shared" ref="CH196" si="515">SUM(AY185:AY196)</f>
        <v>0</v>
      </c>
      <c r="CI196" s="2">
        <f t="shared" ref="CI196" si="516">SUM(AZ185:AZ196)</f>
        <v>0</v>
      </c>
      <c r="CJ196" s="2">
        <f t="shared" ref="CJ196" si="517">SUM(BA185:BA196)</f>
        <v>0</v>
      </c>
    </row>
    <row r="197" spans="1:88" x14ac:dyDescent="0.25">
      <c r="A197">
        <f>IF(C197&lt;='PV IN'!$O$22*12,C197,"")</f>
        <v>193</v>
      </c>
      <c r="C197">
        <v>193</v>
      </c>
      <c r="D197" s="2">
        <f>BattCalcs!CK197+PVCalcs!AT197</f>
        <v>9933.8457663278114</v>
      </c>
      <c r="E197" s="20">
        <f>PVCalcs!AV197</f>
        <v>906115.33036930929</v>
      </c>
      <c r="F197" s="20">
        <f>PVCalcs!AW197</f>
        <v>4532.3438732704171</v>
      </c>
      <c r="G197" s="20">
        <f>PVCalcs!AX197</f>
        <v>239485.92041437759</v>
      </c>
      <c r="H197" s="20">
        <f>BattCalcs!CM197</f>
        <v>0</v>
      </c>
      <c r="I197" s="20">
        <f>BattCalcs!CN197</f>
        <v>0</v>
      </c>
      <c r="J197" s="20">
        <f>IF(C197&lt;='Batt IN'!H$43*12,BattCalcs!CO197,NA())</f>
        <v>0</v>
      </c>
      <c r="L197" s="20">
        <f t="shared" ref="L197:L260" si="518">F197+I197</f>
        <v>4532.3438732704171</v>
      </c>
      <c r="M197" s="20">
        <f>G197+BattCalcs!CO197</f>
        <v>239485.92041437759</v>
      </c>
      <c r="O197" s="10">
        <f>PVLoan!G225</f>
        <v>0</v>
      </c>
      <c r="P197" s="10">
        <f>PVLoan!J225</f>
        <v>0</v>
      </c>
      <c r="Q197" s="2" t="str">
        <f>BattLoan!G225</f>
        <v>-</v>
      </c>
      <c r="R197" s="10" t="str">
        <f>BattLoan!J225</f>
        <v>-</v>
      </c>
      <c r="T197" s="33">
        <f>IF('PV IN'!$F$4="Battery Only",0,PVCalcs!G197)</f>
        <v>134171.91298346352</v>
      </c>
      <c r="U197" s="33">
        <f>IF('PV IN'!$F$4="Battery Only",0,PVCalcs!M197)</f>
        <v>134171.91298346352</v>
      </c>
      <c r="V197" s="33">
        <f>PVCalcs!L197</f>
        <v>25811.765833333331</v>
      </c>
      <c r="W197" s="158">
        <f>PVCalcs!F197</f>
        <v>8.2134148058886372E-2</v>
      </c>
      <c r="X197" s="144">
        <f>IF('PV IN'!$F$4="Battery Only",0,PVCalcs!Y197+PVCalcs!Z197)</f>
        <v>0</v>
      </c>
      <c r="Y197" s="144">
        <f>IF('PV IN'!$F$4="PV Only",0,BattCalcs!AX197+BattCalcs!BC197)</f>
        <v>0</v>
      </c>
      <c r="Z197" s="144">
        <f>IF('PV IN'!$F$4="PV Only",0,BattCalcs!AY197+BattCalcs!BD197)</f>
        <v>0</v>
      </c>
      <c r="AA197" s="144">
        <f>IF('PV IN'!$F$4="PV Only",0,BattCalcs!AZ197+BattCalcs!BE197)</f>
        <v>0</v>
      </c>
      <c r="AB197" s="144">
        <f>IF('PV IN'!$F$4="PV Only",0,BattCalcs!BA197+BattCalcs!BF197)</f>
        <v>0</v>
      </c>
      <c r="AC197" s="144">
        <f>IF('PV IN'!$F$4="PV Only",0,BattCalcs!BB197+BattCalcs!BG197)</f>
        <v>0</v>
      </c>
      <c r="AD197" s="144">
        <f>IF('PV IN'!$F$4="PV Only",0,BattCalcs!BU197)</f>
        <v>0</v>
      </c>
      <c r="AE197" s="144">
        <f>IF('PV IN'!$F$4="PV Only",PVCalcs!W197+PVCalcs!AA197,IF('PV IN'!$F$4="Battery Only",BattCalcs!AV197+BattCalcs!BH197,PVCalcs!W197+PVCalcs!AA197+BattCalcs!AV197+BattCalcs!BH197))</f>
        <v>0</v>
      </c>
      <c r="AF197" s="10">
        <f>PVCalcs!AC197+BattCalcs!BJ197</f>
        <v>0</v>
      </c>
      <c r="AG197" s="144">
        <f>IF('PV IN'!$F$4="Battery Only",0,PVCalcs!AG197)</f>
        <v>-750</v>
      </c>
      <c r="AH197" s="144">
        <f>IF('PV IN'!$F$4="Battery Only",0,PVCalcs!AI197)</f>
        <v>0</v>
      </c>
      <c r="AI197" s="144">
        <f>IF('PV IN'!$F$4="PV Only",0,BattCalcs!BM197)</f>
        <v>0</v>
      </c>
      <c r="AJ197" s="144">
        <f>IF('PV IN'!$F$4="PV Only",0,SUM(BattCalcs!BO197:BT197))</f>
        <v>0</v>
      </c>
      <c r="AK197" s="144">
        <f>IF('PV IN'!$F$4="PV Only",PVCalcs!AH197,IF('PV IN'!$F$4="Battery Only",BattCalcs!BN197,PVCalcs!AH197+BattCalcs!BN197))</f>
        <v>-625</v>
      </c>
      <c r="AL197" s="144">
        <f>IF('PV IN'!$F$4="PV Only",0,BattCalcs!BV197)</f>
        <v>0</v>
      </c>
      <c r="AM197" s="144">
        <f>IF('PV IN'!$F$4="PV Only",0,SUM(BattCalcs!BW197:BX197))</f>
        <v>0</v>
      </c>
      <c r="AN197" s="144">
        <f>IF('PV IN'!$F$4="PV Only",0,BattCalcs!BY197)</f>
        <v>0</v>
      </c>
      <c r="AO197" s="144">
        <f>IF('PV IN'!$F$4="Battery Only",0,PVCalcs!U197)</f>
        <v>11020.095766327811</v>
      </c>
      <c r="AP197" s="10">
        <f>IF('PV IN'!$F$4="PV Only",0,BattCalcs!AS197)</f>
        <v>0</v>
      </c>
      <c r="AQ197" s="10">
        <f>IF('PV IN'!$F$4="PV Only",0,BattCalcs!AT197)</f>
        <v>0</v>
      </c>
      <c r="AR197" s="10">
        <f>IF('PV IN'!$F$4="PV Only",0,BattCalcs!AU197)</f>
        <v>0</v>
      </c>
      <c r="AS197" s="144">
        <f>IF('PV IN'!$F$4="PV Only",PVCalcs!X197,IF('PV IN'!$F$4="Battery Only",BattCalcs!AW197,PVCalcs!X197+BattCalcs!AW197))</f>
        <v>0</v>
      </c>
      <c r="AT197" s="144">
        <f>IF('PV IN'!$F$4="Battery Only",0,-PVCalcs!AQ197*'PV IN'!$E$8)</f>
        <v>0</v>
      </c>
      <c r="AU197" s="144">
        <f>IF('PV IN'!$F$4="PV Only",0,-BattCalcs!CG197*'PV IN'!$E$8)</f>
        <v>0</v>
      </c>
      <c r="AV197" s="144">
        <f>IF('PV IN'!$F$4="PV Only",PVCalcs!Z197+PVCalcs!AA197,IF('PV IN'!$F$4="Battery Only",SUM(BattCalcs!BC197:BH197),PVCalcs!Z197+PVCalcs!AA197+SUM(BattCalcs!BC197:BH197)))</f>
        <v>0</v>
      </c>
      <c r="AW197" s="144">
        <f>IF('PV IN'!$F$4="PV Only",SUM(PVCalcs!AF197:AI197),IF('PV IN'!$F$4="Battery Only",SUM(BattCalcs!BL197:BY197),SUM(PVCalcs!AF197:AI197)+SUM(BattCalcs!BL197:BY197)))</f>
        <v>-1375</v>
      </c>
      <c r="AX197" s="144">
        <f>IF('PV IN'!$F$4="Battery Only",0,-PVLoan!F225)</f>
        <v>0</v>
      </c>
      <c r="AY197" s="144">
        <f>IF('PV IN'!$F$4="PV Only",0,-BattLoan!F225)</f>
        <v>0</v>
      </c>
      <c r="AZ197" s="144">
        <f>IF('PV IN'!$F$4="Battery Only",0,-PVLoan!H225)</f>
        <v>0</v>
      </c>
      <c r="BA197" s="144">
        <f>IF('PV IN'!$F$4="PV Only",0,-BattLoan!H225)</f>
        <v>0</v>
      </c>
    </row>
    <row r="198" spans="1:88" x14ac:dyDescent="0.25">
      <c r="A198">
        <f>IF(C198&lt;='PV IN'!$O$22*12,C198,"")</f>
        <v>194</v>
      </c>
      <c r="C198">
        <v>194</v>
      </c>
      <c r="D198" s="2">
        <f>BattCalcs!CK198+PVCalcs!AT198</f>
        <v>9926.4990358169271</v>
      </c>
      <c r="E198" s="20">
        <f>PVCalcs!AV198</f>
        <v>916041.82940512616</v>
      </c>
      <c r="F198" s="20">
        <f>PVCalcs!AW198</f>
        <v>4510.6151034253307</v>
      </c>
      <c r="G198" s="20">
        <f>PVCalcs!AX198</f>
        <v>243996.53551780293</v>
      </c>
      <c r="H198" s="20">
        <f>BattCalcs!CM198</f>
        <v>0</v>
      </c>
      <c r="I198" s="20">
        <f>BattCalcs!CN198</f>
        <v>0</v>
      </c>
      <c r="J198" s="20">
        <f>IF(C198&lt;='Batt IN'!H$43*12,BattCalcs!CO198,NA())</f>
        <v>0</v>
      </c>
      <c r="L198" s="20">
        <f t="shared" si="518"/>
        <v>4510.6151034253307</v>
      </c>
      <c r="M198" s="20">
        <f>G198+BattCalcs!CO198</f>
        <v>243996.53551780293</v>
      </c>
      <c r="O198" s="10">
        <f>PVLoan!G226</f>
        <v>0</v>
      </c>
      <c r="P198" s="10">
        <f>PVLoan!J226</f>
        <v>0</v>
      </c>
      <c r="Q198" s="2" t="str">
        <f>BattLoan!G226</f>
        <v>-</v>
      </c>
      <c r="R198" s="10" t="str">
        <f>BattLoan!J226</f>
        <v>-</v>
      </c>
      <c r="T198" s="33">
        <f>IF('PV IN'!$F$4="Battery Only",0,PVCalcs!G198)</f>
        <v>134082.46504147456</v>
      </c>
      <c r="U198" s="33">
        <f>IF('PV IN'!$F$4="Battery Only",0,PVCalcs!M198)</f>
        <v>134082.46504147456</v>
      </c>
      <c r="V198" s="33">
        <f>PVCalcs!L198</f>
        <v>25811.765833333331</v>
      </c>
      <c r="W198" s="158">
        <f>PVCalcs!F198</f>
        <v>8.2134148058886372E-2</v>
      </c>
      <c r="X198" s="144">
        <f>IF('PV IN'!$F$4="Battery Only",0,PVCalcs!Y198+PVCalcs!Z198)</f>
        <v>0</v>
      </c>
      <c r="Y198" s="144">
        <f>IF('PV IN'!$F$4="PV Only",0,BattCalcs!AX198+BattCalcs!BC198)</f>
        <v>0</v>
      </c>
      <c r="Z198" s="144">
        <f>IF('PV IN'!$F$4="PV Only",0,BattCalcs!AY198+BattCalcs!BD198)</f>
        <v>0</v>
      </c>
      <c r="AA198" s="144">
        <f>IF('PV IN'!$F$4="PV Only",0,BattCalcs!AZ198+BattCalcs!BE198)</f>
        <v>0</v>
      </c>
      <c r="AB198" s="144">
        <f>IF('PV IN'!$F$4="PV Only",0,BattCalcs!BA198+BattCalcs!BF198)</f>
        <v>0</v>
      </c>
      <c r="AC198" s="144">
        <f>IF('PV IN'!$F$4="PV Only",0,BattCalcs!BB198+BattCalcs!BG198)</f>
        <v>0</v>
      </c>
      <c r="AD198" s="144">
        <f>IF('PV IN'!$F$4="PV Only",0,BattCalcs!BU198)</f>
        <v>0</v>
      </c>
      <c r="AE198" s="144">
        <f>IF('PV IN'!$F$4="PV Only",PVCalcs!W198+PVCalcs!AA198,IF('PV IN'!$F$4="Battery Only",BattCalcs!AV198+BattCalcs!BH198,PVCalcs!W198+PVCalcs!AA198+BattCalcs!AV198+BattCalcs!BH198))</f>
        <v>0</v>
      </c>
      <c r="AF198" s="10">
        <f>PVCalcs!AC198+BattCalcs!BJ198</f>
        <v>0</v>
      </c>
      <c r="AG198" s="144">
        <f>IF('PV IN'!$F$4="Battery Only",0,PVCalcs!AG198)</f>
        <v>-750</v>
      </c>
      <c r="AH198" s="144">
        <f>IF('PV IN'!$F$4="Battery Only",0,PVCalcs!AI198)</f>
        <v>0</v>
      </c>
      <c r="AI198" s="144">
        <f>IF('PV IN'!$F$4="PV Only",0,BattCalcs!BM198)</f>
        <v>0</v>
      </c>
      <c r="AJ198" s="144">
        <f>IF('PV IN'!$F$4="PV Only",0,SUM(BattCalcs!BO198:BT198))</f>
        <v>0</v>
      </c>
      <c r="AK198" s="144">
        <f>IF('PV IN'!$F$4="PV Only",PVCalcs!AH198,IF('PV IN'!$F$4="Battery Only",BattCalcs!BN198,PVCalcs!AH198+BattCalcs!BN198))</f>
        <v>-625</v>
      </c>
      <c r="AL198" s="144">
        <f>IF('PV IN'!$F$4="PV Only",0,BattCalcs!BV198)</f>
        <v>0</v>
      </c>
      <c r="AM198" s="144">
        <f>IF('PV IN'!$F$4="PV Only",0,SUM(BattCalcs!BW198:BX198))</f>
        <v>0</v>
      </c>
      <c r="AN198" s="144">
        <f>IF('PV IN'!$F$4="PV Only",0,BattCalcs!BY198)</f>
        <v>0</v>
      </c>
      <c r="AO198" s="144">
        <f>IF('PV IN'!$F$4="Battery Only",0,PVCalcs!U198)</f>
        <v>11012.749035816927</v>
      </c>
      <c r="AP198" s="10">
        <f>IF('PV IN'!$F$4="PV Only",0,BattCalcs!AS198)</f>
        <v>0</v>
      </c>
      <c r="AQ198" s="10">
        <f>IF('PV IN'!$F$4="PV Only",0,BattCalcs!AT198)</f>
        <v>0</v>
      </c>
      <c r="AR198" s="10">
        <f>IF('PV IN'!$F$4="PV Only",0,BattCalcs!AU198)</f>
        <v>0</v>
      </c>
      <c r="AS198" s="144">
        <f>IF('PV IN'!$F$4="PV Only",PVCalcs!X198,IF('PV IN'!$F$4="Battery Only",BattCalcs!AW198,PVCalcs!X198+BattCalcs!AW198))</f>
        <v>0</v>
      </c>
      <c r="AT198" s="144">
        <f>IF('PV IN'!$F$4="Battery Only",0,-PVCalcs!AQ198*'PV IN'!$E$8)</f>
        <v>0</v>
      </c>
      <c r="AU198" s="144">
        <f>IF('PV IN'!$F$4="PV Only",0,-BattCalcs!CG198*'PV IN'!$E$8)</f>
        <v>0</v>
      </c>
      <c r="AV198" s="144">
        <f>IF('PV IN'!$F$4="PV Only",PVCalcs!Z198+PVCalcs!AA198,IF('PV IN'!$F$4="Battery Only",SUM(BattCalcs!BC198:BH198),PVCalcs!Z198+PVCalcs!AA198+SUM(BattCalcs!BC198:BH198)))</f>
        <v>0</v>
      </c>
      <c r="AW198" s="144">
        <f>IF('PV IN'!$F$4="PV Only",SUM(PVCalcs!AF198:AI198),IF('PV IN'!$F$4="Battery Only",SUM(BattCalcs!BL198:BY198),SUM(PVCalcs!AF198:AI198)+SUM(BattCalcs!BL198:BY198)))</f>
        <v>-1375</v>
      </c>
      <c r="AX198" s="144">
        <f>IF('PV IN'!$F$4="Battery Only",0,-PVLoan!F226)</f>
        <v>0</v>
      </c>
      <c r="AY198" s="144">
        <f>IF('PV IN'!$F$4="PV Only",0,-BattLoan!F226)</f>
        <v>0</v>
      </c>
      <c r="AZ198" s="144">
        <f>IF('PV IN'!$F$4="Battery Only",0,-PVLoan!H226)</f>
        <v>0</v>
      </c>
      <c r="BA198" s="144">
        <f>IF('PV IN'!$F$4="PV Only",0,-BattLoan!H226)</f>
        <v>0</v>
      </c>
    </row>
    <row r="199" spans="1:88" x14ac:dyDescent="0.25">
      <c r="A199">
        <f>IF(C199&lt;='PV IN'!$O$22*12,C199,"")</f>
        <v>195</v>
      </c>
      <c r="C199">
        <v>195</v>
      </c>
      <c r="D199" s="2">
        <f>BattCalcs!CK199+PVCalcs!AT199</f>
        <v>9919.1572031263822</v>
      </c>
      <c r="E199" s="20">
        <f>PVCalcs!AV199</f>
        <v>925960.98660825251</v>
      </c>
      <c r="F199" s="20">
        <f>PVCalcs!AW199</f>
        <v>4488.9902623469097</v>
      </c>
      <c r="G199" s="20">
        <f>PVCalcs!AX199</f>
        <v>248485.52578014985</v>
      </c>
      <c r="H199" s="20">
        <f>BattCalcs!CM199</f>
        <v>0</v>
      </c>
      <c r="I199" s="20">
        <f>BattCalcs!CN199</f>
        <v>0</v>
      </c>
      <c r="J199" s="20">
        <f>IF(C199&lt;='Batt IN'!H$43*12,BattCalcs!CO199,NA())</f>
        <v>0</v>
      </c>
      <c r="L199" s="20">
        <f t="shared" si="518"/>
        <v>4488.9902623469097</v>
      </c>
      <c r="M199" s="20">
        <f>G199+BattCalcs!CO199</f>
        <v>248485.52578014985</v>
      </c>
      <c r="O199" s="10">
        <f>PVLoan!G227</f>
        <v>0</v>
      </c>
      <c r="P199" s="10">
        <f>PVLoan!J227</f>
        <v>0</v>
      </c>
      <c r="Q199" s="2" t="str">
        <f>BattLoan!G227</f>
        <v>-</v>
      </c>
      <c r="R199" s="10" t="str">
        <f>BattLoan!J227</f>
        <v>-</v>
      </c>
      <c r="T199" s="33">
        <f>IF('PV IN'!$F$4="Battery Only",0,PVCalcs!G199)</f>
        <v>133993.0767314469</v>
      </c>
      <c r="U199" s="33">
        <f>IF('PV IN'!$F$4="Battery Only",0,PVCalcs!M199)</f>
        <v>133993.0767314469</v>
      </c>
      <c r="V199" s="33">
        <f>PVCalcs!L199</f>
        <v>25811.765833333331</v>
      </c>
      <c r="W199" s="158">
        <f>PVCalcs!F199</f>
        <v>8.2134148058886372E-2</v>
      </c>
      <c r="X199" s="144">
        <f>IF('PV IN'!$F$4="Battery Only",0,PVCalcs!Y199+PVCalcs!Z199)</f>
        <v>0</v>
      </c>
      <c r="Y199" s="144">
        <f>IF('PV IN'!$F$4="PV Only",0,BattCalcs!AX199+BattCalcs!BC199)</f>
        <v>0</v>
      </c>
      <c r="Z199" s="144">
        <f>IF('PV IN'!$F$4="PV Only",0,BattCalcs!AY199+BattCalcs!BD199)</f>
        <v>0</v>
      </c>
      <c r="AA199" s="144">
        <f>IF('PV IN'!$F$4="PV Only",0,BattCalcs!AZ199+BattCalcs!BE199)</f>
        <v>0</v>
      </c>
      <c r="AB199" s="144">
        <f>IF('PV IN'!$F$4="PV Only",0,BattCalcs!BA199+BattCalcs!BF199)</f>
        <v>0</v>
      </c>
      <c r="AC199" s="144">
        <f>IF('PV IN'!$F$4="PV Only",0,BattCalcs!BB199+BattCalcs!BG199)</f>
        <v>0</v>
      </c>
      <c r="AD199" s="144">
        <f>IF('PV IN'!$F$4="PV Only",0,BattCalcs!BU199)</f>
        <v>0</v>
      </c>
      <c r="AE199" s="144">
        <f>IF('PV IN'!$F$4="PV Only",PVCalcs!W199+PVCalcs!AA199,IF('PV IN'!$F$4="Battery Only",BattCalcs!AV199+BattCalcs!BH199,PVCalcs!W199+PVCalcs!AA199+BattCalcs!AV199+BattCalcs!BH199))</f>
        <v>0</v>
      </c>
      <c r="AF199" s="10">
        <f>PVCalcs!AC199+BattCalcs!BJ199</f>
        <v>0</v>
      </c>
      <c r="AG199" s="144">
        <f>IF('PV IN'!$F$4="Battery Only",0,PVCalcs!AG199)</f>
        <v>-750</v>
      </c>
      <c r="AH199" s="144">
        <f>IF('PV IN'!$F$4="Battery Only",0,PVCalcs!AI199)</f>
        <v>0</v>
      </c>
      <c r="AI199" s="144">
        <f>IF('PV IN'!$F$4="PV Only",0,BattCalcs!BM199)</f>
        <v>0</v>
      </c>
      <c r="AJ199" s="144">
        <f>IF('PV IN'!$F$4="PV Only",0,SUM(BattCalcs!BO199:BT199))</f>
        <v>0</v>
      </c>
      <c r="AK199" s="144">
        <f>IF('PV IN'!$F$4="PV Only",PVCalcs!AH199,IF('PV IN'!$F$4="Battery Only",BattCalcs!BN199,PVCalcs!AH199+BattCalcs!BN199))</f>
        <v>-625</v>
      </c>
      <c r="AL199" s="144">
        <f>IF('PV IN'!$F$4="PV Only",0,BattCalcs!BV199)</f>
        <v>0</v>
      </c>
      <c r="AM199" s="144">
        <f>IF('PV IN'!$F$4="PV Only",0,SUM(BattCalcs!BW199:BX199))</f>
        <v>0</v>
      </c>
      <c r="AN199" s="144">
        <f>IF('PV IN'!$F$4="PV Only",0,BattCalcs!BY199)</f>
        <v>0</v>
      </c>
      <c r="AO199" s="144">
        <f>IF('PV IN'!$F$4="Battery Only",0,PVCalcs!U199)</f>
        <v>11005.407203126382</v>
      </c>
      <c r="AP199" s="10">
        <f>IF('PV IN'!$F$4="PV Only",0,BattCalcs!AS199)</f>
        <v>0</v>
      </c>
      <c r="AQ199" s="10">
        <f>IF('PV IN'!$F$4="PV Only",0,BattCalcs!AT199)</f>
        <v>0</v>
      </c>
      <c r="AR199" s="10">
        <f>IF('PV IN'!$F$4="PV Only",0,BattCalcs!AU199)</f>
        <v>0</v>
      </c>
      <c r="AS199" s="144">
        <f>IF('PV IN'!$F$4="PV Only",PVCalcs!X199,IF('PV IN'!$F$4="Battery Only",BattCalcs!AW199,PVCalcs!X199+BattCalcs!AW199))</f>
        <v>0</v>
      </c>
      <c r="AT199" s="144">
        <f>IF('PV IN'!$F$4="Battery Only",0,-PVCalcs!AQ199*'PV IN'!$E$8)</f>
        <v>0</v>
      </c>
      <c r="AU199" s="144">
        <f>IF('PV IN'!$F$4="PV Only",0,-BattCalcs!CG199*'PV IN'!$E$8)</f>
        <v>0</v>
      </c>
      <c r="AV199" s="144">
        <f>IF('PV IN'!$F$4="PV Only",PVCalcs!Z199+PVCalcs!AA199,IF('PV IN'!$F$4="Battery Only",SUM(BattCalcs!BC199:BH199),PVCalcs!Z199+PVCalcs!AA199+SUM(BattCalcs!BC199:BH199)))</f>
        <v>0</v>
      </c>
      <c r="AW199" s="144">
        <f>IF('PV IN'!$F$4="PV Only",SUM(PVCalcs!AF199:AI199),IF('PV IN'!$F$4="Battery Only",SUM(BattCalcs!BL199:BY199),SUM(PVCalcs!AF199:AI199)+SUM(BattCalcs!BL199:BY199)))</f>
        <v>-1375</v>
      </c>
      <c r="AX199" s="144">
        <f>IF('PV IN'!$F$4="Battery Only",0,-PVLoan!F227)</f>
        <v>0</v>
      </c>
      <c r="AY199" s="144">
        <f>IF('PV IN'!$F$4="PV Only",0,-BattLoan!F227)</f>
        <v>0</v>
      </c>
      <c r="AZ199" s="144">
        <f>IF('PV IN'!$F$4="Battery Only",0,-PVLoan!H227)</f>
        <v>0</v>
      </c>
      <c r="BA199" s="144">
        <f>IF('PV IN'!$F$4="PV Only",0,-BattLoan!H227)</f>
        <v>0</v>
      </c>
    </row>
    <row r="200" spans="1:88" x14ac:dyDescent="0.25">
      <c r="A200">
        <f>IF(C200&lt;='PV IN'!$O$22*12,C200,"")</f>
        <v>196</v>
      </c>
      <c r="C200">
        <v>196</v>
      </c>
      <c r="D200" s="2">
        <f>BattCalcs!CK200+PVCalcs!AT200</f>
        <v>9911.8202649909654</v>
      </c>
      <c r="E200" s="20">
        <f>PVCalcs!AV200</f>
        <v>935872.80687324353</v>
      </c>
      <c r="F200" s="20">
        <f>PVCalcs!AW200</f>
        <v>4467.4688539121453</v>
      </c>
      <c r="G200" s="20">
        <f>PVCalcs!AX200</f>
        <v>252952.99463406199</v>
      </c>
      <c r="H200" s="20">
        <f>BattCalcs!CM200</f>
        <v>0</v>
      </c>
      <c r="I200" s="20">
        <f>BattCalcs!CN200</f>
        <v>0</v>
      </c>
      <c r="J200" s="20">
        <f>IF(C200&lt;='Batt IN'!H$43*12,BattCalcs!CO200,NA())</f>
        <v>0</v>
      </c>
      <c r="L200" s="20">
        <f t="shared" si="518"/>
        <v>4467.4688539121453</v>
      </c>
      <c r="M200" s="20">
        <f>G200+BattCalcs!CO200</f>
        <v>252952.99463406199</v>
      </c>
      <c r="O200" s="10">
        <f>PVLoan!G228</f>
        <v>0</v>
      </c>
      <c r="P200" s="10">
        <f>PVLoan!J228</f>
        <v>0</v>
      </c>
      <c r="Q200" s="2" t="str">
        <f>BattLoan!G228</f>
        <v>-</v>
      </c>
      <c r="R200" s="10" t="str">
        <f>BattLoan!J228</f>
        <v>-</v>
      </c>
      <c r="T200" s="33">
        <f>IF('PV IN'!$F$4="Battery Only",0,PVCalcs!G200)</f>
        <v>133903.74801362594</v>
      </c>
      <c r="U200" s="33">
        <f>IF('PV IN'!$F$4="Battery Only",0,PVCalcs!M200)</f>
        <v>133903.74801362594</v>
      </c>
      <c r="V200" s="33">
        <f>PVCalcs!L200</f>
        <v>25811.765833333331</v>
      </c>
      <c r="W200" s="158">
        <f>PVCalcs!F200</f>
        <v>8.2134148058886372E-2</v>
      </c>
      <c r="X200" s="144">
        <f>IF('PV IN'!$F$4="Battery Only",0,PVCalcs!Y200+PVCalcs!Z200)</f>
        <v>0</v>
      </c>
      <c r="Y200" s="144">
        <f>IF('PV IN'!$F$4="PV Only",0,BattCalcs!AX200+BattCalcs!BC200)</f>
        <v>0</v>
      </c>
      <c r="Z200" s="144">
        <f>IF('PV IN'!$F$4="PV Only",0,BattCalcs!AY200+BattCalcs!BD200)</f>
        <v>0</v>
      </c>
      <c r="AA200" s="144">
        <f>IF('PV IN'!$F$4="PV Only",0,BattCalcs!AZ200+BattCalcs!BE200)</f>
        <v>0</v>
      </c>
      <c r="AB200" s="144">
        <f>IF('PV IN'!$F$4="PV Only",0,BattCalcs!BA200+BattCalcs!BF200)</f>
        <v>0</v>
      </c>
      <c r="AC200" s="144">
        <f>IF('PV IN'!$F$4="PV Only",0,BattCalcs!BB200+BattCalcs!BG200)</f>
        <v>0</v>
      </c>
      <c r="AD200" s="144">
        <f>IF('PV IN'!$F$4="PV Only",0,BattCalcs!BU200)</f>
        <v>0</v>
      </c>
      <c r="AE200" s="144">
        <f>IF('PV IN'!$F$4="PV Only",PVCalcs!W200+PVCalcs!AA200,IF('PV IN'!$F$4="Battery Only",BattCalcs!AV200+BattCalcs!BH200,PVCalcs!W200+PVCalcs!AA200+BattCalcs!AV200+BattCalcs!BH200))</f>
        <v>0</v>
      </c>
      <c r="AF200" s="10">
        <f>PVCalcs!AC200+BattCalcs!BJ200</f>
        <v>0</v>
      </c>
      <c r="AG200" s="144">
        <f>IF('PV IN'!$F$4="Battery Only",0,PVCalcs!AG200)</f>
        <v>-750</v>
      </c>
      <c r="AH200" s="144">
        <f>IF('PV IN'!$F$4="Battery Only",0,PVCalcs!AI200)</f>
        <v>0</v>
      </c>
      <c r="AI200" s="144">
        <f>IF('PV IN'!$F$4="PV Only",0,BattCalcs!BM200)</f>
        <v>0</v>
      </c>
      <c r="AJ200" s="144">
        <f>IF('PV IN'!$F$4="PV Only",0,SUM(BattCalcs!BO200:BT200))</f>
        <v>0</v>
      </c>
      <c r="AK200" s="144">
        <f>IF('PV IN'!$F$4="PV Only",PVCalcs!AH200,IF('PV IN'!$F$4="Battery Only",BattCalcs!BN200,PVCalcs!AH200+BattCalcs!BN200))</f>
        <v>-625</v>
      </c>
      <c r="AL200" s="144">
        <f>IF('PV IN'!$F$4="PV Only",0,BattCalcs!BV200)</f>
        <v>0</v>
      </c>
      <c r="AM200" s="144">
        <f>IF('PV IN'!$F$4="PV Only",0,SUM(BattCalcs!BW200:BX200))</f>
        <v>0</v>
      </c>
      <c r="AN200" s="144">
        <f>IF('PV IN'!$F$4="PV Only",0,BattCalcs!BY200)</f>
        <v>0</v>
      </c>
      <c r="AO200" s="144">
        <f>IF('PV IN'!$F$4="Battery Only",0,PVCalcs!U200)</f>
        <v>10998.070264990965</v>
      </c>
      <c r="AP200" s="10">
        <f>IF('PV IN'!$F$4="PV Only",0,BattCalcs!AS200)</f>
        <v>0</v>
      </c>
      <c r="AQ200" s="10">
        <f>IF('PV IN'!$F$4="PV Only",0,BattCalcs!AT200)</f>
        <v>0</v>
      </c>
      <c r="AR200" s="10">
        <f>IF('PV IN'!$F$4="PV Only",0,BattCalcs!AU200)</f>
        <v>0</v>
      </c>
      <c r="AS200" s="144">
        <f>IF('PV IN'!$F$4="PV Only",PVCalcs!X200,IF('PV IN'!$F$4="Battery Only",BattCalcs!AW200,PVCalcs!X200+BattCalcs!AW200))</f>
        <v>0</v>
      </c>
      <c r="AT200" s="144">
        <f>IF('PV IN'!$F$4="Battery Only",0,-PVCalcs!AQ200*'PV IN'!$E$8)</f>
        <v>0</v>
      </c>
      <c r="AU200" s="144">
        <f>IF('PV IN'!$F$4="PV Only",0,-BattCalcs!CG200*'PV IN'!$E$8)</f>
        <v>0</v>
      </c>
      <c r="AV200" s="144">
        <f>IF('PV IN'!$F$4="PV Only",PVCalcs!Z200+PVCalcs!AA200,IF('PV IN'!$F$4="Battery Only",SUM(BattCalcs!BC200:BH200),PVCalcs!Z200+PVCalcs!AA200+SUM(BattCalcs!BC200:BH200)))</f>
        <v>0</v>
      </c>
      <c r="AW200" s="144">
        <f>IF('PV IN'!$F$4="PV Only",SUM(PVCalcs!AF200:AI200),IF('PV IN'!$F$4="Battery Only",SUM(BattCalcs!BL200:BY200),SUM(PVCalcs!AF200:AI200)+SUM(BattCalcs!BL200:BY200)))</f>
        <v>-1375</v>
      </c>
      <c r="AX200" s="144">
        <f>IF('PV IN'!$F$4="Battery Only",0,-PVLoan!F228)</f>
        <v>0</v>
      </c>
      <c r="AY200" s="144">
        <f>IF('PV IN'!$F$4="PV Only",0,-BattLoan!F228)</f>
        <v>0</v>
      </c>
      <c r="AZ200" s="144">
        <f>IF('PV IN'!$F$4="Battery Only",0,-PVLoan!H228)</f>
        <v>0</v>
      </c>
      <c r="BA200" s="144">
        <f>IF('PV IN'!$F$4="PV Only",0,-BattLoan!H228)</f>
        <v>0</v>
      </c>
    </row>
    <row r="201" spans="1:88" x14ac:dyDescent="0.25">
      <c r="A201">
        <f>IF(C201&lt;='PV IN'!$O$22*12,C201,"")</f>
        <v>197</v>
      </c>
      <c r="C201">
        <v>197</v>
      </c>
      <c r="D201" s="2">
        <f>BattCalcs!CK201+PVCalcs!AT201</f>
        <v>9904.4882181476387</v>
      </c>
      <c r="E201" s="20">
        <f>PVCalcs!AV201</f>
        <v>945777.29509139119</v>
      </c>
      <c r="F201" s="20">
        <f>PVCalcs!AW201</f>
        <v>4446.0503843624774</v>
      </c>
      <c r="G201" s="20">
        <f>PVCalcs!AX201</f>
        <v>257399.04501842448</v>
      </c>
      <c r="H201" s="20">
        <f>BattCalcs!CM201</f>
        <v>0</v>
      </c>
      <c r="I201" s="20">
        <f>BattCalcs!CN201</f>
        <v>0</v>
      </c>
      <c r="J201" s="20">
        <f>IF(C201&lt;='Batt IN'!H$43*12,BattCalcs!CO201,NA())</f>
        <v>0</v>
      </c>
      <c r="L201" s="20">
        <f t="shared" si="518"/>
        <v>4446.0503843624774</v>
      </c>
      <c r="M201" s="20">
        <f>G201+BattCalcs!CO201</f>
        <v>257399.04501842448</v>
      </c>
      <c r="O201" s="10">
        <f>PVLoan!G229</f>
        <v>0</v>
      </c>
      <c r="P201" s="10">
        <f>PVLoan!J229</f>
        <v>0</v>
      </c>
      <c r="Q201" s="2" t="str">
        <f>BattLoan!G229</f>
        <v>-</v>
      </c>
      <c r="R201" s="10" t="str">
        <f>BattLoan!J229</f>
        <v>-</v>
      </c>
      <c r="T201" s="33">
        <f>IF('PV IN'!$F$4="Battery Only",0,PVCalcs!G201)</f>
        <v>133814.47884828353</v>
      </c>
      <c r="U201" s="33">
        <f>IF('PV IN'!$F$4="Battery Only",0,PVCalcs!M201)</f>
        <v>133814.47884828353</v>
      </c>
      <c r="V201" s="33">
        <f>PVCalcs!L201</f>
        <v>25811.765833333331</v>
      </c>
      <c r="W201" s="158">
        <f>PVCalcs!F201</f>
        <v>8.2134148058886372E-2</v>
      </c>
      <c r="X201" s="144">
        <f>IF('PV IN'!$F$4="Battery Only",0,PVCalcs!Y201+PVCalcs!Z201)</f>
        <v>0</v>
      </c>
      <c r="Y201" s="144">
        <f>IF('PV IN'!$F$4="PV Only",0,BattCalcs!AX201+BattCalcs!BC201)</f>
        <v>0</v>
      </c>
      <c r="Z201" s="144">
        <f>IF('PV IN'!$F$4="PV Only",0,BattCalcs!AY201+BattCalcs!BD201)</f>
        <v>0</v>
      </c>
      <c r="AA201" s="144">
        <f>IF('PV IN'!$F$4="PV Only",0,BattCalcs!AZ201+BattCalcs!BE201)</f>
        <v>0</v>
      </c>
      <c r="AB201" s="144">
        <f>IF('PV IN'!$F$4="PV Only",0,BattCalcs!BA201+BattCalcs!BF201)</f>
        <v>0</v>
      </c>
      <c r="AC201" s="144">
        <f>IF('PV IN'!$F$4="PV Only",0,BattCalcs!BB201+BattCalcs!BG201)</f>
        <v>0</v>
      </c>
      <c r="AD201" s="144">
        <f>IF('PV IN'!$F$4="PV Only",0,BattCalcs!BU201)</f>
        <v>0</v>
      </c>
      <c r="AE201" s="144">
        <f>IF('PV IN'!$F$4="PV Only",PVCalcs!W201+PVCalcs!AA201,IF('PV IN'!$F$4="Battery Only",BattCalcs!AV201+BattCalcs!BH201,PVCalcs!W201+PVCalcs!AA201+BattCalcs!AV201+BattCalcs!BH201))</f>
        <v>0</v>
      </c>
      <c r="AF201" s="10">
        <f>PVCalcs!AC201+BattCalcs!BJ201</f>
        <v>0</v>
      </c>
      <c r="AG201" s="144">
        <f>IF('PV IN'!$F$4="Battery Only",0,PVCalcs!AG201)</f>
        <v>-750</v>
      </c>
      <c r="AH201" s="144">
        <f>IF('PV IN'!$F$4="Battery Only",0,PVCalcs!AI201)</f>
        <v>0</v>
      </c>
      <c r="AI201" s="144">
        <f>IF('PV IN'!$F$4="PV Only",0,BattCalcs!BM201)</f>
        <v>0</v>
      </c>
      <c r="AJ201" s="144">
        <f>IF('PV IN'!$F$4="PV Only",0,SUM(BattCalcs!BO201:BT201))</f>
        <v>0</v>
      </c>
      <c r="AK201" s="144">
        <f>IF('PV IN'!$F$4="PV Only",PVCalcs!AH201,IF('PV IN'!$F$4="Battery Only",BattCalcs!BN201,PVCalcs!AH201+BattCalcs!BN201))</f>
        <v>-625</v>
      </c>
      <c r="AL201" s="144">
        <f>IF('PV IN'!$F$4="PV Only",0,BattCalcs!BV201)</f>
        <v>0</v>
      </c>
      <c r="AM201" s="144">
        <f>IF('PV IN'!$F$4="PV Only",0,SUM(BattCalcs!BW201:BX201))</f>
        <v>0</v>
      </c>
      <c r="AN201" s="144">
        <f>IF('PV IN'!$F$4="PV Only",0,BattCalcs!BY201)</f>
        <v>0</v>
      </c>
      <c r="AO201" s="144">
        <f>IF('PV IN'!$F$4="Battery Only",0,PVCalcs!U201)</f>
        <v>10990.738218147639</v>
      </c>
      <c r="AP201" s="10">
        <f>IF('PV IN'!$F$4="PV Only",0,BattCalcs!AS201)</f>
        <v>0</v>
      </c>
      <c r="AQ201" s="10">
        <f>IF('PV IN'!$F$4="PV Only",0,BattCalcs!AT201)</f>
        <v>0</v>
      </c>
      <c r="AR201" s="10">
        <f>IF('PV IN'!$F$4="PV Only",0,BattCalcs!AU201)</f>
        <v>0</v>
      </c>
      <c r="AS201" s="144">
        <f>IF('PV IN'!$F$4="PV Only",PVCalcs!X201,IF('PV IN'!$F$4="Battery Only",BattCalcs!AW201,PVCalcs!X201+BattCalcs!AW201))</f>
        <v>0</v>
      </c>
      <c r="AT201" s="144">
        <f>IF('PV IN'!$F$4="Battery Only",0,-PVCalcs!AQ201*'PV IN'!$E$8)</f>
        <v>0</v>
      </c>
      <c r="AU201" s="144">
        <f>IF('PV IN'!$F$4="PV Only",0,-BattCalcs!CG201*'PV IN'!$E$8)</f>
        <v>0</v>
      </c>
      <c r="AV201" s="144">
        <f>IF('PV IN'!$F$4="PV Only",PVCalcs!Z201+PVCalcs!AA201,IF('PV IN'!$F$4="Battery Only",SUM(BattCalcs!BC201:BH201),PVCalcs!Z201+PVCalcs!AA201+SUM(BattCalcs!BC201:BH201)))</f>
        <v>0</v>
      </c>
      <c r="AW201" s="144">
        <f>IF('PV IN'!$F$4="PV Only",SUM(PVCalcs!AF201:AI201),IF('PV IN'!$F$4="Battery Only",SUM(BattCalcs!BL201:BY201),SUM(PVCalcs!AF201:AI201)+SUM(BattCalcs!BL201:BY201)))</f>
        <v>-1375</v>
      </c>
      <c r="AX201" s="144">
        <f>IF('PV IN'!$F$4="Battery Only",0,-PVLoan!F229)</f>
        <v>0</v>
      </c>
      <c r="AY201" s="144">
        <f>IF('PV IN'!$F$4="PV Only",0,-BattLoan!F229)</f>
        <v>0</v>
      </c>
      <c r="AZ201" s="144">
        <f>IF('PV IN'!$F$4="Battery Only",0,-PVLoan!H229)</f>
        <v>0</v>
      </c>
      <c r="BA201" s="144">
        <f>IF('PV IN'!$F$4="PV Only",0,-BattLoan!H229)</f>
        <v>0</v>
      </c>
    </row>
    <row r="202" spans="1:88" x14ac:dyDescent="0.25">
      <c r="A202">
        <f>IF(C202&lt;='PV IN'!$O$22*12,C202,"")</f>
        <v>198</v>
      </c>
      <c r="C202">
        <v>198</v>
      </c>
      <c r="D202" s="2">
        <f>BattCalcs!CK202+PVCalcs!AT202</f>
        <v>9897.1610593355381</v>
      </c>
      <c r="E202" s="20">
        <f>PVCalcs!AV202</f>
        <v>955674.45615072676</v>
      </c>
      <c r="F202" s="20">
        <f>PVCalcs!AW202</f>
        <v>4424.73436229255</v>
      </c>
      <c r="G202" s="20">
        <f>PVCalcs!AX202</f>
        <v>261823.77938071702</v>
      </c>
      <c r="H202" s="20">
        <f>BattCalcs!CM202</f>
        <v>0</v>
      </c>
      <c r="I202" s="20">
        <f>BattCalcs!CN202</f>
        <v>0</v>
      </c>
      <c r="J202" s="20">
        <f>IF(C202&lt;='Batt IN'!H$43*12,BattCalcs!CO202,NA())</f>
        <v>0</v>
      </c>
      <c r="L202" s="20">
        <f t="shared" si="518"/>
        <v>4424.73436229255</v>
      </c>
      <c r="M202" s="20">
        <f>G202+BattCalcs!CO202</f>
        <v>261823.77938071702</v>
      </c>
      <c r="O202" s="10">
        <f>PVLoan!G230</f>
        <v>0</v>
      </c>
      <c r="P202" s="10">
        <f>PVLoan!J230</f>
        <v>0</v>
      </c>
      <c r="Q202" s="2" t="str">
        <f>BattLoan!G230</f>
        <v>-</v>
      </c>
      <c r="R202" s="10" t="str">
        <f>BattLoan!J230</f>
        <v>-</v>
      </c>
      <c r="T202" s="33">
        <f>IF('PV IN'!$F$4="Battery Only",0,PVCalcs!G202)</f>
        <v>133725.26919571799</v>
      </c>
      <c r="U202" s="33">
        <f>IF('PV IN'!$F$4="Battery Only",0,PVCalcs!M202)</f>
        <v>133725.26919571799</v>
      </c>
      <c r="V202" s="33">
        <f>PVCalcs!L202</f>
        <v>25811.765833333331</v>
      </c>
      <c r="W202" s="158">
        <f>PVCalcs!F202</f>
        <v>8.2134148058886372E-2</v>
      </c>
      <c r="X202" s="144">
        <f>IF('PV IN'!$F$4="Battery Only",0,PVCalcs!Y202+PVCalcs!Z202)</f>
        <v>0</v>
      </c>
      <c r="Y202" s="144">
        <f>IF('PV IN'!$F$4="PV Only",0,BattCalcs!AX202+BattCalcs!BC202)</f>
        <v>0</v>
      </c>
      <c r="Z202" s="144">
        <f>IF('PV IN'!$F$4="PV Only",0,BattCalcs!AY202+BattCalcs!BD202)</f>
        <v>0</v>
      </c>
      <c r="AA202" s="144">
        <f>IF('PV IN'!$F$4="PV Only",0,BattCalcs!AZ202+BattCalcs!BE202)</f>
        <v>0</v>
      </c>
      <c r="AB202" s="144">
        <f>IF('PV IN'!$F$4="PV Only",0,BattCalcs!BA202+BattCalcs!BF202)</f>
        <v>0</v>
      </c>
      <c r="AC202" s="144">
        <f>IF('PV IN'!$F$4="PV Only",0,BattCalcs!BB202+BattCalcs!BG202)</f>
        <v>0</v>
      </c>
      <c r="AD202" s="144">
        <f>IF('PV IN'!$F$4="PV Only",0,BattCalcs!BU202)</f>
        <v>0</v>
      </c>
      <c r="AE202" s="144">
        <f>IF('PV IN'!$F$4="PV Only",PVCalcs!W202+PVCalcs!AA202,IF('PV IN'!$F$4="Battery Only",BattCalcs!AV202+BattCalcs!BH202,PVCalcs!W202+PVCalcs!AA202+BattCalcs!AV202+BattCalcs!BH202))</f>
        <v>0</v>
      </c>
      <c r="AF202" s="10">
        <f>PVCalcs!AC202+BattCalcs!BJ202</f>
        <v>0</v>
      </c>
      <c r="AG202" s="144">
        <f>IF('PV IN'!$F$4="Battery Only",0,PVCalcs!AG202)</f>
        <v>-750</v>
      </c>
      <c r="AH202" s="144">
        <f>IF('PV IN'!$F$4="Battery Only",0,PVCalcs!AI202)</f>
        <v>0</v>
      </c>
      <c r="AI202" s="144">
        <f>IF('PV IN'!$F$4="PV Only",0,BattCalcs!BM202)</f>
        <v>0</v>
      </c>
      <c r="AJ202" s="144">
        <f>IF('PV IN'!$F$4="PV Only",0,SUM(BattCalcs!BO202:BT202))</f>
        <v>0</v>
      </c>
      <c r="AK202" s="144">
        <f>IF('PV IN'!$F$4="PV Only",PVCalcs!AH202,IF('PV IN'!$F$4="Battery Only",BattCalcs!BN202,PVCalcs!AH202+BattCalcs!BN202))</f>
        <v>-625</v>
      </c>
      <c r="AL202" s="144">
        <f>IF('PV IN'!$F$4="PV Only",0,BattCalcs!BV202)</f>
        <v>0</v>
      </c>
      <c r="AM202" s="144">
        <f>IF('PV IN'!$F$4="PV Only",0,SUM(BattCalcs!BW202:BX202))</f>
        <v>0</v>
      </c>
      <c r="AN202" s="144">
        <f>IF('PV IN'!$F$4="PV Only",0,BattCalcs!BY202)</f>
        <v>0</v>
      </c>
      <c r="AO202" s="144">
        <f>IF('PV IN'!$F$4="Battery Only",0,PVCalcs!U202)</f>
        <v>10983.411059335538</v>
      </c>
      <c r="AP202" s="10">
        <f>IF('PV IN'!$F$4="PV Only",0,BattCalcs!AS202)</f>
        <v>0</v>
      </c>
      <c r="AQ202" s="10">
        <f>IF('PV IN'!$F$4="PV Only",0,BattCalcs!AT202)</f>
        <v>0</v>
      </c>
      <c r="AR202" s="10">
        <f>IF('PV IN'!$F$4="PV Only",0,BattCalcs!AU202)</f>
        <v>0</v>
      </c>
      <c r="AS202" s="144">
        <f>IF('PV IN'!$F$4="PV Only",PVCalcs!X202,IF('PV IN'!$F$4="Battery Only",BattCalcs!AW202,PVCalcs!X202+BattCalcs!AW202))</f>
        <v>0</v>
      </c>
      <c r="AT202" s="144">
        <f>IF('PV IN'!$F$4="Battery Only",0,-PVCalcs!AQ202*'PV IN'!$E$8)</f>
        <v>0</v>
      </c>
      <c r="AU202" s="144">
        <f>IF('PV IN'!$F$4="PV Only",0,-BattCalcs!CG202*'PV IN'!$E$8)</f>
        <v>0</v>
      </c>
      <c r="AV202" s="144">
        <f>IF('PV IN'!$F$4="PV Only",PVCalcs!Z202+PVCalcs!AA202,IF('PV IN'!$F$4="Battery Only",SUM(BattCalcs!BC202:BH202),PVCalcs!Z202+PVCalcs!AA202+SUM(BattCalcs!BC202:BH202)))</f>
        <v>0</v>
      </c>
      <c r="AW202" s="144">
        <f>IF('PV IN'!$F$4="PV Only",SUM(PVCalcs!AF202:AI202),IF('PV IN'!$F$4="Battery Only",SUM(BattCalcs!BL202:BY202),SUM(PVCalcs!AF202:AI202)+SUM(BattCalcs!BL202:BY202)))</f>
        <v>-1375</v>
      </c>
      <c r="AX202" s="144">
        <f>IF('PV IN'!$F$4="Battery Only",0,-PVLoan!F230)</f>
        <v>0</v>
      </c>
      <c r="AY202" s="144">
        <f>IF('PV IN'!$F$4="PV Only",0,-BattLoan!F230)</f>
        <v>0</v>
      </c>
      <c r="AZ202" s="144">
        <f>IF('PV IN'!$F$4="Battery Only",0,-PVLoan!H230)</f>
        <v>0</v>
      </c>
      <c r="BA202" s="144">
        <f>IF('PV IN'!$F$4="PV Only",0,-BattLoan!H230)</f>
        <v>0</v>
      </c>
    </row>
    <row r="203" spans="1:88" x14ac:dyDescent="0.25">
      <c r="A203">
        <f>IF(C203&lt;='PV IN'!$O$22*12,C203,"")</f>
        <v>199</v>
      </c>
      <c r="C203">
        <v>199</v>
      </c>
      <c r="D203" s="2">
        <f>BattCalcs!CK203+PVCalcs!AT203</f>
        <v>9889.8387852959804</v>
      </c>
      <c r="E203" s="20">
        <f>PVCalcs!AV203</f>
        <v>965564.29493602272</v>
      </c>
      <c r="F203" s="20">
        <f>PVCalcs!AW203</f>
        <v>4403.5202986390104</v>
      </c>
      <c r="G203" s="20">
        <f>PVCalcs!AX203</f>
        <v>266227.29967935605</v>
      </c>
      <c r="H203" s="20">
        <f>BattCalcs!CM203</f>
        <v>0</v>
      </c>
      <c r="I203" s="20">
        <f>BattCalcs!CN203</f>
        <v>0</v>
      </c>
      <c r="J203" s="20">
        <f>IF(C203&lt;='Batt IN'!H$43*12,BattCalcs!CO203,NA())</f>
        <v>0</v>
      </c>
      <c r="L203" s="20">
        <f t="shared" si="518"/>
        <v>4403.5202986390104</v>
      </c>
      <c r="M203" s="20">
        <f>G203+BattCalcs!CO203</f>
        <v>266227.29967935605</v>
      </c>
      <c r="O203" s="10">
        <f>PVLoan!G231</f>
        <v>0</v>
      </c>
      <c r="P203" s="10">
        <f>PVLoan!J231</f>
        <v>0</v>
      </c>
      <c r="Q203" s="2" t="str">
        <f>BattLoan!G231</f>
        <v>-</v>
      </c>
      <c r="R203" s="10" t="str">
        <f>BattLoan!J231</f>
        <v>-</v>
      </c>
      <c r="T203" s="33">
        <f>IF('PV IN'!$F$4="Battery Only",0,PVCalcs!G203)</f>
        <v>133636.11901625418</v>
      </c>
      <c r="U203" s="33">
        <f>IF('PV IN'!$F$4="Battery Only",0,PVCalcs!M203)</f>
        <v>133636.11901625418</v>
      </c>
      <c r="V203" s="33">
        <f>PVCalcs!L203</f>
        <v>25811.765833333331</v>
      </c>
      <c r="W203" s="158">
        <f>PVCalcs!F203</f>
        <v>8.2134148058886372E-2</v>
      </c>
      <c r="X203" s="144">
        <f>IF('PV IN'!$F$4="Battery Only",0,PVCalcs!Y203+PVCalcs!Z203)</f>
        <v>0</v>
      </c>
      <c r="Y203" s="144">
        <f>IF('PV IN'!$F$4="PV Only",0,BattCalcs!AX203+BattCalcs!BC203)</f>
        <v>0</v>
      </c>
      <c r="Z203" s="144">
        <f>IF('PV IN'!$F$4="PV Only",0,BattCalcs!AY203+BattCalcs!BD203)</f>
        <v>0</v>
      </c>
      <c r="AA203" s="144">
        <f>IF('PV IN'!$F$4="PV Only",0,BattCalcs!AZ203+BattCalcs!BE203)</f>
        <v>0</v>
      </c>
      <c r="AB203" s="144">
        <f>IF('PV IN'!$F$4="PV Only",0,BattCalcs!BA203+BattCalcs!BF203)</f>
        <v>0</v>
      </c>
      <c r="AC203" s="144">
        <f>IF('PV IN'!$F$4="PV Only",0,BattCalcs!BB203+BattCalcs!BG203)</f>
        <v>0</v>
      </c>
      <c r="AD203" s="144">
        <f>IF('PV IN'!$F$4="PV Only",0,BattCalcs!BU203)</f>
        <v>0</v>
      </c>
      <c r="AE203" s="144">
        <f>IF('PV IN'!$F$4="PV Only",PVCalcs!W203+PVCalcs!AA203,IF('PV IN'!$F$4="Battery Only",BattCalcs!AV203+BattCalcs!BH203,PVCalcs!W203+PVCalcs!AA203+BattCalcs!AV203+BattCalcs!BH203))</f>
        <v>0</v>
      </c>
      <c r="AF203" s="10">
        <f>PVCalcs!AC203+BattCalcs!BJ203</f>
        <v>0</v>
      </c>
      <c r="AG203" s="144">
        <f>IF('PV IN'!$F$4="Battery Only",0,PVCalcs!AG203)</f>
        <v>-750</v>
      </c>
      <c r="AH203" s="144">
        <f>IF('PV IN'!$F$4="Battery Only",0,PVCalcs!AI203)</f>
        <v>0</v>
      </c>
      <c r="AI203" s="144">
        <f>IF('PV IN'!$F$4="PV Only",0,BattCalcs!BM203)</f>
        <v>0</v>
      </c>
      <c r="AJ203" s="144">
        <f>IF('PV IN'!$F$4="PV Only",0,SUM(BattCalcs!BO203:BT203))</f>
        <v>0</v>
      </c>
      <c r="AK203" s="144">
        <f>IF('PV IN'!$F$4="PV Only",PVCalcs!AH203,IF('PV IN'!$F$4="Battery Only",BattCalcs!BN203,PVCalcs!AH203+BattCalcs!BN203))</f>
        <v>-625</v>
      </c>
      <c r="AL203" s="144">
        <f>IF('PV IN'!$F$4="PV Only",0,BattCalcs!BV203)</f>
        <v>0</v>
      </c>
      <c r="AM203" s="144">
        <f>IF('PV IN'!$F$4="PV Only",0,SUM(BattCalcs!BW203:BX203))</f>
        <v>0</v>
      </c>
      <c r="AN203" s="144">
        <f>IF('PV IN'!$F$4="PV Only",0,BattCalcs!BY203)</f>
        <v>0</v>
      </c>
      <c r="AO203" s="144">
        <f>IF('PV IN'!$F$4="Battery Only",0,PVCalcs!U203)</f>
        <v>10976.08878529598</v>
      </c>
      <c r="AP203" s="10">
        <f>IF('PV IN'!$F$4="PV Only",0,BattCalcs!AS203)</f>
        <v>0</v>
      </c>
      <c r="AQ203" s="10">
        <f>IF('PV IN'!$F$4="PV Only",0,BattCalcs!AT203)</f>
        <v>0</v>
      </c>
      <c r="AR203" s="10">
        <f>IF('PV IN'!$F$4="PV Only",0,BattCalcs!AU203)</f>
        <v>0</v>
      </c>
      <c r="AS203" s="144">
        <f>IF('PV IN'!$F$4="PV Only",PVCalcs!X203,IF('PV IN'!$F$4="Battery Only",BattCalcs!AW203,PVCalcs!X203+BattCalcs!AW203))</f>
        <v>0</v>
      </c>
      <c r="AT203" s="144">
        <f>IF('PV IN'!$F$4="Battery Only",0,-PVCalcs!AQ203*'PV IN'!$E$8)</f>
        <v>0</v>
      </c>
      <c r="AU203" s="144">
        <f>IF('PV IN'!$F$4="PV Only",0,-BattCalcs!CG203*'PV IN'!$E$8)</f>
        <v>0</v>
      </c>
      <c r="AV203" s="144">
        <f>IF('PV IN'!$F$4="PV Only",PVCalcs!Z203+PVCalcs!AA203,IF('PV IN'!$F$4="Battery Only",SUM(BattCalcs!BC203:BH203),PVCalcs!Z203+PVCalcs!AA203+SUM(BattCalcs!BC203:BH203)))</f>
        <v>0</v>
      </c>
      <c r="AW203" s="144">
        <f>IF('PV IN'!$F$4="PV Only",SUM(PVCalcs!AF203:AI203),IF('PV IN'!$F$4="Battery Only",SUM(BattCalcs!BL203:BY203),SUM(PVCalcs!AF203:AI203)+SUM(BattCalcs!BL203:BY203)))</f>
        <v>-1375</v>
      </c>
      <c r="AX203" s="144">
        <f>IF('PV IN'!$F$4="Battery Only",0,-PVLoan!F231)</f>
        <v>0</v>
      </c>
      <c r="AY203" s="144">
        <f>IF('PV IN'!$F$4="PV Only",0,-BattLoan!F231)</f>
        <v>0</v>
      </c>
      <c r="AZ203" s="144">
        <f>IF('PV IN'!$F$4="Battery Only",0,-PVLoan!H231)</f>
        <v>0</v>
      </c>
      <c r="BA203" s="144">
        <f>IF('PV IN'!$F$4="PV Only",0,-BattLoan!H231)</f>
        <v>0</v>
      </c>
    </row>
    <row r="204" spans="1:88" x14ac:dyDescent="0.25">
      <c r="A204">
        <f>IF(C204&lt;='PV IN'!$O$22*12,C204,"")</f>
        <v>200</v>
      </c>
      <c r="C204">
        <v>200</v>
      </c>
      <c r="D204" s="2">
        <f>BattCalcs!CK204+PVCalcs!AT204</f>
        <v>9882.5213927724508</v>
      </c>
      <c r="E204" s="20">
        <f>PVCalcs!AV204</f>
        <v>975446.81632879516</v>
      </c>
      <c r="F204" s="20">
        <f>PVCalcs!AW204</f>
        <v>4382.407706669359</v>
      </c>
      <c r="G204" s="20">
        <f>PVCalcs!AX204</f>
        <v>270609.7073860254</v>
      </c>
      <c r="H204" s="20">
        <f>BattCalcs!CM204</f>
        <v>0</v>
      </c>
      <c r="I204" s="20">
        <f>BattCalcs!CN204</f>
        <v>0</v>
      </c>
      <c r="J204" s="20">
        <f>IF(C204&lt;='Batt IN'!H$43*12,BattCalcs!CO204,NA())</f>
        <v>0</v>
      </c>
      <c r="L204" s="20">
        <f t="shared" si="518"/>
        <v>4382.407706669359</v>
      </c>
      <c r="M204" s="20">
        <f>G204+BattCalcs!CO204</f>
        <v>270609.7073860254</v>
      </c>
      <c r="O204" s="10">
        <f>PVLoan!G232</f>
        <v>0</v>
      </c>
      <c r="P204" s="10">
        <f>PVLoan!J232</f>
        <v>0</v>
      </c>
      <c r="Q204" s="2" t="str">
        <f>BattLoan!G232</f>
        <v>-</v>
      </c>
      <c r="R204" s="10" t="str">
        <f>BattLoan!J232</f>
        <v>-</v>
      </c>
      <c r="T204" s="33">
        <f>IF('PV IN'!$F$4="Battery Only",0,PVCalcs!G204)</f>
        <v>133547.02827024335</v>
      </c>
      <c r="U204" s="33">
        <f>IF('PV IN'!$F$4="Battery Only",0,PVCalcs!M204)</f>
        <v>133547.02827024335</v>
      </c>
      <c r="V204" s="33">
        <f>PVCalcs!L204</f>
        <v>25811.765833333331</v>
      </c>
      <c r="W204" s="158">
        <f>PVCalcs!F204</f>
        <v>8.2134148058886372E-2</v>
      </c>
      <c r="X204" s="144">
        <f>IF('PV IN'!$F$4="Battery Only",0,PVCalcs!Y204+PVCalcs!Z204)</f>
        <v>0</v>
      </c>
      <c r="Y204" s="144">
        <f>IF('PV IN'!$F$4="PV Only",0,BattCalcs!AX204+BattCalcs!BC204)</f>
        <v>0</v>
      </c>
      <c r="Z204" s="144">
        <f>IF('PV IN'!$F$4="PV Only",0,BattCalcs!AY204+BattCalcs!BD204)</f>
        <v>0</v>
      </c>
      <c r="AA204" s="144">
        <f>IF('PV IN'!$F$4="PV Only",0,BattCalcs!AZ204+BattCalcs!BE204)</f>
        <v>0</v>
      </c>
      <c r="AB204" s="144">
        <f>IF('PV IN'!$F$4="PV Only",0,BattCalcs!BA204+BattCalcs!BF204)</f>
        <v>0</v>
      </c>
      <c r="AC204" s="144">
        <f>IF('PV IN'!$F$4="PV Only",0,BattCalcs!BB204+BattCalcs!BG204)</f>
        <v>0</v>
      </c>
      <c r="AD204" s="144">
        <f>IF('PV IN'!$F$4="PV Only",0,BattCalcs!BU204)</f>
        <v>0</v>
      </c>
      <c r="AE204" s="144">
        <f>IF('PV IN'!$F$4="PV Only",PVCalcs!W204+PVCalcs!AA204,IF('PV IN'!$F$4="Battery Only",BattCalcs!AV204+BattCalcs!BH204,PVCalcs!W204+PVCalcs!AA204+BattCalcs!AV204+BattCalcs!BH204))</f>
        <v>0</v>
      </c>
      <c r="AF204" s="10">
        <f>PVCalcs!AC204+BattCalcs!BJ204</f>
        <v>0</v>
      </c>
      <c r="AG204" s="144">
        <f>IF('PV IN'!$F$4="Battery Only",0,PVCalcs!AG204)</f>
        <v>-750</v>
      </c>
      <c r="AH204" s="144">
        <f>IF('PV IN'!$F$4="Battery Only",0,PVCalcs!AI204)</f>
        <v>0</v>
      </c>
      <c r="AI204" s="144">
        <f>IF('PV IN'!$F$4="PV Only",0,BattCalcs!BM204)</f>
        <v>0</v>
      </c>
      <c r="AJ204" s="144">
        <f>IF('PV IN'!$F$4="PV Only",0,SUM(BattCalcs!BO204:BT204))</f>
        <v>0</v>
      </c>
      <c r="AK204" s="144">
        <f>IF('PV IN'!$F$4="PV Only",PVCalcs!AH204,IF('PV IN'!$F$4="Battery Only",BattCalcs!BN204,PVCalcs!AH204+BattCalcs!BN204))</f>
        <v>-625</v>
      </c>
      <c r="AL204" s="144">
        <f>IF('PV IN'!$F$4="PV Only",0,BattCalcs!BV204)</f>
        <v>0</v>
      </c>
      <c r="AM204" s="144">
        <f>IF('PV IN'!$F$4="PV Only",0,SUM(BattCalcs!BW204:BX204))</f>
        <v>0</v>
      </c>
      <c r="AN204" s="144">
        <f>IF('PV IN'!$F$4="PV Only",0,BattCalcs!BY204)</f>
        <v>0</v>
      </c>
      <c r="AO204" s="144">
        <f>IF('PV IN'!$F$4="Battery Only",0,PVCalcs!U204)</f>
        <v>10968.771392772451</v>
      </c>
      <c r="AP204" s="10">
        <f>IF('PV IN'!$F$4="PV Only",0,BattCalcs!AS204)</f>
        <v>0</v>
      </c>
      <c r="AQ204" s="10">
        <f>IF('PV IN'!$F$4="PV Only",0,BattCalcs!AT204)</f>
        <v>0</v>
      </c>
      <c r="AR204" s="10">
        <f>IF('PV IN'!$F$4="PV Only",0,BattCalcs!AU204)</f>
        <v>0</v>
      </c>
      <c r="AS204" s="144">
        <f>IF('PV IN'!$F$4="PV Only",PVCalcs!X204,IF('PV IN'!$F$4="Battery Only",BattCalcs!AW204,PVCalcs!X204+BattCalcs!AW204))</f>
        <v>0</v>
      </c>
      <c r="AT204" s="144">
        <f>IF('PV IN'!$F$4="Battery Only",0,-PVCalcs!AQ204*'PV IN'!$E$8)</f>
        <v>0</v>
      </c>
      <c r="AU204" s="144">
        <f>IF('PV IN'!$F$4="PV Only",0,-BattCalcs!CG204*'PV IN'!$E$8)</f>
        <v>0</v>
      </c>
      <c r="AV204" s="144">
        <f>IF('PV IN'!$F$4="PV Only",PVCalcs!Z204+PVCalcs!AA204,IF('PV IN'!$F$4="Battery Only",SUM(BattCalcs!BC204:BH204),PVCalcs!Z204+PVCalcs!AA204+SUM(BattCalcs!BC204:BH204)))</f>
        <v>0</v>
      </c>
      <c r="AW204" s="144">
        <f>IF('PV IN'!$F$4="PV Only",SUM(PVCalcs!AF204:AI204),IF('PV IN'!$F$4="Battery Only",SUM(BattCalcs!BL204:BY204),SUM(PVCalcs!AF204:AI204)+SUM(BattCalcs!BL204:BY204)))</f>
        <v>-1375</v>
      </c>
      <c r="AX204" s="144">
        <f>IF('PV IN'!$F$4="Battery Only",0,-PVLoan!F232)</f>
        <v>0</v>
      </c>
      <c r="AY204" s="144">
        <f>IF('PV IN'!$F$4="PV Only",0,-BattLoan!F232)</f>
        <v>0</v>
      </c>
      <c r="AZ204" s="144">
        <f>IF('PV IN'!$F$4="Battery Only",0,-PVLoan!H232)</f>
        <v>0</v>
      </c>
      <c r="BA204" s="144">
        <f>IF('PV IN'!$F$4="PV Only",0,-BattLoan!H232)</f>
        <v>0</v>
      </c>
    </row>
    <row r="205" spans="1:88" x14ac:dyDescent="0.25">
      <c r="A205">
        <f>IF(C205&lt;='PV IN'!$O$22*12,C205,"")</f>
        <v>201</v>
      </c>
      <c r="C205">
        <v>201</v>
      </c>
      <c r="D205" s="2">
        <f>BattCalcs!CK205+PVCalcs!AT205</f>
        <v>9875.2088785106025</v>
      </c>
      <c r="E205" s="20">
        <f>PVCalcs!AV205</f>
        <v>985322.02520730579</v>
      </c>
      <c r="F205" s="20">
        <f>PVCalcs!AW205</f>
        <v>4361.3961019708586</v>
      </c>
      <c r="G205" s="20">
        <f>PVCalcs!AX205</f>
        <v>274971.10348799627</v>
      </c>
      <c r="H205" s="20">
        <f>BattCalcs!CM205</f>
        <v>0</v>
      </c>
      <c r="I205" s="20">
        <f>BattCalcs!CN205</f>
        <v>0</v>
      </c>
      <c r="J205" s="20">
        <f>IF(C205&lt;='Batt IN'!H$43*12,BattCalcs!CO205,NA())</f>
        <v>0</v>
      </c>
      <c r="L205" s="20">
        <f t="shared" si="518"/>
        <v>4361.3961019708586</v>
      </c>
      <c r="M205" s="20">
        <f>G205+BattCalcs!CO205</f>
        <v>274971.10348799627</v>
      </c>
      <c r="O205" s="10">
        <f>PVLoan!G233</f>
        <v>0</v>
      </c>
      <c r="P205" s="10">
        <f>PVLoan!J233</f>
        <v>0</v>
      </c>
      <c r="Q205" s="2" t="str">
        <f>BattLoan!G233</f>
        <v>-</v>
      </c>
      <c r="R205" s="10" t="str">
        <f>BattLoan!J233</f>
        <v>-</v>
      </c>
      <c r="T205" s="33">
        <f>IF('PV IN'!$F$4="Battery Only",0,PVCalcs!G205)</f>
        <v>133457.99691806317</v>
      </c>
      <c r="U205" s="33">
        <f>IF('PV IN'!$F$4="Battery Only",0,PVCalcs!M205)</f>
        <v>133457.99691806317</v>
      </c>
      <c r="V205" s="33">
        <f>PVCalcs!L205</f>
        <v>25811.765833333331</v>
      </c>
      <c r="W205" s="158">
        <f>PVCalcs!F205</f>
        <v>8.2134148058886372E-2</v>
      </c>
      <c r="X205" s="144">
        <f>IF('PV IN'!$F$4="Battery Only",0,PVCalcs!Y205+PVCalcs!Z205)</f>
        <v>0</v>
      </c>
      <c r="Y205" s="144">
        <f>IF('PV IN'!$F$4="PV Only",0,BattCalcs!AX205+BattCalcs!BC205)</f>
        <v>0</v>
      </c>
      <c r="Z205" s="144">
        <f>IF('PV IN'!$F$4="PV Only",0,BattCalcs!AY205+BattCalcs!BD205)</f>
        <v>0</v>
      </c>
      <c r="AA205" s="144">
        <f>IF('PV IN'!$F$4="PV Only",0,BattCalcs!AZ205+BattCalcs!BE205)</f>
        <v>0</v>
      </c>
      <c r="AB205" s="144">
        <f>IF('PV IN'!$F$4="PV Only",0,BattCalcs!BA205+BattCalcs!BF205)</f>
        <v>0</v>
      </c>
      <c r="AC205" s="144">
        <f>IF('PV IN'!$F$4="PV Only",0,BattCalcs!BB205+BattCalcs!BG205)</f>
        <v>0</v>
      </c>
      <c r="AD205" s="144">
        <f>IF('PV IN'!$F$4="PV Only",0,BattCalcs!BU205)</f>
        <v>0</v>
      </c>
      <c r="AE205" s="144">
        <f>IF('PV IN'!$F$4="PV Only",PVCalcs!W205+PVCalcs!AA205,IF('PV IN'!$F$4="Battery Only",BattCalcs!AV205+BattCalcs!BH205,PVCalcs!W205+PVCalcs!AA205+BattCalcs!AV205+BattCalcs!BH205))</f>
        <v>0</v>
      </c>
      <c r="AF205" s="10">
        <f>PVCalcs!AC205+BattCalcs!BJ205</f>
        <v>0</v>
      </c>
      <c r="AG205" s="144">
        <f>IF('PV IN'!$F$4="Battery Only",0,PVCalcs!AG205)</f>
        <v>-750</v>
      </c>
      <c r="AH205" s="144">
        <f>IF('PV IN'!$F$4="Battery Only",0,PVCalcs!AI205)</f>
        <v>0</v>
      </c>
      <c r="AI205" s="144">
        <f>IF('PV IN'!$F$4="PV Only",0,BattCalcs!BM205)</f>
        <v>0</v>
      </c>
      <c r="AJ205" s="144">
        <f>IF('PV IN'!$F$4="PV Only",0,SUM(BattCalcs!BO205:BT205))</f>
        <v>0</v>
      </c>
      <c r="AK205" s="144">
        <f>IF('PV IN'!$F$4="PV Only",PVCalcs!AH205,IF('PV IN'!$F$4="Battery Only",BattCalcs!BN205,PVCalcs!AH205+BattCalcs!BN205))</f>
        <v>-625</v>
      </c>
      <c r="AL205" s="144">
        <f>IF('PV IN'!$F$4="PV Only",0,BattCalcs!BV205)</f>
        <v>0</v>
      </c>
      <c r="AM205" s="144">
        <f>IF('PV IN'!$F$4="PV Only",0,SUM(BattCalcs!BW205:BX205))</f>
        <v>0</v>
      </c>
      <c r="AN205" s="144">
        <f>IF('PV IN'!$F$4="PV Only",0,BattCalcs!BY205)</f>
        <v>0</v>
      </c>
      <c r="AO205" s="144">
        <f>IF('PV IN'!$F$4="Battery Only",0,PVCalcs!U205)</f>
        <v>10961.458878510603</v>
      </c>
      <c r="AP205" s="10">
        <f>IF('PV IN'!$F$4="PV Only",0,BattCalcs!AS205)</f>
        <v>0</v>
      </c>
      <c r="AQ205" s="10">
        <f>IF('PV IN'!$F$4="PV Only",0,BattCalcs!AT205)</f>
        <v>0</v>
      </c>
      <c r="AR205" s="10">
        <f>IF('PV IN'!$F$4="PV Only",0,BattCalcs!AU205)</f>
        <v>0</v>
      </c>
      <c r="AS205" s="144">
        <f>IF('PV IN'!$F$4="PV Only",PVCalcs!X205,IF('PV IN'!$F$4="Battery Only",BattCalcs!AW205,PVCalcs!X205+BattCalcs!AW205))</f>
        <v>0</v>
      </c>
      <c r="AT205" s="144">
        <f>IF('PV IN'!$F$4="Battery Only",0,-PVCalcs!AQ205*'PV IN'!$E$8)</f>
        <v>0</v>
      </c>
      <c r="AU205" s="144">
        <f>IF('PV IN'!$F$4="PV Only",0,-BattCalcs!CG205*'PV IN'!$E$8)</f>
        <v>0</v>
      </c>
      <c r="AV205" s="144">
        <f>IF('PV IN'!$F$4="PV Only",PVCalcs!Z205+PVCalcs!AA205,IF('PV IN'!$F$4="Battery Only",SUM(BattCalcs!BC205:BH205),PVCalcs!Z205+PVCalcs!AA205+SUM(BattCalcs!BC205:BH205)))</f>
        <v>0</v>
      </c>
      <c r="AW205" s="144">
        <f>IF('PV IN'!$F$4="PV Only",SUM(PVCalcs!AF205:AI205),IF('PV IN'!$F$4="Battery Only",SUM(BattCalcs!BL205:BY205),SUM(PVCalcs!AF205:AI205)+SUM(BattCalcs!BL205:BY205)))</f>
        <v>-1375</v>
      </c>
      <c r="AX205" s="144">
        <f>IF('PV IN'!$F$4="Battery Only",0,-PVLoan!F233)</f>
        <v>0</v>
      </c>
      <c r="AY205" s="144">
        <f>IF('PV IN'!$F$4="PV Only",0,-BattLoan!F233)</f>
        <v>0</v>
      </c>
      <c r="AZ205" s="144">
        <f>IF('PV IN'!$F$4="Battery Only",0,-PVLoan!H233)</f>
        <v>0</v>
      </c>
      <c r="BA205" s="144">
        <f>IF('PV IN'!$F$4="PV Only",0,-BattLoan!H233)</f>
        <v>0</v>
      </c>
    </row>
    <row r="206" spans="1:88" x14ac:dyDescent="0.25">
      <c r="A206">
        <f>IF(C206&lt;='PV IN'!$O$22*12,C206,"")</f>
        <v>202</v>
      </c>
      <c r="C206">
        <v>202</v>
      </c>
      <c r="D206" s="2">
        <f>BattCalcs!CK206+PVCalcs!AT206</f>
        <v>9867.901239258259</v>
      </c>
      <c r="E206" s="20">
        <f>PVCalcs!AV206</f>
        <v>995189.92644656403</v>
      </c>
      <c r="F206" s="20">
        <f>PVCalcs!AW206</f>
        <v>4340.4850024394946</v>
      </c>
      <c r="G206" s="20">
        <f>PVCalcs!AX206</f>
        <v>279311.58849043574</v>
      </c>
      <c r="H206" s="20">
        <f>BattCalcs!CM206</f>
        <v>0</v>
      </c>
      <c r="I206" s="20">
        <f>BattCalcs!CN206</f>
        <v>0</v>
      </c>
      <c r="J206" s="20">
        <f>IF(C206&lt;='Batt IN'!H$43*12,BattCalcs!CO206,NA())</f>
        <v>0</v>
      </c>
      <c r="L206" s="20">
        <f t="shared" si="518"/>
        <v>4340.4850024394946</v>
      </c>
      <c r="M206" s="20">
        <f>G206+BattCalcs!CO206</f>
        <v>279311.58849043574</v>
      </c>
      <c r="O206" s="10">
        <f>PVLoan!G234</f>
        <v>0</v>
      </c>
      <c r="P206" s="10">
        <f>PVLoan!J234</f>
        <v>0</v>
      </c>
      <c r="Q206" s="2" t="str">
        <f>BattLoan!G234</f>
        <v>-</v>
      </c>
      <c r="R206" s="10" t="str">
        <f>BattLoan!J234</f>
        <v>-</v>
      </c>
      <c r="T206" s="33">
        <f>IF('PV IN'!$F$4="Battery Only",0,PVCalcs!G206)</f>
        <v>133369.02492011778</v>
      </c>
      <c r="U206" s="33">
        <f>IF('PV IN'!$F$4="Battery Only",0,PVCalcs!M206)</f>
        <v>133369.02492011778</v>
      </c>
      <c r="V206" s="33">
        <f>PVCalcs!L206</f>
        <v>25811.765833333331</v>
      </c>
      <c r="W206" s="158">
        <f>PVCalcs!F206</f>
        <v>8.2134148058886372E-2</v>
      </c>
      <c r="X206" s="144">
        <f>IF('PV IN'!$F$4="Battery Only",0,PVCalcs!Y206+PVCalcs!Z206)</f>
        <v>0</v>
      </c>
      <c r="Y206" s="144">
        <f>IF('PV IN'!$F$4="PV Only",0,BattCalcs!AX206+BattCalcs!BC206)</f>
        <v>0</v>
      </c>
      <c r="Z206" s="144">
        <f>IF('PV IN'!$F$4="PV Only",0,BattCalcs!AY206+BattCalcs!BD206)</f>
        <v>0</v>
      </c>
      <c r="AA206" s="144">
        <f>IF('PV IN'!$F$4="PV Only",0,BattCalcs!AZ206+BattCalcs!BE206)</f>
        <v>0</v>
      </c>
      <c r="AB206" s="144">
        <f>IF('PV IN'!$F$4="PV Only",0,BattCalcs!BA206+BattCalcs!BF206)</f>
        <v>0</v>
      </c>
      <c r="AC206" s="144">
        <f>IF('PV IN'!$F$4="PV Only",0,BattCalcs!BB206+BattCalcs!BG206)</f>
        <v>0</v>
      </c>
      <c r="AD206" s="144">
        <f>IF('PV IN'!$F$4="PV Only",0,BattCalcs!BU206)</f>
        <v>0</v>
      </c>
      <c r="AE206" s="144">
        <f>IF('PV IN'!$F$4="PV Only",PVCalcs!W206+PVCalcs!AA206,IF('PV IN'!$F$4="Battery Only",BattCalcs!AV206+BattCalcs!BH206,PVCalcs!W206+PVCalcs!AA206+BattCalcs!AV206+BattCalcs!BH206))</f>
        <v>0</v>
      </c>
      <c r="AF206" s="10">
        <f>PVCalcs!AC206+BattCalcs!BJ206</f>
        <v>0</v>
      </c>
      <c r="AG206" s="144">
        <f>IF('PV IN'!$F$4="Battery Only",0,PVCalcs!AG206)</f>
        <v>-750</v>
      </c>
      <c r="AH206" s="144">
        <f>IF('PV IN'!$F$4="Battery Only",0,PVCalcs!AI206)</f>
        <v>0</v>
      </c>
      <c r="AI206" s="144">
        <f>IF('PV IN'!$F$4="PV Only",0,BattCalcs!BM206)</f>
        <v>0</v>
      </c>
      <c r="AJ206" s="144">
        <f>IF('PV IN'!$F$4="PV Only",0,SUM(BattCalcs!BO206:BT206))</f>
        <v>0</v>
      </c>
      <c r="AK206" s="144">
        <f>IF('PV IN'!$F$4="PV Only",PVCalcs!AH206,IF('PV IN'!$F$4="Battery Only",BattCalcs!BN206,PVCalcs!AH206+BattCalcs!BN206))</f>
        <v>-625</v>
      </c>
      <c r="AL206" s="144">
        <f>IF('PV IN'!$F$4="PV Only",0,BattCalcs!BV206)</f>
        <v>0</v>
      </c>
      <c r="AM206" s="144">
        <f>IF('PV IN'!$F$4="PV Only",0,SUM(BattCalcs!BW206:BX206))</f>
        <v>0</v>
      </c>
      <c r="AN206" s="144">
        <f>IF('PV IN'!$F$4="PV Only",0,BattCalcs!BY206)</f>
        <v>0</v>
      </c>
      <c r="AO206" s="144">
        <f>IF('PV IN'!$F$4="Battery Only",0,PVCalcs!U206)</f>
        <v>10954.151239258259</v>
      </c>
      <c r="AP206" s="10">
        <f>IF('PV IN'!$F$4="PV Only",0,BattCalcs!AS206)</f>
        <v>0</v>
      </c>
      <c r="AQ206" s="10">
        <f>IF('PV IN'!$F$4="PV Only",0,BattCalcs!AT206)</f>
        <v>0</v>
      </c>
      <c r="AR206" s="10">
        <f>IF('PV IN'!$F$4="PV Only",0,BattCalcs!AU206)</f>
        <v>0</v>
      </c>
      <c r="AS206" s="144">
        <f>IF('PV IN'!$F$4="PV Only",PVCalcs!X206,IF('PV IN'!$F$4="Battery Only",BattCalcs!AW206,PVCalcs!X206+BattCalcs!AW206))</f>
        <v>0</v>
      </c>
      <c r="AT206" s="144">
        <f>IF('PV IN'!$F$4="Battery Only",0,-PVCalcs!AQ206*'PV IN'!$E$8)</f>
        <v>0</v>
      </c>
      <c r="AU206" s="144">
        <f>IF('PV IN'!$F$4="PV Only",0,-BattCalcs!CG206*'PV IN'!$E$8)</f>
        <v>0</v>
      </c>
      <c r="AV206" s="144">
        <f>IF('PV IN'!$F$4="PV Only",PVCalcs!Z206+PVCalcs!AA206,IF('PV IN'!$F$4="Battery Only",SUM(BattCalcs!BC206:BH206),PVCalcs!Z206+PVCalcs!AA206+SUM(BattCalcs!BC206:BH206)))</f>
        <v>0</v>
      </c>
      <c r="AW206" s="144">
        <f>IF('PV IN'!$F$4="PV Only",SUM(PVCalcs!AF206:AI206),IF('PV IN'!$F$4="Battery Only",SUM(BattCalcs!BL206:BY206),SUM(PVCalcs!AF206:AI206)+SUM(BattCalcs!BL206:BY206)))</f>
        <v>-1375</v>
      </c>
      <c r="AX206" s="144">
        <f>IF('PV IN'!$F$4="Battery Only",0,-PVLoan!F234)</f>
        <v>0</v>
      </c>
      <c r="AY206" s="144">
        <f>IF('PV IN'!$F$4="PV Only",0,-BattLoan!F234)</f>
        <v>0</v>
      </c>
      <c r="AZ206" s="144">
        <f>IF('PV IN'!$F$4="Battery Only",0,-PVLoan!H234)</f>
        <v>0</v>
      </c>
      <c r="BA206" s="144">
        <f>IF('PV IN'!$F$4="PV Only",0,-BattLoan!H234)</f>
        <v>0</v>
      </c>
    </row>
    <row r="207" spans="1:88" x14ac:dyDescent="0.25">
      <c r="A207">
        <f>IF(C207&lt;='PV IN'!$O$22*12,C207,"")</f>
        <v>203</v>
      </c>
      <c r="C207">
        <v>203</v>
      </c>
      <c r="D207" s="2">
        <f>BattCalcs!CK207+PVCalcs!AT207</f>
        <v>9860.5984717654192</v>
      </c>
      <c r="E207" s="20">
        <f>PVCalcs!AV207</f>
        <v>1005050.5249183294</v>
      </c>
      <c r="F207" s="20">
        <f>PVCalcs!AW207</f>
        <v>4319.6739282689859</v>
      </c>
      <c r="G207" s="20">
        <f>PVCalcs!AX207</f>
        <v>283631.26241870475</v>
      </c>
      <c r="H207" s="20">
        <f>BattCalcs!CM207</f>
        <v>0</v>
      </c>
      <c r="I207" s="20">
        <f>BattCalcs!CN207</f>
        <v>0</v>
      </c>
      <c r="J207" s="20">
        <f>IF(C207&lt;='Batt IN'!H$43*12,BattCalcs!CO207,NA())</f>
        <v>0</v>
      </c>
      <c r="L207" s="20">
        <f t="shared" si="518"/>
        <v>4319.6739282689859</v>
      </c>
      <c r="M207" s="20">
        <f>G207+BattCalcs!CO207</f>
        <v>283631.26241870475</v>
      </c>
      <c r="O207" s="10">
        <f>PVLoan!G235</f>
        <v>0</v>
      </c>
      <c r="P207" s="10">
        <f>PVLoan!J235</f>
        <v>0</v>
      </c>
      <c r="Q207" s="2" t="str">
        <f>BattLoan!G235</f>
        <v>-</v>
      </c>
      <c r="R207" s="10" t="str">
        <f>BattLoan!J235</f>
        <v>-</v>
      </c>
      <c r="T207" s="33">
        <f>IF('PV IN'!$F$4="Battery Only",0,PVCalcs!G207)</f>
        <v>133280.11223683768</v>
      </c>
      <c r="U207" s="33">
        <f>IF('PV IN'!$F$4="Battery Only",0,PVCalcs!M207)</f>
        <v>133280.11223683768</v>
      </c>
      <c r="V207" s="33">
        <f>PVCalcs!L207</f>
        <v>25811.765833333331</v>
      </c>
      <c r="W207" s="158">
        <f>PVCalcs!F207</f>
        <v>8.2134148058886372E-2</v>
      </c>
      <c r="X207" s="144">
        <f>IF('PV IN'!$F$4="Battery Only",0,PVCalcs!Y207+PVCalcs!Z207)</f>
        <v>0</v>
      </c>
      <c r="Y207" s="144">
        <f>IF('PV IN'!$F$4="PV Only",0,BattCalcs!AX207+BattCalcs!BC207)</f>
        <v>0</v>
      </c>
      <c r="Z207" s="144">
        <f>IF('PV IN'!$F$4="PV Only",0,BattCalcs!AY207+BattCalcs!BD207)</f>
        <v>0</v>
      </c>
      <c r="AA207" s="144">
        <f>IF('PV IN'!$F$4="PV Only",0,BattCalcs!AZ207+BattCalcs!BE207)</f>
        <v>0</v>
      </c>
      <c r="AB207" s="144">
        <f>IF('PV IN'!$F$4="PV Only",0,BattCalcs!BA207+BattCalcs!BF207)</f>
        <v>0</v>
      </c>
      <c r="AC207" s="144">
        <f>IF('PV IN'!$F$4="PV Only",0,BattCalcs!BB207+BattCalcs!BG207)</f>
        <v>0</v>
      </c>
      <c r="AD207" s="144">
        <f>IF('PV IN'!$F$4="PV Only",0,BattCalcs!BU207)</f>
        <v>0</v>
      </c>
      <c r="AE207" s="144">
        <f>IF('PV IN'!$F$4="PV Only",PVCalcs!W207+PVCalcs!AA207,IF('PV IN'!$F$4="Battery Only",BattCalcs!AV207+BattCalcs!BH207,PVCalcs!W207+PVCalcs!AA207+BattCalcs!AV207+BattCalcs!BH207))</f>
        <v>0</v>
      </c>
      <c r="AF207" s="10">
        <f>PVCalcs!AC207+BattCalcs!BJ207</f>
        <v>0</v>
      </c>
      <c r="AG207" s="144">
        <f>IF('PV IN'!$F$4="Battery Only",0,PVCalcs!AG207)</f>
        <v>-750</v>
      </c>
      <c r="AH207" s="144">
        <f>IF('PV IN'!$F$4="Battery Only",0,PVCalcs!AI207)</f>
        <v>0</v>
      </c>
      <c r="AI207" s="144">
        <f>IF('PV IN'!$F$4="PV Only",0,BattCalcs!BM207)</f>
        <v>0</v>
      </c>
      <c r="AJ207" s="144">
        <f>IF('PV IN'!$F$4="PV Only",0,SUM(BattCalcs!BO207:BT207))</f>
        <v>0</v>
      </c>
      <c r="AK207" s="144">
        <f>IF('PV IN'!$F$4="PV Only",PVCalcs!AH207,IF('PV IN'!$F$4="Battery Only",BattCalcs!BN207,PVCalcs!AH207+BattCalcs!BN207))</f>
        <v>-625</v>
      </c>
      <c r="AL207" s="144">
        <f>IF('PV IN'!$F$4="PV Only",0,BattCalcs!BV207)</f>
        <v>0</v>
      </c>
      <c r="AM207" s="144">
        <f>IF('PV IN'!$F$4="PV Only",0,SUM(BattCalcs!BW207:BX207))</f>
        <v>0</v>
      </c>
      <c r="AN207" s="144">
        <f>IF('PV IN'!$F$4="PV Only",0,BattCalcs!BY207)</f>
        <v>0</v>
      </c>
      <c r="AO207" s="144">
        <f>IF('PV IN'!$F$4="Battery Only",0,PVCalcs!U207)</f>
        <v>10946.848471765419</v>
      </c>
      <c r="AP207" s="10">
        <f>IF('PV IN'!$F$4="PV Only",0,BattCalcs!AS207)</f>
        <v>0</v>
      </c>
      <c r="AQ207" s="10">
        <f>IF('PV IN'!$F$4="PV Only",0,BattCalcs!AT207)</f>
        <v>0</v>
      </c>
      <c r="AR207" s="10">
        <f>IF('PV IN'!$F$4="PV Only",0,BattCalcs!AU207)</f>
        <v>0</v>
      </c>
      <c r="AS207" s="144">
        <f>IF('PV IN'!$F$4="PV Only",PVCalcs!X207,IF('PV IN'!$F$4="Battery Only",BattCalcs!AW207,PVCalcs!X207+BattCalcs!AW207))</f>
        <v>0</v>
      </c>
      <c r="AT207" s="144">
        <f>IF('PV IN'!$F$4="Battery Only",0,-PVCalcs!AQ207*'PV IN'!$E$8)</f>
        <v>0</v>
      </c>
      <c r="AU207" s="144">
        <f>IF('PV IN'!$F$4="PV Only",0,-BattCalcs!CG207*'PV IN'!$E$8)</f>
        <v>0</v>
      </c>
      <c r="AV207" s="144">
        <f>IF('PV IN'!$F$4="PV Only",PVCalcs!Z207+PVCalcs!AA207,IF('PV IN'!$F$4="Battery Only",SUM(BattCalcs!BC207:BH207),PVCalcs!Z207+PVCalcs!AA207+SUM(BattCalcs!BC207:BH207)))</f>
        <v>0</v>
      </c>
      <c r="AW207" s="144">
        <f>IF('PV IN'!$F$4="PV Only",SUM(PVCalcs!AF207:AI207),IF('PV IN'!$F$4="Battery Only",SUM(BattCalcs!BL207:BY207),SUM(PVCalcs!AF207:AI207)+SUM(BattCalcs!BL207:BY207)))</f>
        <v>-1375</v>
      </c>
      <c r="AX207" s="144">
        <f>IF('PV IN'!$F$4="Battery Only",0,-PVLoan!F235)</f>
        <v>0</v>
      </c>
      <c r="AY207" s="144">
        <f>IF('PV IN'!$F$4="PV Only",0,-BattLoan!F235)</f>
        <v>0</v>
      </c>
      <c r="AZ207" s="144">
        <f>IF('PV IN'!$F$4="Battery Only",0,-PVLoan!H235)</f>
        <v>0</v>
      </c>
      <c r="BA207" s="144">
        <f>IF('PV IN'!$F$4="PV Only",0,-BattLoan!H235)</f>
        <v>0</v>
      </c>
    </row>
    <row r="208" spans="1:88" x14ac:dyDescent="0.25">
      <c r="A208">
        <f>IF(C208&lt;='PV IN'!$O$22*12,C208,"")</f>
        <v>204</v>
      </c>
      <c r="B208">
        <f>B196+1</f>
        <v>2042</v>
      </c>
      <c r="C208">
        <v>204</v>
      </c>
      <c r="D208" s="2">
        <f>BattCalcs!CK208+PVCalcs!AT208</f>
        <v>9853.3005727842428</v>
      </c>
      <c r="E208" s="20">
        <f>PVCalcs!AV208</f>
        <v>1014903.8254911137</v>
      </c>
      <c r="F208" s="20">
        <f>PVCalcs!AW208</f>
        <v>4298.962401939848</v>
      </c>
      <c r="G208" s="20">
        <f>PVCalcs!AX208</f>
        <v>287930.22482064459</v>
      </c>
      <c r="H208" s="20">
        <f>BattCalcs!CM208</f>
        <v>0</v>
      </c>
      <c r="I208" s="20">
        <f>BattCalcs!CN208</f>
        <v>0</v>
      </c>
      <c r="J208" s="20">
        <f>IF(C208&lt;='Batt IN'!H$43*12,BattCalcs!CO208,NA())</f>
        <v>0</v>
      </c>
      <c r="L208" s="20">
        <f t="shared" si="518"/>
        <v>4298.962401939848</v>
      </c>
      <c r="M208" s="20">
        <f>G208+BattCalcs!CO208</f>
        <v>287930.22482064459</v>
      </c>
      <c r="O208" s="10">
        <f>PVLoan!G236</f>
        <v>0</v>
      </c>
      <c r="P208" s="10">
        <f>PVLoan!J236</f>
        <v>0</v>
      </c>
      <c r="Q208" s="2" t="str">
        <f>BattLoan!G236</f>
        <v>-</v>
      </c>
      <c r="R208" s="10" t="str">
        <f>BattLoan!J236</f>
        <v>-</v>
      </c>
      <c r="T208" s="33">
        <f>IF('PV IN'!$F$4="Battery Only",0,PVCalcs!G208)</f>
        <v>133191.2588286798</v>
      </c>
      <c r="U208" s="33">
        <f>IF('PV IN'!$F$4="Battery Only",0,PVCalcs!M208)</f>
        <v>133191.2588286798</v>
      </c>
      <c r="V208" s="33">
        <f>PVCalcs!L208</f>
        <v>25811.765833333331</v>
      </c>
      <c r="W208" s="158">
        <f>PVCalcs!F208</f>
        <v>8.2134148058886372E-2</v>
      </c>
      <c r="X208" s="144">
        <f>IF('PV IN'!$F$4="Battery Only",0,PVCalcs!Y208+PVCalcs!Z208)</f>
        <v>0</v>
      </c>
      <c r="Y208" s="144">
        <f>IF('PV IN'!$F$4="PV Only",0,BattCalcs!AX208+BattCalcs!BC208)</f>
        <v>0</v>
      </c>
      <c r="Z208" s="144">
        <f>IF('PV IN'!$F$4="PV Only",0,BattCalcs!AY208+BattCalcs!BD208)</f>
        <v>0</v>
      </c>
      <c r="AA208" s="144">
        <f>IF('PV IN'!$F$4="PV Only",0,BattCalcs!AZ208+BattCalcs!BE208)</f>
        <v>0</v>
      </c>
      <c r="AB208" s="144">
        <f>IF('PV IN'!$F$4="PV Only",0,BattCalcs!BA208+BattCalcs!BF208)</f>
        <v>0</v>
      </c>
      <c r="AC208" s="144">
        <f>IF('PV IN'!$F$4="PV Only",0,BattCalcs!BB208+BattCalcs!BG208)</f>
        <v>0</v>
      </c>
      <c r="AD208" s="144">
        <f>IF('PV IN'!$F$4="PV Only",0,BattCalcs!BU208)</f>
        <v>0</v>
      </c>
      <c r="AE208" s="144">
        <f>IF('PV IN'!$F$4="PV Only",PVCalcs!W208+PVCalcs!AA208,IF('PV IN'!$F$4="Battery Only",BattCalcs!AV208+BattCalcs!BH208,PVCalcs!W208+PVCalcs!AA208+BattCalcs!AV208+BattCalcs!BH208))</f>
        <v>0</v>
      </c>
      <c r="AF208" s="10">
        <f>PVCalcs!AC208+BattCalcs!BJ208</f>
        <v>0</v>
      </c>
      <c r="AG208" s="144">
        <f>IF('PV IN'!$F$4="Battery Only",0,PVCalcs!AG208)</f>
        <v>-750</v>
      </c>
      <c r="AH208" s="144">
        <f>IF('PV IN'!$F$4="Battery Only",0,PVCalcs!AI208)</f>
        <v>0</v>
      </c>
      <c r="AI208" s="144">
        <f>IF('PV IN'!$F$4="PV Only",0,BattCalcs!BM208)</f>
        <v>0</v>
      </c>
      <c r="AJ208" s="144">
        <f>IF('PV IN'!$F$4="PV Only",0,SUM(BattCalcs!BO208:BT208))</f>
        <v>0</v>
      </c>
      <c r="AK208" s="144">
        <f>IF('PV IN'!$F$4="PV Only",PVCalcs!AH208,IF('PV IN'!$F$4="Battery Only",BattCalcs!BN208,PVCalcs!AH208+BattCalcs!BN208))</f>
        <v>-625</v>
      </c>
      <c r="AL208" s="144">
        <f>IF('PV IN'!$F$4="PV Only",0,BattCalcs!BV208)</f>
        <v>0</v>
      </c>
      <c r="AM208" s="144">
        <f>IF('PV IN'!$F$4="PV Only",0,SUM(BattCalcs!BW208:BX208))</f>
        <v>0</v>
      </c>
      <c r="AN208" s="144">
        <f>IF('PV IN'!$F$4="PV Only",0,BattCalcs!BY208)</f>
        <v>0</v>
      </c>
      <c r="AO208" s="144">
        <f>IF('PV IN'!$F$4="Battery Only",0,PVCalcs!U208)</f>
        <v>10939.550572784243</v>
      </c>
      <c r="AP208" s="10">
        <f>IF('PV IN'!$F$4="PV Only",0,BattCalcs!AS208)</f>
        <v>0</v>
      </c>
      <c r="AQ208" s="10">
        <f>IF('PV IN'!$F$4="PV Only",0,BattCalcs!AT208)</f>
        <v>0</v>
      </c>
      <c r="AR208" s="10">
        <f>IF('PV IN'!$F$4="PV Only",0,BattCalcs!AU208)</f>
        <v>0</v>
      </c>
      <c r="AS208" s="144">
        <f>IF('PV IN'!$F$4="PV Only",PVCalcs!X208,IF('PV IN'!$F$4="Battery Only",BattCalcs!AW208,PVCalcs!X208+BattCalcs!AW208))</f>
        <v>0</v>
      </c>
      <c r="AT208" s="144">
        <f>IF('PV IN'!$F$4="Battery Only",0,-PVCalcs!AQ208*'PV IN'!$E$8)</f>
        <v>0</v>
      </c>
      <c r="AU208" s="144">
        <f>IF('PV IN'!$F$4="PV Only",0,-BattCalcs!CG208*'PV IN'!$E$8)</f>
        <v>0</v>
      </c>
      <c r="AV208" s="144">
        <f>IF('PV IN'!$F$4="PV Only",PVCalcs!Z208+PVCalcs!AA208,IF('PV IN'!$F$4="Battery Only",SUM(BattCalcs!BC208:BH208),PVCalcs!Z208+PVCalcs!AA208+SUM(BattCalcs!BC208:BH208)))</f>
        <v>0</v>
      </c>
      <c r="AW208" s="144">
        <f>IF('PV IN'!$F$4="PV Only",SUM(PVCalcs!AF208:AI208),IF('PV IN'!$F$4="Battery Only",SUM(BattCalcs!BL208:BY208),SUM(PVCalcs!AF208:AI208)+SUM(BattCalcs!BL208:BY208)))</f>
        <v>-1375</v>
      </c>
      <c r="AX208" s="144">
        <f>IF('PV IN'!$F$4="Battery Only",0,-PVLoan!F236)</f>
        <v>0</v>
      </c>
      <c r="AY208" s="144">
        <f>IF('PV IN'!$F$4="PV Only",0,-BattLoan!F236)</f>
        <v>0</v>
      </c>
      <c r="AZ208" s="144">
        <f>IF('PV IN'!$F$4="Battery Only",0,-PVLoan!H236)</f>
        <v>0</v>
      </c>
      <c r="BA208" s="144">
        <f>IF('PV IN'!$F$4="PV Only",0,-BattLoan!H236)</f>
        <v>0</v>
      </c>
      <c r="BC208" s="33">
        <f t="shared" ref="BC208" si="519">SUM(T197:T208)</f>
        <v>1604172.4910042083</v>
      </c>
      <c r="BD208" s="33">
        <f t="shared" ref="BD208" si="520">SUM(U197:U208)</f>
        <v>1604172.4910042083</v>
      </c>
      <c r="BE208" s="33">
        <f t="shared" ref="BE208" si="521">SUM(V197:V208)</f>
        <v>309741.19</v>
      </c>
      <c r="BF208" s="50">
        <f t="shared" ref="BF208" si="522">W208</f>
        <v>8.2134148058886372E-2</v>
      </c>
      <c r="BG208" s="2">
        <f t="shared" ref="BG208" si="523">SUM(X197:X208)</f>
        <v>0</v>
      </c>
      <c r="BH208" s="2">
        <f t="shared" ref="BH208" si="524">SUM(Y197:Y208)</f>
        <v>0</v>
      </c>
      <c r="BI208" s="2">
        <f t="shared" ref="BI208" si="525">SUM(Z197:Z208)</f>
        <v>0</v>
      </c>
      <c r="BJ208" s="2">
        <f t="shared" ref="BJ208" si="526">SUM(AA197:AA208)</f>
        <v>0</v>
      </c>
      <c r="BK208" s="2">
        <f t="shared" ref="BK208" si="527">SUM(AB197:AB208)</f>
        <v>0</v>
      </c>
      <c r="BL208" s="2">
        <f t="shared" ref="BL208" si="528">SUM(AC197:AC208)</f>
        <v>0</v>
      </c>
      <c r="BM208" s="2">
        <f t="shared" ref="BM208" si="529">SUM(AD197:AD208)</f>
        <v>0</v>
      </c>
      <c r="BN208" s="2">
        <f t="shared" ref="BN208" si="530">SUM(AE197:AE208)</f>
        <v>0</v>
      </c>
      <c r="BO208" s="2">
        <f t="shared" ref="BO208" si="531">SUM(AF197:AF208)</f>
        <v>0</v>
      </c>
      <c r="BP208" s="2">
        <f t="shared" ref="BP208" si="532">SUM(AG197:AG208)</f>
        <v>-9000</v>
      </c>
      <c r="BQ208" s="2">
        <f t="shared" ref="BQ208" si="533">SUM(AH197:AH208)</f>
        <v>0</v>
      </c>
      <c r="BR208" s="2">
        <f t="shared" ref="BR208" si="534">SUM(AI197:AI208)</f>
        <v>0</v>
      </c>
      <c r="BS208" s="2">
        <f t="shared" ref="BS208" si="535">SUM(AJ197:AJ208)</f>
        <v>0</v>
      </c>
      <c r="BT208" s="2">
        <f t="shared" ref="BT208" si="536">SUM(AK197:AK208)</f>
        <v>-7500</v>
      </c>
      <c r="BU208" s="2">
        <f t="shared" ref="BU208" si="537">SUM(AL197:AL208)</f>
        <v>0</v>
      </c>
      <c r="BV208" s="2">
        <f t="shared" ref="BV208" si="538">SUM(AM197:AM208)</f>
        <v>0</v>
      </c>
      <c r="BW208" s="2">
        <f t="shared" ref="BW208" si="539">SUM(AN197:AN208)</f>
        <v>0</v>
      </c>
      <c r="BX208" s="2">
        <f t="shared" ref="BX208" si="540">SUM(AO197:AO208)</f>
        <v>131757.34088813225</v>
      </c>
      <c r="BY208" s="2">
        <f t="shared" ref="BY208" si="541">SUM(AP197:AP208)</f>
        <v>0</v>
      </c>
      <c r="BZ208" s="2">
        <f t="shared" ref="BZ208" si="542">SUM(AQ197:AQ208)</f>
        <v>0</v>
      </c>
      <c r="CA208" s="2">
        <f t="shared" ref="CA208" si="543">SUM(AR197:AR208)</f>
        <v>0</v>
      </c>
      <c r="CB208" s="2">
        <f t="shared" ref="CB208" si="544">SUM(AS197:AS208)</f>
        <v>0</v>
      </c>
      <c r="CC208" s="2">
        <f t="shared" ref="CC208" si="545">SUM(AT197:AT208)</f>
        <v>0</v>
      </c>
      <c r="CD208" s="2">
        <f t="shared" ref="CD208" si="546">SUM(AU197:AU208)</f>
        <v>0</v>
      </c>
      <c r="CE208" s="2">
        <f t="shared" ref="CE208" si="547">SUM(AV197:AV208)</f>
        <v>0</v>
      </c>
      <c r="CF208" s="2">
        <f t="shared" ref="CF208" si="548">SUM(AW197:AW208)</f>
        <v>-16500</v>
      </c>
      <c r="CG208" s="2">
        <f t="shared" ref="CG208" si="549">SUM(AX197:AX208)</f>
        <v>0</v>
      </c>
      <c r="CH208" s="2">
        <f t="shared" ref="CH208" si="550">SUM(AY197:AY208)</f>
        <v>0</v>
      </c>
      <c r="CI208" s="2">
        <f t="shared" ref="CI208" si="551">SUM(AZ197:AZ208)</f>
        <v>0</v>
      </c>
      <c r="CJ208" s="2">
        <f t="shared" ref="CJ208" si="552">SUM(BA197:BA208)</f>
        <v>0</v>
      </c>
    </row>
    <row r="209" spans="1:88" x14ac:dyDescent="0.25">
      <c r="A209">
        <f>IF(C209&lt;='PV IN'!$O$22*12,C209,"")</f>
        <v>205</v>
      </c>
      <c r="C209">
        <v>205</v>
      </c>
      <c r="D209" s="2">
        <f>BattCalcs!CK209+PVCalcs!AT209</f>
        <v>10007.652761857786</v>
      </c>
      <c r="E209" s="20">
        <f>PVCalcs!AV209</f>
        <v>1024911.4782529715</v>
      </c>
      <c r="F209" s="20">
        <f>PVCalcs!AW209</f>
        <v>4348.5890606408484</v>
      </c>
      <c r="G209" s="20">
        <f>PVCalcs!AX209</f>
        <v>292278.81388128543</v>
      </c>
      <c r="H209" s="20">
        <f>BattCalcs!CM209</f>
        <v>0</v>
      </c>
      <c r="I209" s="20">
        <f>BattCalcs!CN209</f>
        <v>0</v>
      </c>
      <c r="J209" s="20">
        <f>IF(C209&lt;='Batt IN'!H$43*12,BattCalcs!CO209,NA())</f>
        <v>0</v>
      </c>
      <c r="L209" s="20">
        <f t="shared" si="518"/>
        <v>4348.5890606408484</v>
      </c>
      <c r="M209" s="20">
        <f>G209+BattCalcs!CO209</f>
        <v>292278.81388128543</v>
      </c>
      <c r="O209" s="10">
        <f>PVLoan!G237</f>
        <v>0</v>
      </c>
      <c r="P209" s="10">
        <f>PVLoan!J237</f>
        <v>0</v>
      </c>
      <c r="Q209" s="2" t="str">
        <f>BattLoan!G237</f>
        <v>-</v>
      </c>
      <c r="R209" s="10" t="str">
        <f>BattLoan!J237</f>
        <v>-</v>
      </c>
      <c r="T209" s="33">
        <f>IF('PV IN'!$F$4="Battery Only",0,PVCalcs!G209)</f>
        <v>133102.46465612735</v>
      </c>
      <c r="U209" s="33">
        <f>IF('PV IN'!$F$4="Battery Only",0,PVCalcs!M209)</f>
        <v>133102.46465612735</v>
      </c>
      <c r="V209" s="33">
        <f>PVCalcs!L209</f>
        <v>25811.765833333331</v>
      </c>
      <c r="W209" s="158">
        <f>PVCalcs!F209</f>
        <v>8.3348590054429766E-2</v>
      </c>
      <c r="X209" s="144">
        <f>IF('PV IN'!$F$4="Battery Only",0,PVCalcs!Y209+PVCalcs!Z209)</f>
        <v>0</v>
      </c>
      <c r="Y209" s="144">
        <f>IF('PV IN'!$F$4="PV Only",0,BattCalcs!AX209+BattCalcs!BC209)</f>
        <v>0</v>
      </c>
      <c r="Z209" s="144">
        <f>IF('PV IN'!$F$4="PV Only",0,BattCalcs!AY209+BattCalcs!BD209)</f>
        <v>0</v>
      </c>
      <c r="AA209" s="144">
        <f>IF('PV IN'!$F$4="PV Only",0,BattCalcs!AZ209+BattCalcs!BE209)</f>
        <v>0</v>
      </c>
      <c r="AB209" s="144">
        <f>IF('PV IN'!$F$4="PV Only",0,BattCalcs!BA209+BattCalcs!BF209)</f>
        <v>0</v>
      </c>
      <c r="AC209" s="144">
        <f>IF('PV IN'!$F$4="PV Only",0,BattCalcs!BB209+BattCalcs!BG209)</f>
        <v>0</v>
      </c>
      <c r="AD209" s="144">
        <f>IF('PV IN'!$F$4="PV Only",0,BattCalcs!BU209)</f>
        <v>0</v>
      </c>
      <c r="AE209" s="144">
        <f>IF('PV IN'!$F$4="PV Only",PVCalcs!W209+PVCalcs!AA209,IF('PV IN'!$F$4="Battery Only",BattCalcs!AV209+BattCalcs!BH209,PVCalcs!W209+PVCalcs!AA209+BattCalcs!AV209+BattCalcs!BH209))</f>
        <v>0</v>
      </c>
      <c r="AF209" s="10">
        <f>PVCalcs!AC209+BattCalcs!BJ209</f>
        <v>0</v>
      </c>
      <c r="AG209" s="144">
        <f>IF('PV IN'!$F$4="Battery Only",0,PVCalcs!AG209)</f>
        <v>-750</v>
      </c>
      <c r="AH209" s="144">
        <f>IF('PV IN'!$F$4="Battery Only",0,PVCalcs!AI209)</f>
        <v>0</v>
      </c>
      <c r="AI209" s="144">
        <f>IF('PV IN'!$F$4="PV Only",0,BattCalcs!BM209)</f>
        <v>0</v>
      </c>
      <c r="AJ209" s="144">
        <f>IF('PV IN'!$F$4="PV Only",0,SUM(BattCalcs!BO209:BT209))</f>
        <v>0</v>
      </c>
      <c r="AK209" s="144">
        <f>IF('PV IN'!$F$4="PV Only",PVCalcs!AH209,IF('PV IN'!$F$4="Battery Only",BattCalcs!BN209,PVCalcs!AH209+BattCalcs!BN209))</f>
        <v>-625</v>
      </c>
      <c r="AL209" s="144">
        <f>IF('PV IN'!$F$4="PV Only",0,BattCalcs!BV209)</f>
        <v>0</v>
      </c>
      <c r="AM209" s="144">
        <f>IF('PV IN'!$F$4="PV Only",0,SUM(BattCalcs!BW209:BX209))</f>
        <v>0</v>
      </c>
      <c r="AN209" s="144">
        <f>IF('PV IN'!$F$4="PV Only",0,BattCalcs!BY209)</f>
        <v>0</v>
      </c>
      <c r="AO209" s="144">
        <f>IF('PV IN'!$F$4="Battery Only",0,PVCalcs!U209)</f>
        <v>11093.902761857786</v>
      </c>
      <c r="AP209" s="10">
        <f>IF('PV IN'!$F$4="PV Only",0,BattCalcs!AS209)</f>
        <v>0</v>
      </c>
      <c r="AQ209" s="10">
        <f>IF('PV IN'!$F$4="PV Only",0,BattCalcs!AT209)</f>
        <v>0</v>
      </c>
      <c r="AR209" s="10">
        <f>IF('PV IN'!$F$4="PV Only",0,BattCalcs!AU209)</f>
        <v>0</v>
      </c>
      <c r="AS209" s="144">
        <f>IF('PV IN'!$F$4="PV Only",PVCalcs!X209,IF('PV IN'!$F$4="Battery Only",BattCalcs!AW209,PVCalcs!X209+BattCalcs!AW209))</f>
        <v>0</v>
      </c>
      <c r="AT209" s="144">
        <f>IF('PV IN'!$F$4="Battery Only",0,-PVCalcs!AQ209*'PV IN'!$E$8)</f>
        <v>0</v>
      </c>
      <c r="AU209" s="144">
        <f>IF('PV IN'!$F$4="PV Only",0,-BattCalcs!CG209*'PV IN'!$E$8)</f>
        <v>0</v>
      </c>
      <c r="AV209" s="144">
        <f>IF('PV IN'!$F$4="PV Only",PVCalcs!Z209+PVCalcs!AA209,IF('PV IN'!$F$4="Battery Only",SUM(BattCalcs!BC209:BH209),PVCalcs!Z209+PVCalcs!AA209+SUM(BattCalcs!BC209:BH209)))</f>
        <v>0</v>
      </c>
      <c r="AW209" s="144">
        <f>IF('PV IN'!$F$4="PV Only",SUM(PVCalcs!AF209:AI209),IF('PV IN'!$F$4="Battery Only",SUM(BattCalcs!BL209:BY209),SUM(PVCalcs!AF209:AI209)+SUM(BattCalcs!BL209:BY209)))</f>
        <v>-1375</v>
      </c>
      <c r="AX209" s="144">
        <f>IF('PV IN'!$F$4="Battery Only",0,-PVLoan!F237)</f>
        <v>0</v>
      </c>
      <c r="AY209" s="144">
        <f>IF('PV IN'!$F$4="PV Only",0,-BattLoan!F237)</f>
        <v>0</v>
      </c>
      <c r="AZ209" s="144">
        <f>IF('PV IN'!$F$4="Battery Only",0,-PVLoan!H237)</f>
        <v>0</v>
      </c>
      <c r="BA209" s="144">
        <f>IF('PV IN'!$F$4="PV Only",0,-BattLoan!H237)</f>
        <v>0</v>
      </c>
    </row>
    <row r="210" spans="1:88" x14ac:dyDescent="0.25">
      <c r="A210">
        <f>IF(C210&lt;='PV IN'!$O$22*12,C210,"")</f>
        <v>206</v>
      </c>
      <c r="C210">
        <v>206</v>
      </c>
      <c r="D210" s="2">
        <f>BattCalcs!CK210+PVCalcs!AT210</f>
        <v>10000.256826683213</v>
      </c>
      <c r="E210" s="20">
        <f>PVCalcs!AV210</f>
        <v>1034911.7350796547</v>
      </c>
      <c r="F210" s="20">
        <f>PVCalcs!AW210</f>
        <v>4327.7435687487286</v>
      </c>
      <c r="G210" s="20">
        <f>PVCalcs!AX210</f>
        <v>296606.55745003413</v>
      </c>
      <c r="H210" s="20">
        <f>BattCalcs!CM210</f>
        <v>0</v>
      </c>
      <c r="I210" s="20">
        <f>BattCalcs!CN210</f>
        <v>0</v>
      </c>
      <c r="J210" s="20">
        <f>IF(C210&lt;='Batt IN'!H$43*12,BattCalcs!CO210,NA())</f>
        <v>0</v>
      </c>
      <c r="L210" s="20">
        <f t="shared" si="518"/>
        <v>4327.7435687487286</v>
      </c>
      <c r="M210" s="20">
        <f>G210+BattCalcs!CO210</f>
        <v>296606.55745003413</v>
      </c>
      <c r="O210" s="10">
        <f>PVLoan!G238</f>
        <v>0</v>
      </c>
      <c r="P210" s="10">
        <f>PVLoan!J238</f>
        <v>0</v>
      </c>
      <c r="Q210" s="2" t="str">
        <f>BattLoan!G238</f>
        <v>-</v>
      </c>
      <c r="R210" s="10" t="str">
        <f>BattLoan!J238</f>
        <v>-</v>
      </c>
      <c r="T210" s="33">
        <f>IF('PV IN'!$F$4="Battery Only",0,PVCalcs!G210)</f>
        <v>133013.72967968992</v>
      </c>
      <c r="U210" s="33">
        <f>IF('PV IN'!$F$4="Battery Only",0,PVCalcs!M210)</f>
        <v>133013.72967968992</v>
      </c>
      <c r="V210" s="33">
        <f>PVCalcs!L210</f>
        <v>25811.765833333331</v>
      </c>
      <c r="W210" s="158">
        <f>PVCalcs!F210</f>
        <v>8.3348590054429766E-2</v>
      </c>
      <c r="X210" s="144">
        <f>IF('PV IN'!$F$4="Battery Only",0,PVCalcs!Y210+PVCalcs!Z210)</f>
        <v>0</v>
      </c>
      <c r="Y210" s="144">
        <f>IF('PV IN'!$F$4="PV Only",0,BattCalcs!AX210+BattCalcs!BC210)</f>
        <v>0</v>
      </c>
      <c r="Z210" s="144">
        <f>IF('PV IN'!$F$4="PV Only",0,BattCalcs!AY210+BattCalcs!BD210)</f>
        <v>0</v>
      </c>
      <c r="AA210" s="144">
        <f>IF('PV IN'!$F$4="PV Only",0,BattCalcs!AZ210+BattCalcs!BE210)</f>
        <v>0</v>
      </c>
      <c r="AB210" s="144">
        <f>IF('PV IN'!$F$4="PV Only",0,BattCalcs!BA210+BattCalcs!BF210)</f>
        <v>0</v>
      </c>
      <c r="AC210" s="144">
        <f>IF('PV IN'!$F$4="PV Only",0,BattCalcs!BB210+BattCalcs!BG210)</f>
        <v>0</v>
      </c>
      <c r="AD210" s="144">
        <f>IF('PV IN'!$F$4="PV Only",0,BattCalcs!BU210)</f>
        <v>0</v>
      </c>
      <c r="AE210" s="144">
        <f>IF('PV IN'!$F$4="PV Only",PVCalcs!W210+PVCalcs!AA210,IF('PV IN'!$F$4="Battery Only",BattCalcs!AV210+BattCalcs!BH210,PVCalcs!W210+PVCalcs!AA210+BattCalcs!AV210+BattCalcs!BH210))</f>
        <v>0</v>
      </c>
      <c r="AF210" s="10">
        <f>PVCalcs!AC210+BattCalcs!BJ210</f>
        <v>0</v>
      </c>
      <c r="AG210" s="144">
        <f>IF('PV IN'!$F$4="Battery Only",0,PVCalcs!AG210)</f>
        <v>-750</v>
      </c>
      <c r="AH210" s="144">
        <f>IF('PV IN'!$F$4="Battery Only",0,PVCalcs!AI210)</f>
        <v>0</v>
      </c>
      <c r="AI210" s="144">
        <f>IF('PV IN'!$F$4="PV Only",0,BattCalcs!BM210)</f>
        <v>0</v>
      </c>
      <c r="AJ210" s="144">
        <f>IF('PV IN'!$F$4="PV Only",0,SUM(BattCalcs!BO210:BT210))</f>
        <v>0</v>
      </c>
      <c r="AK210" s="144">
        <f>IF('PV IN'!$F$4="PV Only",PVCalcs!AH210,IF('PV IN'!$F$4="Battery Only",BattCalcs!BN210,PVCalcs!AH210+BattCalcs!BN210))</f>
        <v>-625</v>
      </c>
      <c r="AL210" s="144">
        <f>IF('PV IN'!$F$4="PV Only",0,BattCalcs!BV210)</f>
        <v>0</v>
      </c>
      <c r="AM210" s="144">
        <f>IF('PV IN'!$F$4="PV Only",0,SUM(BattCalcs!BW210:BX210))</f>
        <v>0</v>
      </c>
      <c r="AN210" s="144">
        <f>IF('PV IN'!$F$4="PV Only",0,BattCalcs!BY210)</f>
        <v>0</v>
      </c>
      <c r="AO210" s="144">
        <f>IF('PV IN'!$F$4="Battery Only",0,PVCalcs!U210)</f>
        <v>11086.506826683213</v>
      </c>
      <c r="AP210" s="10">
        <f>IF('PV IN'!$F$4="PV Only",0,BattCalcs!AS210)</f>
        <v>0</v>
      </c>
      <c r="AQ210" s="10">
        <f>IF('PV IN'!$F$4="PV Only",0,BattCalcs!AT210)</f>
        <v>0</v>
      </c>
      <c r="AR210" s="10">
        <f>IF('PV IN'!$F$4="PV Only",0,BattCalcs!AU210)</f>
        <v>0</v>
      </c>
      <c r="AS210" s="144">
        <f>IF('PV IN'!$F$4="PV Only",PVCalcs!X210,IF('PV IN'!$F$4="Battery Only",BattCalcs!AW210,PVCalcs!X210+BattCalcs!AW210))</f>
        <v>0</v>
      </c>
      <c r="AT210" s="144">
        <f>IF('PV IN'!$F$4="Battery Only",0,-PVCalcs!AQ210*'PV IN'!$E$8)</f>
        <v>0</v>
      </c>
      <c r="AU210" s="144">
        <f>IF('PV IN'!$F$4="PV Only",0,-BattCalcs!CG210*'PV IN'!$E$8)</f>
        <v>0</v>
      </c>
      <c r="AV210" s="144">
        <f>IF('PV IN'!$F$4="PV Only",PVCalcs!Z210+PVCalcs!AA210,IF('PV IN'!$F$4="Battery Only",SUM(BattCalcs!BC210:BH210),PVCalcs!Z210+PVCalcs!AA210+SUM(BattCalcs!BC210:BH210)))</f>
        <v>0</v>
      </c>
      <c r="AW210" s="144">
        <f>IF('PV IN'!$F$4="PV Only",SUM(PVCalcs!AF210:AI210),IF('PV IN'!$F$4="Battery Only",SUM(BattCalcs!BL210:BY210),SUM(PVCalcs!AF210:AI210)+SUM(BattCalcs!BL210:BY210)))</f>
        <v>-1375</v>
      </c>
      <c r="AX210" s="144">
        <f>IF('PV IN'!$F$4="Battery Only",0,-PVLoan!F238)</f>
        <v>0</v>
      </c>
      <c r="AY210" s="144">
        <f>IF('PV IN'!$F$4="PV Only",0,-BattLoan!F238)</f>
        <v>0</v>
      </c>
      <c r="AZ210" s="144">
        <f>IF('PV IN'!$F$4="Battery Only",0,-PVLoan!H238)</f>
        <v>0</v>
      </c>
      <c r="BA210" s="144">
        <f>IF('PV IN'!$F$4="PV Only",0,-BattLoan!H238)</f>
        <v>0</v>
      </c>
    </row>
    <row r="211" spans="1:88" x14ac:dyDescent="0.25">
      <c r="A211">
        <f>IF(C211&lt;='PV IN'!$O$22*12,C211,"")</f>
        <v>207</v>
      </c>
      <c r="C211">
        <v>207</v>
      </c>
      <c r="D211" s="2">
        <f>BattCalcs!CK211+PVCalcs!AT211</f>
        <v>9992.8658221320893</v>
      </c>
      <c r="E211" s="20">
        <f>PVCalcs!AV211</f>
        <v>1044904.6009017868</v>
      </c>
      <c r="F211" s="20">
        <f>PVCalcs!AW211</f>
        <v>4306.9977715975001</v>
      </c>
      <c r="G211" s="20">
        <f>PVCalcs!AX211</f>
        <v>300913.55522163166</v>
      </c>
      <c r="H211" s="20">
        <f>BattCalcs!CM211</f>
        <v>0</v>
      </c>
      <c r="I211" s="20">
        <f>BattCalcs!CN211</f>
        <v>0</v>
      </c>
      <c r="J211" s="20">
        <f>IF(C211&lt;='Batt IN'!H$43*12,BattCalcs!CO211,NA())</f>
        <v>0</v>
      </c>
      <c r="L211" s="20">
        <f t="shared" si="518"/>
        <v>4306.9977715975001</v>
      </c>
      <c r="M211" s="20">
        <f>G211+BattCalcs!CO211</f>
        <v>300913.55522163166</v>
      </c>
      <c r="O211" s="10">
        <f>PVLoan!G239</f>
        <v>0</v>
      </c>
      <c r="P211" s="10">
        <f>PVLoan!J239</f>
        <v>0</v>
      </c>
      <c r="Q211" s="2" t="str">
        <f>BattLoan!G239</f>
        <v>-</v>
      </c>
      <c r="R211" s="10" t="str">
        <f>BattLoan!J239</f>
        <v>-</v>
      </c>
      <c r="T211" s="33">
        <f>IF('PV IN'!$F$4="Battery Only",0,PVCalcs!G211)</f>
        <v>132925.05385990345</v>
      </c>
      <c r="U211" s="33">
        <f>IF('PV IN'!$F$4="Battery Only",0,PVCalcs!M211)</f>
        <v>132925.05385990345</v>
      </c>
      <c r="V211" s="33">
        <f>PVCalcs!L211</f>
        <v>25811.765833333331</v>
      </c>
      <c r="W211" s="158">
        <f>PVCalcs!F211</f>
        <v>8.3348590054429766E-2</v>
      </c>
      <c r="X211" s="144">
        <f>IF('PV IN'!$F$4="Battery Only",0,PVCalcs!Y211+PVCalcs!Z211)</f>
        <v>0</v>
      </c>
      <c r="Y211" s="144">
        <f>IF('PV IN'!$F$4="PV Only",0,BattCalcs!AX211+BattCalcs!BC211)</f>
        <v>0</v>
      </c>
      <c r="Z211" s="144">
        <f>IF('PV IN'!$F$4="PV Only",0,BattCalcs!AY211+BattCalcs!BD211)</f>
        <v>0</v>
      </c>
      <c r="AA211" s="144">
        <f>IF('PV IN'!$F$4="PV Only",0,BattCalcs!AZ211+BattCalcs!BE211)</f>
        <v>0</v>
      </c>
      <c r="AB211" s="144">
        <f>IF('PV IN'!$F$4="PV Only",0,BattCalcs!BA211+BattCalcs!BF211)</f>
        <v>0</v>
      </c>
      <c r="AC211" s="144">
        <f>IF('PV IN'!$F$4="PV Only",0,BattCalcs!BB211+BattCalcs!BG211)</f>
        <v>0</v>
      </c>
      <c r="AD211" s="144">
        <f>IF('PV IN'!$F$4="PV Only",0,BattCalcs!BU211)</f>
        <v>0</v>
      </c>
      <c r="AE211" s="144">
        <f>IF('PV IN'!$F$4="PV Only",PVCalcs!W211+PVCalcs!AA211,IF('PV IN'!$F$4="Battery Only",BattCalcs!AV211+BattCalcs!BH211,PVCalcs!W211+PVCalcs!AA211+BattCalcs!AV211+BattCalcs!BH211))</f>
        <v>0</v>
      </c>
      <c r="AF211" s="10">
        <f>PVCalcs!AC211+BattCalcs!BJ211</f>
        <v>0</v>
      </c>
      <c r="AG211" s="144">
        <f>IF('PV IN'!$F$4="Battery Only",0,PVCalcs!AG211)</f>
        <v>-750</v>
      </c>
      <c r="AH211" s="144">
        <f>IF('PV IN'!$F$4="Battery Only",0,PVCalcs!AI211)</f>
        <v>0</v>
      </c>
      <c r="AI211" s="144">
        <f>IF('PV IN'!$F$4="PV Only",0,BattCalcs!BM211)</f>
        <v>0</v>
      </c>
      <c r="AJ211" s="144">
        <f>IF('PV IN'!$F$4="PV Only",0,SUM(BattCalcs!BO211:BT211))</f>
        <v>0</v>
      </c>
      <c r="AK211" s="144">
        <f>IF('PV IN'!$F$4="PV Only",PVCalcs!AH211,IF('PV IN'!$F$4="Battery Only",BattCalcs!BN211,PVCalcs!AH211+BattCalcs!BN211))</f>
        <v>-625</v>
      </c>
      <c r="AL211" s="144">
        <f>IF('PV IN'!$F$4="PV Only",0,BattCalcs!BV211)</f>
        <v>0</v>
      </c>
      <c r="AM211" s="144">
        <f>IF('PV IN'!$F$4="PV Only",0,SUM(BattCalcs!BW211:BX211))</f>
        <v>0</v>
      </c>
      <c r="AN211" s="144">
        <f>IF('PV IN'!$F$4="PV Only",0,BattCalcs!BY211)</f>
        <v>0</v>
      </c>
      <c r="AO211" s="144">
        <f>IF('PV IN'!$F$4="Battery Only",0,PVCalcs!U211)</f>
        <v>11079.115822132089</v>
      </c>
      <c r="AP211" s="10">
        <f>IF('PV IN'!$F$4="PV Only",0,BattCalcs!AS211)</f>
        <v>0</v>
      </c>
      <c r="AQ211" s="10">
        <f>IF('PV IN'!$F$4="PV Only",0,BattCalcs!AT211)</f>
        <v>0</v>
      </c>
      <c r="AR211" s="10">
        <f>IF('PV IN'!$F$4="PV Only",0,BattCalcs!AU211)</f>
        <v>0</v>
      </c>
      <c r="AS211" s="144">
        <f>IF('PV IN'!$F$4="PV Only",PVCalcs!X211,IF('PV IN'!$F$4="Battery Only",BattCalcs!AW211,PVCalcs!X211+BattCalcs!AW211))</f>
        <v>0</v>
      </c>
      <c r="AT211" s="144">
        <f>IF('PV IN'!$F$4="Battery Only",0,-PVCalcs!AQ211*'PV IN'!$E$8)</f>
        <v>0</v>
      </c>
      <c r="AU211" s="144">
        <f>IF('PV IN'!$F$4="PV Only",0,-BattCalcs!CG211*'PV IN'!$E$8)</f>
        <v>0</v>
      </c>
      <c r="AV211" s="144">
        <f>IF('PV IN'!$F$4="PV Only",PVCalcs!Z211+PVCalcs!AA211,IF('PV IN'!$F$4="Battery Only",SUM(BattCalcs!BC211:BH211),PVCalcs!Z211+PVCalcs!AA211+SUM(BattCalcs!BC211:BH211)))</f>
        <v>0</v>
      </c>
      <c r="AW211" s="144">
        <f>IF('PV IN'!$F$4="PV Only",SUM(PVCalcs!AF211:AI211),IF('PV IN'!$F$4="Battery Only",SUM(BattCalcs!BL211:BY211),SUM(PVCalcs!AF211:AI211)+SUM(BattCalcs!BL211:BY211)))</f>
        <v>-1375</v>
      </c>
      <c r="AX211" s="144">
        <f>IF('PV IN'!$F$4="Battery Only",0,-PVLoan!F239)</f>
        <v>0</v>
      </c>
      <c r="AY211" s="144">
        <f>IF('PV IN'!$F$4="PV Only",0,-BattLoan!F239)</f>
        <v>0</v>
      </c>
      <c r="AZ211" s="144">
        <f>IF('PV IN'!$F$4="Battery Only",0,-PVLoan!H239)</f>
        <v>0</v>
      </c>
      <c r="BA211" s="144">
        <f>IF('PV IN'!$F$4="PV Only",0,-BattLoan!H239)</f>
        <v>0</v>
      </c>
    </row>
    <row r="212" spans="1:88" x14ac:dyDescent="0.25">
      <c r="A212">
        <f>IF(C212&lt;='PV IN'!$O$22*12,C212,"")</f>
        <v>208</v>
      </c>
      <c r="C212">
        <v>208</v>
      </c>
      <c r="D212" s="2">
        <f>BattCalcs!CK212+PVCalcs!AT212</f>
        <v>9985.4797449173366</v>
      </c>
      <c r="E212" s="20">
        <f>PVCalcs!AV212</f>
        <v>1054890.0806467042</v>
      </c>
      <c r="F212" s="20">
        <f>PVCalcs!AW212</f>
        <v>4286.3511933133213</v>
      </c>
      <c r="G212" s="20">
        <f>PVCalcs!AX212</f>
        <v>305199.90641494497</v>
      </c>
      <c r="H212" s="20">
        <f>BattCalcs!CM212</f>
        <v>0</v>
      </c>
      <c r="I212" s="20">
        <f>BattCalcs!CN212</f>
        <v>0</v>
      </c>
      <c r="J212" s="20">
        <f>IF(C212&lt;='Batt IN'!H$43*12,BattCalcs!CO212,NA())</f>
        <v>0</v>
      </c>
      <c r="L212" s="20">
        <f t="shared" si="518"/>
        <v>4286.3511933133213</v>
      </c>
      <c r="M212" s="20">
        <f>G212+BattCalcs!CO212</f>
        <v>305199.90641494497</v>
      </c>
      <c r="O212" s="10">
        <f>PVLoan!G240</f>
        <v>0</v>
      </c>
      <c r="P212" s="10">
        <f>PVLoan!J240</f>
        <v>0</v>
      </c>
      <c r="Q212" s="2" t="str">
        <f>BattLoan!G240</f>
        <v>-</v>
      </c>
      <c r="R212" s="10" t="str">
        <f>BattLoan!J240</f>
        <v>-</v>
      </c>
      <c r="T212" s="33">
        <f>IF('PV IN'!$F$4="Battery Only",0,PVCalcs!G212)</f>
        <v>132836.43715733019</v>
      </c>
      <c r="U212" s="33">
        <f>IF('PV IN'!$F$4="Battery Only",0,PVCalcs!M212)</f>
        <v>132836.43715733019</v>
      </c>
      <c r="V212" s="33">
        <f>PVCalcs!L212</f>
        <v>25811.765833333331</v>
      </c>
      <c r="W212" s="158">
        <f>PVCalcs!F212</f>
        <v>8.3348590054429766E-2</v>
      </c>
      <c r="X212" s="144">
        <f>IF('PV IN'!$F$4="Battery Only",0,PVCalcs!Y212+PVCalcs!Z212)</f>
        <v>0</v>
      </c>
      <c r="Y212" s="144">
        <f>IF('PV IN'!$F$4="PV Only",0,BattCalcs!AX212+BattCalcs!BC212)</f>
        <v>0</v>
      </c>
      <c r="Z212" s="144">
        <f>IF('PV IN'!$F$4="PV Only",0,BattCalcs!AY212+BattCalcs!BD212)</f>
        <v>0</v>
      </c>
      <c r="AA212" s="144">
        <f>IF('PV IN'!$F$4="PV Only",0,BattCalcs!AZ212+BattCalcs!BE212)</f>
        <v>0</v>
      </c>
      <c r="AB212" s="144">
        <f>IF('PV IN'!$F$4="PV Only",0,BattCalcs!BA212+BattCalcs!BF212)</f>
        <v>0</v>
      </c>
      <c r="AC212" s="144">
        <f>IF('PV IN'!$F$4="PV Only",0,BattCalcs!BB212+BattCalcs!BG212)</f>
        <v>0</v>
      </c>
      <c r="AD212" s="144">
        <f>IF('PV IN'!$F$4="PV Only",0,BattCalcs!BU212)</f>
        <v>0</v>
      </c>
      <c r="AE212" s="144">
        <f>IF('PV IN'!$F$4="PV Only",PVCalcs!W212+PVCalcs!AA212,IF('PV IN'!$F$4="Battery Only",BattCalcs!AV212+BattCalcs!BH212,PVCalcs!W212+PVCalcs!AA212+BattCalcs!AV212+BattCalcs!BH212))</f>
        <v>0</v>
      </c>
      <c r="AF212" s="10">
        <f>PVCalcs!AC212+BattCalcs!BJ212</f>
        <v>0</v>
      </c>
      <c r="AG212" s="144">
        <f>IF('PV IN'!$F$4="Battery Only",0,PVCalcs!AG212)</f>
        <v>-750</v>
      </c>
      <c r="AH212" s="144">
        <f>IF('PV IN'!$F$4="Battery Only",0,PVCalcs!AI212)</f>
        <v>0</v>
      </c>
      <c r="AI212" s="144">
        <f>IF('PV IN'!$F$4="PV Only",0,BattCalcs!BM212)</f>
        <v>0</v>
      </c>
      <c r="AJ212" s="144">
        <f>IF('PV IN'!$F$4="PV Only",0,SUM(BattCalcs!BO212:BT212))</f>
        <v>0</v>
      </c>
      <c r="AK212" s="144">
        <f>IF('PV IN'!$F$4="PV Only",PVCalcs!AH212,IF('PV IN'!$F$4="Battery Only",BattCalcs!BN212,PVCalcs!AH212+BattCalcs!BN212))</f>
        <v>-625</v>
      </c>
      <c r="AL212" s="144">
        <f>IF('PV IN'!$F$4="PV Only",0,BattCalcs!BV212)</f>
        <v>0</v>
      </c>
      <c r="AM212" s="144">
        <f>IF('PV IN'!$F$4="PV Only",0,SUM(BattCalcs!BW212:BX212))</f>
        <v>0</v>
      </c>
      <c r="AN212" s="144">
        <f>IF('PV IN'!$F$4="PV Only",0,BattCalcs!BY212)</f>
        <v>0</v>
      </c>
      <c r="AO212" s="144">
        <f>IF('PV IN'!$F$4="Battery Only",0,PVCalcs!U212)</f>
        <v>11071.729744917337</v>
      </c>
      <c r="AP212" s="10">
        <f>IF('PV IN'!$F$4="PV Only",0,BattCalcs!AS212)</f>
        <v>0</v>
      </c>
      <c r="AQ212" s="10">
        <f>IF('PV IN'!$F$4="PV Only",0,BattCalcs!AT212)</f>
        <v>0</v>
      </c>
      <c r="AR212" s="10">
        <f>IF('PV IN'!$F$4="PV Only",0,BattCalcs!AU212)</f>
        <v>0</v>
      </c>
      <c r="AS212" s="144">
        <f>IF('PV IN'!$F$4="PV Only",PVCalcs!X212,IF('PV IN'!$F$4="Battery Only",BattCalcs!AW212,PVCalcs!X212+BattCalcs!AW212))</f>
        <v>0</v>
      </c>
      <c r="AT212" s="144">
        <f>IF('PV IN'!$F$4="Battery Only",0,-PVCalcs!AQ212*'PV IN'!$E$8)</f>
        <v>0</v>
      </c>
      <c r="AU212" s="144">
        <f>IF('PV IN'!$F$4="PV Only",0,-BattCalcs!CG212*'PV IN'!$E$8)</f>
        <v>0</v>
      </c>
      <c r="AV212" s="144">
        <f>IF('PV IN'!$F$4="PV Only",PVCalcs!Z212+PVCalcs!AA212,IF('PV IN'!$F$4="Battery Only",SUM(BattCalcs!BC212:BH212),PVCalcs!Z212+PVCalcs!AA212+SUM(BattCalcs!BC212:BH212)))</f>
        <v>0</v>
      </c>
      <c r="AW212" s="144">
        <f>IF('PV IN'!$F$4="PV Only",SUM(PVCalcs!AF212:AI212),IF('PV IN'!$F$4="Battery Only",SUM(BattCalcs!BL212:BY212),SUM(PVCalcs!AF212:AI212)+SUM(BattCalcs!BL212:BY212)))</f>
        <v>-1375</v>
      </c>
      <c r="AX212" s="144">
        <f>IF('PV IN'!$F$4="Battery Only",0,-PVLoan!F240)</f>
        <v>0</v>
      </c>
      <c r="AY212" s="144">
        <f>IF('PV IN'!$F$4="PV Only",0,-BattLoan!F240)</f>
        <v>0</v>
      </c>
      <c r="AZ212" s="144">
        <f>IF('PV IN'!$F$4="Battery Only",0,-PVLoan!H240)</f>
        <v>0</v>
      </c>
      <c r="BA212" s="144">
        <f>IF('PV IN'!$F$4="PV Only",0,-BattLoan!H240)</f>
        <v>0</v>
      </c>
    </row>
    <row r="213" spans="1:88" x14ac:dyDescent="0.25">
      <c r="A213">
        <f>IF(C213&lt;='PV IN'!$O$22*12,C213,"")</f>
        <v>209</v>
      </c>
      <c r="C213">
        <v>209</v>
      </c>
      <c r="D213" s="2">
        <f>BattCalcs!CK213+PVCalcs!AT213</f>
        <v>9978.0985917540547</v>
      </c>
      <c r="E213" s="20">
        <f>PVCalcs!AV213</f>
        <v>1064868.1792384582</v>
      </c>
      <c r="F213" s="20">
        <f>PVCalcs!AW213</f>
        <v>4265.8033602901451</v>
      </c>
      <c r="G213" s="20">
        <f>PVCalcs!AX213</f>
        <v>309465.7097752351</v>
      </c>
      <c r="H213" s="20">
        <f>BattCalcs!CM213</f>
        <v>0</v>
      </c>
      <c r="I213" s="20">
        <f>BattCalcs!CN213</f>
        <v>0</v>
      </c>
      <c r="J213" s="20">
        <f>IF(C213&lt;='Batt IN'!H$43*12,BattCalcs!CO213,NA())</f>
        <v>0</v>
      </c>
      <c r="L213" s="20">
        <f t="shared" si="518"/>
        <v>4265.8033602901451</v>
      </c>
      <c r="M213" s="20">
        <f>G213+BattCalcs!CO213</f>
        <v>309465.7097752351</v>
      </c>
      <c r="O213" s="10">
        <f>PVLoan!G241</f>
        <v>0</v>
      </c>
      <c r="P213" s="10">
        <f>PVLoan!J241</f>
        <v>0</v>
      </c>
      <c r="Q213" s="2" t="str">
        <f>BattLoan!G241</f>
        <v>-</v>
      </c>
      <c r="R213" s="10" t="str">
        <f>BattLoan!J241</f>
        <v>-</v>
      </c>
      <c r="T213" s="33">
        <f>IF('PV IN'!$F$4="Battery Only",0,PVCalcs!G213)</f>
        <v>132747.87953255861</v>
      </c>
      <c r="U213" s="33">
        <f>IF('PV IN'!$F$4="Battery Only",0,PVCalcs!M213)</f>
        <v>132747.87953255861</v>
      </c>
      <c r="V213" s="33">
        <f>PVCalcs!L213</f>
        <v>25811.765833333331</v>
      </c>
      <c r="W213" s="158">
        <f>PVCalcs!F213</f>
        <v>8.3348590054429766E-2</v>
      </c>
      <c r="X213" s="144">
        <f>IF('PV IN'!$F$4="Battery Only",0,PVCalcs!Y213+PVCalcs!Z213)</f>
        <v>0</v>
      </c>
      <c r="Y213" s="144">
        <f>IF('PV IN'!$F$4="PV Only",0,BattCalcs!AX213+BattCalcs!BC213)</f>
        <v>0</v>
      </c>
      <c r="Z213" s="144">
        <f>IF('PV IN'!$F$4="PV Only",0,BattCalcs!AY213+BattCalcs!BD213)</f>
        <v>0</v>
      </c>
      <c r="AA213" s="144">
        <f>IF('PV IN'!$F$4="PV Only",0,BattCalcs!AZ213+BattCalcs!BE213)</f>
        <v>0</v>
      </c>
      <c r="AB213" s="144">
        <f>IF('PV IN'!$F$4="PV Only",0,BattCalcs!BA213+BattCalcs!BF213)</f>
        <v>0</v>
      </c>
      <c r="AC213" s="144">
        <f>IF('PV IN'!$F$4="PV Only",0,BattCalcs!BB213+BattCalcs!BG213)</f>
        <v>0</v>
      </c>
      <c r="AD213" s="144">
        <f>IF('PV IN'!$F$4="PV Only",0,BattCalcs!BU213)</f>
        <v>0</v>
      </c>
      <c r="AE213" s="144">
        <f>IF('PV IN'!$F$4="PV Only",PVCalcs!W213+PVCalcs!AA213,IF('PV IN'!$F$4="Battery Only",BattCalcs!AV213+BattCalcs!BH213,PVCalcs!W213+PVCalcs!AA213+BattCalcs!AV213+BattCalcs!BH213))</f>
        <v>0</v>
      </c>
      <c r="AF213" s="10">
        <f>PVCalcs!AC213+BattCalcs!BJ213</f>
        <v>0</v>
      </c>
      <c r="AG213" s="144">
        <f>IF('PV IN'!$F$4="Battery Only",0,PVCalcs!AG213)</f>
        <v>-750</v>
      </c>
      <c r="AH213" s="144">
        <f>IF('PV IN'!$F$4="Battery Only",0,PVCalcs!AI213)</f>
        <v>0</v>
      </c>
      <c r="AI213" s="144">
        <f>IF('PV IN'!$F$4="PV Only",0,BattCalcs!BM213)</f>
        <v>0</v>
      </c>
      <c r="AJ213" s="144">
        <f>IF('PV IN'!$F$4="PV Only",0,SUM(BattCalcs!BO213:BT213))</f>
        <v>0</v>
      </c>
      <c r="AK213" s="144">
        <f>IF('PV IN'!$F$4="PV Only",PVCalcs!AH213,IF('PV IN'!$F$4="Battery Only",BattCalcs!BN213,PVCalcs!AH213+BattCalcs!BN213))</f>
        <v>-625</v>
      </c>
      <c r="AL213" s="144">
        <f>IF('PV IN'!$F$4="PV Only",0,BattCalcs!BV213)</f>
        <v>0</v>
      </c>
      <c r="AM213" s="144">
        <f>IF('PV IN'!$F$4="PV Only",0,SUM(BattCalcs!BW213:BX213))</f>
        <v>0</v>
      </c>
      <c r="AN213" s="144">
        <f>IF('PV IN'!$F$4="PV Only",0,BattCalcs!BY213)</f>
        <v>0</v>
      </c>
      <c r="AO213" s="144">
        <f>IF('PV IN'!$F$4="Battery Only",0,PVCalcs!U213)</f>
        <v>11064.348591754055</v>
      </c>
      <c r="AP213" s="10">
        <f>IF('PV IN'!$F$4="PV Only",0,BattCalcs!AS213)</f>
        <v>0</v>
      </c>
      <c r="AQ213" s="10">
        <f>IF('PV IN'!$F$4="PV Only",0,BattCalcs!AT213)</f>
        <v>0</v>
      </c>
      <c r="AR213" s="10">
        <f>IF('PV IN'!$F$4="PV Only",0,BattCalcs!AU213)</f>
        <v>0</v>
      </c>
      <c r="AS213" s="144">
        <f>IF('PV IN'!$F$4="PV Only",PVCalcs!X213,IF('PV IN'!$F$4="Battery Only",BattCalcs!AW213,PVCalcs!X213+BattCalcs!AW213))</f>
        <v>0</v>
      </c>
      <c r="AT213" s="144">
        <f>IF('PV IN'!$F$4="Battery Only",0,-PVCalcs!AQ213*'PV IN'!$E$8)</f>
        <v>0</v>
      </c>
      <c r="AU213" s="144">
        <f>IF('PV IN'!$F$4="PV Only",0,-BattCalcs!CG213*'PV IN'!$E$8)</f>
        <v>0</v>
      </c>
      <c r="AV213" s="144">
        <f>IF('PV IN'!$F$4="PV Only",PVCalcs!Z213+PVCalcs!AA213,IF('PV IN'!$F$4="Battery Only",SUM(BattCalcs!BC213:BH213),PVCalcs!Z213+PVCalcs!AA213+SUM(BattCalcs!BC213:BH213)))</f>
        <v>0</v>
      </c>
      <c r="AW213" s="144">
        <f>IF('PV IN'!$F$4="PV Only",SUM(PVCalcs!AF213:AI213),IF('PV IN'!$F$4="Battery Only",SUM(BattCalcs!BL213:BY213),SUM(PVCalcs!AF213:AI213)+SUM(BattCalcs!BL213:BY213)))</f>
        <v>-1375</v>
      </c>
      <c r="AX213" s="144">
        <f>IF('PV IN'!$F$4="Battery Only",0,-PVLoan!F241)</f>
        <v>0</v>
      </c>
      <c r="AY213" s="144">
        <f>IF('PV IN'!$F$4="PV Only",0,-BattLoan!F241)</f>
        <v>0</v>
      </c>
      <c r="AZ213" s="144">
        <f>IF('PV IN'!$F$4="Battery Only",0,-PVLoan!H241)</f>
        <v>0</v>
      </c>
      <c r="BA213" s="144">
        <f>IF('PV IN'!$F$4="PV Only",0,-BattLoan!H241)</f>
        <v>0</v>
      </c>
    </row>
    <row r="214" spans="1:88" x14ac:dyDescent="0.25">
      <c r="A214">
        <f>IF(C214&lt;='PV IN'!$O$22*12,C214,"")</f>
        <v>210</v>
      </c>
      <c r="C214">
        <v>210</v>
      </c>
      <c r="D214" s="2">
        <f>BattCalcs!CK214+PVCalcs!AT214</f>
        <v>9970.7223593595518</v>
      </c>
      <c r="E214" s="20">
        <f>PVCalcs!AV214</f>
        <v>1074838.9015978177</v>
      </c>
      <c r="F214" s="20">
        <f>PVCalcs!AW214</f>
        <v>4245.3538011789378</v>
      </c>
      <c r="G214" s="20">
        <f>PVCalcs!AX214</f>
        <v>313711.06357641402</v>
      </c>
      <c r="H214" s="20">
        <f>BattCalcs!CM214</f>
        <v>0</v>
      </c>
      <c r="I214" s="20">
        <f>BattCalcs!CN214</f>
        <v>0</v>
      </c>
      <c r="J214" s="20">
        <f>IF(C214&lt;='Batt IN'!H$43*12,BattCalcs!CO214,NA())</f>
        <v>0</v>
      </c>
      <c r="L214" s="20">
        <f t="shared" si="518"/>
        <v>4245.3538011789378</v>
      </c>
      <c r="M214" s="20">
        <f>G214+BattCalcs!CO214</f>
        <v>313711.06357641402</v>
      </c>
      <c r="O214" s="10">
        <f>PVLoan!G242</f>
        <v>0</v>
      </c>
      <c r="P214" s="10">
        <f>PVLoan!J242</f>
        <v>0</v>
      </c>
      <c r="Q214" s="2" t="str">
        <f>BattLoan!G242</f>
        <v>-</v>
      </c>
      <c r="R214" s="10" t="str">
        <f>BattLoan!J242</f>
        <v>-</v>
      </c>
      <c r="T214" s="33">
        <f>IF('PV IN'!$F$4="Battery Only",0,PVCalcs!G214)</f>
        <v>132659.38094620357</v>
      </c>
      <c r="U214" s="33">
        <f>IF('PV IN'!$F$4="Battery Only",0,PVCalcs!M214)</f>
        <v>132659.38094620357</v>
      </c>
      <c r="V214" s="33">
        <f>PVCalcs!L214</f>
        <v>25811.765833333331</v>
      </c>
      <c r="W214" s="158">
        <f>PVCalcs!F214</f>
        <v>8.3348590054429766E-2</v>
      </c>
      <c r="X214" s="144">
        <f>IF('PV IN'!$F$4="Battery Only",0,PVCalcs!Y214+PVCalcs!Z214)</f>
        <v>0</v>
      </c>
      <c r="Y214" s="144">
        <f>IF('PV IN'!$F$4="PV Only",0,BattCalcs!AX214+BattCalcs!BC214)</f>
        <v>0</v>
      </c>
      <c r="Z214" s="144">
        <f>IF('PV IN'!$F$4="PV Only",0,BattCalcs!AY214+BattCalcs!BD214)</f>
        <v>0</v>
      </c>
      <c r="AA214" s="144">
        <f>IF('PV IN'!$F$4="PV Only",0,BattCalcs!AZ214+BattCalcs!BE214)</f>
        <v>0</v>
      </c>
      <c r="AB214" s="144">
        <f>IF('PV IN'!$F$4="PV Only",0,BattCalcs!BA214+BattCalcs!BF214)</f>
        <v>0</v>
      </c>
      <c r="AC214" s="144">
        <f>IF('PV IN'!$F$4="PV Only",0,BattCalcs!BB214+BattCalcs!BG214)</f>
        <v>0</v>
      </c>
      <c r="AD214" s="144">
        <f>IF('PV IN'!$F$4="PV Only",0,BattCalcs!BU214)</f>
        <v>0</v>
      </c>
      <c r="AE214" s="144">
        <f>IF('PV IN'!$F$4="PV Only",PVCalcs!W214+PVCalcs!AA214,IF('PV IN'!$F$4="Battery Only",BattCalcs!AV214+BattCalcs!BH214,PVCalcs!W214+PVCalcs!AA214+BattCalcs!AV214+BattCalcs!BH214))</f>
        <v>0</v>
      </c>
      <c r="AF214" s="10">
        <f>PVCalcs!AC214+BattCalcs!BJ214</f>
        <v>0</v>
      </c>
      <c r="AG214" s="144">
        <f>IF('PV IN'!$F$4="Battery Only",0,PVCalcs!AG214)</f>
        <v>-750</v>
      </c>
      <c r="AH214" s="144">
        <f>IF('PV IN'!$F$4="Battery Only",0,PVCalcs!AI214)</f>
        <v>0</v>
      </c>
      <c r="AI214" s="144">
        <f>IF('PV IN'!$F$4="PV Only",0,BattCalcs!BM214)</f>
        <v>0</v>
      </c>
      <c r="AJ214" s="144">
        <f>IF('PV IN'!$F$4="PV Only",0,SUM(BattCalcs!BO214:BT214))</f>
        <v>0</v>
      </c>
      <c r="AK214" s="144">
        <f>IF('PV IN'!$F$4="PV Only",PVCalcs!AH214,IF('PV IN'!$F$4="Battery Only",BattCalcs!BN214,PVCalcs!AH214+BattCalcs!BN214))</f>
        <v>-625</v>
      </c>
      <c r="AL214" s="144">
        <f>IF('PV IN'!$F$4="PV Only",0,BattCalcs!BV214)</f>
        <v>0</v>
      </c>
      <c r="AM214" s="144">
        <f>IF('PV IN'!$F$4="PV Only",0,SUM(BattCalcs!BW214:BX214))</f>
        <v>0</v>
      </c>
      <c r="AN214" s="144">
        <f>IF('PV IN'!$F$4="PV Only",0,BattCalcs!BY214)</f>
        <v>0</v>
      </c>
      <c r="AO214" s="144">
        <f>IF('PV IN'!$F$4="Battery Only",0,PVCalcs!U214)</f>
        <v>11056.972359359552</v>
      </c>
      <c r="AP214" s="10">
        <f>IF('PV IN'!$F$4="PV Only",0,BattCalcs!AS214)</f>
        <v>0</v>
      </c>
      <c r="AQ214" s="10">
        <f>IF('PV IN'!$F$4="PV Only",0,BattCalcs!AT214)</f>
        <v>0</v>
      </c>
      <c r="AR214" s="10">
        <f>IF('PV IN'!$F$4="PV Only",0,BattCalcs!AU214)</f>
        <v>0</v>
      </c>
      <c r="AS214" s="144">
        <f>IF('PV IN'!$F$4="PV Only",PVCalcs!X214,IF('PV IN'!$F$4="Battery Only",BattCalcs!AW214,PVCalcs!X214+BattCalcs!AW214))</f>
        <v>0</v>
      </c>
      <c r="AT214" s="144">
        <f>IF('PV IN'!$F$4="Battery Only",0,-PVCalcs!AQ214*'PV IN'!$E$8)</f>
        <v>0</v>
      </c>
      <c r="AU214" s="144">
        <f>IF('PV IN'!$F$4="PV Only",0,-BattCalcs!CG214*'PV IN'!$E$8)</f>
        <v>0</v>
      </c>
      <c r="AV214" s="144">
        <f>IF('PV IN'!$F$4="PV Only",PVCalcs!Z214+PVCalcs!AA214,IF('PV IN'!$F$4="Battery Only",SUM(BattCalcs!BC214:BH214),PVCalcs!Z214+PVCalcs!AA214+SUM(BattCalcs!BC214:BH214)))</f>
        <v>0</v>
      </c>
      <c r="AW214" s="144">
        <f>IF('PV IN'!$F$4="PV Only",SUM(PVCalcs!AF214:AI214),IF('PV IN'!$F$4="Battery Only",SUM(BattCalcs!BL214:BY214),SUM(PVCalcs!AF214:AI214)+SUM(BattCalcs!BL214:BY214)))</f>
        <v>-1375</v>
      </c>
      <c r="AX214" s="144">
        <f>IF('PV IN'!$F$4="Battery Only",0,-PVLoan!F242)</f>
        <v>0</v>
      </c>
      <c r="AY214" s="144">
        <f>IF('PV IN'!$F$4="PV Only",0,-BattLoan!F242)</f>
        <v>0</v>
      </c>
      <c r="AZ214" s="144">
        <f>IF('PV IN'!$F$4="Battery Only",0,-PVLoan!H242)</f>
        <v>0</v>
      </c>
      <c r="BA214" s="144">
        <f>IF('PV IN'!$F$4="PV Only",0,-BattLoan!H242)</f>
        <v>0</v>
      </c>
    </row>
    <row r="215" spans="1:88" x14ac:dyDescent="0.25">
      <c r="A215">
        <f>IF(C215&lt;='PV IN'!$O$22*12,C215,"")</f>
        <v>211</v>
      </c>
      <c r="C215">
        <v>211</v>
      </c>
      <c r="D215" s="2">
        <f>BattCalcs!CK215+PVCalcs!AT215</f>
        <v>9963.3510444533131</v>
      </c>
      <c r="E215" s="20">
        <f>PVCalcs!AV215</f>
        <v>1084802.2526422709</v>
      </c>
      <c r="F215" s="20">
        <f>PVCalcs!AW215</f>
        <v>4225.0020468769308</v>
      </c>
      <c r="G215" s="20">
        <f>PVCalcs!AX215</f>
        <v>317936.06562329095</v>
      </c>
      <c r="H215" s="20">
        <f>BattCalcs!CM215</f>
        <v>0</v>
      </c>
      <c r="I215" s="20">
        <f>BattCalcs!CN215</f>
        <v>0</v>
      </c>
      <c r="J215" s="20">
        <f>IF(C215&lt;='Batt IN'!H$43*12,BattCalcs!CO215,NA())</f>
        <v>0</v>
      </c>
      <c r="L215" s="20">
        <f t="shared" si="518"/>
        <v>4225.0020468769308</v>
      </c>
      <c r="M215" s="20">
        <f>G215+BattCalcs!CO215</f>
        <v>317936.06562329095</v>
      </c>
      <c r="O215" s="10">
        <f>PVLoan!G243</f>
        <v>0</v>
      </c>
      <c r="P215" s="10">
        <f>PVLoan!J243</f>
        <v>0</v>
      </c>
      <c r="Q215" s="2" t="str">
        <f>BattLoan!G243</f>
        <v>-</v>
      </c>
      <c r="R215" s="10" t="str">
        <f>BattLoan!J243</f>
        <v>-</v>
      </c>
      <c r="T215" s="33">
        <f>IF('PV IN'!$F$4="Battery Only",0,PVCalcs!G215)</f>
        <v>132570.9413589061</v>
      </c>
      <c r="U215" s="33">
        <f>IF('PV IN'!$F$4="Battery Only",0,PVCalcs!M215)</f>
        <v>132570.9413589061</v>
      </c>
      <c r="V215" s="33">
        <f>PVCalcs!L215</f>
        <v>25811.765833333331</v>
      </c>
      <c r="W215" s="158">
        <f>PVCalcs!F215</f>
        <v>8.3348590054429766E-2</v>
      </c>
      <c r="X215" s="144">
        <f>IF('PV IN'!$F$4="Battery Only",0,PVCalcs!Y215+PVCalcs!Z215)</f>
        <v>0</v>
      </c>
      <c r="Y215" s="144">
        <f>IF('PV IN'!$F$4="PV Only",0,BattCalcs!AX215+BattCalcs!BC215)</f>
        <v>0</v>
      </c>
      <c r="Z215" s="144">
        <f>IF('PV IN'!$F$4="PV Only",0,BattCalcs!AY215+BattCalcs!BD215)</f>
        <v>0</v>
      </c>
      <c r="AA215" s="144">
        <f>IF('PV IN'!$F$4="PV Only",0,BattCalcs!AZ215+BattCalcs!BE215)</f>
        <v>0</v>
      </c>
      <c r="AB215" s="144">
        <f>IF('PV IN'!$F$4="PV Only",0,BattCalcs!BA215+BattCalcs!BF215)</f>
        <v>0</v>
      </c>
      <c r="AC215" s="144">
        <f>IF('PV IN'!$F$4="PV Only",0,BattCalcs!BB215+BattCalcs!BG215)</f>
        <v>0</v>
      </c>
      <c r="AD215" s="144">
        <f>IF('PV IN'!$F$4="PV Only",0,BattCalcs!BU215)</f>
        <v>0</v>
      </c>
      <c r="AE215" s="144">
        <f>IF('PV IN'!$F$4="PV Only",PVCalcs!W215+PVCalcs!AA215,IF('PV IN'!$F$4="Battery Only",BattCalcs!AV215+BattCalcs!BH215,PVCalcs!W215+PVCalcs!AA215+BattCalcs!AV215+BattCalcs!BH215))</f>
        <v>0</v>
      </c>
      <c r="AF215" s="10">
        <f>PVCalcs!AC215+BattCalcs!BJ215</f>
        <v>0</v>
      </c>
      <c r="AG215" s="144">
        <f>IF('PV IN'!$F$4="Battery Only",0,PVCalcs!AG215)</f>
        <v>-750</v>
      </c>
      <c r="AH215" s="144">
        <f>IF('PV IN'!$F$4="Battery Only",0,PVCalcs!AI215)</f>
        <v>0</v>
      </c>
      <c r="AI215" s="144">
        <f>IF('PV IN'!$F$4="PV Only",0,BattCalcs!BM215)</f>
        <v>0</v>
      </c>
      <c r="AJ215" s="144">
        <f>IF('PV IN'!$F$4="PV Only",0,SUM(BattCalcs!BO215:BT215))</f>
        <v>0</v>
      </c>
      <c r="AK215" s="144">
        <f>IF('PV IN'!$F$4="PV Only",PVCalcs!AH215,IF('PV IN'!$F$4="Battery Only",BattCalcs!BN215,PVCalcs!AH215+BattCalcs!BN215))</f>
        <v>-625</v>
      </c>
      <c r="AL215" s="144">
        <f>IF('PV IN'!$F$4="PV Only",0,BattCalcs!BV215)</f>
        <v>0</v>
      </c>
      <c r="AM215" s="144">
        <f>IF('PV IN'!$F$4="PV Only",0,SUM(BattCalcs!BW215:BX215))</f>
        <v>0</v>
      </c>
      <c r="AN215" s="144">
        <f>IF('PV IN'!$F$4="PV Only",0,BattCalcs!BY215)</f>
        <v>0</v>
      </c>
      <c r="AO215" s="144">
        <f>IF('PV IN'!$F$4="Battery Only",0,PVCalcs!U215)</f>
        <v>11049.601044453313</v>
      </c>
      <c r="AP215" s="10">
        <f>IF('PV IN'!$F$4="PV Only",0,BattCalcs!AS215)</f>
        <v>0</v>
      </c>
      <c r="AQ215" s="10">
        <f>IF('PV IN'!$F$4="PV Only",0,BattCalcs!AT215)</f>
        <v>0</v>
      </c>
      <c r="AR215" s="10">
        <f>IF('PV IN'!$F$4="PV Only",0,BattCalcs!AU215)</f>
        <v>0</v>
      </c>
      <c r="AS215" s="144">
        <f>IF('PV IN'!$F$4="PV Only",PVCalcs!X215,IF('PV IN'!$F$4="Battery Only",BattCalcs!AW215,PVCalcs!X215+BattCalcs!AW215))</f>
        <v>0</v>
      </c>
      <c r="AT215" s="144">
        <f>IF('PV IN'!$F$4="Battery Only",0,-PVCalcs!AQ215*'PV IN'!$E$8)</f>
        <v>0</v>
      </c>
      <c r="AU215" s="144">
        <f>IF('PV IN'!$F$4="PV Only",0,-BattCalcs!CG215*'PV IN'!$E$8)</f>
        <v>0</v>
      </c>
      <c r="AV215" s="144">
        <f>IF('PV IN'!$F$4="PV Only",PVCalcs!Z215+PVCalcs!AA215,IF('PV IN'!$F$4="Battery Only",SUM(BattCalcs!BC215:BH215),PVCalcs!Z215+PVCalcs!AA215+SUM(BattCalcs!BC215:BH215)))</f>
        <v>0</v>
      </c>
      <c r="AW215" s="144">
        <f>IF('PV IN'!$F$4="PV Only",SUM(PVCalcs!AF215:AI215),IF('PV IN'!$F$4="Battery Only",SUM(BattCalcs!BL215:BY215),SUM(PVCalcs!AF215:AI215)+SUM(BattCalcs!BL215:BY215)))</f>
        <v>-1375</v>
      </c>
      <c r="AX215" s="144">
        <f>IF('PV IN'!$F$4="Battery Only",0,-PVLoan!F243)</f>
        <v>0</v>
      </c>
      <c r="AY215" s="144">
        <f>IF('PV IN'!$F$4="PV Only",0,-BattLoan!F243)</f>
        <v>0</v>
      </c>
      <c r="AZ215" s="144">
        <f>IF('PV IN'!$F$4="Battery Only",0,-PVLoan!H243)</f>
        <v>0</v>
      </c>
      <c r="BA215" s="144">
        <f>IF('PV IN'!$F$4="PV Only",0,-BattLoan!H243)</f>
        <v>0</v>
      </c>
    </row>
    <row r="216" spans="1:88" x14ac:dyDescent="0.25">
      <c r="A216">
        <f>IF(C216&lt;='PV IN'!$O$22*12,C216,"")</f>
        <v>212</v>
      </c>
      <c r="C216">
        <v>212</v>
      </c>
      <c r="D216" s="2">
        <f>BattCalcs!CK216+PVCalcs!AT216</f>
        <v>9955.9846437570122</v>
      </c>
      <c r="E216" s="20">
        <f>PVCalcs!AV216</f>
        <v>1094758.237286028</v>
      </c>
      <c r="F216" s="20">
        <f>PVCalcs!AW216</f>
        <v>4204.7476305169293</v>
      </c>
      <c r="G216" s="20">
        <f>PVCalcs!AX216</f>
        <v>322140.81325380789</v>
      </c>
      <c r="H216" s="20">
        <f>BattCalcs!CM216</f>
        <v>0</v>
      </c>
      <c r="I216" s="20">
        <f>BattCalcs!CN216</f>
        <v>0</v>
      </c>
      <c r="J216" s="20">
        <f>IF(C216&lt;='Batt IN'!H$43*12,BattCalcs!CO216,NA())</f>
        <v>0</v>
      </c>
      <c r="L216" s="20">
        <f t="shared" si="518"/>
        <v>4204.7476305169293</v>
      </c>
      <c r="M216" s="20">
        <f>G216+BattCalcs!CO216</f>
        <v>322140.81325380789</v>
      </c>
      <c r="O216" s="10">
        <f>PVLoan!G244</f>
        <v>0</v>
      </c>
      <c r="P216" s="10">
        <f>PVLoan!J244</f>
        <v>0</v>
      </c>
      <c r="Q216" s="2" t="str">
        <f>BattLoan!G244</f>
        <v>-</v>
      </c>
      <c r="R216" s="10" t="str">
        <f>BattLoan!J244</f>
        <v>-</v>
      </c>
      <c r="T216" s="33">
        <f>IF('PV IN'!$F$4="Battery Only",0,PVCalcs!G216)</f>
        <v>132482.56073133351</v>
      </c>
      <c r="U216" s="33">
        <f>IF('PV IN'!$F$4="Battery Only",0,PVCalcs!M216)</f>
        <v>132482.56073133351</v>
      </c>
      <c r="V216" s="33">
        <f>PVCalcs!L216</f>
        <v>25811.765833333331</v>
      </c>
      <c r="W216" s="158">
        <f>PVCalcs!F216</f>
        <v>8.3348590054429766E-2</v>
      </c>
      <c r="X216" s="144">
        <f>IF('PV IN'!$F$4="Battery Only",0,PVCalcs!Y216+PVCalcs!Z216)</f>
        <v>0</v>
      </c>
      <c r="Y216" s="144">
        <f>IF('PV IN'!$F$4="PV Only",0,BattCalcs!AX216+BattCalcs!BC216)</f>
        <v>0</v>
      </c>
      <c r="Z216" s="144">
        <f>IF('PV IN'!$F$4="PV Only",0,BattCalcs!AY216+BattCalcs!BD216)</f>
        <v>0</v>
      </c>
      <c r="AA216" s="144">
        <f>IF('PV IN'!$F$4="PV Only",0,BattCalcs!AZ216+BattCalcs!BE216)</f>
        <v>0</v>
      </c>
      <c r="AB216" s="144">
        <f>IF('PV IN'!$F$4="PV Only",0,BattCalcs!BA216+BattCalcs!BF216)</f>
        <v>0</v>
      </c>
      <c r="AC216" s="144">
        <f>IF('PV IN'!$F$4="PV Only",0,BattCalcs!BB216+BattCalcs!BG216)</f>
        <v>0</v>
      </c>
      <c r="AD216" s="144">
        <f>IF('PV IN'!$F$4="PV Only",0,BattCalcs!BU216)</f>
        <v>0</v>
      </c>
      <c r="AE216" s="144">
        <f>IF('PV IN'!$F$4="PV Only",PVCalcs!W216+PVCalcs!AA216,IF('PV IN'!$F$4="Battery Only",BattCalcs!AV216+BattCalcs!BH216,PVCalcs!W216+PVCalcs!AA216+BattCalcs!AV216+BattCalcs!BH216))</f>
        <v>0</v>
      </c>
      <c r="AF216" s="10">
        <f>PVCalcs!AC216+BattCalcs!BJ216</f>
        <v>0</v>
      </c>
      <c r="AG216" s="144">
        <f>IF('PV IN'!$F$4="Battery Only",0,PVCalcs!AG216)</f>
        <v>-750</v>
      </c>
      <c r="AH216" s="144">
        <f>IF('PV IN'!$F$4="Battery Only",0,PVCalcs!AI216)</f>
        <v>0</v>
      </c>
      <c r="AI216" s="144">
        <f>IF('PV IN'!$F$4="PV Only",0,BattCalcs!BM216)</f>
        <v>0</v>
      </c>
      <c r="AJ216" s="144">
        <f>IF('PV IN'!$F$4="PV Only",0,SUM(BattCalcs!BO216:BT216))</f>
        <v>0</v>
      </c>
      <c r="AK216" s="144">
        <f>IF('PV IN'!$F$4="PV Only",PVCalcs!AH216,IF('PV IN'!$F$4="Battery Only",BattCalcs!BN216,PVCalcs!AH216+BattCalcs!BN216))</f>
        <v>-625</v>
      </c>
      <c r="AL216" s="144">
        <f>IF('PV IN'!$F$4="PV Only",0,BattCalcs!BV216)</f>
        <v>0</v>
      </c>
      <c r="AM216" s="144">
        <f>IF('PV IN'!$F$4="PV Only",0,SUM(BattCalcs!BW216:BX216))</f>
        <v>0</v>
      </c>
      <c r="AN216" s="144">
        <f>IF('PV IN'!$F$4="PV Only",0,BattCalcs!BY216)</f>
        <v>0</v>
      </c>
      <c r="AO216" s="144">
        <f>IF('PV IN'!$F$4="Battery Only",0,PVCalcs!U216)</f>
        <v>11042.234643757012</v>
      </c>
      <c r="AP216" s="10">
        <f>IF('PV IN'!$F$4="PV Only",0,BattCalcs!AS216)</f>
        <v>0</v>
      </c>
      <c r="AQ216" s="10">
        <f>IF('PV IN'!$F$4="PV Only",0,BattCalcs!AT216)</f>
        <v>0</v>
      </c>
      <c r="AR216" s="10">
        <f>IF('PV IN'!$F$4="PV Only",0,BattCalcs!AU216)</f>
        <v>0</v>
      </c>
      <c r="AS216" s="144">
        <f>IF('PV IN'!$F$4="PV Only",PVCalcs!X216,IF('PV IN'!$F$4="Battery Only",BattCalcs!AW216,PVCalcs!X216+BattCalcs!AW216))</f>
        <v>0</v>
      </c>
      <c r="AT216" s="144">
        <f>IF('PV IN'!$F$4="Battery Only",0,-PVCalcs!AQ216*'PV IN'!$E$8)</f>
        <v>0</v>
      </c>
      <c r="AU216" s="144">
        <f>IF('PV IN'!$F$4="PV Only",0,-BattCalcs!CG216*'PV IN'!$E$8)</f>
        <v>0</v>
      </c>
      <c r="AV216" s="144">
        <f>IF('PV IN'!$F$4="PV Only",PVCalcs!Z216+PVCalcs!AA216,IF('PV IN'!$F$4="Battery Only",SUM(BattCalcs!BC216:BH216),PVCalcs!Z216+PVCalcs!AA216+SUM(BattCalcs!BC216:BH216)))</f>
        <v>0</v>
      </c>
      <c r="AW216" s="144">
        <f>IF('PV IN'!$F$4="PV Only",SUM(PVCalcs!AF216:AI216),IF('PV IN'!$F$4="Battery Only",SUM(BattCalcs!BL216:BY216),SUM(PVCalcs!AF216:AI216)+SUM(BattCalcs!BL216:BY216)))</f>
        <v>-1375</v>
      </c>
      <c r="AX216" s="144">
        <f>IF('PV IN'!$F$4="Battery Only",0,-PVLoan!F244)</f>
        <v>0</v>
      </c>
      <c r="AY216" s="144">
        <f>IF('PV IN'!$F$4="PV Only",0,-BattLoan!F244)</f>
        <v>0</v>
      </c>
      <c r="AZ216" s="144">
        <f>IF('PV IN'!$F$4="Battery Only",0,-PVLoan!H244)</f>
        <v>0</v>
      </c>
      <c r="BA216" s="144">
        <f>IF('PV IN'!$F$4="PV Only",0,-BattLoan!H244)</f>
        <v>0</v>
      </c>
    </row>
    <row r="217" spans="1:88" x14ac:dyDescent="0.25">
      <c r="A217">
        <f>IF(C217&lt;='PV IN'!$O$22*12,C217,"")</f>
        <v>213</v>
      </c>
      <c r="C217">
        <v>213</v>
      </c>
      <c r="D217" s="2">
        <f>BattCalcs!CK217+PVCalcs!AT217</f>
        <v>9948.6231539945074</v>
      </c>
      <c r="E217" s="20">
        <f>PVCalcs!AV217</f>
        <v>1104706.8604400225</v>
      </c>
      <c r="F217" s="20">
        <f>PVCalcs!AW217</f>
        <v>4184.5900874566778</v>
      </c>
      <c r="G217" s="20">
        <f>PVCalcs!AX217</f>
        <v>326325.40334126458</v>
      </c>
      <c r="H217" s="20">
        <f>BattCalcs!CM217</f>
        <v>0</v>
      </c>
      <c r="I217" s="20">
        <f>BattCalcs!CN217</f>
        <v>0</v>
      </c>
      <c r="J217" s="20">
        <f>IF(C217&lt;='Batt IN'!H$43*12,BattCalcs!CO217,NA())</f>
        <v>0</v>
      </c>
      <c r="L217" s="20">
        <f t="shared" si="518"/>
        <v>4184.5900874566778</v>
      </c>
      <c r="M217" s="20">
        <f>G217+BattCalcs!CO217</f>
        <v>326325.40334126458</v>
      </c>
      <c r="O217" s="10">
        <f>PVLoan!G245</f>
        <v>0</v>
      </c>
      <c r="P217" s="10">
        <f>PVLoan!J245</f>
        <v>0</v>
      </c>
      <c r="Q217" s="2" t="str">
        <f>BattLoan!G245</f>
        <v>-</v>
      </c>
      <c r="R217" s="10" t="str">
        <f>BattLoan!J245</f>
        <v>-</v>
      </c>
      <c r="T217" s="33">
        <f>IF('PV IN'!$F$4="Battery Only",0,PVCalcs!G217)</f>
        <v>132394.23902417929</v>
      </c>
      <c r="U217" s="33">
        <f>IF('PV IN'!$F$4="Battery Only",0,PVCalcs!M217)</f>
        <v>132394.23902417929</v>
      </c>
      <c r="V217" s="33">
        <f>PVCalcs!L217</f>
        <v>25811.765833333331</v>
      </c>
      <c r="W217" s="158">
        <f>PVCalcs!F217</f>
        <v>8.3348590054429766E-2</v>
      </c>
      <c r="X217" s="144">
        <f>IF('PV IN'!$F$4="Battery Only",0,PVCalcs!Y217+PVCalcs!Z217)</f>
        <v>0</v>
      </c>
      <c r="Y217" s="144">
        <f>IF('PV IN'!$F$4="PV Only",0,BattCalcs!AX217+BattCalcs!BC217)</f>
        <v>0</v>
      </c>
      <c r="Z217" s="144">
        <f>IF('PV IN'!$F$4="PV Only",0,BattCalcs!AY217+BattCalcs!BD217)</f>
        <v>0</v>
      </c>
      <c r="AA217" s="144">
        <f>IF('PV IN'!$F$4="PV Only",0,BattCalcs!AZ217+BattCalcs!BE217)</f>
        <v>0</v>
      </c>
      <c r="AB217" s="144">
        <f>IF('PV IN'!$F$4="PV Only",0,BattCalcs!BA217+BattCalcs!BF217)</f>
        <v>0</v>
      </c>
      <c r="AC217" s="144">
        <f>IF('PV IN'!$F$4="PV Only",0,BattCalcs!BB217+BattCalcs!BG217)</f>
        <v>0</v>
      </c>
      <c r="AD217" s="144">
        <f>IF('PV IN'!$F$4="PV Only",0,BattCalcs!BU217)</f>
        <v>0</v>
      </c>
      <c r="AE217" s="144">
        <f>IF('PV IN'!$F$4="PV Only",PVCalcs!W217+PVCalcs!AA217,IF('PV IN'!$F$4="Battery Only",BattCalcs!AV217+BattCalcs!BH217,PVCalcs!W217+PVCalcs!AA217+BattCalcs!AV217+BattCalcs!BH217))</f>
        <v>0</v>
      </c>
      <c r="AF217" s="10">
        <f>PVCalcs!AC217+BattCalcs!BJ217</f>
        <v>0</v>
      </c>
      <c r="AG217" s="144">
        <f>IF('PV IN'!$F$4="Battery Only",0,PVCalcs!AG217)</f>
        <v>-750</v>
      </c>
      <c r="AH217" s="144">
        <f>IF('PV IN'!$F$4="Battery Only",0,PVCalcs!AI217)</f>
        <v>0</v>
      </c>
      <c r="AI217" s="144">
        <f>IF('PV IN'!$F$4="PV Only",0,BattCalcs!BM217)</f>
        <v>0</v>
      </c>
      <c r="AJ217" s="144">
        <f>IF('PV IN'!$F$4="PV Only",0,SUM(BattCalcs!BO217:BT217))</f>
        <v>0</v>
      </c>
      <c r="AK217" s="144">
        <f>IF('PV IN'!$F$4="PV Only",PVCalcs!AH217,IF('PV IN'!$F$4="Battery Only",BattCalcs!BN217,PVCalcs!AH217+BattCalcs!BN217))</f>
        <v>-625</v>
      </c>
      <c r="AL217" s="144">
        <f>IF('PV IN'!$F$4="PV Only",0,BattCalcs!BV217)</f>
        <v>0</v>
      </c>
      <c r="AM217" s="144">
        <f>IF('PV IN'!$F$4="PV Only",0,SUM(BattCalcs!BW217:BX217))</f>
        <v>0</v>
      </c>
      <c r="AN217" s="144">
        <f>IF('PV IN'!$F$4="PV Only",0,BattCalcs!BY217)</f>
        <v>0</v>
      </c>
      <c r="AO217" s="144">
        <f>IF('PV IN'!$F$4="Battery Only",0,PVCalcs!U217)</f>
        <v>11034.873153994507</v>
      </c>
      <c r="AP217" s="10">
        <f>IF('PV IN'!$F$4="PV Only",0,BattCalcs!AS217)</f>
        <v>0</v>
      </c>
      <c r="AQ217" s="10">
        <f>IF('PV IN'!$F$4="PV Only",0,BattCalcs!AT217)</f>
        <v>0</v>
      </c>
      <c r="AR217" s="10">
        <f>IF('PV IN'!$F$4="PV Only",0,BattCalcs!AU217)</f>
        <v>0</v>
      </c>
      <c r="AS217" s="144">
        <f>IF('PV IN'!$F$4="PV Only",PVCalcs!X217,IF('PV IN'!$F$4="Battery Only",BattCalcs!AW217,PVCalcs!X217+BattCalcs!AW217))</f>
        <v>0</v>
      </c>
      <c r="AT217" s="144">
        <f>IF('PV IN'!$F$4="Battery Only",0,-PVCalcs!AQ217*'PV IN'!$E$8)</f>
        <v>0</v>
      </c>
      <c r="AU217" s="144">
        <f>IF('PV IN'!$F$4="PV Only",0,-BattCalcs!CG217*'PV IN'!$E$8)</f>
        <v>0</v>
      </c>
      <c r="AV217" s="144">
        <f>IF('PV IN'!$F$4="PV Only",PVCalcs!Z217+PVCalcs!AA217,IF('PV IN'!$F$4="Battery Only",SUM(BattCalcs!BC217:BH217),PVCalcs!Z217+PVCalcs!AA217+SUM(BattCalcs!BC217:BH217)))</f>
        <v>0</v>
      </c>
      <c r="AW217" s="144">
        <f>IF('PV IN'!$F$4="PV Only",SUM(PVCalcs!AF217:AI217),IF('PV IN'!$F$4="Battery Only",SUM(BattCalcs!BL217:BY217),SUM(PVCalcs!AF217:AI217)+SUM(BattCalcs!BL217:BY217)))</f>
        <v>-1375</v>
      </c>
      <c r="AX217" s="144">
        <f>IF('PV IN'!$F$4="Battery Only",0,-PVLoan!F245)</f>
        <v>0</v>
      </c>
      <c r="AY217" s="144">
        <f>IF('PV IN'!$F$4="PV Only",0,-BattLoan!F245)</f>
        <v>0</v>
      </c>
      <c r="AZ217" s="144">
        <f>IF('PV IN'!$F$4="Battery Only",0,-PVLoan!H245)</f>
        <v>0</v>
      </c>
      <c r="BA217" s="144">
        <f>IF('PV IN'!$F$4="PV Only",0,-BattLoan!H245)</f>
        <v>0</v>
      </c>
    </row>
    <row r="218" spans="1:88" x14ac:dyDescent="0.25">
      <c r="A218">
        <f>IF(C218&lt;='PV IN'!$O$22*12,C218,"")</f>
        <v>214</v>
      </c>
      <c r="C218">
        <v>214</v>
      </c>
      <c r="D218" s="2">
        <f>BattCalcs!CK218+PVCalcs!AT218</f>
        <v>9941.2665718918415</v>
      </c>
      <c r="E218" s="20">
        <f>PVCalcs!AV218</f>
        <v>1114648.1270119143</v>
      </c>
      <c r="F218" s="20">
        <f>PVCalcs!AW218</f>
        <v>4164.528955268268</v>
      </c>
      <c r="G218" s="20">
        <f>PVCalcs!AX218</f>
        <v>330489.93229653285</v>
      </c>
      <c r="H218" s="20">
        <f>BattCalcs!CM218</f>
        <v>0</v>
      </c>
      <c r="I218" s="20">
        <f>BattCalcs!CN218</f>
        <v>0</v>
      </c>
      <c r="J218" s="20">
        <f>IF(C218&lt;='Batt IN'!H$43*12,BattCalcs!CO218,NA())</f>
        <v>0</v>
      </c>
      <c r="L218" s="20">
        <f t="shared" si="518"/>
        <v>4164.528955268268</v>
      </c>
      <c r="M218" s="20">
        <f>G218+BattCalcs!CO218</f>
        <v>330489.93229653285</v>
      </c>
      <c r="O218" s="10">
        <f>PVLoan!G246</f>
        <v>0</v>
      </c>
      <c r="P218" s="10">
        <f>PVLoan!J246</f>
        <v>0</v>
      </c>
      <c r="Q218" s="2" t="str">
        <f>BattLoan!G246</f>
        <v>-</v>
      </c>
      <c r="R218" s="10" t="str">
        <f>BattLoan!J246</f>
        <v>-</v>
      </c>
      <c r="T218" s="33">
        <f>IF('PV IN'!$F$4="Battery Only",0,PVCalcs!G218)</f>
        <v>132305.97619816315</v>
      </c>
      <c r="U218" s="33">
        <f>IF('PV IN'!$F$4="Battery Only",0,PVCalcs!M218)</f>
        <v>132305.97619816315</v>
      </c>
      <c r="V218" s="33">
        <f>PVCalcs!L218</f>
        <v>25811.765833333331</v>
      </c>
      <c r="W218" s="158">
        <f>PVCalcs!F218</f>
        <v>8.3348590054429766E-2</v>
      </c>
      <c r="X218" s="144">
        <f>IF('PV IN'!$F$4="Battery Only",0,PVCalcs!Y218+PVCalcs!Z218)</f>
        <v>0</v>
      </c>
      <c r="Y218" s="144">
        <f>IF('PV IN'!$F$4="PV Only",0,BattCalcs!AX218+BattCalcs!BC218)</f>
        <v>0</v>
      </c>
      <c r="Z218" s="144">
        <f>IF('PV IN'!$F$4="PV Only",0,BattCalcs!AY218+BattCalcs!BD218)</f>
        <v>0</v>
      </c>
      <c r="AA218" s="144">
        <f>IF('PV IN'!$F$4="PV Only",0,BattCalcs!AZ218+BattCalcs!BE218)</f>
        <v>0</v>
      </c>
      <c r="AB218" s="144">
        <f>IF('PV IN'!$F$4="PV Only",0,BattCalcs!BA218+BattCalcs!BF218)</f>
        <v>0</v>
      </c>
      <c r="AC218" s="144">
        <f>IF('PV IN'!$F$4="PV Only",0,BattCalcs!BB218+BattCalcs!BG218)</f>
        <v>0</v>
      </c>
      <c r="AD218" s="144">
        <f>IF('PV IN'!$F$4="PV Only",0,BattCalcs!BU218)</f>
        <v>0</v>
      </c>
      <c r="AE218" s="144">
        <f>IF('PV IN'!$F$4="PV Only",PVCalcs!W218+PVCalcs!AA218,IF('PV IN'!$F$4="Battery Only",BattCalcs!AV218+BattCalcs!BH218,PVCalcs!W218+PVCalcs!AA218+BattCalcs!AV218+BattCalcs!BH218))</f>
        <v>0</v>
      </c>
      <c r="AF218" s="10">
        <f>PVCalcs!AC218+BattCalcs!BJ218</f>
        <v>0</v>
      </c>
      <c r="AG218" s="144">
        <f>IF('PV IN'!$F$4="Battery Only",0,PVCalcs!AG218)</f>
        <v>-750</v>
      </c>
      <c r="AH218" s="144">
        <f>IF('PV IN'!$F$4="Battery Only",0,PVCalcs!AI218)</f>
        <v>0</v>
      </c>
      <c r="AI218" s="144">
        <f>IF('PV IN'!$F$4="PV Only",0,BattCalcs!BM218)</f>
        <v>0</v>
      </c>
      <c r="AJ218" s="144">
        <f>IF('PV IN'!$F$4="PV Only",0,SUM(BattCalcs!BO218:BT218))</f>
        <v>0</v>
      </c>
      <c r="AK218" s="144">
        <f>IF('PV IN'!$F$4="PV Only",PVCalcs!AH218,IF('PV IN'!$F$4="Battery Only",BattCalcs!BN218,PVCalcs!AH218+BattCalcs!BN218))</f>
        <v>-625</v>
      </c>
      <c r="AL218" s="144">
        <f>IF('PV IN'!$F$4="PV Only",0,BattCalcs!BV218)</f>
        <v>0</v>
      </c>
      <c r="AM218" s="144">
        <f>IF('PV IN'!$F$4="PV Only",0,SUM(BattCalcs!BW218:BX218))</f>
        <v>0</v>
      </c>
      <c r="AN218" s="144">
        <f>IF('PV IN'!$F$4="PV Only",0,BattCalcs!BY218)</f>
        <v>0</v>
      </c>
      <c r="AO218" s="144">
        <f>IF('PV IN'!$F$4="Battery Only",0,PVCalcs!U218)</f>
        <v>11027.516571891842</v>
      </c>
      <c r="AP218" s="10">
        <f>IF('PV IN'!$F$4="PV Only",0,BattCalcs!AS218)</f>
        <v>0</v>
      </c>
      <c r="AQ218" s="10">
        <f>IF('PV IN'!$F$4="PV Only",0,BattCalcs!AT218)</f>
        <v>0</v>
      </c>
      <c r="AR218" s="10">
        <f>IF('PV IN'!$F$4="PV Only",0,BattCalcs!AU218)</f>
        <v>0</v>
      </c>
      <c r="AS218" s="144">
        <f>IF('PV IN'!$F$4="PV Only",PVCalcs!X218,IF('PV IN'!$F$4="Battery Only",BattCalcs!AW218,PVCalcs!X218+BattCalcs!AW218))</f>
        <v>0</v>
      </c>
      <c r="AT218" s="144">
        <f>IF('PV IN'!$F$4="Battery Only",0,-PVCalcs!AQ218*'PV IN'!$E$8)</f>
        <v>0</v>
      </c>
      <c r="AU218" s="144">
        <f>IF('PV IN'!$F$4="PV Only",0,-BattCalcs!CG218*'PV IN'!$E$8)</f>
        <v>0</v>
      </c>
      <c r="AV218" s="144">
        <f>IF('PV IN'!$F$4="PV Only",PVCalcs!Z218+PVCalcs!AA218,IF('PV IN'!$F$4="Battery Only",SUM(BattCalcs!BC218:BH218),PVCalcs!Z218+PVCalcs!AA218+SUM(BattCalcs!BC218:BH218)))</f>
        <v>0</v>
      </c>
      <c r="AW218" s="144">
        <f>IF('PV IN'!$F$4="PV Only",SUM(PVCalcs!AF218:AI218),IF('PV IN'!$F$4="Battery Only",SUM(BattCalcs!BL218:BY218),SUM(PVCalcs!AF218:AI218)+SUM(BattCalcs!BL218:BY218)))</f>
        <v>-1375</v>
      </c>
      <c r="AX218" s="144">
        <f>IF('PV IN'!$F$4="Battery Only",0,-PVLoan!F246)</f>
        <v>0</v>
      </c>
      <c r="AY218" s="144">
        <f>IF('PV IN'!$F$4="PV Only",0,-BattLoan!F246)</f>
        <v>0</v>
      </c>
      <c r="AZ218" s="144">
        <f>IF('PV IN'!$F$4="Battery Only",0,-PVLoan!H246)</f>
        <v>0</v>
      </c>
      <c r="BA218" s="144">
        <f>IF('PV IN'!$F$4="PV Only",0,-BattLoan!H246)</f>
        <v>0</v>
      </c>
    </row>
    <row r="219" spans="1:88" x14ac:dyDescent="0.25">
      <c r="A219">
        <f>IF(C219&lt;='PV IN'!$O$22*12,C219,"")</f>
        <v>215</v>
      </c>
      <c r="C219">
        <v>215</v>
      </c>
      <c r="D219" s="2">
        <f>BattCalcs!CK219+PVCalcs!AT219</f>
        <v>9933.9148941772455</v>
      </c>
      <c r="E219" s="20">
        <f>PVCalcs!AV219</f>
        <v>1124582.0419060916</v>
      </c>
      <c r="F219" s="20">
        <f>PVCalcs!AW219</f>
        <v>4144.5637737276038</v>
      </c>
      <c r="G219" s="20">
        <f>PVCalcs!AX219</f>
        <v>334634.49607026047</v>
      </c>
      <c r="H219" s="20">
        <f>BattCalcs!CM219</f>
        <v>0</v>
      </c>
      <c r="I219" s="20">
        <f>BattCalcs!CN219</f>
        <v>0</v>
      </c>
      <c r="J219" s="20">
        <f>IF(C219&lt;='Batt IN'!H$43*12,BattCalcs!CO219,NA())</f>
        <v>0</v>
      </c>
      <c r="L219" s="20">
        <f t="shared" si="518"/>
        <v>4144.5637737276038</v>
      </c>
      <c r="M219" s="20">
        <f>G219+BattCalcs!CO219</f>
        <v>334634.49607026047</v>
      </c>
      <c r="O219" s="10">
        <f>PVLoan!G247</f>
        <v>0</v>
      </c>
      <c r="P219" s="10">
        <f>PVLoan!J247</f>
        <v>0</v>
      </c>
      <c r="Q219" s="2" t="str">
        <f>BattLoan!G247</f>
        <v>-</v>
      </c>
      <c r="R219" s="10" t="str">
        <f>BattLoan!J247</f>
        <v>-</v>
      </c>
      <c r="T219" s="33">
        <f>IF('PV IN'!$F$4="Battery Only",0,PVCalcs!G219)</f>
        <v>132217.77221403102</v>
      </c>
      <c r="U219" s="33">
        <f>IF('PV IN'!$F$4="Battery Only",0,PVCalcs!M219)</f>
        <v>132217.77221403102</v>
      </c>
      <c r="V219" s="33">
        <f>PVCalcs!L219</f>
        <v>25811.765833333331</v>
      </c>
      <c r="W219" s="158">
        <f>PVCalcs!F219</f>
        <v>8.3348590054429766E-2</v>
      </c>
      <c r="X219" s="144">
        <f>IF('PV IN'!$F$4="Battery Only",0,PVCalcs!Y219+PVCalcs!Z219)</f>
        <v>0</v>
      </c>
      <c r="Y219" s="144">
        <f>IF('PV IN'!$F$4="PV Only",0,BattCalcs!AX219+BattCalcs!BC219)</f>
        <v>0</v>
      </c>
      <c r="Z219" s="144">
        <f>IF('PV IN'!$F$4="PV Only",0,BattCalcs!AY219+BattCalcs!BD219)</f>
        <v>0</v>
      </c>
      <c r="AA219" s="144">
        <f>IF('PV IN'!$F$4="PV Only",0,BattCalcs!AZ219+BattCalcs!BE219)</f>
        <v>0</v>
      </c>
      <c r="AB219" s="144">
        <f>IF('PV IN'!$F$4="PV Only",0,BattCalcs!BA219+BattCalcs!BF219)</f>
        <v>0</v>
      </c>
      <c r="AC219" s="144">
        <f>IF('PV IN'!$F$4="PV Only",0,BattCalcs!BB219+BattCalcs!BG219)</f>
        <v>0</v>
      </c>
      <c r="AD219" s="144">
        <f>IF('PV IN'!$F$4="PV Only",0,BattCalcs!BU219)</f>
        <v>0</v>
      </c>
      <c r="AE219" s="144">
        <f>IF('PV IN'!$F$4="PV Only",PVCalcs!W219+PVCalcs!AA219,IF('PV IN'!$F$4="Battery Only",BattCalcs!AV219+BattCalcs!BH219,PVCalcs!W219+PVCalcs!AA219+BattCalcs!AV219+BattCalcs!BH219))</f>
        <v>0</v>
      </c>
      <c r="AF219" s="10">
        <f>PVCalcs!AC219+BattCalcs!BJ219</f>
        <v>0</v>
      </c>
      <c r="AG219" s="144">
        <f>IF('PV IN'!$F$4="Battery Only",0,PVCalcs!AG219)</f>
        <v>-750</v>
      </c>
      <c r="AH219" s="144">
        <f>IF('PV IN'!$F$4="Battery Only",0,PVCalcs!AI219)</f>
        <v>0</v>
      </c>
      <c r="AI219" s="144">
        <f>IF('PV IN'!$F$4="PV Only",0,BattCalcs!BM219)</f>
        <v>0</v>
      </c>
      <c r="AJ219" s="144">
        <f>IF('PV IN'!$F$4="PV Only",0,SUM(BattCalcs!BO219:BT219))</f>
        <v>0</v>
      </c>
      <c r="AK219" s="144">
        <f>IF('PV IN'!$F$4="PV Only",PVCalcs!AH219,IF('PV IN'!$F$4="Battery Only",BattCalcs!BN219,PVCalcs!AH219+BattCalcs!BN219))</f>
        <v>-625</v>
      </c>
      <c r="AL219" s="144">
        <f>IF('PV IN'!$F$4="PV Only",0,BattCalcs!BV219)</f>
        <v>0</v>
      </c>
      <c r="AM219" s="144">
        <f>IF('PV IN'!$F$4="PV Only",0,SUM(BattCalcs!BW219:BX219))</f>
        <v>0</v>
      </c>
      <c r="AN219" s="144">
        <f>IF('PV IN'!$F$4="PV Only",0,BattCalcs!BY219)</f>
        <v>0</v>
      </c>
      <c r="AO219" s="144">
        <f>IF('PV IN'!$F$4="Battery Only",0,PVCalcs!U219)</f>
        <v>11020.164894177246</v>
      </c>
      <c r="AP219" s="10">
        <f>IF('PV IN'!$F$4="PV Only",0,BattCalcs!AS219)</f>
        <v>0</v>
      </c>
      <c r="AQ219" s="10">
        <f>IF('PV IN'!$F$4="PV Only",0,BattCalcs!AT219)</f>
        <v>0</v>
      </c>
      <c r="AR219" s="10">
        <f>IF('PV IN'!$F$4="PV Only",0,BattCalcs!AU219)</f>
        <v>0</v>
      </c>
      <c r="AS219" s="144">
        <f>IF('PV IN'!$F$4="PV Only",PVCalcs!X219,IF('PV IN'!$F$4="Battery Only",BattCalcs!AW219,PVCalcs!X219+BattCalcs!AW219))</f>
        <v>0</v>
      </c>
      <c r="AT219" s="144">
        <f>IF('PV IN'!$F$4="Battery Only",0,-PVCalcs!AQ219*'PV IN'!$E$8)</f>
        <v>0</v>
      </c>
      <c r="AU219" s="144">
        <f>IF('PV IN'!$F$4="PV Only",0,-BattCalcs!CG219*'PV IN'!$E$8)</f>
        <v>0</v>
      </c>
      <c r="AV219" s="144">
        <f>IF('PV IN'!$F$4="PV Only",PVCalcs!Z219+PVCalcs!AA219,IF('PV IN'!$F$4="Battery Only",SUM(BattCalcs!BC219:BH219),PVCalcs!Z219+PVCalcs!AA219+SUM(BattCalcs!BC219:BH219)))</f>
        <v>0</v>
      </c>
      <c r="AW219" s="144">
        <f>IF('PV IN'!$F$4="PV Only",SUM(PVCalcs!AF219:AI219),IF('PV IN'!$F$4="Battery Only",SUM(BattCalcs!BL219:BY219),SUM(PVCalcs!AF219:AI219)+SUM(BattCalcs!BL219:BY219)))</f>
        <v>-1375</v>
      </c>
      <c r="AX219" s="144">
        <f>IF('PV IN'!$F$4="Battery Only",0,-PVLoan!F247)</f>
        <v>0</v>
      </c>
      <c r="AY219" s="144">
        <f>IF('PV IN'!$F$4="PV Only",0,-BattLoan!F247)</f>
        <v>0</v>
      </c>
      <c r="AZ219" s="144">
        <f>IF('PV IN'!$F$4="Battery Only",0,-PVLoan!H247)</f>
        <v>0</v>
      </c>
      <c r="BA219" s="144">
        <f>IF('PV IN'!$F$4="PV Only",0,-BattLoan!H247)</f>
        <v>0</v>
      </c>
    </row>
    <row r="220" spans="1:88" x14ac:dyDescent="0.25">
      <c r="A220">
        <f>IF(C220&lt;='PV IN'!$O$22*12,C220,"")</f>
        <v>216</v>
      </c>
      <c r="B220">
        <f>B208+1</f>
        <v>2043</v>
      </c>
      <c r="C220">
        <v>216</v>
      </c>
      <c r="D220" s="2">
        <f>BattCalcs!CK220+PVCalcs!AT220</f>
        <v>9926.5681175811278</v>
      </c>
      <c r="E220" s="20">
        <f>PVCalcs!AV220</f>
        <v>1134508.6100236727</v>
      </c>
      <c r="F220" s="20">
        <f>PVCalcs!AW220</f>
        <v>4124.6940848039085</v>
      </c>
      <c r="G220" s="20">
        <f>PVCalcs!AX220</f>
        <v>338759.1901550644</v>
      </c>
      <c r="H220" s="20">
        <f>BattCalcs!CM220</f>
        <v>0</v>
      </c>
      <c r="I220" s="20">
        <f>BattCalcs!CN220</f>
        <v>0</v>
      </c>
      <c r="J220" s="20">
        <f>IF(C220&lt;='Batt IN'!H$43*12,BattCalcs!CO220,NA())</f>
        <v>0</v>
      </c>
      <c r="L220" s="20">
        <f t="shared" si="518"/>
        <v>4124.6940848039085</v>
      </c>
      <c r="M220" s="20">
        <f>G220+BattCalcs!CO220</f>
        <v>338759.1901550644</v>
      </c>
      <c r="O220" s="10">
        <f>PVLoan!G248</f>
        <v>0</v>
      </c>
      <c r="P220" s="10">
        <f>PVLoan!J248</f>
        <v>0</v>
      </c>
      <c r="Q220" s="2" t="str">
        <f>BattLoan!G248</f>
        <v>-</v>
      </c>
      <c r="R220" s="10" t="str">
        <f>BattLoan!J248</f>
        <v>-</v>
      </c>
      <c r="T220" s="33">
        <f>IF('PV IN'!$F$4="Battery Only",0,PVCalcs!G220)</f>
        <v>132129.627032555</v>
      </c>
      <c r="U220" s="33">
        <f>IF('PV IN'!$F$4="Battery Only",0,PVCalcs!M220)</f>
        <v>132129.627032555</v>
      </c>
      <c r="V220" s="33">
        <f>PVCalcs!L220</f>
        <v>25811.765833333331</v>
      </c>
      <c r="W220" s="158">
        <f>PVCalcs!F220</f>
        <v>8.3348590054429766E-2</v>
      </c>
      <c r="X220" s="144">
        <f>IF('PV IN'!$F$4="Battery Only",0,PVCalcs!Y220+PVCalcs!Z220)</f>
        <v>0</v>
      </c>
      <c r="Y220" s="144">
        <f>IF('PV IN'!$F$4="PV Only",0,BattCalcs!AX220+BattCalcs!BC220)</f>
        <v>0</v>
      </c>
      <c r="Z220" s="144">
        <f>IF('PV IN'!$F$4="PV Only",0,BattCalcs!AY220+BattCalcs!BD220)</f>
        <v>0</v>
      </c>
      <c r="AA220" s="144">
        <f>IF('PV IN'!$F$4="PV Only",0,BattCalcs!AZ220+BattCalcs!BE220)</f>
        <v>0</v>
      </c>
      <c r="AB220" s="144">
        <f>IF('PV IN'!$F$4="PV Only",0,BattCalcs!BA220+BattCalcs!BF220)</f>
        <v>0</v>
      </c>
      <c r="AC220" s="144">
        <f>IF('PV IN'!$F$4="PV Only",0,BattCalcs!BB220+BattCalcs!BG220)</f>
        <v>0</v>
      </c>
      <c r="AD220" s="144">
        <f>IF('PV IN'!$F$4="PV Only",0,BattCalcs!BU220)</f>
        <v>0</v>
      </c>
      <c r="AE220" s="144">
        <f>IF('PV IN'!$F$4="PV Only",PVCalcs!W220+PVCalcs!AA220,IF('PV IN'!$F$4="Battery Only",BattCalcs!AV220+BattCalcs!BH220,PVCalcs!W220+PVCalcs!AA220+BattCalcs!AV220+BattCalcs!BH220))</f>
        <v>0</v>
      </c>
      <c r="AF220" s="10">
        <f>PVCalcs!AC220+BattCalcs!BJ220</f>
        <v>0</v>
      </c>
      <c r="AG220" s="144">
        <f>IF('PV IN'!$F$4="Battery Only",0,PVCalcs!AG220)</f>
        <v>-750</v>
      </c>
      <c r="AH220" s="144">
        <f>IF('PV IN'!$F$4="Battery Only",0,PVCalcs!AI220)</f>
        <v>0</v>
      </c>
      <c r="AI220" s="144">
        <f>IF('PV IN'!$F$4="PV Only",0,BattCalcs!BM220)</f>
        <v>0</v>
      </c>
      <c r="AJ220" s="144">
        <f>IF('PV IN'!$F$4="PV Only",0,SUM(BattCalcs!BO220:BT220))</f>
        <v>0</v>
      </c>
      <c r="AK220" s="144">
        <f>IF('PV IN'!$F$4="PV Only",PVCalcs!AH220,IF('PV IN'!$F$4="Battery Only",BattCalcs!BN220,PVCalcs!AH220+BattCalcs!BN220))</f>
        <v>-625</v>
      </c>
      <c r="AL220" s="144">
        <f>IF('PV IN'!$F$4="PV Only",0,BattCalcs!BV220)</f>
        <v>0</v>
      </c>
      <c r="AM220" s="144">
        <f>IF('PV IN'!$F$4="PV Only",0,SUM(BattCalcs!BW220:BX220))</f>
        <v>0</v>
      </c>
      <c r="AN220" s="144">
        <f>IF('PV IN'!$F$4="PV Only",0,BattCalcs!BY220)</f>
        <v>0</v>
      </c>
      <c r="AO220" s="144">
        <f>IF('PV IN'!$F$4="Battery Only",0,PVCalcs!U220)</f>
        <v>11012.818117581128</v>
      </c>
      <c r="AP220" s="10">
        <f>IF('PV IN'!$F$4="PV Only",0,BattCalcs!AS220)</f>
        <v>0</v>
      </c>
      <c r="AQ220" s="10">
        <f>IF('PV IN'!$F$4="PV Only",0,BattCalcs!AT220)</f>
        <v>0</v>
      </c>
      <c r="AR220" s="10">
        <f>IF('PV IN'!$F$4="PV Only",0,BattCalcs!AU220)</f>
        <v>0</v>
      </c>
      <c r="AS220" s="144">
        <f>IF('PV IN'!$F$4="PV Only",PVCalcs!X220,IF('PV IN'!$F$4="Battery Only",BattCalcs!AW220,PVCalcs!X220+BattCalcs!AW220))</f>
        <v>0</v>
      </c>
      <c r="AT220" s="144">
        <f>IF('PV IN'!$F$4="Battery Only",0,-PVCalcs!AQ220*'PV IN'!$E$8)</f>
        <v>0</v>
      </c>
      <c r="AU220" s="144">
        <f>IF('PV IN'!$F$4="PV Only",0,-BattCalcs!CG220*'PV IN'!$E$8)</f>
        <v>0</v>
      </c>
      <c r="AV220" s="144">
        <f>IF('PV IN'!$F$4="PV Only",PVCalcs!Z220+PVCalcs!AA220,IF('PV IN'!$F$4="Battery Only",SUM(BattCalcs!BC220:BH220),PVCalcs!Z220+PVCalcs!AA220+SUM(BattCalcs!BC220:BH220)))</f>
        <v>0</v>
      </c>
      <c r="AW220" s="144">
        <f>IF('PV IN'!$F$4="PV Only",SUM(PVCalcs!AF220:AI220),IF('PV IN'!$F$4="Battery Only",SUM(BattCalcs!BL220:BY220),SUM(PVCalcs!AF220:AI220)+SUM(BattCalcs!BL220:BY220)))</f>
        <v>-1375</v>
      </c>
      <c r="AX220" s="144">
        <f>IF('PV IN'!$F$4="Battery Only",0,-PVLoan!F248)</f>
        <v>0</v>
      </c>
      <c r="AY220" s="144">
        <f>IF('PV IN'!$F$4="PV Only",0,-BattLoan!F248)</f>
        <v>0</v>
      </c>
      <c r="AZ220" s="144">
        <f>IF('PV IN'!$F$4="Battery Only",0,-PVLoan!H248)</f>
        <v>0</v>
      </c>
      <c r="BA220" s="144">
        <f>IF('PV IN'!$F$4="PV Only",0,-BattLoan!H248)</f>
        <v>0</v>
      </c>
      <c r="BC220" s="33">
        <f t="shared" ref="BC220" si="553">SUM(T209:T220)</f>
        <v>1591386.0623909812</v>
      </c>
      <c r="BD220" s="33">
        <f t="shared" ref="BD220" si="554">SUM(U209:U220)</f>
        <v>1591386.0623909812</v>
      </c>
      <c r="BE220" s="33">
        <f t="shared" ref="BE220" si="555">SUM(V209:V220)</f>
        <v>309741.19</v>
      </c>
      <c r="BF220" s="50">
        <f t="shared" ref="BF220" si="556">W220</f>
        <v>8.3348590054429766E-2</v>
      </c>
      <c r="BG220" s="2">
        <f t="shared" ref="BG220" si="557">SUM(X209:X220)</f>
        <v>0</v>
      </c>
      <c r="BH220" s="2">
        <f t="shared" ref="BH220" si="558">SUM(Y209:Y220)</f>
        <v>0</v>
      </c>
      <c r="BI220" s="2">
        <f t="shared" ref="BI220" si="559">SUM(Z209:Z220)</f>
        <v>0</v>
      </c>
      <c r="BJ220" s="2">
        <f t="shared" ref="BJ220" si="560">SUM(AA209:AA220)</f>
        <v>0</v>
      </c>
      <c r="BK220" s="2">
        <f t="shared" ref="BK220" si="561">SUM(AB209:AB220)</f>
        <v>0</v>
      </c>
      <c r="BL220" s="2">
        <f t="shared" ref="BL220" si="562">SUM(AC209:AC220)</f>
        <v>0</v>
      </c>
      <c r="BM220" s="2">
        <f t="shared" ref="BM220" si="563">SUM(AD209:AD220)</f>
        <v>0</v>
      </c>
      <c r="BN220" s="2">
        <f t="shared" ref="BN220" si="564">SUM(AE209:AE220)</f>
        <v>0</v>
      </c>
      <c r="BO220" s="2">
        <f t="shared" ref="BO220" si="565">SUM(AF209:AF220)</f>
        <v>0</v>
      </c>
      <c r="BP220" s="2">
        <f t="shared" ref="BP220" si="566">SUM(AG209:AG220)</f>
        <v>-9000</v>
      </c>
      <c r="BQ220" s="2">
        <f t="shared" ref="BQ220" si="567">SUM(AH209:AH220)</f>
        <v>0</v>
      </c>
      <c r="BR220" s="2">
        <f t="shared" ref="BR220" si="568">SUM(AI209:AI220)</f>
        <v>0</v>
      </c>
      <c r="BS220" s="2">
        <f t="shared" ref="BS220" si="569">SUM(AJ209:AJ220)</f>
        <v>0</v>
      </c>
      <c r="BT220" s="2">
        <f t="shared" ref="BT220" si="570">SUM(AK209:AK220)</f>
        <v>-7500</v>
      </c>
      <c r="BU220" s="2">
        <f t="shared" ref="BU220" si="571">SUM(AL209:AL220)</f>
        <v>0</v>
      </c>
      <c r="BV220" s="2">
        <f t="shared" ref="BV220" si="572">SUM(AM209:AM220)</f>
        <v>0</v>
      </c>
      <c r="BW220" s="2">
        <f t="shared" ref="BW220" si="573">SUM(AN209:AN220)</f>
        <v>0</v>
      </c>
      <c r="BX220" s="2">
        <f t="shared" ref="BX220" si="574">SUM(AO209:AO220)</f>
        <v>132639.78453255908</v>
      </c>
      <c r="BY220" s="2">
        <f t="shared" ref="BY220" si="575">SUM(AP209:AP220)</f>
        <v>0</v>
      </c>
      <c r="BZ220" s="2">
        <f t="shared" ref="BZ220" si="576">SUM(AQ209:AQ220)</f>
        <v>0</v>
      </c>
      <c r="CA220" s="2">
        <f t="shared" ref="CA220" si="577">SUM(AR209:AR220)</f>
        <v>0</v>
      </c>
      <c r="CB220" s="2">
        <f t="shared" ref="CB220" si="578">SUM(AS209:AS220)</f>
        <v>0</v>
      </c>
      <c r="CC220" s="2">
        <f t="shared" ref="CC220" si="579">SUM(AT209:AT220)</f>
        <v>0</v>
      </c>
      <c r="CD220" s="2">
        <f t="shared" ref="CD220" si="580">SUM(AU209:AU220)</f>
        <v>0</v>
      </c>
      <c r="CE220" s="2">
        <f t="shared" ref="CE220" si="581">SUM(AV209:AV220)</f>
        <v>0</v>
      </c>
      <c r="CF220" s="2">
        <f t="shared" ref="CF220" si="582">SUM(AW209:AW220)</f>
        <v>-16500</v>
      </c>
      <c r="CG220" s="2">
        <f t="shared" ref="CG220" si="583">SUM(AX209:AX220)</f>
        <v>0</v>
      </c>
      <c r="CH220" s="2">
        <f t="shared" ref="CH220" si="584">SUM(AY209:AY220)</f>
        <v>0</v>
      </c>
      <c r="CI220" s="2">
        <f t="shared" ref="CI220" si="585">SUM(AZ209:AZ220)</f>
        <v>0</v>
      </c>
      <c r="CJ220" s="2">
        <f t="shared" ref="CJ220" si="586">SUM(BA209:BA220)</f>
        <v>0</v>
      </c>
    </row>
    <row r="221" spans="1:88" x14ac:dyDescent="0.25">
      <c r="A221">
        <f>IF(C221&lt;='PV IN'!$O$22*12,C221,"")</f>
        <v>217</v>
      </c>
      <c r="C221">
        <v>217</v>
      </c>
      <c r="D221" s="2">
        <f>BattCalcs!CK221+PVCalcs!AT221</f>
        <v>9955.0131846034783</v>
      </c>
      <c r="E221" s="20">
        <f>PVCalcs!AV221</f>
        <v>1144463.6232082762</v>
      </c>
      <c r="F221" s="20">
        <f>PVCalcs!AW221</f>
        <v>4119.7293105146227</v>
      </c>
      <c r="G221" s="20">
        <f>PVCalcs!AX221</f>
        <v>342878.91946557903</v>
      </c>
      <c r="H221" s="20">
        <f>BattCalcs!CM221</f>
        <v>0</v>
      </c>
      <c r="I221" s="20">
        <f>BattCalcs!CN221</f>
        <v>0</v>
      </c>
      <c r="J221" s="20">
        <f>IF(C221&lt;='Batt IN'!H$43*12,BattCalcs!CO221,NA())</f>
        <v>0</v>
      </c>
      <c r="L221" s="20">
        <f t="shared" si="518"/>
        <v>4119.7293105146227</v>
      </c>
      <c r="M221" s="20">
        <f>G221+BattCalcs!CO221</f>
        <v>342878.91946557903</v>
      </c>
      <c r="O221" s="10">
        <f>PVLoan!G249</f>
        <v>0</v>
      </c>
      <c r="P221" s="10">
        <f>PVLoan!J249</f>
        <v>0</v>
      </c>
      <c r="Q221" s="2" t="str">
        <f>BattLoan!G249</f>
        <v>-</v>
      </c>
      <c r="R221" s="10" t="str">
        <f>BattLoan!J249</f>
        <v>-</v>
      </c>
      <c r="T221" s="33">
        <f>IF('PV IN'!$F$4="Battery Only",0,PVCalcs!G221)</f>
        <v>132041.5406145333</v>
      </c>
      <c r="U221" s="33">
        <f>IF('PV IN'!$F$4="Battery Only",0,PVCalcs!M221)</f>
        <v>132041.5406145333</v>
      </c>
      <c r="V221" s="33">
        <f>PVCalcs!L221</f>
        <v>25811.765833333331</v>
      </c>
      <c r="W221" s="158">
        <f>PVCalcs!F221</f>
        <v>8.3619617987009537E-2</v>
      </c>
      <c r="X221" s="144">
        <f>IF('PV IN'!$F$4="Battery Only",0,PVCalcs!Y221+PVCalcs!Z221)</f>
        <v>0</v>
      </c>
      <c r="Y221" s="144">
        <f>IF('PV IN'!$F$4="PV Only",0,BattCalcs!AX221+BattCalcs!BC221)</f>
        <v>0</v>
      </c>
      <c r="Z221" s="144">
        <f>IF('PV IN'!$F$4="PV Only",0,BattCalcs!AY221+BattCalcs!BD221)</f>
        <v>0</v>
      </c>
      <c r="AA221" s="144">
        <f>IF('PV IN'!$F$4="PV Only",0,BattCalcs!AZ221+BattCalcs!BE221)</f>
        <v>0</v>
      </c>
      <c r="AB221" s="144">
        <f>IF('PV IN'!$F$4="PV Only",0,BattCalcs!BA221+BattCalcs!BF221)</f>
        <v>0</v>
      </c>
      <c r="AC221" s="144">
        <f>IF('PV IN'!$F$4="PV Only",0,BattCalcs!BB221+BattCalcs!BG221)</f>
        <v>0</v>
      </c>
      <c r="AD221" s="144">
        <f>IF('PV IN'!$F$4="PV Only",0,BattCalcs!BU221)</f>
        <v>0</v>
      </c>
      <c r="AE221" s="144">
        <f>IF('PV IN'!$F$4="PV Only",PVCalcs!W221+PVCalcs!AA221,IF('PV IN'!$F$4="Battery Only",BattCalcs!AV221+BattCalcs!BH221,PVCalcs!W221+PVCalcs!AA221+BattCalcs!AV221+BattCalcs!BH221))</f>
        <v>0</v>
      </c>
      <c r="AF221" s="10">
        <f>PVCalcs!AC221+BattCalcs!BJ221</f>
        <v>0</v>
      </c>
      <c r="AG221" s="144">
        <f>IF('PV IN'!$F$4="Battery Only",0,PVCalcs!AG221)</f>
        <v>-750</v>
      </c>
      <c r="AH221" s="144">
        <f>IF('PV IN'!$F$4="Battery Only",0,PVCalcs!AI221)</f>
        <v>0</v>
      </c>
      <c r="AI221" s="144">
        <f>IF('PV IN'!$F$4="PV Only",0,BattCalcs!BM221)</f>
        <v>0</v>
      </c>
      <c r="AJ221" s="144">
        <f>IF('PV IN'!$F$4="PV Only",0,SUM(BattCalcs!BO221:BT221))</f>
        <v>0</v>
      </c>
      <c r="AK221" s="144">
        <f>IF('PV IN'!$F$4="PV Only",PVCalcs!AH221,IF('PV IN'!$F$4="Battery Only",BattCalcs!BN221,PVCalcs!AH221+BattCalcs!BN221))</f>
        <v>-625</v>
      </c>
      <c r="AL221" s="144">
        <f>IF('PV IN'!$F$4="PV Only",0,BattCalcs!BV221)</f>
        <v>0</v>
      </c>
      <c r="AM221" s="144">
        <f>IF('PV IN'!$F$4="PV Only",0,SUM(BattCalcs!BW221:BX221))</f>
        <v>0</v>
      </c>
      <c r="AN221" s="144">
        <f>IF('PV IN'!$F$4="PV Only",0,BattCalcs!BY221)</f>
        <v>0</v>
      </c>
      <c r="AO221" s="144">
        <f>IF('PV IN'!$F$4="Battery Only",0,PVCalcs!U221)</f>
        <v>11041.263184603478</v>
      </c>
      <c r="AP221" s="10">
        <f>IF('PV IN'!$F$4="PV Only",0,BattCalcs!AS221)</f>
        <v>0</v>
      </c>
      <c r="AQ221" s="10">
        <f>IF('PV IN'!$F$4="PV Only",0,BattCalcs!AT221)</f>
        <v>0</v>
      </c>
      <c r="AR221" s="10">
        <f>IF('PV IN'!$F$4="PV Only",0,BattCalcs!AU221)</f>
        <v>0</v>
      </c>
      <c r="AS221" s="144">
        <f>IF('PV IN'!$F$4="PV Only",PVCalcs!X221,IF('PV IN'!$F$4="Battery Only",BattCalcs!AW221,PVCalcs!X221+BattCalcs!AW221))</f>
        <v>0</v>
      </c>
      <c r="AT221" s="144">
        <f>IF('PV IN'!$F$4="Battery Only",0,-PVCalcs!AQ221*'PV IN'!$E$8)</f>
        <v>0</v>
      </c>
      <c r="AU221" s="144">
        <f>IF('PV IN'!$F$4="PV Only",0,-BattCalcs!CG221*'PV IN'!$E$8)</f>
        <v>0</v>
      </c>
      <c r="AV221" s="144">
        <f>IF('PV IN'!$F$4="PV Only",PVCalcs!Z221+PVCalcs!AA221,IF('PV IN'!$F$4="Battery Only",SUM(BattCalcs!BC221:BH221),PVCalcs!Z221+PVCalcs!AA221+SUM(BattCalcs!BC221:BH221)))</f>
        <v>0</v>
      </c>
      <c r="AW221" s="144">
        <f>IF('PV IN'!$F$4="PV Only",SUM(PVCalcs!AF221:AI221),IF('PV IN'!$F$4="Battery Only",SUM(BattCalcs!BL221:BY221),SUM(PVCalcs!AF221:AI221)+SUM(BattCalcs!BL221:BY221)))</f>
        <v>-1375</v>
      </c>
      <c r="AX221" s="144">
        <f>IF('PV IN'!$F$4="Battery Only",0,-PVLoan!F249)</f>
        <v>0</v>
      </c>
      <c r="AY221" s="144">
        <f>IF('PV IN'!$F$4="PV Only",0,-BattLoan!F249)</f>
        <v>0</v>
      </c>
      <c r="AZ221" s="144">
        <f>IF('PV IN'!$F$4="Battery Only",0,-PVLoan!H249)</f>
        <v>0</v>
      </c>
      <c r="BA221" s="144">
        <f>IF('PV IN'!$F$4="PV Only",0,-BattLoan!H249)</f>
        <v>0</v>
      </c>
    </row>
    <row r="222" spans="1:88" x14ac:dyDescent="0.25">
      <c r="A222">
        <f>IF(C222&lt;='PV IN'!$O$22*12,C222,"")</f>
        <v>218</v>
      </c>
      <c r="C222">
        <v>218</v>
      </c>
      <c r="D222" s="2">
        <f>BattCalcs!CK222+PVCalcs!AT222</f>
        <v>9947.6523424804091</v>
      </c>
      <c r="E222" s="20">
        <f>PVCalcs!AV222</f>
        <v>1154411.2755507566</v>
      </c>
      <c r="F222" s="20">
        <f>PVCalcs!AW222</f>
        <v>4099.9793158118473</v>
      </c>
      <c r="G222" s="20">
        <f>PVCalcs!AX222</f>
        <v>346978.89878139086</v>
      </c>
      <c r="H222" s="20">
        <f>BattCalcs!CM222</f>
        <v>0</v>
      </c>
      <c r="I222" s="20">
        <f>BattCalcs!CN222</f>
        <v>0</v>
      </c>
      <c r="J222" s="20">
        <f>IF(C222&lt;='Batt IN'!H$43*12,BattCalcs!CO222,NA())</f>
        <v>0</v>
      </c>
      <c r="L222" s="20">
        <f t="shared" si="518"/>
        <v>4099.9793158118473</v>
      </c>
      <c r="M222" s="20">
        <f>G222+BattCalcs!CO222</f>
        <v>346978.89878139086</v>
      </c>
      <c r="O222" s="10">
        <f>PVLoan!G250</f>
        <v>0</v>
      </c>
      <c r="P222" s="10">
        <f>PVLoan!J250</f>
        <v>0</v>
      </c>
      <c r="Q222" s="2" t="str">
        <f>BattLoan!G250</f>
        <v>-</v>
      </c>
      <c r="R222" s="10" t="str">
        <f>BattLoan!J250</f>
        <v>-</v>
      </c>
      <c r="T222" s="33">
        <f>IF('PV IN'!$F$4="Battery Only",0,PVCalcs!G222)</f>
        <v>131953.51292079026</v>
      </c>
      <c r="U222" s="33">
        <f>IF('PV IN'!$F$4="Battery Only",0,PVCalcs!M222)</f>
        <v>131953.51292079026</v>
      </c>
      <c r="V222" s="33">
        <f>PVCalcs!L222</f>
        <v>25811.765833333331</v>
      </c>
      <c r="W222" s="158">
        <f>PVCalcs!F222</f>
        <v>8.3619617987009537E-2</v>
      </c>
      <c r="X222" s="144">
        <f>IF('PV IN'!$F$4="Battery Only",0,PVCalcs!Y222+PVCalcs!Z222)</f>
        <v>0</v>
      </c>
      <c r="Y222" s="144">
        <f>IF('PV IN'!$F$4="PV Only",0,BattCalcs!AX222+BattCalcs!BC222)</f>
        <v>0</v>
      </c>
      <c r="Z222" s="144">
        <f>IF('PV IN'!$F$4="PV Only",0,BattCalcs!AY222+BattCalcs!BD222)</f>
        <v>0</v>
      </c>
      <c r="AA222" s="144">
        <f>IF('PV IN'!$F$4="PV Only",0,BattCalcs!AZ222+BattCalcs!BE222)</f>
        <v>0</v>
      </c>
      <c r="AB222" s="144">
        <f>IF('PV IN'!$F$4="PV Only",0,BattCalcs!BA222+BattCalcs!BF222)</f>
        <v>0</v>
      </c>
      <c r="AC222" s="144">
        <f>IF('PV IN'!$F$4="PV Only",0,BattCalcs!BB222+BattCalcs!BG222)</f>
        <v>0</v>
      </c>
      <c r="AD222" s="144">
        <f>IF('PV IN'!$F$4="PV Only",0,BattCalcs!BU222)</f>
        <v>0</v>
      </c>
      <c r="AE222" s="144">
        <f>IF('PV IN'!$F$4="PV Only",PVCalcs!W222+PVCalcs!AA222,IF('PV IN'!$F$4="Battery Only",BattCalcs!AV222+BattCalcs!BH222,PVCalcs!W222+PVCalcs!AA222+BattCalcs!AV222+BattCalcs!BH222))</f>
        <v>0</v>
      </c>
      <c r="AF222" s="10">
        <f>PVCalcs!AC222+BattCalcs!BJ222</f>
        <v>0</v>
      </c>
      <c r="AG222" s="144">
        <f>IF('PV IN'!$F$4="Battery Only",0,PVCalcs!AG222)</f>
        <v>-750</v>
      </c>
      <c r="AH222" s="144">
        <f>IF('PV IN'!$F$4="Battery Only",0,PVCalcs!AI222)</f>
        <v>0</v>
      </c>
      <c r="AI222" s="144">
        <f>IF('PV IN'!$F$4="PV Only",0,BattCalcs!BM222)</f>
        <v>0</v>
      </c>
      <c r="AJ222" s="144">
        <f>IF('PV IN'!$F$4="PV Only",0,SUM(BattCalcs!BO222:BT222))</f>
        <v>0</v>
      </c>
      <c r="AK222" s="144">
        <f>IF('PV IN'!$F$4="PV Only",PVCalcs!AH222,IF('PV IN'!$F$4="Battery Only",BattCalcs!BN222,PVCalcs!AH222+BattCalcs!BN222))</f>
        <v>-625</v>
      </c>
      <c r="AL222" s="144">
        <f>IF('PV IN'!$F$4="PV Only",0,BattCalcs!BV222)</f>
        <v>0</v>
      </c>
      <c r="AM222" s="144">
        <f>IF('PV IN'!$F$4="PV Only",0,SUM(BattCalcs!BW222:BX222))</f>
        <v>0</v>
      </c>
      <c r="AN222" s="144">
        <f>IF('PV IN'!$F$4="PV Only",0,BattCalcs!BY222)</f>
        <v>0</v>
      </c>
      <c r="AO222" s="144">
        <f>IF('PV IN'!$F$4="Battery Only",0,PVCalcs!U222)</f>
        <v>11033.902342480409</v>
      </c>
      <c r="AP222" s="10">
        <f>IF('PV IN'!$F$4="PV Only",0,BattCalcs!AS222)</f>
        <v>0</v>
      </c>
      <c r="AQ222" s="10">
        <f>IF('PV IN'!$F$4="PV Only",0,BattCalcs!AT222)</f>
        <v>0</v>
      </c>
      <c r="AR222" s="10">
        <f>IF('PV IN'!$F$4="PV Only",0,BattCalcs!AU222)</f>
        <v>0</v>
      </c>
      <c r="AS222" s="144">
        <f>IF('PV IN'!$F$4="PV Only",PVCalcs!X222,IF('PV IN'!$F$4="Battery Only",BattCalcs!AW222,PVCalcs!X222+BattCalcs!AW222))</f>
        <v>0</v>
      </c>
      <c r="AT222" s="144">
        <f>IF('PV IN'!$F$4="Battery Only",0,-PVCalcs!AQ222*'PV IN'!$E$8)</f>
        <v>0</v>
      </c>
      <c r="AU222" s="144">
        <f>IF('PV IN'!$F$4="PV Only",0,-BattCalcs!CG222*'PV IN'!$E$8)</f>
        <v>0</v>
      </c>
      <c r="AV222" s="144">
        <f>IF('PV IN'!$F$4="PV Only",PVCalcs!Z222+PVCalcs!AA222,IF('PV IN'!$F$4="Battery Only",SUM(BattCalcs!BC222:BH222),PVCalcs!Z222+PVCalcs!AA222+SUM(BattCalcs!BC222:BH222)))</f>
        <v>0</v>
      </c>
      <c r="AW222" s="144">
        <f>IF('PV IN'!$F$4="PV Only",SUM(PVCalcs!AF222:AI222),IF('PV IN'!$F$4="Battery Only",SUM(BattCalcs!BL222:BY222),SUM(PVCalcs!AF222:AI222)+SUM(BattCalcs!BL222:BY222)))</f>
        <v>-1375</v>
      </c>
      <c r="AX222" s="144">
        <f>IF('PV IN'!$F$4="Battery Only",0,-PVLoan!F250)</f>
        <v>0</v>
      </c>
      <c r="AY222" s="144">
        <f>IF('PV IN'!$F$4="PV Only",0,-BattLoan!F250)</f>
        <v>0</v>
      </c>
      <c r="AZ222" s="144">
        <f>IF('PV IN'!$F$4="Battery Only",0,-PVLoan!H250)</f>
        <v>0</v>
      </c>
      <c r="BA222" s="144">
        <f>IF('PV IN'!$F$4="PV Only",0,-BattLoan!H250)</f>
        <v>0</v>
      </c>
    </row>
    <row r="223" spans="1:88" x14ac:dyDescent="0.25">
      <c r="A223">
        <f>IF(C223&lt;='PV IN'!$O$22*12,C223,"")</f>
        <v>219</v>
      </c>
      <c r="C223">
        <v>219</v>
      </c>
      <c r="D223" s="2">
        <f>BattCalcs!CK223+PVCalcs!AT223</f>
        <v>9940.2964075854234</v>
      </c>
      <c r="E223" s="20">
        <f>PVCalcs!AV223</f>
        <v>1164351.5719583421</v>
      </c>
      <c r="F223" s="20">
        <f>PVCalcs!AW223</f>
        <v>4080.3237828472179</v>
      </c>
      <c r="G223" s="20">
        <f>PVCalcs!AX223</f>
        <v>351059.22256423807</v>
      </c>
      <c r="H223" s="20">
        <f>BattCalcs!CM223</f>
        <v>0</v>
      </c>
      <c r="I223" s="20">
        <f>BattCalcs!CN223</f>
        <v>0</v>
      </c>
      <c r="J223" s="20">
        <f>IF(C223&lt;='Batt IN'!H$43*12,BattCalcs!CO223,NA())</f>
        <v>0</v>
      </c>
      <c r="L223" s="20">
        <f t="shared" si="518"/>
        <v>4080.3237828472179</v>
      </c>
      <c r="M223" s="20">
        <f>G223+BattCalcs!CO223</f>
        <v>351059.22256423807</v>
      </c>
      <c r="O223" s="10">
        <f>PVLoan!G251</f>
        <v>0</v>
      </c>
      <c r="P223" s="10">
        <f>PVLoan!J251</f>
        <v>0</v>
      </c>
      <c r="Q223" s="2" t="str">
        <f>BattLoan!G251</f>
        <v>-</v>
      </c>
      <c r="R223" s="10" t="str">
        <f>BattLoan!J251</f>
        <v>-</v>
      </c>
      <c r="T223" s="33">
        <f>IF('PV IN'!$F$4="Battery Only",0,PVCalcs!G223)</f>
        <v>131865.54391217642</v>
      </c>
      <c r="U223" s="33">
        <f>IF('PV IN'!$F$4="Battery Only",0,PVCalcs!M223)</f>
        <v>131865.54391217642</v>
      </c>
      <c r="V223" s="33">
        <f>PVCalcs!L223</f>
        <v>25811.765833333331</v>
      </c>
      <c r="W223" s="158">
        <f>PVCalcs!F223</f>
        <v>8.3619617987009537E-2</v>
      </c>
      <c r="X223" s="144">
        <f>IF('PV IN'!$F$4="Battery Only",0,PVCalcs!Y223+PVCalcs!Z223)</f>
        <v>0</v>
      </c>
      <c r="Y223" s="144">
        <f>IF('PV IN'!$F$4="PV Only",0,BattCalcs!AX223+BattCalcs!BC223)</f>
        <v>0</v>
      </c>
      <c r="Z223" s="144">
        <f>IF('PV IN'!$F$4="PV Only",0,BattCalcs!AY223+BattCalcs!BD223)</f>
        <v>0</v>
      </c>
      <c r="AA223" s="144">
        <f>IF('PV IN'!$F$4="PV Only",0,BattCalcs!AZ223+BattCalcs!BE223)</f>
        <v>0</v>
      </c>
      <c r="AB223" s="144">
        <f>IF('PV IN'!$F$4="PV Only",0,BattCalcs!BA223+BattCalcs!BF223)</f>
        <v>0</v>
      </c>
      <c r="AC223" s="144">
        <f>IF('PV IN'!$F$4="PV Only",0,BattCalcs!BB223+BattCalcs!BG223)</f>
        <v>0</v>
      </c>
      <c r="AD223" s="144">
        <f>IF('PV IN'!$F$4="PV Only",0,BattCalcs!BU223)</f>
        <v>0</v>
      </c>
      <c r="AE223" s="144">
        <f>IF('PV IN'!$F$4="PV Only",PVCalcs!W223+PVCalcs!AA223,IF('PV IN'!$F$4="Battery Only",BattCalcs!AV223+BattCalcs!BH223,PVCalcs!W223+PVCalcs!AA223+BattCalcs!AV223+BattCalcs!BH223))</f>
        <v>0</v>
      </c>
      <c r="AF223" s="10">
        <f>PVCalcs!AC223+BattCalcs!BJ223</f>
        <v>0</v>
      </c>
      <c r="AG223" s="144">
        <f>IF('PV IN'!$F$4="Battery Only",0,PVCalcs!AG223)</f>
        <v>-750</v>
      </c>
      <c r="AH223" s="144">
        <f>IF('PV IN'!$F$4="Battery Only",0,PVCalcs!AI223)</f>
        <v>0</v>
      </c>
      <c r="AI223" s="144">
        <f>IF('PV IN'!$F$4="PV Only",0,BattCalcs!BM223)</f>
        <v>0</v>
      </c>
      <c r="AJ223" s="144">
        <f>IF('PV IN'!$F$4="PV Only",0,SUM(BattCalcs!BO223:BT223))</f>
        <v>0</v>
      </c>
      <c r="AK223" s="144">
        <f>IF('PV IN'!$F$4="PV Only",PVCalcs!AH223,IF('PV IN'!$F$4="Battery Only",BattCalcs!BN223,PVCalcs!AH223+BattCalcs!BN223))</f>
        <v>-625</v>
      </c>
      <c r="AL223" s="144">
        <f>IF('PV IN'!$F$4="PV Only",0,BattCalcs!BV223)</f>
        <v>0</v>
      </c>
      <c r="AM223" s="144">
        <f>IF('PV IN'!$F$4="PV Only",0,SUM(BattCalcs!BW223:BX223))</f>
        <v>0</v>
      </c>
      <c r="AN223" s="144">
        <f>IF('PV IN'!$F$4="PV Only",0,BattCalcs!BY223)</f>
        <v>0</v>
      </c>
      <c r="AO223" s="144">
        <f>IF('PV IN'!$F$4="Battery Only",0,PVCalcs!U223)</f>
        <v>11026.546407585423</v>
      </c>
      <c r="AP223" s="10">
        <f>IF('PV IN'!$F$4="PV Only",0,BattCalcs!AS223)</f>
        <v>0</v>
      </c>
      <c r="AQ223" s="10">
        <f>IF('PV IN'!$F$4="PV Only",0,BattCalcs!AT223)</f>
        <v>0</v>
      </c>
      <c r="AR223" s="10">
        <f>IF('PV IN'!$F$4="PV Only",0,BattCalcs!AU223)</f>
        <v>0</v>
      </c>
      <c r="AS223" s="144">
        <f>IF('PV IN'!$F$4="PV Only",PVCalcs!X223,IF('PV IN'!$F$4="Battery Only",BattCalcs!AW223,PVCalcs!X223+BattCalcs!AW223))</f>
        <v>0</v>
      </c>
      <c r="AT223" s="144">
        <f>IF('PV IN'!$F$4="Battery Only",0,-PVCalcs!AQ223*'PV IN'!$E$8)</f>
        <v>0</v>
      </c>
      <c r="AU223" s="144">
        <f>IF('PV IN'!$F$4="PV Only",0,-BattCalcs!CG223*'PV IN'!$E$8)</f>
        <v>0</v>
      </c>
      <c r="AV223" s="144">
        <f>IF('PV IN'!$F$4="PV Only",PVCalcs!Z223+PVCalcs!AA223,IF('PV IN'!$F$4="Battery Only",SUM(BattCalcs!BC223:BH223),PVCalcs!Z223+PVCalcs!AA223+SUM(BattCalcs!BC223:BH223)))</f>
        <v>0</v>
      </c>
      <c r="AW223" s="144">
        <f>IF('PV IN'!$F$4="PV Only",SUM(PVCalcs!AF223:AI223),IF('PV IN'!$F$4="Battery Only",SUM(BattCalcs!BL223:BY223),SUM(PVCalcs!AF223:AI223)+SUM(BattCalcs!BL223:BY223)))</f>
        <v>-1375</v>
      </c>
      <c r="AX223" s="144">
        <f>IF('PV IN'!$F$4="Battery Only",0,-PVLoan!F251)</f>
        <v>0</v>
      </c>
      <c r="AY223" s="144">
        <f>IF('PV IN'!$F$4="PV Only",0,-BattLoan!F251)</f>
        <v>0</v>
      </c>
      <c r="AZ223" s="144">
        <f>IF('PV IN'!$F$4="Battery Only",0,-PVLoan!H251)</f>
        <v>0</v>
      </c>
      <c r="BA223" s="144">
        <f>IF('PV IN'!$F$4="PV Only",0,-BattLoan!H251)</f>
        <v>0</v>
      </c>
    </row>
    <row r="224" spans="1:88" x14ac:dyDescent="0.25">
      <c r="A224">
        <f>IF(C224&lt;='PV IN'!$O$22*12,C224,"")</f>
        <v>220</v>
      </c>
      <c r="C224">
        <v>220</v>
      </c>
      <c r="D224" s="2">
        <f>BattCalcs!CK224+PVCalcs!AT224</f>
        <v>9932.9453766470306</v>
      </c>
      <c r="E224" s="20">
        <f>PVCalcs!AV224</f>
        <v>1174284.517334989</v>
      </c>
      <c r="F224" s="20">
        <f>PVCalcs!AW224</f>
        <v>4060.7622607004942</v>
      </c>
      <c r="G224" s="20">
        <f>PVCalcs!AX224</f>
        <v>355119.98482493858</v>
      </c>
      <c r="H224" s="20">
        <f>BattCalcs!CM224</f>
        <v>0</v>
      </c>
      <c r="I224" s="20">
        <f>BattCalcs!CN224</f>
        <v>0</v>
      </c>
      <c r="J224" s="20">
        <f>IF(C224&lt;='Batt IN'!H$43*12,BattCalcs!CO224,NA())</f>
        <v>0</v>
      </c>
      <c r="L224" s="20">
        <f t="shared" si="518"/>
        <v>4060.7622607004942</v>
      </c>
      <c r="M224" s="20">
        <f>G224+BattCalcs!CO224</f>
        <v>355119.98482493858</v>
      </c>
      <c r="O224" s="10">
        <f>PVLoan!G252</f>
        <v>0</v>
      </c>
      <c r="P224" s="10">
        <f>PVLoan!J252</f>
        <v>0</v>
      </c>
      <c r="Q224" s="2" t="str">
        <f>BattLoan!G252</f>
        <v>-</v>
      </c>
      <c r="R224" s="10" t="str">
        <f>BattLoan!J252</f>
        <v>-</v>
      </c>
      <c r="T224" s="33">
        <f>IF('PV IN'!$F$4="Battery Only",0,PVCalcs!G224)</f>
        <v>131777.63354956827</v>
      </c>
      <c r="U224" s="33">
        <f>IF('PV IN'!$F$4="Battery Only",0,PVCalcs!M224)</f>
        <v>131777.63354956827</v>
      </c>
      <c r="V224" s="33">
        <f>PVCalcs!L224</f>
        <v>25811.765833333331</v>
      </c>
      <c r="W224" s="158">
        <f>PVCalcs!F224</f>
        <v>8.3619617987009537E-2</v>
      </c>
      <c r="X224" s="144">
        <f>IF('PV IN'!$F$4="Battery Only",0,PVCalcs!Y224+PVCalcs!Z224)</f>
        <v>0</v>
      </c>
      <c r="Y224" s="144">
        <f>IF('PV IN'!$F$4="PV Only",0,BattCalcs!AX224+BattCalcs!BC224)</f>
        <v>0</v>
      </c>
      <c r="Z224" s="144">
        <f>IF('PV IN'!$F$4="PV Only",0,BattCalcs!AY224+BattCalcs!BD224)</f>
        <v>0</v>
      </c>
      <c r="AA224" s="144">
        <f>IF('PV IN'!$F$4="PV Only",0,BattCalcs!AZ224+BattCalcs!BE224)</f>
        <v>0</v>
      </c>
      <c r="AB224" s="144">
        <f>IF('PV IN'!$F$4="PV Only",0,BattCalcs!BA224+BattCalcs!BF224)</f>
        <v>0</v>
      </c>
      <c r="AC224" s="144">
        <f>IF('PV IN'!$F$4="PV Only",0,BattCalcs!BB224+BattCalcs!BG224)</f>
        <v>0</v>
      </c>
      <c r="AD224" s="144">
        <f>IF('PV IN'!$F$4="PV Only",0,BattCalcs!BU224)</f>
        <v>0</v>
      </c>
      <c r="AE224" s="144">
        <f>IF('PV IN'!$F$4="PV Only",PVCalcs!W224+PVCalcs!AA224,IF('PV IN'!$F$4="Battery Only",BattCalcs!AV224+BattCalcs!BH224,PVCalcs!W224+PVCalcs!AA224+BattCalcs!AV224+BattCalcs!BH224))</f>
        <v>0</v>
      </c>
      <c r="AF224" s="10">
        <f>PVCalcs!AC224+BattCalcs!BJ224</f>
        <v>0</v>
      </c>
      <c r="AG224" s="144">
        <f>IF('PV IN'!$F$4="Battery Only",0,PVCalcs!AG224)</f>
        <v>-750</v>
      </c>
      <c r="AH224" s="144">
        <f>IF('PV IN'!$F$4="Battery Only",0,PVCalcs!AI224)</f>
        <v>0</v>
      </c>
      <c r="AI224" s="144">
        <f>IF('PV IN'!$F$4="PV Only",0,BattCalcs!BM224)</f>
        <v>0</v>
      </c>
      <c r="AJ224" s="144">
        <f>IF('PV IN'!$F$4="PV Only",0,SUM(BattCalcs!BO224:BT224))</f>
        <v>0</v>
      </c>
      <c r="AK224" s="144">
        <f>IF('PV IN'!$F$4="PV Only",PVCalcs!AH224,IF('PV IN'!$F$4="Battery Only",BattCalcs!BN224,PVCalcs!AH224+BattCalcs!BN224))</f>
        <v>-625</v>
      </c>
      <c r="AL224" s="144">
        <f>IF('PV IN'!$F$4="PV Only",0,BattCalcs!BV224)</f>
        <v>0</v>
      </c>
      <c r="AM224" s="144">
        <f>IF('PV IN'!$F$4="PV Only",0,SUM(BattCalcs!BW224:BX224))</f>
        <v>0</v>
      </c>
      <c r="AN224" s="144">
        <f>IF('PV IN'!$F$4="PV Only",0,BattCalcs!BY224)</f>
        <v>0</v>
      </c>
      <c r="AO224" s="144">
        <f>IF('PV IN'!$F$4="Battery Only",0,PVCalcs!U224)</f>
        <v>11019.195376647031</v>
      </c>
      <c r="AP224" s="10">
        <f>IF('PV IN'!$F$4="PV Only",0,BattCalcs!AS224)</f>
        <v>0</v>
      </c>
      <c r="AQ224" s="10">
        <f>IF('PV IN'!$F$4="PV Only",0,BattCalcs!AT224)</f>
        <v>0</v>
      </c>
      <c r="AR224" s="10">
        <f>IF('PV IN'!$F$4="PV Only",0,BattCalcs!AU224)</f>
        <v>0</v>
      </c>
      <c r="AS224" s="144">
        <f>IF('PV IN'!$F$4="PV Only",PVCalcs!X224,IF('PV IN'!$F$4="Battery Only",BattCalcs!AW224,PVCalcs!X224+BattCalcs!AW224))</f>
        <v>0</v>
      </c>
      <c r="AT224" s="144">
        <f>IF('PV IN'!$F$4="Battery Only",0,-PVCalcs!AQ224*'PV IN'!$E$8)</f>
        <v>0</v>
      </c>
      <c r="AU224" s="144">
        <f>IF('PV IN'!$F$4="PV Only",0,-BattCalcs!CG224*'PV IN'!$E$8)</f>
        <v>0</v>
      </c>
      <c r="AV224" s="144">
        <f>IF('PV IN'!$F$4="PV Only",PVCalcs!Z224+PVCalcs!AA224,IF('PV IN'!$F$4="Battery Only",SUM(BattCalcs!BC224:BH224),PVCalcs!Z224+PVCalcs!AA224+SUM(BattCalcs!BC224:BH224)))</f>
        <v>0</v>
      </c>
      <c r="AW224" s="144">
        <f>IF('PV IN'!$F$4="PV Only",SUM(PVCalcs!AF224:AI224),IF('PV IN'!$F$4="Battery Only",SUM(BattCalcs!BL224:BY224),SUM(PVCalcs!AF224:AI224)+SUM(BattCalcs!BL224:BY224)))</f>
        <v>-1375</v>
      </c>
      <c r="AX224" s="144">
        <f>IF('PV IN'!$F$4="Battery Only",0,-PVLoan!F252)</f>
        <v>0</v>
      </c>
      <c r="AY224" s="144">
        <f>IF('PV IN'!$F$4="PV Only",0,-BattLoan!F252)</f>
        <v>0</v>
      </c>
      <c r="AZ224" s="144">
        <f>IF('PV IN'!$F$4="Battery Only",0,-PVLoan!H252)</f>
        <v>0</v>
      </c>
      <c r="BA224" s="144">
        <f>IF('PV IN'!$F$4="PV Only",0,-BattLoan!H252)</f>
        <v>0</v>
      </c>
    </row>
    <row r="225" spans="1:88" x14ac:dyDescent="0.25">
      <c r="A225">
        <f>IF(C225&lt;='PV IN'!$O$22*12,C225,"")</f>
        <v>221</v>
      </c>
      <c r="C225">
        <v>221</v>
      </c>
      <c r="D225" s="2">
        <f>BattCalcs!CK225+PVCalcs!AT225</f>
        <v>9925.5992463959337</v>
      </c>
      <c r="E225" s="20">
        <f>PVCalcs!AV225</f>
        <v>1184210.116581385</v>
      </c>
      <c r="F225" s="20">
        <f>PVCalcs!AW225</f>
        <v>4041.2943006004275</v>
      </c>
      <c r="G225" s="20">
        <f>PVCalcs!AX225</f>
        <v>359161.279125539</v>
      </c>
      <c r="H225" s="20">
        <f>BattCalcs!CM225</f>
        <v>0</v>
      </c>
      <c r="I225" s="20">
        <f>BattCalcs!CN225</f>
        <v>0</v>
      </c>
      <c r="J225" s="20">
        <f>IF(C225&lt;='Batt IN'!H$43*12,BattCalcs!CO225,NA())</f>
        <v>0</v>
      </c>
      <c r="L225" s="20">
        <f t="shared" si="518"/>
        <v>4041.2943006004275</v>
      </c>
      <c r="M225" s="20">
        <f>G225+BattCalcs!CO225</f>
        <v>359161.279125539</v>
      </c>
      <c r="O225" s="10">
        <f>PVLoan!G253</f>
        <v>0</v>
      </c>
      <c r="P225" s="10">
        <f>PVLoan!J253</f>
        <v>0</v>
      </c>
      <c r="Q225" s="2" t="str">
        <f>BattLoan!G253</f>
        <v>-</v>
      </c>
      <c r="R225" s="10" t="str">
        <f>BattLoan!J253</f>
        <v>-</v>
      </c>
      <c r="T225" s="33">
        <f>IF('PV IN'!$F$4="Battery Only",0,PVCalcs!G225)</f>
        <v>131689.78179386858</v>
      </c>
      <c r="U225" s="33">
        <f>IF('PV IN'!$F$4="Battery Only",0,PVCalcs!M225)</f>
        <v>131689.78179386858</v>
      </c>
      <c r="V225" s="33">
        <f>PVCalcs!L225</f>
        <v>25811.765833333331</v>
      </c>
      <c r="W225" s="158">
        <f>PVCalcs!F225</f>
        <v>8.3619617987009537E-2</v>
      </c>
      <c r="X225" s="144">
        <f>IF('PV IN'!$F$4="Battery Only",0,PVCalcs!Y225+PVCalcs!Z225)</f>
        <v>0</v>
      </c>
      <c r="Y225" s="144">
        <f>IF('PV IN'!$F$4="PV Only",0,BattCalcs!AX225+BattCalcs!BC225)</f>
        <v>0</v>
      </c>
      <c r="Z225" s="144">
        <f>IF('PV IN'!$F$4="PV Only",0,BattCalcs!AY225+BattCalcs!BD225)</f>
        <v>0</v>
      </c>
      <c r="AA225" s="144">
        <f>IF('PV IN'!$F$4="PV Only",0,BattCalcs!AZ225+BattCalcs!BE225)</f>
        <v>0</v>
      </c>
      <c r="AB225" s="144">
        <f>IF('PV IN'!$F$4="PV Only",0,BattCalcs!BA225+BattCalcs!BF225)</f>
        <v>0</v>
      </c>
      <c r="AC225" s="144">
        <f>IF('PV IN'!$F$4="PV Only",0,BattCalcs!BB225+BattCalcs!BG225)</f>
        <v>0</v>
      </c>
      <c r="AD225" s="144">
        <f>IF('PV IN'!$F$4="PV Only",0,BattCalcs!BU225)</f>
        <v>0</v>
      </c>
      <c r="AE225" s="144">
        <f>IF('PV IN'!$F$4="PV Only",PVCalcs!W225+PVCalcs!AA225,IF('PV IN'!$F$4="Battery Only",BattCalcs!AV225+BattCalcs!BH225,PVCalcs!W225+PVCalcs!AA225+BattCalcs!AV225+BattCalcs!BH225))</f>
        <v>0</v>
      </c>
      <c r="AF225" s="10">
        <f>PVCalcs!AC225+BattCalcs!BJ225</f>
        <v>0</v>
      </c>
      <c r="AG225" s="144">
        <f>IF('PV IN'!$F$4="Battery Only",0,PVCalcs!AG225)</f>
        <v>-750</v>
      </c>
      <c r="AH225" s="144">
        <f>IF('PV IN'!$F$4="Battery Only",0,PVCalcs!AI225)</f>
        <v>0</v>
      </c>
      <c r="AI225" s="144">
        <f>IF('PV IN'!$F$4="PV Only",0,BattCalcs!BM225)</f>
        <v>0</v>
      </c>
      <c r="AJ225" s="144">
        <f>IF('PV IN'!$F$4="PV Only",0,SUM(BattCalcs!BO225:BT225))</f>
        <v>0</v>
      </c>
      <c r="AK225" s="144">
        <f>IF('PV IN'!$F$4="PV Only",PVCalcs!AH225,IF('PV IN'!$F$4="Battery Only",BattCalcs!BN225,PVCalcs!AH225+BattCalcs!BN225))</f>
        <v>-625</v>
      </c>
      <c r="AL225" s="144">
        <f>IF('PV IN'!$F$4="PV Only",0,BattCalcs!BV225)</f>
        <v>0</v>
      </c>
      <c r="AM225" s="144">
        <f>IF('PV IN'!$F$4="PV Only",0,SUM(BattCalcs!BW225:BX225))</f>
        <v>0</v>
      </c>
      <c r="AN225" s="144">
        <f>IF('PV IN'!$F$4="PV Only",0,BattCalcs!BY225)</f>
        <v>0</v>
      </c>
      <c r="AO225" s="144">
        <f>IF('PV IN'!$F$4="Battery Only",0,PVCalcs!U225)</f>
        <v>11011.849246395934</v>
      </c>
      <c r="AP225" s="10">
        <f>IF('PV IN'!$F$4="PV Only",0,BattCalcs!AS225)</f>
        <v>0</v>
      </c>
      <c r="AQ225" s="10">
        <f>IF('PV IN'!$F$4="PV Only",0,BattCalcs!AT225)</f>
        <v>0</v>
      </c>
      <c r="AR225" s="10">
        <f>IF('PV IN'!$F$4="PV Only",0,BattCalcs!AU225)</f>
        <v>0</v>
      </c>
      <c r="AS225" s="144">
        <f>IF('PV IN'!$F$4="PV Only",PVCalcs!X225,IF('PV IN'!$F$4="Battery Only",BattCalcs!AW225,PVCalcs!X225+BattCalcs!AW225))</f>
        <v>0</v>
      </c>
      <c r="AT225" s="144">
        <f>IF('PV IN'!$F$4="Battery Only",0,-PVCalcs!AQ225*'PV IN'!$E$8)</f>
        <v>0</v>
      </c>
      <c r="AU225" s="144">
        <f>IF('PV IN'!$F$4="PV Only",0,-BattCalcs!CG225*'PV IN'!$E$8)</f>
        <v>0</v>
      </c>
      <c r="AV225" s="144">
        <f>IF('PV IN'!$F$4="PV Only",PVCalcs!Z225+PVCalcs!AA225,IF('PV IN'!$F$4="Battery Only",SUM(BattCalcs!BC225:BH225),PVCalcs!Z225+PVCalcs!AA225+SUM(BattCalcs!BC225:BH225)))</f>
        <v>0</v>
      </c>
      <c r="AW225" s="144">
        <f>IF('PV IN'!$F$4="PV Only",SUM(PVCalcs!AF225:AI225),IF('PV IN'!$F$4="Battery Only",SUM(BattCalcs!BL225:BY225),SUM(PVCalcs!AF225:AI225)+SUM(BattCalcs!BL225:BY225)))</f>
        <v>-1375</v>
      </c>
      <c r="AX225" s="144">
        <f>IF('PV IN'!$F$4="Battery Only",0,-PVLoan!F253)</f>
        <v>0</v>
      </c>
      <c r="AY225" s="144">
        <f>IF('PV IN'!$F$4="PV Only",0,-BattLoan!F253)</f>
        <v>0</v>
      </c>
      <c r="AZ225" s="144">
        <f>IF('PV IN'!$F$4="Battery Only",0,-PVLoan!H253)</f>
        <v>0</v>
      </c>
      <c r="BA225" s="144">
        <f>IF('PV IN'!$F$4="PV Only",0,-BattLoan!H253)</f>
        <v>0</v>
      </c>
    </row>
    <row r="226" spans="1:88" x14ac:dyDescent="0.25">
      <c r="A226">
        <f>IF(C226&lt;='PV IN'!$O$22*12,C226,"")</f>
        <v>222</v>
      </c>
      <c r="C226">
        <v>222</v>
      </c>
      <c r="D226" s="2">
        <f>BattCalcs!CK226+PVCalcs!AT226</f>
        <v>9918.2580135650023</v>
      </c>
      <c r="E226" s="20">
        <f>PVCalcs!AV226</f>
        <v>1194128.3745949501</v>
      </c>
      <c r="F226" s="20">
        <f>PVCalcs!AW226</f>
        <v>4021.9194559145185</v>
      </c>
      <c r="G226" s="20">
        <f>PVCalcs!AX226</f>
        <v>363183.19858145353</v>
      </c>
      <c r="H226" s="20">
        <f>BattCalcs!CM226</f>
        <v>0</v>
      </c>
      <c r="I226" s="20">
        <f>BattCalcs!CN226</f>
        <v>0</v>
      </c>
      <c r="J226" s="20">
        <f>IF(C226&lt;='Batt IN'!H$43*12,BattCalcs!CO226,NA())</f>
        <v>0</v>
      </c>
      <c r="L226" s="20">
        <f t="shared" si="518"/>
        <v>4021.9194559145185</v>
      </c>
      <c r="M226" s="20">
        <f>G226+BattCalcs!CO226</f>
        <v>363183.19858145353</v>
      </c>
      <c r="O226" s="10">
        <f>PVLoan!G254</f>
        <v>0</v>
      </c>
      <c r="P226" s="10">
        <f>PVLoan!J254</f>
        <v>0</v>
      </c>
      <c r="Q226" s="2" t="str">
        <f>BattLoan!G254</f>
        <v>-</v>
      </c>
      <c r="R226" s="10" t="str">
        <f>BattLoan!J254</f>
        <v>-</v>
      </c>
      <c r="T226" s="33">
        <f>IF('PV IN'!$F$4="Battery Only",0,PVCalcs!G226)</f>
        <v>131601.98860600599</v>
      </c>
      <c r="U226" s="33">
        <f>IF('PV IN'!$F$4="Battery Only",0,PVCalcs!M226)</f>
        <v>131601.98860600599</v>
      </c>
      <c r="V226" s="33">
        <f>PVCalcs!L226</f>
        <v>25811.765833333331</v>
      </c>
      <c r="W226" s="158">
        <f>PVCalcs!F226</f>
        <v>8.3619617987009537E-2</v>
      </c>
      <c r="X226" s="144">
        <f>IF('PV IN'!$F$4="Battery Only",0,PVCalcs!Y226+PVCalcs!Z226)</f>
        <v>0</v>
      </c>
      <c r="Y226" s="144">
        <f>IF('PV IN'!$F$4="PV Only",0,BattCalcs!AX226+BattCalcs!BC226)</f>
        <v>0</v>
      </c>
      <c r="Z226" s="144">
        <f>IF('PV IN'!$F$4="PV Only",0,BattCalcs!AY226+BattCalcs!BD226)</f>
        <v>0</v>
      </c>
      <c r="AA226" s="144">
        <f>IF('PV IN'!$F$4="PV Only",0,BattCalcs!AZ226+BattCalcs!BE226)</f>
        <v>0</v>
      </c>
      <c r="AB226" s="144">
        <f>IF('PV IN'!$F$4="PV Only",0,BattCalcs!BA226+BattCalcs!BF226)</f>
        <v>0</v>
      </c>
      <c r="AC226" s="144">
        <f>IF('PV IN'!$F$4="PV Only",0,BattCalcs!BB226+BattCalcs!BG226)</f>
        <v>0</v>
      </c>
      <c r="AD226" s="144">
        <f>IF('PV IN'!$F$4="PV Only",0,BattCalcs!BU226)</f>
        <v>0</v>
      </c>
      <c r="AE226" s="144">
        <f>IF('PV IN'!$F$4="PV Only",PVCalcs!W226+PVCalcs!AA226,IF('PV IN'!$F$4="Battery Only",BattCalcs!AV226+BattCalcs!BH226,PVCalcs!W226+PVCalcs!AA226+BattCalcs!AV226+BattCalcs!BH226))</f>
        <v>0</v>
      </c>
      <c r="AF226" s="10">
        <f>PVCalcs!AC226+BattCalcs!BJ226</f>
        <v>0</v>
      </c>
      <c r="AG226" s="144">
        <f>IF('PV IN'!$F$4="Battery Only",0,PVCalcs!AG226)</f>
        <v>-750</v>
      </c>
      <c r="AH226" s="144">
        <f>IF('PV IN'!$F$4="Battery Only",0,PVCalcs!AI226)</f>
        <v>0</v>
      </c>
      <c r="AI226" s="144">
        <f>IF('PV IN'!$F$4="PV Only",0,BattCalcs!BM226)</f>
        <v>0</v>
      </c>
      <c r="AJ226" s="144">
        <f>IF('PV IN'!$F$4="PV Only",0,SUM(BattCalcs!BO226:BT226))</f>
        <v>0</v>
      </c>
      <c r="AK226" s="144">
        <f>IF('PV IN'!$F$4="PV Only",PVCalcs!AH226,IF('PV IN'!$F$4="Battery Only",BattCalcs!BN226,PVCalcs!AH226+BattCalcs!BN226))</f>
        <v>-625</v>
      </c>
      <c r="AL226" s="144">
        <f>IF('PV IN'!$F$4="PV Only",0,BattCalcs!BV226)</f>
        <v>0</v>
      </c>
      <c r="AM226" s="144">
        <f>IF('PV IN'!$F$4="PV Only",0,SUM(BattCalcs!BW226:BX226))</f>
        <v>0</v>
      </c>
      <c r="AN226" s="144">
        <f>IF('PV IN'!$F$4="PV Only",0,BattCalcs!BY226)</f>
        <v>0</v>
      </c>
      <c r="AO226" s="144">
        <f>IF('PV IN'!$F$4="Battery Only",0,PVCalcs!U226)</f>
        <v>11004.508013565002</v>
      </c>
      <c r="AP226" s="10">
        <f>IF('PV IN'!$F$4="PV Only",0,BattCalcs!AS226)</f>
        <v>0</v>
      </c>
      <c r="AQ226" s="10">
        <f>IF('PV IN'!$F$4="PV Only",0,BattCalcs!AT226)</f>
        <v>0</v>
      </c>
      <c r="AR226" s="10">
        <f>IF('PV IN'!$F$4="PV Only",0,BattCalcs!AU226)</f>
        <v>0</v>
      </c>
      <c r="AS226" s="144">
        <f>IF('PV IN'!$F$4="PV Only",PVCalcs!X226,IF('PV IN'!$F$4="Battery Only",BattCalcs!AW226,PVCalcs!X226+BattCalcs!AW226))</f>
        <v>0</v>
      </c>
      <c r="AT226" s="144">
        <f>IF('PV IN'!$F$4="Battery Only",0,-PVCalcs!AQ226*'PV IN'!$E$8)</f>
        <v>0</v>
      </c>
      <c r="AU226" s="144">
        <f>IF('PV IN'!$F$4="PV Only",0,-BattCalcs!CG226*'PV IN'!$E$8)</f>
        <v>0</v>
      </c>
      <c r="AV226" s="144">
        <f>IF('PV IN'!$F$4="PV Only",PVCalcs!Z226+PVCalcs!AA226,IF('PV IN'!$F$4="Battery Only",SUM(BattCalcs!BC226:BH226),PVCalcs!Z226+PVCalcs!AA226+SUM(BattCalcs!BC226:BH226)))</f>
        <v>0</v>
      </c>
      <c r="AW226" s="144">
        <f>IF('PV IN'!$F$4="PV Only",SUM(PVCalcs!AF226:AI226),IF('PV IN'!$F$4="Battery Only",SUM(BattCalcs!BL226:BY226),SUM(PVCalcs!AF226:AI226)+SUM(BattCalcs!BL226:BY226)))</f>
        <v>-1375</v>
      </c>
      <c r="AX226" s="144">
        <f>IF('PV IN'!$F$4="Battery Only",0,-PVLoan!F254)</f>
        <v>0</v>
      </c>
      <c r="AY226" s="144">
        <f>IF('PV IN'!$F$4="PV Only",0,-BattLoan!F254)</f>
        <v>0</v>
      </c>
      <c r="AZ226" s="144">
        <f>IF('PV IN'!$F$4="Battery Only",0,-PVLoan!H254)</f>
        <v>0</v>
      </c>
      <c r="BA226" s="144">
        <f>IF('PV IN'!$F$4="PV Only",0,-BattLoan!H254)</f>
        <v>0</v>
      </c>
    </row>
    <row r="227" spans="1:88" x14ac:dyDescent="0.25">
      <c r="A227">
        <f>IF(C227&lt;='PV IN'!$O$22*12,C227,"")</f>
        <v>223</v>
      </c>
      <c r="C227">
        <v>223</v>
      </c>
      <c r="D227" s="2">
        <f>BattCalcs!CK227+PVCalcs!AT227</f>
        <v>9910.9216748892904</v>
      </c>
      <c r="E227" s="20">
        <f>PVCalcs!AV227</f>
        <v>1204039.2962698394</v>
      </c>
      <c r="F227" s="20">
        <f>PVCalcs!AW227</f>
        <v>4002.6372821388463</v>
      </c>
      <c r="G227" s="20">
        <f>PVCalcs!AX227</f>
        <v>367185.83586359239</v>
      </c>
      <c r="H227" s="20">
        <f>BattCalcs!CM227</f>
        <v>0</v>
      </c>
      <c r="I227" s="20">
        <f>BattCalcs!CN227</f>
        <v>0</v>
      </c>
      <c r="J227" s="20">
        <f>IF(C227&lt;='Batt IN'!H$43*12,BattCalcs!CO227,NA())</f>
        <v>0</v>
      </c>
      <c r="L227" s="20">
        <f t="shared" si="518"/>
        <v>4002.6372821388463</v>
      </c>
      <c r="M227" s="20">
        <f>G227+BattCalcs!CO227</f>
        <v>367185.83586359239</v>
      </c>
      <c r="O227" s="10">
        <f>PVLoan!G255</f>
        <v>0</v>
      </c>
      <c r="P227" s="10">
        <f>PVLoan!J255</f>
        <v>0</v>
      </c>
      <c r="Q227" s="2" t="str">
        <f>BattLoan!G255</f>
        <v>-</v>
      </c>
      <c r="R227" s="10" t="str">
        <f>BattLoan!J255</f>
        <v>-</v>
      </c>
      <c r="T227" s="33">
        <f>IF('PV IN'!$F$4="Battery Only",0,PVCalcs!G227)</f>
        <v>131514.25394693529</v>
      </c>
      <c r="U227" s="33">
        <f>IF('PV IN'!$F$4="Battery Only",0,PVCalcs!M227)</f>
        <v>131514.25394693529</v>
      </c>
      <c r="V227" s="33">
        <f>PVCalcs!L227</f>
        <v>25811.765833333331</v>
      </c>
      <c r="W227" s="158">
        <f>PVCalcs!F227</f>
        <v>8.3619617987009537E-2</v>
      </c>
      <c r="X227" s="144">
        <f>IF('PV IN'!$F$4="Battery Only",0,PVCalcs!Y227+PVCalcs!Z227)</f>
        <v>0</v>
      </c>
      <c r="Y227" s="144">
        <f>IF('PV IN'!$F$4="PV Only",0,BattCalcs!AX227+BattCalcs!BC227)</f>
        <v>0</v>
      </c>
      <c r="Z227" s="144">
        <f>IF('PV IN'!$F$4="PV Only",0,BattCalcs!AY227+BattCalcs!BD227)</f>
        <v>0</v>
      </c>
      <c r="AA227" s="144">
        <f>IF('PV IN'!$F$4="PV Only",0,BattCalcs!AZ227+BattCalcs!BE227)</f>
        <v>0</v>
      </c>
      <c r="AB227" s="144">
        <f>IF('PV IN'!$F$4="PV Only",0,BattCalcs!BA227+BattCalcs!BF227)</f>
        <v>0</v>
      </c>
      <c r="AC227" s="144">
        <f>IF('PV IN'!$F$4="PV Only",0,BattCalcs!BB227+BattCalcs!BG227)</f>
        <v>0</v>
      </c>
      <c r="AD227" s="144">
        <f>IF('PV IN'!$F$4="PV Only",0,BattCalcs!BU227)</f>
        <v>0</v>
      </c>
      <c r="AE227" s="144">
        <f>IF('PV IN'!$F$4="PV Only",PVCalcs!W227+PVCalcs!AA227,IF('PV IN'!$F$4="Battery Only",BattCalcs!AV227+BattCalcs!BH227,PVCalcs!W227+PVCalcs!AA227+BattCalcs!AV227+BattCalcs!BH227))</f>
        <v>0</v>
      </c>
      <c r="AF227" s="10">
        <f>PVCalcs!AC227+BattCalcs!BJ227</f>
        <v>0</v>
      </c>
      <c r="AG227" s="144">
        <f>IF('PV IN'!$F$4="Battery Only",0,PVCalcs!AG227)</f>
        <v>-750</v>
      </c>
      <c r="AH227" s="144">
        <f>IF('PV IN'!$F$4="Battery Only",0,PVCalcs!AI227)</f>
        <v>0</v>
      </c>
      <c r="AI227" s="144">
        <f>IF('PV IN'!$F$4="PV Only",0,BattCalcs!BM227)</f>
        <v>0</v>
      </c>
      <c r="AJ227" s="144">
        <f>IF('PV IN'!$F$4="PV Only",0,SUM(BattCalcs!BO227:BT227))</f>
        <v>0</v>
      </c>
      <c r="AK227" s="144">
        <f>IF('PV IN'!$F$4="PV Only",PVCalcs!AH227,IF('PV IN'!$F$4="Battery Only",BattCalcs!BN227,PVCalcs!AH227+BattCalcs!BN227))</f>
        <v>-625</v>
      </c>
      <c r="AL227" s="144">
        <f>IF('PV IN'!$F$4="PV Only",0,BattCalcs!BV227)</f>
        <v>0</v>
      </c>
      <c r="AM227" s="144">
        <f>IF('PV IN'!$F$4="PV Only",0,SUM(BattCalcs!BW227:BX227))</f>
        <v>0</v>
      </c>
      <c r="AN227" s="144">
        <f>IF('PV IN'!$F$4="PV Only",0,BattCalcs!BY227)</f>
        <v>0</v>
      </c>
      <c r="AO227" s="144">
        <f>IF('PV IN'!$F$4="Battery Only",0,PVCalcs!U227)</f>
        <v>10997.17167488929</v>
      </c>
      <c r="AP227" s="10">
        <f>IF('PV IN'!$F$4="PV Only",0,BattCalcs!AS227)</f>
        <v>0</v>
      </c>
      <c r="AQ227" s="10">
        <f>IF('PV IN'!$F$4="PV Only",0,BattCalcs!AT227)</f>
        <v>0</v>
      </c>
      <c r="AR227" s="10">
        <f>IF('PV IN'!$F$4="PV Only",0,BattCalcs!AU227)</f>
        <v>0</v>
      </c>
      <c r="AS227" s="144">
        <f>IF('PV IN'!$F$4="PV Only",PVCalcs!X227,IF('PV IN'!$F$4="Battery Only",BattCalcs!AW227,PVCalcs!X227+BattCalcs!AW227))</f>
        <v>0</v>
      </c>
      <c r="AT227" s="144">
        <f>IF('PV IN'!$F$4="Battery Only",0,-PVCalcs!AQ227*'PV IN'!$E$8)</f>
        <v>0</v>
      </c>
      <c r="AU227" s="144">
        <f>IF('PV IN'!$F$4="PV Only",0,-BattCalcs!CG227*'PV IN'!$E$8)</f>
        <v>0</v>
      </c>
      <c r="AV227" s="144">
        <f>IF('PV IN'!$F$4="PV Only",PVCalcs!Z227+PVCalcs!AA227,IF('PV IN'!$F$4="Battery Only",SUM(BattCalcs!BC227:BH227),PVCalcs!Z227+PVCalcs!AA227+SUM(BattCalcs!BC227:BH227)))</f>
        <v>0</v>
      </c>
      <c r="AW227" s="144">
        <f>IF('PV IN'!$F$4="PV Only",SUM(PVCalcs!AF227:AI227),IF('PV IN'!$F$4="Battery Only",SUM(BattCalcs!BL227:BY227),SUM(PVCalcs!AF227:AI227)+SUM(BattCalcs!BL227:BY227)))</f>
        <v>-1375</v>
      </c>
      <c r="AX227" s="144">
        <f>IF('PV IN'!$F$4="Battery Only",0,-PVLoan!F255)</f>
        <v>0</v>
      </c>
      <c r="AY227" s="144">
        <f>IF('PV IN'!$F$4="PV Only",0,-BattLoan!F255)</f>
        <v>0</v>
      </c>
      <c r="AZ227" s="144">
        <f>IF('PV IN'!$F$4="Battery Only",0,-PVLoan!H255)</f>
        <v>0</v>
      </c>
      <c r="BA227" s="144">
        <f>IF('PV IN'!$F$4="PV Only",0,-BattLoan!H255)</f>
        <v>0</v>
      </c>
    </row>
    <row r="228" spans="1:88" x14ac:dyDescent="0.25">
      <c r="A228">
        <f>IF(C228&lt;='PV IN'!$O$22*12,C228,"")</f>
        <v>224</v>
      </c>
      <c r="C228">
        <v>224</v>
      </c>
      <c r="D228" s="2">
        <f>BattCalcs!CK228+PVCalcs!AT228</f>
        <v>9903.5902271060331</v>
      </c>
      <c r="E228" s="20">
        <f>PVCalcs!AV228</f>
        <v>1213942.8864969455</v>
      </c>
      <c r="F228" s="20">
        <f>PVCalcs!AW228</f>
        <v>3983.4473368879417</v>
      </c>
      <c r="G228" s="20">
        <f>PVCalcs!AX228</f>
        <v>371169.28320048033</v>
      </c>
      <c r="H228" s="20">
        <f>BattCalcs!CM228</f>
        <v>0</v>
      </c>
      <c r="I228" s="20">
        <f>BattCalcs!CN228</f>
        <v>0</v>
      </c>
      <c r="J228" s="20">
        <f>IF(C228&lt;='Batt IN'!H$43*12,BattCalcs!CO228,NA())</f>
        <v>0</v>
      </c>
      <c r="L228" s="20">
        <f t="shared" si="518"/>
        <v>3983.4473368879417</v>
      </c>
      <c r="M228" s="20">
        <f>G228+BattCalcs!CO228</f>
        <v>371169.28320048033</v>
      </c>
      <c r="O228" s="10">
        <f>PVLoan!G256</f>
        <v>0</v>
      </c>
      <c r="P228" s="10">
        <f>PVLoan!J256</f>
        <v>0</v>
      </c>
      <c r="Q228" s="2" t="str">
        <f>BattLoan!G256</f>
        <v>-</v>
      </c>
      <c r="R228" s="10" t="str">
        <f>BattLoan!J256</f>
        <v>-</v>
      </c>
      <c r="T228" s="33">
        <f>IF('PV IN'!$F$4="Battery Only",0,PVCalcs!G228)</f>
        <v>131426.57777763737</v>
      </c>
      <c r="U228" s="33">
        <f>IF('PV IN'!$F$4="Battery Only",0,PVCalcs!M228)</f>
        <v>131426.57777763737</v>
      </c>
      <c r="V228" s="33">
        <f>PVCalcs!L228</f>
        <v>25811.765833333331</v>
      </c>
      <c r="W228" s="158">
        <f>PVCalcs!F228</f>
        <v>8.3619617987009537E-2</v>
      </c>
      <c r="X228" s="144">
        <f>IF('PV IN'!$F$4="Battery Only",0,PVCalcs!Y228+PVCalcs!Z228)</f>
        <v>0</v>
      </c>
      <c r="Y228" s="144">
        <f>IF('PV IN'!$F$4="PV Only",0,BattCalcs!AX228+BattCalcs!BC228)</f>
        <v>0</v>
      </c>
      <c r="Z228" s="144">
        <f>IF('PV IN'!$F$4="PV Only",0,BattCalcs!AY228+BattCalcs!BD228)</f>
        <v>0</v>
      </c>
      <c r="AA228" s="144">
        <f>IF('PV IN'!$F$4="PV Only",0,BattCalcs!AZ228+BattCalcs!BE228)</f>
        <v>0</v>
      </c>
      <c r="AB228" s="144">
        <f>IF('PV IN'!$F$4="PV Only",0,BattCalcs!BA228+BattCalcs!BF228)</f>
        <v>0</v>
      </c>
      <c r="AC228" s="144">
        <f>IF('PV IN'!$F$4="PV Only",0,BattCalcs!BB228+BattCalcs!BG228)</f>
        <v>0</v>
      </c>
      <c r="AD228" s="144">
        <f>IF('PV IN'!$F$4="PV Only",0,BattCalcs!BU228)</f>
        <v>0</v>
      </c>
      <c r="AE228" s="144">
        <f>IF('PV IN'!$F$4="PV Only",PVCalcs!W228+PVCalcs!AA228,IF('PV IN'!$F$4="Battery Only",BattCalcs!AV228+BattCalcs!BH228,PVCalcs!W228+PVCalcs!AA228+BattCalcs!AV228+BattCalcs!BH228))</f>
        <v>0</v>
      </c>
      <c r="AF228" s="10">
        <f>PVCalcs!AC228+BattCalcs!BJ228</f>
        <v>0</v>
      </c>
      <c r="AG228" s="144">
        <f>IF('PV IN'!$F$4="Battery Only",0,PVCalcs!AG228)</f>
        <v>-750</v>
      </c>
      <c r="AH228" s="144">
        <f>IF('PV IN'!$F$4="Battery Only",0,PVCalcs!AI228)</f>
        <v>0</v>
      </c>
      <c r="AI228" s="144">
        <f>IF('PV IN'!$F$4="PV Only",0,BattCalcs!BM228)</f>
        <v>0</v>
      </c>
      <c r="AJ228" s="144">
        <f>IF('PV IN'!$F$4="PV Only",0,SUM(BattCalcs!BO228:BT228))</f>
        <v>0</v>
      </c>
      <c r="AK228" s="144">
        <f>IF('PV IN'!$F$4="PV Only",PVCalcs!AH228,IF('PV IN'!$F$4="Battery Only",BattCalcs!BN228,PVCalcs!AH228+BattCalcs!BN228))</f>
        <v>-625</v>
      </c>
      <c r="AL228" s="144">
        <f>IF('PV IN'!$F$4="PV Only",0,BattCalcs!BV228)</f>
        <v>0</v>
      </c>
      <c r="AM228" s="144">
        <f>IF('PV IN'!$F$4="PV Only",0,SUM(BattCalcs!BW228:BX228))</f>
        <v>0</v>
      </c>
      <c r="AN228" s="144">
        <f>IF('PV IN'!$F$4="PV Only",0,BattCalcs!BY228)</f>
        <v>0</v>
      </c>
      <c r="AO228" s="144">
        <f>IF('PV IN'!$F$4="Battery Only",0,PVCalcs!U228)</f>
        <v>10989.840227106033</v>
      </c>
      <c r="AP228" s="10">
        <f>IF('PV IN'!$F$4="PV Only",0,BattCalcs!AS228)</f>
        <v>0</v>
      </c>
      <c r="AQ228" s="10">
        <f>IF('PV IN'!$F$4="PV Only",0,BattCalcs!AT228)</f>
        <v>0</v>
      </c>
      <c r="AR228" s="10">
        <f>IF('PV IN'!$F$4="PV Only",0,BattCalcs!AU228)</f>
        <v>0</v>
      </c>
      <c r="AS228" s="144">
        <f>IF('PV IN'!$F$4="PV Only",PVCalcs!X228,IF('PV IN'!$F$4="Battery Only",BattCalcs!AW228,PVCalcs!X228+BattCalcs!AW228))</f>
        <v>0</v>
      </c>
      <c r="AT228" s="144">
        <f>IF('PV IN'!$F$4="Battery Only",0,-PVCalcs!AQ228*'PV IN'!$E$8)</f>
        <v>0</v>
      </c>
      <c r="AU228" s="144">
        <f>IF('PV IN'!$F$4="PV Only",0,-BattCalcs!CG228*'PV IN'!$E$8)</f>
        <v>0</v>
      </c>
      <c r="AV228" s="144">
        <f>IF('PV IN'!$F$4="PV Only",PVCalcs!Z228+PVCalcs!AA228,IF('PV IN'!$F$4="Battery Only",SUM(BattCalcs!BC228:BH228),PVCalcs!Z228+PVCalcs!AA228+SUM(BattCalcs!BC228:BH228)))</f>
        <v>0</v>
      </c>
      <c r="AW228" s="144">
        <f>IF('PV IN'!$F$4="PV Only",SUM(PVCalcs!AF228:AI228),IF('PV IN'!$F$4="Battery Only",SUM(BattCalcs!BL228:BY228),SUM(PVCalcs!AF228:AI228)+SUM(BattCalcs!BL228:BY228)))</f>
        <v>-1375</v>
      </c>
      <c r="AX228" s="144">
        <f>IF('PV IN'!$F$4="Battery Only",0,-PVLoan!F256)</f>
        <v>0</v>
      </c>
      <c r="AY228" s="144">
        <f>IF('PV IN'!$F$4="PV Only",0,-BattLoan!F256)</f>
        <v>0</v>
      </c>
      <c r="AZ228" s="144">
        <f>IF('PV IN'!$F$4="Battery Only",0,-PVLoan!H256)</f>
        <v>0</v>
      </c>
      <c r="BA228" s="144">
        <f>IF('PV IN'!$F$4="PV Only",0,-BattLoan!H256)</f>
        <v>0</v>
      </c>
    </row>
    <row r="229" spans="1:88" x14ac:dyDescent="0.25">
      <c r="A229">
        <f>IF(C229&lt;='PV IN'!$O$22*12,C229,"")</f>
        <v>225</v>
      </c>
      <c r="C229">
        <v>225</v>
      </c>
      <c r="D229" s="2">
        <f>BattCalcs!CK229+PVCalcs!AT229</f>
        <v>9896.2636669546282</v>
      </c>
      <c r="E229" s="20">
        <f>PVCalcs!AV229</f>
        <v>1223839.1501639001</v>
      </c>
      <c r="F229" s="20">
        <f>PVCalcs!AW229</f>
        <v>3964.3491798846908</v>
      </c>
      <c r="G229" s="20">
        <f>PVCalcs!AX229</f>
        <v>375133.63238036504</v>
      </c>
      <c r="H229" s="20">
        <f>BattCalcs!CM229</f>
        <v>0</v>
      </c>
      <c r="I229" s="20">
        <f>BattCalcs!CN229</f>
        <v>0</v>
      </c>
      <c r="J229" s="20">
        <f>IF(C229&lt;='Batt IN'!H$43*12,BattCalcs!CO229,NA())</f>
        <v>0</v>
      </c>
      <c r="L229" s="20">
        <f t="shared" si="518"/>
        <v>3964.3491798846908</v>
      </c>
      <c r="M229" s="20">
        <f>G229+BattCalcs!CO229</f>
        <v>375133.63238036504</v>
      </c>
      <c r="O229" s="10">
        <f>PVLoan!G257</f>
        <v>0</v>
      </c>
      <c r="P229" s="10">
        <f>PVLoan!J257</f>
        <v>0</v>
      </c>
      <c r="Q229" s="2" t="str">
        <f>BattLoan!G257</f>
        <v>-</v>
      </c>
      <c r="R229" s="10" t="str">
        <f>BattLoan!J257</f>
        <v>-</v>
      </c>
      <c r="T229" s="33">
        <f>IF('PV IN'!$F$4="Battery Only",0,PVCalcs!G229)</f>
        <v>131338.96005911892</v>
      </c>
      <c r="U229" s="33">
        <f>IF('PV IN'!$F$4="Battery Only",0,PVCalcs!M229)</f>
        <v>131338.96005911892</v>
      </c>
      <c r="V229" s="33">
        <f>PVCalcs!L229</f>
        <v>25811.765833333331</v>
      </c>
      <c r="W229" s="158">
        <f>PVCalcs!F229</f>
        <v>8.3619617987009537E-2</v>
      </c>
      <c r="X229" s="144">
        <f>IF('PV IN'!$F$4="Battery Only",0,PVCalcs!Y229+PVCalcs!Z229)</f>
        <v>0</v>
      </c>
      <c r="Y229" s="144">
        <f>IF('PV IN'!$F$4="PV Only",0,BattCalcs!AX229+BattCalcs!BC229)</f>
        <v>0</v>
      </c>
      <c r="Z229" s="144">
        <f>IF('PV IN'!$F$4="PV Only",0,BattCalcs!AY229+BattCalcs!BD229)</f>
        <v>0</v>
      </c>
      <c r="AA229" s="144">
        <f>IF('PV IN'!$F$4="PV Only",0,BattCalcs!AZ229+BattCalcs!BE229)</f>
        <v>0</v>
      </c>
      <c r="AB229" s="144">
        <f>IF('PV IN'!$F$4="PV Only",0,BattCalcs!BA229+BattCalcs!BF229)</f>
        <v>0</v>
      </c>
      <c r="AC229" s="144">
        <f>IF('PV IN'!$F$4="PV Only",0,BattCalcs!BB229+BattCalcs!BG229)</f>
        <v>0</v>
      </c>
      <c r="AD229" s="144">
        <f>IF('PV IN'!$F$4="PV Only",0,BattCalcs!BU229)</f>
        <v>0</v>
      </c>
      <c r="AE229" s="144">
        <f>IF('PV IN'!$F$4="PV Only",PVCalcs!W229+PVCalcs!AA229,IF('PV IN'!$F$4="Battery Only",BattCalcs!AV229+BattCalcs!BH229,PVCalcs!W229+PVCalcs!AA229+BattCalcs!AV229+BattCalcs!BH229))</f>
        <v>0</v>
      </c>
      <c r="AF229" s="10">
        <f>PVCalcs!AC229+BattCalcs!BJ229</f>
        <v>0</v>
      </c>
      <c r="AG229" s="144">
        <f>IF('PV IN'!$F$4="Battery Only",0,PVCalcs!AG229)</f>
        <v>-750</v>
      </c>
      <c r="AH229" s="144">
        <f>IF('PV IN'!$F$4="Battery Only",0,PVCalcs!AI229)</f>
        <v>0</v>
      </c>
      <c r="AI229" s="144">
        <f>IF('PV IN'!$F$4="PV Only",0,BattCalcs!BM229)</f>
        <v>0</v>
      </c>
      <c r="AJ229" s="144">
        <f>IF('PV IN'!$F$4="PV Only",0,SUM(BattCalcs!BO229:BT229))</f>
        <v>0</v>
      </c>
      <c r="AK229" s="144">
        <f>IF('PV IN'!$F$4="PV Only",PVCalcs!AH229,IF('PV IN'!$F$4="Battery Only",BattCalcs!BN229,PVCalcs!AH229+BattCalcs!BN229))</f>
        <v>-625</v>
      </c>
      <c r="AL229" s="144">
        <f>IF('PV IN'!$F$4="PV Only",0,BattCalcs!BV229)</f>
        <v>0</v>
      </c>
      <c r="AM229" s="144">
        <f>IF('PV IN'!$F$4="PV Only",0,SUM(BattCalcs!BW229:BX229))</f>
        <v>0</v>
      </c>
      <c r="AN229" s="144">
        <f>IF('PV IN'!$F$4="PV Only",0,BattCalcs!BY229)</f>
        <v>0</v>
      </c>
      <c r="AO229" s="144">
        <f>IF('PV IN'!$F$4="Battery Only",0,PVCalcs!U229)</f>
        <v>10982.513666954628</v>
      </c>
      <c r="AP229" s="10">
        <f>IF('PV IN'!$F$4="PV Only",0,BattCalcs!AS229)</f>
        <v>0</v>
      </c>
      <c r="AQ229" s="10">
        <f>IF('PV IN'!$F$4="PV Only",0,BattCalcs!AT229)</f>
        <v>0</v>
      </c>
      <c r="AR229" s="10">
        <f>IF('PV IN'!$F$4="PV Only",0,BattCalcs!AU229)</f>
        <v>0</v>
      </c>
      <c r="AS229" s="144">
        <f>IF('PV IN'!$F$4="PV Only",PVCalcs!X229,IF('PV IN'!$F$4="Battery Only",BattCalcs!AW229,PVCalcs!X229+BattCalcs!AW229))</f>
        <v>0</v>
      </c>
      <c r="AT229" s="144">
        <f>IF('PV IN'!$F$4="Battery Only",0,-PVCalcs!AQ229*'PV IN'!$E$8)</f>
        <v>0</v>
      </c>
      <c r="AU229" s="144">
        <f>IF('PV IN'!$F$4="PV Only",0,-BattCalcs!CG229*'PV IN'!$E$8)</f>
        <v>0</v>
      </c>
      <c r="AV229" s="144">
        <f>IF('PV IN'!$F$4="PV Only",PVCalcs!Z229+PVCalcs!AA229,IF('PV IN'!$F$4="Battery Only",SUM(BattCalcs!BC229:BH229),PVCalcs!Z229+PVCalcs!AA229+SUM(BattCalcs!BC229:BH229)))</f>
        <v>0</v>
      </c>
      <c r="AW229" s="144">
        <f>IF('PV IN'!$F$4="PV Only",SUM(PVCalcs!AF229:AI229),IF('PV IN'!$F$4="Battery Only",SUM(BattCalcs!BL229:BY229),SUM(PVCalcs!AF229:AI229)+SUM(BattCalcs!BL229:BY229)))</f>
        <v>-1375</v>
      </c>
      <c r="AX229" s="144">
        <f>IF('PV IN'!$F$4="Battery Only",0,-PVLoan!F257)</f>
        <v>0</v>
      </c>
      <c r="AY229" s="144">
        <f>IF('PV IN'!$F$4="PV Only",0,-BattLoan!F257)</f>
        <v>0</v>
      </c>
      <c r="AZ229" s="144">
        <f>IF('PV IN'!$F$4="Battery Only",0,-PVLoan!H257)</f>
        <v>0</v>
      </c>
      <c r="BA229" s="144">
        <f>IF('PV IN'!$F$4="PV Only",0,-BattLoan!H257)</f>
        <v>0</v>
      </c>
    </row>
    <row r="230" spans="1:88" x14ac:dyDescent="0.25">
      <c r="A230">
        <f>IF(C230&lt;='PV IN'!$O$22*12,C230,"")</f>
        <v>226</v>
      </c>
      <c r="C230">
        <v>226</v>
      </c>
      <c r="D230" s="2">
        <f>BattCalcs!CK230+PVCalcs!AT230</f>
        <v>9888.9419911766563</v>
      </c>
      <c r="E230" s="20">
        <f>PVCalcs!AV230</f>
        <v>1233728.0921550768</v>
      </c>
      <c r="F230" s="20">
        <f>PVCalcs!AW230</f>
        <v>3945.3423729503152</v>
      </c>
      <c r="G230" s="20">
        <f>PVCalcs!AX230</f>
        <v>379078.97475331539</v>
      </c>
      <c r="H230" s="20">
        <f>BattCalcs!CM230</f>
        <v>0</v>
      </c>
      <c r="I230" s="20">
        <f>BattCalcs!CN230</f>
        <v>0</v>
      </c>
      <c r="J230" s="20">
        <f>IF(C230&lt;='Batt IN'!H$43*12,BattCalcs!CO230,NA())</f>
        <v>0</v>
      </c>
      <c r="L230" s="20">
        <f t="shared" si="518"/>
        <v>3945.3423729503152</v>
      </c>
      <c r="M230" s="20">
        <f>G230+BattCalcs!CO230</f>
        <v>379078.97475331539</v>
      </c>
      <c r="O230" s="10">
        <f>PVLoan!G258</f>
        <v>0</v>
      </c>
      <c r="P230" s="10">
        <f>PVLoan!J258</f>
        <v>0</v>
      </c>
      <c r="Q230" s="2" t="str">
        <f>BattLoan!G258</f>
        <v>-</v>
      </c>
      <c r="R230" s="10" t="str">
        <f>BattLoan!J258</f>
        <v>-</v>
      </c>
      <c r="T230" s="33">
        <f>IF('PV IN'!$F$4="Battery Only",0,PVCalcs!G230)</f>
        <v>131251.40075241282</v>
      </c>
      <c r="U230" s="33">
        <f>IF('PV IN'!$F$4="Battery Only",0,PVCalcs!M230)</f>
        <v>131251.40075241282</v>
      </c>
      <c r="V230" s="33">
        <f>PVCalcs!L230</f>
        <v>25811.765833333331</v>
      </c>
      <c r="W230" s="158">
        <f>PVCalcs!F230</f>
        <v>8.3619617987009537E-2</v>
      </c>
      <c r="X230" s="144">
        <f>IF('PV IN'!$F$4="Battery Only",0,PVCalcs!Y230+PVCalcs!Z230)</f>
        <v>0</v>
      </c>
      <c r="Y230" s="144">
        <f>IF('PV IN'!$F$4="PV Only",0,BattCalcs!AX230+BattCalcs!BC230)</f>
        <v>0</v>
      </c>
      <c r="Z230" s="144">
        <f>IF('PV IN'!$F$4="PV Only",0,BattCalcs!AY230+BattCalcs!BD230)</f>
        <v>0</v>
      </c>
      <c r="AA230" s="144">
        <f>IF('PV IN'!$F$4="PV Only",0,BattCalcs!AZ230+BattCalcs!BE230)</f>
        <v>0</v>
      </c>
      <c r="AB230" s="144">
        <f>IF('PV IN'!$F$4="PV Only",0,BattCalcs!BA230+BattCalcs!BF230)</f>
        <v>0</v>
      </c>
      <c r="AC230" s="144">
        <f>IF('PV IN'!$F$4="PV Only",0,BattCalcs!BB230+BattCalcs!BG230)</f>
        <v>0</v>
      </c>
      <c r="AD230" s="144">
        <f>IF('PV IN'!$F$4="PV Only",0,BattCalcs!BU230)</f>
        <v>0</v>
      </c>
      <c r="AE230" s="144">
        <f>IF('PV IN'!$F$4="PV Only",PVCalcs!W230+PVCalcs!AA230,IF('PV IN'!$F$4="Battery Only",BattCalcs!AV230+BattCalcs!BH230,PVCalcs!W230+PVCalcs!AA230+BattCalcs!AV230+BattCalcs!BH230))</f>
        <v>0</v>
      </c>
      <c r="AF230" s="10">
        <f>PVCalcs!AC230+BattCalcs!BJ230</f>
        <v>0</v>
      </c>
      <c r="AG230" s="144">
        <f>IF('PV IN'!$F$4="Battery Only",0,PVCalcs!AG230)</f>
        <v>-750</v>
      </c>
      <c r="AH230" s="144">
        <f>IF('PV IN'!$F$4="Battery Only",0,PVCalcs!AI230)</f>
        <v>0</v>
      </c>
      <c r="AI230" s="144">
        <f>IF('PV IN'!$F$4="PV Only",0,BattCalcs!BM230)</f>
        <v>0</v>
      </c>
      <c r="AJ230" s="144">
        <f>IF('PV IN'!$F$4="PV Only",0,SUM(BattCalcs!BO230:BT230))</f>
        <v>0</v>
      </c>
      <c r="AK230" s="144">
        <f>IF('PV IN'!$F$4="PV Only",PVCalcs!AH230,IF('PV IN'!$F$4="Battery Only",BattCalcs!BN230,PVCalcs!AH230+BattCalcs!BN230))</f>
        <v>-625</v>
      </c>
      <c r="AL230" s="144">
        <f>IF('PV IN'!$F$4="PV Only",0,BattCalcs!BV230)</f>
        <v>0</v>
      </c>
      <c r="AM230" s="144">
        <f>IF('PV IN'!$F$4="PV Only",0,SUM(BattCalcs!BW230:BX230))</f>
        <v>0</v>
      </c>
      <c r="AN230" s="144">
        <f>IF('PV IN'!$F$4="PV Only",0,BattCalcs!BY230)</f>
        <v>0</v>
      </c>
      <c r="AO230" s="144">
        <f>IF('PV IN'!$F$4="Battery Only",0,PVCalcs!U230)</f>
        <v>10975.191991176656</v>
      </c>
      <c r="AP230" s="10">
        <f>IF('PV IN'!$F$4="PV Only",0,BattCalcs!AS230)</f>
        <v>0</v>
      </c>
      <c r="AQ230" s="10">
        <f>IF('PV IN'!$F$4="PV Only",0,BattCalcs!AT230)</f>
        <v>0</v>
      </c>
      <c r="AR230" s="10">
        <f>IF('PV IN'!$F$4="PV Only",0,BattCalcs!AU230)</f>
        <v>0</v>
      </c>
      <c r="AS230" s="144">
        <f>IF('PV IN'!$F$4="PV Only",PVCalcs!X230,IF('PV IN'!$F$4="Battery Only",BattCalcs!AW230,PVCalcs!X230+BattCalcs!AW230))</f>
        <v>0</v>
      </c>
      <c r="AT230" s="144">
        <f>IF('PV IN'!$F$4="Battery Only",0,-PVCalcs!AQ230*'PV IN'!$E$8)</f>
        <v>0</v>
      </c>
      <c r="AU230" s="144">
        <f>IF('PV IN'!$F$4="PV Only",0,-BattCalcs!CG230*'PV IN'!$E$8)</f>
        <v>0</v>
      </c>
      <c r="AV230" s="144">
        <f>IF('PV IN'!$F$4="PV Only",PVCalcs!Z230+PVCalcs!AA230,IF('PV IN'!$F$4="Battery Only",SUM(BattCalcs!BC230:BH230),PVCalcs!Z230+PVCalcs!AA230+SUM(BattCalcs!BC230:BH230)))</f>
        <v>0</v>
      </c>
      <c r="AW230" s="144">
        <f>IF('PV IN'!$F$4="PV Only",SUM(PVCalcs!AF230:AI230),IF('PV IN'!$F$4="Battery Only",SUM(BattCalcs!BL230:BY230),SUM(PVCalcs!AF230:AI230)+SUM(BattCalcs!BL230:BY230)))</f>
        <v>-1375</v>
      </c>
      <c r="AX230" s="144">
        <f>IF('PV IN'!$F$4="Battery Only",0,-PVLoan!F258)</f>
        <v>0</v>
      </c>
      <c r="AY230" s="144">
        <f>IF('PV IN'!$F$4="PV Only",0,-BattLoan!F258)</f>
        <v>0</v>
      </c>
      <c r="AZ230" s="144">
        <f>IF('PV IN'!$F$4="Battery Only",0,-PVLoan!H258)</f>
        <v>0</v>
      </c>
      <c r="BA230" s="144">
        <f>IF('PV IN'!$F$4="PV Only",0,-BattLoan!H258)</f>
        <v>0</v>
      </c>
    </row>
    <row r="231" spans="1:88" x14ac:dyDescent="0.25">
      <c r="A231">
        <f>IF(C231&lt;='PV IN'!$O$22*12,C231,"")</f>
        <v>227</v>
      </c>
      <c r="C231">
        <v>227</v>
      </c>
      <c r="D231" s="2">
        <f>BattCalcs!CK231+PVCalcs!AT231</f>
        <v>9881.6251965158735</v>
      </c>
      <c r="E231" s="20">
        <f>PVCalcs!AV231</f>
        <v>1243609.7173515926</v>
      </c>
      <c r="F231" s="20">
        <f>PVCalcs!AW231</f>
        <v>3926.426479994383</v>
      </c>
      <c r="G231" s="20">
        <f>PVCalcs!AX231</f>
        <v>383005.40123330976</v>
      </c>
      <c r="H231" s="20">
        <f>BattCalcs!CM231</f>
        <v>0</v>
      </c>
      <c r="I231" s="20">
        <f>BattCalcs!CN231</f>
        <v>0</v>
      </c>
      <c r="J231" s="20">
        <f>IF(C231&lt;='Batt IN'!H$43*12,BattCalcs!CO231,NA())</f>
        <v>0</v>
      </c>
      <c r="L231" s="20">
        <f t="shared" si="518"/>
        <v>3926.426479994383</v>
      </c>
      <c r="M231" s="20">
        <f>G231+BattCalcs!CO231</f>
        <v>383005.40123330976</v>
      </c>
      <c r="O231" s="10">
        <f>PVLoan!G259</f>
        <v>0</v>
      </c>
      <c r="P231" s="10">
        <f>PVLoan!J259</f>
        <v>0</v>
      </c>
      <c r="Q231" s="2" t="str">
        <f>BattLoan!G259</f>
        <v>-</v>
      </c>
      <c r="R231" s="10" t="str">
        <f>BattLoan!J259</f>
        <v>-</v>
      </c>
      <c r="T231" s="33">
        <f>IF('PV IN'!$F$4="Battery Only",0,PVCalcs!G231)</f>
        <v>131163.89981857789</v>
      </c>
      <c r="U231" s="33">
        <f>IF('PV IN'!$F$4="Battery Only",0,PVCalcs!M231)</f>
        <v>131163.89981857789</v>
      </c>
      <c r="V231" s="33">
        <f>PVCalcs!L231</f>
        <v>25811.765833333331</v>
      </c>
      <c r="W231" s="158">
        <f>PVCalcs!F231</f>
        <v>8.3619617987009537E-2</v>
      </c>
      <c r="X231" s="144">
        <f>IF('PV IN'!$F$4="Battery Only",0,PVCalcs!Y231+PVCalcs!Z231)</f>
        <v>0</v>
      </c>
      <c r="Y231" s="144">
        <f>IF('PV IN'!$F$4="PV Only",0,BattCalcs!AX231+BattCalcs!BC231)</f>
        <v>0</v>
      </c>
      <c r="Z231" s="144">
        <f>IF('PV IN'!$F$4="PV Only",0,BattCalcs!AY231+BattCalcs!BD231)</f>
        <v>0</v>
      </c>
      <c r="AA231" s="144">
        <f>IF('PV IN'!$F$4="PV Only",0,BattCalcs!AZ231+BattCalcs!BE231)</f>
        <v>0</v>
      </c>
      <c r="AB231" s="144">
        <f>IF('PV IN'!$F$4="PV Only",0,BattCalcs!BA231+BattCalcs!BF231)</f>
        <v>0</v>
      </c>
      <c r="AC231" s="144">
        <f>IF('PV IN'!$F$4="PV Only",0,BattCalcs!BB231+BattCalcs!BG231)</f>
        <v>0</v>
      </c>
      <c r="AD231" s="144">
        <f>IF('PV IN'!$F$4="PV Only",0,BattCalcs!BU231)</f>
        <v>0</v>
      </c>
      <c r="AE231" s="144">
        <f>IF('PV IN'!$F$4="PV Only",PVCalcs!W231+PVCalcs!AA231,IF('PV IN'!$F$4="Battery Only",BattCalcs!AV231+BattCalcs!BH231,PVCalcs!W231+PVCalcs!AA231+BattCalcs!AV231+BattCalcs!BH231))</f>
        <v>0</v>
      </c>
      <c r="AF231" s="10">
        <f>PVCalcs!AC231+BattCalcs!BJ231</f>
        <v>0</v>
      </c>
      <c r="AG231" s="144">
        <f>IF('PV IN'!$F$4="Battery Only",0,PVCalcs!AG231)</f>
        <v>-750</v>
      </c>
      <c r="AH231" s="144">
        <f>IF('PV IN'!$F$4="Battery Only",0,PVCalcs!AI231)</f>
        <v>0</v>
      </c>
      <c r="AI231" s="144">
        <f>IF('PV IN'!$F$4="PV Only",0,BattCalcs!BM231)</f>
        <v>0</v>
      </c>
      <c r="AJ231" s="144">
        <f>IF('PV IN'!$F$4="PV Only",0,SUM(BattCalcs!BO231:BT231))</f>
        <v>0</v>
      </c>
      <c r="AK231" s="144">
        <f>IF('PV IN'!$F$4="PV Only",PVCalcs!AH231,IF('PV IN'!$F$4="Battery Only",BattCalcs!BN231,PVCalcs!AH231+BattCalcs!BN231))</f>
        <v>-625</v>
      </c>
      <c r="AL231" s="144">
        <f>IF('PV IN'!$F$4="PV Only",0,BattCalcs!BV231)</f>
        <v>0</v>
      </c>
      <c r="AM231" s="144">
        <f>IF('PV IN'!$F$4="PV Only",0,SUM(BattCalcs!BW231:BX231))</f>
        <v>0</v>
      </c>
      <c r="AN231" s="144">
        <f>IF('PV IN'!$F$4="PV Only",0,BattCalcs!BY231)</f>
        <v>0</v>
      </c>
      <c r="AO231" s="144">
        <f>IF('PV IN'!$F$4="Battery Only",0,PVCalcs!U231)</f>
        <v>10967.875196515874</v>
      </c>
      <c r="AP231" s="10">
        <f>IF('PV IN'!$F$4="PV Only",0,BattCalcs!AS231)</f>
        <v>0</v>
      </c>
      <c r="AQ231" s="10">
        <f>IF('PV IN'!$F$4="PV Only",0,BattCalcs!AT231)</f>
        <v>0</v>
      </c>
      <c r="AR231" s="10">
        <f>IF('PV IN'!$F$4="PV Only",0,BattCalcs!AU231)</f>
        <v>0</v>
      </c>
      <c r="AS231" s="144">
        <f>IF('PV IN'!$F$4="PV Only",PVCalcs!X231,IF('PV IN'!$F$4="Battery Only",BattCalcs!AW231,PVCalcs!X231+BattCalcs!AW231))</f>
        <v>0</v>
      </c>
      <c r="AT231" s="144">
        <f>IF('PV IN'!$F$4="Battery Only",0,-PVCalcs!AQ231*'PV IN'!$E$8)</f>
        <v>0</v>
      </c>
      <c r="AU231" s="144">
        <f>IF('PV IN'!$F$4="PV Only",0,-BattCalcs!CG231*'PV IN'!$E$8)</f>
        <v>0</v>
      </c>
      <c r="AV231" s="144">
        <f>IF('PV IN'!$F$4="PV Only",PVCalcs!Z231+PVCalcs!AA231,IF('PV IN'!$F$4="Battery Only",SUM(BattCalcs!BC231:BH231),PVCalcs!Z231+PVCalcs!AA231+SUM(BattCalcs!BC231:BH231)))</f>
        <v>0</v>
      </c>
      <c r="AW231" s="144">
        <f>IF('PV IN'!$F$4="PV Only",SUM(PVCalcs!AF231:AI231),IF('PV IN'!$F$4="Battery Only",SUM(BattCalcs!BL231:BY231),SUM(PVCalcs!AF231:AI231)+SUM(BattCalcs!BL231:BY231)))</f>
        <v>-1375</v>
      </c>
      <c r="AX231" s="144">
        <f>IF('PV IN'!$F$4="Battery Only",0,-PVLoan!F259)</f>
        <v>0</v>
      </c>
      <c r="AY231" s="144">
        <f>IF('PV IN'!$F$4="PV Only",0,-BattLoan!F259)</f>
        <v>0</v>
      </c>
      <c r="AZ231" s="144">
        <f>IF('PV IN'!$F$4="Battery Only",0,-PVLoan!H259)</f>
        <v>0</v>
      </c>
      <c r="BA231" s="144">
        <f>IF('PV IN'!$F$4="PV Only",0,-BattLoan!H259)</f>
        <v>0</v>
      </c>
    </row>
    <row r="232" spans="1:88" x14ac:dyDescent="0.25">
      <c r="A232">
        <f>IF(C232&lt;='PV IN'!$O$22*12,C232,"")</f>
        <v>228</v>
      </c>
      <c r="B232">
        <f>B220+1</f>
        <v>2044</v>
      </c>
      <c r="C232">
        <v>228</v>
      </c>
      <c r="D232" s="2">
        <f>BattCalcs!CK232+PVCalcs!AT232</f>
        <v>9874.3132797181952</v>
      </c>
      <c r="E232" s="20">
        <f>PVCalcs!AV232</f>
        <v>1253484.0306313108</v>
      </c>
      <c r="F232" s="20">
        <f>PVCalcs!AW232</f>
        <v>3907.6010670048609</v>
      </c>
      <c r="G232" s="20">
        <f>PVCalcs!AX232</f>
        <v>386913.00230031461</v>
      </c>
      <c r="H232" s="20">
        <f>BattCalcs!CM232</f>
        <v>0</v>
      </c>
      <c r="I232" s="20">
        <f>BattCalcs!CN232</f>
        <v>0</v>
      </c>
      <c r="J232" s="20">
        <f>IF(C232&lt;='Batt IN'!H$43*12,BattCalcs!CO232,NA())</f>
        <v>0</v>
      </c>
      <c r="L232" s="20">
        <f t="shared" si="518"/>
        <v>3907.6010670048609</v>
      </c>
      <c r="M232" s="20">
        <f>G232+BattCalcs!CO232</f>
        <v>386913.00230031461</v>
      </c>
      <c r="O232" s="10">
        <f>PVLoan!G260</f>
        <v>0</v>
      </c>
      <c r="P232" s="10">
        <f>PVLoan!J260</f>
        <v>0</v>
      </c>
      <c r="Q232" s="2" t="str">
        <f>BattLoan!G260</f>
        <v>-</v>
      </c>
      <c r="R232" s="10" t="str">
        <f>BattLoan!J260</f>
        <v>-</v>
      </c>
      <c r="T232" s="33">
        <f>IF('PV IN'!$F$4="Battery Only",0,PVCalcs!G232)</f>
        <v>131076.45721869884</v>
      </c>
      <c r="U232" s="33">
        <f>IF('PV IN'!$F$4="Battery Only",0,PVCalcs!M232)</f>
        <v>131076.45721869884</v>
      </c>
      <c r="V232" s="33">
        <f>PVCalcs!L232</f>
        <v>25811.765833333331</v>
      </c>
      <c r="W232" s="158">
        <f>PVCalcs!F232</f>
        <v>8.3619617987009537E-2</v>
      </c>
      <c r="X232" s="144">
        <f>IF('PV IN'!$F$4="Battery Only",0,PVCalcs!Y232+PVCalcs!Z232)</f>
        <v>0</v>
      </c>
      <c r="Y232" s="144">
        <f>IF('PV IN'!$F$4="PV Only",0,BattCalcs!AX232+BattCalcs!BC232)</f>
        <v>0</v>
      </c>
      <c r="Z232" s="144">
        <f>IF('PV IN'!$F$4="PV Only",0,BattCalcs!AY232+BattCalcs!BD232)</f>
        <v>0</v>
      </c>
      <c r="AA232" s="144">
        <f>IF('PV IN'!$F$4="PV Only",0,BattCalcs!AZ232+BattCalcs!BE232)</f>
        <v>0</v>
      </c>
      <c r="AB232" s="144">
        <f>IF('PV IN'!$F$4="PV Only",0,BattCalcs!BA232+BattCalcs!BF232)</f>
        <v>0</v>
      </c>
      <c r="AC232" s="144">
        <f>IF('PV IN'!$F$4="PV Only",0,BattCalcs!BB232+BattCalcs!BG232)</f>
        <v>0</v>
      </c>
      <c r="AD232" s="144">
        <f>IF('PV IN'!$F$4="PV Only",0,BattCalcs!BU232)</f>
        <v>0</v>
      </c>
      <c r="AE232" s="144">
        <f>IF('PV IN'!$F$4="PV Only",PVCalcs!W232+PVCalcs!AA232,IF('PV IN'!$F$4="Battery Only",BattCalcs!AV232+BattCalcs!BH232,PVCalcs!W232+PVCalcs!AA232+BattCalcs!AV232+BattCalcs!BH232))</f>
        <v>0</v>
      </c>
      <c r="AF232" s="10">
        <f>PVCalcs!AC232+BattCalcs!BJ232</f>
        <v>0</v>
      </c>
      <c r="AG232" s="144">
        <f>IF('PV IN'!$F$4="Battery Only",0,PVCalcs!AG232)</f>
        <v>-750</v>
      </c>
      <c r="AH232" s="144">
        <f>IF('PV IN'!$F$4="Battery Only",0,PVCalcs!AI232)</f>
        <v>0</v>
      </c>
      <c r="AI232" s="144">
        <f>IF('PV IN'!$F$4="PV Only",0,BattCalcs!BM232)</f>
        <v>0</v>
      </c>
      <c r="AJ232" s="144">
        <f>IF('PV IN'!$F$4="PV Only",0,SUM(BattCalcs!BO232:BT232))</f>
        <v>0</v>
      </c>
      <c r="AK232" s="144">
        <f>IF('PV IN'!$F$4="PV Only",PVCalcs!AH232,IF('PV IN'!$F$4="Battery Only",BattCalcs!BN232,PVCalcs!AH232+BattCalcs!BN232))</f>
        <v>-625</v>
      </c>
      <c r="AL232" s="144">
        <f>IF('PV IN'!$F$4="PV Only",0,BattCalcs!BV232)</f>
        <v>0</v>
      </c>
      <c r="AM232" s="144">
        <f>IF('PV IN'!$F$4="PV Only",0,SUM(BattCalcs!BW232:BX232))</f>
        <v>0</v>
      </c>
      <c r="AN232" s="144">
        <f>IF('PV IN'!$F$4="PV Only",0,BattCalcs!BY232)</f>
        <v>0</v>
      </c>
      <c r="AO232" s="144">
        <f>IF('PV IN'!$F$4="Battery Only",0,PVCalcs!U232)</f>
        <v>10960.563279718195</v>
      </c>
      <c r="AP232" s="10">
        <f>IF('PV IN'!$F$4="PV Only",0,BattCalcs!AS232)</f>
        <v>0</v>
      </c>
      <c r="AQ232" s="10">
        <f>IF('PV IN'!$F$4="PV Only",0,BattCalcs!AT232)</f>
        <v>0</v>
      </c>
      <c r="AR232" s="10">
        <f>IF('PV IN'!$F$4="PV Only",0,BattCalcs!AU232)</f>
        <v>0</v>
      </c>
      <c r="AS232" s="144">
        <f>IF('PV IN'!$F$4="PV Only",PVCalcs!X232,IF('PV IN'!$F$4="Battery Only",BattCalcs!AW232,PVCalcs!X232+BattCalcs!AW232))</f>
        <v>0</v>
      </c>
      <c r="AT232" s="144">
        <f>IF('PV IN'!$F$4="Battery Only",0,-PVCalcs!AQ232*'PV IN'!$E$8)</f>
        <v>0</v>
      </c>
      <c r="AU232" s="144">
        <f>IF('PV IN'!$F$4="PV Only",0,-BattCalcs!CG232*'PV IN'!$E$8)</f>
        <v>0</v>
      </c>
      <c r="AV232" s="144">
        <f>IF('PV IN'!$F$4="PV Only",PVCalcs!Z232+PVCalcs!AA232,IF('PV IN'!$F$4="Battery Only",SUM(BattCalcs!BC232:BH232),PVCalcs!Z232+PVCalcs!AA232+SUM(BattCalcs!BC232:BH232)))</f>
        <v>0</v>
      </c>
      <c r="AW232" s="144">
        <f>IF('PV IN'!$F$4="PV Only",SUM(PVCalcs!AF232:AI232),IF('PV IN'!$F$4="Battery Only",SUM(BattCalcs!BL232:BY232),SUM(PVCalcs!AF232:AI232)+SUM(BattCalcs!BL232:BY232)))</f>
        <v>-1375</v>
      </c>
      <c r="AX232" s="144">
        <f>IF('PV IN'!$F$4="Battery Only",0,-PVLoan!F260)</f>
        <v>0</v>
      </c>
      <c r="AY232" s="144">
        <f>IF('PV IN'!$F$4="PV Only",0,-BattLoan!F260)</f>
        <v>0</v>
      </c>
      <c r="AZ232" s="144">
        <f>IF('PV IN'!$F$4="Battery Only",0,-PVLoan!H260)</f>
        <v>0</v>
      </c>
      <c r="BA232" s="144">
        <f>IF('PV IN'!$F$4="PV Only",0,-BattLoan!H260)</f>
        <v>0</v>
      </c>
      <c r="BC232" s="33">
        <f t="shared" ref="BC232" si="587">SUM(T221:T232)</f>
        <v>1578701.5509703238</v>
      </c>
      <c r="BD232" s="33">
        <f t="shared" ref="BD232" si="588">SUM(U221:U232)</f>
        <v>1578701.5509703238</v>
      </c>
      <c r="BE232" s="33">
        <f t="shared" ref="BE232" si="589">SUM(V221:V232)</f>
        <v>309741.19</v>
      </c>
      <c r="BF232" s="50">
        <f t="shared" ref="BF232" si="590">W232</f>
        <v>8.3619617987009537E-2</v>
      </c>
      <c r="BG232" s="2">
        <f t="shared" ref="BG232" si="591">SUM(X221:X232)</f>
        <v>0</v>
      </c>
      <c r="BH232" s="2">
        <f t="shared" ref="BH232" si="592">SUM(Y221:Y232)</f>
        <v>0</v>
      </c>
      <c r="BI232" s="2">
        <f t="shared" ref="BI232" si="593">SUM(Z221:Z232)</f>
        <v>0</v>
      </c>
      <c r="BJ232" s="2">
        <f t="shared" ref="BJ232" si="594">SUM(AA221:AA232)</f>
        <v>0</v>
      </c>
      <c r="BK232" s="2">
        <f t="shared" ref="BK232" si="595">SUM(AB221:AB232)</f>
        <v>0</v>
      </c>
      <c r="BL232" s="2">
        <f t="shared" ref="BL232" si="596">SUM(AC221:AC232)</f>
        <v>0</v>
      </c>
      <c r="BM232" s="2">
        <f t="shared" ref="BM232" si="597">SUM(AD221:AD232)</f>
        <v>0</v>
      </c>
      <c r="BN232" s="2">
        <f t="shared" ref="BN232" si="598">SUM(AE221:AE232)</f>
        <v>0</v>
      </c>
      <c r="BO232" s="2">
        <f t="shared" ref="BO232" si="599">SUM(AF221:AF232)</f>
        <v>0</v>
      </c>
      <c r="BP232" s="2">
        <f t="shared" ref="BP232" si="600">SUM(AG221:AG232)</f>
        <v>-9000</v>
      </c>
      <c r="BQ232" s="2">
        <f t="shared" ref="BQ232" si="601">SUM(AH221:AH232)</f>
        <v>0</v>
      </c>
      <c r="BR232" s="2">
        <f t="shared" ref="BR232" si="602">SUM(AI221:AI232)</f>
        <v>0</v>
      </c>
      <c r="BS232" s="2">
        <f t="shared" ref="BS232" si="603">SUM(AJ221:AJ232)</f>
        <v>0</v>
      </c>
      <c r="BT232" s="2">
        <f t="shared" ref="BT232" si="604">SUM(AK221:AK232)</f>
        <v>-7500</v>
      </c>
      <c r="BU232" s="2">
        <f t="shared" ref="BU232" si="605">SUM(AL221:AL232)</f>
        <v>0</v>
      </c>
      <c r="BV232" s="2">
        <f t="shared" ref="BV232" si="606">SUM(AM221:AM232)</f>
        <v>0</v>
      </c>
      <c r="BW232" s="2">
        <f t="shared" ref="BW232" si="607">SUM(AN221:AN232)</f>
        <v>0</v>
      </c>
      <c r="BX232" s="2">
        <f t="shared" ref="BX232" si="608">SUM(AO221:AO232)</f>
        <v>132010.42060763796</v>
      </c>
      <c r="BY232" s="2">
        <f t="shared" ref="BY232" si="609">SUM(AP221:AP232)</f>
        <v>0</v>
      </c>
      <c r="BZ232" s="2">
        <f t="shared" ref="BZ232" si="610">SUM(AQ221:AQ232)</f>
        <v>0</v>
      </c>
      <c r="CA232" s="2">
        <f t="shared" ref="CA232" si="611">SUM(AR221:AR232)</f>
        <v>0</v>
      </c>
      <c r="CB232" s="2">
        <f t="shared" ref="CB232" si="612">SUM(AS221:AS232)</f>
        <v>0</v>
      </c>
      <c r="CC232" s="2">
        <f t="shared" ref="CC232" si="613">SUM(AT221:AT232)</f>
        <v>0</v>
      </c>
      <c r="CD232" s="2">
        <f t="shared" ref="CD232" si="614">SUM(AU221:AU232)</f>
        <v>0</v>
      </c>
      <c r="CE232" s="2">
        <f t="shared" ref="CE232" si="615">SUM(AV221:AV232)</f>
        <v>0</v>
      </c>
      <c r="CF232" s="2">
        <f t="shared" ref="CF232" si="616">SUM(AW221:AW232)</f>
        <v>-16500</v>
      </c>
      <c r="CG232" s="2">
        <f t="shared" ref="CG232" si="617">SUM(AX221:AX232)</f>
        <v>0</v>
      </c>
      <c r="CH232" s="2">
        <f t="shared" ref="CH232" si="618">SUM(AY221:AY232)</f>
        <v>0</v>
      </c>
      <c r="CI232" s="2">
        <f t="shared" ref="CI232" si="619">SUM(AZ221:AZ232)</f>
        <v>0</v>
      </c>
      <c r="CJ232" s="2">
        <f t="shared" ref="CJ232" si="620">SUM(BA221:BA232)</f>
        <v>0</v>
      </c>
    </row>
    <row r="233" spans="1:88" x14ac:dyDescent="0.25">
      <c r="A233">
        <f>IF(C233&lt;='PV IN'!$O$22*12,C233,"")</f>
        <v>229</v>
      </c>
      <c r="C233">
        <v>229</v>
      </c>
      <c r="D233" s="2">
        <f>BattCalcs!CK233+PVCalcs!AT233</f>
        <v>9848.9515270287284</v>
      </c>
      <c r="E233" s="20">
        <f>PVCalcs!AV233</f>
        <v>1263332.9821583396</v>
      </c>
      <c r="F233" s="20">
        <f>PVCalcs!AW233</f>
        <v>3881.7498309477437</v>
      </c>
      <c r="G233" s="20">
        <f>PVCalcs!AX233</f>
        <v>390794.75213126233</v>
      </c>
      <c r="H233" s="20">
        <f>BattCalcs!CM233</f>
        <v>0</v>
      </c>
      <c r="I233" s="20">
        <f>BattCalcs!CN233</f>
        <v>0</v>
      </c>
      <c r="J233" s="20">
        <f>IF(C233&lt;='Batt IN'!H$43*12,BattCalcs!CO233,NA())</f>
        <v>0</v>
      </c>
      <c r="L233" s="20">
        <f t="shared" si="518"/>
        <v>3881.7498309477437</v>
      </c>
      <c r="M233" s="20">
        <f>G233+BattCalcs!CO233</f>
        <v>390794.75213126233</v>
      </c>
      <c r="O233" s="10">
        <f>PVLoan!G261</f>
        <v>0</v>
      </c>
      <c r="P233" s="10">
        <f>PVLoan!J261</f>
        <v>0</v>
      </c>
      <c r="Q233" s="2" t="str">
        <f>BattLoan!G261</f>
        <v>-</v>
      </c>
      <c r="R233" s="10" t="str">
        <f>BattLoan!J261</f>
        <v>-</v>
      </c>
      <c r="T233" s="33">
        <f>IF('PV IN'!$F$4="Battery Only",0,PVCalcs!G233)</f>
        <v>130989.07291388637</v>
      </c>
      <c r="U233" s="33">
        <f>IF('PV IN'!$F$4="Battery Only",0,PVCalcs!M233)</f>
        <v>130989.07291388637</v>
      </c>
      <c r="V233" s="33">
        <f>PVCalcs!L233</f>
        <v>25811.765833333331</v>
      </c>
      <c r="W233" s="158">
        <f>PVCalcs!F233</f>
        <v>8.3481784272323598E-2</v>
      </c>
      <c r="X233" s="144">
        <f>IF('PV IN'!$F$4="Battery Only",0,PVCalcs!Y233+PVCalcs!Z233)</f>
        <v>0</v>
      </c>
      <c r="Y233" s="144">
        <f>IF('PV IN'!$F$4="PV Only",0,BattCalcs!AX233+BattCalcs!BC233)</f>
        <v>0</v>
      </c>
      <c r="Z233" s="144">
        <f>IF('PV IN'!$F$4="PV Only",0,BattCalcs!AY233+BattCalcs!BD233)</f>
        <v>0</v>
      </c>
      <c r="AA233" s="144">
        <f>IF('PV IN'!$F$4="PV Only",0,BattCalcs!AZ233+BattCalcs!BE233)</f>
        <v>0</v>
      </c>
      <c r="AB233" s="144">
        <f>IF('PV IN'!$F$4="PV Only",0,BattCalcs!BA233+BattCalcs!BF233)</f>
        <v>0</v>
      </c>
      <c r="AC233" s="144">
        <f>IF('PV IN'!$F$4="PV Only",0,BattCalcs!BB233+BattCalcs!BG233)</f>
        <v>0</v>
      </c>
      <c r="AD233" s="144">
        <f>IF('PV IN'!$F$4="PV Only",0,BattCalcs!BU233)</f>
        <v>0</v>
      </c>
      <c r="AE233" s="144">
        <f>IF('PV IN'!$F$4="PV Only",PVCalcs!W233+PVCalcs!AA233,IF('PV IN'!$F$4="Battery Only",BattCalcs!AV233+BattCalcs!BH233,PVCalcs!W233+PVCalcs!AA233+BattCalcs!AV233+BattCalcs!BH233))</f>
        <v>0</v>
      </c>
      <c r="AF233" s="10">
        <f>PVCalcs!AC233+BattCalcs!BJ233</f>
        <v>0</v>
      </c>
      <c r="AG233" s="144">
        <f>IF('PV IN'!$F$4="Battery Only",0,PVCalcs!AG233)</f>
        <v>-750</v>
      </c>
      <c r="AH233" s="144">
        <f>IF('PV IN'!$F$4="Battery Only",0,PVCalcs!AI233)</f>
        <v>0</v>
      </c>
      <c r="AI233" s="144">
        <f>IF('PV IN'!$F$4="PV Only",0,BattCalcs!BM233)</f>
        <v>0</v>
      </c>
      <c r="AJ233" s="144">
        <f>IF('PV IN'!$F$4="PV Only",0,SUM(BattCalcs!BO233:BT233))</f>
        <v>0</v>
      </c>
      <c r="AK233" s="144">
        <f>IF('PV IN'!$F$4="PV Only",PVCalcs!AH233,IF('PV IN'!$F$4="Battery Only",BattCalcs!BN233,PVCalcs!AH233+BattCalcs!BN233))</f>
        <v>-625</v>
      </c>
      <c r="AL233" s="144">
        <f>IF('PV IN'!$F$4="PV Only",0,BattCalcs!BV233)</f>
        <v>0</v>
      </c>
      <c r="AM233" s="144">
        <f>IF('PV IN'!$F$4="PV Only",0,SUM(BattCalcs!BW233:BX233))</f>
        <v>0</v>
      </c>
      <c r="AN233" s="144">
        <f>IF('PV IN'!$F$4="PV Only",0,BattCalcs!BY233)</f>
        <v>0</v>
      </c>
      <c r="AO233" s="144">
        <f>IF('PV IN'!$F$4="Battery Only",0,PVCalcs!U233)</f>
        <v>10935.201527028728</v>
      </c>
      <c r="AP233" s="10">
        <f>IF('PV IN'!$F$4="PV Only",0,BattCalcs!AS233)</f>
        <v>0</v>
      </c>
      <c r="AQ233" s="10">
        <f>IF('PV IN'!$F$4="PV Only",0,BattCalcs!AT233)</f>
        <v>0</v>
      </c>
      <c r="AR233" s="10">
        <f>IF('PV IN'!$F$4="PV Only",0,BattCalcs!AU233)</f>
        <v>0</v>
      </c>
      <c r="AS233" s="144">
        <f>IF('PV IN'!$F$4="PV Only",PVCalcs!X233,IF('PV IN'!$F$4="Battery Only",BattCalcs!AW233,PVCalcs!X233+BattCalcs!AW233))</f>
        <v>0</v>
      </c>
      <c r="AT233" s="144">
        <f>IF('PV IN'!$F$4="Battery Only",0,-PVCalcs!AQ233*'PV IN'!$E$8)</f>
        <v>0</v>
      </c>
      <c r="AU233" s="144">
        <f>IF('PV IN'!$F$4="PV Only",0,-BattCalcs!CG233*'PV IN'!$E$8)</f>
        <v>0</v>
      </c>
      <c r="AV233" s="144">
        <f>IF('PV IN'!$F$4="PV Only",PVCalcs!Z233+PVCalcs!AA233,IF('PV IN'!$F$4="Battery Only",SUM(BattCalcs!BC233:BH233),PVCalcs!Z233+PVCalcs!AA233+SUM(BattCalcs!BC233:BH233)))</f>
        <v>0</v>
      </c>
      <c r="AW233" s="144">
        <f>IF('PV IN'!$F$4="PV Only",SUM(PVCalcs!AF233:AI233),IF('PV IN'!$F$4="Battery Only",SUM(BattCalcs!BL233:BY233),SUM(PVCalcs!AF233:AI233)+SUM(BattCalcs!BL233:BY233)))</f>
        <v>-1375</v>
      </c>
      <c r="AX233" s="144">
        <f>IF('PV IN'!$F$4="Battery Only",0,-PVLoan!F261)</f>
        <v>0</v>
      </c>
      <c r="AY233" s="144">
        <f>IF('PV IN'!$F$4="PV Only",0,-BattLoan!F261)</f>
        <v>0</v>
      </c>
      <c r="AZ233" s="144">
        <f>IF('PV IN'!$F$4="Battery Only",0,-PVLoan!H261)</f>
        <v>0</v>
      </c>
      <c r="BA233" s="144">
        <f>IF('PV IN'!$F$4="PV Only",0,-BattLoan!H261)</f>
        <v>0</v>
      </c>
    </row>
    <row r="234" spans="1:88" x14ac:dyDescent="0.25">
      <c r="A234">
        <f>IF(C234&lt;='PV IN'!$O$22*12,C234,"")</f>
        <v>230</v>
      </c>
      <c r="C234">
        <v>230</v>
      </c>
      <c r="D234" s="2">
        <f>BattCalcs!CK234+PVCalcs!AT234</f>
        <v>9841.6613926773753</v>
      </c>
      <c r="E234" s="20">
        <f>PVCalcs!AV234</f>
        <v>1273174.6435510169</v>
      </c>
      <c r="F234" s="20">
        <f>PVCalcs!AW234</f>
        <v>3863.1376820905684</v>
      </c>
      <c r="G234" s="20">
        <f>PVCalcs!AX234</f>
        <v>394657.8898133529</v>
      </c>
      <c r="H234" s="20">
        <f>BattCalcs!CM234</f>
        <v>0</v>
      </c>
      <c r="I234" s="20">
        <f>BattCalcs!CN234</f>
        <v>0</v>
      </c>
      <c r="J234" s="20">
        <f>IF(C234&lt;='Batt IN'!H$43*12,BattCalcs!CO234,NA())</f>
        <v>0</v>
      </c>
      <c r="L234" s="20">
        <f t="shared" si="518"/>
        <v>3863.1376820905684</v>
      </c>
      <c r="M234" s="20">
        <f>G234+BattCalcs!CO234</f>
        <v>394657.8898133529</v>
      </c>
      <c r="O234" s="10">
        <f>PVLoan!G262</f>
        <v>0</v>
      </c>
      <c r="P234" s="10">
        <f>PVLoan!J262</f>
        <v>0</v>
      </c>
      <c r="Q234" s="2" t="str">
        <f>BattLoan!G262</f>
        <v>-</v>
      </c>
      <c r="R234" s="10" t="str">
        <f>BattLoan!J262</f>
        <v>-</v>
      </c>
      <c r="T234" s="33">
        <f>IF('PV IN'!$F$4="Battery Only",0,PVCalcs!G234)</f>
        <v>130901.74686527711</v>
      </c>
      <c r="U234" s="33">
        <f>IF('PV IN'!$F$4="Battery Only",0,PVCalcs!M234)</f>
        <v>130901.74686527711</v>
      </c>
      <c r="V234" s="33">
        <f>PVCalcs!L234</f>
        <v>25811.765833333331</v>
      </c>
      <c r="W234" s="158">
        <f>PVCalcs!F234</f>
        <v>8.3481784272323598E-2</v>
      </c>
      <c r="X234" s="144">
        <f>IF('PV IN'!$F$4="Battery Only",0,PVCalcs!Y234+PVCalcs!Z234)</f>
        <v>0</v>
      </c>
      <c r="Y234" s="144">
        <f>IF('PV IN'!$F$4="PV Only",0,BattCalcs!AX234+BattCalcs!BC234)</f>
        <v>0</v>
      </c>
      <c r="Z234" s="144">
        <f>IF('PV IN'!$F$4="PV Only",0,BattCalcs!AY234+BattCalcs!BD234)</f>
        <v>0</v>
      </c>
      <c r="AA234" s="144">
        <f>IF('PV IN'!$F$4="PV Only",0,BattCalcs!AZ234+BattCalcs!BE234)</f>
        <v>0</v>
      </c>
      <c r="AB234" s="144">
        <f>IF('PV IN'!$F$4="PV Only",0,BattCalcs!BA234+BattCalcs!BF234)</f>
        <v>0</v>
      </c>
      <c r="AC234" s="144">
        <f>IF('PV IN'!$F$4="PV Only",0,BattCalcs!BB234+BattCalcs!BG234)</f>
        <v>0</v>
      </c>
      <c r="AD234" s="144">
        <f>IF('PV IN'!$F$4="PV Only",0,BattCalcs!BU234)</f>
        <v>0</v>
      </c>
      <c r="AE234" s="144">
        <f>IF('PV IN'!$F$4="PV Only",PVCalcs!W234+PVCalcs!AA234,IF('PV IN'!$F$4="Battery Only",BattCalcs!AV234+BattCalcs!BH234,PVCalcs!W234+PVCalcs!AA234+BattCalcs!AV234+BattCalcs!BH234))</f>
        <v>0</v>
      </c>
      <c r="AF234" s="10">
        <f>PVCalcs!AC234+BattCalcs!BJ234</f>
        <v>0</v>
      </c>
      <c r="AG234" s="144">
        <f>IF('PV IN'!$F$4="Battery Only",0,PVCalcs!AG234)</f>
        <v>-750</v>
      </c>
      <c r="AH234" s="144">
        <f>IF('PV IN'!$F$4="Battery Only",0,PVCalcs!AI234)</f>
        <v>0</v>
      </c>
      <c r="AI234" s="144">
        <f>IF('PV IN'!$F$4="PV Only",0,BattCalcs!BM234)</f>
        <v>0</v>
      </c>
      <c r="AJ234" s="144">
        <f>IF('PV IN'!$F$4="PV Only",0,SUM(BattCalcs!BO234:BT234))</f>
        <v>0</v>
      </c>
      <c r="AK234" s="144">
        <f>IF('PV IN'!$F$4="PV Only",PVCalcs!AH234,IF('PV IN'!$F$4="Battery Only",BattCalcs!BN234,PVCalcs!AH234+BattCalcs!BN234))</f>
        <v>-625</v>
      </c>
      <c r="AL234" s="144">
        <f>IF('PV IN'!$F$4="PV Only",0,BattCalcs!BV234)</f>
        <v>0</v>
      </c>
      <c r="AM234" s="144">
        <f>IF('PV IN'!$F$4="PV Only",0,SUM(BattCalcs!BW234:BX234))</f>
        <v>0</v>
      </c>
      <c r="AN234" s="144">
        <f>IF('PV IN'!$F$4="PV Only",0,BattCalcs!BY234)</f>
        <v>0</v>
      </c>
      <c r="AO234" s="144">
        <f>IF('PV IN'!$F$4="Battery Only",0,PVCalcs!U234)</f>
        <v>10927.911392677375</v>
      </c>
      <c r="AP234" s="10">
        <f>IF('PV IN'!$F$4="PV Only",0,BattCalcs!AS234)</f>
        <v>0</v>
      </c>
      <c r="AQ234" s="10">
        <f>IF('PV IN'!$F$4="PV Only",0,BattCalcs!AT234)</f>
        <v>0</v>
      </c>
      <c r="AR234" s="10">
        <f>IF('PV IN'!$F$4="PV Only",0,BattCalcs!AU234)</f>
        <v>0</v>
      </c>
      <c r="AS234" s="144">
        <f>IF('PV IN'!$F$4="PV Only",PVCalcs!X234,IF('PV IN'!$F$4="Battery Only",BattCalcs!AW234,PVCalcs!X234+BattCalcs!AW234))</f>
        <v>0</v>
      </c>
      <c r="AT234" s="144">
        <f>IF('PV IN'!$F$4="Battery Only",0,-PVCalcs!AQ234*'PV IN'!$E$8)</f>
        <v>0</v>
      </c>
      <c r="AU234" s="144">
        <f>IF('PV IN'!$F$4="PV Only",0,-BattCalcs!CG234*'PV IN'!$E$8)</f>
        <v>0</v>
      </c>
      <c r="AV234" s="144">
        <f>IF('PV IN'!$F$4="PV Only",PVCalcs!Z234+PVCalcs!AA234,IF('PV IN'!$F$4="Battery Only",SUM(BattCalcs!BC234:BH234),PVCalcs!Z234+PVCalcs!AA234+SUM(BattCalcs!BC234:BH234)))</f>
        <v>0</v>
      </c>
      <c r="AW234" s="144">
        <f>IF('PV IN'!$F$4="PV Only",SUM(PVCalcs!AF234:AI234),IF('PV IN'!$F$4="Battery Only",SUM(BattCalcs!BL234:BY234),SUM(PVCalcs!AF234:AI234)+SUM(BattCalcs!BL234:BY234)))</f>
        <v>-1375</v>
      </c>
      <c r="AX234" s="144">
        <f>IF('PV IN'!$F$4="Battery Only",0,-PVLoan!F262)</f>
        <v>0</v>
      </c>
      <c r="AY234" s="144">
        <f>IF('PV IN'!$F$4="PV Only",0,-BattLoan!F262)</f>
        <v>0</v>
      </c>
      <c r="AZ234" s="144">
        <f>IF('PV IN'!$F$4="Battery Only",0,-PVLoan!H262)</f>
        <v>0</v>
      </c>
      <c r="BA234" s="144">
        <f>IF('PV IN'!$F$4="PV Only",0,-BattLoan!H262)</f>
        <v>0</v>
      </c>
    </row>
    <row r="235" spans="1:88" x14ac:dyDescent="0.25">
      <c r="A235">
        <f>IF(C235&lt;='PV IN'!$O$22*12,C235,"")</f>
        <v>231</v>
      </c>
      <c r="C235">
        <v>231</v>
      </c>
      <c r="D235" s="2">
        <f>BattCalcs!CK235+PVCalcs!AT235</f>
        <v>9834.3761184155901</v>
      </c>
      <c r="E235" s="20">
        <f>PVCalcs!AV235</f>
        <v>1283009.0196694324</v>
      </c>
      <c r="F235" s="20">
        <f>PVCalcs!AW235</f>
        <v>3844.6145649008067</v>
      </c>
      <c r="G235" s="20">
        <f>PVCalcs!AX235</f>
        <v>398502.50437825371</v>
      </c>
      <c r="H235" s="20">
        <f>BattCalcs!CM235</f>
        <v>0</v>
      </c>
      <c r="I235" s="20">
        <f>BattCalcs!CN235</f>
        <v>0</v>
      </c>
      <c r="J235" s="20">
        <f>IF(C235&lt;='Batt IN'!H$43*12,BattCalcs!CO235,NA())</f>
        <v>0</v>
      </c>
      <c r="L235" s="20">
        <f t="shared" si="518"/>
        <v>3844.6145649008067</v>
      </c>
      <c r="M235" s="20">
        <f>G235+BattCalcs!CO235</f>
        <v>398502.50437825371</v>
      </c>
      <c r="O235" s="10">
        <f>PVLoan!G263</f>
        <v>0</v>
      </c>
      <c r="P235" s="10">
        <f>PVLoan!J263</f>
        <v>0</v>
      </c>
      <c r="Q235" s="2" t="str">
        <f>BattLoan!G263</f>
        <v>-</v>
      </c>
      <c r="R235" s="10" t="str">
        <f>BattLoan!J263</f>
        <v>-</v>
      </c>
      <c r="T235" s="33">
        <f>IF('PV IN'!$F$4="Battery Only",0,PVCalcs!G235)</f>
        <v>130814.47903403359</v>
      </c>
      <c r="U235" s="33">
        <f>IF('PV IN'!$F$4="Battery Only",0,PVCalcs!M235)</f>
        <v>130814.47903403359</v>
      </c>
      <c r="V235" s="33">
        <f>PVCalcs!L235</f>
        <v>25811.765833333331</v>
      </c>
      <c r="W235" s="158">
        <f>PVCalcs!F235</f>
        <v>8.3481784272323598E-2</v>
      </c>
      <c r="X235" s="144">
        <f>IF('PV IN'!$F$4="Battery Only",0,PVCalcs!Y235+PVCalcs!Z235)</f>
        <v>0</v>
      </c>
      <c r="Y235" s="144">
        <f>IF('PV IN'!$F$4="PV Only",0,BattCalcs!AX235+BattCalcs!BC235)</f>
        <v>0</v>
      </c>
      <c r="Z235" s="144">
        <f>IF('PV IN'!$F$4="PV Only",0,BattCalcs!AY235+BattCalcs!BD235)</f>
        <v>0</v>
      </c>
      <c r="AA235" s="144">
        <f>IF('PV IN'!$F$4="PV Only",0,BattCalcs!AZ235+BattCalcs!BE235)</f>
        <v>0</v>
      </c>
      <c r="AB235" s="144">
        <f>IF('PV IN'!$F$4="PV Only",0,BattCalcs!BA235+BattCalcs!BF235)</f>
        <v>0</v>
      </c>
      <c r="AC235" s="144">
        <f>IF('PV IN'!$F$4="PV Only",0,BattCalcs!BB235+BattCalcs!BG235)</f>
        <v>0</v>
      </c>
      <c r="AD235" s="144">
        <f>IF('PV IN'!$F$4="PV Only",0,BattCalcs!BU235)</f>
        <v>0</v>
      </c>
      <c r="AE235" s="144">
        <f>IF('PV IN'!$F$4="PV Only",PVCalcs!W235+PVCalcs!AA235,IF('PV IN'!$F$4="Battery Only",BattCalcs!AV235+BattCalcs!BH235,PVCalcs!W235+PVCalcs!AA235+BattCalcs!AV235+BattCalcs!BH235))</f>
        <v>0</v>
      </c>
      <c r="AF235" s="10">
        <f>PVCalcs!AC235+BattCalcs!BJ235</f>
        <v>0</v>
      </c>
      <c r="AG235" s="144">
        <f>IF('PV IN'!$F$4="Battery Only",0,PVCalcs!AG235)</f>
        <v>-750</v>
      </c>
      <c r="AH235" s="144">
        <f>IF('PV IN'!$F$4="Battery Only",0,PVCalcs!AI235)</f>
        <v>0</v>
      </c>
      <c r="AI235" s="144">
        <f>IF('PV IN'!$F$4="PV Only",0,BattCalcs!BM235)</f>
        <v>0</v>
      </c>
      <c r="AJ235" s="144">
        <f>IF('PV IN'!$F$4="PV Only",0,SUM(BattCalcs!BO235:BT235))</f>
        <v>0</v>
      </c>
      <c r="AK235" s="144">
        <f>IF('PV IN'!$F$4="PV Only",PVCalcs!AH235,IF('PV IN'!$F$4="Battery Only",BattCalcs!BN235,PVCalcs!AH235+BattCalcs!BN235))</f>
        <v>-625</v>
      </c>
      <c r="AL235" s="144">
        <f>IF('PV IN'!$F$4="PV Only",0,BattCalcs!BV235)</f>
        <v>0</v>
      </c>
      <c r="AM235" s="144">
        <f>IF('PV IN'!$F$4="PV Only",0,SUM(BattCalcs!BW235:BX235))</f>
        <v>0</v>
      </c>
      <c r="AN235" s="144">
        <f>IF('PV IN'!$F$4="PV Only",0,BattCalcs!BY235)</f>
        <v>0</v>
      </c>
      <c r="AO235" s="144">
        <f>IF('PV IN'!$F$4="Battery Only",0,PVCalcs!U235)</f>
        <v>10920.62611841559</v>
      </c>
      <c r="AP235" s="10">
        <f>IF('PV IN'!$F$4="PV Only",0,BattCalcs!AS235)</f>
        <v>0</v>
      </c>
      <c r="AQ235" s="10">
        <f>IF('PV IN'!$F$4="PV Only",0,BattCalcs!AT235)</f>
        <v>0</v>
      </c>
      <c r="AR235" s="10">
        <f>IF('PV IN'!$F$4="PV Only",0,BattCalcs!AU235)</f>
        <v>0</v>
      </c>
      <c r="AS235" s="144">
        <f>IF('PV IN'!$F$4="PV Only",PVCalcs!X235,IF('PV IN'!$F$4="Battery Only",BattCalcs!AW235,PVCalcs!X235+BattCalcs!AW235))</f>
        <v>0</v>
      </c>
      <c r="AT235" s="144">
        <f>IF('PV IN'!$F$4="Battery Only",0,-PVCalcs!AQ235*'PV IN'!$E$8)</f>
        <v>0</v>
      </c>
      <c r="AU235" s="144">
        <f>IF('PV IN'!$F$4="PV Only",0,-BattCalcs!CG235*'PV IN'!$E$8)</f>
        <v>0</v>
      </c>
      <c r="AV235" s="144">
        <f>IF('PV IN'!$F$4="PV Only",PVCalcs!Z235+PVCalcs!AA235,IF('PV IN'!$F$4="Battery Only",SUM(BattCalcs!BC235:BH235),PVCalcs!Z235+PVCalcs!AA235+SUM(BattCalcs!BC235:BH235)))</f>
        <v>0</v>
      </c>
      <c r="AW235" s="144">
        <f>IF('PV IN'!$F$4="PV Only",SUM(PVCalcs!AF235:AI235),IF('PV IN'!$F$4="Battery Only",SUM(BattCalcs!BL235:BY235),SUM(PVCalcs!AF235:AI235)+SUM(BattCalcs!BL235:BY235)))</f>
        <v>-1375</v>
      </c>
      <c r="AX235" s="144">
        <f>IF('PV IN'!$F$4="Battery Only",0,-PVLoan!F263)</f>
        <v>0</v>
      </c>
      <c r="AY235" s="144">
        <f>IF('PV IN'!$F$4="PV Only",0,-BattLoan!F263)</f>
        <v>0</v>
      </c>
      <c r="AZ235" s="144">
        <f>IF('PV IN'!$F$4="Battery Only",0,-PVLoan!H263)</f>
        <v>0</v>
      </c>
      <c r="BA235" s="144">
        <f>IF('PV IN'!$F$4="PV Only",0,-BattLoan!H263)</f>
        <v>0</v>
      </c>
    </row>
    <row r="236" spans="1:88" x14ac:dyDescent="0.25">
      <c r="A236">
        <f>IF(C236&lt;='PV IN'!$O$22*12,C236,"")</f>
        <v>232</v>
      </c>
      <c r="C236">
        <v>232</v>
      </c>
      <c r="D236" s="2">
        <f>BattCalcs!CK236+PVCalcs!AT236</f>
        <v>9827.0957010033126</v>
      </c>
      <c r="E236" s="20">
        <f>PVCalcs!AV236</f>
        <v>1292836.1153704356</v>
      </c>
      <c r="F236" s="20">
        <f>PVCalcs!AW236</f>
        <v>3826.1800543305949</v>
      </c>
      <c r="G236" s="20">
        <f>PVCalcs!AX236</f>
        <v>402328.68443258433</v>
      </c>
      <c r="H236" s="20">
        <f>BattCalcs!CM236</f>
        <v>0</v>
      </c>
      <c r="I236" s="20">
        <f>BattCalcs!CN236</f>
        <v>0</v>
      </c>
      <c r="J236" s="20">
        <f>IF(C236&lt;='Batt IN'!H$43*12,BattCalcs!CO236,NA())</f>
        <v>0</v>
      </c>
      <c r="L236" s="20">
        <f t="shared" si="518"/>
        <v>3826.1800543305949</v>
      </c>
      <c r="M236" s="20">
        <f>G236+BattCalcs!CO236</f>
        <v>402328.68443258433</v>
      </c>
      <c r="O236" s="10">
        <f>PVLoan!G264</f>
        <v>0</v>
      </c>
      <c r="P236" s="10">
        <f>PVLoan!J264</f>
        <v>0</v>
      </c>
      <c r="Q236" s="2" t="str">
        <f>BattLoan!G264</f>
        <v>-</v>
      </c>
      <c r="R236" s="10" t="str">
        <f>BattLoan!J264</f>
        <v>-</v>
      </c>
      <c r="T236" s="33">
        <f>IF('PV IN'!$F$4="Battery Only",0,PVCalcs!G236)</f>
        <v>130727.26938134423</v>
      </c>
      <c r="U236" s="33">
        <f>IF('PV IN'!$F$4="Battery Only",0,PVCalcs!M236)</f>
        <v>130727.26938134423</v>
      </c>
      <c r="V236" s="33">
        <f>PVCalcs!L236</f>
        <v>25811.765833333331</v>
      </c>
      <c r="W236" s="158">
        <f>PVCalcs!F236</f>
        <v>8.3481784272323598E-2</v>
      </c>
      <c r="X236" s="144">
        <f>IF('PV IN'!$F$4="Battery Only",0,PVCalcs!Y236+PVCalcs!Z236)</f>
        <v>0</v>
      </c>
      <c r="Y236" s="144">
        <f>IF('PV IN'!$F$4="PV Only",0,BattCalcs!AX236+BattCalcs!BC236)</f>
        <v>0</v>
      </c>
      <c r="Z236" s="144">
        <f>IF('PV IN'!$F$4="PV Only",0,BattCalcs!AY236+BattCalcs!BD236)</f>
        <v>0</v>
      </c>
      <c r="AA236" s="144">
        <f>IF('PV IN'!$F$4="PV Only",0,BattCalcs!AZ236+BattCalcs!BE236)</f>
        <v>0</v>
      </c>
      <c r="AB236" s="144">
        <f>IF('PV IN'!$F$4="PV Only",0,BattCalcs!BA236+BattCalcs!BF236)</f>
        <v>0</v>
      </c>
      <c r="AC236" s="144">
        <f>IF('PV IN'!$F$4="PV Only",0,BattCalcs!BB236+BattCalcs!BG236)</f>
        <v>0</v>
      </c>
      <c r="AD236" s="144">
        <f>IF('PV IN'!$F$4="PV Only",0,BattCalcs!BU236)</f>
        <v>0</v>
      </c>
      <c r="AE236" s="144">
        <f>IF('PV IN'!$F$4="PV Only",PVCalcs!W236+PVCalcs!AA236,IF('PV IN'!$F$4="Battery Only",BattCalcs!AV236+BattCalcs!BH236,PVCalcs!W236+PVCalcs!AA236+BattCalcs!AV236+BattCalcs!BH236))</f>
        <v>0</v>
      </c>
      <c r="AF236" s="10">
        <f>PVCalcs!AC236+BattCalcs!BJ236</f>
        <v>0</v>
      </c>
      <c r="AG236" s="144">
        <f>IF('PV IN'!$F$4="Battery Only",0,PVCalcs!AG236)</f>
        <v>-750</v>
      </c>
      <c r="AH236" s="144">
        <f>IF('PV IN'!$F$4="Battery Only",0,PVCalcs!AI236)</f>
        <v>0</v>
      </c>
      <c r="AI236" s="144">
        <f>IF('PV IN'!$F$4="PV Only",0,BattCalcs!BM236)</f>
        <v>0</v>
      </c>
      <c r="AJ236" s="144">
        <f>IF('PV IN'!$F$4="PV Only",0,SUM(BattCalcs!BO236:BT236))</f>
        <v>0</v>
      </c>
      <c r="AK236" s="144">
        <f>IF('PV IN'!$F$4="PV Only",PVCalcs!AH236,IF('PV IN'!$F$4="Battery Only",BattCalcs!BN236,PVCalcs!AH236+BattCalcs!BN236))</f>
        <v>-625</v>
      </c>
      <c r="AL236" s="144">
        <f>IF('PV IN'!$F$4="PV Only",0,BattCalcs!BV236)</f>
        <v>0</v>
      </c>
      <c r="AM236" s="144">
        <f>IF('PV IN'!$F$4="PV Only",0,SUM(BattCalcs!BW236:BX236))</f>
        <v>0</v>
      </c>
      <c r="AN236" s="144">
        <f>IF('PV IN'!$F$4="PV Only",0,BattCalcs!BY236)</f>
        <v>0</v>
      </c>
      <c r="AO236" s="144">
        <f>IF('PV IN'!$F$4="Battery Only",0,PVCalcs!U236)</f>
        <v>10913.345701003313</v>
      </c>
      <c r="AP236" s="10">
        <f>IF('PV IN'!$F$4="PV Only",0,BattCalcs!AS236)</f>
        <v>0</v>
      </c>
      <c r="AQ236" s="10">
        <f>IF('PV IN'!$F$4="PV Only",0,BattCalcs!AT236)</f>
        <v>0</v>
      </c>
      <c r="AR236" s="10">
        <f>IF('PV IN'!$F$4="PV Only",0,BattCalcs!AU236)</f>
        <v>0</v>
      </c>
      <c r="AS236" s="144">
        <f>IF('PV IN'!$F$4="PV Only",PVCalcs!X236,IF('PV IN'!$F$4="Battery Only",BattCalcs!AW236,PVCalcs!X236+BattCalcs!AW236))</f>
        <v>0</v>
      </c>
      <c r="AT236" s="144">
        <f>IF('PV IN'!$F$4="Battery Only",0,-PVCalcs!AQ236*'PV IN'!$E$8)</f>
        <v>0</v>
      </c>
      <c r="AU236" s="144">
        <f>IF('PV IN'!$F$4="PV Only",0,-BattCalcs!CG236*'PV IN'!$E$8)</f>
        <v>0</v>
      </c>
      <c r="AV236" s="144">
        <f>IF('PV IN'!$F$4="PV Only",PVCalcs!Z236+PVCalcs!AA236,IF('PV IN'!$F$4="Battery Only",SUM(BattCalcs!BC236:BH236),PVCalcs!Z236+PVCalcs!AA236+SUM(BattCalcs!BC236:BH236)))</f>
        <v>0</v>
      </c>
      <c r="AW236" s="144">
        <f>IF('PV IN'!$F$4="PV Only",SUM(PVCalcs!AF236:AI236),IF('PV IN'!$F$4="Battery Only",SUM(BattCalcs!BL236:BY236),SUM(PVCalcs!AF236:AI236)+SUM(BattCalcs!BL236:BY236)))</f>
        <v>-1375</v>
      </c>
      <c r="AX236" s="144">
        <f>IF('PV IN'!$F$4="Battery Only",0,-PVLoan!F264)</f>
        <v>0</v>
      </c>
      <c r="AY236" s="144">
        <f>IF('PV IN'!$F$4="PV Only",0,-BattLoan!F264)</f>
        <v>0</v>
      </c>
      <c r="AZ236" s="144">
        <f>IF('PV IN'!$F$4="Battery Only",0,-PVLoan!H264)</f>
        <v>0</v>
      </c>
      <c r="BA236" s="144">
        <f>IF('PV IN'!$F$4="PV Only",0,-BattLoan!H264)</f>
        <v>0</v>
      </c>
    </row>
    <row r="237" spans="1:88" x14ac:dyDescent="0.25">
      <c r="A237">
        <f>IF(C237&lt;='PV IN'!$O$22*12,C237,"")</f>
        <v>233</v>
      </c>
      <c r="C237">
        <v>233</v>
      </c>
      <c r="D237" s="2">
        <f>BattCalcs!CK237+PVCalcs!AT237</f>
        <v>9819.8201372026433</v>
      </c>
      <c r="E237" s="20">
        <f>PVCalcs!AV237</f>
        <v>1302655.9355076384</v>
      </c>
      <c r="F237" s="20">
        <f>PVCalcs!AW237</f>
        <v>3807.8337273579459</v>
      </c>
      <c r="G237" s="20">
        <f>PVCalcs!AX237</f>
        <v>406136.51815994229</v>
      </c>
      <c r="H237" s="20">
        <f>BattCalcs!CM237</f>
        <v>0</v>
      </c>
      <c r="I237" s="20">
        <f>BattCalcs!CN237</f>
        <v>0</v>
      </c>
      <c r="J237" s="20">
        <f>IF(C237&lt;='Batt IN'!H$43*12,BattCalcs!CO237,NA())</f>
        <v>0</v>
      </c>
      <c r="L237" s="20">
        <f t="shared" si="518"/>
        <v>3807.8337273579459</v>
      </c>
      <c r="M237" s="20">
        <f>G237+BattCalcs!CO237</f>
        <v>406136.51815994229</v>
      </c>
      <c r="O237" s="10">
        <f>PVLoan!G265</f>
        <v>0</v>
      </c>
      <c r="P237" s="10">
        <f>PVLoan!J265</f>
        <v>0</v>
      </c>
      <c r="Q237" s="2" t="str">
        <f>BattLoan!G265</f>
        <v>-</v>
      </c>
      <c r="R237" s="10" t="str">
        <f>BattLoan!J265</f>
        <v>-</v>
      </c>
      <c r="T237" s="33">
        <f>IF('PV IN'!$F$4="Battery Only",0,PVCalcs!G237)</f>
        <v>130640.11786842332</v>
      </c>
      <c r="U237" s="33">
        <f>IF('PV IN'!$F$4="Battery Only",0,PVCalcs!M237)</f>
        <v>130640.11786842332</v>
      </c>
      <c r="V237" s="33">
        <f>PVCalcs!L237</f>
        <v>25811.765833333331</v>
      </c>
      <c r="W237" s="158">
        <f>PVCalcs!F237</f>
        <v>8.3481784272323598E-2</v>
      </c>
      <c r="X237" s="144">
        <f>IF('PV IN'!$F$4="Battery Only",0,PVCalcs!Y237+PVCalcs!Z237)</f>
        <v>0</v>
      </c>
      <c r="Y237" s="144">
        <f>IF('PV IN'!$F$4="PV Only",0,BattCalcs!AX237+BattCalcs!BC237)</f>
        <v>0</v>
      </c>
      <c r="Z237" s="144">
        <f>IF('PV IN'!$F$4="PV Only",0,BattCalcs!AY237+BattCalcs!BD237)</f>
        <v>0</v>
      </c>
      <c r="AA237" s="144">
        <f>IF('PV IN'!$F$4="PV Only",0,BattCalcs!AZ237+BattCalcs!BE237)</f>
        <v>0</v>
      </c>
      <c r="AB237" s="144">
        <f>IF('PV IN'!$F$4="PV Only",0,BattCalcs!BA237+BattCalcs!BF237)</f>
        <v>0</v>
      </c>
      <c r="AC237" s="144">
        <f>IF('PV IN'!$F$4="PV Only",0,BattCalcs!BB237+BattCalcs!BG237)</f>
        <v>0</v>
      </c>
      <c r="AD237" s="144">
        <f>IF('PV IN'!$F$4="PV Only",0,BattCalcs!BU237)</f>
        <v>0</v>
      </c>
      <c r="AE237" s="144">
        <f>IF('PV IN'!$F$4="PV Only",PVCalcs!W237+PVCalcs!AA237,IF('PV IN'!$F$4="Battery Only",BattCalcs!AV237+BattCalcs!BH237,PVCalcs!W237+PVCalcs!AA237+BattCalcs!AV237+BattCalcs!BH237))</f>
        <v>0</v>
      </c>
      <c r="AF237" s="10">
        <f>PVCalcs!AC237+BattCalcs!BJ237</f>
        <v>0</v>
      </c>
      <c r="AG237" s="144">
        <f>IF('PV IN'!$F$4="Battery Only",0,PVCalcs!AG237)</f>
        <v>-750</v>
      </c>
      <c r="AH237" s="144">
        <f>IF('PV IN'!$F$4="Battery Only",0,PVCalcs!AI237)</f>
        <v>0</v>
      </c>
      <c r="AI237" s="144">
        <f>IF('PV IN'!$F$4="PV Only",0,BattCalcs!BM237)</f>
        <v>0</v>
      </c>
      <c r="AJ237" s="144">
        <f>IF('PV IN'!$F$4="PV Only",0,SUM(BattCalcs!BO237:BT237))</f>
        <v>0</v>
      </c>
      <c r="AK237" s="144">
        <f>IF('PV IN'!$F$4="PV Only",PVCalcs!AH237,IF('PV IN'!$F$4="Battery Only",BattCalcs!BN237,PVCalcs!AH237+BattCalcs!BN237))</f>
        <v>-625</v>
      </c>
      <c r="AL237" s="144">
        <f>IF('PV IN'!$F$4="PV Only",0,BattCalcs!BV237)</f>
        <v>0</v>
      </c>
      <c r="AM237" s="144">
        <f>IF('PV IN'!$F$4="PV Only",0,SUM(BattCalcs!BW237:BX237))</f>
        <v>0</v>
      </c>
      <c r="AN237" s="144">
        <f>IF('PV IN'!$F$4="PV Only",0,BattCalcs!BY237)</f>
        <v>0</v>
      </c>
      <c r="AO237" s="144">
        <f>IF('PV IN'!$F$4="Battery Only",0,PVCalcs!U237)</f>
        <v>10906.070137202643</v>
      </c>
      <c r="AP237" s="10">
        <f>IF('PV IN'!$F$4="PV Only",0,BattCalcs!AS237)</f>
        <v>0</v>
      </c>
      <c r="AQ237" s="10">
        <f>IF('PV IN'!$F$4="PV Only",0,BattCalcs!AT237)</f>
        <v>0</v>
      </c>
      <c r="AR237" s="10">
        <f>IF('PV IN'!$F$4="PV Only",0,BattCalcs!AU237)</f>
        <v>0</v>
      </c>
      <c r="AS237" s="144">
        <f>IF('PV IN'!$F$4="PV Only",PVCalcs!X237,IF('PV IN'!$F$4="Battery Only",BattCalcs!AW237,PVCalcs!X237+BattCalcs!AW237))</f>
        <v>0</v>
      </c>
      <c r="AT237" s="144">
        <f>IF('PV IN'!$F$4="Battery Only",0,-PVCalcs!AQ237*'PV IN'!$E$8)</f>
        <v>0</v>
      </c>
      <c r="AU237" s="144">
        <f>IF('PV IN'!$F$4="PV Only",0,-BattCalcs!CG237*'PV IN'!$E$8)</f>
        <v>0</v>
      </c>
      <c r="AV237" s="144">
        <f>IF('PV IN'!$F$4="PV Only",PVCalcs!Z237+PVCalcs!AA237,IF('PV IN'!$F$4="Battery Only",SUM(BattCalcs!BC237:BH237),PVCalcs!Z237+PVCalcs!AA237+SUM(BattCalcs!BC237:BH237)))</f>
        <v>0</v>
      </c>
      <c r="AW237" s="144">
        <f>IF('PV IN'!$F$4="PV Only",SUM(PVCalcs!AF237:AI237),IF('PV IN'!$F$4="Battery Only",SUM(BattCalcs!BL237:BY237),SUM(PVCalcs!AF237:AI237)+SUM(BattCalcs!BL237:BY237)))</f>
        <v>-1375</v>
      </c>
      <c r="AX237" s="144">
        <f>IF('PV IN'!$F$4="Battery Only",0,-PVLoan!F265)</f>
        <v>0</v>
      </c>
      <c r="AY237" s="144">
        <f>IF('PV IN'!$F$4="PV Only",0,-BattLoan!F265)</f>
        <v>0</v>
      </c>
      <c r="AZ237" s="144">
        <f>IF('PV IN'!$F$4="Battery Only",0,-PVLoan!H265)</f>
        <v>0</v>
      </c>
      <c r="BA237" s="144">
        <f>IF('PV IN'!$F$4="PV Only",0,-BattLoan!H265)</f>
        <v>0</v>
      </c>
    </row>
    <row r="238" spans="1:88" x14ac:dyDescent="0.25">
      <c r="A238">
        <f>IF(C238&lt;='PV IN'!$O$22*12,C238,"")</f>
        <v>234</v>
      </c>
      <c r="C238">
        <v>234</v>
      </c>
      <c r="D238" s="2">
        <f>BattCalcs!CK238+PVCalcs!AT238</f>
        <v>9812.5494237778403</v>
      </c>
      <c r="E238" s="20">
        <f>PVCalcs!AV238</f>
        <v>1312468.4849314161</v>
      </c>
      <c r="F238" s="20">
        <f>PVCalcs!AW238</f>
        <v>3789.5751629771094</v>
      </c>
      <c r="G238" s="20">
        <f>PVCalcs!AX238</f>
        <v>409926.09332291939</v>
      </c>
      <c r="H238" s="20">
        <f>BattCalcs!CM238</f>
        <v>0</v>
      </c>
      <c r="I238" s="20">
        <f>BattCalcs!CN238</f>
        <v>0</v>
      </c>
      <c r="J238" s="20">
        <f>IF(C238&lt;='Batt IN'!H$43*12,BattCalcs!CO238,NA())</f>
        <v>0</v>
      </c>
      <c r="L238" s="20">
        <f t="shared" si="518"/>
        <v>3789.5751629771094</v>
      </c>
      <c r="M238" s="20">
        <f>G238+BattCalcs!CO238</f>
        <v>409926.09332291939</v>
      </c>
      <c r="O238" s="10">
        <f>PVLoan!G266</f>
        <v>0</v>
      </c>
      <c r="P238" s="10">
        <f>PVLoan!J266</f>
        <v>0</v>
      </c>
      <c r="Q238" s="2" t="str">
        <f>BattLoan!G266</f>
        <v>-</v>
      </c>
      <c r="R238" s="10" t="str">
        <f>BattLoan!J266</f>
        <v>-</v>
      </c>
      <c r="T238" s="33">
        <f>IF('PV IN'!$F$4="Battery Only",0,PVCalcs!G238)</f>
        <v>130553.02445651103</v>
      </c>
      <c r="U238" s="33">
        <f>IF('PV IN'!$F$4="Battery Only",0,PVCalcs!M238)</f>
        <v>130553.02445651103</v>
      </c>
      <c r="V238" s="33">
        <f>PVCalcs!L238</f>
        <v>25811.765833333331</v>
      </c>
      <c r="W238" s="158">
        <f>PVCalcs!F238</f>
        <v>8.3481784272323598E-2</v>
      </c>
      <c r="X238" s="144">
        <f>IF('PV IN'!$F$4="Battery Only",0,PVCalcs!Y238+PVCalcs!Z238)</f>
        <v>0</v>
      </c>
      <c r="Y238" s="144">
        <f>IF('PV IN'!$F$4="PV Only",0,BattCalcs!AX238+BattCalcs!BC238)</f>
        <v>0</v>
      </c>
      <c r="Z238" s="144">
        <f>IF('PV IN'!$F$4="PV Only",0,BattCalcs!AY238+BattCalcs!BD238)</f>
        <v>0</v>
      </c>
      <c r="AA238" s="144">
        <f>IF('PV IN'!$F$4="PV Only",0,BattCalcs!AZ238+BattCalcs!BE238)</f>
        <v>0</v>
      </c>
      <c r="AB238" s="144">
        <f>IF('PV IN'!$F$4="PV Only",0,BattCalcs!BA238+BattCalcs!BF238)</f>
        <v>0</v>
      </c>
      <c r="AC238" s="144">
        <f>IF('PV IN'!$F$4="PV Only",0,BattCalcs!BB238+BattCalcs!BG238)</f>
        <v>0</v>
      </c>
      <c r="AD238" s="144">
        <f>IF('PV IN'!$F$4="PV Only",0,BattCalcs!BU238)</f>
        <v>0</v>
      </c>
      <c r="AE238" s="144">
        <f>IF('PV IN'!$F$4="PV Only",PVCalcs!W238+PVCalcs!AA238,IF('PV IN'!$F$4="Battery Only",BattCalcs!AV238+BattCalcs!BH238,PVCalcs!W238+PVCalcs!AA238+BattCalcs!AV238+BattCalcs!BH238))</f>
        <v>0</v>
      </c>
      <c r="AF238" s="10">
        <f>PVCalcs!AC238+BattCalcs!BJ238</f>
        <v>0</v>
      </c>
      <c r="AG238" s="144">
        <f>IF('PV IN'!$F$4="Battery Only",0,PVCalcs!AG238)</f>
        <v>-750</v>
      </c>
      <c r="AH238" s="144">
        <f>IF('PV IN'!$F$4="Battery Only",0,PVCalcs!AI238)</f>
        <v>0</v>
      </c>
      <c r="AI238" s="144">
        <f>IF('PV IN'!$F$4="PV Only",0,BattCalcs!BM238)</f>
        <v>0</v>
      </c>
      <c r="AJ238" s="144">
        <f>IF('PV IN'!$F$4="PV Only",0,SUM(BattCalcs!BO238:BT238))</f>
        <v>0</v>
      </c>
      <c r="AK238" s="144">
        <f>IF('PV IN'!$F$4="PV Only",PVCalcs!AH238,IF('PV IN'!$F$4="Battery Only",BattCalcs!BN238,PVCalcs!AH238+BattCalcs!BN238))</f>
        <v>-625</v>
      </c>
      <c r="AL238" s="144">
        <f>IF('PV IN'!$F$4="PV Only",0,BattCalcs!BV238)</f>
        <v>0</v>
      </c>
      <c r="AM238" s="144">
        <f>IF('PV IN'!$F$4="PV Only",0,SUM(BattCalcs!BW238:BX238))</f>
        <v>0</v>
      </c>
      <c r="AN238" s="144">
        <f>IF('PV IN'!$F$4="PV Only",0,BattCalcs!BY238)</f>
        <v>0</v>
      </c>
      <c r="AO238" s="144">
        <f>IF('PV IN'!$F$4="Battery Only",0,PVCalcs!U238)</f>
        <v>10898.79942377784</v>
      </c>
      <c r="AP238" s="10">
        <f>IF('PV IN'!$F$4="PV Only",0,BattCalcs!AS238)</f>
        <v>0</v>
      </c>
      <c r="AQ238" s="10">
        <f>IF('PV IN'!$F$4="PV Only",0,BattCalcs!AT238)</f>
        <v>0</v>
      </c>
      <c r="AR238" s="10">
        <f>IF('PV IN'!$F$4="PV Only",0,BattCalcs!AU238)</f>
        <v>0</v>
      </c>
      <c r="AS238" s="144">
        <f>IF('PV IN'!$F$4="PV Only",PVCalcs!X238,IF('PV IN'!$F$4="Battery Only",BattCalcs!AW238,PVCalcs!X238+BattCalcs!AW238))</f>
        <v>0</v>
      </c>
      <c r="AT238" s="144">
        <f>IF('PV IN'!$F$4="Battery Only",0,-PVCalcs!AQ238*'PV IN'!$E$8)</f>
        <v>0</v>
      </c>
      <c r="AU238" s="144">
        <f>IF('PV IN'!$F$4="PV Only",0,-BattCalcs!CG238*'PV IN'!$E$8)</f>
        <v>0</v>
      </c>
      <c r="AV238" s="144">
        <f>IF('PV IN'!$F$4="PV Only",PVCalcs!Z238+PVCalcs!AA238,IF('PV IN'!$F$4="Battery Only",SUM(BattCalcs!BC238:BH238),PVCalcs!Z238+PVCalcs!AA238+SUM(BattCalcs!BC238:BH238)))</f>
        <v>0</v>
      </c>
      <c r="AW238" s="144">
        <f>IF('PV IN'!$F$4="PV Only",SUM(PVCalcs!AF238:AI238),IF('PV IN'!$F$4="Battery Only",SUM(BattCalcs!BL238:BY238),SUM(PVCalcs!AF238:AI238)+SUM(BattCalcs!BL238:BY238)))</f>
        <v>-1375</v>
      </c>
      <c r="AX238" s="144">
        <f>IF('PV IN'!$F$4="Battery Only",0,-PVLoan!F266)</f>
        <v>0</v>
      </c>
      <c r="AY238" s="144">
        <f>IF('PV IN'!$F$4="PV Only",0,-BattLoan!F266)</f>
        <v>0</v>
      </c>
      <c r="AZ238" s="144">
        <f>IF('PV IN'!$F$4="Battery Only",0,-PVLoan!H266)</f>
        <v>0</v>
      </c>
      <c r="BA238" s="144">
        <f>IF('PV IN'!$F$4="PV Only",0,-BattLoan!H266)</f>
        <v>0</v>
      </c>
    </row>
    <row r="239" spans="1:88" x14ac:dyDescent="0.25">
      <c r="A239">
        <f>IF(C239&lt;='PV IN'!$O$22*12,C239,"")</f>
        <v>235</v>
      </c>
      <c r="C239">
        <v>235</v>
      </c>
      <c r="D239" s="2">
        <f>BattCalcs!CK239+PVCalcs!AT239</f>
        <v>9805.2835574953224</v>
      </c>
      <c r="E239" s="20">
        <f>PVCalcs!AV239</f>
        <v>1322273.7684889114</v>
      </c>
      <c r="F239" s="20">
        <f>PVCalcs!AW239</f>
        <v>3771.4039421889697</v>
      </c>
      <c r="G239" s="20">
        <f>PVCalcs!AX239</f>
        <v>413697.49726510834</v>
      </c>
      <c r="H239" s="20">
        <f>BattCalcs!CM239</f>
        <v>0</v>
      </c>
      <c r="I239" s="20">
        <f>BattCalcs!CN239</f>
        <v>0</v>
      </c>
      <c r="J239" s="20">
        <f>IF(C239&lt;='Batt IN'!H$43*12,BattCalcs!CO239,NA())</f>
        <v>0</v>
      </c>
      <c r="L239" s="20">
        <f t="shared" si="518"/>
        <v>3771.4039421889697</v>
      </c>
      <c r="M239" s="20">
        <f>G239+BattCalcs!CO239</f>
        <v>413697.49726510834</v>
      </c>
      <c r="O239" s="10">
        <f>PVLoan!G267</f>
        <v>0</v>
      </c>
      <c r="P239" s="10">
        <f>PVLoan!J267</f>
        <v>0</v>
      </c>
      <c r="Q239" s="2" t="str">
        <f>BattLoan!G267</f>
        <v>-</v>
      </c>
      <c r="R239" s="10" t="str">
        <f>BattLoan!J267</f>
        <v>-</v>
      </c>
      <c r="T239" s="33">
        <f>IF('PV IN'!$F$4="Battery Only",0,PVCalcs!G239)</f>
        <v>130465.98910687336</v>
      </c>
      <c r="U239" s="33">
        <f>IF('PV IN'!$F$4="Battery Only",0,PVCalcs!M239)</f>
        <v>130465.98910687336</v>
      </c>
      <c r="V239" s="33">
        <f>PVCalcs!L239</f>
        <v>25811.765833333331</v>
      </c>
      <c r="W239" s="158">
        <f>PVCalcs!F239</f>
        <v>8.3481784272323598E-2</v>
      </c>
      <c r="X239" s="144">
        <f>IF('PV IN'!$F$4="Battery Only",0,PVCalcs!Y239+PVCalcs!Z239)</f>
        <v>0</v>
      </c>
      <c r="Y239" s="144">
        <f>IF('PV IN'!$F$4="PV Only",0,BattCalcs!AX239+BattCalcs!BC239)</f>
        <v>0</v>
      </c>
      <c r="Z239" s="144">
        <f>IF('PV IN'!$F$4="PV Only",0,BattCalcs!AY239+BattCalcs!BD239)</f>
        <v>0</v>
      </c>
      <c r="AA239" s="144">
        <f>IF('PV IN'!$F$4="PV Only",0,BattCalcs!AZ239+BattCalcs!BE239)</f>
        <v>0</v>
      </c>
      <c r="AB239" s="144">
        <f>IF('PV IN'!$F$4="PV Only",0,BattCalcs!BA239+BattCalcs!BF239)</f>
        <v>0</v>
      </c>
      <c r="AC239" s="144">
        <f>IF('PV IN'!$F$4="PV Only",0,BattCalcs!BB239+BattCalcs!BG239)</f>
        <v>0</v>
      </c>
      <c r="AD239" s="144">
        <f>IF('PV IN'!$F$4="PV Only",0,BattCalcs!BU239)</f>
        <v>0</v>
      </c>
      <c r="AE239" s="144">
        <f>IF('PV IN'!$F$4="PV Only",PVCalcs!W239+PVCalcs!AA239,IF('PV IN'!$F$4="Battery Only",BattCalcs!AV239+BattCalcs!BH239,PVCalcs!W239+PVCalcs!AA239+BattCalcs!AV239+BattCalcs!BH239))</f>
        <v>0</v>
      </c>
      <c r="AF239" s="10">
        <f>PVCalcs!AC239+BattCalcs!BJ239</f>
        <v>0</v>
      </c>
      <c r="AG239" s="144">
        <f>IF('PV IN'!$F$4="Battery Only",0,PVCalcs!AG239)</f>
        <v>-750</v>
      </c>
      <c r="AH239" s="144">
        <f>IF('PV IN'!$F$4="Battery Only",0,PVCalcs!AI239)</f>
        <v>0</v>
      </c>
      <c r="AI239" s="144">
        <f>IF('PV IN'!$F$4="PV Only",0,BattCalcs!BM239)</f>
        <v>0</v>
      </c>
      <c r="AJ239" s="144">
        <f>IF('PV IN'!$F$4="PV Only",0,SUM(BattCalcs!BO239:BT239))</f>
        <v>0</v>
      </c>
      <c r="AK239" s="144">
        <f>IF('PV IN'!$F$4="PV Only",PVCalcs!AH239,IF('PV IN'!$F$4="Battery Only",BattCalcs!BN239,PVCalcs!AH239+BattCalcs!BN239))</f>
        <v>-625</v>
      </c>
      <c r="AL239" s="144">
        <f>IF('PV IN'!$F$4="PV Only",0,BattCalcs!BV239)</f>
        <v>0</v>
      </c>
      <c r="AM239" s="144">
        <f>IF('PV IN'!$F$4="PV Only",0,SUM(BattCalcs!BW239:BX239))</f>
        <v>0</v>
      </c>
      <c r="AN239" s="144">
        <f>IF('PV IN'!$F$4="PV Only",0,BattCalcs!BY239)</f>
        <v>0</v>
      </c>
      <c r="AO239" s="144">
        <f>IF('PV IN'!$F$4="Battery Only",0,PVCalcs!U239)</f>
        <v>10891.533557495322</v>
      </c>
      <c r="AP239" s="10">
        <f>IF('PV IN'!$F$4="PV Only",0,BattCalcs!AS239)</f>
        <v>0</v>
      </c>
      <c r="AQ239" s="10">
        <f>IF('PV IN'!$F$4="PV Only",0,BattCalcs!AT239)</f>
        <v>0</v>
      </c>
      <c r="AR239" s="10">
        <f>IF('PV IN'!$F$4="PV Only",0,BattCalcs!AU239)</f>
        <v>0</v>
      </c>
      <c r="AS239" s="144">
        <f>IF('PV IN'!$F$4="PV Only",PVCalcs!X239,IF('PV IN'!$F$4="Battery Only",BattCalcs!AW239,PVCalcs!X239+BattCalcs!AW239))</f>
        <v>0</v>
      </c>
      <c r="AT239" s="144">
        <f>IF('PV IN'!$F$4="Battery Only",0,-PVCalcs!AQ239*'PV IN'!$E$8)</f>
        <v>0</v>
      </c>
      <c r="AU239" s="144">
        <f>IF('PV IN'!$F$4="PV Only",0,-BattCalcs!CG239*'PV IN'!$E$8)</f>
        <v>0</v>
      </c>
      <c r="AV239" s="144">
        <f>IF('PV IN'!$F$4="PV Only",PVCalcs!Z239+PVCalcs!AA239,IF('PV IN'!$F$4="Battery Only",SUM(BattCalcs!BC239:BH239),PVCalcs!Z239+PVCalcs!AA239+SUM(BattCalcs!BC239:BH239)))</f>
        <v>0</v>
      </c>
      <c r="AW239" s="144">
        <f>IF('PV IN'!$F$4="PV Only",SUM(PVCalcs!AF239:AI239),IF('PV IN'!$F$4="Battery Only",SUM(BattCalcs!BL239:BY239),SUM(PVCalcs!AF239:AI239)+SUM(BattCalcs!BL239:BY239)))</f>
        <v>-1375</v>
      </c>
      <c r="AX239" s="144">
        <f>IF('PV IN'!$F$4="Battery Only",0,-PVLoan!F267)</f>
        <v>0</v>
      </c>
      <c r="AY239" s="144">
        <f>IF('PV IN'!$F$4="PV Only",0,-BattLoan!F267)</f>
        <v>0</v>
      </c>
      <c r="AZ239" s="144">
        <f>IF('PV IN'!$F$4="Battery Only",0,-PVLoan!H267)</f>
        <v>0</v>
      </c>
      <c r="BA239" s="144">
        <f>IF('PV IN'!$F$4="PV Only",0,-BattLoan!H267)</f>
        <v>0</v>
      </c>
    </row>
    <row r="240" spans="1:88" x14ac:dyDescent="0.25">
      <c r="A240">
        <f>IF(C240&lt;='PV IN'!$O$22*12,C240,"")</f>
        <v>236</v>
      </c>
      <c r="C240">
        <v>236</v>
      </c>
      <c r="D240" s="2">
        <f>BattCalcs!CK240+PVCalcs!AT240</f>
        <v>9798.0225351236586</v>
      </c>
      <c r="E240" s="20">
        <f>PVCalcs!AV240</f>
        <v>1332071.7910240351</v>
      </c>
      <c r="F240" s="20">
        <f>PVCalcs!AW240</f>
        <v>3753.3196479914977</v>
      </c>
      <c r="G240" s="20">
        <f>PVCalcs!AX240</f>
        <v>417450.81691309984</v>
      </c>
      <c r="H240" s="20">
        <f>BattCalcs!CM240</f>
        <v>0</v>
      </c>
      <c r="I240" s="20">
        <f>BattCalcs!CN240</f>
        <v>0</v>
      </c>
      <c r="J240" s="20">
        <f>IF(C240&lt;='Batt IN'!H$43*12,BattCalcs!CO240,NA())</f>
        <v>0</v>
      </c>
      <c r="L240" s="20">
        <f t="shared" si="518"/>
        <v>3753.3196479914977</v>
      </c>
      <c r="M240" s="20">
        <f>G240+BattCalcs!CO240</f>
        <v>417450.81691309984</v>
      </c>
      <c r="O240" s="10">
        <f>PVLoan!G268</f>
        <v>0</v>
      </c>
      <c r="P240" s="10">
        <f>PVLoan!J268</f>
        <v>0</v>
      </c>
      <c r="Q240" s="2" t="str">
        <f>BattLoan!G268</f>
        <v>-</v>
      </c>
      <c r="R240" s="10" t="str">
        <f>BattLoan!J268</f>
        <v>-</v>
      </c>
      <c r="T240" s="33">
        <f>IF('PV IN'!$F$4="Battery Only",0,PVCalcs!G240)</f>
        <v>130379.01178080212</v>
      </c>
      <c r="U240" s="33">
        <f>IF('PV IN'!$F$4="Battery Only",0,PVCalcs!M240)</f>
        <v>130379.01178080212</v>
      </c>
      <c r="V240" s="33">
        <f>PVCalcs!L240</f>
        <v>25811.765833333331</v>
      </c>
      <c r="W240" s="158">
        <f>PVCalcs!F240</f>
        <v>8.3481784272323598E-2</v>
      </c>
      <c r="X240" s="144">
        <f>IF('PV IN'!$F$4="Battery Only",0,PVCalcs!Y240+PVCalcs!Z240)</f>
        <v>0</v>
      </c>
      <c r="Y240" s="144">
        <f>IF('PV IN'!$F$4="PV Only",0,BattCalcs!AX240+BattCalcs!BC240)</f>
        <v>0</v>
      </c>
      <c r="Z240" s="144">
        <f>IF('PV IN'!$F$4="PV Only",0,BattCalcs!AY240+BattCalcs!BD240)</f>
        <v>0</v>
      </c>
      <c r="AA240" s="144">
        <f>IF('PV IN'!$F$4="PV Only",0,BattCalcs!AZ240+BattCalcs!BE240)</f>
        <v>0</v>
      </c>
      <c r="AB240" s="144">
        <f>IF('PV IN'!$F$4="PV Only",0,BattCalcs!BA240+BattCalcs!BF240)</f>
        <v>0</v>
      </c>
      <c r="AC240" s="144">
        <f>IF('PV IN'!$F$4="PV Only",0,BattCalcs!BB240+BattCalcs!BG240)</f>
        <v>0</v>
      </c>
      <c r="AD240" s="144">
        <f>IF('PV IN'!$F$4="PV Only",0,BattCalcs!BU240)</f>
        <v>0</v>
      </c>
      <c r="AE240" s="144">
        <f>IF('PV IN'!$F$4="PV Only",PVCalcs!W240+PVCalcs!AA240,IF('PV IN'!$F$4="Battery Only",BattCalcs!AV240+BattCalcs!BH240,PVCalcs!W240+PVCalcs!AA240+BattCalcs!AV240+BattCalcs!BH240))</f>
        <v>0</v>
      </c>
      <c r="AF240" s="10">
        <f>PVCalcs!AC240+BattCalcs!BJ240</f>
        <v>0</v>
      </c>
      <c r="AG240" s="144">
        <f>IF('PV IN'!$F$4="Battery Only",0,PVCalcs!AG240)</f>
        <v>-750</v>
      </c>
      <c r="AH240" s="144">
        <f>IF('PV IN'!$F$4="Battery Only",0,PVCalcs!AI240)</f>
        <v>0</v>
      </c>
      <c r="AI240" s="144">
        <f>IF('PV IN'!$F$4="PV Only",0,BattCalcs!BM240)</f>
        <v>0</v>
      </c>
      <c r="AJ240" s="144">
        <f>IF('PV IN'!$F$4="PV Only",0,SUM(BattCalcs!BO240:BT240))</f>
        <v>0</v>
      </c>
      <c r="AK240" s="144">
        <f>IF('PV IN'!$F$4="PV Only",PVCalcs!AH240,IF('PV IN'!$F$4="Battery Only",BattCalcs!BN240,PVCalcs!AH240+BattCalcs!BN240))</f>
        <v>-625</v>
      </c>
      <c r="AL240" s="144">
        <f>IF('PV IN'!$F$4="PV Only",0,BattCalcs!BV240)</f>
        <v>0</v>
      </c>
      <c r="AM240" s="144">
        <f>IF('PV IN'!$F$4="PV Only",0,SUM(BattCalcs!BW240:BX240))</f>
        <v>0</v>
      </c>
      <c r="AN240" s="144">
        <f>IF('PV IN'!$F$4="PV Only",0,BattCalcs!BY240)</f>
        <v>0</v>
      </c>
      <c r="AO240" s="144">
        <f>IF('PV IN'!$F$4="Battery Only",0,PVCalcs!U240)</f>
        <v>10884.272535123659</v>
      </c>
      <c r="AP240" s="10">
        <f>IF('PV IN'!$F$4="PV Only",0,BattCalcs!AS240)</f>
        <v>0</v>
      </c>
      <c r="AQ240" s="10">
        <f>IF('PV IN'!$F$4="PV Only",0,BattCalcs!AT240)</f>
        <v>0</v>
      </c>
      <c r="AR240" s="10">
        <f>IF('PV IN'!$F$4="PV Only",0,BattCalcs!AU240)</f>
        <v>0</v>
      </c>
      <c r="AS240" s="144">
        <f>IF('PV IN'!$F$4="PV Only",PVCalcs!X240,IF('PV IN'!$F$4="Battery Only",BattCalcs!AW240,PVCalcs!X240+BattCalcs!AW240))</f>
        <v>0</v>
      </c>
      <c r="AT240" s="144">
        <f>IF('PV IN'!$F$4="Battery Only",0,-PVCalcs!AQ240*'PV IN'!$E$8)</f>
        <v>0</v>
      </c>
      <c r="AU240" s="144">
        <f>IF('PV IN'!$F$4="PV Only",0,-BattCalcs!CG240*'PV IN'!$E$8)</f>
        <v>0</v>
      </c>
      <c r="AV240" s="144">
        <f>IF('PV IN'!$F$4="PV Only",PVCalcs!Z240+PVCalcs!AA240,IF('PV IN'!$F$4="Battery Only",SUM(BattCalcs!BC240:BH240),PVCalcs!Z240+PVCalcs!AA240+SUM(BattCalcs!BC240:BH240)))</f>
        <v>0</v>
      </c>
      <c r="AW240" s="144">
        <f>IF('PV IN'!$F$4="PV Only",SUM(PVCalcs!AF240:AI240),IF('PV IN'!$F$4="Battery Only",SUM(BattCalcs!BL240:BY240),SUM(PVCalcs!AF240:AI240)+SUM(BattCalcs!BL240:BY240)))</f>
        <v>-1375</v>
      </c>
      <c r="AX240" s="144">
        <f>IF('PV IN'!$F$4="Battery Only",0,-PVLoan!F268)</f>
        <v>0</v>
      </c>
      <c r="AY240" s="144">
        <f>IF('PV IN'!$F$4="PV Only",0,-BattLoan!F268)</f>
        <v>0</v>
      </c>
      <c r="AZ240" s="144">
        <f>IF('PV IN'!$F$4="Battery Only",0,-PVLoan!H268)</f>
        <v>0</v>
      </c>
      <c r="BA240" s="144">
        <f>IF('PV IN'!$F$4="PV Only",0,-BattLoan!H268)</f>
        <v>0</v>
      </c>
    </row>
    <row r="241" spans="1:88" x14ac:dyDescent="0.25">
      <c r="A241">
        <f>IF(C241&lt;='PV IN'!$O$22*12,C241,"")</f>
        <v>237</v>
      </c>
      <c r="C241">
        <v>237</v>
      </c>
      <c r="D241" s="2">
        <f>BattCalcs!CK241+PVCalcs!AT241</f>
        <v>9790.7663534335752</v>
      </c>
      <c r="E241" s="20">
        <f>PVCalcs!AV241</f>
        <v>1341862.5573774686</v>
      </c>
      <c r="F241" s="20">
        <f>PVCalcs!AW241</f>
        <v>3735.3218653702443</v>
      </c>
      <c r="G241" s="20">
        <f>PVCalcs!AX241</f>
        <v>421186.13877847011</v>
      </c>
      <c r="H241" s="20">
        <f>BattCalcs!CM241</f>
        <v>0</v>
      </c>
      <c r="I241" s="20">
        <f>BattCalcs!CN241</f>
        <v>0</v>
      </c>
      <c r="J241" s="20">
        <f>IF(C241&lt;='Batt IN'!H$43*12,BattCalcs!CO241,NA())</f>
        <v>0</v>
      </c>
      <c r="L241" s="20">
        <f t="shared" si="518"/>
        <v>3735.3218653702443</v>
      </c>
      <c r="M241" s="20">
        <f>G241+BattCalcs!CO241</f>
        <v>421186.13877847011</v>
      </c>
      <c r="O241" s="10">
        <f>PVLoan!G269</f>
        <v>0</v>
      </c>
      <c r="P241" s="10">
        <f>PVLoan!J269</f>
        <v>0</v>
      </c>
      <c r="Q241" s="2" t="str">
        <f>BattLoan!G269</f>
        <v>-</v>
      </c>
      <c r="R241" s="10" t="str">
        <f>BattLoan!J269</f>
        <v>-</v>
      </c>
      <c r="T241" s="33">
        <f>IF('PV IN'!$F$4="Battery Only",0,PVCalcs!G241)</f>
        <v>130292.09243961491</v>
      </c>
      <c r="U241" s="33">
        <f>IF('PV IN'!$F$4="Battery Only",0,PVCalcs!M241)</f>
        <v>130292.09243961491</v>
      </c>
      <c r="V241" s="33">
        <f>PVCalcs!L241</f>
        <v>25811.765833333331</v>
      </c>
      <c r="W241" s="158">
        <f>PVCalcs!F241</f>
        <v>8.3481784272323598E-2</v>
      </c>
      <c r="X241" s="144">
        <f>IF('PV IN'!$F$4="Battery Only",0,PVCalcs!Y241+PVCalcs!Z241)</f>
        <v>0</v>
      </c>
      <c r="Y241" s="144">
        <f>IF('PV IN'!$F$4="PV Only",0,BattCalcs!AX241+BattCalcs!BC241)</f>
        <v>0</v>
      </c>
      <c r="Z241" s="144">
        <f>IF('PV IN'!$F$4="PV Only",0,BattCalcs!AY241+BattCalcs!BD241)</f>
        <v>0</v>
      </c>
      <c r="AA241" s="144">
        <f>IF('PV IN'!$F$4="PV Only",0,BattCalcs!AZ241+BattCalcs!BE241)</f>
        <v>0</v>
      </c>
      <c r="AB241" s="144">
        <f>IF('PV IN'!$F$4="PV Only",0,BattCalcs!BA241+BattCalcs!BF241)</f>
        <v>0</v>
      </c>
      <c r="AC241" s="144">
        <f>IF('PV IN'!$F$4="PV Only",0,BattCalcs!BB241+BattCalcs!BG241)</f>
        <v>0</v>
      </c>
      <c r="AD241" s="144">
        <f>IF('PV IN'!$F$4="PV Only",0,BattCalcs!BU241)</f>
        <v>0</v>
      </c>
      <c r="AE241" s="144">
        <f>IF('PV IN'!$F$4="PV Only",PVCalcs!W241+PVCalcs!AA241,IF('PV IN'!$F$4="Battery Only",BattCalcs!AV241+BattCalcs!BH241,PVCalcs!W241+PVCalcs!AA241+BattCalcs!AV241+BattCalcs!BH241))</f>
        <v>0</v>
      </c>
      <c r="AF241" s="10">
        <f>PVCalcs!AC241+BattCalcs!BJ241</f>
        <v>0</v>
      </c>
      <c r="AG241" s="144">
        <f>IF('PV IN'!$F$4="Battery Only",0,PVCalcs!AG241)</f>
        <v>-750</v>
      </c>
      <c r="AH241" s="144">
        <f>IF('PV IN'!$F$4="Battery Only",0,PVCalcs!AI241)</f>
        <v>0</v>
      </c>
      <c r="AI241" s="144">
        <f>IF('PV IN'!$F$4="PV Only",0,BattCalcs!BM241)</f>
        <v>0</v>
      </c>
      <c r="AJ241" s="144">
        <f>IF('PV IN'!$F$4="PV Only",0,SUM(BattCalcs!BO241:BT241))</f>
        <v>0</v>
      </c>
      <c r="AK241" s="144">
        <f>IF('PV IN'!$F$4="PV Only",PVCalcs!AH241,IF('PV IN'!$F$4="Battery Only",BattCalcs!BN241,PVCalcs!AH241+BattCalcs!BN241))</f>
        <v>-625</v>
      </c>
      <c r="AL241" s="144">
        <f>IF('PV IN'!$F$4="PV Only",0,BattCalcs!BV241)</f>
        <v>0</v>
      </c>
      <c r="AM241" s="144">
        <f>IF('PV IN'!$F$4="PV Only",0,SUM(BattCalcs!BW241:BX241))</f>
        <v>0</v>
      </c>
      <c r="AN241" s="144">
        <f>IF('PV IN'!$F$4="PV Only",0,BattCalcs!BY241)</f>
        <v>0</v>
      </c>
      <c r="AO241" s="144">
        <f>IF('PV IN'!$F$4="Battery Only",0,PVCalcs!U241)</f>
        <v>10877.016353433575</v>
      </c>
      <c r="AP241" s="10">
        <f>IF('PV IN'!$F$4="PV Only",0,BattCalcs!AS241)</f>
        <v>0</v>
      </c>
      <c r="AQ241" s="10">
        <f>IF('PV IN'!$F$4="PV Only",0,BattCalcs!AT241)</f>
        <v>0</v>
      </c>
      <c r="AR241" s="10">
        <f>IF('PV IN'!$F$4="PV Only",0,BattCalcs!AU241)</f>
        <v>0</v>
      </c>
      <c r="AS241" s="144">
        <f>IF('PV IN'!$F$4="PV Only",PVCalcs!X241,IF('PV IN'!$F$4="Battery Only",BattCalcs!AW241,PVCalcs!X241+BattCalcs!AW241))</f>
        <v>0</v>
      </c>
      <c r="AT241" s="144">
        <f>IF('PV IN'!$F$4="Battery Only",0,-PVCalcs!AQ241*'PV IN'!$E$8)</f>
        <v>0</v>
      </c>
      <c r="AU241" s="144">
        <f>IF('PV IN'!$F$4="PV Only",0,-BattCalcs!CG241*'PV IN'!$E$8)</f>
        <v>0</v>
      </c>
      <c r="AV241" s="144">
        <f>IF('PV IN'!$F$4="PV Only",PVCalcs!Z241+PVCalcs!AA241,IF('PV IN'!$F$4="Battery Only",SUM(BattCalcs!BC241:BH241),PVCalcs!Z241+PVCalcs!AA241+SUM(BattCalcs!BC241:BH241)))</f>
        <v>0</v>
      </c>
      <c r="AW241" s="144">
        <f>IF('PV IN'!$F$4="PV Only",SUM(PVCalcs!AF241:AI241),IF('PV IN'!$F$4="Battery Only",SUM(BattCalcs!BL241:BY241),SUM(PVCalcs!AF241:AI241)+SUM(BattCalcs!BL241:BY241)))</f>
        <v>-1375</v>
      </c>
      <c r="AX241" s="144">
        <f>IF('PV IN'!$F$4="Battery Only",0,-PVLoan!F269)</f>
        <v>0</v>
      </c>
      <c r="AY241" s="144">
        <f>IF('PV IN'!$F$4="PV Only",0,-BattLoan!F269)</f>
        <v>0</v>
      </c>
      <c r="AZ241" s="144">
        <f>IF('PV IN'!$F$4="Battery Only",0,-PVLoan!H269)</f>
        <v>0</v>
      </c>
      <c r="BA241" s="144">
        <f>IF('PV IN'!$F$4="PV Only",0,-BattLoan!H269)</f>
        <v>0</v>
      </c>
    </row>
    <row r="242" spans="1:88" x14ac:dyDescent="0.25">
      <c r="A242">
        <f>IF(C242&lt;='PV IN'!$O$22*12,C242,"")</f>
        <v>238</v>
      </c>
      <c r="C242">
        <v>238</v>
      </c>
      <c r="D242" s="2">
        <f>BattCalcs!CK242+PVCalcs!AT242</f>
        <v>9783.5150091979522</v>
      </c>
      <c r="E242" s="20">
        <f>PVCalcs!AV242</f>
        <v>1351646.0723866664</v>
      </c>
      <c r="F242" s="20">
        <f>PVCalcs!AW242</f>
        <v>3717.4101812888839</v>
      </c>
      <c r="G242" s="20">
        <f>PVCalcs!AX242</f>
        <v>424903.54895975901</v>
      </c>
      <c r="H242" s="20">
        <f>BattCalcs!CM242</f>
        <v>0</v>
      </c>
      <c r="I242" s="20">
        <f>BattCalcs!CN242</f>
        <v>0</v>
      </c>
      <c r="J242" s="20">
        <f>IF(C242&lt;='Batt IN'!H$43*12,BattCalcs!CO242,NA())</f>
        <v>0</v>
      </c>
      <c r="L242" s="20">
        <f t="shared" si="518"/>
        <v>3717.4101812888839</v>
      </c>
      <c r="M242" s="20">
        <f>G242+BattCalcs!CO242</f>
        <v>424903.54895975901</v>
      </c>
      <c r="O242" s="10">
        <f>PVLoan!G270</f>
        <v>0</v>
      </c>
      <c r="P242" s="10">
        <f>PVLoan!J270</f>
        <v>0</v>
      </c>
      <c r="Q242" s="2" t="str">
        <f>BattLoan!G270</f>
        <v>-</v>
      </c>
      <c r="R242" s="10" t="str">
        <f>BattLoan!J270</f>
        <v>-</v>
      </c>
      <c r="T242" s="33">
        <f>IF('PV IN'!$F$4="Battery Only",0,PVCalcs!G242)</f>
        <v>130205.23104465516</v>
      </c>
      <c r="U242" s="33">
        <f>IF('PV IN'!$F$4="Battery Only",0,PVCalcs!M242)</f>
        <v>130205.23104465516</v>
      </c>
      <c r="V242" s="33">
        <f>PVCalcs!L242</f>
        <v>25811.765833333331</v>
      </c>
      <c r="W242" s="158">
        <f>PVCalcs!F242</f>
        <v>8.3481784272323598E-2</v>
      </c>
      <c r="X242" s="144">
        <f>IF('PV IN'!$F$4="Battery Only",0,PVCalcs!Y242+PVCalcs!Z242)</f>
        <v>0</v>
      </c>
      <c r="Y242" s="144">
        <f>IF('PV IN'!$F$4="PV Only",0,BattCalcs!AX242+BattCalcs!BC242)</f>
        <v>0</v>
      </c>
      <c r="Z242" s="144">
        <f>IF('PV IN'!$F$4="PV Only",0,BattCalcs!AY242+BattCalcs!BD242)</f>
        <v>0</v>
      </c>
      <c r="AA242" s="144">
        <f>IF('PV IN'!$F$4="PV Only",0,BattCalcs!AZ242+BattCalcs!BE242)</f>
        <v>0</v>
      </c>
      <c r="AB242" s="144">
        <f>IF('PV IN'!$F$4="PV Only",0,BattCalcs!BA242+BattCalcs!BF242)</f>
        <v>0</v>
      </c>
      <c r="AC242" s="144">
        <f>IF('PV IN'!$F$4="PV Only",0,BattCalcs!BB242+BattCalcs!BG242)</f>
        <v>0</v>
      </c>
      <c r="AD242" s="144">
        <f>IF('PV IN'!$F$4="PV Only",0,BattCalcs!BU242)</f>
        <v>0</v>
      </c>
      <c r="AE242" s="144">
        <f>IF('PV IN'!$F$4="PV Only",PVCalcs!W242+PVCalcs!AA242,IF('PV IN'!$F$4="Battery Only",BattCalcs!AV242+BattCalcs!BH242,PVCalcs!W242+PVCalcs!AA242+BattCalcs!AV242+BattCalcs!BH242))</f>
        <v>0</v>
      </c>
      <c r="AF242" s="10">
        <f>PVCalcs!AC242+BattCalcs!BJ242</f>
        <v>0</v>
      </c>
      <c r="AG242" s="144">
        <f>IF('PV IN'!$F$4="Battery Only",0,PVCalcs!AG242)</f>
        <v>-750</v>
      </c>
      <c r="AH242" s="144">
        <f>IF('PV IN'!$F$4="Battery Only",0,PVCalcs!AI242)</f>
        <v>0</v>
      </c>
      <c r="AI242" s="144">
        <f>IF('PV IN'!$F$4="PV Only",0,BattCalcs!BM242)</f>
        <v>0</v>
      </c>
      <c r="AJ242" s="144">
        <f>IF('PV IN'!$F$4="PV Only",0,SUM(BattCalcs!BO242:BT242))</f>
        <v>0</v>
      </c>
      <c r="AK242" s="144">
        <f>IF('PV IN'!$F$4="PV Only",PVCalcs!AH242,IF('PV IN'!$F$4="Battery Only",BattCalcs!BN242,PVCalcs!AH242+BattCalcs!BN242))</f>
        <v>-625</v>
      </c>
      <c r="AL242" s="144">
        <f>IF('PV IN'!$F$4="PV Only",0,BattCalcs!BV242)</f>
        <v>0</v>
      </c>
      <c r="AM242" s="144">
        <f>IF('PV IN'!$F$4="PV Only",0,SUM(BattCalcs!BW242:BX242))</f>
        <v>0</v>
      </c>
      <c r="AN242" s="144">
        <f>IF('PV IN'!$F$4="PV Only",0,BattCalcs!BY242)</f>
        <v>0</v>
      </c>
      <c r="AO242" s="144">
        <f>IF('PV IN'!$F$4="Battery Only",0,PVCalcs!U242)</f>
        <v>10869.765009197952</v>
      </c>
      <c r="AP242" s="10">
        <f>IF('PV IN'!$F$4="PV Only",0,BattCalcs!AS242)</f>
        <v>0</v>
      </c>
      <c r="AQ242" s="10">
        <f>IF('PV IN'!$F$4="PV Only",0,BattCalcs!AT242)</f>
        <v>0</v>
      </c>
      <c r="AR242" s="10">
        <f>IF('PV IN'!$F$4="PV Only",0,BattCalcs!AU242)</f>
        <v>0</v>
      </c>
      <c r="AS242" s="144">
        <f>IF('PV IN'!$F$4="PV Only",PVCalcs!X242,IF('PV IN'!$F$4="Battery Only",BattCalcs!AW242,PVCalcs!X242+BattCalcs!AW242))</f>
        <v>0</v>
      </c>
      <c r="AT242" s="144">
        <f>IF('PV IN'!$F$4="Battery Only",0,-PVCalcs!AQ242*'PV IN'!$E$8)</f>
        <v>0</v>
      </c>
      <c r="AU242" s="144">
        <f>IF('PV IN'!$F$4="PV Only",0,-BattCalcs!CG242*'PV IN'!$E$8)</f>
        <v>0</v>
      </c>
      <c r="AV242" s="144">
        <f>IF('PV IN'!$F$4="PV Only",PVCalcs!Z242+PVCalcs!AA242,IF('PV IN'!$F$4="Battery Only",SUM(BattCalcs!BC242:BH242),PVCalcs!Z242+PVCalcs!AA242+SUM(BattCalcs!BC242:BH242)))</f>
        <v>0</v>
      </c>
      <c r="AW242" s="144">
        <f>IF('PV IN'!$F$4="PV Only",SUM(PVCalcs!AF242:AI242),IF('PV IN'!$F$4="Battery Only",SUM(BattCalcs!BL242:BY242),SUM(PVCalcs!AF242:AI242)+SUM(BattCalcs!BL242:BY242)))</f>
        <v>-1375</v>
      </c>
      <c r="AX242" s="144">
        <f>IF('PV IN'!$F$4="Battery Only",0,-PVLoan!F270)</f>
        <v>0</v>
      </c>
      <c r="AY242" s="144">
        <f>IF('PV IN'!$F$4="PV Only",0,-BattLoan!F270)</f>
        <v>0</v>
      </c>
      <c r="AZ242" s="144">
        <f>IF('PV IN'!$F$4="Battery Only",0,-PVLoan!H270)</f>
        <v>0</v>
      </c>
      <c r="BA242" s="144">
        <f>IF('PV IN'!$F$4="PV Only",0,-BattLoan!H270)</f>
        <v>0</v>
      </c>
    </row>
    <row r="243" spans="1:88" x14ac:dyDescent="0.25">
      <c r="A243">
        <f>IF(C243&lt;='PV IN'!$O$22*12,C243,"")</f>
        <v>239</v>
      </c>
      <c r="C243">
        <v>239</v>
      </c>
      <c r="D243" s="2">
        <f>BattCalcs!CK243+PVCalcs!AT243</f>
        <v>9776.2684991918213</v>
      </c>
      <c r="E243" s="20">
        <f>PVCalcs!AV243</f>
        <v>1361422.3408858583</v>
      </c>
      <c r="F243" s="20">
        <f>PVCalcs!AW243</f>
        <v>3699.5841846797957</v>
      </c>
      <c r="G243" s="20">
        <f>PVCalcs!AX243</f>
        <v>428603.13314443879</v>
      </c>
      <c r="H243" s="20">
        <f>BattCalcs!CM243</f>
        <v>0</v>
      </c>
      <c r="I243" s="20">
        <f>BattCalcs!CN243</f>
        <v>0</v>
      </c>
      <c r="J243" s="20">
        <f>IF(C243&lt;='Batt IN'!H$43*12,BattCalcs!CO243,NA())</f>
        <v>0</v>
      </c>
      <c r="L243" s="20">
        <f t="shared" si="518"/>
        <v>3699.5841846797957</v>
      </c>
      <c r="M243" s="20">
        <f>G243+BattCalcs!CO243</f>
        <v>428603.13314443879</v>
      </c>
      <c r="O243" s="10">
        <f>PVLoan!G271</f>
        <v>0</v>
      </c>
      <c r="P243" s="10">
        <f>PVLoan!J271</f>
        <v>0</v>
      </c>
      <c r="Q243" s="2" t="str">
        <f>BattLoan!G271</f>
        <v>-</v>
      </c>
      <c r="R243" s="10" t="str">
        <f>BattLoan!J271</f>
        <v>-</v>
      </c>
      <c r="T243" s="33">
        <f>IF('PV IN'!$F$4="Battery Only",0,PVCalcs!G243)</f>
        <v>130118.42755729205</v>
      </c>
      <c r="U243" s="33">
        <f>IF('PV IN'!$F$4="Battery Only",0,PVCalcs!M243)</f>
        <v>130118.42755729205</v>
      </c>
      <c r="V243" s="33">
        <f>PVCalcs!L243</f>
        <v>25811.765833333331</v>
      </c>
      <c r="W243" s="158">
        <f>PVCalcs!F243</f>
        <v>8.3481784272323598E-2</v>
      </c>
      <c r="X243" s="144">
        <f>IF('PV IN'!$F$4="Battery Only",0,PVCalcs!Y243+PVCalcs!Z243)</f>
        <v>0</v>
      </c>
      <c r="Y243" s="144">
        <f>IF('PV IN'!$F$4="PV Only",0,BattCalcs!AX243+BattCalcs!BC243)</f>
        <v>0</v>
      </c>
      <c r="Z243" s="144">
        <f>IF('PV IN'!$F$4="PV Only",0,BattCalcs!AY243+BattCalcs!BD243)</f>
        <v>0</v>
      </c>
      <c r="AA243" s="144">
        <f>IF('PV IN'!$F$4="PV Only",0,BattCalcs!AZ243+BattCalcs!BE243)</f>
        <v>0</v>
      </c>
      <c r="AB243" s="144">
        <f>IF('PV IN'!$F$4="PV Only",0,BattCalcs!BA243+BattCalcs!BF243)</f>
        <v>0</v>
      </c>
      <c r="AC243" s="144">
        <f>IF('PV IN'!$F$4="PV Only",0,BattCalcs!BB243+BattCalcs!BG243)</f>
        <v>0</v>
      </c>
      <c r="AD243" s="144">
        <f>IF('PV IN'!$F$4="PV Only",0,BattCalcs!BU243)</f>
        <v>0</v>
      </c>
      <c r="AE243" s="144">
        <f>IF('PV IN'!$F$4="PV Only",PVCalcs!W243+PVCalcs!AA243,IF('PV IN'!$F$4="Battery Only",BattCalcs!AV243+BattCalcs!BH243,PVCalcs!W243+PVCalcs!AA243+BattCalcs!AV243+BattCalcs!BH243))</f>
        <v>0</v>
      </c>
      <c r="AF243" s="10">
        <f>PVCalcs!AC243+BattCalcs!BJ243</f>
        <v>0</v>
      </c>
      <c r="AG243" s="144">
        <f>IF('PV IN'!$F$4="Battery Only",0,PVCalcs!AG243)</f>
        <v>-750</v>
      </c>
      <c r="AH243" s="144">
        <f>IF('PV IN'!$F$4="Battery Only",0,PVCalcs!AI243)</f>
        <v>0</v>
      </c>
      <c r="AI243" s="144">
        <f>IF('PV IN'!$F$4="PV Only",0,BattCalcs!BM243)</f>
        <v>0</v>
      </c>
      <c r="AJ243" s="144">
        <f>IF('PV IN'!$F$4="PV Only",0,SUM(BattCalcs!BO243:BT243))</f>
        <v>0</v>
      </c>
      <c r="AK243" s="144">
        <f>IF('PV IN'!$F$4="PV Only",PVCalcs!AH243,IF('PV IN'!$F$4="Battery Only",BattCalcs!BN243,PVCalcs!AH243+BattCalcs!BN243))</f>
        <v>-625</v>
      </c>
      <c r="AL243" s="144">
        <f>IF('PV IN'!$F$4="PV Only",0,BattCalcs!BV243)</f>
        <v>0</v>
      </c>
      <c r="AM243" s="144">
        <f>IF('PV IN'!$F$4="PV Only",0,SUM(BattCalcs!BW243:BX243))</f>
        <v>0</v>
      </c>
      <c r="AN243" s="144">
        <f>IF('PV IN'!$F$4="PV Only",0,BattCalcs!BY243)</f>
        <v>0</v>
      </c>
      <c r="AO243" s="144">
        <f>IF('PV IN'!$F$4="Battery Only",0,PVCalcs!U243)</f>
        <v>10862.518499191821</v>
      </c>
      <c r="AP243" s="10">
        <f>IF('PV IN'!$F$4="PV Only",0,BattCalcs!AS243)</f>
        <v>0</v>
      </c>
      <c r="AQ243" s="10">
        <f>IF('PV IN'!$F$4="PV Only",0,BattCalcs!AT243)</f>
        <v>0</v>
      </c>
      <c r="AR243" s="10">
        <f>IF('PV IN'!$F$4="PV Only",0,BattCalcs!AU243)</f>
        <v>0</v>
      </c>
      <c r="AS243" s="144">
        <f>IF('PV IN'!$F$4="PV Only",PVCalcs!X243,IF('PV IN'!$F$4="Battery Only",BattCalcs!AW243,PVCalcs!X243+BattCalcs!AW243))</f>
        <v>0</v>
      </c>
      <c r="AT243" s="144">
        <f>IF('PV IN'!$F$4="Battery Only",0,-PVCalcs!AQ243*'PV IN'!$E$8)</f>
        <v>0</v>
      </c>
      <c r="AU243" s="144">
        <f>IF('PV IN'!$F$4="PV Only",0,-BattCalcs!CG243*'PV IN'!$E$8)</f>
        <v>0</v>
      </c>
      <c r="AV243" s="144">
        <f>IF('PV IN'!$F$4="PV Only",PVCalcs!Z243+PVCalcs!AA243,IF('PV IN'!$F$4="Battery Only",SUM(BattCalcs!BC243:BH243),PVCalcs!Z243+PVCalcs!AA243+SUM(BattCalcs!BC243:BH243)))</f>
        <v>0</v>
      </c>
      <c r="AW243" s="144">
        <f>IF('PV IN'!$F$4="PV Only",SUM(PVCalcs!AF243:AI243),IF('PV IN'!$F$4="Battery Only",SUM(BattCalcs!BL243:BY243),SUM(PVCalcs!AF243:AI243)+SUM(BattCalcs!BL243:BY243)))</f>
        <v>-1375</v>
      </c>
      <c r="AX243" s="144">
        <f>IF('PV IN'!$F$4="Battery Only",0,-PVLoan!F271)</f>
        <v>0</v>
      </c>
      <c r="AY243" s="144">
        <f>IF('PV IN'!$F$4="PV Only",0,-BattLoan!F271)</f>
        <v>0</v>
      </c>
      <c r="AZ243" s="144">
        <f>IF('PV IN'!$F$4="Battery Only",0,-PVLoan!H271)</f>
        <v>0</v>
      </c>
      <c r="BA243" s="144">
        <f>IF('PV IN'!$F$4="PV Only",0,-BattLoan!H271)</f>
        <v>0</v>
      </c>
    </row>
    <row r="244" spans="1:88" x14ac:dyDescent="0.25">
      <c r="A244">
        <f>IF(C244&lt;='PV IN'!$O$22*12,C244,"")</f>
        <v>240</v>
      </c>
      <c r="B244">
        <f>B232+1</f>
        <v>2045</v>
      </c>
      <c r="C244">
        <v>240</v>
      </c>
      <c r="D244" s="2">
        <f>BattCalcs!CK244+PVCalcs!AT244</f>
        <v>9769.0268201923591</v>
      </c>
      <c r="E244" s="20">
        <f>PVCalcs!AV244</f>
        <v>1371191.3677060506</v>
      </c>
      <c r="F244" s="20">
        <f>PVCalcs!AW244</f>
        <v>3681.8434664346901</v>
      </c>
      <c r="G244" s="20">
        <f>PVCalcs!AX244</f>
        <v>432284.97661087348</v>
      </c>
      <c r="H244" s="20">
        <f>BattCalcs!CM244</f>
        <v>0</v>
      </c>
      <c r="I244" s="20">
        <f>BattCalcs!CN244</f>
        <v>0</v>
      </c>
      <c r="J244" s="20">
        <f>IF(C244&lt;='Batt IN'!H$43*12,BattCalcs!CO244,NA())</f>
        <v>0</v>
      </c>
      <c r="L244" s="20">
        <f t="shared" si="518"/>
        <v>3681.8434664346901</v>
      </c>
      <c r="M244" s="20">
        <f>G244+BattCalcs!CO244</f>
        <v>432284.97661087348</v>
      </c>
      <c r="O244" s="10">
        <f>PVLoan!G272</f>
        <v>0</v>
      </c>
      <c r="P244" s="10">
        <f>PVLoan!J272</f>
        <v>0</v>
      </c>
      <c r="Q244" s="2" t="str">
        <f>BattLoan!G272</f>
        <v>-</v>
      </c>
      <c r="R244" s="10" t="str">
        <f>BattLoan!J272</f>
        <v>-</v>
      </c>
      <c r="T244" s="33">
        <f>IF('PV IN'!$F$4="Battery Only",0,PVCalcs!G244)</f>
        <v>130031.68193892052</v>
      </c>
      <c r="U244" s="33">
        <f>IF('PV IN'!$F$4="Battery Only",0,PVCalcs!M244)</f>
        <v>130031.68193892052</v>
      </c>
      <c r="V244" s="33">
        <f>PVCalcs!L244</f>
        <v>25811.765833333331</v>
      </c>
      <c r="W244" s="158">
        <f>PVCalcs!F244</f>
        <v>8.3481784272323598E-2</v>
      </c>
      <c r="X244" s="144">
        <f>IF('PV IN'!$F$4="Battery Only",0,PVCalcs!Y244+PVCalcs!Z244)</f>
        <v>0</v>
      </c>
      <c r="Y244" s="144">
        <f>IF('PV IN'!$F$4="PV Only",0,BattCalcs!AX244+BattCalcs!BC244)</f>
        <v>0</v>
      </c>
      <c r="Z244" s="144">
        <f>IF('PV IN'!$F$4="PV Only",0,BattCalcs!AY244+BattCalcs!BD244)</f>
        <v>0</v>
      </c>
      <c r="AA244" s="144">
        <f>IF('PV IN'!$F$4="PV Only",0,BattCalcs!AZ244+BattCalcs!BE244)</f>
        <v>0</v>
      </c>
      <c r="AB244" s="144">
        <f>IF('PV IN'!$F$4="PV Only",0,BattCalcs!BA244+BattCalcs!BF244)</f>
        <v>0</v>
      </c>
      <c r="AC244" s="144">
        <f>IF('PV IN'!$F$4="PV Only",0,BattCalcs!BB244+BattCalcs!BG244)</f>
        <v>0</v>
      </c>
      <c r="AD244" s="144">
        <f>IF('PV IN'!$F$4="PV Only",0,BattCalcs!BU244)</f>
        <v>0</v>
      </c>
      <c r="AE244" s="144">
        <f>IF('PV IN'!$F$4="PV Only",PVCalcs!W244+PVCalcs!AA244,IF('PV IN'!$F$4="Battery Only",BattCalcs!AV244+BattCalcs!BH244,PVCalcs!W244+PVCalcs!AA244+BattCalcs!AV244+BattCalcs!BH244))</f>
        <v>0</v>
      </c>
      <c r="AF244" s="10">
        <f>PVCalcs!AC244+BattCalcs!BJ244</f>
        <v>0</v>
      </c>
      <c r="AG244" s="144">
        <f>IF('PV IN'!$F$4="Battery Only",0,PVCalcs!AG244)</f>
        <v>-750</v>
      </c>
      <c r="AH244" s="144">
        <f>IF('PV IN'!$F$4="Battery Only",0,PVCalcs!AI244)</f>
        <v>0</v>
      </c>
      <c r="AI244" s="144">
        <f>IF('PV IN'!$F$4="PV Only",0,BattCalcs!BM244)</f>
        <v>0</v>
      </c>
      <c r="AJ244" s="144">
        <f>IF('PV IN'!$F$4="PV Only",0,SUM(BattCalcs!BO244:BT244))</f>
        <v>0</v>
      </c>
      <c r="AK244" s="144">
        <f>IF('PV IN'!$F$4="PV Only",PVCalcs!AH244,IF('PV IN'!$F$4="Battery Only",BattCalcs!BN244,PVCalcs!AH244+BattCalcs!BN244))</f>
        <v>-625</v>
      </c>
      <c r="AL244" s="144">
        <f>IF('PV IN'!$F$4="PV Only",0,BattCalcs!BV244)</f>
        <v>0</v>
      </c>
      <c r="AM244" s="144">
        <f>IF('PV IN'!$F$4="PV Only",0,SUM(BattCalcs!BW244:BX244))</f>
        <v>0</v>
      </c>
      <c r="AN244" s="144">
        <f>IF('PV IN'!$F$4="PV Only",0,BattCalcs!BY244)</f>
        <v>0</v>
      </c>
      <c r="AO244" s="144">
        <f>IF('PV IN'!$F$4="Battery Only",0,PVCalcs!U244)</f>
        <v>10855.276820192359</v>
      </c>
      <c r="AP244" s="10">
        <f>IF('PV IN'!$F$4="PV Only",0,BattCalcs!AS244)</f>
        <v>0</v>
      </c>
      <c r="AQ244" s="10">
        <f>IF('PV IN'!$F$4="PV Only",0,BattCalcs!AT244)</f>
        <v>0</v>
      </c>
      <c r="AR244" s="10">
        <f>IF('PV IN'!$F$4="PV Only",0,BattCalcs!AU244)</f>
        <v>0</v>
      </c>
      <c r="AS244" s="144">
        <f>IF('PV IN'!$F$4="PV Only",PVCalcs!X244,IF('PV IN'!$F$4="Battery Only",BattCalcs!AW244,PVCalcs!X244+BattCalcs!AW244))</f>
        <v>0</v>
      </c>
      <c r="AT244" s="144">
        <f>IF('PV IN'!$F$4="Battery Only",0,-PVCalcs!AQ244*'PV IN'!$E$8)</f>
        <v>0</v>
      </c>
      <c r="AU244" s="144">
        <f>IF('PV IN'!$F$4="PV Only",0,-BattCalcs!CG244*'PV IN'!$E$8)</f>
        <v>0</v>
      </c>
      <c r="AV244" s="144">
        <f>IF('PV IN'!$F$4="PV Only",PVCalcs!Z244+PVCalcs!AA244,IF('PV IN'!$F$4="Battery Only",SUM(BattCalcs!BC244:BH244),PVCalcs!Z244+PVCalcs!AA244+SUM(BattCalcs!BC244:BH244)))</f>
        <v>0</v>
      </c>
      <c r="AW244" s="144">
        <f>IF('PV IN'!$F$4="PV Only",SUM(PVCalcs!AF244:AI244),IF('PV IN'!$F$4="Battery Only",SUM(BattCalcs!BL244:BY244),SUM(PVCalcs!AF244:AI244)+SUM(BattCalcs!BL244:BY244)))</f>
        <v>-1375</v>
      </c>
      <c r="AX244" s="144">
        <f>IF('PV IN'!$F$4="Battery Only",0,-PVLoan!F272)</f>
        <v>0</v>
      </c>
      <c r="AY244" s="144">
        <f>IF('PV IN'!$F$4="PV Only",0,-BattLoan!F272)</f>
        <v>0</v>
      </c>
      <c r="AZ244" s="144">
        <f>IF('PV IN'!$F$4="Battery Only",0,-PVLoan!H272)</f>
        <v>0</v>
      </c>
      <c r="BA244" s="144">
        <f>IF('PV IN'!$F$4="PV Only",0,-BattLoan!H272)</f>
        <v>0</v>
      </c>
      <c r="BC244" s="33">
        <f t="shared" ref="BC244" si="621">SUM(T233:T244)</f>
        <v>1566118.144387634</v>
      </c>
      <c r="BD244" s="33">
        <f t="shared" ref="BD244" si="622">SUM(U233:U244)</f>
        <v>1566118.144387634</v>
      </c>
      <c r="BE244" s="33">
        <f t="shared" ref="BE244" si="623">SUM(V233:V244)</f>
        <v>309741.19</v>
      </c>
      <c r="BF244" s="50">
        <f t="shared" ref="BF244" si="624">W244</f>
        <v>8.3481784272323598E-2</v>
      </c>
      <c r="BG244" s="2">
        <f t="shared" ref="BG244" si="625">SUM(X233:X244)</f>
        <v>0</v>
      </c>
      <c r="BH244" s="2">
        <f t="shared" ref="BH244" si="626">SUM(Y233:Y244)</f>
        <v>0</v>
      </c>
      <c r="BI244" s="2">
        <f t="shared" ref="BI244" si="627">SUM(Z233:Z244)</f>
        <v>0</v>
      </c>
      <c r="BJ244" s="2">
        <f t="shared" ref="BJ244" si="628">SUM(AA233:AA244)</f>
        <v>0</v>
      </c>
      <c r="BK244" s="2">
        <f t="shared" ref="BK244" si="629">SUM(AB233:AB244)</f>
        <v>0</v>
      </c>
      <c r="BL244" s="2">
        <f t="shared" ref="BL244" si="630">SUM(AC233:AC244)</f>
        <v>0</v>
      </c>
      <c r="BM244" s="2">
        <f t="shared" ref="BM244" si="631">SUM(AD233:AD244)</f>
        <v>0</v>
      </c>
      <c r="BN244" s="2">
        <f t="shared" ref="BN244" si="632">SUM(AE233:AE244)</f>
        <v>0</v>
      </c>
      <c r="BO244" s="2">
        <f t="shared" ref="BO244" si="633">SUM(AF233:AF244)</f>
        <v>0</v>
      </c>
      <c r="BP244" s="2">
        <f t="shared" ref="BP244" si="634">SUM(AG233:AG244)</f>
        <v>-9000</v>
      </c>
      <c r="BQ244" s="2">
        <f t="shared" ref="BQ244" si="635">SUM(AH233:AH244)</f>
        <v>0</v>
      </c>
      <c r="BR244" s="2">
        <f t="shared" ref="BR244" si="636">SUM(AI233:AI244)</f>
        <v>0</v>
      </c>
      <c r="BS244" s="2">
        <f t="shared" ref="BS244" si="637">SUM(AJ233:AJ244)</f>
        <v>0</v>
      </c>
      <c r="BT244" s="2">
        <f t="shared" ref="BT244" si="638">SUM(AK233:AK244)</f>
        <v>-7500</v>
      </c>
      <c r="BU244" s="2">
        <f t="shared" ref="BU244" si="639">SUM(AL233:AL244)</f>
        <v>0</v>
      </c>
      <c r="BV244" s="2">
        <f t="shared" ref="BV244" si="640">SUM(AM233:AM244)</f>
        <v>0</v>
      </c>
      <c r="BW244" s="2">
        <f t="shared" ref="BW244" si="641">SUM(AN233:AN244)</f>
        <v>0</v>
      </c>
      <c r="BX244" s="2">
        <f t="shared" ref="BX244" si="642">SUM(AO233:AO244)</f>
        <v>130742.33707474016</v>
      </c>
      <c r="BY244" s="2">
        <f t="shared" ref="BY244" si="643">SUM(AP233:AP244)</f>
        <v>0</v>
      </c>
      <c r="BZ244" s="2">
        <f t="shared" ref="BZ244" si="644">SUM(AQ233:AQ244)</f>
        <v>0</v>
      </c>
      <c r="CA244" s="2">
        <f t="shared" ref="CA244" si="645">SUM(AR233:AR244)</f>
        <v>0</v>
      </c>
      <c r="CB244" s="2">
        <f t="shared" ref="CB244" si="646">SUM(AS233:AS244)</f>
        <v>0</v>
      </c>
      <c r="CC244" s="2">
        <f t="shared" ref="CC244" si="647">SUM(AT233:AT244)</f>
        <v>0</v>
      </c>
      <c r="CD244" s="2">
        <f t="shared" ref="CD244" si="648">SUM(AU233:AU244)</f>
        <v>0</v>
      </c>
      <c r="CE244" s="2">
        <f t="shared" ref="CE244" si="649">SUM(AV233:AV244)</f>
        <v>0</v>
      </c>
      <c r="CF244" s="2">
        <f t="shared" ref="CF244" si="650">SUM(AW233:AW244)</f>
        <v>-16500</v>
      </c>
      <c r="CG244" s="2">
        <f t="shared" ref="CG244" si="651">SUM(AX233:AX244)</f>
        <v>0</v>
      </c>
      <c r="CH244" s="2">
        <f t="shared" ref="CH244" si="652">SUM(AY233:AY244)</f>
        <v>0</v>
      </c>
      <c r="CI244" s="2">
        <f t="shared" ref="CI244" si="653">SUM(AZ233:AZ244)</f>
        <v>0</v>
      </c>
      <c r="CJ244" s="2">
        <f t="shared" ref="CJ244" si="654">SUM(BA233:BA244)</f>
        <v>0</v>
      </c>
    </row>
    <row r="245" spans="1:88" x14ac:dyDescent="0.25">
      <c r="A245" t="str">
        <f>IF(C245&lt;='PV IN'!$O$22*12,C245,"")</f>
        <v/>
      </c>
      <c r="C245">
        <v>241</v>
      </c>
      <c r="D245" s="2">
        <f>BattCalcs!CK245+PVCalcs!AT245</f>
        <v>9748.0870950920798</v>
      </c>
      <c r="E245" s="20">
        <f>PVCalcs!AV245</f>
        <v>1380939.4548011427</v>
      </c>
      <c r="F245" s="20">
        <f>PVCalcs!AW245</f>
        <v>3659.0441056538812</v>
      </c>
      <c r="G245" s="20" t="e">
        <f>PVCalcs!AX245</f>
        <v>#N/A</v>
      </c>
      <c r="H245" s="20">
        <f>BattCalcs!CM245</f>
        <v>0</v>
      </c>
      <c r="I245" s="20">
        <f>BattCalcs!CN245</f>
        <v>0</v>
      </c>
      <c r="J245" s="20" t="e">
        <f>IF(C245&lt;='Batt IN'!H$43*12,BattCalcs!CO245,NA())</f>
        <v>#N/A</v>
      </c>
      <c r="L245" s="20">
        <f t="shared" si="518"/>
        <v>3659.0441056538812</v>
      </c>
      <c r="M245" s="20" t="e">
        <f>G245+BattCalcs!CO245</f>
        <v>#N/A</v>
      </c>
      <c r="O245" s="10" t="str">
        <f>PVLoan!G273</f>
        <v>-</v>
      </c>
      <c r="P245" s="10" t="str">
        <f>PVLoan!J273</f>
        <v>-</v>
      </c>
      <c r="Q245" s="2" t="str">
        <f>BattLoan!G273</f>
        <v>-</v>
      </c>
      <c r="R245" s="10" t="str">
        <f>BattLoan!J273</f>
        <v>-</v>
      </c>
      <c r="T245" s="33">
        <f>IF('PV IN'!$F$4="Battery Only",0,PVCalcs!G245)</f>
        <v>129944.99415096123</v>
      </c>
      <c r="U245" s="33">
        <f>IF('PV IN'!$F$4="Battery Only",0,PVCalcs!M245)</f>
        <v>129944.99415096123</v>
      </c>
      <c r="V245" s="33">
        <f>PVCalcs!L245</f>
        <v>25811.765833333331</v>
      </c>
      <c r="W245" s="158">
        <f>PVCalcs!F245</f>
        <v>8.3376332931343902E-2</v>
      </c>
      <c r="X245" s="144">
        <f>IF('PV IN'!$F$4="Battery Only",0,PVCalcs!Y245+PVCalcs!Z245)</f>
        <v>0</v>
      </c>
      <c r="Y245" s="144">
        <f>IF('PV IN'!$F$4="PV Only",0,BattCalcs!AX245+BattCalcs!BC245)</f>
        <v>0</v>
      </c>
      <c r="Z245" s="144">
        <f>IF('PV IN'!$F$4="PV Only",0,BattCalcs!AY245+BattCalcs!BD245)</f>
        <v>0</v>
      </c>
      <c r="AA245" s="144">
        <f>IF('PV IN'!$F$4="PV Only",0,BattCalcs!AZ245+BattCalcs!BE245)</f>
        <v>0</v>
      </c>
      <c r="AB245" s="144">
        <f>IF('PV IN'!$F$4="PV Only",0,BattCalcs!BA245+BattCalcs!BF245)</f>
        <v>0</v>
      </c>
      <c r="AC245" s="144">
        <f>IF('PV IN'!$F$4="PV Only",0,BattCalcs!BB245+BattCalcs!BG245)</f>
        <v>0</v>
      </c>
      <c r="AD245" s="144">
        <f>IF('PV IN'!$F$4="PV Only",0,BattCalcs!BU245)</f>
        <v>0</v>
      </c>
      <c r="AE245" s="144">
        <f>IF('PV IN'!$F$4="PV Only",PVCalcs!W245+PVCalcs!AA245,IF('PV IN'!$F$4="Battery Only",BattCalcs!AV245+BattCalcs!BH245,PVCalcs!W245+PVCalcs!AA245+BattCalcs!AV245+BattCalcs!BH245))</f>
        <v>0</v>
      </c>
      <c r="AF245" s="10">
        <f>PVCalcs!AC245+BattCalcs!BJ245</f>
        <v>0</v>
      </c>
      <c r="AG245" s="144">
        <f>IF('PV IN'!$F$4="Battery Only",0,PVCalcs!AG245)</f>
        <v>-750</v>
      </c>
      <c r="AH245" s="144">
        <f>IF('PV IN'!$F$4="Battery Only",0,PVCalcs!AI245)</f>
        <v>0</v>
      </c>
      <c r="AI245" s="144">
        <f>IF('PV IN'!$F$4="PV Only",0,BattCalcs!BM245)</f>
        <v>0</v>
      </c>
      <c r="AJ245" s="144">
        <f>IF('PV IN'!$F$4="PV Only",0,SUM(BattCalcs!BO245:BT245))</f>
        <v>0</v>
      </c>
      <c r="AK245" s="144">
        <f>IF('PV IN'!$F$4="PV Only",PVCalcs!AH245,IF('PV IN'!$F$4="Battery Only",BattCalcs!BN245,PVCalcs!AH245+BattCalcs!BN245))</f>
        <v>-625</v>
      </c>
      <c r="AL245" s="144">
        <f>IF('PV IN'!$F$4="PV Only",0,BattCalcs!BV245)</f>
        <v>0</v>
      </c>
      <c r="AM245" s="144">
        <f>IF('PV IN'!$F$4="PV Only",0,SUM(BattCalcs!BW245:BX245))</f>
        <v>0</v>
      </c>
      <c r="AN245" s="144">
        <f>IF('PV IN'!$F$4="PV Only",0,BattCalcs!BY245)</f>
        <v>0</v>
      </c>
      <c r="AO245" s="144">
        <f>IF('PV IN'!$F$4="Battery Only",0,PVCalcs!U245)</f>
        <v>10834.33709509208</v>
      </c>
      <c r="AP245" s="10">
        <f>IF('PV IN'!$F$4="PV Only",0,BattCalcs!AS245)</f>
        <v>0</v>
      </c>
      <c r="AQ245" s="10">
        <f>IF('PV IN'!$F$4="PV Only",0,BattCalcs!AT245)</f>
        <v>0</v>
      </c>
      <c r="AR245" s="10">
        <f>IF('PV IN'!$F$4="PV Only",0,BattCalcs!AU245)</f>
        <v>0</v>
      </c>
      <c r="AS245" s="144">
        <f>IF('PV IN'!$F$4="PV Only",PVCalcs!X245,IF('PV IN'!$F$4="Battery Only",BattCalcs!AW245,PVCalcs!X245+BattCalcs!AW245))</f>
        <v>0</v>
      </c>
      <c r="AT245" s="144">
        <f>IF('PV IN'!$F$4="Battery Only",0,-PVCalcs!AQ245*'PV IN'!$E$8)</f>
        <v>0</v>
      </c>
      <c r="AU245" s="144">
        <f>IF('PV IN'!$F$4="PV Only",0,-BattCalcs!CG245*'PV IN'!$E$8)</f>
        <v>0</v>
      </c>
      <c r="AV245" s="144">
        <f>IF('PV IN'!$F$4="PV Only",PVCalcs!Z245+PVCalcs!AA245,IF('PV IN'!$F$4="Battery Only",SUM(BattCalcs!BC245:BH245),PVCalcs!Z245+PVCalcs!AA245+SUM(BattCalcs!BC245:BH245)))</f>
        <v>0</v>
      </c>
      <c r="AW245" s="144">
        <f>IF('PV IN'!$F$4="PV Only",SUM(PVCalcs!AF245:AI245),IF('PV IN'!$F$4="Battery Only",SUM(BattCalcs!BL245:BY245),SUM(PVCalcs!AF245:AI245)+SUM(BattCalcs!BL245:BY245)))</f>
        <v>-1375</v>
      </c>
      <c r="AX245" s="144">
        <f>IF('PV IN'!$F$4="Battery Only",0,-PVLoan!F273)</f>
        <v>0</v>
      </c>
      <c r="AY245" s="144">
        <f>IF('PV IN'!$F$4="PV Only",0,-BattLoan!F273)</f>
        <v>0</v>
      </c>
      <c r="AZ245" s="144">
        <f>IF('PV IN'!$F$4="Battery Only",0,-PVLoan!H273)</f>
        <v>0</v>
      </c>
      <c r="BA245" s="144">
        <f>IF('PV IN'!$F$4="PV Only",0,-BattLoan!H273)</f>
        <v>0</v>
      </c>
    </row>
    <row r="246" spans="1:88" x14ac:dyDescent="0.25">
      <c r="A246" t="str">
        <f>IF(C246&lt;='PV IN'!$O$22*12,C246,"")</f>
        <v/>
      </c>
      <c r="C246">
        <v>242</v>
      </c>
      <c r="D246" s="2">
        <f>BattCalcs!CK246+PVCalcs!AT246</f>
        <v>9740.8642036953497</v>
      </c>
      <c r="E246" s="20">
        <f>PVCalcs!AV246</f>
        <v>1390680.3190048381</v>
      </c>
      <c r="F246" s="20">
        <f>PVCalcs!AW246</f>
        <v>3641.4970099818215</v>
      </c>
      <c r="G246" s="20" t="e">
        <f>PVCalcs!AX246</f>
        <v>#N/A</v>
      </c>
      <c r="H246" s="20">
        <f>BattCalcs!CM246</f>
        <v>0</v>
      </c>
      <c r="I246" s="20">
        <f>BattCalcs!CN246</f>
        <v>0</v>
      </c>
      <c r="J246" s="20" t="e">
        <f>IF(C246&lt;='Batt IN'!H$43*12,BattCalcs!CO246,NA())</f>
        <v>#N/A</v>
      </c>
      <c r="L246" s="20">
        <f t="shared" si="518"/>
        <v>3641.4970099818215</v>
      </c>
      <c r="M246" s="20" t="e">
        <f>G246+BattCalcs!CO246</f>
        <v>#N/A</v>
      </c>
      <c r="O246" s="10" t="str">
        <f>PVLoan!G274</f>
        <v>-</v>
      </c>
      <c r="P246" s="10" t="str">
        <f>PVLoan!J274</f>
        <v>-</v>
      </c>
      <c r="Q246" s="2" t="str">
        <f>BattLoan!G274</f>
        <v>-</v>
      </c>
      <c r="R246" s="10" t="str">
        <f>BattLoan!J274</f>
        <v>-</v>
      </c>
      <c r="T246" s="33">
        <f>IF('PV IN'!$F$4="Battery Only",0,PVCalcs!G246)</f>
        <v>129858.36415486057</v>
      </c>
      <c r="U246" s="33">
        <f>IF('PV IN'!$F$4="Battery Only",0,PVCalcs!M246)</f>
        <v>129858.36415486057</v>
      </c>
      <c r="V246" s="33">
        <f>PVCalcs!L246</f>
        <v>25811.765833333331</v>
      </c>
      <c r="W246" s="158">
        <f>PVCalcs!F246</f>
        <v>8.3376332931343902E-2</v>
      </c>
      <c r="X246" s="144">
        <f>IF('PV IN'!$F$4="Battery Only",0,PVCalcs!Y246+PVCalcs!Z246)</f>
        <v>0</v>
      </c>
      <c r="Y246" s="144">
        <f>IF('PV IN'!$F$4="PV Only",0,BattCalcs!AX246+BattCalcs!BC246)</f>
        <v>0</v>
      </c>
      <c r="Z246" s="144">
        <f>IF('PV IN'!$F$4="PV Only",0,BattCalcs!AY246+BattCalcs!BD246)</f>
        <v>0</v>
      </c>
      <c r="AA246" s="144">
        <f>IF('PV IN'!$F$4="PV Only",0,BattCalcs!AZ246+BattCalcs!BE246)</f>
        <v>0</v>
      </c>
      <c r="AB246" s="144">
        <f>IF('PV IN'!$F$4="PV Only",0,BattCalcs!BA246+BattCalcs!BF246)</f>
        <v>0</v>
      </c>
      <c r="AC246" s="144">
        <f>IF('PV IN'!$F$4="PV Only",0,BattCalcs!BB246+BattCalcs!BG246)</f>
        <v>0</v>
      </c>
      <c r="AD246" s="144">
        <f>IF('PV IN'!$F$4="PV Only",0,BattCalcs!BU246)</f>
        <v>0</v>
      </c>
      <c r="AE246" s="144">
        <f>IF('PV IN'!$F$4="PV Only",PVCalcs!W246+PVCalcs!AA246,IF('PV IN'!$F$4="Battery Only",BattCalcs!AV246+BattCalcs!BH246,PVCalcs!W246+PVCalcs!AA246+BattCalcs!AV246+BattCalcs!BH246))</f>
        <v>0</v>
      </c>
      <c r="AF246" s="10">
        <f>PVCalcs!AC246+BattCalcs!BJ246</f>
        <v>0</v>
      </c>
      <c r="AG246" s="144">
        <f>IF('PV IN'!$F$4="Battery Only",0,PVCalcs!AG246)</f>
        <v>-750</v>
      </c>
      <c r="AH246" s="144">
        <f>IF('PV IN'!$F$4="Battery Only",0,PVCalcs!AI246)</f>
        <v>0</v>
      </c>
      <c r="AI246" s="144">
        <f>IF('PV IN'!$F$4="PV Only",0,BattCalcs!BM246)</f>
        <v>0</v>
      </c>
      <c r="AJ246" s="144">
        <f>IF('PV IN'!$F$4="PV Only",0,SUM(BattCalcs!BO246:BT246))</f>
        <v>0</v>
      </c>
      <c r="AK246" s="144">
        <f>IF('PV IN'!$F$4="PV Only",PVCalcs!AH246,IF('PV IN'!$F$4="Battery Only",BattCalcs!BN246,PVCalcs!AH246+BattCalcs!BN246))</f>
        <v>-625</v>
      </c>
      <c r="AL246" s="144">
        <f>IF('PV IN'!$F$4="PV Only",0,BattCalcs!BV246)</f>
        <v>0</v>
      </c>
      <c r="AM246" s="144">
        <f>IF('PV IN'!$F$4="PV Only",0,SUM(BattCalcs!BW246:BX246))</f>
        <v>0</v>
      </c>
      <c r="AN246" s="144">
        <f>IF('PV IN'!$F$4="PV Only",0,BattCalcs!BY246)</f>
        <v>0</v>
      </c>
      <c r="AO246" s="144">
        <f>IF('PV IN'!$F$4="Battery Only",0,PVCalcs!U246)</f>
        <v>10827.11420369535</v>
      </c>
      <c r="AP246" s="10">
        <f>IF('PV IN'!$F$4="PV Only",0,BattCalcs!AS246)</f>
        <v>0</v>
      </c>
      <c r="AQ246" s="10">
        <f>IF('PV IN'!$F$4="PV Only",0,BattCalcs!AT246)</f>
        <v>0</v>
      </c>
      <c r="AR246" s="10">
        <f>IF('PV IN'!$F$4="PV Only",0,BattCalcs!AU246)</f>
        <v>0</v>
      </c>
      <c r="AS246" s="144">
        <f>IF('PV IN'!$F$4="PV Only",PVCalcs!X246,IF('PV IN'!$F$4="Battery Only",BattCalcs!AW246,PVCalcs!X246+BattCalcs!AW246))</f>
        <v>0</v>
      </c>
      <c r="AT246" s="144">
        <f>IF('PV IN'!$F$4="Battery Only",0,-PVCalcs!AQ246*'PV IN'!$E$8)</f>
        <v>0</v>
      </c>
      <c r="AU246" s="144">
        <f>IF('PV IN'!$F$4="PV Only",0,-BattCalcs!CG246*'PV IN'!$E$8)</f>
        <v>0</v>
      </c>
      <c r="AV246" s="144">
        <f>IF('PV IN'!$F$4="PV Only",PVCalcs!Z246+PVCalcs!AA246,IF('PV IN'!$F$4="Battery Only",SUM(BattCalcs!BC246:BH246),PVCalcs!Z246+PVCalcs!AA246+SUM(BattCalcs!BC246:BH246)))</f>
        <v>0</v>
      </c>
      <c r="AW246" s="144">
        <f>IF('PV IN'!$F$4="PV Only",SUM(PVCalcs!AF246:AI246),IF('PV IN'!$F$4="Battery Only",SUM(BattCalcs!BL246:BY246),SUM(PVCalcs!AF246:AI246)+SUM(BattCalcs!BL246:BY246)))</f>
        <v>-1375</v>
      </c>
      <c r="AX246" s="144">
        <f>IF('PV IN'!$F$4="Battery Only",0,-PVLoan!F274)</f>
        <v>0</v>
      </c>
      <c r="AY246" s="144">
        <f>IF('PV IN'!$F$4="PV Only",0,-BattLoan!F274)</f>
        <v>0</v>
      </c>
      <c r="AZ246" s="144">
        <f>IF('PV IN'!$F$4="Battery Only",0,-PVLoan!H274)</f>
        <v>0</v>
      </c>
      <c r="BA246" s="144">
        <f>IF('PV IN'!$F$4="PV Only",0,-BattLoan!H274)</f>
        <v>0</v>
      </c>
    </row>
    <row r="247" spans="1:88" x14ac:dyDescent="0.25">
      <c r="A247" t="str">
        <f>IF(C247&lt;='PV IN'!$O$22*12,C247,"")</f>
        <v/>
      </c>
      <c r="C247">
        <v>243</v>
      </c>
      <c r="D247" s="2">
        <f>BattCalcs!CK247+PVCalcs!AT247</f>
        <v>9733.6461275595539</v>
      </c>
      <c r="E247" s="20">
        <f>PVCalcs!AV247</f>
        <v>1400413.9651323976</v>
      </c>
      <c r="F247" s="20">
        <f>PVCalcs!AW247</f>
        <v>3624.033862347123</v>
      </c>
      <c r="G247" s="20" t="e">
        <f>PVCalcs!AX247</f>
        <v>#N/A</v>
      </c>
      <c r="H247" s="20">
        <f>BattCalcs!CM247</f>
        <v>0</v>
      </c>
      <c r="I247" s="20">
        <f>BattCalcs!CN247</f>
        <v>0</v>
      </c>
      <c r="J247" s="20" t="e">
        <f>IF(C247&lt;='Batt IN'!H$43*12,BattCalcs!CO247,NA())</f>
        <v>#N/A</v>
      </c>
      <c r="L247" s="20">
        <f t="shared" si="518"/>
        <v>3624.033862347123</v>
      </c>
      <c r="M247" s="20" t="e">
        <f>G247+BattCalcs!CO247</f>
        <v>#N/A</v>
      </c>
      <c r="O247" s="10" t="str">
        <f>PVLoan!G275</f>
        <v>-</v>
      </c>
      <c r="P247" s="10" t="str">
        <f>PVLoan!J275</f>
        <v>-</v>
      </c>
      <c r="Q247" s="2" t="str">
        <f>BattLoan!G275</f>
        <v>-</v>
      </c>
      <c r="R247" s="10" t="str">
        <f>BattLoan!J275</f>
        <v>-</v>
      </c>
      <c r="T247" s="33">
        <f>IF('PV IN'!$F$4="Battery Only",0,PVCalcs!G247)</f>
        <v>129771.79191209067</v>
      </c>
      <c r="U247" s="33">
        <f>IF('PV IN'!$F$4="Battery Only",0,PVCalcs!M247)</f>
        <v>129771.79191209067</v>
      </c>
      <c r="V247" s="33">
        <f>PVCalcs!L247</f>
        <v>25811.765833333331</v>
      </c>
      <c r="W247" s="158">
        <f>PVCalcs!F247</f>
        <v>8.3376332931343902E-2</v>
      </c>
      <c r="X247" s="144">
        <f>IF('PV IN'!$F$4="Battery Only",0,PVCalcs!Y247+PVCalcs!Z247)</f>
        <v>0</v>
      </c>
      <c r="Y247" s="144">
        <f>IF('PV IN'!$F$4="PV Only",0,BattCalcs!AX247+BattCalcs!BC247)</f>
        <v>0</v>
      </c>
      <c r="Z247" s="144">
        <f>IF('PV IN'!$F$4="PV Only",0,BattCalcs!AY247+BattCalcs!BD247)</f>
        <v>0</v>
      </c>
      <c r="AA247" s="144">
        <f>IF('PV IN'!$F$4="PV Only",0,BattCalcs!AZ247+BattCalcs!BE247)</f>
        <v>0</v>
      </c>
      <c r="AB247" s="144">
        <f>IF('PV IN'!$F$4="PV Only",0,BattCalcs!BA247+BattCalcs!BF247)</f>
        <v>0</v>
      </c>
      <c r="AC247" s="144">
        <f>IF('PV IN'!$F$4="PV Only",0,BattCalcs!BB247+BattCalcs!BG247)</f>
        <v>0</v>
      </c>
      <c r="AD247" s="144">
        <f>IF('PV IN'!$F$4="PV Only",0,BattCalcs!BU247)</f>
        <v>0</v>
      </c>
      <c r="AE247" s="144">
        <f>IF('PV IN'!$F$4="PV Only",PVCalcs!W247+PVCalcs!AA247,IF('PV IN'!$F$4="Battery Only",BattCalcs!AV247+BattCalcs!BH247,PVCalcs!W247+PVCalcs!AA247+BattCalcs!AV247+BattCalcs!BH247))</f>
        <v>0</v>
      </c>
      <c r="AF247" s="10">
        <f>PVCalcs!AC247+BattCalcs!BJ247</f>
        <v>0</v>
      </c>
      <c r="AG247" s="144">
        <f>IF('PV IN'!$F$4="Battery Only",0,PVCalcs!AG247)</f>
        <v>-750</v>
      </c>
      <c r="AH247" s="144">
        <f>IF('PV IN'!$F$4="Battery Only",0,PVCalcs!AI247)</f>
        <v>0</v>
      </c>
      <c r="AI247" s="144">
        <f>IF('PV IN'!$F$4="PV Only",0,BattCalcs!BM247)</f>
        <v>0</v>
      </c>
      <c r="AJ247" s="144">
        <f>IF('PV IN'!$F$4="PV Only",0,SUM(BattCalcs!BO247:BT247))</f>
        <v>0</v>
      </c>
      <c r="AK247" s="144">
        <f>IF('PV IN'!$F$4="PV Only",PVCalcs!AH247,IF('PV IN'!$F$4="Battery Only",BattCalcs!BN247,PVCalcs!AH247+BattCalcs!BN247))</f>
        <v>-625</v>
      </c>
      <c r="AL247" s="144">
        <f>IF('PV IN'!$F$4="PV Only",0,BattCalcs!BV247)</f>
        <v>0</v>
      </c>
      <c r="AM247" s="144">
        <f>IF('PV IN'!$F$4="PV Only",0,SUM(BattCalcs!BW247:BX247))</f>
        <v>0</v>
      </c>
      <c r="AN247" s="144">
        <f>IF('PV IN'!$F$4="PV Only",0,BattCalcs!BY247)</f>
        <v>0</v>
      </c>
      <c r="AO247" s="144">
        <f>IF('PV IN'!$F$4="Battery Only",0,PVCalcs!U247)</f>
        <v>10819.896127559554</v>
      </c>
      <c r="AP247" s="10">
        <f>IF('PV IN'!$F$4="PV Only",0,BattCalcs!AS247)</f>
        <v>0</v>
      </c>
      <c r="AQ247" s="10">
        <f>IF('PV IN'!$F$4="PV Only",0,BattCalcs!AT247)</f>
        <v>0</v>
      </c>
      <c r="AR247" s="10">
        <f>IF('PV IN'!$F$4="PV Only",0,BattCalcs!AU247)</f>
        <v>0</v>
      </c>
      <c r="AS247" s="144">
        <f>IF('PV IN'!$F$4="PV Only",PVCalcs!X247,IF('PV IN'!$F$4="Battery Only",BattCalcs!AW247,PVCalcs!X247+BattCalcs!AW247))</f>
        <v>0</v>
      </c>
      <c r="AT247" s="144">
        <f>IF('PV IN'!$F$4="Battery Only",0,-PVCalcs!AQ247*'PV IN'!$E$8)</f>
        <v>0</v>
      </c>
      <c r="AU247" s="144">
        <f>IF('PV IN'!$F$4="PV Only",0,-BattCalcs!CG247*'PV IN'!$E$8)</f>
        <v>0</v>
      </c>
      <c r="AV247" s="144">
        <f>IF('PV IN'!$F$4="PV Only",PVCalcs!Z247+PVCalcs!AA247,IF('PV IN'!$F$4="Battery Only",SUM(BattCalcs!BC247:BH247),PVCalcs!Z247+PVCalcs!AA247+SUM(BattCalcs!BC247:BH247)))</f>
        <v>0</v>
      </c>
      <c r="AW247" s="144">
        <f>IF('PV IN'!$F$4="PV Only",SUM(PVCalcs!AF247:AI247),IF('PV IN'!$F$4="Battery Only",SUM(BattCalcs!BL247:BY247),SUM(PVCalcs!AF247:AI247)+SUM(BattCalcs!BL247:BY247)))</f>
        <v>-1375</v>
      </c>
      <c r="AX247" s="144">
        <f>IF('PV IN'!$F$4="Battery Only",0,-PVLoan!F275)</f>
        <v>0</v>
      </c>
      <c r="AY247" s="144">
        <f>IF('PV IN'!$F$4="PV Only",0,-BattLoan!F275)</f>
        <v>0</v>
      </c>
      <c r="AZ247" s="144">
        <f>IF('PV IN'!$F$4="Battery Only",0,-PVLoan!H275)</f>
        <v>0</v>
      </c>
      <c r="BA247" s="144">
        <f>IF('PV IN'!$F$4="PV Only",0,-BattLoan!H275)</f>
        <v>0</v>
      </c>
    </row>
    <row r="248" spans="1:88" x14ac:dyDescent="0.25">
      <c r="A248" t="str">
        <f>IF(C248&lt;='PV IN'!$O$22*12,C248,"")</f>
        <v/>
      </c>
      <c r="C248">
        <v>244</v>
      </c>
      <c r="D248" s="2">
        <f>BattCalcs!CK248+PVCalcs!AT248</f>
        <v>9726.4328634745143</v>
      </c>
      <c r="E248" s="20">
        <f>PVCalcs!AV248</f>
        <v>1410140.3979958722</v>
      </c>
      <c r="F248" s="20">
        <f>PVCalcs!AW248</f>
        <v>3606.6542619274123</v>
      </c>
      <c r="G248" s="20" t="e">
        <f>PVCalcs!AX248</f>
        <v>#N/A</v>
      </c>
      <c r="H248" s="20">
        <f>BattCalcs!CM248</f>
        <v>0</v>
      </c>
      <c r="I248" s="20">
        <f>BattCalcs!CN248</f>
        <v>0</v>
      </c>
      <c r="J248" s="20" t="e">
        <f>IF(C248&lt;='Batt IN'!H$43*12,BattCalcs!CO248,NA())</f>
        <v>#N/A</v>
      </c>
      <c r="L248" s="20">
        <f t="shared" si="518"/>
        <v>3606.6542619274123</v>
      </c>
      <c r="M248" s="20" t="e">
        <f>G248+BattCalcs!CO248</f>
        <v>#N/A</v>
      </c>
      <c r="O248" s="10" t="str">
        <f>PVLoan!G276</f>
        <v>-</v>
      </c>
      <c r="P248" s="10" t="str">
        <f>PVLoan!J276</f>
        <v>-</v>
      </c>
      <c r="Q248" s="2" t="str">
        <f>BattLoan!G276</f>
        <v>-</v>
      </c>
      <c r="R248" s="10" t="str">
        <f>BattLoan!J276</f>
        <v>-</v>
      </c>
      <c r="T248" s="33">
        <f>IF('PV IN'!$F$4="Battery Only",0,PVCalcs!G248)</f>
        <v>129685.27738414927</v>
      </c>
      <c r="U248" s="33">
        <f>IF('PV IN'!$F$4="Battery Only",0,PVCalcs!M248)</f>
        <v>129685.27738414927</v>
      </c>
      <c r="V248" s="33">
        <f>PVCalcs!L248</f>
        <v>25811.765833333331</v>
      </c>
      <c r="W248" s="158">
        <f>PVCalcs!F248</f>
        <v>8.3376332931343902E-2</v>
      </c>
      <c r="X248" s="144">
        <f>IF('PV IN'!$F$4="Battery Only",0,PVCalcs!Y248+PVCalcs!Z248)</f>
        <v>0</v>
      </c>
      <c r="Y248" s="144">
        <f>IF('PV IN'!$F$4="PV Only",0,BattCalcs!AX248+BattCalcs!BC248)</f>
        <v>0</v>
      </c>
      <c r="Z248" s="144">
        <f>IF('PV IN'!$F$4="PV Only",0,BattCalcs!AY248+BattCalcs!BD248)</f>
        <v>0</v>
      </c>
      <c r="AA248" s="144">
        <f>IF('PV IN'!$F$4="PV Only",0,BattCalcs!AZ248+BattCalcs!BE248)</f>
        <v>0</v>
      </c>
      <c r="AB248" s="144">
        <f>IF('PV IN'!$F$4="PV Only",0,BattCalcs!BA248+BattCalcs!BF248)</f>
        <v>0</v>
      </c>
      <c r="AC248" s="144">
        <f>IF('PV IN'!$F$4="PV Only",0,BattCalcs!BB248+BattCalcs!BG248)</f>
        <v>0</v>
      </c>
      <c r="AD248" s="144">
        <f>IF('PV IN'!$F$4="PV Only",0,BattCalcs!BU248)</f>
        <v>0</v>
      </c>
      <c r="AE248" s="144">
        <f>IF('PV IN'!$F$4="PV Only",PVCalcs!W248+PVCalcs!AA248,IF('PV IN'!$F$4="Battery Only",BattCalcs!AV248+BattCalcs!BH248,PVCalcs!W248+PVCalcs!AA248+BattCalcs!AV248+BattCalcs!BH248))</f>
        <v>0</v>
      </c>
      <c r="AF248" s="10">
        <f>PVCalcs!AC248+BattCalcs!BJ248</f>
        <v>0</v>
      </c>
      <c r="AG248" s="144">
        <f>IF('PV IN'!$F$4="Battery Only",0,PVCalcs!AG248)</f>
        <v>-750</v>
      </c>
      <c r="AH248" s="144">
        <f>IF('PV IN'!$F$4="Battery Only",0,PVCalcs!AI248)</f>
        <v>0</v>
      </c>
      <c r="AI248" s="144">
        <f>IF('PV IN'!$F$4="PV Only",0,BattCalcs!BM248)</f>
        <v>0</v>
      </c>
      <c r="AJ248" s="144">
        <f>IF('PV IN'!$F$4="PV Only",0,SUM(BattCalcs!BO248:BT248))</f>
        <v>0</v>
      </c>
      <c r="AK248" s="144">
        <f>IF('PV IN'!$F$4="PV Only",PVCalcs!AH248,IF('PV IN'!$F$4="Battery Only",BattCalcs!BN248,PVCalcs!AH248+BattCalcs!BN248))</f>
        <v>-625</v>
      </c>
      <c r="AL248" s="144">
        <f>IF('PV IN'!$F$4="PV Only",0,BattCalcs!BV248)</f>
        <v>0</v>
      </c>
      <c r="AM248" s="144">
        <f>IF('PV IN'!$F$4="PV Only",0,SUM(BattCalcs!BW248:BX248))</f>
        <v>0</v>
      </c>
      <c r="AN248" s="144">
        <f>IF('PV IN'!$F$4="PV Only",0,BattCalcs!BY248)</f>
        <v>0</v>
      </c>
      <c r="AO248" s="144">
        <f>IF('PV IN'!$F$4="Battery Only",0,PVCalcs!U248)</f>
        <v>10812.682863474514</v>
      </c>
      <c r="AP248" s="10">
        <f>IF('PV IN'!$F$4="PV Only",0,BattCalcs!AS248)</f>
        <v>0</v>
      </c>
      <c r="AQ248" s="10">
        <f>IF('PV IN'!$F$4="PV Only",0,BattCalcs!AT248)</f>
        <v>0</v>
      </c>
      <c r="AR248" s="10">
        <f>IF('PV IN'!$F$4="PV Only",0,BattCalcs!AU248)</f>
        <v>0</v>
      </c>
      <c r="AS248" s="144">
        <f>IF('PV IN'!$F$4="PV Only",PVCalcs!X248,IF('PV IN'!$F$4="Battery Only",BattCalcs!AW248,PVCalcs!X248+BattCalcs!AW248))</f>
        <v>0</v>
      </c>
      <c r="AT248" s="144">
        <f>IF('PV IN'!$F$4="Battery Only",0,-PVCalcs!AQ248*'PV IN'!$E$8)</f>
        <v>0</v>
      </c>
      <c r="AU248" s="144">
        <f>IF('PV IN'!$F$4="PV Only",0,-BattCalcs!CG248*'PV IN'!$E$8)</f>
        <v>0</v>
      </c>
      <c r="AV248" s="144">
        <f>IF('PV IN'!$F$4="PV Only",PVCalcs!Z248+PVCalcs!AA248,IF('PV IN'!$F$4="Battery Only",SUM(BattCalcs!BC248:BH248),PVCalcs!Z248+PVCalcs!AA248+SUM(BattCalcs!BC248:BH248)))</f>
        <v>0</v>
      </c>
      <c r="AW248" s="144">
        <f>IF('PV IN'!$F$4="PV Only",SUM(PVCalcs!AF248:AI248),IF('PV IN'!$F$4="Battery Only",SUM(BattCalcs!BL248:BY248),SUM(PVCalcs!AF248:AI248)+SUM(BattCalcs!BL248:BY248)))</f>
        <v>-1375</v>
      </c>
      <c r="AX248" s="144">
        <f>IF('PV IN'!$F$4="Battery Only",0,-PVLoan!F276)</f>
        <v>0</v>
      </c>
      <c r="AY248" s="144">
        <f>IF('PV IN'!$F$4="PV Only",0,-BattLoan!F276)</f>
        <v>0</v>
      </c>
      <c r="AZ248" s="144">
        <f>IF('PV IN'!$F$4="Battery Only",0,-PVLoan!H276)</f>
        <v>0</v>
      </c>
      <c r="BA248" s="144">
        <f>IF('PV IN'!$F$4="PV Only",0,-BattLoan!H276)</f>
        <v>0</v>
      </c>
    </row>
    <row r="249" spans="1:88" x14ac:dyDescent="0.25">
      <c r="A249" t="str">
        <f>IF(C249&lt;='PV IN'!$O$22*12,C249,"")</f>
        <v/>
      </c>
      <c r="C249">
        <v>245</v>
      </c>
      <c r="D249" s="2">
        <f>BattCalcs!CK249+PVCalcs!AT249</f>
        <v>9719.2244082321959</v>
      </c>
      <c r="E249" s="20">
        <f>PVCalcs!AV249</f>
        <v>1419859.6224041043</v>
      </c>
      <c r="F249" s="20">
        <f>PVCalcs!AW249</f>
        <v>3589.357809810911</v>
      </c>
      <c r="G249" s="20" t="e">
        <f>PVCalcs!AX249</f>
        <v>#N/A</v>
      </c>
      <c r="H249" s="20">
        <f>BattCalcs!CM249</f>
        <v>0</v>
      </c>
      <c r="I249" s="20">
        <f>BattCalcs!CN249</f>
        <v>0</v>
      </c>
      <c r="J249" s="20" t="e">
        <f>IF(C249&lt;='Batt IN'!H$43*12,BattCalcs!CO249,NA())</f>
        <v>#N/A</v>
      </c>
      <c r="L249" s="20">
        <f t="shared" si="518"/>
        <v>3589.357809810911</v>
      </c>
      <c r="M249" s="20" t="e">
        <f>G249+BattCalcs!CO249</f>
        <v>#N/A</v>
      </c>
      <c r="O249" s="10" t="str">
        <f>PVLoan!G277</f>
        <v>-</v>
      </c>
      <c r="P249" s="10" t="str">
        <f>PVLoan!J277</f>
        <v>-</v>
      </c>
      <c r="Q249" s="2" t="str">
        <f>BattLoan!G277</f>
        <v>-</v>
      </c>
      <c r="R249" s="10" t="str">
        <f>BattLoan!J277</f>
        <v>-</v>
      </c>
      <c r="T249" s="33">
        <f>IF('PV IN'!$F$4="Battery Only",0,PVCalcs!G249)</f>
        <v>129598.82053255982</v>
      </c>
      <c r="U249" s="33">
        <f>IF('PV IN'!$F$4="Battery Only",0,PVCalcs!M249)</f>
        <v>129598.82053255982</v>
      </c>
      <c r="V249" s="33">
        <f>PVCalcs!L249</f>
        <v>25811.765833333331</v>
      </c>
      <c r="W249" s="158">
        <f>PVCalcs!F249</f>
        <v>8.3376332931343902E-2</v>
      </c>
      <c r="X249" s="144">
        <f>IF('PV IN'!$F$4="Battery Only",0,PVCalcs!Y249+PVCalcs!Z249)</f>
        <v>0</v>
      </c>
      <c r="Y249" s="144">
        <f>IF('PV IN'!$F$4="PV Only",0,BattCalcs!AX249+BattCalcs!BC249)</f>
        <v>0</v>
      </c>
      <c r="Z249" s="144">
        <f>IF('PV IN'!$F$4="PV Only",0,BattCalcs!AY249+BattCalcs!BD249)</f>
        <v>0</v>
      </c>
      <c r="AA249" s="144">
        <f>IF('PV IN'!$F$4="PV Only",0,BattCalcs!AZ249+BattCalcs!BE249)</f>
        <v>0</v>
      </c>
      <c r="AB249" s="144">
        <f>IF('PV IN'!$F$4="PV Only",0,BattCalcs!BA249+BattCalcs!BF249)</f>
        <v>0</v>
      </c>
      <c r="AC249" s="144">
        <f>IF('PV IN'!$F$4="PV Only",0,BattCalcs!BB249+BattCalcs!BG249)</f>
        <v>0</v>
      </c>
      <c r="AD249" s="144">
        <f>IF('PV IN'!$F$4="PV Only",0,BattCalcs!BU249)</f>
        <v>0</v>
      </c>
      <c r="AE249" s="144">
        <f>IF('PV IN'!$F$4="PV Only",PVCalcs!W249+PVCalcs!AA249,IF('PV IN'!$F$4="Battery Only",BattCalcs!AV249+BattCalcs!BH249,PVCalcs!W249+PVCalcs!AA249+BattCalcs!AV249+BattCalcs!BH249))</f>
        <v>0</v>
      </c>
      <c r="AF249" s="10">
        <f>PVCalcs!AC249+BattCalcs!BJ249</f>
        <v>0</v>
      </c>
      <c r="AG249" s="144">
        <f>IF('PV IN'!$F$4="Battery Only",0,PVCalcs!AG249)</f>
        <v>-750</v>
      </c>
      <c r="AH249" s="144">
        <f>IF('PV IN'!$F$4="Battery Only",0,PVCalcs!AI249)</f>
        <v>0</v>
      </c>
      <c r="AI249" s="144">
        <f>IF('PV IN'!$F$4="PV Only",0,BattCalcs!BM249)</f>
        <v>0</v>
      </c>
      <c r="AJ249" s="144">
        <f>IF('PV IN'!$F$4="PV Only",0,SUM(BattCalcs!BO249:BT249))</f>
        <v>0</v>
      </c>
      <c r="AK249" s="144">
        <f>IF('PV IN'!$F$4="PV Only",PVCalcs!AH249,IF('PV IN'!$F$4="Battery Only",BattCalcs!BN249,PVCalcs!AH249+BattCalcs!BN249))</f>
        <v>-625</v>
      </c>
      <c r="AL249" s="144">
        <f>IF('PV IN'!$F$4="PV Only",0,BattCalcs!BV249)</f>
        <v>0</v>
      </c>
      <c r="AM249" s="144">
        <f>IF('PV IN'!$F$4="PV Only",0,SUM(BattCalcs!BW249:BX249))</f>
        <v>0</v>
      </c>
      <c r="AN249" s="144">
        <f>IF('PV IN'!$F$4="PV Only",0,BattCalcs!BY249)</f>
        <v>0</v>
      </c>
      <c r="AO249" s="144">
        <f>IF('PV IN'!$F$4="Battery Only",0,PVCalcs!U249)</f>
        <v>10805.474408232196</v>
      </c>
      <c r="AP249" s="10">
        <f>IF('PV IN'!$F$4="PV Only",0,BattCalcs!AS249)</f>
        <v>0</v>
      </c>
      <c r="AQ249" s="10">
        <f>IF('PV IN'!$F$4="PV Only",0,BattCalcs!AT249)</f>
        <v>0</v>
      </c>
      <c r="AR249" s="10">
        <f>IF('PV IN'!$F$4="PV Only",0,BattCalcs!AU249)</f>
        <v>0</v>
      </c>
      <c r="AS249" s="144">
        <f>IF('PV IN'!$F$4="PV Only",PVCalcs!X249,IF('PV IN'!$F$4="Battery Only",BattCalcs!AW249,PVCalcs!X249+BattCalcs!AW249))</f>
        <v>0</v>
      </c>
      <c r="AT249" s="144">
        <f>IF('PV IN'!$F$4="Battery Only",0,-PVCalcs!AQ249*'PV IN'!$E$8)</f>
        <v>0</v>
      </c>
      <c r="AU249" s="144">
        <f>IF('PV IN'!$F$4="PV Only",0,-BattCalcs!CG249*'PV IN'!$E$8)</f>
        <v>0</v>
      </c>
      <c r="AV249" s="144">
        <f>IF('PV IN'!$F$4="PV Only",PVCalcs!Z249+PVCalcs!AA249,IF('PV IN'!$F$4="Battery Only",SUM(BattCalcs!BC249:BH249),PVCalcs!Z249+PVCalcs!AA249+SUM(BattCalcs!BC249:BH249)))</f>
        <v>0</v>
      </c>
      <c r="AW249" s="144">
        <f>IF('PV IN'!$F$4="PV Only",SUM(PVCalcs!AF249:AI249),IF('PV IN'!$F$4="Battery Only",SUM(BattCalcs!BL249:BY249),SUM(PVCalcs!AF249:AI249)+SUM(BattCalcs!BL249:BY249)))</f>
        <v>-1375</v>
      </c>
      <c r="AX249" s="144">
        <f>IF('PV IN'!$F$4="Battery Only",0,-PVLoan!F277)</f>
        <v>0</v>
      </c>
      <c r="AY249" s="144">
        <f>IF('PV IN'!$F$4="PV Only",0,-BattLoan!F277)</f>
        <v>0</v>
      </c>
      <c r="AZ249" s="144">
        <f>IF('PV IN'!$F$4="Battery Only",0,-PVLoan!H277)</f>
        <v>0</v>
      </c>
      <c r="BA249" s="144">
        <f>IF('PV IN'!$F$4="PV Only",0,-BattLoan!H277)</f>
        <v>0</v>
      </c>
    </row>
    <row r="250" spans="1:88" x14ac:dyDescent="0.25">
      <c r="A250" t="str">
        <f>IF(C250&lt;='PV IN'!$O$22*12,C250,"")</f>
        <v/>
      </c>
      <c r="C250">
        <v>246</v>
      </c>
      <c r="D250" s="2">
        <f>BattCalcs!CK250+PVCalcs!AT250</f>
        <v>9712.0207586267079</v>
      </c>
      <c r="E250" s="20">
        <f>PVCalcs!AV250</f>
        <v>1429571.6431627311</v>
      </c>
      <c r="F250" s="20">
        <f>PVCalcs!AW250</f>
        <v>3572.1441089873356</v>
      </c>
      <c r="G250" s="20" t="e">
        <f>PVCalcs!AX250</f>
        <v>#N/A</v>
      </c>
      <c r="H250" s="20">
        <f>BattCalcs!CM250</f>
        <v>0</v>
      </c>
      <c r="I250" s="20">
        <f>BattCalcs!CN250</f>
        <v>0</v>
      </c>
      <c r="J250" s="20" t="e">
        <f>IF(C250&lt;='Batt IN'!H$43*12,BattCalcs!CO250,NA())</f>
        <v>#N/A</v>
      </c>
      <c r="L250" s="20">
        <f t="shared" si="518"/>
        <v>3572.1441089873356</v>
      </c>
      <c r="M250" s="20" t="e">
        <f>G250+BattCalcs!CO250</f>
        <v>#N/A</v>
      </c>
      <c r="O250" s="10" t="str">
        <f>PVLoan!G278</f>
        <v>-</v>
      </c>
      <c r="P250" s="10" t="str">
        <f>PVLoan!J278</f>
        <v>-</v>
      </c>
      <c r="Q250" s="2" t="str">
        <f>BattLoan!G278</f>
        <v>-</v>
      </c>
      <c r="R250" s="10" t="str">
        <f>BattLoan!J278</f>
        <v>-</v>
      </c>
      <c r="T250" s="33">
        <f>IF('PV IN'!$F$4="Battery Only",0,PVCalcs!G250)</f>
        <v>129512.42131887145</v>
      </c>
      <c r="U250" s="33">
        <f>IF('PV IN'!$F$4="Battery Only",0,PVCalcs!M250)</f>
        <v>129512.42131887145</v>
      </c>
      <c r="V250" s="33">
        <f>PVCalcs!L250</f>
        <v>25811.765833333331</v>
      </c>
      <c r="W250" s="158">
        <f>PVCalcs!F250</f>
        <v>8.3376332931343902E-2</v>
      </c>
      <c r="X250" s="144">
        <f>IF('PV IN'!$F$4="Battery Only",0,PVCalcs!Y250+PVCalcs!Z250)</f>
        <v>0</v>
      </c>
      <c r="Y250" s="144">
        <f>IF('PV IN'!$F$4="PV Only",0,BattCalcs!AX250+BattCalcs!BC250)</f>
        <v>0</v>
      </c>
      <c r="Z250" s="144">
        <f>IF('PV IN'!$F$4="PV Only",0,BattCalcs!AY250+BattCalcs!BD250)</f>
        <v>0</v>
      </c>
      <c r="AA250" s="144">
        <f>IF('PV IN'!$F$4="PV Only",0,BattCalcs!AZ250+BattCalcs!BE250)</f>
        <v>0</v>
      </c>
      <c r="AB250" s="144">
        <f>IF('PV IN'!$F$4="PV Only",0,BattCalcs!BA250+BattCalcs!BF250)</f>
        <v>0</v>
      </c>
      <c r="AC250" s="144">
        <f>IF('PV IN'!$F$4="PV Only",0,BattCalcs!BB250+BattCalcs!BG250)</f>
        <v>0</v>
      </c>
      <c r="AD250" s="144">
        <f>IF('PV IN'!$F$4="PV Only",0,BattCalcs!BU250)</f>
        <v>0</v>
      </c>
      <c r="AE250" s="144">
        <f>IF('PV IN'!$F$4="PV Only",PVCalcs!W250+PVCalcs!AA250,IF('PV IN'!$F$4="Battery Only",BattCalcs!AV250+BattCalcs!BH250,PVCalcs!W250+PVCalcs!AA250+BattCalcs!AV250+BattCalcs!BH250))</f>
        <v>0</v>
      </c>
      <c r="AF250" s="10">
        <f>PVCalcs!AC250+BattCalcs!BJ250</f>
        <v>0</v>
      </c>
      <c r="AG250" s="144">
        <f>IF('PV IN'!$F$4="Battery Only",0,PVCalcs!AG250)</f>
        <v>-750</v>
      </c>
      <c r="AH250" s="144">
        <f>IF('PV IN'!$F$4="Battery Only",0,PVCalcs!AI250)</f>
        <v>0</v>
      </c>
      <c r="AI250" s="144">
        <f>IF('PV IN'!$F$4="PV Only",0,BattCalcs!BM250)</f>
        <v>0</v>
      </c>
      <c r="AJ250" s="144">
        <f>IF('PV IN'!$F$4="PV Only",0,SUM(BattCalcs!BO250:BT250))</f>
        <v>0</v>
      </c>
      <c r="AK250" s="144">
        <f>IF('PV IN'!$F$4="PV Only",PVCalcs!AH250,IF('PV IN'!$F$4="Battery Only",BattCalcs!BN250,PVCalcs!AH250+BattCalcs!BN250))</f>
        <v>-625</v>
      </c>
      <c r="AL250" s="144">
        <f>IF('PV IN'!$F$4="PV Only",0,BattCalcs!BV250)</f>
        <v>0</v>
      </c>
      <c r="AM250" s="144">
        <f>IF('PV IN'!$F$4="PV Only",0,SUM(BattCalcs!BW250:BX250))</f>
        <v>0</v>
      </c>
      <c r="AN250" s="144">
        <f>IF('PV IN'!$F$4="PV Only",0,BattCalcs!BY250)</f>
        <v>0</v>
      </c>
      <c r="AO250" s="144">
        <f>IF('PV IN'!$F$4="Battery Only",0,PVCalcs!U250)</f>
        <v>10798.270758626708</v>
      </c>
      <c r="AP250" s="10">
        <f>IF('PV IN'!$F$4="PV Only",0,BattCalcs!AS250)</f>
        <v>0</v>
      </c>
      <c r="AQ250" s="10">
        <f>IF('PV IN'!$F$4="PV Only",0,BattCalcs!AT250)</f>
        <v>0</v>
      </c>
      <c r="AR250" s="10">
        <f>IF('PV IN'!$F$4="PV Only",0,BattCalcs!AU250)</f>
        <v>0</v>
      </c>
      <c r="AS250" s="144">
        <f>IF('PV IN'!$F$4="PV Only",PVCalcs!X250,IF('PV IN'!$F$4="Battery Only",BattCalcs!AW250,PVCalcs!X250+BattCalcs!AW250))</f>
        <v>0</v>
      </c>
      <c r="AT250" s="144">
        <f>IF('PV IN'!$F$4="Battery Only",0,-PVCalcs!AQ250*'PV IN'!$E$8)</f>
        <v>0</v>
      </c>
      <c r="AU250" s="144">
        <f>IF('PV IN'!$F$4="PV Only",0,-BattCalcs!CG250*'PV IN'!$E$8)</f>
        <v>0</v>
      </c>
      <c r="AV250" s="144">
        <f>IF('PV IN'!$F$4="PV Only",PVCalcs!Z250+PVCalcs!AA250,IF('PV IN'!$F$4="Battery Only",SUM(BattCalcs!BC250:BH250),PVCalcs!Z250+PVCalcs!AA250+SUM(BattCalcs!BC250:BH250)))</f>
        <v>0</v>
      </c>
      <c r="AW250" s="144">
        <f>IF('PV IN'!$F$4="PV Only",SUM(PVCalcs!AF250:AI250),IF('PV IN'!$F$4="Battery Only",SUM(BattCalcs!BL250:BY250),SUM(PVCalcs!AF250:AI250)+SUM(BattCalcs!BL250:BY250)))</f>
        <v>-1375</v>
      </c>
      <c r="AX250" s="144">
        <f>IF('PV IN'!$F$4="Battery Only",0,-PVLoan!F278)</f>
        <v>0</v>
      </c>
      <c r="AY250" s="144">
        <f>IF('PV IN'!$F$4="PV Only",0,-BattLoan!F278)</f>
        <v>0</v>
      </c>
      <c r="AZ250" s="144">
        <f>IF('PV IN'!$F$4="Battery Only",0,-PVLoan!H278)</f>
        <v>0</v>
      </c>
      <c r="BA250" s="144">
        <f>IF('PV IN'!$F$4="PV Only",0,-BattLoan!H278)</f>
        <v>0</v>
      </c>
    </row>
    <row r="251" spans="1:88" x14ac:dyDescent="0.25">
      <c r="A251" t="str">
        <f>IF(C251&lt;='PV IN'!$O$22*12,C251,"")</f>
        <v/>
      </c>
      <c r="C251">
        <v>247</v>
      </c>
      <c r="D251" s="2">
        <f>BattCalcs!CK251+PVCalcs!AT251</f>
        <v>9704.8219114542881</v>
      </c>
      <c r="E251" s="20">
        <f>PVCalcs!AV251</f>
        <v>1439276.4650741853</v>
      </c>
      <c r="F251" s="20">
        <f>PVCalcs!AW251</f>
        <v>3555.012764338846</v>
      </c>
      <c r="G251" s="20" t="e">
        <f>PVCalcs!AX251</f>
        <v>#N/A</v>
      </c>
      <c r="H251" s="20">
        <f>BattCalcs!CM251</f>
        <v>0</v>
      </c>
      <c r="I251" s="20">
        <f>BattCalcs!CN251</f>
        <v>0</v>
      </c>
      <c r="J251" s="20" t="e">
        <f>IF(C251&lt;='Batt IN'!H$43*12,BattCalcs!CO251,NA())</f>
        <v>#N/A</v>
      </c>
      <c r="L251" s="20">
        <f t="shared" si="518"/>
        <v>3555.012764338846</v>
      </c>
      <c r="M251" s="20" t="e">
        <f>G251+BattCalcs!CO251</f>
        <v>#N/A</v>
      </c>
      <c r="O251" s="10" t="str">
        <f>PVLoan!G279</f>
        <v>-</v>
      </c>
      <c r="P251" s="10" t="str">
        <f>PVLoan!J279</f>
        <v>-</v>
      </c>
      <c r="Q251" s="2" t="str">
        <f>BattLoan!G279</f>
        <v>-</v>
      </c>
      <c r="R251" s="10" t="str">
        <f>BattLoan!J279</f>
        <v>-</v>
      </c>
      <c r="T251" s="33">
        <f>IF('PV IN'!$F$4="Battery Only",0,PVCalcs!G251)</f>
        <v>129426.07970465886</v>
      </c>
      <c r="U251" s="33">
        <f>IF('PV IN'!$F$4="Battery Only",0,PVCalcs!M251)</f>
        <v>129426.07970465886</v>
      </c>
      <c r="V251" s="33">
        <f>PVCalcs!L251</f>
        <v>25811.765833333331</v>
      </c>
      <c r="W251" s="158">
        <f>PVCalcs!F251</f>
        <v>8.3376332931343902E-2</v>
      </c>
      <c r="X251" s="144">
        <f>IF('PV IN'!$F$4="Battery Only",0,PVCalcs!Y251+PVCalcs!Z251)</f>
        <v>0</v>
      </c>
      <c r="Y251" s="144">
        <f>IF('PV IN'!$F$4="PV Only",0,BattCalcs!AX251+BattCalcs!BC251)</f>
        <v>0</v>
      </c>
      <c r="Z251" s="144">
        <f>IF('PV IN'!$F$4="PV Only",0,BattCalcs!AY251+BattCalcs!BD251)</f>
        <v>0</v>
      </c>
      <c r="AA251" s="144">
        <f>IF('PV IN'!$F$4="PV Only",0,BattCalcs!AZ251+BattCalcs!BE251)</f>
        <v>0</v>
      </c>
      <c r="AB251" s="144">
        <f>IF('PV IN'!$F$4="PV Only",0,BattCalcs!BA251+BattCalcs!BF251)</f>
        <v>0</v>
      </c>
      <c r="AC251" s="144">
        <f>IF('PV IN'!$F$4="PV Only",0,BattCalcs!BB251+BattCalcs!BG251)</f>
        <v>0</v>
      </c>
      <c r="AD251" s="144">
        <f>IF('PV IN'!$F$4="PV Only",0,BattCalcs!BU251)</f>
        <v>0</v>
      </c>
      <c r="AE251" s="144">
        <f>IF('PV IN'!$F$4="PV Only",PVCalcs!W251+PVCalcs!AA251,IF('PV IN'!$F$4="Battery Only",BattCalcs!AV251+BattCalcs!BH251,PVCalcs!W251+PVCalcs!AA251+BattCalcs!AV251+BattCalcs!BH251))</f>
        <v>0</v>
      </c>
      <c r="AF251" s="10">
        <f>PVCalcs!AC251+BattCalcs!BJ251</f>
        <v>0</v>
      </c>
      <c r="AG251" s="144">
        <f>IF('PV IN'!$F$4="Battery Only",0,PVCalcs!AG251)</f>
        <v>-750</v>
      </c>
      <c r="AH251" s="144">
        <f>IF('PV IN'!$F$4="Battery Only",0,PVCalcs!AI251)</f>
        <v>0</v>
      </c>
      <c r="AI251" s="144">
        <f>IF('PV IN'!$F$4="PV Only",0,BattCalcs!BM251)</f>
        <v>0</v>
      </c>
      <c r="AJ251" s="144">
        <f>IF('PV IN'!$F$4="PV Only",0,SUM(BattCalcs!BO251:BT251))</f>
        <v>0</v>
      </c>
      <c r="AK251" s="144">
        <f>IF('PV IN'!$F$4="PV Only",PVCalcs!AH251,IF('PV IN'!$F$4="Battery Only",BattCalcs!BN251,PVCalcs!AH251+BattCalcs!BN251))</f>
        <v>-625</v>
      </c>
      <c r="AL251" s="144">
        <f>IF('PV IN'!$F$4="PV Only",0,BattCalcs!BV251)</f>
        <v>0</v>
      </c>
      <c r="AM251" s="144">
        <f>IF('PV IN'!$F$4="PV Only",0,SUM(BattCalcs!BW251:BX251))</f>
        <v>0</v>
      </c>
      <c r="AN251" s="144">
        <f>IF('PV IN'!$F$4="PV Only",0,BattCalcs!BY251)</f>
        <v>0</v>
      </c>
      <c r="AO251" s="144">
        <f>IF('PV IN'!$F$4="Battery Only",0,PVCalcs!U251)</f>
        <v>10791.071911454288</v>
      </c>
      <c r="AP251" s="10">
        <f>IF('PV IN'!$F$4="PV Only",0,BattCalcs!AS251)</f>
        <v>0</v>
      </c>
      <c r="AQ251" s="10">
        <f>IF('PV IN'!$F$4="PV Only",0,BattCalcs!AT251)</f>
        <v>0</v>
      </c>
      <c r="AR251" s="10">
        <f>IF('PV IN'!$F$4="PV Only",0,BattCalcs!AU251)</f>
        <v>0</v>
      </c>
      <c r="AS251" s="144">
        <f>IF('PV IN'!$F$4="PV Only",PVCalcs!X251,IF('PV IN'!$F$4="Battery Only",BattCalcs!AW251,PVCalcs!X251+BattCalcs!AW251))</f>
        <v>0</v>
      </c>
      <c r="AT251" s="144">
        <f>IF('PV IN'!$F$4="Battery Only",0,-PVCalcs!AQ251*'PV IN'!$E$8)</f>
        <v>0</v>
      </c>
      <c r="AU251" s="144">
        <f>IF('PV IN'!$F$4="PV Only",0,-BattCalcs!CG251*'PV IN'!$E$8)</f>
        <v>0</v>
      </c>
      <c r="AV251" s="144">
        <f>IF('PV IN'!$F$4="PV Only",PVCalcs!Z251+PVCalcs!AA251,IF('PV IN'!$F$4="Battery Only",SUM(BattCalcs!BC251:BH251),PVCalcs!Z251+PVCalcs!AA251+SUM(BattCalcs!BC251:BH251)))</f>
        <v>0</v>
      </c>
      <c r="AW251" s="144">
        <f>IF('PV IN'!$F$4="PV Only",SUM(PVCalcs!AF251:AI251),IF('PV IN'!$F$4="Battery Only",SUM(BattCalcs!BL251:BY251),SUM(PVCalcs!AF251:AI251)+SUM(BattCalcs!BL251:BY251)))</f>
        <v>-1375</v>
      </c>
      <c r="AX251" s="144">
        <f>IF('PV IN'!$F$4="Battery Only",0,-PVLoan!F279)</f>
        <v>0</v>
      </c>
      <c r="AY251" s="144">
        <f>IF('PV IN'!$F$4="PV Only",0,-BattLoan!F279)</f>
        <v>0</v>
      </c>
      <c r="AZ251" s="144">
        <f>IF('PV IN'!$F$4="Battery Only",0,-PVLoan!H279)</f>
        <v>0</v>
      </c>
      <c r="BA251" s="144">
        <f>IF('PV IN'!$F$4="PV Only",0,-BattLoan!H279)</f>
        <v>0</v>
      </c>
    </row>
    <row r="252" spans="1:88" x14ac:dyDescent="0.25">
      <c r="A252" t="str">
        <f>IF(C252&lt;='PV IN'!$O$22*12,C252,"")</f>
        <v/>
      </c>
      <c r="C252">
        <v>248</v>
      </c>
      <c r="D252" s="2">
        <f>BattCalcs!CK252+PVCalcs!AT252</f>
        <v>9697.6278635133203</v>
      </c>
      <c r="E252" s="20">
        <f>PVCalcs!AV252</f>
        <v>1448974.0929376986</v>
      </c>
      <c r="F252" s="20">
        <f>PVCalcs!AW252</f>
        <v>3537.9633826310387</v>
      </c>
      <c r="G252" s="20" t="e">
        <f>PVCalcs!AX252</f>
        <v>#N/A</v>
      </c>
      <c r="H252" s="20">
        <f>BattCalcs!CM252</f>
        <v>0</v>
      </c>
      <c r="I252" s="20">
        <f>BattCalcs!CN252</f>
        <v>0</v>
      </c>
      <c r="J252" s="20" t="e">
        <f>IF(C252&lt;='Batt IN'!H$43*12,BattCalcs!CO252,NA())</f>
        <v>#N/A</v>
      </c>
      <c r="L252" s="20">
        <f t="shared" si="518"/>
        <v>3537.9633826310387</v>
      </c>
      <c r="M252" s="20" t="e">
        <f>G252+BattCalcs!CO252</f>
        <v>#N/A</v>
      </c>
      <c r="O252" s="10" t="str">
        <f>PVLoan!G280</f>
        <v>-</v>
      </c>
      <c r="P252" s="10" t="str">
        <f>PVLoan!J280</f>
        <v>-</v>
      </c>
      <c r="Q252" s="2" t="str">
        <f>BattLoan!G280</f>
        <v>-</v>
      </c>
      <c r="R252" s="10" t="str">
        <f>BattLoan!J280</f>
        <v>-</v>
      </c>
      <c r="T252" s="33">
        <f>IF('PV IN'!$F$4="Battery Only",0,PVCalcs!G252)</f>
        <v>129339.79565152244</v>
      </c>
      <c r="U252" s="33">
        <f>IF('PV IN'!$F$4="Battery Only",0,PVCalcs!M252)</f>
        <v>129339.79565152244</v>
      </c>
      <c r="V252" s="33">
        <f>PVCalcs!L252</f>
        <v>25811.765833333331</v>
      </c>
      <c r="W252" s="158">
        <f>PVCalcs!F252</f>
        <v>8.3376332931343902E-2</v>
      </c>
      <c r="X252" s="144">
        <f>IF('PV IN'!$F$4="Battery Only",0,PVCalcs!Y252+PVCalcs!Z252)</f>
        <v>0</v>
      </c>
      <c r="Y252" s="144">
        <f>IF('PV IN'!$F$4="PV Only",0,BattCalcs!AX252+BattCalcs!BC252)</f>
        <v>0</v>
      </c>
      <c r="Z252" s="144">
        <f>IF('PV IN'!$F$4="PV Only",0,BattCalcs!AY252+BattCalcs!BD252)</f>
        <v>0</v>
      </c>
      <c r="AA252" s="144">
        <f>IF('PV IN'!$F$4="PV Only",0,BattCalcs!AZ252+BattCalcs!BE252)</f>
        <v>0</v>
      </c>
      <c r="AB252" s="144">
        <f>IF('PV IN'!$F$4="PV Only",0,BattCalcs!BA252+BattCalcs!BF252)</f>
        <v>0</v>
      </c>
      <c r="AC252" s="144">
        <f>IF('PV IN'!$F$4="PV Only",0,BattCalcs!BB252+BattCalcs!BG252)</f>
        <v>0</v>
      </c>
      <c r="AD252" s="144">
        <f>IF('PV IN'!$F$4="PV Only",0,BattCalcs!BU252)</f>
        <v>0</v>
      </c>
      <c r="AE252" s="144">
        <f>IF('PV IN'!$F$4="PV Only",PVCalcs!W252+PVCalcs!AA252,IF('PV IN'!$F$4="Battery Only",BattCalcs!AV252+BattCalcs!BH252,PVCalcs!W252+PVCalcs!AA252+BattCalcs!AV252+BattCalcs!BH252))</f>
        <v>0</v>
      </c>
      <c r="AF252" s="10">
        <f>PVCalcs!AC252+BattCalcs!BJ252</f>
        <v>0</v>
      </c>
      <c r="AG252" s="144">
        <f>IF('PV IN'!$F$4="Battery Only",0,PVCalcs!AG252)</f>
        <v>-750</v>
      </c>
      <c r="AH252" s="144">
        <f>IF('PV IN'!$F$4="Battery Only",0,PVCalcs!AI252)</f>
        <v>0</v>
      </c>
      <c r="AI252" s="144">
        <f>IF('PV IN'!$F$4="PV Only",0,BattCalcs!BM252)</f>
        <v>0</v>
      </c>
      <c r="AJ252" s="144">
        <f>IF('PV IN'!$F$4="PV Only",0,SUM(BattCalcs!BO252:BT252))</f>
        <v>0</v>
      </c>
      <c r="AK252" s="144">
        <f>IF('PV IN'!$F$4="PV Only",PVCalcs!AH252,IF('PV IN'!$F$4="Battery Only",BattCalcs!BN252,PVCalcs!AH252+BattCalcs!BN252))</f>
        <v>-625</v>
      </c>
      <c r="AL252" s="144">
        <f>IF('PV IN'!$F$4="PV Only",0,BattCalcs!BV252)</f>
        <v>0</v>
      </c>
      <c r="AM252" s="144">
        <f>IF('PV IN'!$F$4="PV Only",0,SUM(BattCalcs!BW252:BX252))</f>
        <v>0</v>
      </c>
      <c r="AN252" s="144">
        <f>IF('PV IN'!$F$4="PV Only",0,BattCalcs!BY252)</f>
        <v>0</v>
      </c>
      <c r="AO252" s="144">
        <f>IF('PV IN'!$F$4="Battery Only",0,PVCalcs!U252)</f>
        <v>10783.87786351332</v>
      </c>
      <c r="AP252" s="10">
        <f>IF('PV IN'!$F$4="PV Only",0,BattCalcs!AS252)</f>
        <v>0</v>
      </c>
      <c r="AQ252" s="10">
        <f>IF('PV IN'!$F$4="PV Only",0,BattCalcs!AT252)</f>
        <v>0</v>
      </c>
      <c r="AR252" s="10">
        <f>IF('PV IN'!$F$4="PV Only",0,BattCalcs!AU252)</f>
        <v>0</v>
      </c>
      <c r="AS252" s="144">
        <f>IF('PV IN'!$F$4="PV Only",PVCalcs!X252,IF('PV IN'!$F$4="Battery Only",BattCalcs!AW252,PVCalcs!X252+BattCalcs!AW252))</f>
        <v>0</v>
      </c>
      <c r="AT252" s="144">
        <f>IF('PV IN'!$F$4="Battery Only",0,-PVCalcs!AQ252*'PV IN'!$E$8)</f>
        <v>0</v>
      </c>
      <c r="AU252" s="144">
        <f>IF('PV IN'!$F$4="PV Only",0,-BattCalcs!CG252*'PV IN'!$E$8)</f>
        <v>0</v>
      </c>
      <c r="AV252" s="144">
        <f>IF('PV IN'!$F$4="PV Only",PVCalcs!Z252+PVCalcs!AA252,IF('PV IN'!$F$4="Battery Only",SUM(BattCalcs!BC252:BH252),PVCalcs!Z252+PVCalcs!AA252+SUM(BattCalcs!BC252:BH252)))</f>
        <v>0</v>
      </c>
      <c r="AW252" s="144">
        <f>IF('PV IN'!$F$4="PV Only",SUM(PVCalcs!AF252:AI252),IF('PV IN'!$F$4="Battery Only",SUM(BattCalcs!BL252:BY252),SUM(PVCalcs!AF252:AI252)+SUM(BattCalcs!BL252:BY252)))</f>
        <v>-1375</v>
      </c>
      <c r="AX252" s="144">
        <f>IF('PV IN'!$F$4="Battery Only",0,-PVLoan!F280)</f>
        <v>0</v>
      </c>
      <c r="AY252" s="144">
        <f>IF('PV IN'!$F$4="PV Only",0,-BattLoan!F280)</f>
        <v>0</v>
      </c>
      <c r="AZ252" s="144">
        <f>IF('PV IN'!$F$4="Battery Only",0,-PVLoan!H280)</f>
        <v>0</v>
      </c>
      <c r="BA252" s="144">
        <f>IF('PV IN'!$F$4="PV Only",0,-BattLoan!H280)</f>
        <v>0</v>
      </c>
    </row>
    <row r="253" spans="1:88" x14ac:dyDescent="0.25">
      <c r="A253" t="str">
        <f>IF(C253&lt;='PV IN'!$O$22*12,C253,"")</f>
        <v/>
      </c>
      <c r="C253">
        <v>249</v>
      </c>
      <c r="D253" s="2">
        <f>BattCalcs!CK253+PVCalcs!AT253</f>
        <v>9690.4386116043115</v>
      </c>
      <c r="E253" s="20">
        <f>PVCalcs!AV253</f>
        <v>1458664.5315493029</v>
      </c>
      <c r="F253" s="20">
        <f>PVCalcs!AW253</f>
        <v>3520.9955725039831</v>
      </c>
      <c r="G253" s="20" t="e">
        <f>PVCalcs!AX253</f>
        <v>#N/A</v>
      </c>
      <c r="H253" s="20">
        <f>BattCalcs!CM253</f>
        <v>0</v>
      </c>
      <c r="I253" s="20">
        <f>BattCalcs!CN253</f>
        <v>0</v>
      </c>
      <c r="J253" s="20" t="e">
        <f>IF(C253&lt;='Batt IN'!H$43*12,BattCalcs!CO253,NA())</f>
        <v>#N/A</v>
      </c>
      <c r="L253" s="20">
        <f t="shared" si="518"/>
        <v>3520.9955725039831</v>
      </c>
      <c r="M253" s="20" t="e">
        <f>G253+BattCalcs!CO253</f>
        <v>#N/A</v>
      </c>
      <c r="O253" s="10" t="str">
        <f>PVLoan!G281</f>
        <v>-</v>
      </c>
      <c r="P253" s="10" t="str">
        <f>PVLoan!J281</f>
        <v>-</v>
      </c>
      <c r="Q253" s="2" t="str">
        <f>BattLoan!G281</f>
        <v>-</v>
      </c>
      <c r="R253" s="10" t="str">
        <f>BattLoan!J281</f>
        <v>-</v>
      </c>
      <c r="T253" s="33">
        <f>IF('PV IN'!$F$4="Battery Only",0,PVCalcs!G253)</f>
        <v>129253.56912108808</v>
      </c>
      <c r="U253" s="33">
        <f>IF('PV IN'!$F$4="Battery Only",0,PVCalcs!M253)</f>
        <v>129253.56912108808</v>
      </c>
      <c r="V253" s="33">
        <f>PVCalcs!L253</f>
        <v>25811.765833333331</v>
      </c>
      <c r="W253" s="158">
        <f>PVCalcs!F253</f>
        <v>8.3376332931343902E-2</v>
      </c>
      <c r="X253" s="144">
        <f>IF('PV IN'!$F$4="Battery Only",0,PVCalcs!Y253+PVCalcs!Z253)</f>
        <v>0</v>
      </c>
      <c r="Y253" s="144">
        <f>IF('PV IN'!$F$4="PV Only",0,BattCalcs!AX253+BattCalcs!BC253)</f>
        <v>0</v>
      </c>
      <c r="Z253" s="144">
        <f>IF('PV IN'!$F$4="PV Only",0,BattCalcs!AY253+BattCalcs!BD253)</f>
        <v>0</v>
      </c>
      <c r="AA253" s="144">
        <f>IF('PV IN'!$F$4="PV Only",0,BattCalcs!AZ253+BattCalcs!BE253)</f>
        <v>0</v>
      </c>
      <c r="AB253" s="144">
        <f>IF('PV IN'!$F$4="PV Only",0,BattCalcs!BA253+BattCalcs!BF253)</f>
        <v>0</v>
      </c>
      <c r="AC253" s="144">
        <f>IF('PV IN'!$F$4="PV Only",0,BattCalcs!BB253+BattCalcs!BG253)</f>
        <v>0</v>
      </c>
      <c r="AD253" s="144">
        <f>IF('PV IN'!$F$4="PV Only",0,BattCalcs!BU253)</f>
        <v>0</v>
      </c>
      <c r="AE253" s="144">
        <f>IF('PV IN'!$F$4="PV Only",PVCalcs!W253+PVCalcs!AA253,IF('PV IN'!$F$4="Battery Only",BattCalcs!AV253+BattCalcs!BH253,PVCalcs!W253+PVCalcs!AA253+BattCalcs!AV253+BattCalcs!BH253))</f>
        <v>0</v>
      </c>
      <c r="AF253" s="10">
        <f>PVCalcs!AC253+BattCalcs!BJ253</f>
        <v>0</v>
      </c>
      <c r="AG253" s="144">
        <f>IF('PV IN'!$F$4="Battery Only",0,PVCalcs!AG253)</f>
        <v>-750</v>
      </c>
      <c r="AH253" s="144">
        <f>IF('PV IN'!$F$4="Battery Only",0,PVCalcs!AI253)</f>
        <v>0</v>
      </c>
      <c r="AI253" s="144">
        <f>IF('PV IN'!$F$4="PV Only",0,BattCalcs!BM253)</f>
        <v>0</v>
      </c>
      <c r="AJ253" s="144">
        <f>IF('PV IN'!$F$4="PV Only",0,SUM(BattCalcs!BO253:BT253))</f>
        <v>0</v>
      </c>
      <c r="AK253" s="144">
        <f>IF('PV IN'!$F$4="PV Only",PVCalcs!AH253,IF('PV IN'!$F$4="Battery Only",BattCalcs!BN253,PVCalcs!AH253+BattCalcs!BN253))</f>
        <v>-625</v>
      </c>
      <c r="AL253" s="144">
        <f>IF('PV IN'!$F$4="PV Only",0,BattCalcs!BV253)</f>
        <v>0</v>
      </c>
      <c r="AM253" s="144">
        <f>IF('PV IN'!$F$4="PV Only",0,SUM(BattCalcs!BW253:BX253))</f>
        <v>0</v>
      </c>
      <c r="AN253" s="144">
        <f>IF('PV IN'!$F$4="PV Only",0,BattCalcs!BY253)</f>
        <v>0</v>
      </c>
      <c r="AO253" s="144">
        <f>IF('PV IN'!$F$4="Battery Only",0,PVCalcs!U253)</f>
        <v>10776.688611604312</v>
      </c>
      <c r="AP253" s="10">
        <f>IF('PV IN'!$F$4="PV Only",0,BattCalcs!AS253)</f>
        <v>0</v>
      </c>
      <c r="AQ253" s="10">
        <f>IF('PV IN'!$F$4="PV Only",0,BattCalcs!AT253)</f>
        <v>0</v>
      </c>
      <c r="AR253" s="10">
        <f>IF('PV IN'!$F$4="PV Only",0,BattCalcs!AU253)</f>
        <v>0</v>
      </c>
      <c r="AS253" s="144">
        <f>IF('PV IN'!$F$4="PV Only",PVCalcs!X253,IF('PV IN'!$F$4="Battery Only",BattCalcs!AW253,PVCalcs!X253+BattCalcs!AW253))</f>
        <v>0</v>
      </c>
      <c r="AT253" s="144">
        <f>IF('PV IN'!$F$4="Battery Only",0,-PVCalcs!AQ253*'PV IN'!$E$8)</f>
        <v>0</v>
      </c>
      <c r="AU253" s="144">
        <f>IF('PV IN'!$F$4="PV Only",0,-BattCalcs!CG253*'PV IN'!$E$8)</f>
        <v>0</v>
      </c>
      <c r="AV253" s="144">
        <f>IF('PV IN'!$F$4="PV Only",PVCalcs!Z253+PVCalcs!AA253,IF('PV IN'!$F$4="Battery Only",SUM(BattCalcs!BC253:BH253),PVCalcs!Z253+PVCalcs!AA253+SUM(BattCalcs!BC253:BH253)))</f>
        <v>0</v>
      </c>
      <c r="AW253" s="144">
        <f>IF('PV IN'!$F$4="PV Only",SUM(PVCalcs!AF253:AI253),IF('PV IN'!$F$4="Battery Only",SUM(BattCalcs!BL253:BY253),SUM(PVCalcs!AF253:AI253)+SUM(BattCalcs!BL253:BY253)))</f>
        <v>-1375</v>
      </c>
      <c r="AX253" s="144">
        <f>IF('PV IN'!$F$4="Battery Only",0,-PVLoan!F281)</f>
        <v>0</v>
      </c>
      <c r="AY253" s="144">
        <f>IF('PV IN'!$F$4="PV Only",0,-BattLoan!F281)</f>
        <v>0</v>
      </c>
      <c r="AZ253" s="144">
        <f>IF('PV IN'!$F$4="Battery Only",0,-PVLoan!H281)</f>
        <v>0</v>
      </c>
      <c r="BA253" s="144">
        <f>IF('PV IN'!$F$4="PV Only",0,-BattLoan!H281)</f>
        <v>0</v>
      </c>
    </row>
    <row r="254" spans="1:88" x14ac:dyDescent="0.25">
      <c r="A254" t="str">
        <f>IF(C254&lt;='PV IN'!$O$22*12,C254,"")</f>
        <v/>
      </c>
      <c r="C254">
        <v>250</v>
      </c>
      <c r="D254" s="2">
        <f>BattCalcs!CK254+PVCalcs!AT254</f>
        <v>9683.2541525299093</v>
      </c>
      <c r="E254" s="20">
        <f>PVCalcs!AV254</f>
        <v>1468347.7857018327</v>
      </c>
      <c r="F254" s="20">
        <f>PVCalcs!AW254</f>
        <v>3504.1089444632953</v>
      </c>
      <c r="G254" s="20" t="e">
        <f>PVCalcs!AX254</f>
        <v>#N/A</v>
      </c>
      <c r="H254" s="20">
        <f>BattCalcs!CM254</f>
        <v>0</v>
      </c>
      <c r="I254" s="20">
        <f>BattCalcs!CN254</f>
        <v>0</v>
      </c>
      <c r="J254" s="20" t="e">
        <f>IF(C254&lt;='Batt IN'!H$43*12,BattCalcs!CO254,NA())</f>
        <v>#N/A</v>
      </c>
      <c r="L254" s="20">
        <f t="shared" si="518"/>
        <v>3504.1089444632953</v>
      </c>
      <c r="M254" s="20" t="e">
        <f>G254+BattCalcs!CO254</f>
        <v>#N/A</v>
      </c>
      <c r="O254" s="10" t="str">
        <f>PVLoan!G282</f>
        <v>-</v>
      </c>
      <c r="P254" s="10" t="str">
        <f>PVLoan!J282</f>
        <v>-</v>
      </c>
      <c r="Q254" s="2" t="str">
        <f>BattLoan!G282</f>
        <v>-</v>
      </c>
      <c r="R254" s="10" t="str">
        <f>BattLoan!J282</f>
        <v>-</v>
      </c>
      <c r="T254" s="33">
        <f>IF('PV IN'!$F$4="Battery Only",0,PVCalcs!G254)</f>
        <v>129167.40007500736</v>
      </c>
      <c r="U254" s="33">
        <f>IF('PV IN'!$F$4="Battery Only",0,PVCalcs!M254)</f>
        <v>129167.40007500736</v>
      </c>
      <c r="V254" s="33">
        <f>PVCalcs!L254</f>
        <v>25811.765833333331</v>
      </c>
      <c r="W254" s="158">
        <f>PVCalcs!F254</f>
        <v>8.3376332931343902E-2</v>
      </c>
      <c r="X254" s="144">
        <f>IF('PV IN'!$F$4="Battery Only",0,PVCalcs!Y254+PVCalcs!Z254)</f>
        <v>0</v>
      </c>
      <c r="Y254" s="144">
        <f>IF('PV IN'!$F$4="PV Only",0,BattCalcs!AX254+BattCalcs!BC254)</f>
        <v>0</v>
      </c>
      <c r="Z254" s="144">
        <f>IF('PV IN'!$F$4="PV Only",0,BattCalcs!AY254+BattCalcs!BD254)</f>
        <v>0</v>
      </c>
      <c r="AA254" s="144">
        <f>IF('PV IN'!$F$4="PV Only",0,BattCalcs!AZ254+BattCalcs!BE254)</f>
        <v>0</v>
      </c>
      <c r="AB254" s="144">
        <f>IF('PV IN'!$F$4="PV Only",0,BattCalcs!BA254+BattCalcs!BF254)</f>
        <v>0</v>
      </c>
      <c r="AC254" s="144">
        <f>IF('PV IN'!$F$4="PV Only",0,BattCalcs!BB254+BattCalcs!BG254)</f>
        <v>0</v>
      </c>
      <c r="AD254" s="144">
        <f>IF('PV IN'!$F$4="PV Only",0,BattCalcs!BU254)</f>
        <v>0</v>
      </c>
      <c r="AE254" s="144">
        <f>IF('PV IN'!$F$4="PV Only",PVCalcs!W254+PVCalcs!AA254,IF('PV IN'!$F$4="Battery Only",BattCalcs!AV254+BattCalcs!BH254,PVCalcs!W254+PVCalcs!AA254+BattCalcs!AV254+BattCalcs!BH254))</f>
        <v>0</v>
      </c>
      <c r="AF254" s="10">
        <f>PVCalcs!AC254+BattCalcs!BJ254</f>
        <v>0</v>
      </c>
      <c r="AG254" s="144">
        <f>IF('PV IN'!$F$4="Battery Only",0,PVCalcs!AG254)</f>
        <v>-750</v>
      </c>
      <c r="AH254" s="144">
        <f>IF('PV IN'!$F$4="Battery Only",0,PVCalcs!AI254)</f>
        <v>0</v>
      </c>
      <c r="AI254" s="144">
        <f>IF('PV IN'!$F$4="PV Only",0,BattCalcs!BM254)</f>
        <v>0</v>
      </c>
      <c r="AJ254" s="144">
        <f>IF('PV IN'!$F$4="PV Only",0,SUM(BattCalcs!BO254:BT254))</f>
        <v>0</v>
      </c>
      <c r="AK254" s="144">
        <f>IF('PV IN'!$F$4="PV Only",PVCalcs!AH254,IF('PV IN'!$F$4="Battery Only",BattCalcs!BN254,PVCalcs!AH254+BattCalcs!BN254))</f>
        <v>-625</v>
      </c>
      <c r="AL254" s="144">
        <f>IF('PV IN'!$F$4="PV Only",0,BattCalcs!BV254)</f>
        <v>0</v>
      </c>
      <c r="AM254" s="144">
        <f>IF('PV IN'!$F$4="PV Only",0,SUM(BattCalcs!BW254:BX254))</f>
        <v>0</v>
      </c>
      <c r="AN254" s="144">
        <f>IF('PV IN'!$F$4="PV Only",0,BattCalcs!BY254)</f>
        <v>0</v>
      </c>
      <c r="AO254" s="144">
        <f>IF('PV IN'!$F$4="Battery Only",0,PVCalcs!U254)</f>
        <v>10769.504152529909</v>
      </c>
      <c r="AP254" s="10">
        <f>IF('PV IN'!$F$4="PV Only",0,BattCalcs!AS254)</f>
        <v>0</v>
      </c>
      <c r="AQ254" s="10">
        <f>IF('PV IN'!$F$4="PV Only",0,BattCalcs!AT254)</f>
        <v>0</v>
      </c>
      <c r="AR254" s="10">
        <f>IF('PV IN'!$F$4="PV Only",0,BattCalcs!AU254)</f>
        <v>0</v>
      </c>
      <c r="AS254" s="144">
        <f>IF('PV IN'!$F$4="PV Only",PVCalcs!X254,IF('PV IN'!$F$4="Battery Only",BattCalcs!AW254,PVCalcs!X254+BattCalcs!AW254))</f>
        <v>0</v>
      </c>
      <c r="AT254" s="144">
        <f>IF('PV IN'!$F$4="Battery Only",0,-PVCalcs!AQ254*'PV IN'!$E$8)</f>
        <v>0</v>
      </c>
      <c r="AU254" s="144">
        <f>IF('PV IN'!$F$4="PV Only",0,-BattCalcs!CG254*'PV IN'!$E$8)</f>
        <v>0</v>
      </c>
      <c r="AV254" s="144">
        <f>IF('PV IN'!$F$4="PV Only",PVCalcs!Z254+PVCalcs!AA254,IF('PV IN'!$F$4="Battery Only",SUM(BattCalcs!BC254:BH254),PVCalcs!Z254+PVCalcs!AA254+SUM(BattCalcs!BC254:BH254)))</f>
        <v>0</v>
      </c>
      <c r="AW254" s="144">
        <f>IF('PV IN'!$F$4="PV Only",SUM(PVCalcs!AF254:AI254),IF('PV IN'!$F$4="Battery Only",SUM(BattCalcs!BL254:BY254),SUM(PVCalcs!AF254:AI254)+SUM(BattCalcs!BL254:BY254)))</f>
        <v>-1375</v>
      </c>
      <c r="AX254" s="144">
        <f>IF('PV IN'!$F$4="Battery Only",0,-PVLoan!F282)</f>
        <v>0</v>
      </c>
      <c r="AY254" s="144">
        <f>IF('PV IN'!$F$4="PV Only",0,-BattLoan!F282)</f>
        <v>0</v>
      </c>
      <c r="AZ254" s="144">
        <f>IF('PV IN'!$F$4="Battery Only",0,-PVLoan!H282)</f>
        <v>0</v>
      </c>
      <c r="BA254" s="144">
        <f>IF('PV IN'!$F$4="PV Only",0,-BattLoan!H282)</f>
        <v>0</v>
      </c>
    </row>
    <row r="255" spans="1:88" x14ac:dyDescent="0.25">
      <c r="A255" t="str">
        <f>IF(C255&lt;='PV IN'!$O$22*12,C255,"")</f>
        <v/>
      </c>
      <c r="C255">
        <v>251</v>
      </c>
      <c r="D255" s="2">
        <f>BattCalcs!CK255+PVCalcs!AT255</f>
        <v>9676.0744830948879</v>
      </c>
      <c r="E255" s="20">
        <f>PVCalcs!AV255</f>
        <v>1478023.8601849277</v>
      </c>
      <c r="F255" s="20">
        <f>PVCalcs!AW255</f>
        <v>3487.3031108712576</v>
      </c>
      <c r="G255" s="20" t="e">
        <f>PVCalcs!AX255</f>
        <v>#N/A</v>
      </c>
      <c r="H255" s="20">
        <f>BattCalcs!CM255</f>
        <v>0</v>
      </c>
      <c r="I255" s="20">
        <f>BattCalcs!CN255</f>
        <v>0</v>
      </c>
      <c r="J255" s="20" t="e">
        <f>IF(C255&lt;='Batt IN'!H$43*12,BattCalcs!CO255,NA())</f>
        <v>#N/A</v>
      </c>
      <c r="L255" s="20">
        <f t="shared" si="518"/>
        <v>3487.3031108712576</v>
      </c>
      <c r="M255" s="20" t="e">
        <f>G255+BattCalcs!CO255</f>
        <v>#N/A</v>
      </c>
      <c r="O255" s="10" t="str">
        <f>PVLoan!G283</f>
        <v>-</v>
      </c>
      <c r="P255" s="10" t="str">
        <f>PVLoan!J283</f>
        <v>-</v>
      </c>
      <c r="Q255" s="2" t="str">
        <f>BattLoan!G283</f>
        <v>-</v>
      </c>
      <c r="R255" s="10" t="str">
        <f>BattLoan!J283</f>
        <v>-</v>
      </c>
      <c r="T255" s="33">
        <f>IF('PV IN'!$F$4="Battery Only",0,PVCalcs!G255)</f>
        <v>129081.28847495734</v>
      </c>
      <c r="U255" s="33">
        <f>IF('PV IN'!$F$4="Battery Only",0,PVCalcs!M255)</f>
        <v>129081.28847495734</v>
      </c>
      <c r="V255" s="33">
        <f>PVCalcs!L255</f>
        <v>25811.765833333331</v>
      </c>
      <c r="W255" s="158">
        <f>PVCalcs!F255</f>
        <v>8.3376332931343902E-2</v>
      </c>
      <c r="X255" s="144">
        <f>IF('PV IN'!$F$4="Battery Only",0,PVCalcs!Y255+PVCalcs!Z255)</f>
        <v>0</v>
      </c>
      <c r="Y255" s="144">
        <f>IF('PV IN'!$F$4="PV Only",0,BattCalcs!AX255+BattCalcs!BC255)</f>
        <v>0</v>
      </c>
      <c r="Z255" s="144">
        <f>IF('PV IN'!$F$4="PV Only",0,BattCalcs!AY255+BattCalcs!BD255)</f>
        <v>0</v>
      </c>
      <c r="AA255" s="144">
        <f>IF('PV IN'!$F$4="PV Only",0,BattCalcs!AZ255+BattCalcs!BE255)</f>
        <v>0</v>
      </c>
      <c r="AB255" s="144">
        <f>IF('PV IN'!$F$4="PV Only",0,BattCalcs!BA255+BattCalcs!BF255)</f>
        <v>0</v>
      </c>
      <c r="AC255" s="144">
        <f>IF('PV IN'!$F$4="PV Only",0,BattCalcs!BB255+BattCalcs!BG255)</f>
        <v>0</v>
      </c>
      <c r="AD255" s="144">
        <f>IF('PV IN'!$F$4="PV Only",0,BattCalcs!BU255)</f>
        <v>0</v>
      </c>
      <c r="AE255" s="144">
        <f>IF('PV IN'!$F$4="PV Only",PVCalcs!W255+PVCalcs!AA255,IF('PV IN'!$F$4="Battery Only",BattCalcs!AV255+BattCalcs!BH255,PVCalcs!W255+PVCalcs!AA255+BattCalcs!AV255+BattCalcs!BH255))</f>
        <v>0</v>
      </c>
      <c r="AF255" s="10">
        <f>PVCalcs!AC255+BattCalcs!BJ255</f>
        <v>0</v>
      </c>
      <c r="AG255" s="144">
        <f>IF('PV IN'!$F$4="Battery Only",0,PVCalcs!AG255)</f>
        <v>-750</v>
      </c>
      <c r="AH255" s="144">
        <f>IF('PV IN'!$F$4="Battery Only",0,PVCalcs!AI255)</f>
        <v>0</v>
      </c>
      <c r="AI255" s="144">
        <f>IF('PV IN'!$F$4="PV Only",0,BattCalcs!BM255)</f>
        <v>0</v>
      </c>
      <c r="AJ255" s="144">
        <f>IF('PV IN'!$F$4="PV Only",0,SUM(BattCalcs!BO255:BT255))</f>
        <v>0</v>
      </c>
      <c r="AK255" s="144">
        <f>IF('PV IN'!$F$4="PV Only",PVCalcs!AH255,IF('PV IN'!$F$4="Battery Only",BattCalcs!BN255,PVCalcs!AH255+BattCalcs!BN255))</f>
        <v>-625</v>
      </c>
      <c r="AL255" s="144">
        <f>IF('PV IN'!$F$4="PV Only",0,BattCalcs!BV255)</f>
        <v>0</v>
      </c>
      <c r="AM255" s="144">
        <f>IF('PV IN'!$F$4="PV Only",0,SUM(BattCalcs!BW255:BX255))</f>
        <v>0</v>
      </c>
      <c r="AN255" s="144">
        <f>IF('PV IN'!$F$4="PV Only",0,BattCalcs!BY255)</f>
        <v>0</v>
      </c>
      <c r="AO255" s="144">
        <f>IF('PV IN'!$F$4="Battery Only",0,PVCalcs!U255)</f>
        <v>10762.324483094888</v>
      </c>
      <c r="AP255" s="10">
        <f>IF('PV IN'!$F$4="PV Only",0,BattCalcs!AS255)</f>
        <v>0</v>
      </c>
      <c r="AQ255" s="10">
        <f>IF('PV IN'!$F$4="PV Only",0,BattCalcs!AT255)</f>
        <v>0</v>
      </c>
      <c r="AR255" s="10">
        <f>IF('PV IN'!$F$4="PV Only",0,BattCalcs!AU255)</f>
        <v>0</v>
      </c>
      <c r="AS255" s="144">
        <f>IF('PV IN'!$F$4="PV Only",PVCalcs!X255,IF('PV IN'!$F$4="Battery Only",BattCalcs!AW255,PVCalcs!X255+BattCalcs!AW255))</f>
        <v>0</v>
      </c>
      <c r="AT255" s="144">
        <f>IF('PV IN'!$F$4="Battery Only",0,-PVCalcs!AQ255*'PV IN'!$E$8)</f>
        <v>0</v>
      </c>
      <c r="AU255" s="144">
        <f>IF('PV IN'!$F$4="PV Only",0,-BattCalcs!CG255*'PV IN'!$E$8)</f>
        <v>0</v>
      </c>
      <c r="AV255" s="144">
        <f>IF('PV IN'!$F$4="PV Only",PVCalcs!Z255+PVCalcs!AA255,IF('PV IN'!$F$4="Battery Only",SUM(BattCalcs!BC255:BH255),PVCalcs!Z255+PVCalcs!AA255+SUM(BattCalcs!BC255:BH255)))</f>
        <v>0</v>
      </c>
      <c r="AW255" s="144">
        <f>IF('PV IN'!$F$4="PV Only",SUM(PVCalcs!AF255:AI255),IF('PV IN'!$F$4="Battery Only",SUM(BattCalcs!BL255:BY255),SUM(PVCalcs!AF255:AI255)+SUM(BattCalcs!BL255:BY255)))</f>
        <v>-1375</v>
      </c>
      <c r="AX255" s="144">
        <f>IF('PV IN'!$F$4="Battery Only",0,-PVLoan!F283)</f>
        <v>0</v>
      </c>
      <c r="AY255" s="144">
        <f>IF('PV IN'!$F$4="PV Only",0,-BattLoan!F283)</f>
        <v>0</v>
      </c>
      <c r="AZ255" s="144">
        <f>IF('PV IN'!$F$4="Battery Only",0,-PVLoan!H283)</f>
        <v>0</v>
      </c>
      <c r="BA255" s="144">
        <f>IF('PV IN'!$F$4="PV Only",0,-BattLoan!H283)</f>
        <v>0</v>
      </c>
    </row>
    <row r="256" spans="1:88" x14ac:dyDescent="0.25">
      <c r="A256" t="str">
        <f>IF(C256&lt;='PV IN'!$O$22*12,C256,"")</f>
        <v/>
      </c>
      <c r="B256">
        <f>B244+1</f>
        <v>2046</v>
      </c>
      <c r="C256">
        <v>252</v>
      </c>
      <c r="D256" s="2">
        <f>BattCalcs!CK256+PVCalcs!AT256</f>
        <v>9668.8996001061569</v>
      </c>
      <c r="E256" s="20">
        <f>PVCalcs!AV256</f>
        <v>1487692.7597850338</v>
      </c>
      <c r="F256" s="20">
        <f>PVCalcs!AW256</f>
        <v>3470.577685937988</v>
      </c>
      <c r="G256" s="20" t="e">
        <f>PVCalcs!AX256</f>
        <v>#N/A</v>
      </c>
      <c r="H256" s="20">
        <f>BattCalcs!CM256</f>
        <v>0</v>
      </c>
      <c r="I256" s="20">
        <f>BattCalcs!CN256</f>
        <v>0</v>
      </c>
      <c r="J256" s="20" t="e">
        <f>IF(C256&lt;='Batt IN'!H$43*12,BattCalcs!CO256,NA())</f>
        <v>#N/A</v>
      </c>
      <c r="L256" s="20">
        <f t="shared" si="518"/>
        <v>3470.577685937988</v>
      </c>
      <c r="M256" s="20" t="e">
        <f>G256+BattCalcs!CO256</f>
        <v>#N/A</v>
      </c>
      <c r="O256" s="10" t="str">
        <f>PVLoan!G284</f>
        <v>-</v>
      </c>
      <c r="P256" s="10" t="str">
        <f>PVLoan!J284</f>
        <v>-</v>
      </c>
      <c r="Q256" s="2" t="str">
        <f>BattLoan!G284</f>
        <v>-</v>
      </c>
      <c r="R256" s="10" t="str">
        <f>BattLoan!J284</f>
        <v>-</v>
      </c>
      <c r="T256" s="33">
        <f>IF('PV IN'!$F$4="Battery Only",0,PVCalcs!G256)</f>
        <v>128995.23428264068</v>
      </c>
      <c r="U256" s="33">
        <f>IF('PV IN'!$F$4="Battery Only",0,PVCalcs!M256)</f>
        <v>128995.23428264068</v>
      </c>
      <c r="V256" s="33">
        <f>PVCalcs!L256</f>
        <v>25811.765833333331</v>
      </c>
      <c r="W256" s="158">
        <f>PVCalcs!F256</f>
        <v>8.3376332931343902E-2</v>
      </c>
      <c r="X256" s="144">
        <f>IF('PV IN'!$F$4="Battery Only",0,PVCalcs!Y256+PVCalcs!Z256)</f>
        <v>0</v>
      </c>
      <c r="Y256" s="144">
        <f>IF('PV IN'!$F$4="PV Only",0,BattCalcs!AX256+BattCalcs!BC256)</f>
        <v>0</v>
      </c>
      <c r="Z256" s="144">
        <f>IF('PV IN'!$F$4="PV Only",0,BattCalcs!AY256+BattCalcs!BD256)</f>
        <v>0</v>
      </c>
      <c r="AA256" s="144">
        <f>IF('PV IN'!$F$4="PV Only",0,BattCalcs!AZ256+BattCalcs!BE256)</f>
        <v>0</v>
      </c>
      <c r="AB256" s="144">
        <f>IF('PV IN'!$F$4="PV Only",0,BattCalcs!BA256+BattCalcs!BF256)</f>
        <v>0</v>
      </c>
      <c r="AC256" s="144">
        <f>IF('PV IN'!$F$4="PV Only",0,BattCalcs!BB256+BattCalcs!BG256)</f>
        <v>0</v>
      </c>
      <c r="AD256" s="144">
        <f>IF('PV IN'!$F$4="PV Only",0,BattCalcs!BU256)</f>
        <v>0</v>
      </c>
      <c r="AE256" s="144">
        <f>IF('PV IN'!$F$4="PV Only",PVCalcs!W256+PVCalcs!AA256,IF('PV IN'!$F$4="Battery Only",BattCalcs!AV256+BattCalcs!BH256,PVCalcs!W256+PVCalcs!AA256+BattCalcs!AV256+BattCalcs!BH256))</f>
        <v>0</v>
      </c>
      <c r="AF256" s="10">
        <f>PVCalcs!AC256+BattCalcs!BJ256</f>
        <v>0</v>
      </c>
      <c r="AG256" s="144">
        <f>IF('PV IN'!$F$4="Battery Only",0,PVCalcs!AG256)</f>
        <v>-750</v>
      </c>
      <c r="AH256" s="144">
        <f>IF('PV IN'!$F$4="Battery Only",0,PVCalcs!AI256)</f>
        <v>0</v>
      </c>
      <c r="AI256" s="144">
        <f>IF('PV IN'!$F$4="PV Only",0,BattCalcs!BM256)</f>
        <v>0</v>
      </c>
      <c r="AJ256" s="144">
        <f>IF('PV IN'!$F$4="PV Only",0,SUM(BattCalcs!BO256:BT256))</f>
        <v>0</v>
      </c>
      <c r="AK256" s="144">
        <f>IF('PV IN'!$F$4="PV Only",PVCalcs!AH256,IF('PV IN'!$F$4="Battery Only",BattCalcs!BN256,PVCalcs!AH256+BattCalcs!BN256))</f>
        <v>-625</v>
      </c>
      <c r="AL256" s="144">
        <f>IF('PV IN'!$F$4="PV Only",0,BattCalcs!BV256)</f>
        <v>0</v>
      </c>
      <c r="AM256" s="144">
        <f>IF('PV IN'!$F$4="PV Only",0,SUM(BattCalcs!BW256:BX256))</f>
        <v>0</v>
      </c>
      <c r="AN256" s="144">
        <f>IF('PV IN'!$F$4="PV Only",0,BattCalcs!BY256)</f>
        <v>0</v>
      </c>
      <c r="AO256" s="144">
        <f>IF('PV IN'!$F$4="Battery Only",0,PVCalcs!U256)</f>
        <v>10755.149600106157</v>
      </c>
      <c r="AP256" s="10">
        <f>IF('PV IN'!$F$4="PV Only",0,BattCalcs!AS256)</f>
        <v>0</v>
      </c>
      <c r="AQ256" s="10">
        <f>IF('PV IN'!$F$4="PV Only",0,BattCalcs!AT256)</f>
        <v>0</v>
      </c>
      <c r="AR256" s="10">
        <f>IF('PV IN'!$F$4="PV Only",0,BattCalcs!AU256)</f>
        <v>0</v>
      </c>
      <c r="AS256" s="144">
        <f>IF('PV IN'!$F$4="PV Only",PVCalcs!X256,IF('PV IN'!$F$4="Battery Only",BattCalcs!AW256,PVCalcs!X256+BattCalcs!AW256))</f>
        <v>0</v>
      </c>
      <c r="AT256" s="144">
        <f>IF('PV IN'!$F$4="Battery Only",0,-PVCalcs!AQ256*'PV IN'!$E$8)</f>
        <v>0</v>
      </c>
      <c r="AU256" s="144">
        <f>IF('PV IN'!$F$4="PV Only",0,-BattCalcs!CG256*'PV IN'!$E$8)</f>
        <v>0</v>
      </c>
      <c r="AV256" s="144">
        <f>IF('PV IN'!$F$4="PV Only",PVCalcs!Z256+PVCalcs!AA256,IF('PV IN'!$F$4="Battery Only",SUM(BattCalcs!BC256:BH256),PVCalcs!Z256+PVCalcs!AA256+SUM(BattCalcs!BC256:BH256)))</f>
        <v>0</v>
      </c>
      <c r="AW256" s="144">
        <f>IF('PV IN'!$F$4="PV Only",SUM(PVCalcs!AF256:AI256),IF('PV IN'!$F$4="Battery Only",SUM(BattCalcs!BL256:BY256),SUM(PVCalcs!AF256:AI256)+SUM(BattCalcs!BL256:BY256)))</f>
        <v>-1375</v>
      </c>
      <c r="AX256" s="144">
        <f>IF('PV IN'!$F$4="Battery Only",0,-PVLoan!F284)</f>
        <v>0</v>
      </c>
      <c r="AY256" s="144">
        <f>IF('PV IN'!$F$4="PV Only",0,-BattLoan!F284)</f>
        <v>0</v>
      </c>
      <c r="AZ256" s="144">
        <f>IF('PV IN'!$F$4="Battery Only",0,-PVLoan!H284)</f>
        <v>0</v>
      </c>
      <c r="BA256" s="144">
        <f>IF('PV IN'!$F$4="PV Only",0,-BattLoan!H284)</f>
        <v>0</v>
      </c>
      <c r="BC256" s="33">
        <f t="shared" ref="BC256" si="655">SUM(T245:T256)</f>
        <v>1553635.0367633677</v>
      </c>
      <c r="BD256" s="33">
        <f t="shared" ref="BD256" si="656">SUM(U245:U256)</f>
        <v>1553635.0367633677</v>
      </c>
      <c r="BE256" s="33">
        <f t="shared" ref="BE256" si="657">SUM(V245:V256)</f>
        <v>309741.19</v>
      </c>
      <c r="BF256" s="50">
        <f t="shared" ref="BF256" si="658">W256</f>
        <v>8.3376332931343902E-2</v>
      </c>
      <c r="BG256" s="2">
        <f t="shared" ref="BG256" si="659">SUM(X245:X256)</f>
        <v>0</v>
      </c>
      <c r="BH256" s="2">
        <f t="shared" ref="BH256" si="660">SUM(Y245:Y256)</f>
        <v>0</v>
      </c>
      <c r="BI256" s="2">
        <f t="shared" ref="BI256" si="661">SUM(Z245:Z256)</f>
        <v>0</v>
      </c>
      <c r="BJ256" s="2">
        <f t="shared" ref="BJ256" si="662">SUM(AA245:AA256)</f>
        <v>0</v>
      </c>
      <c r="BK256" s="2">
        <f t="shared" ref="BK256" si="663">SUM(AB245:AB256)</f>
        <v>0</v>
      </c>
      <c r="BL256" s="2">
        <f t="shared" ref="BL256" si="664">SUM(AC245:AC256)</f>
        <v>0</v>
      </c>
      <c r="BM256" s="2">
        <f t="shared" ref="BM256" si="665">SUM(AD245:AD256)</f>
        <v>0</v>
      </c>
      <c r="BN256" s="2">
        <f t="shared" ref="BN256" si="666">SUM(AE245:AE256)</f>
        <v>0</v>
      </c>
      <c r="BO256" s="2">
        <f t="shared" ref="BO256" si="667">SUM(AF245:AF256)</f>
        <v>0</v>
      </c>
      <c r="BP256" s="2">
        <f t="shared" ref="BP256" si="668">SUM(AG245:AG256)</f>
        <v>-9000</v>
      </c>
      <c r="BQ256" s="2">
        <f t="shared" ref="BQ256" si="669">SUM(AH245:AH256)</f>
        <v>0</v>
      </c>
      <c r="BR256" s="2">
        <f t="shared" ref="BR256" si="670">SUM(AI245:AI256)</f>
        <v>0</v>
      </c>
      <c r="BS256" s="2">
        <f t="shared" ref="BS256" si="671">SUM(AJ245:AJ256)</f>
        <v>0</v>
      </c>
      <c r="BT256" s="2">
        <f t="shared" ref="BT256" si="672">SUM(AK245:AK256)</f>
        <v>-7500</v>
      </c>
      <c r="BU256" s="2">
        <f t="shared" ref="BU256" si="673">SUM(AL245:AL256)</f>
        <v>0</v>
      </c>
      <c r="BV256" s="2">
        <f t="shared" ref="BV256" si="674">SUM(AM245:AM256)</f>
        <v>0</v>
      </c>
      <c r="BW256" s="2">
        <f t="shared" ref="BW256" si="675">SUM(AN245:AN256)</f>
        <v>0</v>
      </c>
      <c r="BX256" s="2">
        <f t="shared" ref="BX256" si="676">SUM(AO245:AO256)</f>
        <v>129536.39207898329</v>
      </c>
      <c r="BY256" s="2">
        <f t="shared" ref="BY256" si="677">SUM(AP245:AP256)</f>
        <v>0</v>
      </c>
      <c r="BZ256" s="2">
        <f t="shared" ref="BZ256" si="678">SUM(AQ245:AQ256)</f>
        <v>0</v>
      </c>
      <c r="CA256" s="2">
        <f t="shared" ref="CA256" si="679">SUM(AR245:AR256)</f>
        <v>0</v>
      </c>
      <c r="CB256" s="2">
        <f t="shared" ref="CB256" si="680">SUM(AS245:AS256)</f>
        <v>0</v>
      </c>
      <c r="CC256" s="2">
        <f t="shared" ref="CC256" si="681">SUM(AT245:AT256)</f>
        <v>0</v>
      </c>
      <c r="CD256" s="2">
        <f t="shared" ref="CD256" si="682">SUM(AU245:AU256)</f>
        <v>0</v>
      </c>
      <c r="CE256" s="2">
        <f t="shared" ref="CE256" si="683">SUM(AV245:AV256)</f>
        <v>0</v>
      </c>
      <c r="CF256" s="2">
        <f t="shared" ref="CF256" si="684">SUM(AW245:AW256)</f>
        <v>-16500</v>
      </c>
      <c r="CG256" s="2">
        <f t="shared" ref="CG256" si="685">SUM(AX245:AX256)</f>
        <v>0</v>
      </c>
      <c r="CH256" s="2">
        <f t="shared" ref="CH256" si="686">SUM(AY245:AY256)</f>
        <v>0</v>
      </c>
      <c r="CI256" s="2">
        <f t="shared" ref="CI256" si="687">SUM(AZ245:AZ256)</f>
        <v>0</v>
      </c>
      <c r="CJ256" s="2">
        <f t="shared" ref="CJ256" si="688">SUM(BA245:BA256)</f>
        <v>0</v>
      </c>
    </row>
    <row r="257" spans="1:88" x14ac:dyDescent="0.25">
      <c r="A257" t="str">
        <f>IF(C257&lt;='PV IN'!$O$22*12,C257,"")</f>
        <v/>
      </c>
      <c r="C257">
        <v>253</v>
      </c>
      <c r="D257" s="2">
        <f>BattCalcs!CK257+PVCalcs!AT257</f>
        <v>9650.0243706229812</v>
      </c>
      <c r="E257" s="20">
        <f>PVCalcs!AV257</f>
        <v>1497342.7841556568</v>
      </c>
      <c r="F257" s="20">
        <f>PVCalcs!AW257</f>
        <v>3449.7478666032375</v>
      </c>
      <c r="G257" s="20" t="e">
        <f>PVCalcs!AX257</f>
        <v>#N/A</v>
      </c>
      <c r="H257" s="20">
        <f>BattCalcs!CM257</f>
        <v>0</v>
      </c>
      <c r="I257" s="20">
        <f>BattCalcs!CN257</f>
        <v>0</v>
      </c>
      <c r="J257" s="20" t="e">
        <f>IF(C257&lt;='Batt IN'!H$43*12,BattCalcs!CO257,NA())</f>
        <v>#N/A</v>
      </c>
      <c r="L257" s="20">
        <f t="shared" si="518"/>
        <v>3449.7478666032375</v>
      </c>
      <c r="M257" s="20" t="e">
        <f>G257+BattCalcs!CO257</f>
        <v>#N/A</v>
      </c>
      <c r="O257" s="10" t="str">
        <f>PVLoan!G285</f>
        <v>-</v>
      </c>
      <c r="P257" s="10" t="str">
        <f>PVLoan!J285</f>
        <v>-</v>
      </c>
      <c r="Q257" s="2" t="str">
        <f>BattLoan!G285</f>
        <v>-</v>
      </c>
      <c r="R257" s="10" t="str">
        <f>BattLoan!J285</f>
        <v>-</v>
      </c>
      <c r="T257" s="33">
        <f>IF('PV IN'!$F$4="Battery Only",0,PVCalcs!G257)</f>
        <v>128909.23745978561</v>
      </c>
      <c r="U257" s="33">
        <f>IF('PV IN'!$F$4="Battery Only",0,PVCalcs!M257)</f>
        <v>128909.23745978561</v>
      </c>
      <c r="V257" s="33">
        <f>PVCalcs!L257</f>
        <v>25811.765833333331</v>
      </c>
      <c r="W257" s="158">
        <f>PVCalcs!F257</f>
        <v>8.3285531604918986E-2</v>
      </c>
      <c r="X257" s="144">
        <f>IF('PV IN'!$F$4="Battery Only",0,PVCalcs!Y257+PVCalcs!Z257)</f>
        <v>0</v>
      </c>
      <c r="Y257" s="144">
        <f>IF('PV IN'!$F$4="PV Only",0,BattCalcs!AX257+BattCalcs!BC257)</f>
        <v>0</v>
      </c>
      <c r="Z257" s="144">
        <f>IF('PV IN'!$F$4="PV Only",0,BattCalcs!AY257+BattCalcs!BD257)</f>
        <v>0</v>
      </c>
      <c r="AA257" s="144">
        <f>IF('PV IN'!$F$4="PV Only",0,BattCalcs!AZ257+BattCalcs!BE257)</f>
        <v>0</v>
      </c>
      <c r="AB257" s="144">
        <f>IF('PV IN'!$F$4="PV Only",0,BattCalcs!BA257+BattCalcs!BF257)</f>
        <v>0</v>
      </c>
      <c r="AC257" s="144">
        <f>IF('PV IN'!$F$4="PV Only",0,BattCalcs!BB257+BattCalcs!BG257)</f>
        <v>0</v>
      </c>
      <c r="AD257" s="144">
        <f>IF('PV IN'!$F$4="PV Only",0,BattCalcs!BU257)</f>
        <v>0</v>
      </c>
      <c r="AE257" s="144">
        <f>IF('PV IN'!$F$4="PV Only",PVCalcs!W257+PVCalcs!AA257,IF('PV IN'!$F$4="Battery Only",BattCalcs!AV257+BattCalcs!BH257,PVCalcs!W257+PVCalcs!AA257+BattCalcs!AV257+BattCalcs!BH257))</f>
        <v>0</v>
      </c>
      <c r="AF257" s="10">
        <f>PVCalcs!AC257+BattCalcs!BJ257</f>
        <v>0</v>
      </c>
      <c r="AG257" s="144">
        <f>IF('PV IN'!$F$4="Battery Only",0,PVCalcs!AG257)</f>
        <v>-750</v>
      </c>
      <c r="AH257" s="144">
        <f>IF('PV IN'!$F$4="Battery Only",0,PVCalcs!AI257)</f>
        <v>0</v>
      </c>
      <c r="AI257" s="144">
        <f>IF('PV IN'!$F$4="PV Only",0,BattCalcs!BM257)</f>
        <v>0</v>
      </c>
      <c r="AJ257" s="144">
        <f>IF('PV IN'!$F$4="PV Only",0,SUM(BattCalcs!BO257:BT257))</f>
        <v>0</v>
      </c>
      <c r="AK257" s="144">
        <f>IF('PV IN'!$F$4="PV Only",PVCalcs!AH257,IF('PV IN'!$F$4="Battery Only",BattCalcs!BN257,PVCalcs!AH257+BattCalcs!BN257))</f>
        <v>-625</v>
      </c>
      <c r="AL257" s="144">
        <f>IF('PV IN'!$F$4="PV Only",0,BattCalcs!BV257)</f>
        <v>0</v>
      </c>
      <c r="AM257" s="144">
        <f>IF('PV IN'!$F$4="PV Only",0,SUM(BattCalcs!BW257:BX257))</f>
        <v>0</v>
      </c>
      <c r="AN257" s="144">
        <f>IF('PV IN'!$F$4="PV Only",0,BattCalcs!BY257)</f>
        <v>0</v>
      </c>
      <c r="AO257" s="144">
        <f>IF('PV IN'!$F$4="Battery Only",0,PVCalcs!U257)</f>
        <v>10736.274370622981</v>
      </c>
      <c r="AP257" s="10">
        <f>IF('PV IN'!$F$4="PV Only",0,BattCalcs!AS257)</f>
        <v>0</v>
      </c>
      <c r="AQ257" s="10">
        <f>IF('PV IN'!$F$4="PV Only",0,BattCalcs!AT257)</f>
        <v>0</v>
      </c>
      <c r="AR257" s="10">
        <f>IF('PV IN'!$F$4="PV Only",0,BattCalcs!AU257)</f>
        <v>0</v>
      </c>
      <c r="AS257" s="144">
        <f>IF('PV IN'!$F$4="PV Only",PVCalcs!X257,IF('PV IN'!$F$4="Battery Only",BattCalcs!AW257,PVCalcs!X257+BattCalcs!AW257))</f>
        <v>0</v>
      </c>
      <c r="AT257" s="144">
        <f>IF('PV IN'!$F$4="Battery Only",0,-PVCalcs!AQ257*'PV IN'!$E$8)</f>
        <v>0</v>
      </c>
      <c r="AU257" s="144">
        <f>IF('PV IN'!$F$4="PV Only",0,-BattCalcs!CG257*'PV IN'!$E$8)</f>
        <v>0</v>
      </c>
      <c r="AV257" s="144">
        <f>IF('PV IN'!$F$4="PV Only",PVCalcs!Z257+PVCalcs!AA257,IF('PV IN'!$F$4="Battery Only",SUM(BattCalcs!BC257:BH257),PVCalcs!Z257+PVCalcs!AA257+SUM(BattCalcs!BC257:BH257)))</f>
        <v>0</v>
      </c>
      <c r="AW257" s="144">
        <f>IF('PV IN'!$F$4="PV Only",SUM(PVCalcs!AF257:AI257),IF('PV IN'!$F$4="Battery Only",SUM(BattCalcs!BL257:BY257),SUM(PVCalcs!AF257:AI257)+SUM(BattCalcs!BL257:BY257)))</f>
        <v>-1375</v>
      </c>
      <c r="AX257" s="144">
        <f>IF('PV IN'!$F$4="Battery Only",0,-PVLoan!F285)</f>
        <v>0</v>
      </c>
      <c r="AY257" s="144">
        <f>IF('PV IN'!$F$4="PV Only",0,-BattLoan!F285)</f>
        <v>0</v>
      </c>
      <c r="AZ257" s="144">
        <f>IF('PV IN'!$F$4="Battery Only",0,-PVLoan!H285)</f>
        <v>0</v>
      </c>
      <c r="BA257" s="144">
        <f>IF('PV IN'!$F$4="PV Only",0,-BattLoan!H285)</f>
        <v>0</v>
      </c>
    </row>
    <row r="258" spans="1:88" x14ac:dyDescent="0.25">
      <c r="A258" t="str">
        <f>IF(C258&lt;='PV IN'!$O$22*12,C258,"")</f>
        <v/>
      </c>
      <c r="C258">
        <v>254</v>
      </c>
      <c r="D258" s="2">
        <f>BattCalcs!CK258+PVCalcs!AT258</f>
        <v>9642.8668543758995</v>
      </c>
      <c r="E258" s="20">
        <f>PVCalcs!AV258</f>
        <v>1506985.6510100327</v>
      </c>
      <c r="F258" s="20">
        <f>PVCalcs!AW258</f>
        <v>3433.2018659270784</v>
      </c>
      <c r="G258" s="20" t="e">
        <f>PVCalcs!AX258</f>
        <v>#N/A</v>
      </c>
      <c r="H258" s="20">
        <f>BattCalcs!CM258</f>
        <v>0</v>
      </c>
      <c r="I258" s="20">
        <f>BattCalcs!CN258</f>
        <v>0</v>
      </c>
      <c r="J258" s="20" t="e">
        <f>IF(C258&lt;='Batt IN'!H$43*12,BattCalcs!CO258,NA())</f>
        <v>#N/A</v>
      </c>
      <c r="L258" s="20">
        <f t="shared" si="518"/>
        <v>3433.2018659270784</v>
      </c>
      <c r="M258" s="20" t="e">
        <f>G258+BattCalcs!CO258</f>
        <v>#N/A</v>
      </c>
      <c r="O258" s="10" t="str">
        <f>PVLoan!G286</f>
        <v>-</v>
      </c>
      <c r="P258" s="10" t="str">
        <f>PVLoan!J286</f>
        <v>-</v>
      </c>
      <c r="Q258" s="2" t="str">
        <f>BattLoan!G286</f>
        <v>-</v>
      </c>
      <c r="R258" s="10" t="str">
        <f>BattLoan!J286</f>
        <v>-</v>
      </c>
      <c r="T258" s="33">
        <f>IF('PV IN'!$F$4="Battery Only",0,PVCalcs!G258)</f>
        <v>128823.29796814575</v>
      </c>
      <c r="U258" s="33">
        <f>IF('PV IN'!$F$4="Battery Only",0,PVCalcs!M258)</f>
        <v>128823.29796814575</v>
      </c>
      <c r="V258" s="33">
        <f>PVCalcs!L258</f>
        <v>25811.765833333331</v>
      </c>
      <c r="W258" s="158">
        <f>PVCalcs!F258</f>
        <v>8.3285531604918986E-2</v>
      </c>
      <c r="X258" s="144">
        <f>IF('PV IN'!$F$4="Battery Only",0,PVCalcs!Y258+PVCalcs!Z258)</f>
        <v>0</v>
      </c>
      <c r="Y258" s="144">
        <f>IF('PV IN'!$F$4="PV Only",0,BattCalcs!AX258+BattCalcs!BC258)</f>
        <v>0</v>
      </c>
      <c r="Z258" s="144">
        <f>IF('PV IN'!$F$4="PV Only",0,BattCalcs!AY258+BattCalcs!BD258)</f>
        <v>0</v>
      </c>
      <c r="AA258" s="144">
        <f>IF('PV IN'!$F$4="PV Only",0,BattCalcs!AZ258+BattCalcs!BE258)</f>
        <v>0</v>
      </c>
      <c r="AB258" s="144">
        <f>IF('PV IN'!$F$4="PV Only",0,BattCalcs!BA258+BattCalcs!BF258)</f>
        <v>0</v>
      </c>
      <c r="AC258" s="144">
        <f>IF('PV IN'!$F$4="PV Only",0,BattCalcs!BB258+BattCalcs!BG258)</f>
        <v>0</v>
      </c>
      <c r="AD258" s="144">
        <f>IF('PV IN'!$F$4="PV Only",0,BattCalcs!BU258)</f>
        <v>0</v>
      </c>
      <c r="AE258" s="144">
        <f>IF('PV IN'!$F$4="PV Only",PVCalcs!W258+PVCalcs!AA258,IF('PV IN'!$F$4="Battery Only",BattCalcs!AV258+BattCalcs!BH258,PVCalcs!W258+PVCalcs!AA258+BattCalcs!AV258+BattCalcs!BH258))</f>
        <v>0</v>
      </c>
      <c r="AF258" s="10">
        <f>PVCalcs!AC258+BattCalcs!BJ258</f>
        <v>0</v>
      </c>
      <c r="AG258" s="144">
        <f>IF('PV IN'!$F$4="Battery Only",0,PVCalcs!AG258)</f>
        <v>-750</v>
      </c>
      <c r="AH258" s="144">
        <f>IF('PV IN'!$F$4="Battery Only",0,PVCalcs!AI258)</f>
        <v>0</v>
      </c>
      <c r="AI258" s="144">
        <f>IF('PV IN'!$F$4="PV Only",0,BattCalcs!BM258)</f>
        <v>0</v>
      </c>
      <c r="AJ258" s="144">
        <f>IF('PV IN'!$F$4="PV Only",0,SUM(BattCalcs!BO258:BT258))</f>
        <v>0</v>
      </c>
      <c r="AK258" s="144">
        <f>IF('PV IN'!$F$4="PV Only",PVCalcs!AH258,IF('PV IN'!$F$4="Battery Only",BattCalcs!BN258,PVCalcs!AH258+BattCalcs!BN258))</f>
        <v>-625</v>
      </c>
      <c r="AL258" s="144">
        <f>IF('PV IN'!$F$4="PV Only",0,BattCalcs!BV258)</f>
        <v>0</v>
      </c>
      <c r="AM258" s="144">
        <f>IF('PV IN'!$F$4="PV Only",0,SUM(BattCalcs!BW258:BX258))</f>
        <v>0</v>
      </c>
      <c r="AN258" s="144">
        <f>IF('PV IN'!$F$4="PV Only",0,BattCalcs!BY258)</f>
        <v>0</v>
      </c>
      <c r="AO258" s="144">
        <f>IF('PV IN'!$F$4="Battery Only",0,PVCalcs!U258)</f>
        <v>10729.116854375899</v>
      </c>
      <c r="AP258" s="10">
        <f>IF('PV IN'!$F$4="PV Only",0,BattCalcs!AS258)</f>
        <v>0</v>
      </c>
      <c r="AQ258" s="10">
        <f>IF('PV IN'!$F$4="PV Only",0,BattCalcs!AT258)</f>
        <v>0</v>
      </c>
      <c r="AR258" s="10">
        <f>IF('PV IN'!$F$4="PV Only",0,BattCalcs!AU258)</f>
        <v>0</v>
      </c>
      <c r="AS258" s="144">
        <f>IF('PV IN'!$F$4="PV Only",PVCalcs!X258,IF('PV IN'!$F$4="Battery Only",BattCalcs!AW258,PVCalcs!X258+BattCalcs!AW258))</f>
        <v>0</v>
      </c>
      <c r="AT258" s="144">
        <f>IF('PV IN'!$F$4="Battery Only",0,-PVCalcs!AQ258*'PV IN'!$E$8)</f>
        <v>0</v>
      </c>
      <c r="AU258" s="144">
        <f>IF('PV IN'!$F$4="PV Only",0,-BattCalcs!CG258*'PV IN'!$E$8)</f>
        <v>0</v>
      </c>
      <c r="AV258" s="144">
        <f>IF('PV IN'!$F$4="PV Only",PVCalcs!Z258+PVCalcs!AA258,IF('PV IN'!$F$4="Battery Only",SUM(BattCalcs!BC258:BH258),PVCalcs!Z258+PVCalcs!AA258+SUM(BattCalcs!BC258:BH258)))</f>
        <v>0</v>
      </c>
      <c r="AW258" s="144">
        <f>IF('PV IN'!$F$4="PV Only",SUM(PVCalcs!AF258:AI258),IF('PV IN'!$F$4="Battery Only",SUM(BattCalcs!BL258:BY258),SUM(PVCalcs!AF258:AI258)+SUM(BattCalcs!BL258:BY258)))</f>
        <v>-1375</v>
      </c>
      <c r="AX258" s="144">
        <f>IF('PV IN'!$F$4="Battery Only",0,-PVLoan!F286)</f>
        <v>0</v>
      </c>
      <c r="AY258" s="144">
        <f>IF('PV IN'!$F$4="PV Only",0,-BattLoan!F286)</f>
        <v>0</v>
      </c>
      <c r="AZ258" s="144">
        <f>IF('PV IN'!$F$4="Battery Only",0,-PVLoan!H286)</f>
        <v>0</v>
      </c>
      <c r="BA258" s="144">
        <f>IF('PV IN'!$F$4="PV Only",0,-BattLoan!H286)</f>
        <v>0</v>
      </c>
    </row>
    <row r="259" spans="1:88" x14ac:dyDescent="0.25">
      <c r="A259" t="str">
        <f>IF(C259&lt;='PV IN'!$O$22*12,C259,"")</f>
        <v/>
      </c>
      <c r="C259">
        <v>255</v>
      </c>
      <c r="D259" s="2">
        <f>BattCalcs!CK259+PVCalcs!AT259</f>
        <v>9635.7141098063112</v>
      </c>
      <c r="E259" s="20">
        <f>PVCalcs!AV259</f>
        <v>1516621.3651198391</v>
      </c>
      <c r="F259" s="20">
        <f>PVCalcs!AW259</f>
        <v>3416.7350342556942</v>
      </c>
      <c r="G259" s="20" t="e">
        <f>PVCalcs!AX259</f>
        <v>#N/A</v>
      </c>
      <c r="H259" s="20">
        <f>BattCalcs!CM259</f>
        <v>0</v>
      </c>
      <c r="I259" s="20">
        <f>BattCalcs!CN259</f>
        <v>0</v>
      </c>
      <c r="J259" s="20" t="e">
        <f>IF(C259&lt;='Batt IN'!H$43*12,BattCalcs!CO259,NA())</f>
        <v>#N/A</v>
      </c>
      <c r="L259" s="20">
        <f t="shared" si="518"/>
        <v>3416.7350342556942</v>
      </c>
      <c r="M259" s="20" t="e">
        <f>G259+BattCalcs!CO259</f>
        <v>#N/A</v>
      </c>
      <c r="O259" s="10" t="str">
        <f>PVLoan!G287</f>
        <v>-</v>
      </c>
      <c r="P259" s="10" t="str">
        <f>PVLoan!J287</f>
        <v>-</v>
      </c>
      <c r="Q259" s="2" t="str">
        <f>BattLoan!G287</f>
        <v>-</v>
      </c>
      <c r="R259" s="10" t="str">
        <f>BattLoan!J287</f>
        <v>-</v>
      </c>
      <c r="T259" s="33">
        <f>IF('PV IN'!$F$4="Battery Only",0,PVCalcs!G259)</f>
        <v>128737.41576950028</v>
      </c>
      <c r="U259" s="33">
        <f>IF('PV IN'!$F$4="Battery Only",0,PVCalcs!M259)</f>
        <v>128737.41576950028</v>
      </c>
      <c r="V259" s="33">
        <f>PVCalcs!L259</f>
        <v>25811.765833333331</v>
      </c>
      <c r="W259" s="158">
        <f>PVCalcs!F259</f>
        <v>8.3285531604918986E-2</v>
      </c>
      <c r="X259" s="144">
        <f>IF('PV IN'!$F$4="Battery Only",0,PVCalcs!Y259+PVCalcs!Z259)</f>
        <v>0</v>
      </c>
      <c r="Y259" s="144">
        <f>IF('PV IN'!$F$4="PV Only",0,BattCalcs!AX259+BattCalcs!BC259)</f>
        <v>0</v>
      </c>
      <c r="Z259" s="144">
        <f>IF('PV IN'!$F$4="PV Only",0,BattCalcs!AY259+BattCalcs!BD259)</f>
        <v>0</v>
      </c>
      <c r="AA259" s="144">
        <f>IF('PV IN'!$F$4="PV Only",0,BattCalcs!AZ259+BattCalcs!BE259)</f>
        <v>0</v>
      </c>
      <c r="AB259" s="144">
        <f>IF('PV IN'!$F$4="PV Only",0,BattCalcs!BA259+BattCalcs!BF259)</f>
        <v>0</v>
      </c>
      <c r="AC259" s="144">
        <f>IF('PV IN'!$F$4="PV Only",0,BattCalcs!BB259+BattCalcs!BG259)</f>
        <v>0</v>
      </c>
      <c r="AD259" s="144">
        <f>IF('PV IN'!$F$4="PV Only",0,BattCalcs!BU259)</f>
        <v>0</v>
      </c>
      <c r="AE259" s="144">
        <f>IF('PV IN'!$F$4="PV Only",PVCalcs!W259+PVCalcs!AA259,IF('PV IN'!$F$4="Battery Only",BattCalcs!AV259+BattCalcs!BH259,PVCalcs!W259+PVCalcs!AA259+BattCalcs!AV259+BattCalcs!BH259))</f>
        <v>0</v>
      </c>
      <c r="AF259" s="10">
        <f>PVCalcs!AC259+BattCalcs!BJ259</f>
        <v>0</v>
      </c>
      <c r="AG259" s="144">
        <f>IF('PV IN'!$F$4="Battery Only",0,PVCalcs!AG259)</f>
        <v>-750</v>
      </c>
      <c r="AH259" s="144">
        <f>IF('PV IN'!$F$4="Battery Only",0,PVCalcs!AI259)</f>
        <v>0</v>
      </c>
      <c r="AI259" s="144">
        <f>IF('PV IN'!$F$4="PV Only",0,BattCalcs!BM259)</f>
        <v>0</v>
      </c>
      <c r="AJ259" s="144">
        <f>IF('PV IN'!$F$4="PV Only",0,SUM(BattCalcs!BO259:BT259))</f>
        <v>0</v>
      </c>
      <c r="AK259" s="144">
        <f>IF('PV IN'!$F$4="PV Only",PVCalcs!AH259,IF('PV IN'!$F$4="Battery Only",BattCalcs!BN259,PVCalcs!AH259+BattCalcs!BN259))</f>
        <v>-625</v>
      </c>
      <c r="AL259" s="144">
        <f>IF('PV IN'!$F$4="PV Only",0,BattCalcs!BV259)</f>
        <v>0</v>
      </c>
      <c r="AM259" s="144">
        <f>IF('PV IN'!$F$4="PV Only",0,SUM(BattCalcs!BW259:BX259))</f>
        <v>0</v>
      </c>
      <c r="AN259" s="144">
        <f>IF('PV IN'!$F$4="PV Only",0,BattCalcs!BY259)</f>
        <v>0</v>
      </c>
      <c r="AO259" s="144">
        <f>IF('PV IN'!$F$4="Battery Only",0,PVCalcs!U259)</f>
        <v>10721.964109806311</v>
      </c>
      <c r="AP259" s="10">
        <f>IF('PV IN'!$F$4="PV Only",0,BattCalcs!AS259)</f>
        <v>0</v>
      </c>
      <c r="AQ259" s="10">
        <f>IF('PV IN'!$F$4="PV Only",0,BattCalcs!AT259)</f>
        <v>0</v>
      </c>
      <c r="AR259" s="10">
        <f>IF('PV IN'!$F$4="PV Only",0,BattCalcs!AU259)</f>
        <v>0</v>
      </c>
      <c r="AS259" s="144">
        <f>IF('PV IN'!$F$4="PV Only",PVCalcs!X259,IF('PV IN'!$F$4="Battery Only",BattCalcs!AW259,PVCalcs!X259+BattCalcs!AW259))</f>
        <v>0</v>
      </c>
      <c r="AT259" s="144">
        <f>IF('PV IN'!$F$4="Battery Only",0,-PVCalcs!AQ259*'PV IN'!$E$8)</f>
        <v>0</v>
      </c>
      <c r="AU259" s="144">
        <f>IF('PV IN'!$F$4="PV Only",0,-BattCalcs!CG259*'PV IN'!$E$8)</f>
        <v>0</v>
      </c>
      <c r="AV259" s="144">
        <f>IF('PV IN'!$F$4="PV Only",PVCalcs!Z259+PVCalcs!AA259,IF('PV IN'!$F$4="Battery Only",SUM(BattCalcs!BC259:BH259),PVCalcs!Z259+PVCalcs!AA259+SUM(BattCalcs!BC259:BH259)))</f>
        <v>0</v>
      </c>
      <c r="AW259" s="144">
        <f>IF('PV IN'!$F$4="PV Only",SUM(PVCalcs!AF259:AI259),IF('PV IN'!$F$4="Battery Only",SUM(BattCalcs!BL259:BY259),SUM(PVCalcs!AF259:AI259)+SUM(BattCalcs!BL259:BY259)))</f>
        <v>-1375</v>
      </c>
      <c r="AX259" s="144">
        <f>IF('PV IN'!$F$4="Battery Only",0,-PVLoan!F287)</f>
        <v>0</v>
      </c>
      <c r="AY259" s="144">
        <f>IF('PV IN'!$F$4="PV Only",0,-BattLoan!F287)</f>
        <v>0</v>
      </c>
      <c r="AZ259" s="144">
        <f>IF('PV IN'!$F$4="Battery Only",0,-PVLoan!H287)</f>
        <v>0</v>
      </c>
      <c r="BA259" s="144">
        <f>IF('PV IN'!$F$4="PV Only",0,-BattLoan!H287)</f>
        <v>0</v>
      </c>
    </row>
    <row r="260" spans="1:88" x14ac:dyDescent="0.25">
      <c r="A260" t="str">
        <f>IF(C260&lt;='PV IN'!$O$22*12,C260,"")</f>
        <v/>
      </c>
      <c r="C260">
        <v>256</v>
      </c>
      <c r="D260" s="2">
        <f>BattCalcs!CK260+PVCalcs!AT260</f>
        <v>9628.5661337331076</v>
      </c>
      <c r="E260" s="20">
        <f>PVCalcs!AV260</f>
        <v>1526249.9312535722</v>
      </c>
      <c r="F260" s="20">
        <f>PVCalcs!AW260</f>
        <v>3400.3469935434264</v>
      </c>
      <c r="G260" s="20" t="e">
        <f>PVCalcs!AX260</f>
        <v>#N/A</v>
      </c>
      <c r="H260" s="20">
        <f>BattCalcs!CM260</f>
        <v>0</v>
      </c>
      <c r="I260" s="20">
        <f>BattCalcs!CN260</f>
        <v>0</v>
      </c>
      <c r="J260" s="20" t="e">
        <f>IF(C260&lt;='Batt IN'!H$43*12,BattCalcs!CO260,NA())</f>
        <v>#N/A</v>
      </c>
      <c r="L260" s="20">
        <f t="shared" si="518"/>
        <v>3400.3469935434264</v>
      </c>
      <c r="M260" s="20" t="e">
        <f>G260+BattCalcs!CO260</f>
        <v>#N/A</v>
      </c>
      <c r="O260" s="10" t="str">
        <f>PVLoan!G288</f>
        <v>-</v>
      </c>
      <c r="P260" s="10" t="str">
        <f>PVLoan!J288</f>
        <v>-</v>
      </c>
      <c r="Q260" s="2" t="str">
        <f>BattLoan!G288</f>
        <v>-</v>
      </c>
      <c r="R260" s="10" t="str">
        <f>BattLoan!J288</f>
        <v>-</v>
      </c>
      <c r="T260" s="33">
        <f>IF('PV IN'!$F$4="Battery Only",0,PVCalcs!G260)</f>
        <v>128651.59082565396</v>
      </c>
      <c r="U260" s="33">
        <f>IF('PV IN'!$F$4="Battery Only",0,PVCalcs!M260)</f>
        <v>128651.59082565396</v>
      </c>
      <c r="V260" s="33">
        <f>PVCalcs!L260</f>
        <v>25811.765833333331</v>
      </c>
      <c r="W260" s="158">
        <f>PVCalcs!F260</f>
        <v>8.3285531604918986E-2</v>
      </c>
      <c r="X260" s="144">
        <f>IF('PV IN'!$F$4="Battery Only",0,PVCalcs!Y260+PVCalcs!Z260)</f>
        <v>0</v>
      </c>
      <c r="Y260" s="144">
        <f>IF('PV IN'!$F$4="PV Only",0,BattCalcs!AX260+BattCalcs!BC260)</f>
        <v>0</v>
      </c>
      <c r="Z260" s="144">
        <f>IF('PV IN'!$F$4="PV Only",0,BattCalcs!AY260+BattCalcs!BD260)</f>
        <v>0</v>
      </c>
      <c r="AA260" s="144">
        <f>IF('PV IN'!$F$4="PV Only",0,BattCalcs!AZ260+BattCalcs!BE260)</f>
        <v>0</v>
      </c>
      <c r="AB260" s="144">
        <f>IF('PV IN'!$F$4="PV Only",0,BattCalcs!BA260+BattCalcs!BF260)</f>
        <v>0</v>
      </c>
      <c r="AC260" s="144">
        <f>IF('PV IN'!$F$4="PV Only",0,BattCalcs!BB260+BattCalcs!BG260)</f>
        <v>0</v>
      </c>
      <c r="AD260" s="144">
        <f>IF('PV IN'!$F$4="PV Only",0,BattCalcs!BU260)</f>
        <v>0</v>
      </c>
      <c r="AE260" s="144">
        <f>IF('PV IN'!$F$4="PV Only",PVCalcs!W260+PVCalcs!AA260,IF('PV IN'!$F$4="Battery Only",BattCalcs!AV260+BattCalcs!BH260,PVCalcs!W260+PVCalcs!AA260+BattCalcs!AV260+BattCalcs!BH260))</f>
        <v>0</v>
      </c>
      <c r="AF260" s="10">
        <f>PVCalcs!AC260+BattCalcs!BJ260</f>
        <v>0</v>
      </c>
      <c r="AG260" s="144">
        <f>IF('PV IN'!$F$4="Battery Only",0,PVCalcs!AG260)</f>
        <v>-750</v>
      </c>
      <c r="AH260" s="144">
        <f>IF('PV IN'!$F$4="Battery Only",0,PVCalcs!AI260)</f>
        <v>0</v>
      </c>
      <c r="AI260" s="144">
        <f>IF('PV IN'!$F$4="PV Only",0,BattCalcs!BM260)</f>
        <v>0</v>
      </c>
      <c r="AJ260" s="144">
        <f>IF('PV IN'!$F$4="PV Only",0,SUM(BattCalcs!BO260:BT260))</f>
        <v>0</v>
      </c>
      <c r="AK260" s="144">
        <f>IF('PV IN'!$F$4="PV Only",PVCalcs!AH260,IF('PV IN'!$F$4="Battery Only",BattCalcs!BN260,PVCalcs!AH260+BattCalcs!BN260))</f>
        <v>-625</v>
      </c>
      <c r="AL260" s="144">
        <f>IF('PV IN'!$F$4="PV Only",0,BattCalcs!BV260)</f>
        <v>0</v>
      </c>
      <c r="AM260" s="144">
        <f>IF('PV IN'!$F$4="PV Only",0,SUM(BattCalcs!BW260:BX260))</f>
        <v>0</v>
      </c>
      <c r="AN260" s="144">
        <f>IF('PV IN'!$F$4="PV Only",0,BattCalcs!BY260)</f>
        <v>0</v>
      </c>
      <c r="AO260" s="144">
        <f>IF('PV IN'!$F$4="Battery Only",0,PVCalcs!U260)</f>
        <v>10714.816133733108</v>
      </c>
      <c r="AP260" s="10">
        <f>IF('PV IN'!$F$4="PV Only",0,BattCalcs!AS260)</f>
        <v>0</v>
      </c>
      <c r="AQ260" s="10">
        <f>IF('PV IN'!$F$4="PV Only",0,BattCalcs!AT260)</f>
        <v>0</v>
      </c>
      <c r="AR260" s="10">
        <f>IF('PV IN'!$F$4="PV Only",0,BattCalcs!AU260)</f>
        <v>0</v>
      </c>
      <c r="AS260" s="144">
        <f>IF('PV IN'!$F$4="PV Only",PVCalcs!X260,IF('PV IN'!$F$4="Battery Only",BattCalcs!AW260,PVCalcs!X260+BattCalcs!AW260))</f>
        <v>0</v>
      </c>
      <c r="AT260" s="144">
        <f>IF('PV IN'!$F$4="Battery Only",0,-PVCalcs!AQ260*'PV IN'!$E$8)</f>
        <v>0</v>
      </c>
      <c r="AU260" s="144">
        <f>IF('PV IN'!$F$4="PV Only",0,-BattCalcs!CG260*'PV IN'!$E$8)</f>
        <v>0</v>
      </c>
      <c r="AV260" s="144">
        <f>IF('PV IN'!$F$4="PV Only",PVCalcs!Z260+PVCalcs!AA260,IF('PV IN'!$F$4="Battery Only",SUM(BattCalcs!BC260:BH260),PVCalcs!Z260+PVCalcs!AA260+SUM(BattCalcs!BC260:BH260)))</f>
        <v>0</v>
      </c>
      <c r="AW260" s="144">
        <f>IF('PV IN'!$F$4="PV Only",SUM(PVCalcs!AF260:AI260),IF('PV IN'!$F$4="Battery Only",SUM(BattCalcs!BL260:BY260),SUM(PVCalcs!AF260:AI260)+SUM(BattCalcs!BL260:BY260)))</f>
        <v>-1375</v>
      </c>
      <c r="AX260" s="144">
        <f>IF('PV IN'!$F$4="Battery Only",0,-PVLoan!F288)</f>
        <v>0</v>
      </c>
      <c r="AY260" s="144">
        <f>IF('PV IN'!$F$4="PV Only",0,-BattLoan!F288)</f>
        <v>0</v>
      </c>
      <c r="AZ260" s="144">
        <f>IF('PV IN'!$F$4="Battery Only",0,-PVLoan!H288)</f>
        <v>0</v>
      </c>
      <c r="BA260" s="144">
        <f>IF('PV IN'!$F$4="PV Only",0,-BattLoan!H288)</f>
        <v>0</v>
      </c>
    </row>
    <row r="261" spans="1:88" x14ac:dyDescent="0.25">
      <c r="A261" t="str">
        <f>IF(C261&lt;='PV IN'!$O$22*12,C261,"")</f>
        <v/>
      </c>
      <c r="C261">
        <v>257</v>
      </c>
      <c r="D261" s="2">
        <f>BattCalcs!CK261+PVCalcs!AT261</f>
        <v>9621.4229229772845</v>
      </c>
      <c r="E261" s="20">
        <f>PVCalcs!AV261</f>
        <v>1535871.3541765495</v>
      </c>
      <c r="F261" s="20">
        <f>PVCalcs!AW261</f>
        <v>3384.0373675467977</v>
      </c>
      <c r="G261" s="20" t="e">
        <f>PVCalcs!AX261</f>
        <v>#N/A</v>
      </c>
      <c r="H261" s="20">
        <f>BattCalcs!CM261</f>
        <v>0</v>
      </c>
      <c r="I261" s="20">
        <f>BattCalcs!CN261</f>
        <v>0</v>
      </c>
      <c r="J261" s="20" t="e">
        <f>IF(C261&lt;='Batt IN'!H$43*12,BattCalcs!CO261,NA())</f>
        <v>#N/A</v>
      </c>
      <c r="L261" s="20">
        <f t="shared" ref="L261:L304" si="689">F261+I261</f>
        <v>3384.0373675467977</v>
      </c>
      <c r="M261" s="20" t="e">
        <f>G261+BattCalcs!CO261</f>
        <v>#N/A</v>
      </c>
      <c r="O261" s="10" t="str">
        <f>PVLoan!G289</f>
        <v>-</v>
      </c>
      <c r="P261" s="10" t="str">
        <f>PVLoan!J289</f>
        <v>-</v>
      </c>
      <c r="Q261" s="2" t="str">
        <f>BattLoan!G289</f>
        <v>-</v>
      </c>
      <c r="R261" s="10" t="str">
        <f>BattLoan!J289</f>
        <v>-</v>
      </c>
      <c r="T261" s="33">
        <f>IF('PV IN'!$F$4="Battery Only",0,PVCalcs!G261)</f>
        <v>128565.82309843684</v>
      </c>
      <c r="U261" s="33">
        <f>IF('PV IN'!$F$4="Battery Only",0,PVCalcs!M261)</f>
        <v>128565.82309843684</v>
      </c>
      <c r="V261" s="33">
        <f>PVCalcs!L261</f>
        <v>25811.765833333331</v>
      </c>
      <c r="W261" s="158">
        <f>PVCalcs!F261</f>
        <v>8.3285531604918986E-2</v>
      </c>
      <c r="X261" s="144">
        <f>IF('PV IN'!$F$4="Battery Only",0,PVCalcs!Y261+PVCalcs!Z261)</f>
        <v>0</v>
      </c>
      <c r="Y261" s="144">
        <f>IF('PV IN'!$F$4="PV Only",0,BattCalcs!AX261+BattCalcs!BC261)</f>
        <v>0</v>
      </c>
      <c r="Z261" s="144">
        <f>IF('PV IN'!$F$4="PV Only",0,BattCalcs!AY261+BattCalcs!BD261)</f>
        <v>0</v>
      </c>
      <c r="AA261" s="144">
        <f>IF('PV IN'!$F$4="PV Only",0,BattCalcs!AZ261+BattCalcs!BE261)</f>
        <v>0</v>
      </c>
      <c r="AB261" s="144">
        <f>IF('PV IN'!$F$4="PV Only",0,BattCalcs!BA261+BattCalcs!BF261)</f>
        <v>0</v>
      </c>
      <c r="AC261" s="144">
        <f>IF('PV IN'!$F$4="PV Only",0,BattCalcs!BB261+BattCalcs!BG261)</f>
        <v>0</v>
      </c>
      <c r="AD261" s="144">
        <f>IF('PV IN'!$F$4="PV Only",0,BattCalcs!BU261)</f>
        <v>0</v>
      </c>
      <c r="AE261" s="144">
        <f>IF('PV IN'!$F$4="PV Only",PVCalcs!W261+PVCalcs!AA261,IF('PV IN'!$F$4="Battery Only",BattCalcs!AV261+BattCalcs!BH261,PVCalcs!W261+PVCalcs!AA261+BattCalcs!AV261+BattCalcs!BH261))</f>
        <v>0</v>
      </c>
      <c r="AF261" s="10">
        <f>PVCalcs!AC261+BattCalcs!BJ261</f>
        <v>0</v>
      </c>
      <c r="AG261" s="144">
        <f>IF('PV IN'!$F$4="Battery Only",0,PVCalcs!AG261)</f>
        <v>-750</v>
      </c>
      <c r="AH261" s="144">
        <f>IF('PV IN'!$F$4="Battery Only",0,PVCalcs!AI261)</f>
        <v>0</v>
      </c>
      <c r="AI261" s="144">
        <f>IF('PV IN'!$F$4="PV Only",0,BattCalcs!BM261)</f>
        <v>0</v>
      </c>
      <c r="AJ261" s="144">
        <f>IF('PV IN'!$F$4="PV Only",0,SUM(BattCalcs!BO261:BT261))</f>
        <v>0</v>
      </c>
      <c r="AK261" s="144">
        <f>IF('PV IN'!$F$4="PV Only",PVCalcs!AH261,IF('PV IN'!$F$4="Battery Only",BattCalcs!BN261,PVCalcs!AH261+BattCalcs!BN261))</f>
        <v>-625</v>
      </c>
      <c r="AL261" s="144">
        <f>IF('PV IN'!$F$4="PV Only",0,BattCalcs!BV261)</f>
        <v>0</v>
      </c>
      <c r="AM261" s="144">
        <f>IF('PV IN'!$F$4="PV Only",0,SUM(BattCalcs!BW261:BX261))</f>
        <v>0</v>
      </c>
      <c r="AN261" s="144">
        <f>IF('PV IN'!$F$4="PV Only",0,BattCalcs!BY261)</f>
        <v>0</v>
      </c>
      <c r="AO261" s="144">
        <f>IF('PV IN'!$F$4="Battery Only",0,PVCalcs!U261)</f>
        <v>10707.672922977285</v>
      </c>
      <c r="AP261" s="10">
        <f>IF('PV IN'!$F$4="PV Only",0,BattCalcs!AS261)</f>
        <v>0</v>
      </c>
      <c r="AQ261" s="10">
        <f>IF('PV IN'!$F$4="PV Only",0,BattCalcs!AT261)</f>
        <v>0</v>
      </c>
      <c r="AR261" s="10">
        <f>IF('PV IN'!$F$4="PV Only",0,BattCalcs!AU261)</f>
        <v>0</v>
      </c>
      <c r="AS261" s="144">
        <f>IF('PV IN'!$F$4="PV Only",PVCalcs!X261,IF('PV IN'!$F$4="Battery Only",BattCalcs!AW261,PVCalcs!X261+BattCalcs!AW261))</f>
        <v>0</v>
      </c>
      <c r="AT261" s="144">
        <f>IF('PV IN'!$F$4="Battery Only",0,-PVCalcs!AQ261*'PV IN'!$E$8)</f>
        <v>0</v>
      </c>
      <c r="AU261" s="144">
        <f>IF('PV IN'!$F$4="PV Only",0,-BattCalcs!CG261*'PV IN'!$E$8)</f>
        <v>0</v>
      </c>
      <c r="AV261" s="144">
        <f>IF('PV IN'!$F$4="PV Only",PVCalcs!Z261+PVCalcs!AA261,IF('PV IN'!$F$4="Battery Only",SUM(BattCalcs!BC261:BH261),PVCalcs!Z261+PVCalcs!AA261+SUM(BattCalcs!BC261:BH261)))</f>
        <v>0</v>
      </c>
      <c r="AW261" s="144">
        <f>IF('PV IN'!$F$4="PV Only",SUM(PVCalcs!AF261:AI261),IF('PV IN'!$F$4="Battery Only",SUM(BattCalcs!BL261:BY261),SUM(PVCalcs!AF261:AI261)+SUM(BattCalcs!BL261:BY261)))</f>
        <v>-1375</v>
      </c>
      <c r="AX261" s="144">
        <f>IF('PV IN'!$F$4="Battery Only",0,-PVLoan!F289)</f>
        <v>0</v>
      </c>
      <c r="AY261" s="144">
        <f>IF('PV IN'!$F$4="PV Only",0,-BattLoan!F289)</f>
        <v>0</v>
      </c>
      <c r="AZ261" s="144">
        <f>IF('PV IN'!$F$4="Battery Only",0,-PVLoan!H289)</f>
        <v>0</v>
      </c>
      <c r="BA261" s="144">
        <f>IF('PV IN'!$F$4="PV Only",0,-BattLoan!H289)</f>
        <v>0</v>
      </c>
    </row>
    <row r="262" spans="1:88" x14ac:dyDescent="0.25">
      <c r="A262" t="str">
        <f>IF(C262&lt;='PV IN'!$O$22*12,C262,"")</f>
        <v/>
      </c>
      <c r="C262">
        <v>258</v>
      </c>
      <c r="D262" s="2">
        <f>BattCalcs!CK262+PVCalcs!AT262</f>
        <v>9614.2844743619662</v>
      </c>
      <c r="E262" s="20">
        <f>PVCalcs!AV262</f>
        <v>1545485.6386509114</v>
      </c>
      <c r="F262" s="20">
        <f>PVCalcs!AW262</f>
        <v>3367.8057818159427</v>
      </c>
      <c r="G262" s="20" t="e">
        <f>PVCalcs!AX262</f>
        <v>#N/A</v>
      </c>
      <c r="H262" s="20">
        <f>BattCalcs!CM262</f>
        <v>0</v>
      </c>
      <c r="I262" s="20">
        <f>BattCalcs!CN262</f>
        <v>0</v>
      </c>
      <c r="J262" s="20" t="e">
        <f>IF(C262&lt;='Batt IN'!H$43*12,BattCalcs!CO262,NA())</f>
        <v>#N/A</v>
      </c>
      <c r="L262" s="20">
        <f t="shared" si="689"/>
        <v>3367.8057818159427</v>
      </c>
      <c r="M262" s="20" t="e">
        <f>G262+BattCalcs!CO262</f>
        <v>#N/A</v>
      </c>
      <c r="O262" s="10" t="str">
        <f>PVLoan!G290</f>
        <v>-</v>
      </c>
      <c r="P262" s="10" t="str">
        <f>PVLoan!J290</f>
        <v>-</v>
      </c>
      <c r="Q262" s="2" t="str">
        <f>BattLoan!G290</f>
        <v>-</v>
      </c>
      <c r="R262" s="10" t="str">
        <f>BattLoan!J290</f>
        <v>-</v>
      </c>
      <c r="T262" s="33">
        <f>IF('PV IN'!$F$4="Battery Only",0,PVCalcs!G262)</f>
        <v>128480.11254970454</v>
      </c>
      <c r="U262" s="33">
        <f>IF('PV IN'!$F$4="Battery Only",0,PVCalcs!M262)</f>
        <v>128480.11254970454</v>
      </c>
      <c r="V262" s="33">
        <f>PVCalcs!L262</f>
        <v>25811.765833333331</v>
      </c>
      <c r="W262" s="158">
        <f>PVCalcs!F262</f>
        <v>8.3285531604918986E-2</v>
      </c>
      <c r="X262" s="144">
        <f>IF('PV IN'!$F$4="Battery Only",0,PVCalcs!Y262+PVCalcs!Z262)</f>
        <v>0</v>
      </c>
      <c r="Y262" s="144">
        <f>IF('PV IN'!$F$4="PV Only",0,BattCalcs!AX262+BattCalcs!BC262)</f>
        <v>0</v>
      </c>
      <c r="Z262" s="144">
        <f>IF('PV IN'!$F$4="PV Only",0,BattCalcs!AY262+BattCalcs!BD262)</f>
        <v>0</v>
      </c>
      <c r="AA262" s="144">
        <f>IF('PV IN'!$F$4="PV Only",0,BattCalcs!AZ262+BattCalcs!BE262)</f>
        <v>0</v>
      </c>
      <c r="AB262" s="144">
        <f>IF('PV IN'!$F$4="PV Only",0,BattCalcs!BA262+BattCalcs!BF262)</f>
        <v>0</v>
      </c>
      <c r="AC262" s="144">
        <f>IF('PV IN'!$F$4="PV Only",0,BattCalcs!BB262+BattCalcs!BG262)</f>
        <v>0</v>
      </c>
      <c r="AD262" s="144">
        <f>IF('PV IN'!$F$4="PV Only",0,BattCalcs!BU262)</f>
        <v>0</v>
      </c>
      <c r="AE262" s="144">
        <f>IF('PV IN'!$F$4="PV Only",PVCalcs!W262+PVCalcs!AA262,IF('PV IN'!$F$4="Battery Only",BattCalcs!AV262+BattCalcs!BH262,PVCalcs!W262+PVCalcs!AA262+BattCalcs!AV262+BattCalcs!BH262))</f>
        <v>0</v>
      </c>
      <c r="AF262" s="10">
        <f>PVCalcs!AC262+BattCalcs!BJ262</f>
        <v>0</v>
      </c>
      <c r="AG262" s="144">
        <f>IF('PV IN'!$F$4="Battery Only",0,PVCalcs!AG262)</f>
        <v>-750</v>
      </c>
      <c r="AH262" s="144">
        <f>IF('PV IN'!$F$4="Battery Only",0,PVCalcs!AI262)</f>
        <v>0</v>
      </c>
      <c r="AI262" s="144">
        <f>IF('PV IN'!$F$4="PV Only",0,BattCalcs!BM262)</f>
        <v>0</v>
      </c>
      <c r="AJ262" s="144">
        <f>IF('PV IN'!$F$4="PV Only",0,SUM(BattCalcs!BO262:BT262))</f>
        <v>0</v>
      </c>
      <c r="AK262" s="144">
        <f>IF('PV IN'!$F$4="PV Only",PVCalcs!AH262,IF('PV IN'!$F$4="Battery Only",BattCalcs!BN262,PVCalcs!AH262+BattCalcs!BN262))</f>
        <v>-625</v>
      </c>
      <c r="AL262" s="144">
        <f>IF('PV IN'!$F$4="PV Only",0,BattCalcs!BV262)</f>
        <v>0</v>
      </c>
      <c r="AM262" s="144">
        <f>IF('PV IN'!$F$4="PV Only",0,SUM(BattCalcs!BW262:BX262))</f>
        <v>0</v>
      </c>
      <c r="AN262" s="144">
        <f>IF('PV IN'!$F$4="PV Only",0,BattCalcs!BY262)</f>
        <v>0</v>
      </c>
      <c r="AO262" s="144">
        <f>IF('PV IN'!$F$4="Battery Only",0,PVCalcs!U262)</f>
        <v>10700.534474361966</v>
      </c>
      <c r="AP262" s="10">
        <f>IF('PV IN'!$F$4="PV Only",0,BattCalcs!AS262)</f>
        <v>0</v>
      </c>
      <c r="AQ262" s="10">
        <f>IF('PV IN'!$F$4="PV Only",0,BattCalcs!AT262)</f>
        <v>0</v>
      </c>
      <c r="AR262" s="10">
        <f>IF('PV IN'!$F$4="PV Only",0,BattCalcs!AU262)</f>
        <v>0</v>
      </c>
      <c r="AS262" s="144">
        <f>IF('PV IN'!$F$4="PV Only",PVCalcs!X262,IF('PV IN'!$F$4="Battery Only",BattCalcs!AW262,PVCalcs!X262+BattCalcs!AW262))</f>
        <v>0</v>
      </c>
      <c r="AT262" s="144">
        <f>IF('PV IN'!$F$4="Battery Only",0,-PVCalcs!AQ262*'PV IN'!$E$8)</f>
        <v>0</v>
      </c>
      <c r="AU262" s="144">
        <f>IF('PV IN'!$F$4="PV Only",0,-BattCalcs!CG262*'PV IN'!$E$8)</f>
        <v>0</v>
      </c>
      <c r="AV262" s="144">
        <f>IF('PV IN'!$F$4="PV Only",PVCalcs!Z262+PVCalcs!AA262,IF('PV IN'!$F$4="Battery Only",SUM(BattCalcs!BC262:BH262),PVCalcs!Z262+PVCalcs!AA262+SUM(BattCalcs!BC262:BH262)))</f>
        <v>0</v>
      </c>
      <c r="AW262" s="144">
        <f>IF('PV IN'!$F$4="PV Only",SUM(PVCalcs!AF262:AI262),IF('PV IN'!$F$4="Battery Only",SUM(BattCalcs!BL262:BY262),SUM(PVCalcs!AF262:AI262)+SUM(BattCalcs!BL262:BY262)))</f>
        <v>-1375</v>
      </c>
      <c r="AX262" s="144">
        <f>IF('PV IN'!$F$4="Battery Only",0,-PVLoan!F290)</f>
        <v>0</v>
      </c>
      <c r="AY262" s="144">
        <f>IF('PV IN'!$F$4="PV Only",0,-BattLoan!F290)</f>
        <v>0</v>
      </c>
      <c r="AZ262" s="144">
        <f>IF('PV IN'!$F$4="Battery Only",0,-PVLoan!H290)</f>
        <v>0</v>
      </c>
      <c r="BA262" s="144">
        <f>IF('PV IN'!$F$4="PV Only",0,-BattLoan!H290)</f>
        <v>0</v>
      </c>
    </row>
    <row r="263" spans="1:88" x14ac:dyDescent="0.25">
      <c r="A263" t="str">
        <f>IF(C263&lt;='PV IN'!$O$22*12,C263,"")</f>
        <v/>
      </c>
      <c r="C263">
        <v>259</v>
      </c>
      <c r="D263" s="2">
        <f>BattCalcs!CK263+PVCalcs!AT263</f>
        <v>9607.1507847123903</v>
      </c>
      <c r="E263" s="20">
        <f>PVCalcs!AV263</f>
        <v>1555092.7894356237</v>
      </c>
      <c r="F263" s="20">
        <f>PVCalcs!AW263</f>
        <v>3351.6518636860628</v>
      </c>
      <c r="G263" s="20" t="e">
        <f>PVCalcs!AX263</f>
        <v>#N/A</v>
      </c>
      <c r="H263" s="20">
        <f>BattCalcs!CM263</f>
        <v>0</v>
      </c>
      <c r="I263" s="20">
        <f>BattCalcs!CN263</f>
        <v>0</v>
      </c>
      <c r="J263" s="20" t="e">
        <f>IF(C263&lt;='Batt IN'!H$43*12,BattCalcs!CO263,NA())</f>
        <v>#N/A</v>
      </c>
      <c r="L263" s="20">
        <f t="shared" si="689"/>
        <v>3351.6518636860628</v>
      </c>
      <c r="M263" s="20" t="e">
        <f>G263+BattCalcs!CO263</f>
        <v>#N/A</v>
      </c>
      <c r="O263" s="10" t="str">
        <f>PVLoan!G291</f>
        <v>-</v>
      </c>
      <c r="P263" s="10" t="str">
        <f>PVLoan!J291</f>
        <v>-</v>
      </c>
      <c r="Q263" s="2" t="str">
        <f>BattLoan!G291</f>
        <v>-</v>
      </c>
      <c r="R263" s="10" t="str">
        <f>BattLoan!J291</f>
        <v>-</v>
      </c>
      <c r="T263" s="33">
        <f>IF('PV IN'!$F$4="Battery Only",0,PVCalcs!G263)</f>
        <v>128394.45914133807</v>
      </c>
      <c r="U263" s="33">
        <f>IF('PV IN'!$F$4="Battery Only",0,PVCalcs!M263)</f>
        <v>128394.45914133807</v>
      </c>
      <c r="V263" s="33">
        <f>PVCalcs!L263</f>
        <v>25811.765833333331</v>
      </c>
      <c r="W263" s="158">
        <f>PVCalcs!F263</f>
        <v>8.3285531604918986E-2</v>
      </c>
      <c r="X263" s="144">
        <f>IF('PV IN'!$F$4="Battery Only",0,PVCalcs!Y263+PVCalcs!Z263)</f>
        <v>0</v>
      </c>
      <c r="Y263" s="144">
        <f>IF('PV IN'!$F$4="PV Only",0,BattCalcs!AX263+BattCalcs!BC263)</f>
        <v>0</v>
      </c>
      <c r="Z263" s="144">
        <f>IF('PV IN'!$F$4="PV Only",0,BattCalcs!AY263+BattCalcs!BD263)</f>
        <v>0</v>
      </c>
      <c r="AA263" s="144">
        <f>IF('PV IN'!$F$4="PV Only",0,BattCalcs!AZ263+BattCalcs!BE263)</f>
        <v>0</v>
      </c>
      <c r="AB263" s="144">
        <f>IF('PV IN'!$F$4="PV Only",0,BattCalcs!BA263+BattCalcs!BF263)</f>
        <v>0</v>
      </c>
      <c r="AC263" s="144">
        <f>IF('PV IN'!$F$4="PV Only",0,BattCalcs!BB263+BattCalcs!BG263)</f>
        <v>0</v>
      </c>
      <c r="AD263" s="144">
        <f>IF('PV IN'!$F$4="PV Only",0,BattCalcs!BU263)</f>
        <v>0</v>
      </c>
      <c r="AE263" s="144">
        <f>IF('PV IN'!$F$4="PV Only",PVCalcs!W263+PVCalcs!AA263,IF('PV IN'!$F$4="Battery Only",BattCalcs!AV263+BattCalcs!BH263,PVCalcs!W263+PVCalcs!AA263+BattCalcs!AV263+BattCalcs!BH263))</f>
        <v>0</v>
      </c>
      <c r="AF263" s="10">
        <f>PVCalcs!AC263+BattCalcs!BJ263</f>
        <v>0</v>
      </c>
      <c r="AG263" s="144">
        <f>IF('PV IN'!$F$4="Battery Only",0,PVCalcs!AG263)</f>
        <v>-750</v>
      </c>
      <c r="AH263" s="144">
        <f>IF('PV IN'!$F$4="Battery Only",0,PVCalcs!AI263)</f>
        <v>0</v>
      </c>
      <c r="AI263" s="144">
        <f>IF('PV IN'!$F$4="PV Only",0,BattCalcs!BM263)</f>
        <v>0</v>
      </c>
      <c r="AJ263" s="144">
        <f>IF('PV IN'!$F$4="PV Only",0,SUM(BattCalcs!BO263:BT263))</f>
        <v>0</v>
      </c>
      <c r="AK263" s="144">
        <f>IF('PV IN'!$F$4="PV Only",PVCalcs!AH263,IF('PV IN'!$F$4="Battery Only",BattCalcs!BN263,PVCalcs!AH263+BattCalcs!BN263))</f>
        <v>-625</v>
      </c>
      <c r="AL263" s="144">
        <f>IF('PV IN'!$F$4="PV Only",0,BattCalcs!BV263)</f>
        <v>0</v>
      </c>
      <c r="AM263" s="144">
        <f>IF('PV IN'!$F$4="PV Only",0,SUM(BattCalcs!BW263:BX263))</f>
        <v>0</v>
      </c>
      <c r="AN263" s="144">
        <f>IF('PV IN'!$F$4="PV Only",0,BattCalcs!BY263)</f>
        <v>0</v>
      </c>
      <c r="AO263" s="144">
        <f>IF('PV IN'!$F$4="Battery Only",0,PVCalcs!U263)</f>
        <v>10693.40078471239</v>
      </c>
      <c r="AP263" s="10">
        <f>IF('PV IN'!$F$4="PV Only",0,BattCalcs!AS263)</f>
        <v>0</v>
      </c>
      <c r="AQ263" s="10">
        <f>IF('PV IN'!$F$4="PV Only",0,BattCalcs!AT263)</f>
        <v>0</v>
      </c>
      <c r="AR263" s="10">
        <f>IF('PV IN'!$F$4="PV Only",0,BattCalcs!AU263)</f>
        <v>0</v>
      </c>
      <c r="AS263" s="144">
        <f>IF('PV IN'!$F$4="PV Only",PVCalcs!X263,IF('PV IN'!$F$4="Battery Only",BattCalcs!AW263,PVCalcs!X263+BattCalcs!AW263))</f>
        <v>0</v>
      </c>
      <c r="AT263" s="144">
        <f>IF('PV IN'!$F$4="Battery Only",0,-PVCalcs!AQ263*'PV IN'!$E$8)</f>
        <v>0</v>
      </c>
      <c r="AU263" s="144">
        <f>IF('PV IN'!$F$4="PV Only",0,-BattCalcs!CG263*'PV IN'!$E$8)</f>
        <v>0</v>
      </c>
      <c r="AV263" s="144">
        <f>IF('PV IN'!$F$4="PV Only",PVCalcs!Z263+PVCalcs!AA263,IF('PV IN'!$F$4="Battery Only",SUM(BattCalcs!BC263:BH263),PVCalcs!Z263+PVCalcs!AA263+SUM(BattCalcs!BC263:BH263)))</f>
        <v>0</v>
      </c>
      <c r="AW263" s="144">
        <f>IF('PV IN'!$F$4="PV Only",SUM(PVCalcs!AF263:AI263),IF('PV IN'!$F$4="Battery Only",SUM(BattCalcs!BL263:BY263),SUM(PVCalcs!AF263:AI263)+SUM(BattCalcs!BL263:BY263)))</f>
        <v>-1375</v>
      </c>
      <c r="AX263" s="144">
        <f>IF('PV IN'!$F$4="Battery Only",0,-PVLoan!F291)</f>
        <v>0</v>
      </c>
      <c r="AY263" s="144">
        <f>IF('PV IN'!$F$4="PV Only",0,-BattLoan!F291)</f>
        <v>0</v>
      </c>
      <c r="AZ263" s="144">
        <f>IF('PV IN'!$F$4="Battery Only",0,-PVLoan!H291)</f>
        <v>0</v>
      </c>
      <c r="BA263" s="144">
        <f>IF('PV IN'!$F$4="PV Only",0,-BattLoan!H291)</f>
        <v>0</v>
      </c>
    </row>
    <row r="264" spans="1:88" x14ac:dyDescent="0.25">
      <c r="A264" t="str">
        <f>IF(C264&lt;='PV IN'!$O$22*12,C264,"")</f>
        <v/>
      </c>
      <c r="C264">
        <v>260</v>
      </c>
      <c r="D264" s="2">
        <f>BattCalcs!CK264+PVCalcs!AT264</f>
        <v>9600.0218508559155</v>
      </c>
      <c r="E264" s="20">
        <f>PVCalcs!AV264</f>
        <v>1564692.8112864797</v>
      </c>
      <c r="F264" s="20">
        <f>PVCalcs!AW264</f>
        <v>3335.5752422689361</v>
      </c>
      <c r="G264" s="20" t="e">
        <f>PVCalcs!AX264</f>
        <v>#N/A</v>
      </c>
      <c r="H264" s="20">
        <f>BattCalcs!CM264</f>
        <v>0</v>
      </c>
      <c r="I264" s="20">
        <f>BattCalcs!CN264</f>
        <v>0</v>
      </c>
      <c r="J264" s="20" t="e">
        <f>IF(C264&lt;='Batt IN'!H$43*12,BattCalcs!CO264,NA())</f>
        <v>#N/A</v>
      </c>
      <c r="L264" s="20">
        <f t="shared" si="689"/>
        <v>3335.5752422689361</v>
      </c>
      <c r="M264" s="20" t="e">
        <f>G264+BattCalcs!CO264</f>
        <v>#N/A</v>
      </c>
      <c r="O264" s="10" t="str">
        <f>PVLoan!G292</f>
        <v>-</v>
      </c>
      <c r="P264" s="10" t="str">
        <f>PVLoan!J292</f>
        <v>-</v>
      </c>
      <c r="Q264" s="2" t="str">
        <f>BattLoan!G292</f>
        <v>-</v>
      </c>
      <c r="R264" s="10" t="str">
        <f>BattLoan!J292</f>
        <v>-</v>
      </c>
      <c r="T264" s="33">
        <f>IF('PV IN'!$F$4="Battery Only",0,PVCalcs!G264)</f>
        <v>128308.86283524384</v>
      </c>
      <c r="U264" s="33">
        <f>IF('PV IN'!$F$4="Battery Only",0,PVCalcs!M264)</f>
        <v>128308.86283524384</v>
      </c>
      <c r="V264" s="33">
        <f>PVCalcs!L264</f>
        <v>25811.765833333331</v>
      </c>
      <c r="W264" s="158">
        <f>PVCalcs!F264</f>
        <v>8.3285531604918986E-2</v>
      </c>
      <c r="X264" s="144">
        <f>IF('PV IN'!$F$4="Battery Only",0,PVCalcs!Y264+PVCalcs!Z264)</f>
        <v>0</v>
      </c>
      <c r="Y264" s="144">
        <f>IF('PV IN'!$F$4="PV Only",0,BattCalcs!AX264+BattCalcs!BC264)</f>
        <v>0</v>
      </c>
      <c r="Z264" s="144">
        <f>IF('PV IN'!$F$4="PV Only",0,BattCalcs!AY264+BattCalcs!BD264)</f>
        <v>0</v>
      </c>
      <c r="AA264" s="144">
        <f>IF('PV IN'!$F$4="PV Only",0,BattCalcs!AZ264+BattCalcs!BE264)</f>
        <v>0</v>
      </c>
      <c r="AB264" s="144">
        <f>IF('PV IN'!$F$4="PV Only",0,BattCalcs!BA264+BattCalcs!BF264)</f>
        <v>0</v>
      </c>
      <c r="AC264" s="144">
        <f>IF('PV IN'!$F$4="PV Only",0,BattCalcs!BB264+BattCalcs!BG264)</f>
        <v>0</v>
      </c>
      <c r="AD264" s="144">
        <f>IF('PV IN'!$F$4="PV Only",0,BattCalcs!BU264)</f>
        <v>0</v>
      </c>
      <c r="AE264" s="144">
        <f>IF('PV IN'!$F$4="PV Only",PVCalcs!W264+PVCalcs!AA264,IF('PV IN'!$F$4="Battery Only",BattCalcs!AV264+BattCalcs!BH264,PVCalcs!W264+PVCalcs!AA264+BattCalcs!AV264+BattCalcs!BH264))</f>
        <v>0</v>
      </c>
      <c r="AF264" s="10">
        <f>PVCalcs!AC264+BattCalcs!BJ264</f>
        <v>0</v>
      </c>
      <c r="AG264" s="144">
        <f>IF('PV IN'!$F$4="Battery Only",0,PVCalcs!AG264)</f>
        <v>-750</v>
      </c>
      <c r="AH264" s="144">
        <f>IF('PV IN'!$F$4="Battery Only",0,PVCalcs!AI264)</f>
        <v>0</v>
      </c>
      <c r="AI264" s="144">
        <f>IF('PV IN'!$F$4="PV Only",0,BattCalcs!BM264)</f>
        <v>0</v>
      </c>
      <c r="AJ264" s="144">
        <f>IF('PV IN'!$F$4="PV Only",0,SUM(BattCalcs!BO264:BT264))</f>
        <v>0</v>
      </c>
      <c r="AK264" s="144">
        <f>IF('PV IN'!$F$4="PV Only",PVCalcs!AH264,IF('PV IN'!$F$4="Battery Only",BattCalcs!BN264,PVCalcs!AH264+BattCalcs!BN264))</f>
        <v>-625</v>
      </c>
      <c r="AL264" s="144">
        <f>IF('PV IN'!$F$4="PV Only",0,BattCalcs!BV264)</f>
        <v>0</v>
      </c>
      <c r="AM264" s="144">
        <f>IF('PV IN'!$F$4="PV Only",0,SUM(BattCalcs!BW264:BX264))</f>
        <v>0</v>
      </c>
      <c r="AN264" s="144">
        <f>IF('PV IN'!$F$4="PV Only",0,BattCalcs!BY264)</f>
        <v>0</v>
      </c>
      <c r="AO264" s="144">
        <f>IF('PV IN'!$F$4="Battery Only",0,PVCalcs!U264)</f>
        <v>10686.271850855916</v>
      </c>
      <c r="AP264" s="10">
        <f>IF('PV IN'!$F$4="PV Only",0,BattCalcs!AS264)</f>
        <v>0</v>
      </c>
      <c r="AQ264" s="10">
        <f>IF('PV IN'!$F$4="PV Only",0,BattCalcs!AT264)</f>
        <v>0</v>
      </c>
      <c r="AR264" s="10">
        <f>IF('PV IN'!$F$4="PV Only",0,BattCalcs!AU264)</f>
        <v>0</v>
      </c>
      <c r="AS264" s="144">
        <f>IF('PV IN'!$F$4="PV Only",PVCalcs!X264,IF('PV IN'!$F$4="Battery Only",BattCalcs!AW264,PVCalcs!X264+BattCalcs!AW264))</f>
        <v>0</v>
      </c>
      <c r="AT264" s="144">
        <f>IF('PV IN'!$F$4="Battery Only",0,-PVCalcs!AQ264*'PV IN'!$E$8)</f>
        <v>0</v>
      </c>
      <c r="AU264" s="144">
        <f>IF('PV IN'!$F$4="PV Only",0,-BattCalcs!CG264*'PV IN'!$E$8)</f>
        <v>0</v>
      </c>
      <c r="AV264" s="144">
        <f>IF('PV IN'!$F$4="PV Only",PVCalcs!Z264+PVCalcs!AA264,IF('PV IN'!$F$4="Battery Only",SUM(BattCalcs!BC264:BH264),PVCalcs!Z264+PVCalcs!AA264+SUM(BattCalcs!BC264:BH264)))</f>
        <v>0</v>
      </c>
      <c r="AW264" s="144">
        <f>IF('PV IN'!$F$4="PV Only",SUM(PVCalcs!AF264:AI264),IF('PV IN'!$F$4="Battery Only",SUM(BattCalcs!BL264:BY264),SUM(PVCalcs!AF264:AI264)+SUM(BattCalcs!BL264:BY264)))</f>
        <v>-1375</v>
      </c>
      <c r="AX264" s="144">
        <f>IF('PV IN'!$F$4="Battery Only",0,-PVLoan!F292)</f>
        <v>0</v>
      </c>
      <c r="AY264" s="144">
        <f>IF('PV IN'!$F$4="PV Only",0,-BattLoan!F292)</f>
        <v>0</v>
      </c>
      <c r="AZ264" s="144">
        <f>IF('PV IN'!$F$4="Battery Only",0,-PVLoan!H292)</f>
        <v>0</v>
      </c>
      <c r="BA264" s="144">
        <f>IF('PV IN'!$F$4="PV Only",0,-BattLoan!H292)</f>
        <v>0</v>
      </c>
    </row>
    <row r="265" spans="1:88" x14ac:dyDescent="0.25">
      <c r="A265" t="str">
        <f>IF(C265&lt;='PV IN'!$O$22*12,C265,"")</f>
        <v/>
      </c>
      <c r="C265">
        <v>261</v>
      </c>
      <c r="D265" s="2">
        <f>BattCalcs!CK265+PVCalcs!AT265</f>
        <v>9592.8976696220125</v>
      </c>
      <c r="E265" s="20">
        <f>PVCalcs!AV265</f>
        <v>1574285.7089561017</v>
      </c>
      <c r="F265" s="20">
        <f>PVCalcs!AW265</f>
        <v>3319.5755484444508</v>
      </c>
      <c r="G265" s="20" t="e">
        <f>PVCalcs!AX265</f>
        <v>#N/A</v>
      </c>
      <c r="H265" s="20">
        <f>BattCalcs!CM265</f>
        <v>0</v>
      </c>
      <c r="I265" s="20">
        <f>BattCalcs!CN265</f>
        <v>0</v>
      </c>
      <c r="J265" s="20" t="e">
        <f>IF(C265&lt;='Batt IN'!H$43*12,BattCalcs!CO265,NA())</f>
        <v>#N/A</v>
      </c>
      <c r="L265" s="20">
        <f t="shared" si="689"/>
        <v>3319.5755484444508</v>
      </c>
      <c r="M265" s="20" t="e">
        <f>G265+BattCalcs!CO265</f>
        <v>#N/A</v>
      </c>
      <c r="O265" s="10" t="str">
        <f>PVLoan!G293</f>
        <v>-</v>
      </c>
      <c r="P265" s="10" t="str">
        <f>PVLoan!J293</f>
        <v>-</v>
      </c>
      <c r="Q265" s="2" t="str">
        <f>BattLoan!G293</f>
        <v>-</v>
      </c>
      <c r="R265" s="10" t="str">
        <f>BattLoan!J293</f>
        <v>-</v>
      </c>
      <c r="T265" s="33">
        <f>IF('PV IN'!$F$4="Battery Only",0,PVCalcs!G265)</f>
        <v>128223.32359335369</v>
      </c>
      <c r="U265" s="33">
        <f>IF('PV IN'!$F$4="Battery Only",0,PVCalcs!M265)</f>
        <v>128223.32359335369</v>
      </c>
      <c r="V265" s="33">
        <f>PVCalcs!L265</f>
        <v>25811.765833333331</v>
      </c>
      <c r="W265" s="158">
        <f>PVCalcs!F265</f>
        <v>8.3285531604918986E-2</v>
      </c>
      <c r="X265" s="144">
        <f>IF('PV IN'!$F$4="Battery Only",0,PVCalcs!Y265+PVCalcs!Z265)</f>
        <v>0</v>
      </c>
      <c r="Y265" s="144">
        <f>IF('PV IN'!$F$4="PV Only",0,BattCalcs!AX265+BattCalcs!BC265)</f>
        <v>0</v>
      </c>
      <c r="Z265" s="144">
        <f>IF('PV IN'!$F$4="PV Only",0,BattCalcs!AY265+BattCalcs!BD265)</f>
        <v>0</v>
      </c>
      <c r="AA265" s="144">
        <f>IF('PV IN'!$F$4="PV Only",0,BattCalcs!AZ265+BattCalcs!BE265)</f>
        <v>0</v>
      </c>
      <c r="AB265" s="144">
        <f>IF('PV IN'!$F$4="PV Only",0,BattCalcs!BA265+BattCalcs!BF265)</f>
        <v>0</v>
      </c>
      <c r="AC265" s="144">
        <f>IF('PV IN'!$F$4="PV Only",0,BattCalcs!BB265+BattCalcs!BG265)</f>
        <v>0</v>
      </c>
      <c r="AD265" s="144">
        <f>IF('PV IN'!$F$4="PV Only",0,BattCalcs!BU265)</f>
        <v>0</v>
      </c>
      <c r="AE265" s="144">
        <f>IF('PV IN'!$F$4="PV Only",PVCalcs!W265+PVCalcs!AA265,IF('PV IN'!$F$4="Battery Only",BattCalcs!AV265+BattCalcs!BH265,PVCalcs!W265+PVCalcs!AA265+BattCalcs!AV265+BattCalcs!BH265))</f>
        <v>0</v>
      </c>
      <c r="AF265" s="10">
        <f>PVCalcs!AC265+BattCalcs!BJ265</f>
        <v>0</v>
      </c>
      <c r="AG265" s="144">
        <f>IF('PV IN'!$F$4="Battery Only",0,PVCalcs!AG265)</f>
        <v>-750</v>
      </c>
      <c r="AH265" s="144">
        <f>IF('PV IN'!$F$4="Battery Only",0,PVCalcs!AI265)</f>
        <v>0</v>
      </c>
      <c r="AI265" s="144">
        <f>IF('PV IN'!$F$4="PV Only",0,BattCalcs!BM265)</f>
        <v>0</v>
      </c>
      <c r="AJ265" s="144">
        <f>IF('PV IN'!$F$4="PV Only",0,SUM(BattCalcs!BO265:BT265))</f>
        <v>0</v>
      </c>
      <c r="AK265" s="144">
        <f>IF('PV IN'!$F$4="PV Only",PVCalcs!AH265,IF('PV IN'!$F$4="Battery Only",BattCalcs!BN265,PVCalcs!AH265+BattCalcs!BN265))</f>
        <v>-625</v>
      </c>
      <c r="AL265" s="144">
        <f>IF('PV IN'!$F$4="PV Only",0,BattCalcs!BV265)</f>
        <v>0</v>
      </c>
      <c r="AM265" s="144">
        <f>IF('PV IN'!$F$4="PV Only",0,SUM(BattCalcs!BW265:BX265))</f>
        <v>0</v>
      </c>
      <c r="AN265" s="144">
        <f>IF('PV IN'!$F$4="PV Only",0,BattCalcs!BY265)</f>
        <v>0</v>
      </c>
      <c r="AO265" s="144">
        <f>IF('PV IN'!$F$4="Battery Only",0,PVCalcs!U265)</f>
        <v>10679.147669622012</v>
      </c>
      <c r="AP265" s="10">
        <f>IF('PV IN'!$F$4="PV Only",0,BattCalcs!AS265)</f>
        <v>0</v>
      </c>
      <c r="AQ265" s="10">
        <f>IF('PV IN'!$F$4="PV Only",0,BattCalcs!AT265)</f>
        <v>0</v>
      </c>
      <c r="AR265" s="10">
        <f>IF('PV IN'!$F$4="PV Only",0,BattCalcs!AU265)</f>
        <v>0</v>
      </c>
      <c r="AS265" s="144">
        <f>IF('PV IN'!$F$4="PV Only",PVCalcs!X265,IF('PV IN'!$F$4="Battery Only",BattCalcs!AW265,PVCalcs!X265+BattCalcs!AW265))</f>
        <v>0</v>
      </c>
      <c r="AT265" s="144">
        <f>IF('PV IN'!$F$4="Battery Only",0,-PVCalcs!AQ265*'PV IN'!$E$8)</f>
        <v>0</v>
      </c>
      <c r="AU265" s="144">
        <f>IF('PV IN'!$F$4="PV Only",0,-BattCalcs!CG265*'PV IN'!$E$8)</f>
        <v>0</v>
      </c>
      <c r="AV265" s="144">
        <f>IF('PV IN'!$F$4="PV Only",PVCalcs!Z265+PVCalcs!AA265,IF('PV IN'!$F$4="Battery Only",SUM(BattCalcs!BC265:BH265),PVCalcs!Z265+PVCalcs!AA265+SUM(BattCalcs!BC265:BH265)))</f>
        <v>0</v>
      </c>
      <c r="AW265" s="144">
        <f>IF('PV IN'!$F$4="PV Only",SUM(PVCalcs!AF265:AI265),IF('PV IN'!$F$4="Battery Only",SUM(BattCalcs!BL265:BY265),SUM(PVCalcs!AF265:AI265)+SUM(BattCalcs!BL265:BY265)))</f>
        <v>-1375</v>
      </c>
      <c r="AX265" s="144">
        <f>IF('PV IN'!$F$4="Battery Only",0,-PVLoan!F293)</f>
        <v>0</v>
      </c>
      <c r="AY265" s="144">
        <f>IF('PV IN'!$F$4="PV Only",0,-BattLoan!F293)</f>
        <v>0</v>
      </c>
      <c r="AZ265" s="144">
        <f>IF('PV IN'!$F$4="Battery Only",0,-PVLoan!H293)</f>
        <v>0</v>
      </c>
      <c r="BA265" s="144">
        <f>IF('PV IN'!$F$4="PV Only",0,-BattLoan!H293)</f>
        <v>0</v>
      </c>
    </row>
    <row r="266" spans="1:88" x14ac:dyDescent="0.25">
      <c r="A266" t="str">
        <f>IF(C266&lt;='PV IN'!$O$22*12,C266,"")</f>
        <v/>
      </c>
      <c r="C266">
        <v>262</v>
      </c>
      <c r="D266" s="2">
        <f>BattCalcs!CK266+PVCalcs!AT266</f>
        <v>9585.7782378422635</v>
      </c>
      <c r="E266" s="20">
        <f>PVCalcs!AV266</f>
        <v>1583871.4871939439</v>
      </c>
      <c r="F266" s="20">
        <f>PVCalcs!AW266</f>
        <v>3303.6524148521962</v>
      </c>
      <c r="G266" s="20" t="e">
        <f>PVCalcs!AX266</f>
        <v>#N/A</v>
      </c>
      <c r="H266" s="20">
        <f>BattCalcs!CM266</f>
        <v>0</v>
      </c>
      <c r="I266" s="20">
        <f>BattCalcs!CN266</f>
        <v>0</v>
      </c>
      <c r="J266" s="20" t="e">
        <f>IF(C266&lt;='Batt IN'!H$43*12,BattCalcs!CO266,NA())</f>
        <v>#N/A</v>
      </c>
      <c r="L266" s="20">
        <f t="shared" si="689"/>
        <v>3303.6524148521962</v>
      </c>
      <c r="M266" s="20" t="e">
        <f>G266+BattCalcs!CO266</f>
        <v>#N/A</v>
      </c>
      <c r="O266" s="10" t="str">
        <f>PVLoan!G294</f>
        <v>-</v>
      </c>
      <c r="P266" s="10" t="str">
        <f>PVLoan!J294</f>
        <v>-</v>
      </c>
      <c r="Q266" s="2" t="str">
        <f>BattLoan!G294</f>
        <v>-</v>
      </c>
      <c r="R266" s="10" t="str">
        <f>BattLoan!J294</f>
        <v>-</v>
      </c>
      <c r="T266" s="33">
        <f>IF('PV IN'!$F$4="Battery Only",0,PVCalcs!G266)</f>
        <v>128137.84137762476</v>
      </c>
      <c r="U266" s="33">
        <f>IF('PV IN'!$F$4="Battery Only",0,PVCalcs!M266)</f>
        <v>128137.84137762476</v>
      </c>
      <c r="V266" s="33">
        <f>PVCalcs!L266</f>
        <v>25811.765833333331</v>
      </c>
      <c r="W266" s="158">
        <f>PVCalcs!F266</f>
        <v>8.3285531604918986E-2</v>
      </c>
      <c r="X266" s="144">
        <f>IF('PV IN'!$F$4="Battery Only",0,PVCalcs!Y266+PVCalcs!Z266)</f>
        <v>0</v>
      </c>
      <c r="Y266" s="144">
        <f>IF('PV IN'!$F$4="PV Only",0,BattCalcs!AX266+BattCalcs!BC266)</f>
        <v>0</v>
      </c>
      <c r="Z266" s="144">
        <f>IF('PV IN'!$F$4="PV Only",0,BattCalcs!AY266+BattCalcs!BD266)</f>
        <v>0</v>
      </c>
      <c r="AA266" s="144">
        <f>IF('PV IN'!$F$4="PV Only",0,BattCalcs!AZ266+BattCalcs!BE266)</f>
        <v>0</v>
      </c>
      <c r="AB266" s="144">
        <f>IF('PV IN'!$F$4="PV Only",0,BattCalcs!BA266+BattCalcs!BF266)</f>
        <v>0</v>
      </c>
      <c r="AC266" s="144">
        <f>IF('PV IN'!$F$4="PV Only",0,BattCalcs!BB266+BattCalcs!BG266)</f>
        <v>0</v>
      </c>
      <c r="AD266" s="144">
        <f>IF('PV IN'!$F$4="PV Only",0,BattCalcs!BU266)</f>
        <v>0</v>
      </c>
      <c r="AE266" s="144">
        <f>IF('PV IN'!$F$4="PV Only",PVCalcs!W266+PVCalcs!AA266,IF('PV IN'!$F$4="Battery Only",BattCalcs!AV266+BattCalcs!BH266,PVCalcs!W266+PVCalcs!AA266+BattCalcs!AV266+BattCalcs!BH266))</f>
        <v>0</v>
      </c>
      <c r="AF266" s="10">
        <f>PVCalcs!AC266+BattCalcs!BJ266</f>
        <v>0</v>
      </c>
      <c r="AG266" s="144">
        <f>IF('PV IN'!$F$4="Battery Only",0,PVCalcs!AG266)</f>
        <v>-750</v>
      </c>
      <c r="AH266" s="144">
        <f>IF('PV IN'!$F$4="Battery Only",0,PVCalcs!AI266)</f>
        <v>0</v>
      </c>
      <c r="AI266" s="144">
        <f>IF('PV IN'!$F$4="PV Only",0,BattCalcs!BM266)</f>
        <v>0</v>
      </c>
      <c r="AJ266" s="144">
        <f>IF('PV IN'!$F$4="PV Only",0,SUM(BattCalcs!BO266:BT266))</f>
        <v>0</v>
      </c>
      <c r="AK266" s="144">
        <f>IF('PV IN'!$F$4="PV Only",PVCalcs!AH266,IF('PV IN'!$F$4="Battery Only",BattCalcs!BN266,PVCalcs!AH266+BattCalcs!BN266))</f>
        <v>-625</v>
      </c>
      <c r="AL266" s="144">
        <f>IF('PV IN'!$F$4="PV Only",0,BattCalcs!BV266)</f>
        <v>0</v>
      </c>
      <c r="AM266" s="144">
        <f>IF('PV IN'!$F$4="PV Only",0,SUM(BattCalcs!BW266:BX266))</f>
        <v>0</v>
      </c>
      <c r="AN266" s="144">
        <f>IF('PV IN'!$F$4="PV Only",0,BattCalcs!BY266)</f>
        <v>0</v>
      </c>
      <c r="AO266" s="144">
        <f>IF('PV IN'!$F$4="Battery Only",0,PVCalcs!U266)</f>
        <v>10672.028237842263</v>
      </c>
      <c r="AP266" s="10">
        <f>IF('PV IN'!$F$4="PV Only",0,BattCalcs!AS266)</f>
        <v>0</v>
      </c>
      <c r="AQ266" s="10">
        <f>IF('PV IN'!$F$4="PV Only",0,BattCalcs!AT266)</f>
        <v>0</v>
      </c>
      <c r="AR266" s="10">
        <f>IF('PV IN'!$F$4="PV Only",0,BattCalcs!AU266)</f>
        <v>0</v>
      </c>
      <c r="AS266" s="144">
        <f>IF('PV IN'!$F$4="PV Only",PVCalcs!X266,IF('PV IN'!$F$4="Battery Only",BattCalcs!AW266,PVCalcs!X266+BattCalcs!AW266))</f>
        <v>0</v>
      </c>
      <c r="AT266" s="144">
        <f>IF('PV IN'!$F$4="Battery Only",0,-PVCalcs!AQ266*'PV IN'!$E$8)</f>
        <v>0</v>
      </c>
      <c r="AU266" s="144">
        <f>IF('PV IN'!$F$4="PV Only",0,-BattCalcs!CG266*'PV IN'!$E$8)</f>
        <v>0</v>
      </c>
      <c r="AV266" s="144">
        <f>IF('PV IN'!$F$4="PV Only",PVCalcs!Z266+PVCalcs!AA266,IF('PV IN'!$F$4="Battery Only",SUM(BattCalcs!BC266:BH266),PVCalcs!Z266+PVCalcs!AA266+SUM(BattCalcs!BC266:BH266)))</f>
        <v>0</v>
      </c>
      <c r="AW266" s="144">
        <f>IF('PV IN'!$F$4="PV Only",SUM(PVCalcs!AF266:AI266),IF('PV IN'!$F$4="Battery Only",SUM(BattCalcs!BL266:BY266),SUM(PVCalcs!AF266:AI266)+SUM(BattCalcs!BL266:BY266)))</f>
        <v>-1375</v>
      </c>
      <c r="AX266" s="144">
        <f>IF('PV IN'!$F$4="Battery Only",0,-PVLoan!F294)</f>
        <v>0</v>
      </c>
      <c r="AY266" s="144">
        <f>IF('PV IN'!$F$4="PV Only",0,-BattLoan!F294)</f>
        <v>0</v>
      </c>
      <c r="AZ266" s="144">
        <f>IF('PV IN'!$F$4="Battery Only",0,-PVLoan!H294)</f>
        <v>0</v>
      </c>
      <c r="BA266" s="144">
        <f>IF('PV IN'!$F$4="PV Only",0,-BattLoan!H294)</f>
        <v>0</v>
      </c>
    </row>
    <row r="267" spans="1:88" x14ac:dyDescent="0.25">
      <c r="A267" t="str">
        <f>IF(C267&lt;='PV IN'!$O$22*12,C267,"")</f>
        <v/>
      </c>
      <c r="C267">
        <v>263</v>
      </c>
      <c r="D267" s="2">
        <f>BattCalcs!CK267+PVCalcs!AT267</f>
        <v>9578.6635523503683</v>
      </c>
      <c r="E267" s="20">
        <f>PVCalcs!AV267</f>
        <v>1593450.1507462943</v>
      </c>
      <c r="F267" s="20">
        <f>PVCalcs!AW267</f>
        <v>3287.8054758830826</v>
      </c>
      <c r="G267" s="20" t="e">
        <f>PVCalcs!AX267</f>
        <v>#N/A</v>
      </c>
      <c r="H267" s="20">
        <f>BattCalcs!CM267</f>
        <v>0</v>
      </c>
      <c r="I267" s="20">
        <f>BattCalcs!CN267</f>
        <v>0</v>
      </c>
      <c r="J267" s="20" t="e">
        <f>IF(C267&lt;='Batt IN'!H$43*12,BattCalcs!CO267,NA())</f>
        <v>#N/A</v>
      </c>
      <c r="L267" s="20">
        <f t="shared" si="689"/>
        <v>3287.8054758830826</v>
      </c>
      <c r="M267" s="20" t="e">
        <f>G267+BattCalcs!CO267</f>
        <v>#N/A</v>
      </c>
      <c r="O267" s="10" t="str">
        <f>PVLoan!G295</f>
        <v>-</v>
      </c>
      <c r="P267" s="10" t="str">
        <f>PVLoan!J295</f>
        <v>-</v>
      </c>
      <c r="Q267" s="2" t="str">
        <f>BattLoan!G295</f>
        <v>-</v>
      </c>
      <c r="R267" s="10" t="str">
        <f>BattLoan!J295</f>
        <v>-</v>
      </c>
      <c r="T267" s="33">
        <f>IF('PV IN'!$F$4="Battery Only",0,PVCalcs!G267)</f>
        <v>128052.41615003969</v>
      </c>
      <c r="U267" s="33">
        <f>IF('PV IN'!$F$4="Battery Only",0,PVCalcs!M267)</f>
        <v>128052.41615003969</v>
      </c>
      <c r="V267" s="33">
        <f>PVCalcs!L267</f>
        <v>25811.765833333331</v>
      </c>
      <c r="W267" s="158">
        <f>PVCalcs!F267</f>
        <v>8.3285531604918986E-2</v>
      </c>
      <c r="X267" s="144">
        <f>IF('PV IN'!$F$4="Battery Only",0,PVCalcs!Y267+PVCalcs!Z267)</f>
        <v>0</v>
      </c>
      <c r="Y267" s="144">
        <f>IF('PV IN'!$F$4="PV Only",0,BattCalcs!AX267+BattCalcs!BC267)</f>
        <v>0</v>
      </c>
      <c r="Z267" s="144">
        <f>IF('PV IN'!$F$4="PV Only",0,BattCalcs!AY267+BattCalcs!BD267)</f>
        <v>0</v>
      </c>
      <c r="AA267" s="144">
        <f>IF('PV IN'!$F$4="PV Only",0,BattCalcs!AZ267+BattCalcs!BE267)</f>
        <v>0</v>
      </c>
      <c r="AB267" s="144">
        <f>IF('PV IN'!$F$4="PV Only",0,BattCalcs!BA267+BattCalcs!BF267)</f>
        <v>0</v>
      </c>
      <c r="AC267" s="144">
        <f>IF('PV IN'!$F$4="PV Only",0,BattCalcs!BB267+BattCalcs!BG267)</f>
        <v>0</v>
      </c>
      <c r="AD267" s="144">
        <f>IF('PV IN'!$F$4="PV Only",0,BattCalcs!BU267)</f>
        <v>0</v>
      </c>
      <c r="AE267" s="144">
        <f>IF('PV IN'!$F$4="PV Only",PVCalcs!W267+PVCalcs!AA267,IF('PV IN'!$F$4="Battery Only",BattCalcs!AV267+BattCalcs!BH267,PVCalcs!W267+PVCalcs!AA267+BattCalcs!AV267+BattCalcs!BH267))</f>
        <v>0</v>
      </c>
      <c r="AF267" s="10">
        <f>PVCalcs!AC267+BattCalcs!BJ267</f>
        <v>0</v>
      </c>
      <c r="AG267" s="144">
        <f>IF('PV IN'!$F$4="Battery Only",0,PVCalcs!AG267)</f>
        <v>-750</v>
      </c>
      <c r="AH267" s="144">
        <f>IF('PV IN'!$F$4="Battery Only",0,PVCalcs!AI267)</f>
        <v>0</v>
      </c>
      <c r="AI267" s="144">
        <f>IF('PV IN'!$F$4="PV Only",0,BattCalcs!BM267)</f>
        <v>0</v>
      </c>
      <c r="AJ267" s="144">
        <f>IF('PV IN'!$F$4="PV Only",0,SUM(BattCalcs!BO267:BT267))</f>
        <v>0</v>
      </c>
      <c r="AK267" s="144">
        <f>IF('PV IN'!$F$4="PV Only",PVCalcs!AH267,IF('PV IN'!$F$4="Battery Only",BattCalcs!BN267,PVCalcs!AH267+BattCalcs!BN267))</f>
        <v>-625</v>
      </c>
      <c r="AL267" s="144">
        <f>IF('PV IN'!$F$4="PV Only",0,BattCalcs!BV267)</f>
        <v>0</v>
      </c>
      <c r="AM267" s="144">
        <f>IF('PV IN'!$F$4="PV Only",0,SUM(BattCalcs!BW267:BX267))</f>
        <v>0</v>
      </c>
      <c r="AN267" s="144">
        <f>IF('PV IN'!$F$4="PV Only",0,BattCalcs!BY267)</f>
        <v>0</v>
      </c>
      <c r="AO267" s="144">
        <f>IF('PV IN'!$F$4="Battery Only",0,PVCalcs!U267)</f>
        <v>10664.913552350368</v>
      </c>
      <c r="AP267" s="10">
        <f>IF('PV IN'!$F$4="PV Only",0,BattCalcs!AS267)</f>
        <v>0</v>
      </c>
      <c r="AQ267" s="10">
        <f>IF('PV IN'!$F$4="PV Only",0,BattCalcs!AT267)</f>
        <v>0</v>
      </c>
      <c r="AR267" s="10">
        <f>IF('PV IN'!$F$4="PV Only",0,BattCalcs!AU267)</f>
        <v>0</v>
      </c>
      <c r="AS267" s="144">
        <f>IF('PV IN'!$F$4="PV Only",PVCalcs!X267,IF('PV IN'!$F$4="Battery Only",BattCalcs!AW267,PVCalcs!X267+BattCalcs!AW267))</f>
        <v>0</v>
      </c>
      <c r="AT267" s="144">
        <f>IF('PV IN'!$F$4="Battery Only",0,-PVCalcs!AQ267*'PV IN'!$E$8)</f>
        <v>0</v>
      </c>
      <c r="AU267" s="144">
        <f>IF('PV IN'!$F$4="PV Only",0,-BattCalcs!CG267*'PV IN'!$E$8)</f>
        <v>0</v>
      </c>
      <c r="AV267" s="144">
        <f>IF('PV IN'!$F$4="PV Only",PVCalcs!Z267+PVCalcs!AA267,IF('PV IN'!$F$4="Battery Only",SUM(BattCalcs!BC267:BH267),PVCalcs!Z267+PVCalcs!AA267+SUM(BattCalcs!BC267:BH267)))</f>
        <v>0</v>
      </c>
      <c r="AW267" s="144">
        <f>IF('PV IN'!$F$4="PV Only",SUM(PVCalcs!AF267:AI267),IF('PV IN'!$F$4="Battery Only",SUM(BattCalcs!BL267:BY267),SUM(PVCalcs!AF267:AI267)+SUM(BattCalcs!BL267:BY267)))</f>
        <v>-1375</v>
      </c>
      <c r="AX267" s="144">
        <f>IF('PV IN'!$F$4="Battery Only",0,-PVLoan!F295)</f>
        <v>0</v>
      </c>
      <c r="AY267" s="144">
        <f>IF('PV IN'!$F$4="PV Only",0,-BattLoan!F295)</f>
        <v>0</v>
      </c>
      <c r="AZ267" s="144">
        <f>IF('PV IN'!$F$4="Battery Only",0,-PVLoan!H295)</f>
        <v>0</v>
      </c>
      <c r="BA267" s="144">
        <f>IF('PV IN'!$F$4="PV Only",0,-BattLoan!H295)</f>
        <v>0</v>
      </c>
    </row>
    <row r="268" spans="1:88" x14ac:dyDescent="0.25">
      <c r="A268" t="str">
        <f>IF(C268&lt;='PV IN'!$O$22*12,C268,"")</f>
        <v/>
      </c>
      <c r="B268">
        <f>B256+1</f>
        <v>2047</v>
      </c>
      <c r="C268">
        <v>264</v>
      </c>
      <c r="D268" s="2">
        <f>BattCalcs!CK268+PVCalcs!AT268</f>
        <v>9571.5536099821347</v>
      </c>
      <c r="E268" s="20">
        <f>PVCalcs!AV268</f>
        <v>1603021.7043562764</v>
      </c>
      <c r="F268" s="20">
        <f>PVCalcs!AW268</f>
        <v>3272.0343676710036</v>
      </c>
      <c r="G268" s="20" t="e">
        <f>PVCalcs!AX268</f>
        <v>#N/A</v>
      </c>
      <c r="H268" s="20">
        <f>BattCalcs!CM268</f>
        <v>0</v>
      </c>
      <c r="I268" s="20">
        <f>BattCalcs!CN268</f>
        <v>0</v>
      </c>
      <c r="J268" s="20" t="e">
        <f>IF(C268&lt;='Batt IN'!H$43*12,BattCalcs!CO268,NA())</f>
        <v>#N/A</v>
      </c>
      <c r="L268" s="20">
        <f t="shared" si="689"/>
        <v>3272.0343676710036</v>
      </c>
      <c r="M268" s="20" t="e">
        <f>G268+BattCalcs!CO268</f>
        <v>#N/A</v>
      </c>
      <c r="O268" s="10" t="str">
        <f>PVLoan!G296</f>
        <v>-</v>
      </c>
      <c r="P268" s="10" t="str">
        <f>PVLoan!J296</f>
        <v>-</v>
      </c>
      <c r="Q268" s="2" t="str">
        <f>BattLoan!G296</f>
        <v>-</v>
      </c>
      <c r="R268" s="10" t="str">
        <f>BattLoan!J296</f>
        <v>-</v>
      </c>
      <c r="T268" s="33">
        <f>IF('PV IN'!$F$4="Battery Only",0,PVCalcs!G268)</f>
        <v>127967.04787260633</v>
      </c>
      <c r="U268" s="33">
        <f>IF('PV IN'!$F$4="Battery Only",0,PVCalcs!M268)</f>
        <v>127967.04787260633</v>
      </c>
      <c r="V268" s="33">
        <f>PVCalcs!L268</f>
        <v>25811.765833333331</v>
      </c>
      <c r="W268" s="158">
        <f>PVCalcs!F268</f>
        <v>8.3285531604918986E-2</v>
      </c>
      <c r="X268" s="144">
        <f>IF('PV IN'!$F$4="Battery Only",0,PVCalcs!Y268+PVCalcs!Z268)</f>
        <v>0</v>
      </c>
      <c r="Y268" s="144">
        <f>IF('PV IN'!$F$4="PV Only",0,BattCalcs!AX268+BattCalcs!BC268)</f>
        <v>0</v>
      </c>
      <c r="Z268" s="144">
        <f>IF('PV IN'!$F$4="PV Only",0,BattCalcs!AY268+BattCalcs!BD268)</f>
        <v>0</v>
      </c>
      <c r="AA268" s="144">
        <f>IF('PV IN'!$F$4="PV Only",0,BattCalcs!AZ268+BattCalcs!BE268)</f>
        <v>0</v>
      </c>
      <c r="AB268" s="144">
        <f>IF('PV IN'!$F$4="PV Only",0,BattCalcs!BA268+BattCalcs!BF268)</f>
        <v>0</v>
      </c>
      <c r="AC268" s="144">
        <f>IF('PV IN'!$F$4="PV Only",0,BattCalcs!BB268+BattCalcs!BG268)</f>
        <v>0</v>
      </c>
      <c r="AD268" s="144">
        <f>IF('PV IN'!$F$4="PV Only",0,BattCalcs!BU268)</f>
        <v>0</v>
      </c>
      <c r="AE268" s="144">
        <f>IF('PV IN'!$F$4="PV Only",PVCalcs!W268+PVCalcs!AA268,IF('PV IN'!$F$4="Battery Only",BattCalcs!AV268+BattCalcs!BH268,PVCalcs!W268+PVCalcs!AA268+BattCalcs!AV268+BattCalcs!BH268))</f>
        <v>0</v>
      </c>
      <c r="AF268" s="10">
        <f>PVCalcs!AC268+BattCalcs!BJ268</f>
        <v>0</v>
      </c>
      <c r="AG268" s="144">
        <f>IF('PV IN'!$F$4="Battery Only",0,PVCalcs!AG268)</f>
        <v>-750</v>
      </c>
      <c r="AH268" s="144">
        <f>IF('PV IN'!$F$4="Battery Only",0,PVCalcs!AI268)</f>
        <v>0</v>
      </c>
      <c r="AI268" s="144">
        <f>IF('PV IN'!$F$4="PV Only",0,BattCalcs!BM268)</f>
        <v>0</v>
      </c>
      <c r="AJ268" s="144">
        <f>IF('PV IN'!$F$4="PV Only",0,SUM(BattCalcs!BO268:BT268))</f>
        <v>0</v>
      </c>
      <c r="AK268" s="144">
        <f>IF('PV IN'!$F$4="PV Only",PVCalcs!AH268,IF('PV IN'!$F$4="Battery Only",BattCalcs!BN268,PVCalcs!AH268+BattCalcs!BN268))</f>
        <v>-625</v>
      </c>
      <c r="AL268" s="144">
        <f>IF('PV IN'!$F$4="PV Only",0,BattCalcs!BV268)</f>
        <v>0</v>
      </c>
      <c r="AM268" s="144">
        <f>IF('PV IN'!$F$4="PV Only",0,SUM(BattCalcs!BW268:BX268))</f>
        <v>0</v>
      </c>
      <c r="AN268" s="144">
        <f>IF('PV IN'!$F$4="PV Only",0,BattCalcs!BY268)</f>
        <v>0</v>
      </c>
      <c r="AO268" s="144">
        <f>IF('PV IN'!$F$4="Battery Only",0,PVCalcs!U268)</f>
        <v>10657.803609982135</v>
      </c>
      <c r="AP268" s="10">
        <f>IF('PV IN'!$F$4="PV Only",0,BattCalcs!AS268)</f>
        <v>0</v>
      </c>
      <c r="AQ268" s="10">
        <f>IF('PV IN'!$F$4="PV Only",0,BattCalcs!AT268)</f>
        <v>0</v>
      </c>
      <c r="AR268" s="10">
        <f>IF('PV IN'!$F$4="PV Only",0,BattCalcs!AU268)</f>
        <v>0</v>
      </c>
      <c r="AS268" s="144">
        <f>IF('PV IN'!$F$4="PV Only",PVCalcs!X268,IF('PV IN'!$F$4="Battery Only",BattCalcs!AW268,PVCalcs!X268+BattCalcs!AW268))</f>
        <v>0</v>
      </c>
      <c r="AT268" s="144">
        <f>IF('PV IN'!$F$4="Battery Only",0,-PVCalcs!AQ268*'PV IN'!$E$8)</f>
        <v>0</v>
      </c>
      <c r="AU268" s="144">
        <f>IF('PV IN'!$F$4="PV Only",0,-BattCalcs!CG268*'PV IN'!$E$8)</f>
        <v>0</v>
      </c>
      <c r="AV268" s="144">
        <f>IF('PV IN'!$F$4="PV Only",PVCalcs!Z268+PVCalcs!AA268,IF('PV IN'!$F$4="Battery Only",SUM(BattCalcs!BC268:BH268),PVCalcs!Z268+PVCalcs!AA268+SUM(BattCalcs!BC268:BH268)))</f>
        <v>0</v>
      </c>
      <c r="AW268" s="144">
        <f>IF('PV IN'!$F$4="PV Only",SUM(PVCalcs!AF268:AI268),IF('PV IN'!$F$4="Battery Only",SUM(BattCalcs!BL268:BY268),SUM(PVCalcs!AF268:AI268)+SUM(BattCalcs!BL268:BY268)))</f>
        <v>-1375</v>
      </c>
      <c r="AX268" s="144">
        <f>IF('PV IN'!$F$4="Battery Only",0,-PVLoan!F296)</f>
        <v>0</v>
      </c>
      <c r="AY268" s="144">
        <f>IF('PV IN'!$F$4="PV Only",0,-BattLoan!F296)</f>
        <v>0</v>
      </c>
      <c r="AZ268" s="144">
        <f>IF('PV IN'!$F$4="Battery Only",0,-PVLoan!H296)</f>
        <v>0</v>
      </c>
      <c r="BA268" s="144">
        <f>IF('PV IN'!$F$4="PV Only",0,-BattLoan!H296)</f>
        <v>0</v>
      </c>
      <c r="BC268" s="33">
        <f t="shared" ref="BC268" si="690">SUM(T257:T268)</f>
        <v>1541251.4286414334</v>
      </c>
      <c r="BD268" s="33">
        <f t="shared" ref="BD268" si="691">SUM(U257:U268)</f>
        <v>1541251.4286414334</v>
      </c>
      <c r="BE268" s="33">
        <f t="shared" ref="BE268" si="692">SUM(V257:V268)</f>
        <v>309741.19</v>
      </c>
      <c r="BF268" s="50">
        <f t="shared" ref="BF268" si="693">W268</f>
        <v>8.3285531604918986E-2</v>
      </c>
      <c r="BG268" s="2">
        <f t="shared" ref="BG268" si="694">SUM(X257:X268)</f>
        <v>0</v>
      </c>
      <c r="BH268" s="2">
        <f t="shared" ref="BH268" si="695">SUM(Y257:Y268)</f>
        <v>0</v>
      </c>
      <c r="BI268" s="2">
        <f t="shared" ref="BI268" si="696">SUM(Z257:Z268)</f>
        <v>0</v>
      </c>
      <c r="BJ268" s="2">
        <f t="shared" ref="BJ268" si="697">SUM(AA257:AA268)</f>
        <v>0</v>
      </c>
      <c r="BK268" s="2">
        <f t="shared" ref="BK268" si="698">SUM(AB257:AB268)</f>
        <v>0</v>
      </c>
      <c r="BL268" s="2">
        <f t="shared" ref="BL268" si="699">SUM(AC257:AC268)</f>
        <v>0</v>
      </c>
      <c r="BM268" s="2">
        <f t="shared" ref="BM268" si="700">SUM(AD257:AD268)</f>
        <v>0</v>
      </c>
      <c r="BN268" s="2">
        <f t="shared" ref="BN268" si="701">SUM(AE257:AE268)</f>
        <v>0</v>
      </c>
      <c r="BO268" s="2">
        <f t="shared" ref="BO268" si="702">SUM(AF257:AF268)</f>
        <v>0</v>
      </c>
      <c r="BP268" s="2">
        <f t="shared" ref="BP268" si="703">SUM(AG257:AG268)</f>
        <v>-9000</v>
      </c>
      <c r="BQ268" s="2">
        <f t="shared" ref="BQ268" si="704">SUM(AH257:AH268)</f>
        <v>0</v>
      </c>
      <c r="BR268" s="2">
        <f t="shared" ref="BR268" si="705">SUM(AI257:AI268)</f>
        <v>0</v>
      </c>
      <c r="BS268" s="2">
        <f t="shared" ref="BS268" si="706">SUM(AJ257:AJ268)</f>
        <v>0</v>
      </c>
      <c r="BT268" s="2">
        <f t="shared" ref="BT268" si="707">SUM(AK257:AK268)</f>
        <v>-7500</v>
      </c>
      <c r="BU268" s="2">
        <f t="shared" ref="BU268" si="708">SUM(AL257:AL268)</f>
        <v>0</v>
      </c>
      <c r="BV268" s="2">
        <f t="shared" ref="BV268" si="709">SUM(AM257:AM268)</f>
        <v>0</v>
      </c>
      <c r="BW268" s="2">
        <f t="shared" ref="BW268" si="710">SUM(AN257:AN268)</f>
        <v>0</v>
      </c>
      <c r="BX268" s="2">
        <f t="shared" ref="BX268" si="711">SUM(AO257:AO268)</f>
        <v>128363.94457124261</v>
      </c>
      <c r="BY268" s="2">
        <f t="shared" ref="BY268" si="712">SUM(AP257:AP268)</f>
        <v>0</v>
      </c>
      <c r="BZ268" s="2">
        <f t="shared" ref="BZ268" si="713">SUM(AQ257:AQ268)</f>
        <v>0</v>
      </c>
      <c r="CA268" s="2">
        <f t="shared" ref="CA268" si="714">SUM(AR257:AR268)</f>
        <v>0</v>
      </c>
      <c r="CB268" s="2">
        <f t="shared" ref="CB268" si="715">SUM(AS257:AS268)</f>
        <v>0</v>
      </c>
      <c r="CC268" s="2">
        <f t="shared" ref="CC268" si="716">SUM(AT257:AT268)</f>
        <v>0</v>
      </c>
      <c r="CD268" s="2">
        <f t="shared" ref="CD268" si="717">SUM(AU257:AU268)</f>
        <v>0</v>
      </c>
      <c r="CE268" s="2">
        <f t="shared" ref="CE268" si="718">SUM(AV257:AV268)</f>
        <v>0</v>
      </c>
      <c r="CF268" s="2">
        <f t="shared" ref="CF268" si="719">SUM(AW257:AW268)</f>
        <v>-16500</v>
      </c>
      <c r="CG268" s="2">
        <f t="shared" ref="CG268" si="720">SUM(AX257:AX268)</f>
        <v>0</v>
      </c>
      <c r="CH268" s="2">
        <f t="shared" ref="CH268" si="721">SUM(AY257:AY268)</f>
        <v>0</v>
      </c>
      <c r="CI268" s="2">
        <f t="shared" ref="CI268" si="722">SUM(AZ257:AZ268)</f>
        <v>0</v>
      </c>
      <c r="CJ268" s="2">
        <f t="shared" ref="CJ268" si="723">SUM(BA257:BA268)</f>
        <v>0</v>
      </c>
    </row>
    <row r="269" spans="1:88" x14ac:dyDescent="0.25">
      <c r="A269" t="str">
        <f>IF(C269&lt;='PV IN'!$O$22*12,C269,"")</f>
        <v/>
      </c>
      <c r="C269">
        <v>265</v>
      </c>
      <c r="D269" s="2">
        <f>BattCalcs!CK269+PVCalcs!AT269</f>
        <v>9549.611193724797</v>
      </c>
      <c r="E269" s="20">
        <f>PVCalcs!AV269</f>
        <v>1612571.3155500013</v>
      </c>
      <c r="F269" s="20">
        <f>PVCalcs!AW269</f>
        <v>3251.2872089566217</v>
      </c>
      <c r="G269" s="20" t="e">
        <f>PVCalcs!AX269</f>
        <v>#N/A</v>
      </c>
      <c r="H269" s="20">
        <f>BattCalcs!CM269</f>
        <v>0</v>
      </c>
      <c r="I269" s="20">
        <f>BattCalcs!CN269</f>
        <v>0</v>
      </c>
      <c r="J269" s="20" t="e">
        <f>IF(C269&lt;='Batt IN'!H$43*12,BattCalcs!CO269,NA())</f>
        <v>#N/A</v>
      </c>
      <c r="L269" s="20">
        <f t="shared" si="689"/>
        <v>3251.2872089566217</v>
      </c>
      <c r="M269" s="20" t="e">
        <f>G269+BattCalcs!CO269</f>
        <v>#N/A</v>
      </c>
      <c r="O269" s="10" t="str">
        <f>PVLoan!G297</f>
        <v>-</v>
      </c>
      <c r="P269" s="10" t="str">
        <f>PVLoan!J297</f>
        <v>-</v>
      </c>
      <c r="Q269" s="2" t="str">
        <f>BattLoan!G297</f>
        <v>-</v>
      </c>
      <c r="R269" s="10" t="str">
        <f>BattLoan!J297</f>
        <v>-</v>
      </c>
      <c r="T269" s="33">
        <f>IF('PV IN'!$F$4="Battery Only",0,PVCalcs!G269)</f>
        <v>127881.73650735791</v>
      </c>
      <c r="U269" s="33">
        <f>IF('PV IN'!$F$4="Battery Only",0,PVCalcs!M269)</f>
        <v>127881.73650735791</v>
      </c>
      <c r="V269" s="33">
        <f>PVCalcs!L269</f>
        <v>25811.765833333331</v>
      </c>
      <c r="W269" s="158">
        <f>PVCalcs!F269</f>
        <v>8.3169508674233894E-2</v>
      </c>
      <c r="X269" s="144">
        <f>IF('PV IN'!$F$4="Battery Only",0,PVCalcs!Y269+PVCalcs!Z269)</f>
        <v>0</v>
      </c>
      <c r="Y269" s="144">
        <f>IF('PV IN'!$F$4="PV Only",0,BattCalcs!AX269+BattCalcs!BC269)</f>
        <v>0</v>
      </c>
      <c r="Z269" s="144">
        <f>IF('PV IN'!$F$4="PV Only",0,BattCalcs!AY269+BattCalcs!BD269)</f>
        <v>0</v>
      </c>
      <c r="AA269" s="144">
        <f>IF('PV IN'!$F$4="PV Only",0,BattCalcs!AZ269+BattCalcs!BE269)</f>
        <v>0</v>
      </c>
      <c r="AB269" s="144">
        <f>IF('PV IN'!$F$4="PV Only",0,BattCalcs!BA269+BattCalcs!BF269)</f>
        <v>0</v>
      </c>
      <c r="AC269" s="144">
        <f>IF('PV IN'!$F$4="PV Only",0,BattCalcs!BB269+BattCalcs!BG269)</f>
        <v>0</v>
      </c>
      <c r="AD269" s="144">
        <f>IF('PV IN'!$F$4="PV Only",0,BattCalcs!BU269)</f>
        <v>0</v>
      </c>
      <c r="AE269" s="144">
        <f>IF('PV IN'!$F$4="PV Only",PVCalcs!W269+PVCalcs!AA269,IF('PV IN'!$F$4="Battery Only",BattCalcs!AV269+BattCalcs!BH269,PVCalcs!W269+PVCalcs!AA269+BattCalcs!AV269+BattCalcs!BH269))</f>
        <v>0</v>
      </c>
      <c r="AF269" s="10">
        <f>PVCalcs!AC269+BattCalcs!BJ269</f>
        <v>0</v>
      </c>
      <c r="AG269" s="144">
        <f>IF('PV IN'!$F$4="Battery Only",0,PVCalcs!AG269)</f>
        <v>-750</v>
      </c>
      <c r="AH269" s="144">
        <f>IF('PV IN'!$F$4="Battery Only",0,PVCalcs!AI269)</f>
        <v>0</v>
      </c>
      <c r="AI269" s="144">
        <f>IF('PV IN'!$F$4="PV Only",0,BattCalcs!BM269)</f>
        <v>0</v>
      </c>
      <c r="AJ269" s="144">
        <f>IF('PV IN'!$F$4="PV Only",0,SUM(BattCalcs!BO269:BT269))</f>
        <v>0</v>
      </c>
      <c r="AK269" s="144">
        <f>IF('PV IN'!$F$4="PV Only",PVCalcs!AH269,IF('PV IN'!$F$4="Battery Only",BattCalcs!BN269,PVCalcs!AH269+BattCalcs!BN269))</f>
        <v>-625</v>
      </c>
      <c r="AL269" s="144">
        <f>IF('PV IN'!$F$4="PV Only",0,BattCalcs!BV269)</f>
        <v>0</v>
      </c>
      <c r="AM269" s="144">
        <f>IF('PV IN'!$F$4="PV Only",0,SUM(BattCalcs!BW269:BX269))</f>
        <v>0</v>
      </c>
      <c r="AN269" s="144">
        <f>IF('PV IN'!$F$4="PV Only",0,BattCalcs!BY269)</f>
        <v>0</v>
      </c>
      <c r="AO269" s="144">
        <f>IF('PV IN'!$F$4="Battery Only",0,PVCalcs!U269)</f>
        <v>10635.861193724797</v>
      </c>
      <c r="AP269" s="10">
        <f>IF('PV IN'!$F$4="PV Only",0,BattCalcs!AS269)</f>
        <v>0</v>
      </c>
      <c r="AQ269" s="10">
        <f>IF('PV IN'!$F$4="PV Only",0,BattCalcs!AT269)</f>
        <v>0</v>
      </c>
      <c r="AR269" s="10">
        <f>IF('PV IN'!$F$4="PV Only",0,BattCalcs!AU269)</f>
        <v>0</v>
      </c>
      <c r="AS269" s="144">
        <f>IF('PV IN'!$F$4="PV Only",PVCalcs!X269,IF('PV IN'!$F$4="Battery Only",BattCalcs!AW269,PVCalcs!X269+BattCalcs!AW269))</f>
        <v>0</v>
      </c>
      <c r="AT269" s="144">
        <f>IF('PV IN'!$F$4="Battery Only",0,-PVCalcs!AQ269*'PV IN'!$E$8)</f>
        <v>0</v>
      </c>
      <c r="AU269" s="144">
        <f>IF('PV IN'!$F$4="PV Only",0,-BattCalcs!CG269*'PV IN'!$E$8)</f>
        <v>0</v>
      </c>
      <c r="AV269" s="144">
        <f>IF('PV IN'!$F$4="PV Only",PVCalcs!Z269+PVCalcs!AA269,IF('PV IN'!$F$4="Battery Only",SUM(BattCalcs!BC269:BH269),PVCalcs!Z269+PVCalcs!AA269+SUM(BattCalcs!BC269:BH269)))</f>
        <v>0</v>
      </c>
      <c r="AW269" s="144">
        <f>IF('PV IN'!$F$4="PV Only",SUM(PVCalcs!AF269:AI269),IF('PV IN'!$F$4="Battery Only",SUM(BattCalcs!BL269:BY269),SUM(PVCalcs!AF269:AI269)+SUM(BattCalcs!BL269:BY269)))</f>
        <v>-1375</v>
      </c>
      <c r="AX269" s="144">
        <f>IF('PV IN'!$F$4="Battery Only",0,-PVLoan!F297)</f>
        <v>0</v>
      </c>
      <c r="AY269" s="144">
        <f>IF('PV IN'!$F$4="PV Only",0,-BattLoan!F297)</f>
        <v>0</v>
      </c>
      <c r="AZ269" s="144">
        <f>IF('PV IN'!$F$4="Battery Only",0,-PVLoan!H297)</f>
        <v>0</v>
      </c>
      <c r="BA269" s="144">
        <f>IF('PV IN'!$F$4="PV Only",0,-BattLoan!H297)</f>
        <v>0</v>
      </c>
    </row>
    <row r="270" spans="1:88" x14ac:dyDescent="0.25">
      <c r="A270" t="str">
        <f>IF(C270&lt;='PV IN'!$O$22*12,C270,"")</f>
        <v/>
      </c>
      <c r="C270">
        <v>266</v>
      </c>
      <c r="D270" s="2">
        <f>BattCalcs!CK270+PVCalcs!AT270</f>
        <v>9542.5206195956489</v>
      </c>
      <c r="E270" s="20">
        <f>PVCalcs!AV270</f>
        <v>1622113.836169597</v>
      </c>
      <c r="F270" s="20">
        <f>PVCalcs!AW270</f>
        <v>3235.6905286124088</v>
      </c>
      <c r="G270" s="20" t="e">
        <f>PVCalcs!AX270</f>
        <v>#N/A</v>
      </c>
      <c r="H270" s="20">
        <f>BattCalcs!CM270</f>
        <v>0</v>
      </c>
      <c r="I270" s="20">
        <f>BattCalcs!CN270</f>
        <v>0</v>
      </c>
      <c r="J270" s="20" t="e">
        <f>IF(C270&lt;='Batt IN'!H$43*12,BattCalcs!CO270,NA())</f>
        <v>#N/A</v>
      </c>
      <c r="L270" s="20">
        <f t="shared" si="689"/>
        <v>3235.6905286124088</v>
      </c>
      <c r="M270" s="20" t="e">
        <f>G270+BattCalcs!CO270</f>
        <v>#N/A</v>
      </c>
      <c r="O270" s="10" t="str">
        <f>PVLoan!G298</f>
        <v>-</v>
      </c>
      <c r="P270" s="10" t="str">
        <f>PVLoan!J298</f>
        <v>-</v>
      </c>
      <c r="Q270" s="2" t="str">
        <f>BattLoan!G298</f>
        <v>-</v>
      </c>
      <c r="R270" s="10" t="str">
        <f>BattLoan!J298</f>
        <v>-</v>
      </c>
      <c r="T270" s="33">
        <f>IF('PV IN'!$F$4="Battery Only",0,PVCalcs!G270)</f>
        <v>127796.48201635302</v>
      </c>
      <c r="U270" s="33">
        <f>IF('PV IN'!$F$4="Battery Only",0,PVCalcs!M270)</f>
        <v>127796.48201635302</v>
      </c>
      <c r="V270" s="33">
        <f>PVCalcs!L270</f>
        <v>25811.765833333331</v>
      </c>
      <c r="W270" s="158">
        <f>PVCalcs!F270</f>
        <v>8.3169508674233894E-2</v>
      </c>
      <c r="X270" s="144">
        <f>IF('PV IN'!$F$4="Battery Only",0,PVCalcs!Y270+PVCalcs!Z270)</f>
        <v>0</v>
      </c>
      <c r="Y270" s="144">
        <f>IF('PV IN'!$F$4="PV Only",0,BattCalcs!AX270+BattCalcs!BC270)</f>
        <v>0</v>
      </c>
      <c r="Z270" s="144">
        <f>IF('PV IN'!$F$4="PV Only",0,BattCalcs!AY270+BattCalcs!BD270)</f>
        <v>0</v>
      </c>
      <c r="AA270" s="144">
        <f>IF('PV IN'!$F$4="PV Only",0,BattCalcs!AZ270+BattCalcs!BE270)</f>
        <v>0</v>
      </c>
      <c r="AB270" s="144">
        <f>IF('PV IN'!$F$4="PV Only",0,BattCalcs!BA270+BattCalcs!BF270)</f>
        <v>0</v>
      </c>
      <c r="AC270" s="144">
        <f>IF('PV IN'!$F$4="PV Only",0,BattCalcs!BB270+BattCalcs!BG270)</f>
        <v>0</v>
      </c>
      <c r="AD270" s="144">
        <f>IF('PV IN'!$F$4="PV Only",0,BattCalcs!BU270)</f>
        <v>0</v>
      </c>
      <c r="AE270" s="144">
        <f>IF('PV IN'!$F$4="PV Only",PVCalcs!W270+PVCalcs!AA270,IF('PV IN'!$F$4="Battery Only",BattCalcs!AV270+BattCalcs!BH270,PVCalcs!W270+PVCalcs!AA270+BattCalcs!AV270+BattCalcs!BH270))</f>
        <v>0</v>
      </c>
      <c r="AF270" s="10">
        <f>PVCalcs!AC270+BattCalcs!BJ270</f>
        <v>0</v>
      </c>
      <c r="AG270" s="144">
        <f>IF('PV IN'!$F$4="Battery Only",0,PVCalcs!AG270)</f>
        <v>-750</v>
      </c>
      <c r="AH270" s="144">
        <f>IF('PV IN'!$F$4="Battery Only",0,PVCalcs!AI270)</f>
        <v>0</v>
      </c>
      <c r="AI270" s="144">
        <f>IF('PV IN'!$F$4="PV Only",0,BattCalcs!BM270)</f>
        <v>0</v>
      </c>
      <c r="AJ270" s="144">
        <f>IF('PV IN'!$F$4="PV Only",0,SUM(BattCalcs!BO270:BT270))</f>
        <v>0</v>
      </c>
      <c r="AK270" s="144">
        <f>IF('PV IN'!$F$4="PV Only",PVCalcs!AH270,IF('PV IN'!$F$4="Battery Only",BattCalcs!BN270,PVCalcs!AH270+BattCalcs!BN270))</f>
        <v>-625</v>
      </c>
      <c r="AL270" s="144">
        <f>IF('PV IN'!$F$4="PV Only",0,BattCalcs!BV270)</f>
        <v>0</v>
      </c>
      <c r="AM270" s="144">
        <f>IF('PV IN'!$F$4="PV Only",0,SUM(BattCalcs!BW270:BX270))</f>
        <v>0</v>
      </c>
      <c r="AN270" s="144">
        <f>IF('PV IN'!$F$4="PV Only",0,BattCalcs!BY270)</f>
        <v>0</v>
      </c>
      <c r="AO270" s="144">
        <f>IF('PV IN'!$F$4="Battery Only",0,PVCalcs!U270)</f>
        <v>10628.770619595649</v>
      </c>
      <c r="AP270" s="10">
        <f>IF('PV IN'!$F$4="PV Only",0,BattCalcs!AS270)</f>
        <v>0</v>
      </c>
      <c r="AQ270" s="10">
        <f>IF('PV IN'!$F$4="PV Only",0,BattCalcs!AT270)</f>
        <v>0</v>
      </c>
      <c r="AR270" s="10">
        <f>IF('PV IN'!$F$4="PV Only",0,BattCalcs!AU270)</f>
        <v>0</v>
      </c>
      <c r="AS270" s="144">
        <f>IF('PV IN'!$F$4="PV Only",PVCalcs!X270,IF('PV IN'!$F$4="Battery Only",BattCalcs!AW270,PVCalcs!X270+BattCalcs!AW270))</f>
        <v>0</v>
      </c>
      <c r="AT270" s="144">
        <f>IF('PV IN'!$F$4="Battery Only",0,-PVCalcs!AQ270*'PV IN'!$E$8)</f>
        <v>0</v>
      </c>
      <c r="AU270" s="144">
        <f>IF('PV IN'!$F$4="PV Only",0,-BattCalcs!CG270*'PV IN'!$E$8)</f>
        <v>0</v>
      </c>
      <c r="AV270" s="144">
        <f>IF('PV IN'!$F$4="PV Only",PVCalcs!Z270+PVCalcs!AA270,IF('PV IN'!$F$4="Battery Only",SUM(BattCalcs!BC270:BH270),PVCalcs!Z270+PVCalcs!AA270+SUM(BattCalcs!BC270:BH270)))</f>
        <v>0</v>
      </c>
      <c r="AW270" s="144">
        <f>IF('PV IN'!$F$4="PV Only",SUM(PVCalcs!AF270:AI270),IF('PV IN'!$F$4="Battery Only",SUM(BattCalcs!BL270:BY270),SUM(PVCalcs!AF270:AI270)+SUM(BattCalcs!BL270:BY270)))</f>
        <v>-1375</v>
      </c>
      <c r="AX270" s="144">
        <f>IF('PV IN'!$F$4="Battery Only",0,-PVLoan!F298)</f>
        <v>0</v>
      </c>
      <c r="AY270" s="144">
        <f>IF('PV IN'!$F$4="PV Only",0,-BattLoan!F298)</f>
        <v>0</v>
      </c>
      <c r="AZ270" s="144">
        <f>IF('PV IN'!$F$4="Battery Only",0,-PVLoan!H298)</f>
        <v>0</v>
      </c>
      <c r="BA270" s="144">
        <f>IF('PV IN'!$F$4="PV Only",0,-BattLoan!H298)</f>
        <v>0</v>
      </c>
    </row>
    <row r="271" spans="1:88" x14ac:dyDescent="0.25">
      <c r="A271" t="str">
        <f>IF(C271&lt;='PV IN'!$O$22*12,C271,"")</f>
        <v/>
      </c>
      <c r="C271">
        <v>267</v>
      </c>
      <c r="D271" s="2">
        <f>BattCalcs!CK271+PVCalcs!AT271</f>
        <v>9535.434772515915</v>
      </c>
      <c r="E271" s="20">
        <f>PVCalcs!AV271</f>
        <v>1631649.2709421129</v>
      </c>
      <c r="F271" s="20">
        <f>PVCalcs!AW271</f>
        <v>3220.1684851881441</v>
      </c>
      <c r="G271" s="20" t="e">
        <f>PVCalcs!AX271</f>
        <v>#N/A</v>
      </c>
      <c r="H271" s="20">
        <f>BattCalcs!CM271</f>
        <v>0</v>
      </c>
      <c r="I271" s="20">
        <f>BattCalcs!CN271</f>
        <v>0</v>
      </c>
      <c r="J271" s="20" t="e">
        <f>IF(C271&lt;='Batt IN'!H$43*12,BattCalcs!CO271,NA())</f>
        <v>#N/A</v>
      </c>
      <c r="L271" s="20">
        <f t="shared" si="689"/>
        <v>3220.1684851881441</v>
      </c>
      <c r="M271" s="20" t="e">
        <f>G271+BattCalcs!CO271</f>
        <v>#N/A</v>
      </c>
      <c r="O271" s="10" t="str">
        <f>PVLoan!G299</f>
        <v>-</v>
      </c>
      <c r="P271" s="10" t="str">
        <f>PVLoan!J299</f>
        <v>-</v>
      </c>
      <c r="Q271" s="2" t="str">
        <f>BattLoan!G299</f>
        <v>-</v>
      </c>
      <c r="R271" s="10" t="str">
        <f>BattLoan!J299</f>
        <v>-</v>
      </c>
      <c r="T271" s="33">
        <f>IF('PV IN'!$F$4="Battery Only",0,PVCalcs!G271)</f>
        <v>127711.28436167543</v>
      </c>
      <c r="U271" s="33">
        <f>IF('PV IN'!$F$4="Battery Only",0,PVCalcs!M271)</f>
        <v>127711.28436167543</v>
      </c>
      <c r="V271" s="33">
        <f>PVCalcs!L271</f>
        <v>25811.765833333331</v>
      </c>
      <c r="W271" s="158">
        <f>PVCalcs!F271</f>
        <v>8.3169508674233894E-2</v>
      </c>
      <c r="X271" s="144">
        <f>IF('PV IN'!$F$4="Battery Only",0,PVCalcs!Y271+PVCalcs!Z271)</f>
        <v>0</v>
      </c>
      <c r="Y271" s="144">
        <f>IF('PV IN'!$F$4="PV Only",0,BattCalcs!AX271+BattCalcs!BC271)</f>
        <v>0</v>
      </c>
      <c r="Z271" s="144">
        <f>IF('PV IN'!$F$4="PV Only",0,BattCalcs!AY271+BattCalcs!BD271)</f>
        <v>0</v>
      </c>
      <c r="AA271" s="144">
        <f>IF('PV IN'!$F$4="PV Only",0,BattCalcs!AZ271+BattCalcs!BE271)</f>
        <v>0</v>
      </c>
      <c r="AB271" s="144">
        <f>IF('PV IN'!$F$4="PV Only",0,BattCalcs!BA271+BattCalcs!BF271)</f>
        <v>0</v>
      </c>
      <c r="AC271" s="144">
        <f>IF('PV IN'!$F$4="PV Only",0,BattCalcs!BB271+BattCalcs!BG271)</f>
        <v>0</v>
      </c>
      <c r="AD271" s="144">
        <f>IF('PV IN'!$F$4="PV Only",0,BattCalcs!BU271)</f>
        <v>0</v>
      </c>
      <c r="AE271" s="144">
        <f>IF('PV IN'!$F$4="PV Only",PVCalcs!W271+PVCalcs!AA271,IF('PV IN'!$F$4="Battery Only",BattCalcs!AV271+BattCalcs!BH271,PVCalcs!W271+PVCalcs!AA271+BattCalcs!AV271+BattCalcs!BH271))</f>
        <v>0</v>
      </c>
      <c r="AF271" s="10">
        <f>PVCalcs!AC271+BattCalcs!BJ271</f>
        <v>0</v>
      </c>
      <c r="AG271" s="144">
        <f>IF('PV IN'!$F$4="Battery Only",0,PVCalcs!AG271)</f>
        <v>-750</v>
      </c>
      <c r="AH271" s="144">
        <f>IF('PV IN'!$F$4="Battery Only",0,PVCalcs!AI271)</f>
        <v>0</v>
      </c>
      <c r="AI271" s="144">
        <f>IF('PV IN'!$F$4="PV Only",0,BattCalcs!BM271)</f>
        <v>0</v>
      </c>
      <c r="AJ271" s="144">
        <f>IF('PV IN'!$F$4="PV Only",0,SUM(BattCalcs!BO271:BT271))</f>
        <v>0</v>
      </c>
      <c r="AK271" s="144">
        <f>IF('PV IN'!$F$4="PV Only",PVCalcs!AH271,IF('PV IN'!$F$4="Battery Only",BattCalcs!BN271,PVCalcs!AH271+BattCalcs!BN271))</f>
        <v>-625</v>
      </c>
      <c r="AL271" s="144">
        <f>IF('PV IN'!$F$4="PV Only",0,BattCalcs!BV271)</f>
        <v>0</v>
      </c>
      <c r="AM271" s="144">
        <f>IF('PV IN'!$F$4="PV Only",0,SUM(BattCalcs!BW271:BX271))</f>
        <v>0</v>
      </c>
      <c r="AN271" s="144">
        <f>IF('PV IN'!$F$4="PV Only",0,BattCalcs!BY271)</f>
        <v>0</v>
      </c>
      <c r="AO271" s="144">
        <f>IF('PV IN'!$F$4="Battery Only",0,PVCalcs!U271)</f>
        <v>10621.684772515915</v>
      </c>
      <c r="AP271" s="10">
        <f>IF('PV IN'!$F$4="PV Only",0,BattCalcs!AS271)</f>
        <v>0</v>
      </c>
      <c r="AQ271" s="10">
        <f>IF('PV IN'!$F$4="PV Only",0,BattCalcs!AT271)</f>
        <v>0</v>
      </c>
      <c r="AR271" s="10">
        <f>IF('PV IN'!$F$4="PV Only",0,BattCalcs!AU271)</f>
        <v>0</v>
      </c>
      <c r="AS271" s="144">
        <f>IF('PV IN'!$F$4="PV Only",PVCalcs!X271,IF('PV IN'!$F$4="Battery Only",BattCalcs!AW271,PVCalcs!X271+BattCalcs!AW271))</f>
        <v>0</v>
      </c>
      <c r="AT271" s="144">
        <f>IF('PV IN'!$F$4="Battery Only",0,-PVCalcs!AQ271*'PV IN'!$E$8)</f>
        <v>0</v>
      </c>
      <c r="AU271" s="144">
        <f>IF('PV IN'!$F$4="PV Only",0,-BattCalcs!CG271*'PV IN'!$E$8)</f>
        <v>0</v>
      </c>
      <c r="AV271" s="144">
        <f>IF('PV IN'!$F$4="PV Only",PVCalcs!Z271+PVCalcs!AA271,IF('PV IN'!$F$4="Battery Only",SUM(BattCalcs!BC271:BH271),PVCalcs!Z271+PVCalcs!AA271+SUM(BattCalcs!BC271:BH271)))</f>
        <v>0</v>
      </c>
      <c r="AW271" s="144">
        <f>IF('PV IN'!$F$4="PV Only",SUM(PVCalcs!AF271:AI271),IF('PV IN'!$F$4="Battery Only",SUM(BattCalcs!BL271:BY271),SUM(PVCalcs!AF271:AI271)+SUM(BattCalcs!BL271:BY271)))</f>
        <v>-1375</v>
      </c>
      <c r="AX271" s="144">
        <f>IF('PV IN'!$F$4="Battery Only",0,-PVLoan!F299)</f>
        <v>0</v>
      </c>
      <c r="AY271" s="144">
        <f>IF('PV IN'!$F$4="PV Only",0,-BattLoan!F299)</f>
        <v>0</v>
      </c>
      <c r="AZ271" s="144">
        <f>IF('PV IN'!$F$4="Battery Only",0,-PVLoan!H299)</f>
        <v>0</v>
      </c>
      <c r="BA271" s="144">
        <f>IF('PV IN'!$F$4="PV Only",0,-BattLoan!H299)</f>
        <v>0</v>
      </c>
    </row>
    <row r="272" spans="1:88" x14ac:dyDescent="0.25">
      <c r="A272" t="str">
        <f>IF(C272&lt;='PV IN'!$O$22*12,C272,"")</f>
        <v/>
      </c>
      <c r="C272">
        <v>268</v>
      </c>
      <c r="D272" s="2">
        <f>BattCalcs!CK272+PVCalcs!AT272</f>
        <v>9528.3536493342399</v>
      </c>
      <c r="E272" s="20">
        <f>PVCalcs!AV272</f>
        <v>1641177.6245914472</v>
      </c>
      <c r="F272" s="20">
        <f>PVCalcs!AW272</f>
        <v>3204.720722238791</v>
      </c>
      <c r="G272" s="20" t="e">
        <f>PVCalcs!AX272</f>
        <v>#N/A</v>
      </c>
      <c r="H272" s="20">
        <f>BattCalcs!CM272</f>
        <v>0</v>
      </c>
      <c r="I272" s="20">
        <f>BattCalcs!CN272</f>
        <v>0</v>
      </c>
      <c r="J272" s="20" t="e">
        <f>IF(C272&lt;='Batt IN'!H$43*12,BattCalcs!CO272,NA())</f>
        <v>#N/A</v>
      </c>
      <c r="L272" s="20">
        <f t="shared" si="689"/>
        <v>3204.720722238791</v>
      </c>
      <c r="M272" s="20" t="e">
        <f>G272+BattCalcs!CO272</f>
        <v>#N/A</v>
      </c>
      <c r="O272" s="10" t="str">
        <f>PVLoan!G300</f>
        <v>-</v>
      </c>
      <c r="P272" s="10" t="str">
        <f>PVLoan!J300</f>
        <v>-</v>
      </c>
      <c r="Q272" s="2" t="str">
        <f>BattLoan!G300</f>
        <v>-</v>
      </c>
      <c r="R272" s="10" t="str">
        <f>BattLoan!J300</f>
        <v>-</v>
      </c>
      <c r="T272" s="33">
        <f>IF('PV IN'!$F$4="Battery Only",0,PVCalcs!G272)</f>
        <v>127626.14350543432</v>
      </c>
      <c r="U272" s="33">
        <f>IF('PV IN'!$F$4="Battery Only",0,PVCalcs!M272)</f>
        <v>127626.14350543432</v>
      </c>
      <c r="V272" s="33">
        <f>PVCalcs!L272</f>
        <v>25811.765833333331</v>
      </c>
      <c r="W272" s="158">
        <f>PVCalcs!F272</f>
        <v>8.3169508674233894E-2</v>
      </c>
      <c r="X272" s="144">
        <f>IF('PV IN'!$F$4="Battery Only",0,PVCalcs!Y272+PVCalcs!Z272)</f>
        <v>0</v>
      </c>
      <c r="Y272" s="144">
        <f>IF('PV IN'!$F$4="PV Only",0,BattCalcs!AX272+BattCalcs!BC272)</f>
        <v>0</v>
      </c>
      <c r="Z272" s="144">
        <f>IF('PV IN'!$F$4="PV Only",0,BattCalcs!AY272+BattCalcs!BD272)</f>
        <v>0</v>
      </c>
      <c r="AA272" s="144">
        <f>IF('PV IN'!$F$4="PV Only",0,BattCalcs!AZ272+BattCalcs!BE272)</f>
        <v>0</v>
      </c>
      <c r="AB272" s="144">
        <f>IF('PV IN'!$F$4="PV Only",0,BattCalcs!BA272+BattCalcs!BF272)</f>
        <v>0</v>
      </c>
      <c r="AC272" s="144">
        <f>IF('PV IN'!$F$4="PV Only",0,BattCalcs!BB272+BattCalcs!BG272)</f>
        <v>0</v>
      </c>
      <c r="AD272" s="144">
        <f>IF('PV IN'!$F$4="PV Only",0,BattCalcs!BU272)</f>
        <v>0</v>
      </c>
      <c r="AE272" s="144">
        <f>IF('PV IN'!$F$4="PV Only",PVCalcs!W272+PVCalcs!AA272,IF('PV IN'!$F$4="Battery Only",BattCalcs!AV272+BattCalcs!BH272,PVCalcs!W272+PVCalcs!AA272+BattCalcs!AV272+BattCalcs!BH272))</f>
        <v>0</v>
      </c>
      <c r="AF272" s="10">
        <f>PVCalcs!AC272+BattCalcs!BJ272</f>
        <v>0</v>
      </c>
      <c r="AG272" s="144">
        <f>IF('PV IN'!$F$4="Battery Only",0,PVCalcs!AG272)</f>
        <v>-750</v>
      </c>
      <c r="AH272" s="144">
        <f>IF('PV IN'!$F$4="Battery Only",0,PVCalcs!AI272)</f>
        <v>0</v>
      </c>
      <c r="AI272" s="144">
        <f>IF('PV IN'!$F$4="PV Only",0,BattCalcs!BM272)</f>
        <v>0</v>
      </c>
      <c r="AJ272" s="144">
        <f>IF('PV IN'!$F$4="PV Only",0,SUM(BattCalcs!BO272:BT272))</f>
        <v>0</v>
      </c>
      <c r="AK272" s="144">
        <f>IF('PV IN'!$F$4="PV Only",PVCalcs!AH272,IF('PV IN'!$F$4="Battery Only",BattCalcs!BN272,PVCalcs!AH272+BattCalcs!BN272))</f>
        <v>-625</v>
      </c>
      <c r="AL272" s="144">
        <f>IF('PV IN'!$F$4="PV Only",0,BattCalcs!BV272)</f>
        <v>0</v>
      </c>
      <c r="AM272" s="144">
        <f>IF('PV IN'!$F$4="PV Only",0,SUM(BattCalcs!BW272:BX272))</f>
        <v>0</v>
      </c>
      <c r="AN272" s="144">
        <f>IF('PV IN'!$F$4="PV Only",0,BattCalcs!BY272)</f>
        <v>0</v>
      </c>
      <c r="AO272" s="144">
        <f>IF('PV IN'!$F$4="Battery Only",0,PVCalcs!U272)</f>
        <v>10614.60364933424</v>
      </c>
      <c r="AP272" s="10">
        <f>IF('PV IN'!$F$4="PV Only",0,BattCalcs!AS272)</f>
        <v>0</v>
      </c>
      <c r="AQ272" s="10">
        <f>IF('PV IN'!$F$4="PV Only",0,BattCalcs!AT272)</f>
        <v>0</v>
      </c>
      <c r="AR272" s="10">
        <f>IF('PV IN'!$F$4="PV Only",0,BattCalcs!AU272)</f>
        <v>0</v>
      </c>
      <c r="AS272" s="144">
        <f>IF('PV IN'!$F$4="PV Only",PVCalcs!X272,IF('PV IN'!$F$4="Battery Only",BattCalcs!AW272,PVCalcs!X272+BattCalcs!AW272))</f>
        <v>0</v>
      </c>
      <c r="AT272" s="144">
        <f>IF('PV IN'!$F$4="Battery Only",0,-PVCalcs!AQ272*'PV IN'!$E$8)</f>
        <v>0</v>
      </c>
      <c r="AU272" s="144">
        <f>IF('PV IN'!$F$4="PV Only",0,-BattCalcs!CG272*'PV IN'!$E$8)</f>
        <v>0</v>
      </c>
      <c r="AV272" s="144">
        <f>IF('PV IN'!$F$4="PV Only",PVCalcs!Z272+PVCalcs!AA272,IF('PV IN'!$F$4="Battery Only",SUM(BattCalcs!BC272:BH272),PVCalcs!Z272+PVCalcs!AA272+SUM(BattCalcs!BC272:BH272)))</f>
        <v>0</v>
      </c>
      <c r="AW272" s="144">
        <f>IF('PV IN'!$F$4="PV Only",SUM(PVCalcs!AF272:AI272),IF('PV IN'!$F$4="Battery Only",SUM(BattCalcs!BL272:BY272),SUM(PVCalcs!AF272:AI272)+SUM(BattCalcs!BL272:BY272)))</f>
        <v>-1375</v>
      </c>
      <c r="AX272" s="144">
        <f>IF('PV IN'!$F$4="Battery Only",0,-PVLoan!F300)</f>
        <v>0</v>
      </c>
      <c r="AY272" s="144">
        <f>IF('PV IN'!$F$4="PV Only",0,-BattLoan!F300)</f>
        <v>0</v>
      </c>
      <c r="AZ272" s="144">
        <f>IF('PV IN'!$F$4="Battery Only",0,-PVLoan!H300)</f>
        <v>0</v>
      </c>
      <c r="BA272" s="144">
        <f>IF('PV IN'!$F$4="PV Only",0,-BattLoan!H300)</f>
        <v>0</v>
      </c>
    </row>
    <row r="273" spans="1:88" x14ac:dyDescent="0.25">
      <c r="A273" t="str">
        <f>IF(C273&lt;='PV IN'!$O$22*12,C273,"")</f>
        <v/>
      </c>
      <c r="C273">
        <v>269</v>
      </c>
      <c r="D273" s="2">
        <f>BattCalcs!CK273+PVCalcs!AT273</f>
        <v>9521.2772469013489</v>
      </c>
      <c r="E273" s="20">
        <f>PVCalcs!AV273</f>
        <v>1650698.9018383485</v>
      </c>
      <c r="F273" s="20">
        <f>PVCalcs!AW273</f>
        <v>3189.346885018686</v>
      </c>
      <c r="G273" s="20" t="e">
        <f>PVCalcs!AX273</f>
        <v>#N/A</v>
      </c>
      <c r="H273" s="20">
        <f>BattCalcs!CM273</f>
        <v>0</v>
      </c>
      <c r="I273" s="20">
        <f>BattCalcs!CN273</f>
        <v>0</v>
      </c>
      <c r="J273" s="20" t="e">
        <f>IF(C273&lt;='Batt IN'!H$43*12,BattCalcs!CO273,NA())</f>
        <v>#N/A</v>
      </c>
      <c r="L273" s="20">
        <f t="shared" si="689"/>
        <v>3189.346885018686</v>
      </c>
      <c r="M273" s="20" t="e">
        <f>G273+BattCalcs!CO273</f>
        <v>#N/A</v>
      </c>
      <c r="O273" s="10" t="str">
        <f>PVLoan!G301</f>
        <v>-</v>
      </c>
      <c r="P273" s="10" t="str">
        <f>PVLoan!J301</f>
        <v>-</v>
      </c>
      <c r="Q273" s="2" t="str">
        <f>BattLoan!G301</f>
        <v>-</v>
      </c>
      <c r="R273" s="10" t="str">
        <f>BattLoan!J301</f>
        <v>-</v>
      </c>
      <c r="T273" s="33">
        <f>IF('PV IN'!$F$4="Battery Only",0,PVCalcs!G273)</f>
        <v>127541.05940976403</v>
      </c>
      <c r="U273" s="33">
        <f>IF('PV IN'!$F$4="Battery Only",0,PVCalcs!M273)</f>
        <v>127541.05940976403</v>
      </c>
      <c r="V273" s="33">
        <f>PVCalcs!L273</f>
        <v>25811.765833333331</v>
      </c>
      <c r="W273" s="158">
        <f>PVCalcs!F273</f>
        <v>8.3169508674233894E-2</v>
      </c>
      <c r="X273" s="144">
        <f>IF('PV IN'!$F$4="Battery Only",0,PVCalcs!Y273+PVCalcs!Z273)</f>
        <v>0</v>
      </c>
      <c r="Y273" s="144">
        <f>IF('PV IN'!$F$4="PV Only",0,BattCalcs!AX273+BattCalcs!BC273)</f>
        <v>0</v>
      </c>
      <c r="Z273" s="144">
        <f>IF('PV IN'!$F$4="PV Only",0,BattCalcs!AY273+BattCalcs!BD273)</f>
        <v>0</v>
      </c>
      <c r="AA273" s="144">
        <f>IF('PV IN'!$F$4="PV Only",0,BattCalcs!AZ273+BattCalcs!BE273)</f>
        <v>0</v>
      </c>
      <c r="AB273" s="144">
        <f>IF('PV IN'!$F$4="PV Only",0,BattCalcs!BA273+BattCalcs!BF273)</f>
        <v>0</v>
      </c>
      <c r="AC273" s="144">
        <f>IF('PV IN'!$F$4="PV Only",0,BattCalcs!BB273+BattCalcs!BG273)</f>
        <v>0</v>
      </c>
      <c r="AD273" s="144">
        <f>IF('PV IN'!$F$4="PV Only",0,BattCalcs!BU273)</f>
        <v>0</v>
      </c>
      <c r="AE273" s="144">
        <f>IF('PV IN'!$F$4="PV Only",PVCalcs!W273+PVCalcs!AA273,IF('PV IN'!$F$4="Battery Only",BattCalcs!AV273+BattCalcs!BH273,PVCalcs!W273+PVCalcs!AA273+BattCalcs!AV273+BattCalcs!BH273))</f>
        <v>0</v>
      </c>
      <c r="AF273" s="10">
        <f>PVCalcs!AC273+BattCalcs!BJ273</f>
        <v>0</v>
      </c>
      <c r="AG273" s="144">
        <f>IF('PV IN'!$F$4="Battery Only",0,PVCalcs!AG273)</f>
        <v>-750</v>
      </c>
      <c r="AH273" s="144">
        <f>IF('PV IN'!$F$4="Battery Only",0,PVCalcs!AI273)</f>
        <v>0</v>
      </c>
      <c r="AI273" s="144">
        <f>IF('PV IN'!$F$4="PV Only",0,BattCalcs!BM273)</f>
        <v>0</v>
      </c>
      <c r="AJ273" s="144">
        <f>IF('PV IN'!$F$4="PV Only",0,SUM(BattCalcs!BO273:BT273))</f>
        <v>0</v>
      </c>
      <c r="AK273" s="144">
        <f>IF('PV IN'!$F$4="PV Only",PVCalcs!AH273,IF('PV IN'!$F$4="Battery Only",BattCalcs!BN273,PVCalcs!AH273+BattCalcs!BN273))</f>
        <v>-625</v>
      </c>
      <c r="AL273" s="144">
        <f>IF('PV IN'!$F$4="PV Only",0,BattCalcs!BV273)</f>
        <v>0</v>
      </c>
      <c r="AM273" s="144">
        <f>IF('PV IN'!$F$4="PV Only",0,SUM(BattCalcs!BW273:BX273))</f>
        <v>0</v>
      </c>
      <c r="AN273" s="144">
        <f>IF('PV IN'!$F$4="PV Only",0,BattCalcs!BY273)</f>
        <v>0</v>
      </c>
      <c r="AO273" s="144">
        <f>IF('PV IN'!$F$4="Battery Only",0,PVCalcs!U273)</f>
        <v>10607.527246901349</v>
      </c>
      <c r="AP273" s="10">
        <f>IF('PV IN'!$F$4="PV Only",0,BattCalcs!AS273)</f>
        <v>0</v>
      </c>
      <c r="AQ273" s="10">
        <f>IF('PV IN'!$F$4="PV Only",0,BattCalcs!AT273)</f>
        <v>0</v>
      </c>
      <c r="AR273" s="10">
        <f>IF('PV IN'!$F$4="PV Only",0,BattCalcs!AU273)</f>
        <v>0</v>
      </c>
      <c r="AS273" s="144">
        <f>IF('PV IN'!$F$4="PV Only",PVCalcs!X273,IF('PV IN'!$F$4="Battery Only",BattCalcs!AW273,PVCalcs!X273+BattCalcs!AW273))</f>
        <v>0</v>
      </c>
      <c r="AT273" s="144">
        <f>IF('PV IN'!$F$4="Battery Only",0,-PVCalcs!AQ273*'PV IN'!$E$8)</f>
        <v>0</v>
      </c>
      <c r="AU273" s="144">
        <f>IF('PV IN'!$F$4="PV Only",0,-BattCalcs!CG273*'PV IN'!$E$8)</f>
        <v>0</v>
      </c>
      <c r="AV273" s="144">
        <f>IF('PV IN'!$F$4="PV Only",PVCalcs!Z273+PVCalcs!AA273,IF('PV IN'!$F$4="Battery Only",SUM(BattCalcs!BC273:BH273),PVCalcs!Z273+PVCalcs!AA273+SUM(BattCalcs!BC273:BH273)))</f>
        <v>0</v>
      </c>
      <c r="AW273" s="144">
        <f>IF('PV IN'!$F$4="PV Only",SUM(PVCalcs!AF273:AI273),IF('PV IN'!$F$4="Battery Only",SUM(BattCalcs!BL273:BY273),SUM(PVCalcs!AF273:AI273)+SUM(BattCalcs!BL273:BY273)))</f>
        <v>-1375</v>
      </c>
      <c r="AX273" s="144">
        <f>IF('PV IN'!$F$4="Battery Only",0,-PVLoan!F301)</f>
        <v>0</v>
      </c>
      <c r="AY273" s="144">
        <f>IF('PV IN'!$F$4="PV Only",0,-BattLoan!F301)</f>
        <v>0</v>
      </c>
      <c r="AZ273" s="144">
        <f>IF('PV IN'!$F$4="Battery Only",0,-PVLoan!H301)</f>
        <v>0</v>
      </c>
      <c r="BA273" s="144">
        <f>IF('PV IN'!$F$4="PV Only",0,-BattLoan!H301)</f>
        <v>0</v>
      </c>
    </row>
    <row r="274" spans="1:88" x14ac:dyDescent="0.25">
      <c r="A274" t="str">
        <f>IF(C274&lt;='PV IN'!$O$22*12,C274,"")</f>
        <v/>
      </c>
      <c r="C274">
        <v>270</v>
      </c>
      <c r="D274" s="2">
        <f>BattCalcs!CK274+PVCalcs!AT274</f>
        <v>9514.2055620700812</v>
      </c>
      <c r="E274" s="20">
        <f>PVCalcs!AV274</f>
        <v>1660213.1074004185</v>
      </c>
      <c r="F274" s="20">
        <f>PVCalcs!AW274</f>
        <v>3174.046620473458</v>
      </c>
      <c r="G274" s="20" t="e">
        <f>PVCalcs!AX274</f>
        <v>#N/A</v>
      </c>
      <c r="H274" s="20">
        <f>BattCalcs!CM274</f>
        <v>0</v>
      </c>
      <c r="I274" s="20">
        <f>BattCalcs!CN274</f>
        <v>0</v>
      </c>
      <c r="J274" s="20" t="e">
        <f>IF(C274&lt;='Batt IN'!H$43*12,BattCalcs!CO274,NA())</f>
        <v>#N/A</v>
      </c>
      <c r="L274" s="20">
        <f t="shared" si="689"/>
        <v>3174.046620473458</v>
      </c>
      <c r="M274" s="20" t="e">
        <f>G274+BattCalcs!CO274</f>
        <v>#N/A</v>
      </c>
      <c r="O274" s="10" t="str">
        <f>PVLoan!G302</f>
        <v>-</v>
      </c>
      <c r="P274" s="10" t="str">
        <f>PVLoan!J302</f>
        <v>-</v>
      </c>
      <c r="Q274" s="2" t="str">
        <f>BattLoan!G302</f>
        <v>-</v>
      </c>
      <c r="R274" s="10" t="str">
        <f>BattLoan!J302</f>
        <v>-</v>
      </c>
      <c r="T274" s="33">
        <f>IF('PV IN'!$F$4="Battery Only",0,PVCalcs!G274)</f>
        <v>127456.03203682417</v>
      </c>
      <c r="U274" s="33">
        <f>IF('PV IN'!$F$4="Battery Only",0,PVCalcs!M274)</f>
        <v>127456.03203682417</v>
      </c>
      <c r="V274" s="33">
        <f>PVCalcs!L274</f>
        <v>25811.765833333331</v>
      </c>
      <c r="W274" s="158">
        <f>PVCalcs!F274</f>
        <v>8.3169508674233894E-2</v>
      </c>
      <c r="X274" s="144">
        <f>IF('PV IN'!$F$4="Battery Only",0,PVCalcs!Y274+PVCalcs!Z274)</f>
        <v>0</v>
      </c>
      <c r="Y274" s="144">
        <f>IF('PV IN'!$F$4="PV Only",0,BattCalcs!AX274+BattCalcs!BC274)</f>
        <v>0</v>
      </c>
      <c r="Z274" s="144">
        <f>IF('PV IN'!$F$4="PV Only",0,BattCalcs!AY274+BattCalcs!BD274)</f>
        <v>0</v>
      </c>
      <c r="AA274" s="144">
        <f>IF('PV IN'!$F$4="PV Only",0,BattCalcs!AZ274+BattCalcs!BE274)</f>
        <v>0</v>
      </c>
      <c r="AB274" s="144">
        <f>IF('PV IN'!$F$4="PV Only",0,BattCalcs!BA274+BattCalcs!BF274)</f>
        <v>0</v>
      </c>
      <c r="AC274" s="144">
        <f>IF('PV IN'!$F$4="PV Only",0,BattCalcs!BB274+BattCalcs!BG274)</f>
        <v>0</v>
      </c>
      <c r="AD274" s="144">
        <f>IF('PV IN'!$F$4="PV Only",0,BattCalcs!BU274)</f>
        <v>0</v>
      </c>
      <c r="AE274" s="144">
        <f>IF('PV IN'!$F$4="PV Only",PVCalcs!W274+PVCalcs!AA274,IF('PV IN'!$F$4="Battery Only",BattCalcs!AV274+BattCalcs!BH274,PVCalcs!W274+PVCalcs!AA274+BattCalcs!AV274+BattCalcs!BH274))</f>
        <v>0</v>
      </c>
      <c r="AF274" s="10">
        <f>PVCalcs!AC274+BattCalcs!BJ274</f>
        <v>0</v>
      </c>
      <c r="AG274" s="144">
        <f>IF('PV IN'!$F$4="Battery Only",0,PVCalcs!AG274)</f>
        <v>-750</v>
      </c>
      <c r="AH274" s="144">
        <f>IF('PV IN'!$F$4="Battery Only",0,PVCalcs!AI274)</f>
        <v>0</v>
      </c>
      <c r="AI274" s="144">
        <f>IF('PV IN'!$F$4="PV Only",0,BattCalcs!BM274)</f>
        <v>0</v>
      </c>
      <c r="AJ274" s="144">
        <f>IF('PV IN'!$F$4="PV Only",0,SUM(BattCalcs!BO274:BT274))</f>
        <v>0</v>
      </c>
      <c r="AK274" s="144">
        <f>IF('PV IN'!$F$4="PV Only",PVCalcs!AH274,IF('PV IN'!$F$4="Battery Only",BattCalcs!BN274,PVCalcs!AH274+BattCalcs!BN274))</f>
        <v>-625</v>
      </c>
      <c r="AL274" s="144">
        <f>IF('PV IN'!$F$4="PV Only",0,BattCalcs!BV274)</f>
        <v>0</v>
      </c>
      <c r="AM274" s="144">
        <f>IF('PV IN'!$F$4="PV Only",0,SUM(BattCalcs!BW274:BX274))</f>
        <v>0</v>
      </c>
      <c r="AN274" s="144">
        <f>IF('PV IN'!$F$4="PV Only",0,BattCalcs!BY274)</f>
        <v>0</v>
      </c>
      <c r="AO274" s="144">
        <f>IF('PV IN'!$F$4="Battery Only",0,PVCalcs!U274)</f>
        <v>10600.455562070081</v>
      </c>
      <c r="AP274" s="10">
        <f>IF('PV IN'!$F$4="PV Only",0,BattCalcs!AS274)</f>
        <v>0</v>
      </c>
      <c r="AQ274" s="10">
        <f>IF('PV IN'!$F$4="PV Only",0,BattCalcs!AT274)</f>
        <v>0</v>
      </c>
      <c r="AR274" s="10">
        <f>IF('PV IN'!$F$4="PV Only",0,BattCalcs!AU274)</f>
        <v>0</v>
      </c>
      <c r="AS274" s="144">
        <f>IF('PV IN'!$F$4="PV Only",PVCalcs!X274,IF('PV IN'!$F$4="Battery Only",BattCalcs!AW274,PVCalcs!X274+BattCalcs!AW274))</f>
        <v>0</v>
      </c>
      <c r="AT274" s="144">
        <f>IF('PV IN'!$F$4="Battery Only",0,-PVCalcs!AQ274*'PV IN'!$E$8)</f>
        <v>0</v>
      </c>
      <c r="AU274" s="144">
        <f>IF('PV IN'!$F$4="PV Only",0,-BattCalcs!CG274*'PV IN'!$E$8)</f>
        <v>0</v>
      </c>
      <c r="AV274" s="144">
        <f>IF('PV IN'!$F$4="PV Only",PVCalcs!Z274+PVCalcs!AA274,IF('PV IN'!$F$4="Battery Only",SUM(BattCalcs!BC274:BH274),PVCalcs!Z274+PVCalcs!AA274+SUM(BattCalcs!BC274:BH274)))</f>
        <v>0</v>
      </c>
      <c r="AW274" s="144">
        <f>IF('PV IN'!$F$4="PV Only",SUM(PVCalcs!AF274:AI274),IF('PV IN'!$F$4="Battery Only",SUM(BattCalcs!BL274:BY274),SUM(PVCalcs!AF274:AI274)+SUM(BattCalcs!BL274:BY274)))</f>
        <v>-1375</v>
      </c>
      <c r="AX274" s="144">
        <f>IF('PV IN'!$F$4="Battery Only",0,-PVLoan!F302)</f>
        <v>0</v>
      </c>
      <c r="AY274" s="144">
        <f>IF('PV IN'!$F$4="PV Only",0,-BattLoan!F302)</f>
        <v>0</v>
      </c>
      <c r="AZ274" s="144">
        <f>IF('PV IN'!$F$4="Battery Only",0,-PVLoan!H302)</f>
        <v>0</v>
      </c>
      <c r="BA274" s="144">
        <f>IF('PV IN'!$F$4="PV Only",0,-BattLoan!H302)</f>
        <v>0</v>
      </c>
    </row>
    <row r="275" spans="1:88" x14ac:dyDescent="0.25">
      <c r="A275" t="str">
        <f>IF(C275&lt;='PV IN'!$O$22*12,C275,"")</f>
        <v/>
      </c>
      <c r="C275">
        <v>271</v>
      </c>
      <c r="D275" s="2">
        <f>BattCalcs!CK275+PVCalcs!AT275</f>
        <v>9507.1385916953677</v>
      </c>
      <c r="E275" s="20">
        <f>PVCalcs!AV275</f>
        <v>1669720.2459921138</v>
      </c>
      <c r="F275" s="20">
        <f>PVCalcs!AW275</f>
        <v>3158.8195772319709</v>
      </c>
      <c r="G275" s="20" t="e">
        <f>PVCalcs!AX275</f>
        <v>#N/A</v>
      </c>
      <c r="H275" s="20">
        <f>BattCalcs!CM275</f>
        <v>0</v>
      </c>
      <c r="I275" s="20">
        <f>BattCalcs!CN275</f>
        <v>0</v>
      </c>
      <c r="J275" s="20" t="e">
        <f>IF(C275&lt;='Batt IN'!H$43*12,BattCalcs!CO275,NA())</f>
        <v>#N/A</v>
      </c>
      <c r="L275" s="20">
        <f t="shared" si="689"/>
        <v>3158.8195772319709</v>
      </c>
      <c r="M275" s="20" t="e">
        <f>G275+BattCalcs!CO275</f>
        <v>#N/A</v>
      </c>
      <c r="O275" s="10" t="str">
        <f>PVLoan!G303</f>
        <v>-</v>
      </c>
      <c r="P275" s="10" t="str">
        <f>PVLoan!J303</f>
        <v>-</v>
      </c>
      <c r="Q275" s="2" t="str">
        <f>BattLoan!G303</f>
        <v>-</v>
      </c>
      <c r="R275" s="10" t="str">
        <f>BattLoan!J303</f>
        <v>-</v>
      </c>
      <c r="T275" s="33">
        <f>IF('PV IN'!$F$4="Battery Only",0,PVCalcs!G275)</f>
        <v>127371.06134879962</v>
      </c>
      <c r="U275" s="33">
        <f>IF('PV IN'!$F$4="Battery Only",0,PVCalcs!M275)</f>
        <v>127371.06134879962</v>
      </c>
      <c r="V275" s="33">
        <f>PVCalcs!L275</f>
        <v>25811.765833333331</v>
      </c>
      <c r="W275" s="158">
        <f>PVCalcs!F275</f>
        <v>8.3169508674233894E-2</v>
      </c>
      <c r="X275" s="144">
        <f>IF('PV IN'!$F$4="Battery Only",0,PVCalcs!Y275+PVCalcs!Z275)</f>
        <v>0</v>
      </c>
      <c r="Y275" s="144">
        <f>IF('PV IN'!$F$4="PV Only",0,BattCalcs!AX275+BattCalcs!BC275)</f>
        <v>0</v>
      </c>
      <c r="Z275" s="144">
        <f>IF('PV IN'!$F$4="PV Only",0,BattCalcs!AY275+BattCalcs!BD275)</f>
        <v>0</v>
      </c>
      <c r="AA275" s="144">
        <f>IF('PV IN'!$F$4="PV Only",0,BattCalcs!AZ275+BattCalcs!BE275)</f>
        <v>0</v>
      </c>
      <c r="AB275" s="144">
        <f>IF('PV IN'!$F$4="PV Only",0,BattCalcs!BA275+BattCalcs!BF275)</f>
        <v>0</v>
      </c>
      <c r="AC275" s="144">
        <f>IF('PV IN'!$F$4="PV Only",0,BattCalcs!BB275+BattCalcs!BG275)</f>
        <v>0</v>
      </c>
      <c r="AD275" s="144">
        <f>IF('PV IN'!$F$4="PV Only",0,BattCalcs!BU275)</f>
        <v>0</v>
      </c>
      <c r="AE275" s="144">
        <f>IF('PV IN'!$F$4="PV Only",PVCalcs!W275+PVCalcs!AA275,IF('PV IN'!$F$4="Battery Only",BattCalcs!AV275+BattCalcs!BH275,PVCalcs!W275+PVCalcs!AA275+BattCalcs!AV275+BattCalcs!BH275))</f>
        <v>0</v>
      </c>
      <c r="AF275" s="10">
        <f>PVCalcs!AC275+BattCalcs!BJ275</f>
        <v>0</v>
      </c>
      <c r="AG275" s="144">
        <f>IF('PV IN'!$F$4="Battery Only",0,PVCalcs!AG275)</f>
        <v>-750</v>
      </c>
      <c r="AH275" s="144">
        <f>IF('PV IN'!$F$4="Battery Only",0,PVCalcs!AI275)</f>
        <v>0</v>
      </c>
      <c r="AI275" s="144">
        <f>IF('PV IN'!$F$4="PV Only",0,BattCalcs!BM275)</f>
        <v>0</v>
      </c>
      <c r="AJ275" s="144">
        <f>IF('PV IN'!$F$4="PV Only",0,SUM(BattCalcs!BO275:BT275))</f>
        <v>0</v>
      </c>
      <c r="AK275" s="144">
        <f>IF('PV IN'!$F$4="PV Only",PVCalcs!AH275,IF('PV IN'!$F$4="Battery Only",BattCalcs!BN275,PVCalcs!AH275+BattCalcs!BN275))</f>
        <v>-625</v>
      </c>
      <c r="AL275" s="144">
        <f>IF('PV IN'!$F$4="PV Only",0,BattCalcs!BV275)</f>
        <v>0</v>
      </c>
      <c r="AM275" s="144">
        <f>IF('PV IN'!$F$4="PV Only",0,SUM(BattCalcs!BW275:BX275))</f>
        <v>0</v>
      </c>
      <c r="AN275" s="144">
        <f>IF('PV IN'!$F$4="PV Only",0,BattCalcs!BY275)</f>
        <v>0</v>
      </c>
      <c r="AO275" s="144">
        <f>IF('PV IN'!$F$4="Battery Only",0,PVCalcs!U275)</f>
        <v>10593.388591695368</v>
      </c>
      <c r="AP275" s="10">
        <f>IF('PV IN'!$F$4="PV Only",0,BattCalcs!AS275)</f>
        <v>0</v>
      </c>
      <c r="AQ275" s="10">
        <f>IF('PV IN'!$F$4="PV Only",0,BattCalcs!AT275)</f>
        <v>0</v>
      </c>
      <c r="AR275" s="10">
        <f>IF('PV IN'!$F$4="PV Only",0,BattCalcs!AU275)</f>
        <v>0</v>
      </c>
      <c r="AS275" s="144">
        <f>IF('PV IN'!$F$4="PV Only",PVCalcs!X275,IF('PV IN'!$F$4="Battery Only",BattCalcs!AW275,PVCalcs!X275+BattCalcs!AW275))</f>
        <v>0</v>
      </c>
      <c r="AT275" s="144">
        <f>IF('PV IN'!$F$4="Battery Only",0,-PVCalcs!AQ275*'PV IN'!$E$8)</f>
        <v>0</v>
      </c>
      <c r="AU275" s="144">
        <f>IF('PV IN'!$F$4="PV Only",0,-BattCalcs!CG275*'PV IN'!$E$8)</f>
        <v>0</v>
      </c>
      <c r="AV275" s="144">
        <f>IF('PV IN'!$F$4="PV Only",PVCalcs!Z275+PVCalcs!AA275,IF('PV IN'!$F$4="Battery Only",SUM(BattCalcs!BC275:BH275),PVCalcs!Z275+PVCalcs!AA275+SUM(BattCalcs!BC275:BH275)))</f>
        <v>0</v>
      </c>
      <c r="AW275" s="144">
        <f>IF('PV IN'!$F$4="PV Only",SUM(PVCalcs!AF275:AI275),IF('PV IN'!$F$4="Battery Only",SUM(BattCalcs!BL275:BY275),SUM(PVCalcs!AF275:AI275)+SUM(BattCalcs!BL275:BY275)))</f>
        <v>-1375</v>
      </c>
      <c r="AX275" s="144">
        <f>IF('PV IN'!$F$4="Battery Only",0,-PVLoan!F303)</f>
        <v>0</v>
      </c>
      <c r="AY275" s="144">
        <f>IF('PV IN'!$F$4="PV Only",0,-BattLoan!F303)</f>
        <v>0</v>
      </c>
      <c r="AZ275" s="144">
        <f>IF('PV IN'!$F$4="Battery Only",0,-PVLoan!H303)</f>
        <v>0</v>
      </c>
      <c r="BA275" s="144">
        <f>IF('PV IN'!$F$4="PV Only",0,-BattLoan!H303)</f>
        <v>0</v>
      </c>
    </row>
    <row r="276" spans="1:88" x14ac:dyDescent="0.25">
      <c r="A276" t="str">
        <f>IF(C276&lt;='PV IN'!$O$22*12,C276,"")</f>
        <v/>
      </c>
      <c r="C276">
        <v>272</v>
      </c>
      <c r="D276" s="2">
        <f>BattCalcs!CK276+PVCalcs!AT276</f>
        <v>9500.0763326342385</v>
      </c>
      <c r="E276" s="20">
        <f>PVCalcs!AV276</f>
        <v>1679220.3223247482</v>
      </c>
      <c r="F276" s="20">
        <f>PVCalcs!AW276</f>
        <v>3143.6654055983113</v>
      </c>
      <c r="G276" s="20" t="e">
        <f>PVCalcs!AX276</f>
        <v>#N/A</v>
      </c>
      <c r="H276" s="20">
        <f>BattCalcs!CM276</f>
        <v>0</v>
      </c>
      <c r="I276" s="20">
        <f>BattCalcs!CN276</f>
        <v>0</v>
      </c>
      <c r="J276" s="20" t="e">
        <f>IF(C276&lt;='Batt IN'!H$43*12,BattCalcs!CO276,NA())</f>
        <v>#N/A</v>
      </c>
      <c r="L276" s="20">
        <f t="shared" si="689"/>
        <v>3143.6654055983113</v>
      </c>
      <c r="M276" s="20" t="e">
        <f>G276+BattCalcs!CO276</f>
        <v>#N/A</v>
      </c>
      <c r="O276" s="10" t="str">
        <f>PVLoan!G304</f>
        <v>-</v>
      </c>
      <c r="P276" s="10" t="str">
        <f>PVLoan!J304</f>
        <v>-</v>
      </c>
      <c r="Q276" s="2" t="str">
        <f>BattLoan!G304</f>
        <v>-</v>
      </c>
      <c r="R276" s="10" t="str">
        <f>BattLoan!J304</f>
        <v>-</v>
      </c>
      <c r="T276" s="33">
        <f>IF('PV IN'!$F$4="Battery Only",0,PVCalcs!G276)</f>
        <v>127286.14730790044</v>
      </c>
      <c r="U276" s="33">
        <f>IF('PV IN'!$F$4="Battery Only",0,PVCalcs!M276)</f>
        <v>127286.14730790044</v>
      </c>
      <c r="V276" s="33">
        <f>PVCalcs!L276</f>
        <v>25811.765833333331</v>
      </c>
      <c r="W276" s="158">
        <f>PVCalcs!F276</f>
        <v>8.3169508674233894E-2</v>
      </c>
      <c r="X276" s="144">
        <f>IF('PV IN'!$F$4="Battery Only",0,PVCalcs!Y276+PVCalcs!Z276)</f>
        <v>0</v>
      </c>
      <c r="Y276" s="144">
        <f>IF('PV IN'!$F$4="PV Only",0,BattCalcs!AX276+BattCalcs!BC276)</f>
        <v>0</v>
      </c>
      <c r="Z276" s="144">
        <f>IF('PV IN'!$F$4="PV Only",0,BattCalcs!AY276+BattCalcs!BD276)</f>
        <v>0</v>
      </c>
      <c r="AA276" s="144">
        <f>IF('PV IN'!$F$4="PV Only",0,BattCalcs!AZ276+BattCalcs!BE276)</f>
        <v>0</v>
      </c>
      <c r="AB276" s="144">
        <f>IF('PV IN'!$F$4="PV Only",0,BattCalcs!BA276+BattCalcs!BF276)</f>
        <v>0</v>
      </c>
      <c r="AC276" s="144">
        <f>IF('PV IN'!$F$4="PV Only",0,BattCalcs!BB276+BattCalcs!BG276)</f>
        <v>0</v>
      </c>
      <c r="AD276" s="144">
        <f>IF('PV IN'!$F$4="PV Only",0,BattCalcs!BU276)</f>
        <v>0</v>
      </c>
      <c r="AE276" s="144">
        <f>IF('PV IN'!$F$4="PV Only",PVCalcs!W276+PVCalcs!AA276,IF('PV IN'!$F$4="Battery Only",BattCalcs!AV276+BattCalcs!BH276,PVCalcs!W276+PVCalcs!AA276+BattCalcs!AV276+BattCalcs!BH276))</f>
        <v>0</v>
      </c>
      <c r="AF276" s="10">
        <f>PVCalcs!AC276+BattCalcs!BJ276</f>
        <v>0</v>
      </c>
      <c r="AG276" s="144">
        <f>IF('PV IN'!$F$4="Battery Only",0,PVCalcs!AG276)</f>
        <v>-750</v>
      </c>
      <c r="AH276" s="144">
        <f>IF('PV IN'!$F$4="Battery Only",0,PVCalcs!AI276)</f>
        <v>0</v>
      </c>
      <c r="AI276" s="144">
        <f>IF('PV IN'!$F$4="PV Only",0,BattCalcs!BM276)</f>
        <v>0</v>
      </c>
      <c r="AJ276" s="144">
        <f>IF('PV IN'!$F$4="PV Only",0,SUM(BattCalcs!BO276:BT276))</f>
        <v>0</v>
      </c>
      <c r="AK276" s="144">
        <f>IF('PV IN'!$F$4="PV Only",PVCalcs!AH276,IF('PV IN'!$F$4="Battery Only",BattCalcs!BN276,PVCalcs!AH276+BattCalcs!BN276))</f>
        <v>-625</v>
      </c>
      <c r="AL276" s="144">
        <f>IF('PV IN'!$F$4="PV Only",0,BattCalcs!BV276)</f>
        <v>0</v>
      </c>
      <c r="AM276" s="144">
        <f>IF('PV IN'!$F$4="PV Only",0,SUM(BattCalcs!BW276:BX276))</f>
        <v>0</v>
      </c>
      <c r="AN276" s="144">
        <f>IF('PV IN'!$F$4="PV Only",0,BattCalcs!BY276)</f>
        <v>0</v>
      </c>
      <c r="AO276" s="144">
        <f>IF('PV IN'!$F$4="Battery Only",0,PVCalcs!U276)</f>
        <v>10586.326332634238</v>
      </c>
      <c r="AP276" s="10">
        <f>IF('PV IN'!$F$4="PV Only",0,BattCalcs!AS276)</f>
        <v>0</v>
      </c>
      <c r="AQ276" s="10">
        <f>IF('PV IN'!$F$4="PV Only",0,BattCalcs!AT276)</f>
        <v>0</v>
      </c>
      <c r="AR276" s="10">
        <f>IF('PV IN'!$F$4="PV Only",0,BattCalcs!AU276)</f>
        <v>0</v>
      </c>
      <c r="AS276" s="144">
        <f>IF('PV IN'!$F$4="PV Only",PVCalcs!X276,IF('PV IN'!$F$4="Battery Only",BattCalcs!AW276,PVCalcs!X276+BattCalcs!AW276))</f>
        <v>0</v>
      </c>
      <c r="AT276" s="144">
        <f>IF('PV IN'!$F$4="Battery Only",0,-PVCalcs!AQ276*'PV IN'!$E$8)</f>
        <v>0</v>
      </c>
      <c r="AU276" s="144">
        <f>IF('PV IN'!$F$4="PV Only",0,-BattCalcs!CG276*'PV IN'!$E$8)</f>
        <v>0</v>
      </c>
      <c r="AV276" s="144">
        <f>IF('PV IN'!$F$4="PV Only",PVCalcs!Z276+PVCalcs!AA276,IF('PV IN'!$F$4="Battery Only",SUM(BattCalcs!BC276:BH276),PVCalcs!Z276+PVCalcs!AA276+SUM(BattCalcs!BC276:BH276)))</f>
        <v>0</v>
      </c>
      <c r="AW276" s="144">
        <f>IF('PV IN'!$F$4="PV Only",SUM(PVCalcs!AF276:AI276),IF('PV IN'!$F$4="Battery Only",SUM(BattCalcs!BL276:BY276),SUM(PVCalcs!AF276:AI276)+SUM(BattCalcs!BL276:BY276)))</f>
        <v>-1375</v>
      </c>
      <c r="AX276" s="144">
        <f>IF('PV IN'!$F$4="Battery Only",0,-PVLoan!F304)</f>
        <v>0</v>
      </c>
      <c r="AY276" s="144">
        <f>IF('PV IN'!$F$4="PV Only",0,-BattLoan!F304)</f>
        <v>0</v>
      </c>
      <c r="AZ276" s="144">
        <f>IF('PV IN'!$F$4="Battery Only",0,-PVLoan!H304)</f>
        <v>0</v>
      </c>
      <c r="BA276" s="144">
        <f>IF('PV IN'!$F$4="PV Only",0,-BattLoan!H304)</f>
        <v>0</v>
      </c>
    </row>
    <row r="277" spans="1:88" x14ac:dyDescent="0.25">
      <c r="A277" t="str">
        <f>IF(C277&lt;='PV IN'!$O$22*12,C277,"")</f>
        <v/>
      </c>
      <c r="C277">
        <v>273</v>
      </c>
      <c r="D277" s="2">
        <f>BattCalcs!CK277+PVCalcs!AT277</f>
        <v>9493.0187817458136</v>
      </c>
      <c r="E277" s="20">
        <f>PVCalcs!AV277</f>
        <v>1688713.341106494</v>
      </c>
      <c r="F277" s="20">
        <f>PVCalcs!AW277</f>
        <v>3128.583757543814</v>
      </c>
      <c r="G277" s="20" t="e">
        <f>PVCalcs!AX277</f>
        <v>#N/A</v>
      </c>
      <c r="H277" s="20">
        <f>BattCalcs!CM277</f>
        <v>0</v>
      </c>
      <c r="I277" s="20">
        <f>BattCalcs!CN277</f>
        <v>0</v>
      </c>
      <c r="J277" s="20" t="e">
        <f>IF(C277&lt;='Batt IN'!H$43*12,BattCalcs!CO277,NA())</f>
        <v>#N/A</v>
      </c>
      <c r="L277" s="20">
        <f t="shared" si="689"/>
        <v>3128.583757543814</v>
      </c>
      <c r="M277" s="20" t="e">
        <f>G277+BattCalcs!CO277</f>
        <v>#N/A</v>
      </c>
      <c r="O277" s="10" t="str">
        <f>PVLoan!G305</f>
        <v>-</v>
      </c>
      <c r="P277" s="10" t="str">
        <f>PVLoan!J305</f>
        <v>-</v>
      </c>
      <c r="Q277" s="2" t="str">
        <f>BattLoan!G305</f>
        <v>-</v>
      </c>
      <c r="R277" s="10" t="str">
        <f>BattLoan!J305</f>
        <v>-</v>
      </c>
      <c r="T277" s="33">
        <f>IF('PV IN'!$F$4="Battery Only",0,PVCalcs!G277)</f>
        <v>127201.28987636181</v>
      </c>
      <c r="U277" s="33">
        <f>IF('PV IN'!$F$4="Battery Only",0,PVCalcs!M277)</f>
        <v>127201.28987636181</v>
      </c>
      <c r="V277" s="33">
        <f>PVCalcs!L277</f>
        <v>25811.765833333331</v>
      </c>
      <c r="W277" s="158">
        <f>PVCalcs!F277</f>
        <v>8.3169508674233894E-2</v>
      </c>
      <c r="X277" s="144">
        <f>IF('PV IN'!$F$4="Battery Only",0,PVCalcs!Y277+PVCalcs!Z277)</f>
        <v>0</v>
      </c>
      <c r="Y277" s="144">
        <f>IF('PV IN'!$F$4="PV Only",0,BattCalcs!AX277+BattCalcs!BC277)</f>
        <v>0</v>
      </c>
      <c r="Z277" s="144">
        <f>IF('PV IN'!$F$4="PV Only",0,BattCalcs!AY277+BattCalcs!BD277)</f>
        <v>0</v>
      </c>
      <c r="AA277" s="144">
        <f>IF('PV IN'!$F$4="PV Only",0,BattCalcs!AZ277+BattCalcs!BE277)</f>
        <v>0</v>
      </c>
      <c r="AB277" s="144">
        <f>IF('PV IN'!$F$4="PV Only",0,BattCalcs!BA277+BattCalcs!BF277)</f>
        <v>0</v>
      </c>
      <c r="AC277" s="144">
        <f>IF('PV IN'!$F$4="PV Only",0,BattCalcs!BB277+BattCalcs!BG277)</f>
        <v>0</v>
      </c>
      <c r="AD277" s="144">
        <f>IF('PV IN'!$F$4="PV Only",0,BattCalcs!BU277)</f>
        <v>0</v>
      </c>
      <c r="AE277" s="144">
        <f>IF('PV IN'!$F$4="PV Only",PVCalcs!W277+PVCalcs!AA277,IF('PV IN'!$F$4="Battery Only",BattCalcs!AV277+BattCalcs!BH277,PVCalcs!W277+PVCalcs!AA277+BattCalcs!AV277+BattCalcs!BH277))</f>
        <v>0</v>
      </c>
      <c r="AF277" s="10">
        <f>PVCalcs!AC277+BattCalcs!BJ277</f>
        <v>0</v>
      </c>
      <c r="AG277" s="144">
        <f>IF('PV IN'!$F$4="Battery Only",0,PVCalcs!AG277)</f>
        <v>-750</v>
      </c>
      <c r="AH277" s="144">
        <f>IF('PV IN'!$F$4="Battery Only",0,PVCalcs!AI277)</f>
        <v>0</v>
      </c>
      <c r="AI277" s="144">
        <f>IF('PV IN'!$F$4="PV Only",0,BattCalcs!BM277)</f>
        <v>0</v>
      </c>
      <c r="AJ277" s="144">
        <f>IF('PV IN'!$F$4="PV Only",0,SUM(BattCalcs!BO277:BT277))</f>
        <v>0</v>
      </c>
      <c r="AK277" s="144">
        <f>IF('PV IN'!$F$4="PV Only",PVCalcs!AH277,IF('PV IN'!$F$4="Battery Only",BattCalcs!BN277,PVCalcs!AH277+BattCalcs!BN277))</f>
        <v>-625</v>
      </c>
      <c r="AL277" s="144">
        <f>IF('PV IN'!$F$4="PV Only",0,BattCalcs!BV277)</f>
        <v>0</v>
      </c>
      <c r="AM277" s="144">
        <f>IF('PV IN'!$F$4="PV Only",0,SUM(BattCalcs!BW277:BX277))</f>
        <v>0</v>
      </c>
      <c r="AN277" s="144">
        <f>IF('PV IN'!$F$4="PV Only",0,BattCalcs!BY277)</f>
        <v>0</v>
      </c>
      <c r="AO277" s="144">
        <f>IF('PV IN'!$F$4="Battery Only",0,PVCalcs!U277)</f>
        <v>10579.268781745814</v>
      </c>
      <c r="AP277" s="10">
        <f>IF('PV IN'!$F$4="PV Only",0,BattCalcs!AS277)</f>
        <v>0</v>
      </c>
      <c r="AQ277" s="10">
        <f>IF('PV IN'!$F$4="PV Only",0,BattCalcs!AT277)</f>
        <v>0</v>
      </c>
      <c r="AR277" s="10">
        <f>IF('PV IN'!$F$4="PV Only",0,BattCalcs!AU277)</f>
        <v>0</v>
      </c>
      <c r="AS277" s="144">
        <f>IF('PV IN'!$F$4="PV Only",PVCalcs!X277,IF('PV IN'!$F$4="Battery Only",BattCalcs!AW277,PVCalcs!X277+BattCalcs!AW277))</f>
        <v>0</v>
      </c>
      <c r="AT277" s="144">
        <f>IF('PV IN'!$F$4="Battery Only",0,-PVCalcs!AQ277*'PV IN'!$E$8)</f>
        <v>0</v>
      </c>
      <c r="AU277" s="144">
        <f>IF('PV IN'!$F$4="PV Only",0,-BattCalcs!CG277*'PV IN'!$E$8)</f>
        <v>0</v>
      </c>
      <c r="AV277" s="144">
        <f>IF('PV IN'!$F$4="PV Only",PVCalcs!Z277+PVCalcs!AA277,IF('PV IN'!$F$4="Battery Only",SUM(BattCalcs!BC277:BH277),PVCalcs!Z277+PVCalcs!AA277+SUM(BattCalcs!BC277:BH277)))</f>
        <v>0</v>
      </c>
      <c r="AW277" s="144">
        <f>IF('PV IN'!$F$4="PV Only",SUM(PVCalcs!AF277:AI277),IF('PV IN'!$F$4="Battery Only",SUM(BattCalcs!BL277:BY277),SUM(PVCalcs!AF277:AI277)+SUM(BattCalcs!BL277:BY277)))</f>
        <v>-1375</v>
      </c>
      <c r="AX277" s="144">
        <f>IF('PV IN'!$F$4="Battery Only",0,-PVLoan!F305)</f>
        <v>0</v>
      </c>
      <c r="AY277" s="144">
        <f>IF('PV IN'!$F$4="PV Only",0,-BattLoan!F305)</f>
        <v>0</v>
      </c>
      <c r="AZ277" s="144">
        <f>IF('PV IN'!$F$4="Battery Only",0,-PVLoan!H305)</f>
        <v>0</v>
      </c>
      <c r="BA277" s="144">
        <f>IF('PV IN'!$F$4="PV Only",0,-BattLoan!H305)</f>
        <v>0</v>
      </c>
    </row>
    <row r="278" spans="1:88" x14ac:dyDescent="0.25">
      <c r="A278" t="str">
        <f>IF(C278&lt;='PV IN'!$O$22*12,C278,"")</f>
        <v/>
      </c>
      <c r="C278">
        <v>274</v>
      </c>
      <c r="D278" s="2">
        <f>BattCalcs!CK278+PVCalcs!AT278</f>
        <v>9485.9659358913141</v>
      </c>
      <c r="E278" s="20">
        <f>PVCalcs!AV278</f>
        <v>1698199.3070423852</v>
      </c>
      <c r="F278" s="20">
        <f>PVCalcs!AW278</f>
        <v>3113.5742866991218</v>
      </c>
      <c r="G278" s="20" t="e">
        <f>PVCalcs!AX278</f>
        <v>#N/A</v>
      </c>
      <c r="H278" s="20">
        <f>BattCalcs!CM278</f>
        <v>0</v>
      </c>
      <c r="I278" s="20">
        <f>BattCalcs!CN278</f>
        <v>0</v>
      </c>
      <c r="J278" s="20" t="e">
        <f>IF(C278&lt;='Batt IN'!H$43*12,BattCalcs!CO278,NA())</f>
        <v>#N/A</v>
      </c>
      <c r="L278" s="20">
        <f t="shared" si="689"/>
        <v>3113.5742866991218</v>
      </c>
      <c r="M278" s="20" t="e">
        <f>G278+BattCalcs!CO278</f>
        <v>#N/A</v>
      </c>
      <c r="O278" s="10" t="str">
        <f>PVLoan!G306</f>
        <v>-</v>
      </c>
      <c r="P278" s="10" t="str">
        <f>PVLoan!J306</f>
        <v>-</v>
      </c>
      <c r="Q278" s="2" t="str">
        <f>BattLoan!G306</f>
        <v>-</v>
      </c>
      <c r="R278" s="10" t="str">
        <f>BattLoan!J306</f>
        <v>-</v>
      </c>
      <c r="T278" s="33">
        <f>IF('PV IN'!$F$4="Battery Only",0,PVCalcs!G278)</f>
        <v>127116.48901644422</v>
      </c>
      <c r="U278" s="33">
        <f>IF('PV IN'!$F$4="Battery Only",0,PVCalcs!M278)</f>
        <v>127116.48901644422</v>
      </c>
      <c r="V278" s="33">
        <f>PVCalcs!L278</f>
        <v>25811.765833333331</v>
      </c>
      <c r="W278" s="158">
        <f>PVCalcs!F278</f>
        <v>8.3169508674233894E-2</v>
      </c>
      <c r="X278" s="144">
        <f>IF('PV IN'!$F$4="Battery Only",0,PVCalcs!Y278+PVCalcs!Z278)</f>
        <v>0</v>
      </c>
      <c r="Y278" s="144">
        <f>IF('PV IN'!$F$4="PV Only",0,BattCalcs!AX278+BattCalcs!BC278)</f>
        <v>0</v>
      </c>
      <c r="Z278" s="144">
        <f>IF('PV IN'!$F$4="PV Only",0,BattCalcs!AY278+BattCalcs!BD278)</f>
        <v>0</v>
      </c>
      <c r="AA278" s="144">
        <f>IF('PV IN'!$F$4="PV Only",0,BattCalcs!AZ278+BattCalcs!BE278)</f>
        <v>0</v>
      </c>
      <c r="AB278" s="144">
        <f>IF('PV IN'!$F$4="PV Only",0,BattCalcs!BA278+BattCalcs!BF278)</f>
        <v>0</v>
      </c>
      <c r="AC278" s="144">
        <f>IF('PV IN'!$F$4="PV Only",0,BattCalcs!BB278+BattCalcs!BG278)</f>
        <v>0</v>
      </c>
      <c r="AD278" s="144">
        <f>IF('PV IN'!$F$4="PV Only",0,BattCalcs!BU278)</f>
        <v>0</v>
      </c>
      <c r="AE278" s="144">
        <f>IF('PV IN'!$F$4="PV Only",PVCalcs!W278+PVCalcs!AA278,IF('PV IN'!$F$4="Battery Only",BattCalcs!AV278+BattCalcs!BH278,PVCalcs!W278+PVCalcs!AA278+BattCalcs!AV278+BattCalcs!BH278))</f>
        <v>0</v>
      </c>
      <c r="AF278" s="10">
        <f>PVCalcs!AC278+BattCalcs!BJ278</f>
        <v>0</v>
      </c>
      <c r="AG278" s="144">
        <f>IF('PV IN'!$F$4="Battery Only",0,PVCalcs!AG278)</f>
        <v>-750</v>
      </c>
      <c r="AH278" s="144">
        <f>IF('PV IN'!$F$4="Battery Only",0,PVCalcs!AI278)</f>
        <v>0</v>
      </c>
      <c r="AI278" s="144">
        <f>IF('PV IN'!$F$4="PV Only",0,BattCalcs!BM278)</f>
        <v>0</v>
      </c>
      <c r="AJ278" s="144">
        <f>IF('PV IN'!$F$4="PV Only",0,SUM(BattCalcs!BO278:BT278))</f>
        <v>0</v>
      </c>
      <c r="AK278" s="144">
        <f>IF('PV IN'!$F$4="PV Only",PVCalcs!AH278,IF('PV IN'!$F$4="Battery Only",BattCalcs!BN278,PVCalcs!AH278+BattCalcs!BN278))</f>
        <v>-625</v>
      </c>
      <c r="AL278" s="144">
        <f>IF('PV IN'!$F$4="PV Only",0,BattCalcs!BV278)</f>
        <v>0</v>
      </c>
      <c r="AM278" s="144">
        <f>IF('PV IN'!$F$4="PV Only",0,SUM(BattCalcs!BW278:BX278))</f>
        <v>0</v>
      </c>
      <c r="AN278" s="144">
        <f>IF('PV IN'!$F$4="PV Only",0,BattCalcs!BY278)</f>
        <v>0</v>
      </c>
      <c r="AO278" s="144">
        <f>IF('PV IN'!$F$4="Battery Only",0,PVCalcs!U278)</f>
        <v>10572.215935891314</v>
      </c>
      <c r="AP278" s="10">
        <f>IF('PV IN'!$F$4="PV Only",0,BattCalcs!AS278)</f>
        <v>0</v>
      </c>
      <c r="AQ278" s="10">
        <f>IF('PV IN'!$F$4="PV Only",0,BattCalcs!AT278)</f>
        <v>0</v>
      </c>
      <c r="AR278" s="10">
        <f>IF('PV IN'!$F$4="PV Only",0,BattCalcs!AU278)</f>
        <v>0</v>
      </c>
      <c r="AS278" s="144">
        <f>IF('PV IN'!$F$4="PV Only",PVCalcs!X278,IF('PV IN'!$F$4="Battery Only",BattCalcs!AW278,PVCalcs!X278+BattCalcs!AW278))</f>
        <v>0</v>
      </c>
      <c r="AT278" s="144">
        <f>IF('PV IN'!$F$4="Battery Only",0,-PVCalcs!AQ278*'PV IN'!$E$8)</f>
        <v>0</v>
      </c>
      <c r="AU278" s="144">
        <f>IF('PV IN'!$F$4="PV Only",0,-BattCalcs!CG278*'PV IN'!$E$8)</f>
        <v>0</v>
      </c>
      <c r="AV278" s="144">
        <f>IF('PV IN'!$F$4="PV Only",PVCalcs!Z278+PVCalcs!AA278,IF('PV IN'!$F$4="Battery Only",SUM(BattCalcs!BC278:BH278),PVCalcs!Z278+PVCalcs!AA278+SUM(BattCalcs!BC278:BH278)))</f>
        <v>0</v>
      </c>
      <c r="AW278" s="144">
        <f>IF('PV IN'!$F$4="PV Only",SUM(PVCalcs!AF278:AI278),IF('PV IN'!$F$4="Battery Only",SUM(BattCalcs!BL278:BY278),SUM(PVCalcs!AF278:AI278)+SUM(BattCalcs!BL278:BY278)))</f>
        <v>-1375</v>
      </c>
      <c r="AX278" s="144">
        <f>IF('PV IN'!$F$4="Battery Only",0,-PVLoan!F306)</f>
        <v>0</v>
      </c>
      <c r="AY278" s="144">
        <f>IF('PV IN'!$F$4="PV Only",0,-BattLoan!F306)</f>
        <v>0</v>
      </c>
      <c r="AZ278" s="144">
        <f>IF('PV IN'!$F$4="Battery Only",0,-PVLoan!H306)</f>
        <v>0</v>
      </c>
      <c r="BA278" s="144">
        <f>IF('PV IN'!$F$4="PV Only",0,-BattLoan!H306)</f>
        <v>0</v>
      </c>
    </row>
    <row r="279" spans="1:88" x14ac:dyDescent="0.25">
      <c r="A279" t="str">
        <f>IF(C279&lt;='PV IN'!$O$22*12,C279,"")</f>
        <v/>
      </c>
      <c r="C279">
        <v>275</v>
      </c>
      <c r="D279" s="2">
        <f>BattCalcs!CK279+PVCalcs!AT279</f>
        <v>9478.9177919340545</v>
      </c>
      <c r="E279" s="20">
        <f>PVCalcs!AV279</f>
        <v>1707678.2248343192</v>
      </c>
      <c r="F279" s="20">
        <f>PVCalcs!AW279</f>
        <v>3098.6366483462925</v>
      </c>
      <c r="G279" s="20" t="e">
        <f>PVCalcs!AX279</f>
        <v>#N/A</v>
      </c>
      <c r="H279" s="20">
        <f>BattCalcs!CM279</f>
        <v>0</v>
      </c>
      <c r="I279" s="20">
        <f>BattCalcs!CN279</f>
        <v>0</v>
      </c>
      <c r="J279" s="20" t="e">
        <f>IF(C279&lt;='Batt IN'!H$43*12,BattCalcs!CO279,NA())</f>
        <v>#N/A</v>
      </c>
      <c r="L279" s="20">
        <f t="shared" si="689"/>
        <v>3098.6366483462925</v>
      </c>
      <c r="M279" s="20" t="e">
        <f>G279+BattCalcs!CO279</f>
        <v>#N/A</v>
      </c>
      <c r="O279" s="10" t="str">
        <f>PVLoan!G307</f>
        <v>-</v>
      </c>
      <c r="P279" s="10" t="str">
        <f>PVLoan!J307</f>
        <v>-</v>
      </c>
      <c r="Q279" s="2" t="str">
        <f>BattLoan!G307</f>
        <v>-</v>
      </c>
      <c r="R279" s="10" t="str">
        <f>BattLoan!J307</f>
        <v>-</v>
      </c>
      <c r="T279" s="33">
        <f>IF('PV IN'!$F$4="Battery Only",0,PVCalcs!G279)</f>
        <v>127031.74469043326</v>
      </c>
      <c r="U279" s="33">
        <f>IF('PV IN'!$F$4="Battery Only",0,PVCalcs!M279)</f>
        <v>127031.74469043326</v>
      </c>
      <c r="V279" s="33">
        <f>PVCalcs!L279</f>
        <v>25811.765833333331</v>
      </c>
      <c r="W279" s="158">
        <f>PVCalcs!F279</f>
        <v>8.3169508674233894E-2</v>
      </c>
      <c r="X279" s="144">
        <f>IF('PV IN'!$F$4="Battery Only",0,PVCalcs!Y279+PVCalcs!Z279)</f>
        <v>0</v>
      </c>
      <c r="Y279" s="144">
        <f>IF('PV IN'!$F$4="PV Only",0,BattCalcs!AX279+BattCalcs!BC279)</f>
        <v>0</v>
      </c>
      <c r="Z279" s="144">
        <f>IF('PV IN'!$F$4="PV Only",0,BattCalcs!AY279+BattCalcs!BD279)</f>
        <v>0</v>
      </c>
      <c r="AA279" s="144">
        <f>IF('PV IN'!$F$4="PV Only",0,BattCalcs!AZ279+BattCalcs!BE279)</f>
        <v>0</v>
      </c>
      <c r="AB279" s="144">
        <f>IF('PV IN'!$F$4="PV Only",0,BattCalcs!BA279+BattCalcs!BF279)</f>
        <v>0</v>
      </c>
      <c r="AC279" s="144">
        <f>IF('PV IN'!$F$4="PV Only",0,BattCalcs!BB279+BattCalcs!BG279)</f>
        <v>0</v>
      </c>
      <c r="AD279" s="144">
        <f>IF('PV IN'!$F$4="PV Only",0,BattCalcs!BU279)</f>
        <v>0</v>
      </c>
      <c r="AE279" s="144">
        <f>IF('PV IN'!$F$4="PV Only",PVCalcs!W279+PVCalcs!AA279,IF('PV IN'!$F$4="Battery Only",BattCalcs!AV279+BattCalcs!BH279,PVCalcs!W279+PVCalcs!AA279+BattCalcs!AV279+BattCalcs!BH279))</f>
        <v>0</v>
      </c>
      <c r="AF279" s="10">
        <f>PVCalcs!AC279+BattCalcs!BJ279</f>
        <v>0</v>
      </c>
      <c r="AG279" s="144">
        <f>IF('PV IN'!$F$4="Battery Only",0,PVCalcs!AG279)</f>
        <v>-750</v>
      </c>
      <c r="AH279" s="144">
        <f>IF('PV IN'!$F$4="Battery Only",0,PVCalcs!AI279)</f>
        <v>0</v>
      </c>
      <c r="AI279" s="144">
        <f>IF('PV IN'!$F$4="PV Only",0,BattCalcs!BM279)</f>
        <v>0</v>
      </c>
      <c r="AJ279" s="144">
        <f>IF('PV IN'!$F$4="PV Only",0,SUM(BattCalcs!BO279:BT279))</f>
        <v>0</v>
      </c>
      <c r="AK279" s="144">
        <f>IF('PV IN'!$F$4="PV Only",PVCalcs!AH279,IF('PV IN'!$F$4="Battery Only",BattCalcs!BN279,PVCalcs!AH279+BattCalcs!BN279))</f>
        <v>-625</v>
      </c>
      <c r="AL279" s="144">
        <f>IF('PV IN'!$F$4="PV Only",0,BattCalcs!BV279)</f>
        <v>0</v>
      </c>
      <c r="AM279" s="144">
        <f>IF('PV IN'!$F$4="PV Only",0,SUM(BattCalcs!BW279:BX279))</f>
        <v>0</v>
      </c>
      <c r="AN279" s="144">
        <f>IF('PV IN'!$F$4="PV Only",0,BattCalcs!BY279)</f>
        <v>0</v>
      </c>
      <c r="AO279" s="144">
        <f>IF('PV IN'!$F$4="Battery Only",0,PVCalcs!U279)</f>
        <v>10565.167791934055</v>
      </c>
      <c r="AP279" s="10">
        <f>IF('PV IN'!$F$4="PV Only",0,BattCalcs!AS279)</f>
        <v>0</v>
      </c>
      <c r="AQ279" s="10">
        <f>IF('PV IN'!$F$4="PV Only",0,BattCalcs!AT279)</f>
        <v>0</v>
      </c>
      <c r="AR279" s="10">
        <f>IF('PV IN'!$F$4="PV Only",0,BattCalcs!AU279)</f>
        <v>0</v>
      </c>
      <c r="AS279" s="144">
        <f>IF('PV IN'!$F$4="PV Only",PVCalcs!X279,IF('PV IN'!$F$4="Battery Only",BattCalcs!AW279,PVCalcs!X279+BattCalcs!AW279))</f>
        <v>0</v>
      </c>
      <c r="AT279" s="144">
        <f>IF('PV IN'!$F$4="Battery Only",0,-PVCalcs!AQ279*'PV IN'!$E$8)</f>
        <v>0</v>
      </c>
      <c r="AU279" s="144">
        <f>IF('PV IN'!$F$4="PV Only",0,-BattCalcs!CG279*'PV IN'!$E$8)</f>
        <v>0</v>
      </c>
      <c r="AV279" s="144">
        <f>IF('PV IN'!$F$4="PV Only",PVCalcs!Z279+PVCalcs!AA279,IF('PV IN'!$F$4="Battery Only",SUM(BattCalcs!BC279:BH279),PVCalcs!Z279+PVCalcs!AA279+SUM(BattCalcs!BC279:BH279)))</f>
        <v>0</v>
      </c>
      <c r="AW279" s="144">
        <f>IF('PV IN'!$F$4="PV Only",SUM(PVCalcs!AF279:AI279),IF('PV IN'!$F$4="Battery Only",SUM(BattCalcs!BL279:BY279),SUM(PVCalcs!AF279:AI279)+SUM(BattCalcs!BL279:BY279)))</f>
        <v>-1375</v>
      </c>
      <c r="AX279" s="144">
        <f>IF('PV IN'!$F$4="Battery Only",0,-PVLoan!F307)</f>
        <v>0</v>
      </c>
      <c r="AY279" s="144">
        <f>IF('PV IN'!$F$4="PV Only",0,-BattLoan!F307)</f>
        <v>0</v>
      </c>
      <c r="AZ279" s="144">
        <f>IF('PV IN'!$F$4="Battery Only",0,-PVLoan!H307)</f>
        <v>0</v>
      </c>
      <c r="BA279" s="144">
        <f>IF('PV IN'!$F$4="PV Only",0,-BattLoan!H307)</f>
        <v>0</v>
      </c>
    </row>
    <row r="280" spans="1:88" x14ac:dyDescent="0.25">
      <c r="A280" t="str">
        <f>IF(C280&lt;='PV IN'!$O$22*12,C280,"")</f>
        <v/>
      </c>
      <c r="B280">
        <f>B268+1</f>
        <v>2048</v>
      </c>
      <c r="C280">
        <v>276</v>
      </c>
      <c r="D280" s="2">
        <f>BattCalcs!CK280+PVCalcs!AT280</f>
        <v>9471.8743467394324</v>
      </c>
      <c r="E280" s="20">
        <f>PVCalcs!AV280</f>
        <v>1717150.0991810586</v>
      </c>
      <c r="F280" s="20">
        <f>PVCalcs!AW280</f>
        <v>3083.7704994109272</v>
      </c>
      <c r="G280" s="20" t="e">
        <f>PVCalcs!AX280</f>
        <v>#N/A</v>
      </c>
      <c r="H280" s="20">
        <f>BattCalcs!CM280</f>
        <v>0</v>
      </c>
      <c r="I280" s="20">
        <f>BattCalcs!CN280</f>
        <v>0</v>
      </c>
      <c r="J280" s="20" t="e">
        <f>IF(C280&lt;='Batt IN'!H$43*12,BattCalcs!CO280,NA())</f>
        <v>#N/A</v>
      </c>
      <c r="L280" s="20">
        <f t="shared" si="689"/>
        <v>3083.7704994109272</v>
      </c>
      <c r="M280" s="20" t="e">
        <f>G280+BattCalcs!CO280</f>
        <v>#N/A</v>
      </c>
      <c r="N280" s="20"/>
      <c r="O280" s="10" t="str">
        <f>PVLoan!G308</f>
        <v>-</v>
      </c>
      <c r="P280" s="10" t="str">
        <f>PVLoan!J308</f>
        <v>-</v>
      </c>
      <c r="Q280" s="2" t="str">
        <f>BattLoan!G308</f>
        <v>-</v>
      </c>
      <c r="R280" s="10" t="str">
        <f>BattLoan!J308</f>
        <v>-</v>
      </c>
      <c r="T280" s="33">
        <f>IF('PV IN'!$F$4="Battery Only",0,PVCalcs!G280)</f>
        <v>126947.05686063964</v>
      </c>
      <c r="U280" s="33">
        <f>IF('PV IN'!$F$4="Battery Only",0,PVCalcs!M280)</f>
        <v>126947.05686063964</v>
      </c>
      <c r="V280" s="33">
        <f>PVCalcs!L280</f>
        <v>25811.765833333331</v>
      </c>
      <c r="W280" s="158">
        <f>PVCalcs!F280</f>
        <v>8.3169508674233894E-2</v>
      </c>
      <c r="X280" s="144">
        <f>IF('PV IN'!$F$4="Battery Only",0,PVCalcs!Y280+PVCalcs!Z280)</f>
        <v>0</v>
      </c>
      <c r="Y280" s="144">
        <f>IF('PV IN'!$F$4="PV Only",0,BattCalcs!AX280+BattCalcs!BC280)</f>
        <v>0</v>
      </c>
      <c r="Z280" s="144">
        <f>IF('PV IN'!$F$4="PV Only",0,BattCalcs!AY280+BattCalcs!BD280)</f>
        <v>0</v>
      </c>
      <c r="AA280" s="144">
        <f>IF('PV IN'!$F$4="PV Only",0,BattCalcs!AZ280+BattCalcs!BE280)</f>
        <v>0</v>
      </c>
      <c r="AB280" s="144">
        <f>IF('PV IN'!$F$4="PV Only",0,BattCalcs!BA280+BattCalcs!BF280)</f>
        <v>0</v>
      </c>
      <c r="AC280" s="144">
        <f>IF('PV IN'!$F$4="PV Only",0,BattCalcs!BB280+BattCalcs!BG280)</f>
        <v>0</v>
      </c>
      <c r="AD280" s="144">
        <f>IF('PV IN'!$F$4="PV Only",0,BattCalcs!BU280)</f>
        <v>0</v>
      </c>
      <c r="AE280" s="144">
        <f>IF('PV IN'!$F$4="PV Only",PVCalcs!W280+PVCalcs!AA280,IF('PV IN'!$F$4="Battery Only",BattCalcs!AV280+BattCalcs!BH280,PVCalcs!W280+PVCalcs!AA280+BattCalcs!AV280+BattCalcs!BH280))</f>
        <v>0</v>
      </c>
      <c r="AF280" s="10">
        <f>PVCalcs!AC280+BattCalcs!BJ280</f>
        <v>0</v>
      </c>
      <c r="AG280" s="144">
        <f>IF('PV IN'!$F$4="Battery Only",0,PVCalcs!AG280)</f>
        <v>-750</v>
      </c>
      <c r="AH280" s="144">
        <f>IF('PV IN'!$F$4="Battery Only",0,PVCalcs!AI280)</f>
        <v>0</v>
      </c>
      <c r="AI280" s="144">
        <f>IF('PV IN'!$F$4="PV Only",0,BattCalcs!BM280)</f>
        <v>0</v>
      </c>
      <c r="AJ280" s="144">
        <f>IF('PV IN'!$F$4="PV Only",0,SUM(BattCalcs!BO280:BT280))</f>
        <v>0</v>
      </c>
      <c r="AK280" s="144">
        <f>IF('PV IN'!$F$4="PV Only",PVCalcs!AH280,IF('PV IN'!$F$4="Battery Only",BattCalcs!BN280,PVCalcs!AH280+BattCalcs!BN280))</f>
        <v>-625</v>
      </c>
      <c r="AL280" s="144">
        <f>IF('PV IN'!$F$4="PV Only",0,BattCalcs!BV280)</f>
        <v>0</v>
      </c>
      <c r="AM280" s="144">
        <f>IF('PV IN'!$F$4="PV Only",0,SUM(BattCalcs!BW280:BX280))</f>
        <v>0</v>
      </c>
      <c r="AN280" s="144">
        <f>IF('PV IN'!$F$4="PV Only",0,BattCalcs!BY280)</f>
        <v>0</v>
      </c>
      <c r="AO280" s="144">
        <f>IF('PV IN'!$F$4="Battery Only",0,PVCalcs!U280)</f>
        <v>10558.124346739432</v>
      </c>
      <c r="AP280" s="10">
        <f>IF('PV IN'!$F$4="PV Only",0,BattCalcs!AS280)</f>
        <v>0</v>
      </c>
      <c r="AQ280" s="10">
        <f>IF('PV IN'!$F$4="PV Only",0,BattCalcs!AT280)</f>
        <v>0</v>
      </c>
      <c r="AR280" s="10">
        <f>IF('PV IN'!$F$4="PV Only",0,BattCalcs!AU280)</f>
        <v>0</v>
      </c>
      <c r="AS280" s="144">
        <f>IF('PV IN'!$F$4="PV Only",PVCalcs!X280,IF('PV IN'!$F$4="Battery Only",BattCalcs!AW280,PVCalcs!X280+BattCalcs!AW280))</f>
        <v>0</v>
      </c>
      <c r="AT280" s="144">
        <f>IF('PV IN'!$F$4="Battery Only",0,-PVCalcs!AQ280*'PV IN'!$E$8)</f>
        <v>0</v>
      </c>
      <c r="AU280" s="144">
        <f>IF('PV IN'!$F$4="PV Only",0,-BattCalcs!CG280*'PV IN'!$E$8)</f>
        <v>0</v>
      </c>
      <c r="AV280" s="144">
        <f>IF('PV IN'!$F$4="PV Only",PVCalcs!Z280+PVCalcs!AA280,IF('PV IN'!$F$4="Battery Only",SUM(BattCalcs!BC280:BH280),PVCalcs!Z280+PVCalcs!AA280+SUM(BattCalcs!BC280:BH280)))</f>
        <v>0</v>
      </c>
      <c r="AW280" s="144">
        <f>IF('PV IN'!$F$4="PV Only",SUM(PVCalcs!AF280:AI280),IF('PV IN'!$F$4="Battery Only",SUM(BattCalcs!BL280:BY280),SUM(PVCalcs!AF280:AI280)+SUM(BattCalcs!BL280:BY280)))</f>
        <v>-1375</v>
      </c>
      <c r="AX280" s="144">
        <f>IF('PV IN'!$F$4="Battery Only",0,-PVLoan!F308)</f>
        <v>0</v>
      </c>
      <c r="AY280" s="144">
        <f>IF('PV IN'!$F$4="PV Only",0,-BattLoan!F308)</f>
        <v>0</v>
      </c>
      <c r="AZ280" s="144">
        <f>IF('PV IN'!$F$4="Battery Only",0,-PVLoan!H308)</f>
        <v>0</v>
      </c>
      <c r="BA280" s="144">
        <f>IF('PV IN'!$F$4="PV Only",0,-BattLoan!H308)</f>
        <v>0</v>
      </c>
      <c r="BC280" s="33">
        <f t="shared" ref="BC280" si="724">SUM(T269:T280)</f>
        <v>1528966.5269379881</v>
      </c>
      <c r="BD280" s="33">
        <f t="shared" ref="BD280" si="725">SUM(U269:U280)</f>
        <v>1528966.5269379881</v>
      </c>
      <c r="BE280" s="33">
        <f t="shared" ref="BE280" si="726">SUM(V269:V280)</f>
        <v>309741.19</v>
      </c>
      <c r="BF280" s="50">
        <f t="shared" ref="BF280" si="727">W280</f>
        <v>8.3169508674233894E-2</v>
      </c>
      <c r="BG280" s="2">
        <f t="shared" ref="BG280" si="728">SUM(X269:X280)</f>
        <v>0</v>
      </c>
      <c r="BH280" s="2">
        <f t="shared" ref="BH280" si="729">SUM(Y269:Y280)</f>
        <v>0</v>
      </c>
      <c r="BI280" s="2">
        <f t="shared" ref="BI280" si="730">SUM(Z269:Z280)</f>
        <v>0</v>
      </c>
      <c r="BJ280" s="2">
        <f t="shared" ref="BJ280" si="731">SUM(AA269:AA280)</f>
        <v>0</v>
      </c>
      <c r="BK280" s="2">
        <f t="shared" ref="BK280" si="732">SUM(AB269:AB280)</f>
        <v>0</v>
      </c>
      <c r="BL280" s="2">
        <f t="shared" ref="BL280" si="733">SUM(AC269:AC280)</f>
        <v>0</v>
      </c>
      <c r="BM280" s="2">
        <f t="shared" ref="BM280" si="734">SUM(AD269:AD280)</f>
        <v>0</v>
      </c>
      <c r="BN280" s="2">
        <f t="shared" ref="BN280" si="735">SUM(AE269:AE280)</f>
        <v>0</v>
      </c>
      <c r="BO280" s="2">
        <f t="shared" ref="BO280" si="736">SUM(AF269:AF280)</f>
        <v>0</v>
      </c>
      <c r="BP280" s="2">
        <f t="shared" ref="BP280" si="737">SUM(AG269:AG280)</f>
        <v>-9000</v>
      </c>
      <c r="BQ280" s="2">
        <f t="shared" ref="BQ280" si="738">SUM(AH269:AH280)</f>
        <v>0</v>
      </c>
      <c r="BR280" s="2">
        <f t="shared" ref="BR280" si="739">SUM(AI269:AI280)</f>
        <v>0</v>
      </c>
      <c r="BS280" s="2">
        <f t="shared" ref="BS280" si="740">SUM(AJ269:AJ280)</f>
        <v>0</v>
      </c>
      <c r="BT280" s="2">
        <f t="shared" ref="BT280" si="741">SUM(AK269:AK280)</f>
        <v>-7500</v>
      </c>
      <c r="BU280" s="2">
        <f t="shared" ref="BU280" si="742">SUM(AL269:AL280)</f>
        <v>0</v>
      </c>
      <c r="BV280" s="2">
        <f t="shared" ref="BV280" si="743">SUM(AM269:AM280)</f>
        <v>0</v>
      </c>
      <c r="BW280" s="2">
        <f t="shared" ref="BW280" si="744">SUM(AN269:AN280)</f>
        <v>0</v>
      </c>
      <c r="BX280" s="2">
        <f t="shared" ref="BX280" si="745">SUM(AO269:AO280)</f>
        <v>127163.39482478228</v>
      </c>
      <c r="BY280" s="2">
        <f t="shared" ref="BY280" si="746">SUM(AP269:AP280)</f>
        <v>0</v>
      </c>
      <c r="BZ280" s="2">
        <f t="shared" ref="BZ280" si="747">SUM(AQ269:AQ280)</f>
        <v>0</v>
      </c>
      <c r="CA280" s="2">
        <f t="shared" ref="CA280" si="748">SUM(AR269:AR280)</f>
        <v>0</v>
      </c>
      <c r="CB280" s="2">
        <f t="shared" ref="CB280" si="749">SUM(AS269:AS280)</f>
        <v>0</v>
      </c>
      <c r="CC280" s="2">
        <f t="shared" ref="CC280" si="750">SUM(AT269:AT280)</f>
        <v>0</v>
      </c>
      <c r="CD280" s="2">
        <f t="shared" ref="CD280" si="751">SUM(AU269:AU280)</f>
        <v>0</v>
      </c>
      <c r="CE280" s="2">
        <f t="shared" ref="CE280" si="752">SUM(AV269:AV280)</f>
        <v>0</v>
      </c>
      <c r="CF280" s="2">
        <f t="shared" ref="CF280" si="753">SUM(AW269:AW280)</f>
        <v>-16500</v>
      </c>
      <c r="CG280" s="2">
        <f t="shared" ref="CG280" si="754">SUM(AX269:AX280)</f>
        <v>0</v>
      </c>
      <c r="CH280" s="2">
        <f t="shared" ref="CH280" si="755">SUM(AY269:AY280)</f>
        <v>0</v>
      </c>
      <c r="CI280" s="2">
        <f t="shared" ref="CI280" si="756">SUM(AZ269:AZ280)</f>
        <v>0</v>
      </c>
      <c r="CJ280" s="2">
        <f t="shared" ref="CJ280" si="757">SUM(BA269:BA280)</f>
        <v>0</v>
      </c>
    </row>
    <row r="281" spans="1:88" x14ac:dyDescent="0.25">
      <c r="A281" t="str">
        <f>IF(C281&lt;='PV IN'!$O$22*12,C281,"")</f>
        <v/>
      </c>
      <c r="C281">
        <v>277</v>
      </c>
      <c r="D281" s="2">
        <f>BattCalcs!CK281+PVCalcs!AT281</f>
        <v>9404.4141312180145</v>
      </c>
      <c r="E281" s="20">
        <f>PVCalcs!AV281</f>
        <v>1726554.5133122767</v>
      </c>
      <c r="F281" s="20">
        <f>PVCalcs!AW281</f>
        <v>3049.383821800418</v>
      </c>
      <c r="G281" s="20" t="e">
        <f>PVCalcs!AX281</f>
        <v>#N/A</v>
      </c>
      <c r="H281" s="20">
        <f>BattCalcs!CM281</f>
        <v>0</v>
      </c>
      <c r="I281" s="20">
        <f>BattCalcs!CN281</f>
        <v>0</v>
      </c>
      <c r="J281" s="20" t="e">
        <f>IF(C281&lt;='Batt IN'!H$43*12,BattCalcs!CO281,NA())</f>
        <v>#N/A</v>
      </c>
      <c r="L281" s="20">
        <f t="shared" si="689"/>
        <v>3049.383821800418</v>
      </c>
      <c r="M281" s="20" t="e">
        <f>G281+BattCalcs!CO281</f>
        <v>#N/A</v>
      </c>
      <c r="O281" s="10" t="str">
        <f>PVLoan!G309</f>
        <v>-</v>
      </c>
      <c r="P281" s="10" t="str">
        <f>PVLoan!J309</f>
        <v>-</v>
      </c>
      <c r="Q281" s="2" t="str">
        <f>BattLoan!G309</f>
        <v>-</v>
      </c>
      <c r="R281" s="10" t="str">
        <f>BattLoan!J309</f>
        <v>-</v>
      </c>
      <c r="T281" s="33">
        <f>IF('PV IN'!$F$4="Battery Only",0,PVCalcs!G281)</f>
        <v>126862.4254893992</v>
      </c>
      <c r="U281" s="33">
        <f>IF('PV IN'!$F$4="Battery Only",0,PVCalcs!M281)</f>
        <v>126862.4254893992</v>
      </c>
      <c r="V281" s="33">
        <f>PVCalcs!L281</f>
        <v>25811.765833333331</v>
      </c>
      <c r="W281" s="158">
        <f>PVCalcs!F281</f>
        <v>8.2693233167724894E-2</v>
      </c>
      <c r="X281" s="144">
        <f>IF('PV IN'!$F$4="Battery Only",0,PVCalcs!Y281+PVCalcs!Z281)</f>
        <v>0</v>
      </c>
      <c r="Y281" s="144">
        <f>IF('PV IN'!$F$4="PV Only",0,BattCalcs!AX281+BattCalcs!BC281)</f>
        <v>0</v>
      </c>
      <c r="Z281" s="144">
        <f>IF('PV IN'!$F$4="PV Only",0,BattCalcs!AY281+BattCalcs!BD281)</f>
        <v>0</v>
      </c>
      <c r="AA281" s="144">
        <f>IF('PV IN'!$F$4="PV Only",0,BattCalcs!AZ281+BattCalcs!BE281)</f>
        <v>0</v>
      </c>
      <c r="AB281" s="144">
        <f>IF('PV IN'!$F$4="PV Only",0,BattCalcs!BA281+BattCalcs!BF281)</f>
        <v>0</v>
      </c>
      <c r="AC281" s="144">
        <f>IF('PV IN'!$F$4="PV Only",0,BattCalcs!BB281+BattCalcs!BG281)</f>
        <v>0</v>
      </c>
      <c r="AD281" s="144">
        <f>IF('PV IN'!$F$4="PV Only",0,BattCalcs!BU281)</f>
        <v>0</v>
      </c>
      <c r="AE281" s="144">
        <f>IF('PV IN'!$F$4="PV Only",PVCalcs!W281+PVCalcs!AA281,IF('PV IN'!$F$4="Battery Only",BattCalcs!AV281+BattCalcs!BH281,PVCalcs!W281+PVCalcs!AA281+BattCalcs!AV281+BattCalcs!BH281))</f>
        <v>0</v>
      </c>
      <c r="AF281" s="10">
        <f>PVCalcs!AC281+BattCalcs!BJ281</f>
        <v>0</v>
      </c>
      <c r="AG281" s="144">
        <f>IF('PV IN'!$F$4="Battery Only",0,PVCalcs!AG281)</f>
        <v>-750</v>
      </c>
      <c r="AH281" s="144">
        <f>IF('PV IN'!$F$4="Battery Only",0,PVCalcs!AI281)</f>
        <v>0</v>
      </c>
      <c r="AI281" s="144">
        <f>IF('PV IN'!$F$4="PV Only",0,BattCalcs!BM281)</f>
        <v>0</v>
      </c>
      <c r="AJ281" s="144">
        <f>IF('PV IN'!$F$4="PV Only",0,SUM(BattCalcs!BO281:BT281))</f>
        <v>0</v>
      </c>
      <c r="AK281" s="144">
        <f>IF('PV IN'!$F$4="PV Only",PVCalcs!AH281,IF('PV IN'!$F$4="Battery Only",BattCalcs!BN281,PVCalcs!AH281+BattCalcs!BN281))</f>
        <v>-625</v>
      </c>
      <c r="AL281" s="144">
        <f>IF('PV IN'!$F$4="PV Only",0,BattCalcs!BV281)</f>
        <v>0</v>
      </c>
      <c r="AM281" s="144">
        <f>IF('PV IN'!$F$4="PV Only",0,SUM(BattCalcs!BW281:BX281))</f>
        <v>0</v>
      </c>
      <c r="AN281" s="144">
        <f>IF('PV IN'!$F$4="PV Only",0,BattCalcs!BY281)</f>
        <v>0</v>
      </c>
      <c r="AO281" s="144">
        <f>IF('PV IN'!$F$4="Battery Only",0,PVCalcs!U281)</f>
        <v>10490.664131218015</v>
      </c>
      <c r="AP281" s="10">
        <f>IF('PV IN'!$F$4="PV Only",0,BattCalcs!AS281)</f>
        <v>0</v>
      </c>
      <c r="AQ281" s="10">
        <f>IF('PV IN'!$F$4="PV Only",0,BattCalcs!AT281)</f>
        <v>0</v>
      </c>
      <c r="AR281" s="10">
        <f>IF('PV IN'!$F$4="PV Only",0,BattCalcs!AU281)</f>
        <v>0</v>
      </c>
      <c r="AS281" s="144">
        <f>IF('PV IN'!$F$4="PV Only",PVCalcs!X281,IF('PV IN'!$F$4="Battery Only",BattCalcs!AW281,PVCalcs!X281+BattCalcs!AW281))</f>
        <v>0</v>
      </c>
      <c r="AT281" s="144">
        <f>IF('PV IN'!$F$4="Battery Only",0,-PVCalcs!AQ281*'PV IN'!$E$8)</f>
        <v>0</v>
      </c>
      <c r="AU281" s="144">
        <f>IF('PV IN'!$F$4="PV Only",0,-BattCalcs!CG281*'PV IN'!$E$8)</f>
        <v>0</v>
      </c>
      <c r="AV281" s="144">
        <f>IF('PV IN'!$F$4="PV Only",PVCalcs!Z281+PVCalcs!AA281,IF('PV IN'!$F$4="Battery Only",SUM(BattCalcs!BC281:BH281),PVCalcs!Z281+PVCalcs!AA281+SUM(BattCalcs!BC281:BH281)))</f>
        <v>0</v>
      </c>
      <c r="AW281" s="144">
        <f>IF('PV IN'!$F$4="PV Only",SUM(PVCalcs!AF281:AI281),IF('PV IN'!$F$4="Battery Only",SUM(BattCalcs!BL281:BY281),SUM(PVCalcs!AF281:AI281)+SUM(BattCalcs!BL281:BY281)))</f>
        <v>-1375</v>
      </c>
      <c r="AX281" s="144">
        <f>IF('PV IN'!$F$4="Battery Only",0,-PVLoan!F309)</f>
        <v>0</v>
      </c>
      <c r="AY281" s="144">
        <f>IF('PV IN'!$F$4="PV Only",0,-BattLoan!F309)</f>
        <v>0</v>
      </c>
      <c r="AZ281" s="144">
        <f>IF('PV IN'!$F$4="Battery Only",0,-PVLoan!H309)</f>
        <v>0</v>
      </c>
      <c r="BA281" s="144">
        <f>IF('PV IN'!$F$4="PV Only",0,-BattLoan!H309)</f>
        <v>0</v>
      </c>
    </row>
    <row r="282" spans="1:88" x14ac:dyDescent="0.25">
      <c r="A282" t="str">
        <f>IF(C282&lt;='PV IN'!$O$22*12,C282,"")</f>
        <v/>
      </c>
      <c r="C282">
        <v>278</v>
      </c>
      <c r="D282" s="2">
        <f>BattCalcs!CK282+PVCalcs!AT282</f>
        <v>9397.4203551305345</v>
      </c>
      <c r="E282" s="20">
        <f>PVCalcs!AV282</f>
        <v>1735951.9336674071</v>
      </c>
      <c r="F282" s="20">
        <f>PVCalcs!AW282</f>
        <v>3034.7521321761392</v>
      </c>
      <c r="G282" s="20" t="e">
        <f>PVCalcs!AX282</f>
        <v>#N/A</v>
      </c>
      <c r="H282" s="20">
        <f>BattCalcs!CM282</f>
        <v>0</v>
      </c>
      <c r="I282" s="20">
        <f>BattCalcs!CN282</f>
        <v>0</v>
      </c>
      <c r="J282" s="20" t="e">
        <f>IF(C282&lt;='Batt IN'!H$43*12,BattCalcs!CO282,NA())</f>
        <v>#N/A</v>
      </c>
      <c r="L282" s="20">
        <f t="shared" si="689"/>
        <v>3034.7521321761392</v>
      </c>
      <c r="M282" s="20" t="e">
        <f>G282+BattCalcs!CO282</f>
        <v>#N/A</v>
      </c>
      <c r="O282" s="10" t="str">
        <f>PVLoan!G310</f>
        <v>-</v>
      </c>
      <c r="P282" s="10" t="str">
        <f>PVLoan!J310</f>
        <v>-</v>
      </c>
      <c r="Q282" s="2" t="str">
        <f>BattLoan!G310</f>
        <v>-</v>
      </c>
      <c r="R282" s="10" t="str">
        <f>BattLoan!J310</f>
        <v>-</v>
      </c>
      <c r="T282" s="33">
        <f>IF('PV IN'!$F$4="Battery Only",0,PVCalcs!G282)</f>
        <v>126777.85053907293</v>
      </c>
      <c r="U282" s="33">
        <f>IF('PV IN'!$F$4="Battery Only",0,PVCalcs!M282)</f>
        <v>126777.85053907293</v>
      </c>
      <c r="V282" s="33">
        <f>PVCalcs!L282</f>
        <v>25811.765833333331</v>
      </c>
      <c r="W282" s="158">
        <f>PVCalcs!F282</f>
        <v>8.2693233167724894E-2</v>
      </c>
      <c r="X282" s="144">
        <f>IF('PV IN'!$F$4="Battery Only",0,PVCalcs!Y282+PVCalcs!Z282)</f>
        <v>0</v>
      </c>
      <c r="Y282" s="144">
        <f>IF('PV IN'!$F$4="PV Only",0,BattCalcs!AX282+BattCalcs!BC282)</f>
        <v>0</v>
      </c>
      <c r="Z282" s="144">
        <f>IF('PV IN'!$F$4="PV Only",0,BattCalcs!AY282+BattCalcs!BD282)</f>
        <v>0</v>
      </c>
      <c r="AA282" s="144">
        <f>IF('PV IN'!$F$4="PV Only",0,BattCalcs!AZ282+BattCalcs!BE282)</f>
        <v>0</v>
      </c>
      <c r="AB282" s="144">
        <f>IF('PV IN'!$F$4="PV Only",0,BattCalcs!BA282+BattCalcs!BF282)</f>
        <v>0</v>
      </c>
      <c r="AC282" s="144">
        <f>IF('PV IN'!$F$4="PV Only",0,BattCalcs!BB282+BattCalcs!BG282)</f>
        <v>0</v>
      </c>
      <c r="AD282" s="144">
        <f>IF('PV IN'!$F$4="PV Only",0,BattCalcs!BU282)</f>
        <v>0</v>
      </c>
      <c r="AE282" s="144">
        <f>IF('PV IN'!$F$4="PV Only",PVCalcs!W282+PVCalcs!AA282,IF('PV IN'!$F$4="Battery Only",BattCalcs!AV282+BattCalcs!BH282,PVCalcs!W282+PVCalcs!AA282+BattCalcs!AV282+BattCalcs!BH282))</f>
        <v>0</v>
      </c>
      <c r="AF282" s="10">
        <f>PVCalcs!AC282+BattCalcs!BJ282</f>
        <v>0</v>
      </c>
      <c r="AG282" s="144">
        <f>IF('PV IN'!$F$4="Battery Only",0,PVCalcs!AG282)</f>
        <v>-750</v>
      </c>
      <c r="AH282" s="144">
        <f>IF('PV IN'!$F$4="Battery Only",0,PVCalcs!AI282)</f>
        <v>0</v>
      </c>
      <c r="AI282" s="144">
        <f>IF('PV IN'!$F$4="PV Only",0,BattCalcs!BM282)</f>
        <v>0</v>
      </c>
      <c r="AJ282" s="144">
        <f>IF('PV IN'!$F$4="PV Only",0,SUM(BattCalcs!BO282:BT282))</f>
        <v>0</v>
      </c>
      <c r="AK282" s="144">
        <f>IF('PV IN'!$F$4="PV Only",PVCalcs!AH282,IF('PV IN'!$F$4="Battery Only",BattCalcs!BN282,PVCalcs!AH282+BattCalcs!BN282))</f>
        <v>-625</v>
      </c>
      <c r="AL282" s="144">
        <f>IF('PV IN'!$F$4="PV Only",0,BattCalcs!BV282)</f>
        <v>0</v>
      </c>
      <c r="AM282" s="144">
        <f>IF('PV IN'!$F$4="PV Only",0,SUM(BattCalcs!BW282:BX282))</f>
        <v>0</v>
      </c>
      <c r="AN282" s="144">
        <f>IF('PV IN'!$F$4="PV Only",0,BattCalcs!BY282)</f>
        <v>0</v>
      </c>
      <c r="AO282" s="144">
        <f>IF('PV IN'!$F$4="Battery Only",0,PVCalcs!U282)</f>
        <v>10483.670355130535</v>
      </c>
      <c r="AP282" s="10">
        <f>IF('PV IN'!$F$4="PV Only",0,BattCalcs!AS282)</f>
        <v>0</v>
      </c>
      <c r="AQ282" s="10">
        <f>IF('PV IN'!$F$4="PV Only",0,BattCalcs!AT282)</f>
        <v>0</v>
      </c>
      <c r="AR282" s="10">
        <f>IF('PV IN'!$F$4="PV Only",0,BattCalcs!AU282)</f>
        <v>0</v>
      </c>
      <c r="AS282" s="144">
        <f>IF('PV IN'!$F$4="PV Only",PVCalcs!X282,IF('PV IN'!$F$4="Battery Only",BattCalcs!AW282,PVCalcs!X282+BattCalcs!AW282))</f>
        <v>0</v>
      </c>
      <c r="AT282" s="144">
        <f>IF('PV IN'!$F$4="Battery Only",0,-PVCalcs!AQ282*'PV IN'!$E$8)</f>
        <v>0</v>
      </c>
      <c r="AU282" s="144">
        <f>IF('PV IN'!$F$4="PV Only",0,-BattCalcs!CG282*'PV IN'!$E$8)</f>
        <v>0</v>
      </c>
      <c r="AV282" s="144">
        <f>IF('PV IN'!$F$4="PV Only",PVCalcs!Z282+PVCalcs!AA282,IF('PV IN'!$F$4="Battery Only",SUM(BattCalcs!BC282:BH282),PVCalcs!Z282+PVCalcs!AA282+SUM(BattCalcs!BC282:BH282)))</f>
        <v>0</v>
      </c>
      <c r="AW282" s="144">
        <f>IF('PV IN'!$F$4="PV Only",SUM(PVCalcs!AF282:AI282),IF('PV IN'!$F$4="Battery Only",SUM(BattCalcs!BL282:BY282),SUM(PVCalcs!AF282:AI282)+SUM(BattCalcs!BL282:BY282)))</f>
        <v>-1375</v>
      </c>
      <c r="AX282" s="144">
        <f>IF('PV IN'!$F$4="Battery Only",0,-PVLoan!F310)</f>
        <v>0</v>
      </c>
      <c r="AY282" s="144">
        <f>IF('PV IN'!$F$4="PV Only",0,-BattLoan!F310)</f>
        <v>0</v>
      </c>
      <c r="AZ282" s="144">
        <f>IF('PV IN'!$F$4="Battery Only",0,-PVLoan!H310)</f>
        <v>0</v>
      </c>
      <c r="BA282" s="144">
        <f>IF('PV IN'!$F$4="PV Only",0,-BattLoan!H310)</f>
        <v>0</v>
      </c>
    </row>
    <row r="283" spans="1:88" x14ac:dyDescent="0.25">
      <c r="A283" t="str">
        <f>IF(C283&lt;='PV IN'!$O$22*12,C283,"")</f>
        <v/>
      </c>
      <c r="C283">
        <v>279</v>
      </c>
      <c r="D283" s="2">
        <f>BattCalcs!CK283+PVCalcs!AT283</f>
        <v>9390.4312415604491</v>
      </c>
      <c r="E283" s="20">
        <f>PVCalcs!AV283</f>
        <v>1745342.3649089676</v>
      </c>
      <c r="F283" s="20">
        <f>PVCalcs!AW283</f>
        <v>3020.190475770652</v>
      </c>
      <c r="G283" s="20" t="e">
        <f>PVCalcs!AX283</f>
        <v>#N/A</v>
      </c>
      <c r="H283" s="20">
        <f>BattCalcs!CM283</f>
        <v>0</v>
      </c>
      <c r="I283" s="20">
        <f>BattCalcs!CN283</f>
        <v>0</v>
      </c>
      <c r="J283" s="20" t="e">
        <f>IF(C283&lt;='Batt IN'!H$43*12,BattCalcs!CO283,NA())</f>
        <v>#N/A</v>
      </c>
      <c r="L283" s="20">
        <f t="shared" si="689"/>
        <v>3020.190475770652</v>
      </c>
      <c r="M283" s="20" t="e">
        <f>G283+BattCalcs!CO283</f>
        <v>#N/A</v>
      </c>
      <c r="O283" s="10" t="str">
        <f>PVLoan!G311</f>
        <v>-</v>
      </c>
      <c r="P283" s="10" t="str">
        <f>PVLoan!J311</f>
        <v>-</v>
      </c>
      <c r="Q283" s="2" t="str">
        <f>BattLoan!G311</f>
        <v>-</v>
      </c>
      <c r="R283" s="10" t="str">
        <f>BattLoan!J311</f>
        <v>-</v>
      </c>
      <c r="T283" s="33">
        <f>IF('PV IN'!$F$4="Battery Only",0,PVCalcs!G283)</f>
        <v>126693.33197204689</v>
      </c>
      <c r="U283" s="33">
        <f>IF('PV IN'!$F$4="Battery Only",0,PVCalcs!M283)</f>
        <v>126693.33197204689</v>
      </c>
      <c r="V283" s="33">
        <f>PVCalcs!L283</f>
        <v>25811.765833333331</v>
      </c>
      <c r="W283" s="158">
        <f>PVCalcs!F283</f>
        <v>8.2693233167724894E-2</v>
      </c>
      <c r="X283" s="144">
        <f>IF('PV IN'!$F$4="Battery Only",0,PVCalcs!Y283+PVCalcs!Z283)</f>
        <v>0</v>
      </c>
      <c r="Y283" s="144">
        <f>IF('PV IN'!$F$4="PV Only",0,BattCalcs!AX283+BattCalcs!BC283)</f>
        <v>0</v>
      </c>
      <c r="Z283" s="144">
        <f>IF('PV IN'!$F$4="PV Only",0,BattCalcs!AY283+BattCalcs!BD283)</f>
        <v>0</v>
      </c>
      <c r="AA283" s="144">
        <f>IF('PV IN'!$F$4="PV Only",0,BattCalcs!AZ283+BattCalcs!BE283)</f>
        <v>0</v>
      </c>
      <c r="AB283" s="144">
        <f>IF('PV IN'!$F$4="PV Only",0,BattCalcs!BA283+BattCalcs!BF283)</f>
        <v>0</v>
      </c>
      <c r="AC283" s="144">
        <f>IF('PV IN'!$F$4="PV Only",0,BattCalcs!BB283+BattCalcs!BG283)</f>
        <v>0</v>
      </c>
      <c r="AD283" s="144">
        <f>IF('PV IN'!$F$4="PV Only",0,BattCalcs!BU283)</f>
        <v>0</v>
      </c>
      <c r="AE283" s="144">
        <f>IF('PV IN'!$F$4="PV Only",PVCalcs!W283+PVCalcs!AA283,IF('PV IN'!$F$4="Battery Only",BattCalcs!AV283+BattCalcs!BH283,PVCalcs!W283+PVCalcs!AA283+BattCalcs!AV283+BattCalcs!BH283))</f>
        <v>0</v>
      </c>
      <c r="AF283" s="10">
        <f>PVCalcs!AC283+BattCalcs!BJ283</f>
        <v>0</v>
      </c>
      <c r="AG283" s="144">
        <f>IF('PV IN'!$F$4="Battery Only",0,PVCalcs!AG283)</f>
        <v>-750</v>
      </c>
      <c r="AH283" s="144">
        <f>IF('PV IN'!$F$4="Battery Only",0,PVCalcs!AI283)</f>
        <v>0</v>
      </c>
      <c r="AI283" s="144">
        <f>IF('PV IN'!$F$4="PV Only",0,BattCalcs!BM283)</f>
        <v>0</v>
      </c>
      <c r="AJ283" s="144">
        <f>IF('PV IN'!$F$4="PV Only",0,SUM(BattCalcs!BO283:BT283))</f>
        <v>0</v>
      </c>
      <c r="AK283" s="144">
        <f>IF('PV IN'!$F$4="PV Only",PVCalcs!AH283,IF('PV IN'!$F$4="Battery Only",BattCalcs!BN283,PVCalcs!AH283+BattCalcs!BN283))</f>
        <v>-625</v>
      </c>
      <c r="AL283" s="144">
        <f>IF('PV IN'!$F$4="PV Only",0,BattCalcs!BV283)</f>
        <v>0</v>
      </c>
      <c r="AM283" s="144">
        <f>IF('PV IN'!$F$4="PV Only",0,SUM(BattCalcs!BW283:BX283))</f>
        <v>0</v>
      </c>
      <c r="AN283" s="144">
        <f>IF('PV IN'!$F$4="PV Only",0,BattCalcs!BY283)</f>
        <v>0</v>
      </c>
      <c r="AO283" s="144">
        <f>IF('PV IN'!$F$4="Battery Only",0,PVCalcs!U283)</f>
        <v>10476.681241560449</v>
      </c>
      <c r="AP283" s="10">
        <f>IF('PV IN'!$F$4="PV Only",0,BattCalcs!AS283)</f>
        <v>0</v>
      </c>
      <c r="AQ283" s="10">
        <f>IF('PV IN'!$F$4="PV Only",0,BattCalcs!AT283)</f>
        <v>0</v>
      </c>
      <c r="AR283" s="10">
        <f>IF('PV IN'!$F$4="PV Only",0,BattCalcs!AU283)</f>
        <v>0</v>
      </c>
      <c r="AS283" s="144">
        <f>IF('PV IN'!$F$4="PV Only",PVCalcs!X283,IF('PV IN'!$F$4="Battery Only",BattCalcs!AW283,PVCalcs!X283+BattCalcs!AW283))</f>
        <v>0</v>
      </c>
      <c r="AT283" s="144">
        <f>IF('PV IN'!$F$4="Battery Only",0,-PVCalcs!AQ283*'PV IN'!$E$8)</f>
        <v>0</v>
      </c>
      <c r="AU283" s="144">
        <f>IF('PV IN'!$F$4="PV Only",0,-BattCalcs!CG283*'PV IN'!$E$8)</f>
        <v>0</v>
      </c>
      <c r="AV283" s="144">
        <f>IF('PV IN'!$F$4="PV Only",PVCalcs!Z283+PVCalcs!AA283,IF('PV IN'!$F$4="Battery Only",SUM(BattCalcs!BC283:BH283),PVCalcs!Z283+PVCalcs!AA283+SUM(BattCalcs!BC283:BH283)))</f>
        <v>0</v>
      </c>
      <c r="AW283" s="144">
        <f>IF('PV IN'!$F$4="PV Only",SUM(PVCalcs!AF283:AI283),IF('PV IN'!$F$4="Battery Only",SUM(BattCalcs!BL283:BY283),SUM(PVCalcs!AF283:AI283)+SUM(BattCalcs!BL283:BY283)))</f>
        <v>-1375</v>
      </c>
      <c r="AX283" s="144">
        <f>IF('PV IN'!$F$4="Battery Only",0,-PVLoan!F311)</f>
        <v>0</v>
      </c>
      <c r="AY283" s="144">
        <f>IF('PV IN'!$F$4="PV Only",0,-BattLoan!F311)</f>
        <v>0</v>
      </c>
      <c r="AZ283" s="144">
        <f>IF('PV IN'!$F$4="Battery Only",0,-PVLoan!H311)</f>
        <v>0</v>
      </c>
      <c r="BA283" s="144">
        <f>IF('PV IN'!$F$4="PV Only",0,-BattLoan!H311)</f>
        <v>0</v>
      </c>
    </row>
    <row r="284" spans="1:88" x14ac:dyDescent="0.25">
      <c r="A284" t="str">
        <f>IF(C284&lt;='PV IN'!$O$22*12,C284,"")</f>
        <v/>
      </c>
      <c r="C284">
        <v>280</v>
      </c>
      <c r="D284" s="2">
        <f>BattCalcs!CK284+PVCalcs!AT284</f>
        <v>9383.446787399409</v>
      </c>
      <c r="E284" s="20">
        <f>PVCalcs!AV284</f>
        <v>1754725.8116963671</v>
      </c>
      <c r="F284" s="20">
        <f>PVCalcs!AW284</f>
        <v>3005.6985180680531</v>
      </c>
      <c r="G284" s="20" t="e">
        <f>PVCalcs!AX284</f>
        <v>#N/A</v>
      </c>
      <c r="H284" s="20">
        <f>BattCalcs!CM284</f>
        <v>0</v>
      </c>
      <c r="I284" s="20">
        <f>BattCalcs!CN284</f>
        <v>0</v>
      </c>
      <c r="J284" s="20" t="e">
        <f>IF(C284&lt;='Batt IN'!H$43*12,BattCalcs!CO284,NA())</f>
        <v>#N/A</v>
      </c>
      <c r="L284" s="20">
        <f t="shared" si="689"/>
        <v>3005.6985180680531</v>
      </c>
      <c r="M284" s="20" t="e">
        <f>G284+BattCalcs!CO284</f>
        <v>#N/A</v>
      </c>
      <c r="O284" s="10" t="str">
        <f>PVLoan!G312</f>
        <v>-</v>
      </c>
      <c r="P284" s="10" t="str">
        <f>PVLoan!J312</f>
        <v>-</v>
      </c>
      <c r="Q284" s="2" t="str">
        <f>BattLoan!G312</f>
        <v>-</v>
      </c>
      <c r="R284" s="10" t="str">
        <f>BattLoan!J312</f>
        <v>-</v>
      </c>
      <c r="T284" s="33">
        <f>IF('PV IN'!$F$4="Battery Only",0,PVCalcs!G284)</f>
        <v>126608.86975073219</v>
      </c>
      <c r="U284" s="33">
        <f>IF('PV IN'!$F$4="Battery Only",0,PVCalcs!M284)</f>
        <v>126608.86975073219</v>
      </c>
      <c r="V284" s="33">
        <f>PVCalcs!L284</f>
        <v>25811.765833333331</v>
      </c>
      <c r="W284" s="158">
        <f>PVCalcs!F284</f>
        <v>8.2693233167724894E-2</v>
      </c>
      <c r="X284" s="144">
        <f>IF('PV IN'!$F$4="Battery Only",0,PVCalcs!Y284+PVCalcs!Z284)</f>
        <v>0</v>
      </c>
      <c r="Y284" s="144">
        <f>IF('PV IN'!$F$4="PV Only",0,BattCalcs!AX284+BattCalcs!BC284)</f>
        <v>0</v>
      </c>
      <c r="Z284" s="144">
        <f>IF('PV IN'!$F$4="PV Only",0,BattCalcs!AY284+BattCalcs!BD284)</f>
        <v>0</v>
      </c>
      <c r="AA284" s="144">
        <f>IF('PV IN'!$F$4="PV Only",0,BattCalcs!AZ284+BattCalcs!BE284)</f>
        <v>0</v>
      </c>
      <c r="AB284" s="144">
        <f>IF('PV IN'!$F$4="PV Only",0,BattCalcs!BA284+BattCalcs!BF284)</f>
        <v>0</v>
      </c>
      <c r="AC284" s="144">
        <f>IF('PV IN'!$F$4="PV Only",0,BattCalcs!BB284+BattCalcs!BG284)</f>
        <v>0</v>
      </c>
      <c r="AD284" s="144">
        <f>IF('PV IN'!$F$4="PV Only",0,BattCalcs!BU284)</f>
        <v>0</v>
      </c>
      <c r="AE284" s="144">
        <f>IF('PV IN'!$F$4="PV Only",PVCalcs!W284+PVCalcs!AA284,IF('PV IN'!$F$4="Battery Only",BattCalcs!AV284+BattCalcs!BH284,PVCalcs!W284+PVCalcs!AA284+BattCalcs!AV284+BattCalcs!BH284))</f>
        <v>0</v>
      </c>
      <c r="AF284" s="10">
        <f>PVCalcs!AC284+BattCalcs!BJ284</f>
        <v>0</v>
      </c>
      <c r="AG284" s="144">
        <f>IF('PV IN'!$F$4="Battery Only",0,PVCalcs!AG284)</f>
        <v>-750</v>
      </c>
      <c r="AH284" s="144">
        <f>IF('PV IN'!$F$4="Battery Only",0,PVCalcs!AI284)</f>
        <v>0</v>
      </c>
      <c r="AI284" s="144">
        <f>IF('PV IN'!$F$4="PV Only",0,BattCalcs!BM284)</f>
        <v>0</v>
      </c>
      <c r="AJ284" s="144">
        <f>IF('PV IN'!$F$4="PV Only",0,SUM(BattCalcs!BO284:BT284))</f>
        <v>0</v>
      </c>
      <c r="AK284" s="144">
        <f>IF('PV IN'!$F$4="PV Only",PVCalcs!AH284,IF('PV IN'!$F$4="Battery Only",BattCalcs!BN284,PVCalcs!AH284+BattCalcs!BN284))</f>
        <v>-625</v>
      </c>
      <c r="AL284" s="144">
        <f>IF('PV IN'!$F$4="PV Only",0,BattCalcs!BV284)</f>
        <v>0</v>
      </c>
      <c r="AM284" s="144">
        <f>IF('PV IN'!$F$4="PV Only",0,SUM(BattCalcs!BW284:BX284))</f>
        <v>0</v>
      </c>
      <c r="AN284" s="144">
        <f>IF('PV IN'!$F$4="PV Only",0,BattCalcs!BY284)</f>
        <v>0</v>
      </c>
      <c r="AO284" s="144">
        <f>IF('PV IN'!$F$4="Battery Only",0,PVCalcs!U284)</f>
        <v>10469.696787399409</v>
      </c>
      <c r="AP284" s="10">
        <f>IF('PV IN'!$F$4="PV Only",0,BattCalcs!AS284)</f>
        <v>0</v>
      </c>
      <c r="AQ284" s="10">
        <f>IF('PV IN'!$F$4="PV Only",0,BattCalcs!AT284)</f>
        <v>0</v>
      </c>
      <c r="AR284" s="10">
        <f>IF('PV IN'!$F$4="PV Only",0,BattCalcs!AU284)</f>
        <v>0</v>
      </c>
      <c r="AS284" s="144">
        <f>IF('PV IN'!$F$4="PV Only",PVCalcs!X284,IF('PV IN'!$F$4="Battery Only",BattCalcs!AW284,PVCalcs!X284+BattCalcs!AW284))</f>
        <v>0</v>
      </c>
      <c r="AT284" s="144">
        <f>IF('PV IN'!$F$4="Battery Only",0,-PVCalcs!AQ284*'PV IN'!$E$8)</f>
        <v>0</v>
      </c>
      <c r="AU284" s="144">
        <f>IF('PV IN'!$F$4="PV Only",0,-BattCalcs!CG284*'PV IN'!$E$8)</f>
        <v>0</v>
      </c>
      <c r="AV284" s="144">
        <f>IF('PV IN'!$F$4="PV Only",PVCalcs!Z284+PVCalcs!AA284,IF('PV IN'!$F$4="Battery Only",SUM(BattCalcs!BC284:BH284),PVCalcs!Z284+PVCalcs!AA284+SUM(BattCalcs!BC284:BH284)))</f>
        <v>0</v>
      </c>
      <c r="AW284" s="144">
        <f>IF('PV IN'!$F$4="PV Only",SUM(PVCalcs!AF284:AI284),IF('PV IN'!$F$4="Battery Only",SUM(BattCalcs!BL284:BY284),SUM(PVCalcs!AF284:AI284)+SUM(BattCalcs!BL284:BY284)))</f>
        <v>-1375</v>
      </c>
      <c r="AX284" s="144">
        <f>IF('PV IN'!$F$4="Battery Only",0,-PVLoan!F312)</f>
        <v>0</v>
      </c>
      <c r="AY284" s="144">
        <f>IF('PV IN'!$F$4="PV Only",0,-BattLoan!F312)</f>
        <v>0</v>
      </c>
      <c r="AZ284" s="144">
        <f>IF('PV IN'!$F$4="Battery Only",0,-PVLoan!H312)</f>
        <v>0</v>
      </c>
      <c r="BA284" s="144">
        <f>IF('PV IN'!$F$4="PV Only",0,-BattLoan!H312)</f>
        <v>0</v>
      </c>
    </row>
    <row r="285" spans="1:88" x14ac:dyDescent="0.25">
      <c r="A285" t="str">
        <f>IF(C285&lt;='PV IN'!$O$22*12,C285,"")</f>
        <v/>
      </c>
      <c r="C285">
        <v>281</v>
      </c>
      <c r="D285" s="2">
        <f>BattCalcs!CK285+PVCalcs!AT285</f>
        <v>9376.4669895411407</v>
      </c>
      <c r="E285" s="20">
        <f>PVCalcs!AV285</f>
        <v>1764102.2786859083</v>
      </c>
      <c r="F285" s="20">
        <f>PVCalcs!AW285</f>
        <v>2991.2759261474985</v>
      </c>
      <c r="G285" s="20" t="e">
        <f>PVCalcs!AX285</f>
        <v>#N/A</v>
      </c>
      <c r="H285" s="20">
        <f>BattCalcs!CM285</f>
        <v>0</v>
      </c>
      <c r="I285" s="20">
        <f>BattCalcs!CN285</f>
        <v>0</v>
      </c>
      <c r="J285" s="20" t="e">
        <f>IF(C285&lt;='Batt IN'!H$43*12,BattCalcs!CO285,NA())</f>
        <v>#N/A</v>
      </c>
      <c r="L285" s="20">
        <f t="shared" si="689"/>
        <v>2991.2759261474985</v>
      </c>
      <c r="M285" s="20" t="e">
        <f>G285+BattCalcs!CO285</f>
        <v>#N/A</v>
      </c>
      <c r="O285" s="10" t="str">
        <f>PVLoan!G313</f>
        <v>-</v>
      </c>
      <c r="P285" s="10" t="str">
        <f>PVLoan!J313</f>
        <v>-</v>
      </c>
      <c r="Q285" s="2" t="str">
        <f>BattLoan!G313</f>
        <v>-</v>
      </c>
      <c r="R285" s="10" t="str">
        <f>BattLoan!J313</f>
        <v>-</v>
      </c>
      <c r="T285" s="33">
        <f>IF('PV IN'!$F$4="Battery Only",0,PVCalcs!G285)</f>
        <v>126524.46383756501</v>
      </c>
      <c r="U285" s="33">
        <f>IF('PV IN'!$F$4="Battery Only",0,PVCalcs!M285)</f>
        <v>126524.46383756501</v>
      </c>
      <c r="V285" s="33">
        <f>PVCalcs!L285</f>
        <v>25811.765833333331</v>
      </c>
      <c r="W285" s="158">
        <f>PVCalcs!F285</f>
        <v>8.2693233167724894E-2</v>
      </c>
      <c r="X285" s="144">
        <f>IF('PV IN'!$F$4="Battery Only",0,PVCalcs!Y285+PVCalcs!Z285)</f>
        <v>0</v>
      </c>
      <c r="Y285" s="144">
        <f>IF('PV IN'!$F$4="PV Only",0,BattCalcs!AX285+BattCalcs!BC285)</f>
        <v>0</v>
      </c>
      <c r="Z285" s="144">
        <f>IF('PV IN'!$F$4="PV Only",0,BattCalcs!AY285+BattCalcs!BD285)</f>
        <v>0</v>
      </c>
      <c r="AA285" s="144">
        <f>IF('PV IN'!$F$4="PV Only",0,BattCalcs!AZ285+BattCalcs!BE285)</f>
        <v>0</v>
      </c>
      <c r="AB285" s="144">
        <f>IF('PV IN'!$F$4="PV Only",0,BattCalcs!BA285+BattCalcs!BF285)</f>
        <v>0</v>
      </c>
      <c r="AC285" s="144">
        <f>IF('PV IN'!$F$4="PV Only",0,BattCalcs!BB285+BattCalcs!BG285)</f>
        <v>0</v>
      </c>
      <c r="AD285" s="144">
        <f>IF('PV IN'!$F$4="PV Only",0,BattCalcs!BU285)</f>
        <v>0</v>
      </c>
      <c r="AE285" s="144">
        <f>IF('PV IN'!$F$4="PV Only",PVCalcs!W285+PVCalcs!AA285,IF('PV IN'!$F$4="Battery Only",BattCalcs!AV285+BattCalcs!BH285,PVCalcs!W285+PVCalcs!AA285+BattCalcs!AV285+BattCalcs!BH285))</f>
        <v>0</v>
      </c>
      <c r="AF285" s="10">
        <f>PVCalcs!AC285+BattCalcs!BJ285</f>
        <v>0</v>
      </c>
      <c r="AG285" s="144">
        <f>IF('PV IN'!$F$4="Battery Only",0,PVCalcs!AG285)</f>
        <v>-750</v>
      </c>
      <c r="AH285" s="144">
        <f>IF('PV IN'!$F$4="Battery Only",0,PVCalcs!AI285)</f>
        <v>0</v>
      </c>
      <c r="AI285" s="144">
        <f>IF('PV IN'!$F$4="PV Only",0,BattCalcs!BM285)</f>
        <v>0</v>
      </c>
      <c r="AJ285" s="144">
        <f>IF('PV IN'!$F$4="PV Only",0,SUM(BattCalcs!BO285:BT285))</f>
        <v>0</v>
      </c>
      <c r="AK285" s="144">
        <f>IF('PV IN'!$F$4="PV Only",PVCalcs!AH285,IF('PV IN'!$F$4="Battery Only",BattCalcs!BN285,PVCalcs!AH285+BattCalcs!BN285))</f>
        <v>-625</v>
      </c>
      <c r="AL285" s="144">
        <f>IF('PV IN'!$F$4="PV Only",0,BattCalcs!BV285)</f>
        <v>0</v>
      </c>
      <c r="AM285" s="144">
        <f>IF('PV IN'!$F$4="PV Only",0,SUM(BattCalcs!BW285:BX285))</f>
        <v>0</v>
      </c>
      <c r="AN285" s="144">
        <f>IF('PV IN'!$F$4="PV Only",0,BattCalcs!BY285)</f>
        <v>0</v>
      </c>
      <c r="AO285" s="144">
        <f>IF('PV IN'!$F$4="Battery Only",0,PVCalcs!U285)</f>
        <v>10462.716989541141</v>
      </c>
      <c r="AP285" s="10">
        <f>IF('PV IN'!$F$4="PV Only",0,BattCalcs!AS285)</f>
        <v>0</v>
      </c>
      <c r="AQ285" s="10">
        <f>IF('PV IN'!$F$4="PV Only",0,BattCalcs!AT285)</f>
        <v>0</v>
      </c>
      <c r="AR285" s="10">
        <f>IF('PV IN'!$F$4="PV Only",0,BattCalcs!AU285)</f>
        <v>0</v>
      </c>
      <c r="AS285" s="144">
        <f>IF('PV IN'!$F$4="PV Only",PVCalcs!X285,IF('PV IN'!$F$4="Battery Only",BattCalcs!AW285,PVCalcs!X285+BattCalcs!AW285))</f>
        <v>0</v>
      </c>
      <c r="AT285" s="144">
        <f>IF('PV IN'!$F$4="Battery Only",0,-PVCalcs!AQ285*'PV IN'!$E$8)</f>
        <v>0</v>
      </c>
      <c r="AU285" s="144">
        <f>IF('PV IN'!$F$4="PV Only",0,-BattCalcs!CG285*'PV IN'!$E$8)</f>
        <v>0</v>
      </c>
      <c r="AV285" s="144">
        <f>IF('PV IN'!$F$4="PV Only",PVCalcs!Z285+PVCalcs!AA285,IF('PV IN'!$F$4="Battery Only",SUM(BattCalcs!BC285:BH285),PVCalcs!Z285+PVCalcs!AA285+SUM(BattCalcs!BC285:BH285)))</f>
        <v>0</v>
      </c>
      <c r="AW285" s="144">
        <f>IF('PV IN'!$F$4="PV Only",SUM(PVCalcs!AF285:AI285),IF('PV IN'!$F$4="Battery Only",SUM(BattCalcs!BL285:BY285),SUM(PVCalcs!AF285:AI285)+SUM(BattCalcs!BL285:BY285)))</f>
        <v>-1375</v>
      </c>
      <c r="AX285" s="144">
        <f>IF('PV IN'!$F$4="Battery Only",0,-PVLoan!F313)</f>
        <v>0</v>
      </c>
      <c r="AY285" s="144">
        <f>IF('PV IN'!$F$4="PV Only",0,-BattLoan!F313)</f>
        <v>0</v>
      </c>
      <c r="AZ285" s="144">
        <f>IF('PV IN'!$F$4="Battery Only",0,-PVLoan!H313)</f>
        <v>0</v>
      </c>
      <c r="BA285" s="144">
        <f>IF('PV IN'!$F$4="PV Only",0,-BattLoan!H313)</f>
        <v>0</v>
      </c>
    </row>
    <row r="286" spans="1:88" x14ac:dyDescent="0.25">
      <c r="A286" t="str">
        <f>IF(C286&lt;='PV IN'!$O$22*12,C286,"")</f>
        <v/>
      </c>
      <c r="C286">
        <v>282</v>
      </c>
      <c r="D286" s="2">
        <f>BattCalcs!CK286+PVCalcs!AT286</f>
        <v>9369.491844881446</v>
      </c>
      <c r="E286" s="20">
        <f>PVCalcs!AV286</f>
        <v>1773471.7705307899</v>
      </c>
      <c r="F286" s="20">
        <f>PVCalcs!AW286</f>
        <v>2976.92236867561</v>
      </c>
      <c r="G286" s="20" t="e">
        <f>PVCalcs!AX286</f>
        <v>#N/A</v>
      </c>
      <c r="H286" s="20">
        <f>BattCalcs!CM286</f>
        <v>0</v>
      </c>
      <c r="I286" s="20">
        <f>BattCalcs!CN286</f>
        <v>0</v>
      </c>
      <c r="J286" s="20" t="e">
        <f>IF(C286&lt;='Batt IN'!H$43*12,BattCalcs!CO286,NA())</f>
        <v>#N/A</v>
      </c>
      <c r="L286" s="20">
        <f t="shared" si="689"/>
        <v>2976.92236867561</v>
      </c>
      <c r="M286" s="20" t="e">
        <f>G286+BattCalcs!CO286</f>
        <v>#N/A</v>
      </c>
      <c r="O286" s="10" t="str">
        <f>PVLoan!G314</f>
        <v>-</v>
      </c>
      <c r="P286" s="10" t="str">
        <f>PVLoan!J314</f>
        <v>-</v>
      </c>
      <c r="Q286" s="2" t="str">
        <f>BattLoan!G314</f>
        <v>-</v>
      </c>
      <c r="R286" s="10" t="str">
        <f>BattLoan!J314</f>
        <v>-</v>
      </c>
      <c r="T286" s="33">
        <f>IF('PV IN'!$F$4="Battery Only",0,PVCalcs!G286)</f>
        <v>126440.11419500664</v>
      </c>
      <c r="U286" s="33">
        <f>IF('PV IN'!$F$4="Battery Only",0,PVCalcs!M286)</f>
        <v>126440.11419500664</v>
      </c>
      <c r="V286" s="33">
        <f>PVCalcs!L286</f>
        <v>25811.765833333331</v>
      </c>
      <c r="W286" s="158">
        <f>PVCalcs!F286</f>
        <v>8.2693233167724894E-2</v>
      </c>
      <c r="X286" s="144">
        <f>IF('PV IN'!$F$4="Battery Only",0,PVCalcs!Y286+PVCalcs!Z286)</f>
        <v>0</v>
      </c>
      <c r="Y286" s="144">
        <f>IF('PV IN'!$F$4="PV Only",0,BattCalcs!AX286+BattCalcs!BC286)</f>
        <v>0</v>
      </c>
      <c r="Z286" s="144">
        <f>IF('PV IN'!$F$4="PV Only",0,BattCalcs!AY286+BattCalcs!BD286)</f>
        <v>0</v>
      </c>
      <c r="AA286" s="144">
        <f>IF('PV IN'!$F$4="PV Only",0,BattCalcs!AZ286+BattCalcs!BE286)</f>
        <v>0</v>
      </c>
      <c r="AB286" s="144">
        <f>IF('PV IN'!$F$4="PV Only",0,BattCalcs!BA286+BattCalcs!BF286)</f>
        <v>0</v>
      </c>
      <c r="AC286" s="144">
        <f>IF('PV IN'!$F$4="PV Only",0,BattCalcs!BB286+BattCalcs!BG286)</f>
        <v>0</v>
      </c>
      <c r="AD286" s="144">
        <f>IF('PV IN'!$F$4="PV Only",0,BattCalcs!BU286)</f>
        <v>0</v>
      </c>
      <c r="AE286" s="144">
        <f>IF('PV IN'!$F$4="PV Only",PVCalcs!W286+PVCalcs!AA286,IF('PV IN'!$F$4="Battery Only",BattCalcs!AV286+BattCalcs!BH286,PVCalcs!W286+PVCalcs!AA286+BattCalcs!AV286+BattCalcs!BH286))</f>
        <v>0</v>
      </c>
      <c r="AF286" s="10">
        <f>PVCalcs!AC286+BattCalcs!BJ286</f>
        <v>0</v>
      </c>
      <c r="AG286" s="144">
        <f>IF('PV IN'!$F$4="Battery Only",0,PVCalcs!AG286)</f>
        <v>-750</v>
      </c>
      <c r="AH286" s="144">
        <f>IF('PV IN'!$F$4="Battery Only",0,PVCalcs!AI286)</f>
        <v>0</v>
      </c>
      <c r="AI286" s="144">
        <f>IF('PV IN'!$F$4="PV Only",0,BattCalcs!BM286)</f>
        <v>0</v>
      </c>
      <c r="AJ286" s="144">
        <f>IF('PV IN'!$F$4="PV Only",0,SUM(BattCalcs!BO286:BT286))</f>
        <v>0</v>
      </c>
      <c r="AK286" s="144">
        <f>IF('PV IN'!$F$4="PV Only",PVCalcs!AH286,IF('PV IN'!$F$4="Battery Only",BattCalcs!BN286,PVCalcs!AH286+BattCalcs!BN286))</f>
        <v>-625</v>
      </c>
      <c r="AL286" s="144">
        <f>IF('PV IN'!$F$4="PV Only",0,BattCalcs!BV286)</f>
        <v>0</v>
      </c>
      <c r="AM286" s="144">
        <f>IF('PV IN'!$F$4="PV Only",0,SUM(BattCalcs!BW286:BX286))</f>
        <v>0</v>
      </c>
      <c r="AN286" s="144">
        <f>IF('PV IN'!$F$4="PV Only",0,BattCalcs!BY286)</f>
        <v>0</v>
      </c>
      <c r="AO286" s="144">
        <f>IF('PV IN'!$F$4="Battery Only",0,PVCalcs!U286)</f>
        <v>10455.741844881446</v>
      </c>
      <c r="AP286" s="10">
        <f>IF('PV IN'!$F$4="PV Only",0,BattCalcs!AS286)</f>
        <v>0</v>
      </c>
      <c r="AQ286" s="10">
        <f>IF('PV IN'!$F$4="PV Only",0,BattCalcs!AT286)</f>
        <v>0</v>
      </c>
      <c r="AR286" s="10">
        <f>IF('PV IN'!$F$4="PV Only",0,BattCalcs!AU286)</f>
        <v>0</v>
      </c>
      <c r="AS286" s="144">
        <f>IF('PV IN'!$F$4="PV Only",PVCalcs!X286,IF('PV IN'!$F$4="Battery Only",BattCalcs!AW286,PVCalcs!X286+BattCalcs!AW286))</f>
        <v>0</v>
      </c>
      <c r="AT286" s="144">
        <f>IF('PV IN'!$F$4="Battery Only",0,-PVCalcs!AQ286*'PV IN'!$E$8)</f>
        <v>0</v>
      </c>
      <c r="AU286" s="144">
        <f>IF('PV IN'!$F$4="PV Only",0,-BattCalcs!CG286*'PV IN'!$E$8)</f>
        <v>0</v>
      </c>
      <c r="AV286" s="144">
        <f>IF('PV IN'!$F$4="PV Only",PVCalcs!Z286+PVCalcs!AA286,IF('PV IN'!$F$4="Battery Only",SUM(BattCalcs!BC286:BH286),PVCalcs!Z286+PVCalcs!AA286+SUM(BattCalcs!BC286:BH286)))</f>
        <v>0</v>
      </c>
      <c r="AW286" s="144">
        <f>IF('PV IN'!$F$4="PV Only",SUM(PVCalcs!AF286:AI286),IF('PV IN'!$F$4="Battery Only",SUM(BattCalcs!BL286:BY286),SUM(PVCalcs!AF286:AI286)+SUM(BattCalcs!BL286:BY286)))</f>
        <v>-1375</v>
      </c>
      <c r="AX286" s="144">
        <f>IF('PV IN'!$F$4="Battery Only",0,-PVLoan!F314)</f>
        <v>0</v>
      </c>
      <c r="AY286" s="144">
        <f>IF('PV IN'!$F$4="PV Only",0,-BattLoan!F314)</f>
        <v>0</v>
      </c>
      <c r="AZ286" s="144">
        <f>IF('PV IN'!$F$4="Battery Only",0,-PVLoan!H314)</f>
        <v>0</v>
      </c>
      <c r="BA286" s="144">
        <f>IF('PV IN'!$F$4="PV Only",0,-BattLoan!H314)</f>
        <v>0</v>
      </c>
    </row>
    <row r="287" spans="1:88" x14ac:dyDescent="0.25">
      <c r="A287" t="str">
        <f>IF(C287&lt;='PV IN'!$O$22*12,C287,"")</f>
        <v/>
      </c>
      <c r="C287">
        <v>283</v>
      </c>
      <c r="D287" s="2">
        <f>BattCalcs!CK287+PVCalcs!AT287</f>
        <v>9362.5213503181913</v>
      </c>
      <c r="E287" s="20">
        <f>PVCalcs!AV287</f>
        <v>1782834.291881108</v>
      </c>
      <c r="F287" s="20">
        <f>PVCalcs!AW287</f>
        <v>2962.6375158989104</v>
      </c>
      <c r="G287" s="20" t="e">
        <f>PVCalcs!AX287</f>
        <v>#N/A</v>
      </c>
      <c r="H287" s="20">
        <f>BattCalcs!CM287</f>
        <v>0</v>
      </c>
      <c r="I287" s="20">
        <f>BattCalcs!CN287</f>
        <v>0</v>
      </c>
      <c r="J287" s="20" t="e">
        <f>IF(C287&lt;='Batt IN'!H$43*12,BattCalcs!CO287,NA())</f>
        <v>#N/A</v>
      </c>
      <c r="L287" s="20">
        <f t="shared" si="689"/>
        <v>2962.6375158989104</v>
      </c>
      <c r="M287" s="20" t="e">
        <f>G287+BattCalcs!CO287</f>
        <v>#N/A</v>
      </c>
      <c r="O287" s="10" t="str">
        <f>PVLoan!G315</f>
        <v>-</v>
      </c>
      <c r="P287" s="10" t="str">
        <f>PVLoan!J315</f>
        <v>-</v>
      </c>
      <c r="Q287" s="2" t="str">
        <f>BattLoan!G315</f>
        <v>-</v>
      </c>
      <c r="R287" s="10" t="str">
        <f>BattLoan!J315</f>
        <v>-</v>
      </c>
      <c r="T287" s="33">
        <f>IF('PV IN'!$F$4="Battery Only",0,PVCalcs!G287)</f>
        <v>126355.82078554328</v>
      </c>
      <c r="U287" s="33">
        <f>IF('PV IN'!$F$4="Battery Only",0,PVCalcs!M287)</f>
        <v>126355.82078554328</v>
      </c>
      <c r="V287" s="33">
        <f>PVCalcs!L287</f>
        <v>25811.765833333331</v>
      </c>
      <c r="W287" s="158">
        <f>PVCalcs!F287</f>
        <v>8.2693233167724894E-2</v>
      </c>
      <c r="X287" s="144">
        <f>IF('PV IN'!$F$4="Battery Only",0,PVCalcs!Y287+PVCalcs!Z287)</f>
        <v>0</v>
      </c>
      <c r="Y287" s="144">
        <f>IF('PV IN'!$F$4="PV Only",0,BattCalcs!AX287+BattCalcs!BC287)</f>
        <v>0</v>
      </c>
      <c r="Z287" s="144">
        <f>IF('PV IN'!$F$4="PV Only",0,BattCalcs!AY287+BattCalcs!BD287)</f>
        <v>0</v>
      </c>
      <c r="AA287" s="144">
        <f>IF('PV IN'!$F$4="PV Only",0,BattCalcs!AZ287+BattCalcs!BE287)</f>
        <v>0</v>
      </c>
      <c r="AB287" s="144">
        <f>IF('PV IN'!$F$4="PV Only",0,BattCalcs!BA287+BattCalcs!BF287)</f>
        <v>0</v>
      </c>
      <c r="AC287" s="144">
        <f>IF('PV IN'!$F$4="PV Only",0,BattCalcs!BB287+BattCalcs!BG287)</f>
        <v>0</v>
      </c>
      <c r="AD287" s="144">
        <f>IF('PV IN'!$F$4="PV Only",0,BattCalcs!BU287)</f>
        <v>0</v>
      </c>
      <c r="AE287" s="144">
        <f>IF('PV IN'!$F$4="PV Only",PVCalcs!W287+PVCalcs!AA287,IF('PV IN'!$F$4="Battery Only",BattCalcs!AV287+BattCalcs!BH287,PVCalcs!W287+PVCalcs!AA287+BattCalcs!AV287+BattCalcs!BH287))</f>
        <v>0</v>
      </c>
      <c r="AF287" s="10">
        <f>PVCalcs!AC287+BattCalcs!BJ287</f>
        <v>0</v>
      </c>
      <c r="AG287" s="144">
        <f>IF('PV IN'!$F$4="Battery Only",0,PVCalcs!AG287)</f>
        <v>-750</v>
      </c>
      <c r="AH287" s="144">
        <f>IF('PV IN'!$F$4="Battery Only",0,PVCalcs!AI287)</f>
        <v>0</v>
      </c>
      <c r="AI287" s="144">
        <f>IF('PV IN'!$F$4="PV Only",0,BattCalcs!BM287)</f>
        <v>0</v>
      </c>
      <c r="AJ287" s="144">
        <f>IF('PV IN'!$F$4="PV Only",0,SUM(BattCalcs!BO287:BT287))</f>
        <v>0</v>
      </c>
      <c r="AK287" s="144">
        <f>IF('PV IN'!$F$4="PV Only",PVCalcs!AH287,IF('PV IN'!$F$4="Battery Only",BattCalcs!BN287,PVCalcs!AH287+BattCalcs!BN287))</f>
        <v>-625</v>
      </c>
      <c r="AL287" s="144">
        <f>IF('PV IN'!$F$4="PV Only",0,BattCalcs!BV287)</f>
        <v>0</v>
      </c>
      <c r="AM287" s="144">
        <f>IF('PV IN'!$F$4="PV Only",0,SUM(BattCalcs!BW287:BX287))</f>
        <v>0</v>
      </c>
      <c r="AN287" s="144">
        <f>IF('PV IN'!$F$4="PV Only",0,BattCalcs!BY287)</f>
        <v>0</v>
      </c>
      <c r="AO287" s="144">
        <f>IF('PV IN'!$F$4="Battery Only",0,PVCalcs!U287)</f>
        <v>10448.771350318191</v>
      </c>
      <c r="AP287" s="10">
        <f>IF('PV IN'!$F$4="PV Only",0,BattCalcs!AS287)</f>
        <v>0</v>
      </c>
      <c r="AQ287" s="10">
        <f>IF('PV IN'!$F$4="PV Only",0,BattCalcs!AT287)</f>
        <v>0</v>
      </c>
      <c r="AR287" s="10">
        <f>IF('PV IN'!$F$4="PV Only",0,BattCalcs!AU287)</f>
        <v>0</v>
      </c>
      <c r="AS287" s="144">
        <f>IF('PV IN'!$F$4="PV Only",PVCalcs!X287,IF('PV IN'!$F$4="Battery Only",BattCalcs!AW287,PVCalcs!X287+BattCalcs!AW287))</f>
        <v>0</v>
      </c>
      <c r="AT287" s="144">
        <f>IF('PV IN'!$F$4="Battery Only",0,-PVCalcs!AQ287*'PV IN'!$E$8)</f>
        <v>0</v>
      </c>
      <c r="AU287" s="144">
        <f>IF('PV IN'!$F$4="PV Only",0,-BattCalcs!CG287*'PV IN'!$E$8)</f>
        <v>0</v>
      </c>
      <c r="AV287" s="144">
        <f>IF('PV IN'!$F$4="PV Only",PVCalcs!Z287+PVCalcs!AA287,IF('PV IN'!$F$4="Battery Only",SUM(BattCalcs!BC287:BH287),PVCalcs!Z287+PVCalcs!AA287+SUM(BattCalcs!BC287:BH287)))</f>
        <v>0</v>
      </c>
      <c r="AW287" s="144">
        <f>IF('PV IN'!$F$4="PV Only",SUM(PVCalcs!AF287:AI287),IF('PV IN'!$F$4="Battery Only",SUM(BattCalcs!BL287:BY287),SUM(PVCalcs!AF287:AI287)+SUM(BattCalcs!BL287:BY287)))</f>
        <v>-1375</v>
      </c>
      <c r="AX287" s="144">
        <f>IF('PV IN'!$F$4="Battery Only",0,-PVLoan!F315)</f>
        <v>0</v>
      </c>
      <c r="AY287" s="144">
        <f>IF('PV IN'!$F$4="PV Only",0,-BattLoan!F315)</f>
        <v>0</v>
      </c>
      <c r="AZ287" s="144">
        <f>IF('PV IN'!$F$4="Battery Only",0,-PVLoan!H315)</f>
        <v>0</v>
      </c>
      <c r="BA287" s="144">
        <f>IF('PV IN'!$F$4="PV Only",0,-BattLoan!H315)</f>
        <v>0</v>
      </c>
    </row>
    <row r="288" spans="1:88" x14ac:dyDescent="0.25">
      <c r="A288" t="str">
        <f>IF(C288&lt;='PV IN'!$O$22*12,C288,"")</f>
        <v/>
      </c>
      <c r="C288">
        <v>284</v>
      </c>
      <c r="D288" s="2">
        <f>BattCalcs!CK288+PVCalcs!AT288</f>
        <v>9355.555502751311</v>
      </c>
      <c r="E288" s="20">
        <f>PVCalcs!AV288</f>
        <v>1792189.8473838593</v>
      </c>
      <c r="F288" s="20">
        <f>PVCalcs!AW288</f>
        <v>2948.4210396363055</v>
      </c>
      <c r="G288" s="20" t="e">
        <f>PVCalcs!AX288</f>
        <v>#N/A</v>
      </c>
      <c r="H288" s="20">
        <f>BattCalcs!CM288</f>
        <v>0</v>
      </c>
      <c r="I288" s="20">
        <f>BattCalcs!CN288</f>
        <v>0</v>
      </c>
      <c r="J288" s="20" t="e">
        <f>IF(C288&lt;='Batt IN'!H$43*12,BattCalcs!CO288,NA())</f>
        <v>#N/A</v>
      </c>
      <c r="L288" s="20">
        <f t="shared" si="689"/>
        <v>2948.4210396363055</v>
      </c>
      <c r="M288" s="20" t="e">
        <f>G288+BattCalcs!CO288</f>
        <v>#N/A</v>
      </c>
      <c r="O288" s="10" t="str">
        <f>PVLoan!G316</f>
        <v>-</v>
      </c>
      <c r="P288" s="10" t="str">
        <f>PVLoan!J316</f>
        <v>-</v>
      </c>
      <c r="Q288" s="2" t="str">
        <f>BattLoan!G316</f>
        <v>-</v>
      </c>
      <c r="R288" s="10" t="str">
        <f>BattLoan!J316</f>
        <v>-</v>
      </c>
      <c r="T288" s="33">
        <f>IF('PV IN'!$F$4="Battery Only",0,PVCalcs!G288)</f>
        <v>126271.58357168625</v>
      </c>
      <c r="U288" s="33">
        <f>IF('PV IN'!$F$4="Battery Only",0,PVCalcs!M288)</f>
        <v>126271.58357168625</v>
      </c>
      <c r="V288" s="33">
        <f>PVCalcs!L288</f>
        <v>25811.765833333331</v>
      </c>
      <c r="W288" s="158">
        <f>PVCalcs!F288</f>
        <v>8.2693233167724894E-2</v>
      </c>
      <c r="X288" s="144">
        <f>IF('PV IN'!$F$4="Battery Only",0,PVCalcs!Y288+PVCalcs!Z288)</f>
        <v>0</v>
      </c>
      <c r="Y288" s="144">
        <f>IF('PV IN'!$F$4="PV Only",0,BattCalcs!AX288+BattCalcs!BC288)</f>
        <v>0</v>
      </c>
      <c r="Z288" s="144">
        <f>IF('PV IN'!$F$4="PV Only",0,BattCalcs!AY288+BattCalcs!BD288)</f>
        <v>0</v>
      </c>
      <c r="AA288" s="144">
        <f>IF('PV IN'!$F$4="PV Only",0,BattCalcs!AZ288+BattCalcs!BE288)</f>
        <v>0</v>
      </c>
      <c r="AB288" s="144">
        <f>IF('PV IN'!$F$4="PV Only",0,BattCalcs!BA288+BattCalcs!BF288)</f>
        <v>0</v>
      </c>
      <c r="AC288" s="144">
        <f>IF('PV IN'!$F$4="PV Only",0,BattCalcs!BB288+BattCalcs!BG288)</f>
        <v>0</v>
      </c>
      <c r="AD288" s="144">
        <f>IF('PV IN'!$F$4="PV Only",0,BattCalcs!BU288)</f>
        <v>0</v>
      </c>
      <c r="AE288" s="144">
        <f>IF('PV IN'!$F$4="PV Only",PVCalcs!W288+PVCalcs!AA288,IF('PV IN'!$F$4="Battery Only",BattCalcs!AV288+BattCalcs!BH288,PVCalcs!W288+PVCalcs!AA288+BattCalcs!AV288+BattCalcs!BH288))</f>
        <v>0</v>
      </c>
      <c r="AF288" s="10">
        <f>PVCalcs!AC288+BattCalcs!BJ288</f>
        <v>0</v>
      </c>
      <c r="AG288" s="144">
        <f>IF('PV IN'!$F$4="Battery Only",0,PVCalcs!AG288)</f>
        <v>-750</v>
      </c>
      <c r="AH288" s="144">
        <f>IF('PV IN'!$F$4="Battery Only",0,PVCalcs!AI288)</f>
        <v>0</v>
      </c>
      <c r="AI288" s="144">
        <f>IF('PV IN'!$F$4="PV Only",0,BattCalcs!BM288)</f>
        <v>0</v>
      </c>
      <c r="AJ288" s="144">
        <f>IF('PV IN'!$F$4="PV Only",0,SUM(BattCalcs!BO288:BT288))</f>
        <v>0</v>
      </c>
      <c r="AK288" s="144">
        <f>IF('PV IN'!$F$4="PV Only",PVCalcs!AH288,IF('PV IN'!$F$4="Battery Only",BattCalcs!BN288,PVCalcs!AH288+BattCalcs!BN288))</f>
        <v>-625</v>
      </c>
      <c r="AL288" s="144">
        <f>IF('PV IN'!$F$4="PV Only",0,BattCalcs!BV288)</f>
        <v>0</v>
      </c>
      <c r="AM288" s="144">
        <f>IF('PV IN'!$F$4="PV Only",0,SUM(BattCalcs!BW288:BX288))</f>
        <v>0</v>
      </c>
      <c r="AN288" s="144">
        <f>IF('PV IN'!$F$4="PV Only",0,BattCalcs!BY288)</f>
        <v>0</v>
      </c>
      <c r="AO288" s="144">
        <f>IF('PV IN'!$F$4="Battery Only",0,PVCalcs!U288)</f>
        <v>10441.805502751311</v>
      </c>
      <c r="AP288" s="10">
        <f>IF('PV IN'!$F$4="PV Only",0,BattCalcs!AS288)</f>
        <v>0</v>
      </c>
      <c r="AQ288" s="10">
        <f>IF('PV IN'!$F$4="PV Only",0,BattCalcs!AT288)</f>
        <v>0</v>
      </c>
      <c r="AR288" s="10">
        <f>IF('PV IN'!$F$4="PV Only",0,BattCalcs!AU288)</f>
        <v>0</v>
      </c>
      <c r="AS288" s="144">
        <f>IF('PV IN'!$F$4="PV Only",PVCalcs!X288,IF('PV IN'!$F$4="Battery Only",BattCalcs!AW288,PVCalcs!X288+BattCalcs!AW288))</f>
        <v>0</v>
      </c>
      <c r="AT288" s="144">
        <f>IF('PV IN'!$F$4="Battery Only",0,-PVCalcs!AQ288*'PV IN'!$E$8)</f>
        <v>0</v>
      </c>
      <c r="AU288" s="144">
        <f>IF('PV IN'!$F$4="PV Only",0,-BattCalcs!CG288*'PV IN'!$E$8)</f>
        <v>0</v>
      </c>
      <c r="AV288" s="144">
        <f>IF('PV IN'!$F$4="PV Only",PVCalcs!Z288+PVCalcs!AA288,IF('PV IN'!$F$4="Battery Only",SUM(BattCalcs!BC288:BH288),PVCalcs!Z288+PVCalcs!AA288+SUM(BattCalcs!BC288:BH288)))</f>
        <v>0</v>
      </c>
      <c r="AW288" s="144">
        <f>IF('PV IN'!$F$4="PV Only",SUM(PVCalcs!AF288:AI288),IF('PV IN'!$F$4="Battery Only",SUM(BattCalcs!BL288:BY288),SUM(PVCalcs!AF288:AI288)+SUM(BattCalcs!BL288:BY288)))</f>
        <v>-1375</v>
      </c>
      <c r="AX288" s="144">
        <f>IF('PV IN'!$F$4="Battery Only",0,-PVLoan!F316)</f>
        <v>0</v>
      </c>
      <c r="AY288" s="144">
        <f>IF('PV IN'!$F$4="PV Only",0,-BattLoan!F316)</f>
        <v>0</v>
      </c>
      <c r="AZ288" s="144">
        <f>IF('PV IN'!$F$4="Battery Only",0,-PVLoan!H316)</f>
        <v>0</v>
      </c>
      <c r="BA288" s="144">
        <f>IF('PV IN'!$F$4="PV Only",0,-BattLoan!H316)</f>
        <v>0</v>
      </c>
    </row>
    <row r="289" spans="1:88" x14ac:dyDescent="0.25">
      <c r="A289" t="str">
        <f>IF(C289&lt;='PV IN'!$O$22*12,C289,"")</f>
        <v/>
      </c>
      <c r="C289">
        <v>285</v>
      </c>
      <c r="D289" s="2">
        <f>BattCalcs!CK289+PVCalcs!AT289</f>
        <v>9348.5942990828116</v>
      </c>
      <c r="E289" s="20">
        <f>PVCalcs!AV289</f>
        <v>1801538.4416829422</v>
      </c>
      <c r="F289" s="20">
        <f>PVCalcs!AW289</f>
        <v>2934.2726132715993</v>
      </c>
      <c r="G289" s="20" t="e">
        <f>PVCalcs!AX289</f>
        <v>#N/A</v>
      </c>
      <c r="H289" s="20">
        <f>BattCalcs!CM289</f>
        <v>0</v>
      </c>
      <c r="I289" s="20">
        <f>BattCalcs!CN289</f>
        <v>0</v>
      </c>
      <c r="J289" s="20" t="e">
        <f>IF(C289&lt;='Batt IN'!H$43*12,BattCalcs!CO289,NA())</f>
        <v>#N/A</v>
      </c>
      <c r="L289" s="20">
        <f t="shared" si="689"/>
        <v>2934.2726132715993</v>
      </c>
      <c r="M289" s="20" t="e">
        <f>G289+BattCalcs!CO289</f>
        <v>#N/A</v>
      </c>
      <c r="O289" s="10" t="str">
        <f>PVLoan!G317</f>
        <v>-</v>
      </c>
      <c r="P289" s="10" t="str">
        <f>PVLoan!J317</f>
        <v>-</v>
      </c>
      <c r="Q289" s="2" t="str">
        <f>BattLoan!G317</f>
        <v>-</v>
      </c>
      <c r="R289" s="10" t="str">
        <f>BattLoan!J317</f>
        <v>-</v>
      </c>
      <c r="T289" s="33">
        <f>IF('PV IN'!$F$4="Battery Only",0,PVCalcs!G289)</f>
        <v>126187.40251597181</v>
      </c>
      <c r="U289" s="33">
        <f>IF('PV IN'!$F$4="Battery Only",0,PVCalcs!M289)</f>
        <v>126187.40251597181</v>
      </c>
      <c r="V289" s="33">
        <f>PVCalcs!L289</f>
        <v>25811.765833333331</v>
      </c>
      <c r="W289" s="158">
        <f>PVCalcs!F289</f>
        <v>8.2693233167724894E-2</v>
      </c>
      <c r="X289" s="144">
        <f>IF('PV IN'!$F$4="Battery Only",0,PVCalcs!Y289+PVCalcs!Z289)</f>
        <v>0</v>
      </c>
      <c r="Y289" s="144">
        <f>IF('PV IN'!$F$4="PV Only",0,BattCalcs!AX289+BattCalcs!BC289)</f>
        <v>0</v>
      </c>
      <c r="Z289" s="144">
        <f>IF('PV IN'!$F$4="PV Only",0,BattCalcs!AY289+BattCalcs!BD289)</f>
        <v>0</v>
      </c>
      <c r="AA289" s="144">
        <f>IF('PV IN'!$F$4="PV Only",0,BattCalcs!AZ289+BattCalcs!BE289)</f>
        <v>0</v>
      </c>
      <c r="AB289" s="144">
        <f>IF('PV IN'!$F$4="PV Only",0,BattCalcs!BA289+BattCalcs!BF289)</f>
        <v>0</v>
      </c>
      <c r="AC289" s="144">
        <f>IF('PV IN'!$F$4="PV Only",0,BattCalcs!BB289+BattCalcs!BG289)</f>
        <v>0</v>
      </c>
      <c r="AD289" s="144">
        <f>IF('PV IN'!$F$4="PV Only",0,BattCalcs!BU289)</f>
        <v>0</v>
      </c>
      <c r="AE289" s="144">
        <f>IF('PV IN'!$F$4="PV Only",PVCalcs!W289+PVCalcs!AA289,IF('PV IN'!$F$4="Battery Only",BattCalcs!AV289+BattCalcs!BH289,PVCalcs!W289+PVCalcs!AA289+BattCalcs!AV289+BattCalcs!BH289))</f>
        <v>0</v>
      </c>
      <c r="AF289" s="10">
        <f>PVCalcs!AC289+BattCalcs!BJ289</f>
        <v>0</v>
      </c>
      <c r="AG289" s="144">
        <f>IF('PV IN'!$F$4="Battery Only",0,PVCalcs!AG289)</f>
        <v>-750</v>
      </c>
      <c r="AH289" s="144">
        <f>IF('PV IN'!$F$4="Battery Only",0,PVCalcs!AI289)</f>
        <v>0</v>
      </c>
      <c r="AI289" s="144">
        <f>IF('PV IN'!$F$4="PV Only",0,BattCalcs!BM289)</f>
        <v>0</v>
      </c>
      <c r="AJ289" s="144">
        <f>IF('PV IN'!$F$4="PV Only",0,SUM(BattCalcs!BO289:BT289))</f>
        <v>0</v>
      </c>
      <c r="AK289" s="144">
        <f>IF('PV IN'!$F$4="PV Only",PVCalcs!AH289,IF('PV IN'!$F$4="Battery Only",BattCalcs!BN289,PVCalcs!AH289+BattCalcs!BN289))</f>
        <v>-625</v>
      </c>
      <c r="AL289" s="144">
        <f>IF('PV IN'!$F$4="PV Only",0,BattCalcs!BV289)</f>
        <v>0</v>
      </c>
      <c r="AM289" s="144">
        <f>IF('PV IN'!$F$4="PV Only",0,SUM(BattCalcs!BW289:BX289))</f>
        <v>0</v>
      </c>
      <c r="AN289" s="144">
        <f>IF('PV IN'!$F$4="PV Only",0,BattCalcs!BY289)</f>
        <v>0</v>
      </c>
      <c r="AO289" s="144">
        <f>IF('PV IN'!$F$4="Battery Only",0,PVCalcs!U289)</f>
        <v>10434.844299082812</v>
      </c>
      <c r="AP289" s="10">
        <f>IF('PV IN'!$F$4="PV Only",0,BattCalcs!AS289)</f>
        <v>0</v>
      </c>
      <c r="AQ289" s="10">
        <f>IF('PV IN'!$F$4="PV Only",0,BattCalcs!AT289)</f>
        <v>0</v>
      </c>
      <c r="AR289" s="10">
        <f>IF('PV IN'!$F$4="PV Only",0,BattCalcs!AU289)</f>
        <v>0</v>
      </c>
      <c r="AS289" s="144">
        <f>IF('PV IN'!$F$4="PV Only",PVCalcs!X289,IF('PV IN'!$F$4="Battery Only",BattCalcs!AW289,PVCalcs!X289+BattCalcs!AW289))</f>
        <v>0</v>
      </c>
      <c r="AT289" s="144">
        <f>IF('PV IN'!$F$4="Battery Only",0,-PVCalcs!AQ289*'PV IN'!$E$8)</f>
        <v>0</v>
      </c>
      <c r="AU289" s="144">
        <f>IF('PV IN'!$F$4="PV Only",0,-BattCalcs!CG289*'PV IN'!$E$8)</f>
        <v>0</v>
      </c>
      <c r="AV289" s="144">
        <f>IF('PV IN'!$F$4="PV Only",PVCalcs!Z289+PVCalcs!AA289,IF('PV IN'!$F$4="Battery Only",SUM(BattCalcs!BC289:BH289),PVCalcs!Z289+PVCalcs!AA289+SUM(BattCalcs!BC289:BH289)))</f>
        <v>0</v>
      </c>
      <c r="AW289" s="144">
        <f>IF('PV IN'!$F$4="PV Only",SUM(PVCalcs!AF289:AI289),IF('PV IN'!$F$4="Battery Only",SUM(BattCalcs!BL289:BY289),SUM(PVCalcs!AF289:AI289)+SUM(BattCalcs!BL289:BY289)))</f>
        <v>-1375</v>
      </c>
      <c r="AX289" s="144">
        <f>IF('PV IN'!$F$4="Battery Only",0,-PVLoan!F317)</f>
        <v>0</v>
      </c>
      <c r="AY289" s="144">
        <f>IF('PV IN'!$F$4="PV Only",0,-BattLoan!F317)</f>
        <v>0</v>
      </c>
      <c r="AZ289" s="144">
        <f>IF('PV IN'!$F$4="Battery Only",0,-PVLoan!H317)</f>
        <v>0</v>
      </c>
      <c r="BA289" s="144">
        <f>IF('PV IN'!$F$4="PV Only",0,-BattLoan!H317)</f>
        <v>0</v>
      </c>
    </row>
    <row r="290" spans="1:88" x14ac:dyDescent="0.25">
      <c r="A290" t="str">
        <f>IF(C290&lt;='PV IN'!$O$22*12,C290,"")</f>
        <v/>
      </c>
      <c r="C290">
        <v>286</v>
      </c>
      <c r="D290" s="2">
        <f>BattCalcs!CK290+PVCalcs!AT290</f>
        <v>9341.637736216755</v>
      </c>
      <c r="E290" s="20">
        <f>PVCalcs!AV290</f>
        <v>1810880.0794191589</v>
      </c>
      <c r="F290" s="20">
        <f>PVCalcs!AW290</f>
        <v>2920.191911746037</v>
      </c>
      <c r="G290" s="20" t="e">
        <f>PVCalcs!AX290</f>
        <v>#N/A</v>
      </c>
      <c r="H290" s="20">
        <f>BattCalcs!CM290</f>
        <v>0</v>
      </c>
      <c r="I290" s="20">
        <f>BattCalcs!CN290</f>
        <v>0</v>
      </c>
      <c r="J290" s="20" t="e">
        <f>IF(C290&lt;='Batt IN'!H$43*12,BattCalcs!CO290,NA())</f>
        <v>#N/A</v>
      </c>
      <c r="L290" s="20">
        <f t="shared" si="689"/>
        <v>2920.191911746037</v>
      </c>
      <c r="M290" s="20" t="e">
        <f>G290+BattCalcs!CO290</f>
        <v>#N/A</v>
      </c>
      <c r="O290" s="10" t="str">
        <f>PVLoan!G318</f>
        <v>-</v>
      </c>
      <c r="P290" s="10" t="str">
        <f>PVLoan!J318</f>
        <v>-</v>
      </c>
      <c r="Q290" s="2" t="str">
        <f>BattLoan!G318</f>
        <v>-</v>
      </c>
      <c r="R290" s="10" t="str">
        <f>BattLoan!J318</f>
        <v>-</v>
      </c>
      <c r="T290" s="33">
        <f>IF('PV IN'!$F$4="Battery Only",0,PVCalcs!G290)</f>
        <v>126103.27758096115</v>
      </c>
      <c r="U290" s="33">
        <f>IF('PV IN'!$F$4="Battery Only",0,PVCalcs!M290)</f>
        <v>126103.27758096115</v>
      </c>
      <c r="V290" s="33">
        <f>PVCalcs!L290</f>
        <v>25811.765833333331</v>
      </c>
      <c r="W290" s="158">
        <f>PVCalcs!F290</f>
        <v>8.2693233167724894E-2</v>
      </c>
      <c r="X290" s="144">
        <f>IF('PV IN'!$F$4="Battery Only",0,PVCalcs!Y290+PVCalcs!Z290)</f>
        <v>0</v>
      </c>
      <c r="Y290" s="144">
        <f>IF('PV IN'!$F$4="PV Only",0,BattCalcs!AX290+BattCalcs!BC290)</f>
        <v>0</v>
      </c>
      <c r="Z290" s="144">
        <f>IF('PV IN'!$F$4="PV Only",0,BattCalcs!AY290+BattCalcs!BD290)</f>
        <v>0</v>
      </c>
      <c r="AA290" s="144">
        <f>IF('PV IN'!$F$4="PV Only",0,BattCalcs!AZ290+BattCalcs!BE290)</f>
        <v>0</v>
      </c>
      <c r="AB290" s="144">
        <f>IF('PV IN'!$F$4="PV Only",0,BattCalcs!BA290+BattCalcs!BF290)</f>
        <v>0</v>
      </c>
      <c r="AC290" s="144">
        <f>IF('PV IN'!$F$4="PV Only",0,BattCalcs!BB290+BattCalcs!BG290)</f>
        <v>0</v>
      </c>
      <c r="AD290" s="144">
        <f>IF('PV IN'!$F$4="PV Only",0,BattCalcs!BU290)</f>
        <v>0</v>
      </c>
      <c r="AE290" s="144">
        <f>IF('PV IN'!$F$4="PV Only",PVCalcs!W290+PVCalcs!AA290,IF('PV IN'!$F$4="Battery Only",BattCalcs!AV290+BattCalcs!BH290,PVCalcs!W290+PVCalcs!AA290+BattCalcs!AV290+BattCalcs!BH290))</f>
        <v>0</v>
      </c>
      <c r="AF290" s="10">
        <f>PVCalcs!AC290+BattCalcs!BJ290</f>
        <v>0</v>
      </c>
      <c r="AG290" s="144">
        <f>IF('PV IN'!$F$4="Battery Only",0,PVCalcs!AG290)</f>
        <v>-750</v>
      </c>
      <c r="AH290" s="144">
        <f>IF('PV IN'!$F$4="Battery Only",0,PVCalcs!AI290)</f>
        <v>0</v>
      </c>
      <c r="AI290" s="144">
        <f>IF('PV IN'!$F$4="PV Only",0,BattCalcs!BM290)</f>
        <v>0</v>
      </c>
      <c r="AJ290" s="144">
        <f>IF('PV IN'!$F$4="PV Only",0,SUM(BattCalcs!BO290:BT290))</f>
        <v>0</v>
      </c>
      <c r="AK290" s="144">
        <f>IF('PV IN'!$F$4="PV Only",PVCalcs!AH290,IF('PV IN'!$F$4="Battery Only",BattCalcs!BN290,PVCalcs!AH290+BattCalcs!BN290))</f>
        <v>-625</v>
      </c>
      <c r="AL290" s="144">
        <f>IF('PV IN'!$F$4="PV Only",0,BattCalcs!BV290)</f>
        <v>0</v>
      </c>
      <c r="AM290" s="144">
        <f>IF('PV IN'!$F$4="PV Only",0,SUM(BattCalcs!BW290:BX290))</f>
        <v>0</v>
      </c>
      <c r="AN290" s="144">
        <f>IF('PV IN'!$F$4="PV Only",0,BattCalcs!BY290)</f>
        <v>0</v>
      </c>
      <c r="AO290" s="144">
        <f>IF('PV IN'!$F$4="Battery Only",0,PVCalcs!U290)</f>
        <v>10427.887736216755</v>
      </c>
      <c r="AP290" s="10">
        <f>IF('PV IN'!$F$4="PV Only",0,BattCalcs!AS290)</f>
        <v>0</v>
      </c>
      <c r="AQ290" s="10">
        <f>IF('PV IN'!$F$4="PV Only",0,BattCalcs!AT290)</f>
        <v>0</v>
      </c>
      <c r="AR290" s="10">
        <f>IF('PV IN'!$F$4="PV Only",0,BattCalcs!AU290)</f>
        <v>0</v>
      </c>
      <c r="AS290" s="144">
        <f>IF('PV IN'!$F$4="PV Only",PVCalcs!X290,IF('PV IN'!$F$4="Battery Only",BattCalcs!AW290,PVCalcs!X290+BattCalcs!AW290))</f>
        <v>0</v>
      </c>
      <c r="AT290" s="144">
        <f>IF('PV IN'!$F$4="Battery Only",0,-PVCalcs!AQ290*'PV IN'!$E$8)</f>
        <v>0</v>
      </c>
      <c r="AU290" s="144">
        <f>IF('PV IN'!$F$4="PV Only",0,-BattCalcs!CG290*'PV IN'!$E$8)</f>
        <v>0</v>
      </c>
      <c r="AV290" s="144">
        <f>IF('PV IN'!$F$4="PV Only",PVCalcs!Z290+PVCalcs!AA290,IF('PV IN'!$F$4="Battery Only",SUM(BattCalcs!BC290:BH290),PVCalcs!Z290+PVCalcs!AA290+SUM(BattCalcs!BC290:BH290)))</f>
        <v>0</v>
      </c>
      <c r="AW290" s="144">
        <f>IF('PV IN'!$F$4="PV Only",SUM(PVCalcs!AF290:AI290),IF('PV IN'!$F$4="Battery Only",SUM(BattCalcs!BL290:BY290),SUM(PVCalcs!AF290:AI290)+SUM(BattCalcs!BL290:BY290)))</f>
        <v>-1375</v>
      </c>
      <c r="AX290" s="144">
        <f>IF('PV IN'!$F$4="Battery Only",0,-PVLoan!F318)</f>
        <v>0</v>
      </c>
      <c r="AY290" s="144">
        <f>IF('PV IN'!$F$4="PV Only",0,-BattLoan!F318)</f>
        <v>0</v>
      </c>
      <c r="AZ290" s="144">
        <f>IF('PV IN'!$F$4="Battery Only",0,-PVLoan!H318)</f>
        <v>0</v>
      </c>
      <c r="BA290" s="144">
        <f>IF('PV IN'!$F$4="PV Only",0,-BattLoan!H318)</f>
        <v>0</v>
      </c>
    </row>
    <row r="291" spans="1:88" x14ac:dyDescent="0.25">
      <c r="A291" t="str">
        <f>IF(C291&lt;='PV IN'!$O$22*12,C291,"")</f>
        <v/>
      </c>
      <c r="C291">
        <v>287</v>
      </c>
      <c r="D291" s="2">
        <f>BattCalcs!CK291+PVCalcs!AT291</f>
        <v>9334.6858110592766</v>
      </c>
      <c r="E291" s="20">
        <f>PVCalcs!AV291</f>
        <v>1820214.7652302182</v>
      </c>
      <c r="F291" s="20">
        <f>PVCalcs!AW291</f>
        <v>2906.1786115508944</v>
      </c>
      <c r="G291" s="20" t="e">
        <f>PVCalcs!AX291</f>
        <v>#N/A</v>
      </c>
      <c r="H291" s="20">
        <f>BattCalcs!CM291</f>
        <v>0</v>
      </c>
      <c r="I291" s="20">
        <f>BattCalcs!CN291</f>
        <v>0</v>
      </c>
      <c r="J291" s="20" t="e">
        <f>IF(C291&lt;='Batt IN'!H$43*12,BattCalcs!CO291,NA())</f>
        <v>#N/A</v>
      </c>
      <c r="L291" s="20">
        <f t="shared" si="689"/>
        <v>2906.1786115508944</v>
      </c>
      <c r="M291" s="20" t="e">
        <f>G291+BattCalcs!CO291</f>
        <v>#N/A</v>
      </c>
      <c r="O291" s="10" t="str">
        <f>PVLoan!G319</f>
        <v>-</v>
      </c>
      <c r="P291" s="10" t="str">
        <f>PVLoan!J319</f>
        <v>-</v>
      </c>
      <c r="Q291" s="2" t="str">
        <f>BattLoan!G319</f>
        <v>-</v>
      </c>
      <c r="R291" s="10" t="str">
        <f>BattLoan!J319</f>
        <v>-</v>
      </c>
      <c r="T291" s="33">
        <f>IF('PV IN'!$F$4="Battery Only",0,PVCalcs!G291)</f>
        <v>126019.20872924049</v>
      </c>
      <c r="U291" s="33">
        <f>IF('PV IN'!$F$4="Battery Only",0,PVCalcs!M291)</f>
        <v>126019.20872924049</v>
      </c>
      <c r="V291" s="33">
        <f>PVCalcs!L291</f>
        <v>25811.765833333331</v>
      </c>
      <c r="W291" s="158">
        <f>PVCalcs!F291</f>
        <v>8.2693233167724894E-2</v>
      </c>
      <c r="X291" s="144">
        <f>IF('PV IN'!$F$4="Battery Only",0,PVCalcs!Y291+PVCalcs!Z291)</f>
        <v>0</v>
      </c>
      <c r="Y291" s="144">
        <f>IF('PV IN'!$F$4="PV Only",0,BattCalcs!AX291+BattCalcs!BC291)</f>
        <v>0</v>
      </c>
      <c r="Z291" s="144">
        <f>IF('PV IN'!$F$4="PV Only",0,BattCalcs!AY291+BattCalcs!BD291)</f>
        <v>0</v>
      </c>
      <c r="AA291" s="144">
        <f>IF('PV IN'!$F$4="PV Only",0,BattCalcs!AZ291+BattCalcs!BE291)</f>
        <v>0</v>
      </c>
      <c r="AB291" s="144">
        <f>IF('PV IN'!$F$4="PV Only",0,BattCalcs!BA291+BattCalcs!BF291)</f>
        <v>0</v>
      </c>
      <c r="AC291" s="144">
        <f>IF('PV IN'!$F$4="PV Only",0,BattCalcs!BB291+BattCalcs!BG291)</f>
        <v>0</v>
      </c>
      <c r="AD291" s="144">
        <f>IF('PV IN'!$F$4="PV Only",0,BattCalcs!BU291)</f>
        <v>0</v>
      </c>
      <c r="AE291" s="144">
        <f>IF('PV IN'!$F$4="PV Only",PVCalcs!W291+PVCalcs!AA291,IF('PV IN'!$F$4="Battery Only",BattCalcs!AV291+BattCalcs!BH291,PVCalcs!W291+PVCalcs!AA291+BattCalcs!AV291+BattCalcs!BH291))</f>
        <v>0</v>
      </c>
      <c r="AF291" s="10">
        <f>PVCalcs!AC291+BattCalcs!BJ291</f>
        <v>0</v>
      </c>
      <c r="AG291" s="144">
        <f>IF('PV IN'!$F$4="Battery Only",0,PVCalcs!AG291)</f>
        <v>-750</v>
      </c>
      <c r="AH291" s="144">
        <f>IF('PV IN'!$F$4="Battery Only",0,PVCalcs!AI291)</f>
        <v>0</v>
      </c>
      <c r="AI291" s="144">
        <f>IF('PV IN'!$F$4="PV Only",0,BattCalcs!BM291)</f>
        <v>0</v>
      </c>
      <c r="AJ291" s="144">
        <f>IF('PV IN'!$F$4="PV Only",0,SUM(BattCalcs!BO291:BT291))</f>
        <v>0</v>
      </c>
      <c r="AK291" s="144">
        <f>IF('PV IN'!$F$4="PV Only",PVCalcs!AH291,IF('PV IN'!$F$4="Battery Only",BattCalcs!BN291,PVCalcs!AH291+BattCalcs!BN291))</f>
        <v>-625</v>
      </c>
      <c r="AL291" s="144">
        <f>IF('PV IN'!$F$4="PV Only",0,BattCalcs!BV291)</f>
        <v>0</v>
      </c>
      <c r="AM291" s="144">
        <f>IF('PV IN'!$F$4="PV Only",0,SUM(BattCalcs!BW291:BX291))</f>
        <v>0</v>
      </c>
      <c r="AN291" s="144">
        <f>IF('PV IN'!$F$4="PV Only",0,BattCalcs!BY291)</f>
        <v>0</v>
      </c>
      <c r="AO291" s="144">
        <f>IF('PV IN'!$F$4="Battery Only",0,PVCalcs!U291)</f>
        <v>10420.935811059277</v>
      </c>
      <c r="AP291" s="10">
        <f>IF('PV IN'!$F$4="PV Only",0,BattCalcs!AS291)</f>
        <v>0</v>
      </c>
      <c r="AQ291" s="10">
        <f>IF('PV IN'!$F$4="PV Only",0,BattCalcs!AT291)</f>
        <v>0</v>
      </c>
      <c r="AR291" s="10">
        <f>IF('PV IN'!$F$4="PV Only",0,BattCalcs!AU291)</f>
        <v>0</v>
      </c>
      <c r="AS291" s="144">
        <f>IF('PV IN'!$F$4="PV Only",PVCalcs!X291,IF('PV IN'!$F$4="Battery Only",BattCalcs!AW291,PVCalcs!X291+BattCalcs!AW291))</f>
        <v>0</v>
      </c>
      <c r="AT291" s="144">
        <f>IF('PV IN'!$F$4="Battery Only",0,-PVCalcs!AQ291*'PV IN'!$E$8)</f>
        <v>0</v>
      </c>
      <c r="AU291" s="144">
        <f>IF('PV IN'!$F$4="PV Only",0,-BattCalcs!CG291*'PV IN'!$E$8)</f>
        <v>0</v>
      </c>
      <c r="AV291" s="144">
        <f>IF('PV IN'!$F$4="PV Only",PVCalcs!Z291+PVCalcs!AA291,IF('PV IN'!$F$4="Battery Only",SUM(BattCalcs!BC291:BH291),PVCalcs!Z291+PVCalcs!AA291+SUM(BattCalcs!BC291:BH291)))</f>
        <v>0</v>
      </c>
      <c r="AW291" s="144">
        <f>IF('PV IN'!$F$4="PV Only",SUM(PVCalcs!AF291:AI291),IF('PV IN'!$F$4="Battery Only",SUM(BattCalcs!BL291:BY291),SUM(PVCalcs!AF291:AI291)+SUM(BattCalcs!BL291:BY291)))</f>
        <v>-1375</v>
      </c>
      <c r="AX291" s="144">
        <f>IF('PV IN'!$F$4="Battery Only",0,-PVLoan!F319)</f>
        <v>0</v>
      </c>
      <c r="AY291" s="144">
        <f>IF('PV IN'!$F$4="PV Only",0,-BattLoan!F319)</f>
        <v>0</v>
      </c>
      <c r="AZ291" s="144">
        <f>IF('PV IN'!$F$4="Battery Only",0,-PVLoan!H319)</f>
        <v>0</v>
      </c>
      <c r="BA291" s="144">
        <f>IF('PV IN'!$F$4="PV Only",0,-BattLoan!H319)</f>
        <v>0</v>
      </c>
    </row>
    <row r="292" spans="1:88" x14ac:dyDescent="0.25">
      <c r="A292" t="str">
        <f>IF(C292&lt;='PV IN'!$O$22*12,C292,"")</f>
        <v/>
      </c>
      <c r="B292">
        <f>B280+1</f>
        <v>2049</v>
      </c>
      <c r="C292">
        <v>288</v>
      </c>
      <c r="D292" s="2">
        <f>BattCalcs!CK292+PVCalcs!AT292</f>
        <v>9327.7385205185728</v>
      </c>
      <c r="E292" s="20">
        <f>PVCalcs!AV292</f>
        <v>1829542.5037507368</v>
      </c>
      <c r="F292" s="20">
        <f>PVCalcs!AW292</f>
        <v>2892.2323907200966</v>
      </c>
      <c r="G292" s="20" t="e">
        <f>PVCalcs!AX292</f>
        <v>#N/A</v>
      </c>
      <c r="H292" s="20">
        <f>BattCalcs!CM292</f>
        <v>0</v>
      </c>
      <c r="I292" s="20">
        <f>BattCalcs!CN292</f>
        <v>0</v>
      </c>
      <c r="J292" s="20" t="e">
        <f>IF(C292&lt;='Batt IN'!H$43*12,BattCalcs!CO292,NA())</f>
        <v>#N/A</v>
      </c>
      <c r="L292" s="20">
        <f t="shared" si="689"/>
        <v>2892.2323907200966</v>
      </c>
      <c r="M292" s="20" t="e">
        <f>G292+BattCalcs!CO292</f>
        <v>#N/A</v>
      </c>
      <c r="O292" s="10" t="str">
        <f>PVLoan!G320</f>
        <v>-</v>
      </c>
      <c r="P292" s="10" t="str">
        <f>PVLoan!J320</f>
        <v>-</v>
      </c>
      <c r="Q292" s="2" t="str">
        <f>BattLoan!G320</f>
        <v>-</v>
      </c>
      <c r="R292" s="10" t="str">
        <f>BattLoan!J320</f>
        <v>-</v>
      </c>
      <c r="T292" s="33">
        <f>IF('PV IN'!$F$4="Battery Only",0,PVCalcs!G292)</f>
        <v>125935.19592342102</v>
      </c>
      <c r="U292" s="33">
        <f>IF('PV IN'!$F$4="Battery Only",0,PVCalcs!M292)</f>
        <v>125935.19592342102</v>
      </c>
      <c r="V292" s="33">
        <f>PVCalcs!L292</f>
        <v>25811.765833333331</v>
      </c>
      <c r="W292" s="158">
        <f>PVCalcs!F292</f>
        <v>8.2693233167724894E-2</v>
      </c>
      <c r="X292" s="144">
        <f>IF('PV IN'!$F$4="Battery Only",0,PVCalcs!Y292+PVCalcs!Z292)</f>
        <v>0</v>
      </c>
      <c r="Y292" s="144">
        <f>IF('PV IN'!$F$4="PV Only",0,BattCalcs!AX292+BattCalcs!BC292)</f>
        <v>0</v>
      </c>
      <c r="Z292" s="144">
        <f>IF('PV IN'!$F$4="PV Only",0,BattCalcs!AY292+BattCalcs!BD292)</f>
        <v>0</v>
      </c>
      <c r="AA292" s="144">
        <f>IF('PV IN'!$F$4="PV Only",0,BattCalcs!AZ292+BattCalcs!BE292)</f>
        <v>0</v>
      </c>
      <c r="AB292" s="144">
        <f>IF('PV IN'!$F$4="PV Only",0,BattCalcs!BA292+BattCalcs!BF292)</f>
        <v>0</v>
      </c>
      <c r="AC292" s="144">
        <f>IF('PV IN'!$F$4="PV Only",0,BattCalcs!BB292+BattCalcs!BG292)</f>
        <v>0</v>
      </c>
      <c r="AD292" s="144">
        <f>IF('PV IN'!$F$4="PV Only",0,BattCalcs!BU292)</f>
        <v>0</v>
      </c>
      <c r="AE292" s="144">
        <f>IF('PV IN'!$F$4="PV Only",PVCalcs!W292+PVCalcs!AA292,IF('PV IN'!$F$4="Battery Only",BattCalcs!AV292+BattCalcs!BH292,PVCalcs!W292+PVCalcs!AA292+BattCalcs!AV292+BattCalcs!BH292))</f>
        <v>0</v>
      </c>
      <c r="AF292" s="10">
        <f>PVCalcs!AC292+BattCalcs!BJ292</f>
        <v>0</v>
      </c>
      <c r="AG292" s="144">
        <f>IF('PV IN'!$F$4="Battery Only",0,PVCalcs!AG292)</f>
        <v>-750</v>
      </c>
      <c r="AH292" s="144">
        <f>IF('PV IN'!$F$4="Battery Only",0,PVCalcs!AI292)</f>
        <v>0</v>
      </c>
      <c r="AI292" s="144">
        <f>IF('PV IN'!$F$4="PV Only",0,BattCalcs!BM292)</f>
        <v>0</v>
      </c>
      <c r="AJ292" s="144">
        <f>IF('PV IN'!$F$4="PV Only",0,SUM(BattCalcs!BO292:BT292))</f>
        <v>0</v>
      </c>
      <c r="AK292" s="144">
        <f>IF('PV IN'!$F$4="PV Only",PVCalcs!AH292,IF('PV IN'!$F$4="Battery Only",BattCalcs!BN292,PVCalcs!AH292+BattCalcs!BN292))</f>
        <v>-625</v>
      </c>
      <c r="AL292" s="144">
        <f>IF('PV IN'!$F$4="PV Only",0,BattCalcs!BV292)</f>
        <v>0</v>
      </c>
      <c r="AM292" s="144">
        <f>IF('PV IN'!$F$4="PV Only",0,SUM(BattCalcs!BW292:BX292))</f>
        <v>0</v>
      </c>
      <c r="AN292" s="144">
        <f>IF('PV IN'!$F$4="PV Only",0,BattCalcs!BY292)</f>
        <v>0</v>
      </c>
      <c r="AO292" s="144">
        <f>IF('PV IN'!$F$4="Battery Only",0,PVCalcs!U292)</f>
        <v>10413.988520518573</v>
      </c>
      <c r="AP292" s="10">
        <f>IF('PV IN'!$F$4="PV Only",0,BattCalcs!AS292)</f>
        <v>0</v>
      </c>
      <c r="AQ292" s="10">
        <f>IF('PV IN'!$F$4="PV Only",0,BattCalcs!AT292)</f>
        <v>0</v>
      </c>
      <c r="AR292" s="10">
        <f>IF('PV IN'!$F$4="PV Only",0,BattCalcs!AU292)</f>
        <v>0</v>
      </c>
      <c r="AS292" s="144">
        <f>IF('PV IN'!$F$4="PV Only",PVCalcs!X292,IF('PV IN'!$F$4="Battery Only",BattCalcs!AW292,PVCalcs!X292+BattCalcs!AW292))</f>
        <v>0</v>
      </c>
      <c r="AT292" s="144">
        <f>IF('PV IN'!$F$4="Battery Only",0,-PVCalcs!AQ292*'PV IN'!$E$8)</f>
        <v>0</v>
      </c>
      <c r="AU292" s="144">
        <f>IF('PV IN'!$F$4="PV Only",0,-BattCalcs!CG292*'PV IN'!$E$8)</f>
        <v>0</v>
      </c>
      <c r="AV292" s="144">
        <f>IF('PV IN'!$F$4="PV Only",PVCalcs!Z292+PVCalcs!AA292,IF('PV IN'!$F$4="Battery Only",SUM(BattCalcs!BC292:BH292),PVCalcs!Z292+PVCalcs!AA292+SUM(BattCalcs!BC292:BH292)))</f>
        <v>0</v>
      </c>
      <c r="AW292" s="144">
        <f>IF('PV IN'!$F$4="PV Only",SUM(PVCalcs!AF292:AI292),IF('PV IN'!$F$4="Battery Only",SUM(BattCalcs!BL292:BY292),SUM(PVCalcs!AF292:AI292)+SUM(BattCalcs!BL292:BY292)))</f>
        <v>-1375</v>
      </c>
      <c r="AX292" s="144">
        <f>IF('PV IN'!$F$4="Battery Only",0,-PVLoan!F320)</f>
        <v>0</v>
      </c>
      <c r="AY292" s="144">
        <f>IF('PV IN'!$F$4="PV Only",0,-BattLoan!F320)</f>
        <v>0</v>
      </c>
      <c r="AZ292" s="144">
        <f>IF('PV IN'!$F$4="Battery Only",0,-PVLoan!H320)</f>
        <v>0</v>
      </c>
      <c r="BA292" s="144">
        <f>IF('PV IN'!$F$4="PV Only",0,-BattLoan!H320)</f>
        <v>0</v>
      </c>
      <c r="BC292" s="33">
        <f t="shared" ref="BC292" si="758">SUM(T281:T292)</f>
        <v>1516779.5448906471</v>
      </c>
      <c r="BD292" s="33">
        <f t="shared" ref="BD292" si="759">SUM(U281:U292)</f>
        <v>1516779.5448906471</v>
      </c>
      <c r="BE292" s="33">
        <f t="shared" ref="BE292" si="760">SUM(V281:V292)</f>
        <v>309741.19</v>
      </c>
      <c r="BF292" s="50">
        <f t="shared" ref="BF292" si="761">W292</f>
        <v>8.2693233167724894E-2</v>
      </c>
      <c r="BG292" s="2">
        <f t="shared" ref="BG292" si="762">SUM(X281:X292)</f>
        <v>0</v>
      </c>
      <c r="BH292" s="2">
        <f t="shared" ref="BH292" si="763">SUM(Y281:Y292)</f>
        <v>0</v>
      </c>
      <c r="BI292" s="2">
        <f t="shared" ref="BI292" si="764">SUM(Z281:Z292)</f>
        <v>0</v>
      </c>
      <c r="BJ292" s="2">
        <f t="shared" ref="BJ292" si="765">SUM(AA281:AA292)</f>
        <v>0</v>
      </c>
      <c r="BK292" s="2">
        <f t="shared" ref="BK292" si="766">SUM(AB281:AB292)</f>
        <v>0</v>
      </c>
      <c r="BL292" s="2">
        <f t="shared" ref="BL292" si="767">SUM(AC281:AC292)</f>
        <v>0</v>
      </c>
      <c r="BM292" s="2">
        <f t="shared" ref="BM292" si="768">SUM(AD281:AD292)</f>
        <v>0</v>
      </c>
      <c r="BN292" s="2">
        <f t="shared" ref="BN292" si="769">SUM(AE281:AE292)</f>
        <v>0</v>
      </c>
      <c r="BO292" s="2">
        <f t="shared" ref="BO292" si="770">SUM(AF281:AF292)</f>
        <v>0</v>
      </c>
      <c r="BP292" s="2">
        <f t="shared" ref="BP292" si="771">SUM(AG281:AG292)</f>
        <v>-9000</v>
      </c>
      <c r="BQ292" s="2">
        <f t="shared" ref="BQ292" si="772">SUM(AH281:AH292)</f>
        <v>0</v>
      </c>
      <c r="BR292" s="2">
        <f t="shared" ref="BR292" si="773">SUM(AI281:AI292)</f>
        <v>0</v>
      </c>
      <c r="BS292" s="2">
        <f t="shared" ref="BS292" si="774">SUM(AJ281:AJ292)</f>
        <v>0</v>
      </c>
      <c r="BT292" s="2">
        <f t="shared" ref="BT292" si="775">SUM(AK281:AK292)</f>
        <v>-7500</v>
      </c>
      <c r="BU292" s="2">
        <f t="shared" ref="BU292" si="776">SUM(AL281:AL292)</f>
        <v>0</v>
      </c>
      <c r="BV292" s="2">
        <f t="shared" ref="BV292" si="777">SUM(AM281:AM292)</f>
        <v>0</v>
      </c>
      <c r="BW292" s="2">
        <f t="shared" ref="BW292" si="778">SUM(AN281:AN292)</f>
        <v>0</v>
      </c>
      <c r="BX292" s="2">
        <f t="shared" ref="BX292" si="779">SUM(AO281:AO292)</f>
        <v>125427.40456967791</v>
      </c>
      <c r="BY292" s="2">
        <f t="shared" ref="BY292" si="780">SUM(AP281:AP292)</f>
        <v>0</v>
      </c>
      <c r="BZ292" s="2">
        <f t="shared" ref="BZ292" si="781">SUM(AQ281:AQ292)</f>
        <v>0</v>
      </c>
      <c r="CA292" s="2">
        <f t="shared" ref="CA292" si="782">SUM(AR281:AR292)</f>
        <v>0</v>
      </c>
      <c r="CB292" s="2">
        <f t="shared" ref="CB292" si="783">SUM(AS281:AS292)</f>
        <v>0</v>
      </c>
      <c r="CC292" s="2">
        <f t="shared" ref="CC292" si="784">SUM(AT281:AT292)</f>
        <v>0</v>
      </c>
      <c r="CD292" s="2">
        <f t="shared" ref="CD292" si="785">SUM(AU281:AU292)</f>
        <v>0</v>
      </c>
      <c r="CE292" s="2">
        <f t="shared" ref="CE292" si="786">SUM(AV281:AV292)</f>
        <v>0</v>
      </c>
      <c r="CF292" s="2">
        <f t="shared" ref="CF292" si="787">SUM(AW281:AW292)</f>
        <v>-16500</v>
      </c>
      <c r="CG292" s="2">
        <f t="shared" ref="CG292" si="788">SUM(AX281:AX292)</f>
        <v>0</v>
      </c>
      <c r="CH292" s="2">
        <f t="shared" ref="CH292" si="789">SUM(AY281:AY292)</f>
        <v>0</v>
      </c>
      <c r="CI292" s="2">
        <f t="shared" ref="CI292" si="790">SUM(AZ281:AZ292)</f>
        <v>0</v>
      </c>
      <c r="CJ292" s="2">
        <f t="shared" ref="CJ292" si="791">SUM(BA281:BA292)</f>
        <v>0</v>
      </c>
    </row>
    <row r="293" spans="1:88" x14ac:dyDescent="0.25">
      <c r="A293" t="str">
        <f>IF(C293&lt;='PV IN'!$O$22*12,C293,"")</f>
        <v/>
      </c>
      <c r="C293">
        <v>289</v>
      </c>
      <c r="D293" s="2">
        <f>BattCalcs!CK293+PVCalcs!AT293</f>
        <v>9227.1362787602429</v>
      </c>
      <c r="E293" s="20">
        <f>PVCalcs!AV293</f>
        <v>1838769.640029497</v>
      </c>
      <c r="F293" s="20">
        <f>PVCalcs!AW293</f>
        <v>2849.4299335860796</v>
      </c>
      <c r="G293" s="20" t="e">
        <f>PVCalcs!AX293</f>
        <v>#N/A</v>
      </c>
      <c r="H293" s="20">
        <f>BattCalcs!CM293</f>
        <v>0</v>
      </c>
      <c r="I293" s="20">
        <f>BattCalcs!CN293</f>
        <v>0</v>
      </c>
      <c r="J293" s="20" t="e">
        <f>IF(C293&lt;='Batt IN'!H$43*12,BattCalcs!CO293,NA())</f>
        <v>#N/A</v>
      </c>
      <c r="L293" s="20">
        <f t="shared" si="689"/>
        <v>2849.4299335860796</v>
      </c>
      <c r="M293" s="20" t="e">
        <f>G293+BattCalcs!CO293</f>
        <v>#N/A</v>
      </c>
      <c r="O293" s="10" t="str">
        <f>PVLoan!G321</f>
        <v>-</v>
      </c>
      <c r="P293" s="10" t="str">
        <f>PVLoan!J321</f>
        <v>-</v>
      </c>
      <c r="Q293" s="2" t="str">
        <f>BattLoan!G321</f>
        <v>-</v>
      </c>
      <c r="R293" s="10" t="str">
        <f>BattLoan!J321</f>
        <v>-</v>
      </c>
      <c r="T293" s="33">
        <f>IF('PV IN'!$F$4="Battery Only",0,PVCalcs!G293)</f>
        <v>125851.23912613871</v>
      </c>
      <c r="U293" s="33">
        <f>IF('PV IN'!$F$4="Battery Only",0,PVCalcs!M293)</f>
        <v>125851.23912613871</v>
      </c>
      <c r="V293" s="33">
        <f>PVCalcs!L293</f>
        <v>25811.765833333331</v>
      </c>
      <c r="W293" s="158">
        <f>PVCalcs!F293</f>
        <v>8.194902450204164E-2</v>
      </c>
      <c r="X293" s="144">
        <f>IF('PV IN'!$F$4="Battery Only",0,PVCalcs!Y293+PVCalcs!Z293)</f>
        <v>0</v>
      </c>
      <c r="Y293" s="144">
        <f>IF('PV IN'!$F$4="PV Only",0,BattCalcs!AX293+BattCalcs!BC293)</f>
        <v>0</v>
      </c>
      <c r="Z293" s="144">
        <f>IF('PV IN'!$F$4="PV Only",0,BattCalcs!AY293+BattCalcs!BD293)</f>
        <v>0</v>
      </c>
      <c r="AA293" s="144">
        <f>IF('PV IN'!$F$4="PV Only",0,BattCalcs!AZ293+BattCalcs!BE293)</f>
        <v>0</v>
      </c>
      <c r="AB293" s="144">
        <f>IF('PV IN'!$F$4="PV Only",0,BattCalcs!BA293+BattCalcs!BF293)</f>
        <v>0</v>
      </c>
      <c r="AC293" s="144">
        <f>IF('PV IN'!$F$4="PV Only",0,BattCalcs!BB293+BattCalcs!BG293)</f>
        <v>0</v>
      </c>
      <c r="AD293" s="144">
        <f>IF('PV IN'!$F$4="PV Only",0,BattCalcs!BU293)</f>
        <v>0</v>
      </c>
      <c r="AE293" s="144">
        <f>IF('PV IN'!$F$4="PV Only",PVCalcs!W293+PVCalcs!AA293,IF('PV IN'!$F$4="Battery Only",BattCalcs!AV293+BattCalcs!BH293,PVCalcs!W293+PVCalcs!AA293+BattCalcs!AV293+BattCalcs!BH293))</f>
        <v>0</v>
      </c>
      <c r="AF293" s="10">
        <f>PVCalcs!AC293+BattCalcs!BJ293</f>
        <v>0</v>
      </c>
      <c r="AG293" s="144">
        <f>IF('PV IN'!$F$4="Battery Only",0,PVCalcs!AG293)</f>
        <v>-750</v>
      </c>
      <c r="AH293" s="144">
        <f>IF('PV IN'!$F$4="Battery Only",0,PVCalcs!AI293)</f>
        <v>0</v>
      </c>
      <c r="AI293" s="144">
        <f>IF('PV IN'!$F$4="PV Only",0,BattCalcs!BM293)</f>
        <v>0</v>
      </c>
      <c r="AJ293" s="144">
        <f>IF('PV IN'!$F$4="PV Only",0,SUM(BattCalcs!BO293:BT293))</f>
        <v>0</v>
      </c>
      <c r="AK293" s="144">
        <f>IF('PV IN'!$F$4="PV Only",PVCalcs!AH293,IF('PV IN'!$F$4="Battery Only",BattCalcs!BN293,PVCalcs!AH293+BattCalcs!BN293))</f>
        <v>-625</v>
      </c>
      <c r="AL293" s="144">
        <f>IF('PV IN'!$F$4="PV Only",0,BattCalcs!BV293)</f>
        <v>0</v>
      </c>
      <c r="AM293" s="144">
        <f>IF('PV IN'!$F$4="PV Only",0,SUM(BattCalcs!BW293:BX293))</f>
        <v>0</v>
      </c>
      <c r="AN293" s="144">
        <f>IF('PV IN'!$F$4="PV Only",0,BattCalcs!BY293)</f>
        <v>0</v>
      </c>
      <c r="AO293" s="144">
        <f>IF('PV IN'!$F$4="Battery Only",0,PVCalcs!U293)</f>
        <v>10313.386278760243</v>
      </c>
      <c r="AP293" s="10">
        <f>IF('PV IN'!$F$4="PV Only",0,BattCalcs!AS293)</f>
        <v>0</v>
      </c>
      <c r="AQ293" s="10">
        <f>IF('PV IN'!$F$4="PV Only",0,BattCalcs!AT293)</f>
        <v>0</v>
      </c>
      <c r="AR293" s="10">
        <f>IF('PV IN'!$F$4="PV Only",0,BattCalcs!AU293)</f>
        <v>0</v>
      </c>
      <c r="AS293" s="144">
        <f>IF('PV IN'!$F$4="PV Only",PVCalcs!X293,IF('PV IN'!$F$4="Battery Only",BattCalcs!AW293,PVCalcs!X293+BattCalcs!AW293))</f>
        <v>0</v>
      </c>
      <c r="AT293" s="144">
        <f>IF('PV IN'!$F$4="Battery Only",0,-PVCalcs!AQ293*'PV IN'!$E$8)</f>
        <v>0</v>
      </c>
      <c r="AU293" s="144">
        <f>IF('PV IN'!$F$4="PV Only",0,-BattCalcs!CG293*'PV IN'!$E$8)</f>
        <v>0</v>
      </c>
      <c r="AV293" s="144">
        <f>IF('PV IN'!$F$4="PV Only",PVCalcs!Z293+PVCalcs!AA293,IF('PV IN'!$F$4="Battery Only",SUM(BattCalcs!BC293:BH293),PVCalcs!Z293+PVCalcs!AA293+SUM(BattCalcs!BC293:BH293)))</f>
        <v>0</v>
      </c>
      <c r="AW293" s="144">
        <f>IF('PV IN'!$F$4="PV Only",SUM(PVCalcs!AF293:AI293),IF('PV IN'!$F$4="Battery Only",SUM(BattCalcs!BL293:BY293),SUM(PVCalcs!AF293:AI293)+SUM(BattCalcs!BL293:BY293)))</f>
        <v>-1375</v>
      </c>
      <c r="AX293" s="144">
        <f>IF('PV IN'!$F$4="Battery Only",0,-PVLoan!F321)</f>
        <v>0</v>
      </c>
      <c r="AY293" s="144">
        <f>IF('PV IN'!$F$4="PV Only",0,-BattLoan!F321)</f>
        <v>0</v>
      </c>
      <c r="AZ293" s="144">
        <f>IF('PV IN'!$F$4="Battery Only",0,-PVLoan!H321)</f>
        <v>0</v>
      </c>
      <c r="BA293" s="144">
        <f>IF('PV IN'!$F$4="PV Only",0,-BattLoan!H321)</f>
        <v>0</v>
      </c>
    </row>
    <row r="294" spans="1:88" x14ac:dyDescent="0.25">
      <c r="A294" t="str">
        <f>IF(C294&lt;='PV IN'!$O$22*12,C294,"")</f>
        <v/>
      </c>
      <c r="C294">
        <v>290</v>
      </c>
      <c r="D294" s="2">
        <f>BattCalcs!CK294+PVCalcs!AT294</f>
        <v>9220.2606879077357</v>
      </c>
      <c r="E294" s="20">
        <f>PVCalcs!AV294</f>
        <v>1847989.9007174047</v>
      </c>
      <c r="F294" s="20">
        <f>PVCalcs!AW294</f>
        <v>2835.7534732108356</v>
      </c>
      <c r="G294" s="20" t="e">
        <f>PVCalcs!AX294</f>
        <v>#N/A</v>
      </c>
      <c r="H294" s="20">
        <f>BattCalcs!CM294</f>
        <v>0</v>
      </c>
      <c r="I294" s="20">
        <f>BattCalcs!CN294</f>
        <v>0</v>
      </c>
      <c r="J294" s="20" t="e">
        <f>IF(C294&lt;='Batt IN'!H$43*12,BattCalcs!CO294,NA())</f>
        <v>#N/A</v>
      </c>
      <c r="L294" s="20">
        <f t="shared" si="689"/>
        <v>2835.7534732108356</v>
      </c>
      <c r="M294" s="20" t="e">
        <f>G294+BattCalcs!CO294</f>
        <v>#N/A</v>
      </c>
      <c r="O294" s="10" t="str">
        <f>PVLoan!G322</f>
        <v>-</v>
      </c>
      <c r="P294" s="10" t="str">
        <f>PVLoan!J322</f>
        <v>-</v>
      </c>
      <c r="Q294" s="2" t="str">
        <f>BattLoan!G322</f>
        <v>-</v>
      </c>
      <c r="R294" s="10" t="str">
        <f>BattLoan!J322</f>
        <v>-</v>
      </c>
      <c r="T294" s="33">
        <f>IF('PV IN'!$F$4="Battery Only",0,PVCalcs!G294)</f>
        <v>125767.33830005462</v>
      </c>
      <c r="U294" s="33">
        <f>IF('PV IN'!$F$4="Battery Only",0,PVCalcs!M294)</f>
        <v>125767.33830005462</v>
      </c>
      <c r="V294" s="33">
        <f>PVCalcs!L294</f>
        <v>25811.765833333331</v>
      </c>
      <c r="W294" s="158">
        <f>PVCalcs!F294</f>
        <v>8.194902450204164E-2</v>
      </c>
      <c r="X294" s="144">
        <f>IF('PV IN'!$F$4="Battery Only",0,PVCalcs!Y294+PVCalcs!Z294)</f>
        <v>0</v>
      </c>
      <c r="Y294" s="144">
        <f>IF('PV IN'!$F$4="PV Only",0,BattCalcs!AX294+BattCalcs!BC294)</f>
        <v>0</v>
      </c>
      <c r="Z294" s="144">
        <f>IF('PV IN'!$F$4="PV Only",0,BattCalcs!AY294+BattCalcs!BD294)</f>
        <v>0</v>
      </c>
      <c r="AA294" s="144">
        <f>IF('PV IN'!$F$4="PV Only",0,BattCalcs!AZ294+BattCalcs!BE294)</f>
        <v>0</v>
      </c>
      <c r="AB294" s="144">
        <f>IF('PV IN'!$F$4="PV Only",0,BattCalcs!BA294+BattCalcs!BF294)</f>
        <v>0</v>
      </c>
      <c r="AC294" s="144">
        <f>IF('PV IN'!$F$4="PV Only",0,BattCalcs!BB294+BattCalcs!BG294)</f>
        <v>0</v>
      </c>
      <c r="AD294" s="144">
        <f>IF('PV IN'!$F$4="PV Only",0,BattCalcs!BU294)</f>
        <v>0</v>
      </c>
      <c r="AE294" s="144">
        <f>IF('PV IN'!$F$4="PV Only",PVCalcs!W294+PVCalcs!AA294,IF('PV IN'!$F$4="Battery Only",BattCalcs!AV294+BattCalcs!BH294,PVCalcs!W294+PVCalcs!AA294+BattCalcs!AV294+BattCalcs!BH294))</f>
        <v>0</v>
      </c>
      <c r="AF294" s="10">
        <f>PVCalcs!AC294+BattCalcs!BJ294</f>
        <v>0</v>
      </c>
      <c r="AG294" s="144">
        <f>IF('PV IN'!$F$4="Battery Only",0,PVCalcs!AG294)</f>
        <v>-750</v>
      </c>
      <c r="AH294" s="144">
        <f>IF('PV IN'!$F$4="Battery Only",0,PVCalcs!AI294)</f>
        <v>0</v>
      </c>
      <c r="AI294" s="144">
        <f>IF('PV IN'!$F$4="PV Only",0,BattCalcs!BM294)</f>
        <v>0</v>
      </c>
      <c r="AJ294" s="144">
        <f>IF('PV IN'!$F$4="PV Only",0,SUM(BattCalcs!BO294:BT294))</f>
        <v>0</v>
      </c>
      <c r="AK294" s="144">
        <f>IF('PV IN'!$F$4="PV Only",PVCalcs!AH294,IF('PV IN'!$F$4="Battery Only",BattCalcs!BN294,PVCalcs!AH294+BattCalcs!BN294))</f>
        <v>-625</v>
      </c>
      <c r="AL294" s="144">
        <f>IF('PV IN'!$F$4="PV Only",0,BattCalcs!BV294)</f>
        <v>0</v>
      </c>
      <c r="AM294" s="144">
        <f>IF('PV IN'!$F$4="PV Only",0,SUM(BattCalcs!BW294:BX294))</f>
        <v>0</v>
      </c>
      <c r="AN294" s="144">
        <f>IF('PV IN'!$F$4="PV Only",0,BattCalcs!BY294)</f>
        <v>0</v>
      </c>
      <c r="AO294" s="144">
        <f>IF('PV IN'!$F$4="Battery Only",0,PVCalcs!U294)</f>
        <v>10306.510687907736</v>
      </c>
      <c r="AP294" s="10">
        <f>IF('PV IN'!$F$4="PV Only",0,BattCalcs!AS294)</f>
        <v>0</v>
      </c>
      <c r="AQ294" s="10">
        <f>IF('PV IN'!$F$4="PV Only",0,BattCalcs!AT294)</f>
        <v>0</v>
      </c>
      <c r="AR294" s="10">
        <f>IF('PV IN'!$F$4="PV Only",0,BattCalcs!AU294)</f>
        <v>0</v>
      </c>
      <c r="AS294" s="144">
        <f>IF('PV IN'!$F$4="PV Only",PVCalcs!X294,IF('PV IN'!$F$4="Battery Only",BattCalcs!AW294,PVCalcs!X294+BattCalcs!AW294))</f>
        <v>0</v>
      </c>
      <c r="AT294" s="144">
        <f>IF('PV IN'!$F$4="Battery Only",0,-PVCalcs!AQ294*'PV IN'!$E$8)</f>
        <v>0</v>
      </c>
      <c r="AU294" s="144">
        <f>IF('PV IN'!$F$4="PV Only",0,-BattCalcs!CG294*'PV IN'!$E$8)</f>
        <v>0</v>
      </c>
      <c r="AV294" s="144">
        <f>IF('PV IN'!$F$4="PV Only",PVCalcs!Z294+PVCalcs!AA294,IF('PV IN'!$F$4="Battery Only",SUM(BattCalcs!BC294:BH294),PVCalcs!Z294+PVCalcs!AA294+SUM(BattCalcs!BC294:BH294)))</f>
        <v>0</v>
      </c>
      <c r="AW294" s="144">
        <f>IF('PV IN'!$F$4="PV Only",SUM(PVCalcs!AF294:AI294),IF('PV IN'!$F$4="Battery Only",SUM(BattCalcs!BL294:BY294),SUM(PVCalcs!AF294:AI294)+SUM(BattCalcs!BL294:BY294)))</f>
        <v>-1375</v>
      </c>
      <c r="AX294" s="144">
        <f>IF('PV IN'!$F$4="Battery Only",0,-PVLoan!F322)</f>
        <v>0</v>
      </c>
      <c r="AY294" s="144">
        <f>IF('PV IN'!$F$4="PV Only",0,-BattLoan!F322)</f>
        <v>0</v>
      </c>
      <c r="AZ294" s="144">
        <f>IF('PV IN'!$F$4="Battery Only",0,-PVLoan!H322)</f>
        <v>0</v>
      </c>
      <c r="BA294" s="144">
        <f>IF('PV IN'!$F$4="PV Only",0,-BattLoan!H322)</f>
        <v>0</v>
      </c>
    </row>
    <row r="295" spans="1:88" x14ac:dyDescent="0.25">
      <c r="A295" t="str">
        <f>IF(C295&lt;='PV IN'!$O$22*12,C295,"")</f>
        <v/>
      </c>
      <c r="C295">
        <v>291</v>
      </c>
      <c r="D295" s="2">
        <f>BattCalcs!CK295+PVCalcs!AT295</f>
        <v>9213.389680782464</v>
      </c>
      <c r="E295" s="20">
        <f>PVCalcs!AV295</f>
        <v>1857203.2903981872</v>
      </c>
      <c r="F295" s="20">
        <f>PVCalcs!AW295</f>
        <v>2822.14249070183</v>
      </c>
      <c r="G295" s="20" t="e">
        <f>PVCalcs!AX295</f>
        <v>#N/A</v>
      </c>
      <c r="H295" s="20">
        <f>BattCalcs!CM295</f>
        <v>0</v>
      </c>
      <c r="I295" s="20">
        <f>BattCalcs!CN295</f>
        <v>0</v>
      </c>
      <c r="J295" s="20" t="e">
        <f>IF(C295&lt;='Batt IN'!H$43*12,BattCalcs!CO295,NA())</f>
        <v>#N/A</v>
      </c>
      <c r="L295" s="20">
        <f t="shared" si="689"/>
        <v>2822.14249070183</v>
      </c>
      <c r="M295" s="20" t="e">
        <f>G295+BattCalcs!CO295</f>
        <v>#N/A</v>
      </c>
      <c r="O295" s="10" t="str">
        <f>PVLoan!G323</f>
        <v>-</v>
      </c>
      <c r="P295" s="10" t="str">
        <f>PVLoan!J323</f>
        <v>-</v>
      </c>
      <c r="Q295" s="2" t="str">
        <f>BattLoan!G323</f>
        <v>-</v>
      </c>
      <c r="R295" s="10" t="str">
        <f>BattLoan!J323</f>
        <v>-</v>
      </c>
      <c r="T295" s="33">
        <f>IF('PV IN'!$F$4="Battery Only",0,PVCalcs!G295)</f>
        <v>125683.49340785458</v>
      </c>
      <c r="U295" s="33">
        <f>IF('PV IN'!$F$4="Battery Only",0,PVCalcs!M295)</f>
        <v>125683.49340785458</v>
      </c>
      <c r="V295" s="33">
        <f>PVCalcs!L295</f>
        <v>25811.765833333331</v>
      </c>
      <c r="W295" s="158">
        <f>PVCalcs!F295</f>
        <v>8.194902450204164E-2</v>
      </c>
      <c r="X295" s="144">
        <f>IF('PV IN'!$F$4="Battery Only",0,PVCalcs!Y295+PVCalcs!Z295)</f>
        <v>0</v>
      </c>
      <c r="Y295" s="144">
        <f>IF('PV IN'!$F$4="PV Only",0,BattCalcs!AX295+BattCalcs!BC295)</f>
        <v>0</v>
      </c>
      <c r="Z295" s="144">
        <f>IF('PV IN'!$F$4="PV Only",0,BattCalcs!AY295+BattCalcs!BD295)</f>
        <v>0</v>
      </c>
      <c r="AA295" s="144">
        <f>IF('PV IN'!$F$4="PV Only",0,BattCalcs!AZ295+BattCalcs!BE295)</f>
        <v>0</v>
      </c>
      <c r="AB295" s="144">
        <f>IF('PV IN'!$F$4="PV Only",0,BattCalcs!BA295+BattCalcs!BF295)</f>
        <v>0</v>
      </c>
      <c r="AC295" s="144">
        <f>IF('PV IN'!$F$4="PV Only",0,BattCalcs!BB295+BattCalcs!BG295)</f>
        <v>0</v>
      </c>
      <c r="AD295" s="144">
        <f>IF('PV IN'!$F$4="PV Only",0,BattCalcs!BU295)</f>
        <v>0</v>
      </c>
      <c r="AE295" s="144">
        <f>IF('PV IN'!$F$4="PV Only",PVCalcs!W295+PVCalcs!AA295,IF('PV IN'!$F$4="Battery Only",BattCalcs!AV295+BattCalcs!BH295,PVCalcs!W295+PVCalcs!AA295+BattCalcs!AV295+BattCalcs!BH295))</f>
        <v>0</v>
      </c>
      <c r="AF295" s="10">
        <f>PVCalcs!AC295+BattCalcs!BJ295</f>
        <v>0</v>
      </c>
      <c r="AG295" s="144">
        <f>IF('PV IN'!$F$4="Battery Only",0,PVCalcs!AG295)</f>
        <v>-750</v>
      </c>
      <c r="AH295" s="144">
        <f>IF('PV IN'!$F$4="Battery Only",0,PVCalcs!AI295)</f>
        <v>0</v>
      </c>
      <c r="AI295" s="144">
        <f>IF('PV IN'!$F$4="PV Only",0,BattCalcs!BM295)</f>
        <v>0</v>
      </c>
      <c r="AJ295" s="144">
        <f>IF('PV IN'!$F$4="PV Only",0,SUM(BattCalcs!BO295:BT295))</f>
        <v>0</v>
      </c>
      <c r="AK295" s="144">
        <f>IF('PV IN'!$F$4="PV Only",PVCalcs!AH295,IF('PV IN'!$F$4="Battery Only",BattCalcs!BN295,PVCalcs!AH295+BattCalcs!BN295))</f>
        <v>-625</v>
      </c>
      <c r="AL295" s="144">
        <f>IF('PV IN'!$F$4="PV Only",0,BattCalcs!BV295)</f>
        <v>0</v>
      </c>
      <c r="AM295" s="144">
        <f>IF('PV IN'!$F$4="PV Only",0,SUM(BattCalcs!BW295:BX295))</f>
        <v>0</v>
      </c>
      <c r="AN295" s="144">
        <f>IF('PV IN'!$F$4="PV Only",0,BattCalcs!BY295)</f>
        <v>0</v>
      </c>
      <c r="AO295" s="144">
        <f>IF('PV IN'!$F$4="Battery Only",0,PVCalcs!U295)</f>
        <v>10299.639680782464</v>
      </c>
      <c r="AP295" s="10">
        <f>IF('PV IN'!$F$4="PV Only",0,BattCalcs!AS295)</f>
        <v>0</v>
      </c>
      <c r="AQ295" s="10">
        <f>IF('PV IN'!$F$4="PV Only",0,BattCalcs!AT295)</f>
        <v>0</v>
      </c>
      <c r="AR295" s="10">
        <f>IF('PV IN'!$F$4="PV Only",0,BattCalcs!AU295)</f>
        <v>0</v>
      </c>
      <c r="AS295" s="144">
        <f>IF('PV IN'!$F$4="PV Only",PVCalcs!X295,IF('PV IN'!$F$4="Battery Only",BattCalcs!AW295,PVCalcs!X295+BattCalcs!AW295))</f>
        <v>0</v>
      </c>
      <c r="AT295" s="144">
        <f>IF('PV IN'!$F$4="Battery Only",0,-PVCalcs!AQ295*'PV IN'!$E$8)</f>
        <v>0</v>
      </c>
      <c r="AU295" s="144">
        <f>IF('PV IN'!$F$4="PV Only",0,-BattCalcs!CG295*'PV IN'!$E$8)</f>
        <v>0</v>
      </c>
      <c r="AV295" s="144">
        <f>IF('PV IN'!$F$4="PV Only",PVCalcs!Z295+PVCalcs!AA295,IF('PV IN'!$F$4="Battery Only",SUM(BattCalcs!BC295:BH295),PVCalcs!Z295+PVCalcs!AA295+SUM(BattCalcs!BC295:BH295)))</f>
        <v>0</v>
      </c>
      <c r="AW295" s="144">
        <f>IF('PV IN'!$F$4="PV Only",SUM(PVCalcs!AF295:AI295),IF('PV IN'!$F$4="Battery Only",SUM(BattCalcs!BL295:BY295),SUM(PVCalcs!AF295:AI295)+SUM(BattCalcs!BL295:BY295)))</f>
        <v>-1375</v>
      </c>
      <c r="AX295" s="144">
        <f>IF('PV IN'!$F$4="Battery Only",0,-PVLoan!F323)</f>
        <v>0</v>
      </c>
      <c r="AY295" s="144">
        <f>IF('PV IN'!$F$4="PV Only",0,-BattLoan!F323)</f>
        <v>0</v>
      </c>
      <c r="AZ295" s="144">
        <f>IF('PV IN'!$F$4="Battery Only",0,-PVLoan!H323)</f>
        <v>0</v>
      </c>
      <c r="BA295" s="144">
        <f>IF('PV IN'!$F$4="PV Only",0,-BattLoan!H323)</f>
        <v>0</v>
      </c>
    </row>
    <row r="296" spans="1:88" x14ac:dyDescent="0.25">
      <c r="A296" t="str">
        <f>IF(C296&lt;='PV IN'!$O$22*12,C296,"")</f>
        <v/>
      </c>
      <c r="C296">
        <v>292</v>
      </c>
      <c r="D296" s="2">
        <f>BattCalcs!CK296+PVCalcs!AT296</f>
        <v>9206.5232543286093</v>
      </c>
      <c r="E296" s="20">
        <f>PVCalcs!AV296</f>
        <v>1866409.8136525159</v>
      </c>
      <c r="F296" s="20">
        <f>PVCalcs!AW296</f>
        <v>2808.5966732348502</v>
      </c>
      <c r="G296" s="20" t="e">
        <f>PVCalcs!AX296</f>
        <v>#N/A</v>
      </c>
      <c r="H296" s="20">
        <f>BattCalcs!CM296</f>
        <v>0</v>
      </c>
      <c r="I296" s="20">
        <f>BattCalcs!CN296</f>
        <v>0</v>
      </c>
      <c r="J296" s="20" t="e">
        <f>IF(C296&lt;='Batt IN'!H$43*12,BattCalcs!CO296,NA())</f>
        <v>#N/A</v>
      </c>
      <c r="L296" s="20">
        <f t="shared" si="689"/>
        <v>2808.5966732348502</v>
      </c>
      <c r="M296" s="20" t="e">
        <f>G296+BattCalcs!CO296</f>
        <v>#N/A</v>
      </c>
      <c r="O296" s="10" t="str">
        <f>PVLoan!G324</f>
        <v>-</v>
      </c>
      <c r="P296" s="10" t="str">
        <f>PVLoan!J324</f>
        <v>-</v>
      </c>
      <c r="Q296" s="2" t="str">
        <f>BattLoan!G324</f>
        <v>-</v>
      </c>
      <c r="R296" s="10" t="str">
        <f>BattLoan!J324</f>
        <v>-</v>
      </c>
      <c r="T296" s="33">
        <f>IF('PV IN'!$F$4="Battery Only",0,PVCalcs!G296)</f>
        <v>125599.70441224934</v>
      </c>
      <c r="U296" s="33">
        <f>IF('PV IN'!$F$4="Battery Only",0,PVCalcs!M296)</f>
        <v>125599.70441224934</v>
      </c>
      <c r="V296" s="33">
        <f>PVCalcs!L296</f>
        <v>25811.765833333331</v>
      </c>
      <c r="W296" s="158">
        <f>PVCalcs!F296</f>
        <v>8.194902450204164E-2</v>
      </c>
      <c r="X296" s="144">
        <f>IF('PV IN'!$F$4="Battery Only",0,PVCalcs!Y296+PVCalcs!Z296)</f>
        <v>0</v>
      </c>
      <c r="Y296" s="144">
        <f>IF('PV IN'!$F$4="PV Only",0,BattCalcs!AX296+BattCalcs!BC296)</f>
        <v>0</v>
      </c>
      <c r="Z296" s="144">
        <f>IF('PV IN'!$F$4="PV Only",0,BattCalcs!AY296+BattCalcs!BD296)</f>
        <v>0</v>
      </c>
      <c r="AA296" s="144">
        <f>IF('PV IN'!$F$4="PV Only",0,BattCalcs!AZ296+BattCalcs!BE296)</f>
        <v>0</v>
      </c>
      <c r="AB296" s="144">
        <f>IF('PV IN'!$F$4="PV Only",0,BattCalcs!BA296+BattCalcs!BF296)</f>
        <v>0</v>
      </c>
      <c r="AC296" s="144">
        <f>IF('PV IN'!$F$4="PV Only",0,BattCalcs!BB296+BattCalcs!BG296)</f>
        <v>0</v>
      </c>
      <c r="AD296" s="144">
        <f>IF('PV IN'!$F$4="PV Only",0,BattCalcs!BU296)</f>
        <v>0</v>
      </c>
      <c r="AE296" s="144">
        <f>IF('PV IN'!$F$4="PV Only",PVCalcs!W296+PVCalcs!AA296,IF('PV IN'!$F$4="Battery Only",BattCalcs!AV296+BattCalcs!BH296,PVCalcs!W296+PVCalcs!AA296+BattCalcs!AV296+BattCalcs!BH296))</f>
        <v>0</v>
      </c>
      <c r="AF296" s="10">
        <f>PVCalcs!AC296+BattCalcs!BJ296</f>
        <v>0</v>
      </c>
      <c r="AG296" s="144">
        <f>IF('PV IN'!$F$4="Battery Only",0,PVCalcs!AG296)</f>
        <v>-750</v>
      </c>
      <c r="AH296" s="144">
        <f>IF('PV IN'!$F$4="Battery Only",0,PVCalcs!AI296)</f>
        <v>0</v>
      </c>
      <c r="AI296" s="144">
        <f>IF('PV IN'!$F$4="PV Only",0,BattCalcs!BM296)</f>
        <v>0</v>
      </c>
      <c r="AJ296" s="144">
        <f>IF('PV IN'!$F$4="PV Only",0,SUM(BattCalcs!BO296:BT296))</f>
        <v>0</v>
      </c>
      <c r="AK296" s="144">
        <f>IF('PV IN'!$F$4="PV Only",PVCalcs!AH296,IF('PV IN'!$F$4="Battery Only",BattCalcs!BN296,PVCalcs!AH296+BattCalcs!BN296))</f>
        <v>-625</v>
      </c>
      <c r="AL296" s="144">
        <f>IF('PV IN'!$F$4="PV Only",0,BattCalcs!BV296)</f>
        <v>0</v>
      </c>
      <c r="AM296" s="144">
        <f>IF('PV IN'!$F$4="PV Only",0,SUM(BattCalcs!BW296:BX296))</f>
        <v>0</v>
      </c>
      <c r="AN296" s="144">
        <f>IF('PV IN'!$F$4="PV Only",0,BattCalcs!BY296)</f>
        <v>0</v>
      </c>
      <c r="AO296" s="144">
        <f>IF('PV IN'!$F$4="Battery Only",0,PVCalcs!U296)</f>
        <v>10292.773254328609</v>
      </c>
      <c r="AP296" s="10">
        <f>IF('PV IN'!$F$4="PV Only",0,BattCalcs!AS296)</f>
        <v>0</v>
      </c>
      <c r="AQ296" s="10">
        <f>IF('PV IN'!$F$4="PV Only",0,BattCalcs!AT296)</f>
        <v>0</v>
      </c>
      <c r="AR296" s="10">
        <f>IF('PV IN'!$F$4="PV Only",0,BattCalcs!AU296)</f>
        <v>0</v>
      </c>
      <c r="AS296" s="144">
        <f>IF('PV IN'!$F$4="PV Only",PVCalcs!X296,IF('PV IN'!$F$4="Battery Only",BattCalcs!AW296,PVCalcs!X296+BattCalcs!AW296))</f>
        <v>0</v>
      </c>
      <c r="AT296" s="144">
        <f>IF('PV IN'!$F$4="Battery Only",0,-PVCalcs!AQ296*'PV IN'!$E$8)</f>
        <v>0</v>
      </c>
      <c r="AU296" s="144">
        <f>IF('PV IN'!$F$4="PV Only",0,-BattCalcs!CG296*'PV IN'!$E$8)</f>
        <v>0</v>
      </c>
      <c r="AV296" s="144">
        <f>IF('PV IN'!$F$4="PV Only",PVCalcs!Z296+PVCalcs!AA296,IF('PV IN'!$F$4="Battery Only",SUM(BattCalcs!BC296:BH296),PVCalcs!Z296+PVCalcs!AA296+SUM(BattCalcs!BC296:BH296)))</f>
        <v>0</v>
      </c>
      <c r="AW296" s="144">
        <f>IF('PV IN'!$F$4="PV Only",SUM(PVCalcs!AF296:AI296),IF('PV IN'!$F$4="Battery Only",SUM(BattCalcs!BL296:BY296),SUM(PVCalcs!AF296:AI296)+SUM(BattCalcs!BL296:BY296)))</f>
        <v>-1375</v>
      </c>
      <c r="AX296" s="144">
        <f>IF('PV IN'!$F$4="Battery Only",0,-PVLoan!F324)</f>
        <v>0</v>
      </c>
      <c r="AY296" s="144">
        <f>IF('PV IN'!$F$4="PV Only",0,-BattLoan!F324)</f>
        <v>0</v>
      </c>
      <c r="AZ296" s="144">
        <f>IF('PV IN'!$F$4="Battery Only",0,-PVLoan!H324)</f>
        <v>0</v>
      </c>
      <c r="BA296" s="144">
        <f>IF('PV IN'!$F$4="PV Only",0,-BattLoan!H324)</f>
        <v>0</v>
      </c>
    </row>
    <row r="297" spans="1:88" x14ac:dyDescent="0.25">
      <c r="A297" t="str">
        <f>IF(C297&lt;='PV IN'!$O$22*12,C297,"")</f>
        <v/>
      </c>
      <c r="C297">
        <v>293</v>
      </c>
      <c r="D297" s="2">
        <f>BattCalcs!CK297+PVCalcs!AT297</f>
        <v>9199.6614054923884</v>
      </c>
      <c r="E297" s="20">
        <f>PVCalcs!AV297</f>
        <v>1875609.4750580082</v>
      </c>
      <c r="F297" s="20">
        <f>PVCalcs!AW297</f>
        <v>2795.1157094775804</v>
      </c>
      <c r="G297" s="20" t="e">
        <f>PVCalcs!AX297</f>
        <v>#N/A</v>
      </c>
      <c r="H297" s="20">
        <f>BattCalcs!CM297</f>
        <v>0</v>
      </c>
      <c r="I297" s="20">
        <f>BattCalcs!CN297</f>
        <v>0</v>
      </c>
      <c r="J297" s="20" t="e">
        <f>IF(C297&lt;='Batt IN'!H$43*12,BattCalcs!CO297,NA())</f>
        <v>#N/A</v>
      </c>
      <c r="L297" s="20">
        <f t="shared" si="689"/>
        <v>2795.1157094775804</v>
      </c>
      <c r="M297" s="20" t="e">
        <f>G297+BattCalcs!CO297</f>
        <v>#N/A</v>
      </c>
      <c r="O297" s="10" t="str">
        <f>PVLoan!G325</f>
        <v>-</v>
      </c>
      <c r="P297" s="10" t="str">
        <f>PVLoan!J325</f>
        <v>-</v>
      </c>
      <c r="Q297" s="2" t="str">
        <f>BattLoan!G325</f>
        <v>-</v>
      </c>
      <c r="R297" s="10" t="str">
        <f>BattLoan!J325</f>
        <v>-</v>
      </c>
      <c r="T297" s="33">
        <f>IF('PV IN'!$F$4="Battery Only",0,PVCalcs!G297)</f>
        <v>125515.9712759745</v>
      </c>
      <c r="U297" s="33">
        <f>IF('PV IN'!$F$4="Battery Only",0,PVCalcs!M297)</f>
        <v>125515.9712759745</v>
      </c>
      <c r="V297" s="33">
        <f>PVCalcs!L297</f>
        <v>25811.765833333331</v>
      </c>
      <c r="W297" s="158">
        <f>PVCalcs!F297</f>
        <v>8.194902450204164E-2</v>
      </c>
      <c r="X297" s="144">
        <f>IF('PV IN'!$F$4="Battery Only",0,PVCalcs!Y297+PVCalcs!Z297)</f>
        <v>0</v>
      </c>
      <c r="Y297" s="144">
        <f>IF('PV IN'!$F$4="PV Only",0,BattCalcs!AX297+BattCalcs!BC297)</f>
        <v>0</v>
      </c>
      <c r="Z297" s="144">
        <f>IF('PV IN'!$F$4="PV Only",0,BattCalcs!AY297+BattCalcs!BD297)</f>
        <v>0</v>
      </c>
      <c r="AA297" s="144">
        <f>IF('PV IN'!$F$4="PV Only",0,BattCalcs!AZ297+BattCalcs!BE297)</f>
        <v>0</v>
      </c>
      <c r="AB297" s="144">
        <f>IF('PV IN'!$F$4="PV Only",0,BattCalcs!BA297+BattCalcs!BF297)</f>
        <v>0</v>
      </c>
      <c r="AC297" s="144">
        <f>IF('PV IN'!$F$4="PV Only",0,BattCalcs!BB297+BattCalcs!BG297)</f>
        <v>0</v>
      </c>
      <c r="AD297" s="144">
        <f>IF('PV IN'!$F$4="PV Only",0,BattCalcs!BU297)</f>
        <v>0</v>
      </c>
      <c r="AE297" s="144">
        <f>IF('PV IN'!$F$4="PV Only",PVCalcs!W297+PVCalcs!AA297,IF('PV IN'!$F$4="Battery Only",BattCalcs!AV297+BattCalcs!BH297,PVCalcs!W297+PVCalcs!AA297+BattCalcs!AV297+BattCalcs!BH297))</f>
        <v>0</v>
      </c>
      <c r="AF297" s="10">
        <f>PVCalcs!AC297+BattCalcs!BJ297</f>
        <v>0</v>
      </c>
      <c r="AG297" s="144">
        <f>IF('PV IN'!$F$4="Battery Only",0,PVCalcs!AG297)</f>
        <v>-750</v>
      </c>
      <c r="AH297" s="144">
        <f>IF('PV IN'!$F$4="Battery Only",0,PVCalcs!AI297)</f>
        <v>0</v>
      </c>
      <c r="AI297" s="144">
        <f>IF('PV IN'!$F$4="PV Only",0,BattCalcs!BM297)</f>
        <v>0</v>
      </c>
      <c r="AJ297" s="144">
        <f>IF('PV IN'!$F$4="PV Only",0,SUM(BattCalcs!BO297:BT297))</f>
        <v>0</v>
      </c>
      <c r="AK297" s="144">
        <f>IF('PV IN'!$F$4="PV Only",PVCalcs!AH297,IF('PV IN'!$F$4="Battery Only",BattCalcs!BN297,PVCalcs!AH297+BattCalcs!BN297))</f>
        <v>-625</v>
      </c>
      <c r="AL297" s="144">
        <f>IF('PV IN'!$F$4="PV Only",0,BattCalcs!BV297)</f>
        <v>0</v>
      </c>
      <c r="AM297" s="144">
        <f>IF('PV IN'!$F$4="PV Only",0,SUM(BattCalcs!BW297:BX297))</f>
        <v>0</v>
      </c>
      <c r="AN297" s="144">
        <f>IF('PV IN'!$F$4="PV Only",0,BattCalcs!BY297)</f>
        <v>0</v>
      </c>
      <c r="AO297" s="144">
        <f>IF('PV IN'!$F$4="Battery Only",0,PVCalcs!U297)</f>
        <v>10285.911405492388</v>
      </c>
      <c r="AP297" s="10">
        <f>IF('PV IN'!$F$4="PV Only",0,BattCalcs!AS297)</f>
        <v>0</v>
      </c>
      <c r="AQ297" s="10">
        <f>IF('PV IN'!$F$4="PV Only",0,BattCalcs!AT297)</f>
        <v>0</v>
      </c>
      <c r="AR297" s="10">
        <f>IF('PV IN'!$F$4="PV Only",0,BattCalcs!AU297)</f>
        <v>0</v>
      </c>
      <c r="AS297" s="144">
        <f>IF('PV IN'!$F$4="PV Only",PVCalcs!X297,IF('PV IN'!$F$4="Battery Only",BattCalcs!AW297,PVCalcs!X297+BattCalcs!AW297))</f>
        <v>0</v>
      </c>
      <c r="AT297" s="144">
        <f>IF('PV IN'!$F$4="Battery Only",0,-PVCalcs!AQ297*'PV IN'!$E$8)</f>
        <v>0</v>
      </c>
      <c r="AU297" s="144">
        <f>IF('PV IN'!$F$4="PV Only",0,-BattCalcs!CG297*'PV IN'!$E$8)</f>
        <v>0</v>
      </c>
      <c r="AV297" s="144">
        <f>IF('PV IN'!$F$4="PV Only",PVCalcs!Z297+PVCalcs!AA297,IF('PV IN'!$F$4="Battery Only",SUM(BattCalcs!BC297:BH297),PVCalcs!Z297+PVCalcs!AA297+SUM(BattCalcs!BC297:BH297)))</f>
        <v>0</v>
      </c>
      <c r="AW297" s="144">
        <f>IF('PV IN'!$F$4="PV Only",SUM(PVCalcs!AF297:AI297),IF('PV IN'!$F$4="Battery Only",SUM(BattCalcs!BL297:BY297),SUM(PVCalcs!AF297:AI297)+SUM(BattCalcs!BL297:BY297)))</f>
        <v>-1375</v>
      </c>
      <c r="AX297" s="144">
        <f>IF('PV IN'!$F$4="Battery Only",0,-PVLoan!F325)</f>
        <v>0</v>
      </c>
      <c r="AY297" s="144">
        <f>IF('PV IN'!$F$4="PV Only",0,-BattLoan!F325)</f>
        <v>0</v>
      </c>
      <c r="AZ297" s="144">
        <f>IF('PV IN'!$F$4="Battery Only",0,-PVLoan!H325)</f>
        <v>0</v>
      </c>
      <c r="BA297" s="144">
        <f>IF('PV IN'!$F$4="PV Only",0,-BattLoan!H325)</f>
        <v>0</v>
      </c>
    </row>
    <row r="298" spans="1:88" x14ac:dyDescent="0.25">
      <c r="A298" t="str">
        <f>IF(C298&lt;='PV IN'!$O$22*12,C298,"")</f>
        <v/>
      </c>
      <c r="C298">
        <v>294</v>
      </c>
      <c r="D298" s="2">
        <f>BattCalcs!CK298+PVCalcs!AT298</f>
        <v>9192.8041312220612</v>
      </c>
      <c r="E298" s="20">
        <f>PVCalcs!AV298</f>
        <v>1884802.2791892302</v>
      </c>
      <c r="F298" s="20">
        <f>PVCalcs!AW298</f>
        <v>2781.6992895824947</v>
      </c>
      <c r="G298" s="20" t="e">
        <f>PVCalcs!AX298</f>
        <v>#N/A</v>
      </c>
      <c r="H298" s="20">
        <f>BattCalcs!CM298</f>
        <v>0</v>
      </c>
      <c r="I298" s="20">
        <f>BattCalcs!CN298</f>
        <v>0</v>
      </c>
      <c r="J298" s="20" t="e">
        <f>IF(C298&lt;='Batt IN'!H$43*12,BattCalcs!CO298,NA())</f>
        <v>#N/A</v>
      </c>
      <c r="L298" s="20">
        <f t="shared" si="689"/>
        <v>2781.6992895824947</v>
      </c>
      <c r="M298" s="20" t="e">
        <f>G298+BattCalcs!CO298</f>
        <v>#N/A</v>
      </c>
      <c r="O298" s="10" t="str">
        <f>PVLoan!G326</f>
        <v>-</v>
      </c>
      <c r="P298" s="10" t="str">
        <f>PVLoan!J326</f>
        <v>-</v>
      </c>
      <c r="Q298" s="2" t="str">
        <f>BattLoan!G326</f>
        <v>-</v>
      </c>
      <c r="R298" s="10" t="str">
        <f>BattLoan!J326</f>
        <v>-</v>
      </c>
      <c r="T298" s="33">
        <f>IF('PV IN'!$F$4="Battery Only",0,PVCalcs!G298)</f>
        <v>125432.29396179052</v>
      </c>
      <c r="U298" s="33">
        <f>IF('PV IN'!$F$4="Battery Only",0,PVCalcs!M298)</f>
        <v>125432.29396179052</v>
      </c>
      <c r="V298" s="33">
        <f>PVCalcs!L298</f>
        <v>25811.765833333331</v>
      </c>
      <c r="W298" s="158">
        <f>PVCalcs!F298</f>
        <v>8.194902450204164E-2</v>
      </c>
      <c r="X298" s="144">
        <f>IF('PV IN'!$F$4="Battery Only",0,PVCalcs!Y298+PVCalcs!Z298)</f>
        <v>0</v>
      </c>
      <c r="Y298" s="144">
        <f>IF('PV IN'!$F$4="PV Only",0,BattCalcs!AX298+BattCalcs!BC298)</f>
        <v>0</v>
      </c>
      <c r="Z298" s="144">
        <f>IF('PV IN'!$F$4="PV Only",0,BattCalcs!AY298+BattCalcs!BD298)</f>
        <v>0</v>
      </c>
      <c r="AA298" s="144">
        <f>IF('PV IN'!$F$4="PV Only",0,BattCalcs!AZ298+BattCalcs!BE298)</f>
        <v>0</v>
      </c>
      <c r="AB298" s="144">
        <f>IF('PV IN'!$F$4="PV Only",0,BattCalcs!BA298+BattCalcs!BF298)</f>
        <v>0</v>
      </c>
      <c r="AC298" s="144">
        <f>IF('PV IN'!$F$4="PV Only",0,BattCalcs!BB298+BattCalcs!BG298)</f>
        <v>0</v>
      </c>
      <c r="AD298" s="144">
        <f>IF('PV IN'!$F$4="PV Only",0,BattCalcs!BU298)</f>
        <v>0</v>
      </c>
      <c r="AE298" s="144">
        <f>IF('PV IN'!$F$4="PV Only",PVCalcs!W298+PVCalcs!AA298,IF('PV IN'!$F$4="Battery Only",BattCalcs!AV298+BattCalcs!BH298,PVCalcs!W298+PVCalcs!AA298+BattCalcs!AV298+BattCalcs!BH298))</f>
        <v>0</v>
      </c>
      <c r="AF298" s="10">
        <f>PVCalcs!AC298+BattCalcs!BJ298</f>
        <v>0</v>
      </c>
      <c r="AG298" s="144">
        <f>IF('PV IN'!$F$4="Battery Only",0,PVCalcs!AG298)</f>
        <v>-750</v>
      </c>
      <c r="AH298" s="144">
        <f>IF('PV IN'!$F$4="Battery Only",0,PVCalcs!AI298)</f>
        <v>0</v>
      </c>
      <c r="AI298" s="144">
        <f>IF('PV IN'!$F$4="PV Only",0,BattCalcs!BM298)</f>
        <v>0</v>
      </c>
      <c r="AJ298" s="144">
        <f>IF('PV IN'!$F$4="PV Only",0,SUM(BattCalcs!BO298:BT298))</f>
        <v>0</v>
      </c>
      <c r="AK298" s="144">
        <f>IF('PV IN'!$F$4="PV Only",PVCalcs!AH298,IF('PV IN'!$F$4="Battery Only",BattCalcs!BN298,PVCalcs!AH298+BattCalcs!BN298))</f>
        <v>-625</v>
      </c>
      <c r="AL298" s="144">
        <f>IF('PV IN'!$F$4="PV Only",0,BattCalcs!BV298)</f>
        <v>0</v>
      </c>
      <c r="AM298" s="144">
        <f>IF('PV IN'!$F$4="PV Only",0,SUM(BattCalcs!BW298:BX298))</f>
        <v>0</v>
      </c>
      <c r="AN298" s="144">
        <f>IF('PV IN'!$F$4="PV Only",0,BattCalcs!BY298)</f>
        <v>0</v>
      </c>
      <c r="AO298" s="144">
        <f>IF('PV IN'!$F$4="Battery Only",0,PVCalcs!U298)</f>
        <v>10279.054131222061</v>
      </c>
      <c r="AP298" s="10">
        <f>IF('PV IN'!$F$4="PV Only",0,BattCalcs!AS298)</f>
        <v>0</v>
      </c>
      <c r="AQ298" s="10">
        <f>IF('PV IN'!$F$4="PV Only",0,BattCalcs!AT298)</f>
        <v>0</v>
      </c>
      <c r="AR298" s="10">
        <f>IF('PV IN'!$F$4="PV Only",0,BattCalcs!AU298)</f>
        <v>0</v>
      </c>
      <c r="AS298" s="144">
        <f>IF('PV IN'!$F$4="PV Only",PVCalcs!X298,IF('PV IN'!$F$4="Battery Only",BattCalcs!AW298,PVCalcs!X298+BattCalcs!AW298))</f>
        <v>0</v>
      </c>
      <c r="AT298" s="144">
        <f>IF('PV IN'!$F$4="Battery Only",0,-PVCalcs!AQ298*'PV IN'!$E$8)</f>
        <v>0</v>
      </c>
      <c r="AU298" s="144">
        <f>IF('PV IN'!$F$4="PV Only",0,-BattCalcs!CG298*'PV IN'!$E$8)</f>
        <v>0</v>
      </c>
      <c r="AV298" s="144">
        <f>IF('PV IN'!$F$4="PV Only",PVCalcs!Z298+PVCalcs!AA298,IF('PV IN'!$F$4="Battery Only",SUM(BattCalcs!BC298:BH298),PVCalcs!Z298+PVCalcs!AA298+SUM(BattCalcs!BC298:BH298)))</f>
        <v>0</v>
      </c>
      <c r="AW298" s="144">
        <f>IF('PV IN'!$F$4="PV Only",SUM(PVCalcs!AF298:AI298),IF('PV IN'!$F$4="Battery Only",SUM(BattCalcs!BL298:BY298),SUM(PVCalcs!AF298:AI298)+SUM(BattCalcs!BL298:BY298)))</f>
        <v>-1375</v>
      </c>
      <c r="AX298" s="144">
        <f>IF('PV IN'!$F$4="Battery Only",0,-PVLoan!F326)</f>
        <v>0</v>
      </c>
      <c r="AY298" s="144">
        <f>IF('PV IN'!$F$4="PV Only",0,-BattLoan!F326)</f>
        <v>0</v>
      </c>
      <c r="AZ298" s="144">
        <f>IF('PV IN'!$F$4="Battery Only",0,-PVLoan!H326)</f>
        <v>0</v>
      </c>
      <c r="BA298" s="144">
        <f>IF('PV IN'!$F$4="PV Only",0,-BattLoan!H326)</f>
        <v>0</v>
      </c>
    </row>
    <row r="299" spans="1:88" x14ac:dyDescent="0.25">
      <c r="A299" t="str">
        <f>IF(C299&lt;='PV IN'!$O$22*12,C299,"")</f>
        <v/>
      </c>
      <c r="C299">
        <v>295</v>
      </c>
      <c r="D299" s="2">
        <f>BattCalcs!CK299+PVCalcs!AT299</f>
        <v>9185.9514284679117</v>
      </c>
      <c r="E299" s="20">
        <f>PVCalcs!AV299</f>
        <v>1893988.230617698</v>
      </c>
      <c r="F299" s="20">
        <f>PVCalcs!AW299</f>
        <v>2768.3471051797878</v>
      </c>
      <c r="G299" s="20" t="e">
        <f>PVCalcs!AX299</f>
        <v>#N/A</v>
      </c>
      <c r="H299" s="20">
        <f>BattCalcs!CM299</f>
        <v>0</v>
      </c>
      <c r="I299" s="20">
        <f>BattCalcs!CN299</f>
        <v>0</v>
      </c>
      <c r="J299" s="20" t="e">
        <f>IF(C299&lt;='Batt IN'!H$43*12,BattCalcs!CO299,NA())</f>
        <v>#N/A</v>
      </c>
      <c r="L299" s="20">
        <f t="shared" si="689"/>
        <v>2768.3471051797878</v>
      </c>
      <c r="M299" s="20" t="e">
        <f>G299+BattCalcs!CO299</f>
        <v>#N/A</v>
      </c>
      <c r="O299" s="10" t="str">
        <f>PVLoan!G327</f>
        <v>-</v>
      </c>
      <c r="P299" s="10" t="str">
        <f>PVLoan!J327</f>
        <v>-</v>
      </c>
      <c r="Q299" s="2" t="str">
        <f>BattLoan!G327</f>
        <v>-</v>
      </c>
      <c r="R299" s="10" t="str">
        <f>BattLoan!J327</f>
        <v>-</v>
      </c>
      <c r="T299" s="33">
        <f>IF('PV IN'!$F$4="Battery Only",0,PVCalcs!G299)</f>
        <v>125348.67243248265</v>
      </c>
      <c r="U299" s="33">
        <f>IF('PV IN'!$F$4="Battery Only",0,PVCalcs!M299)</f>
        <v>125348.67243248265</v>
      </c>
      <c r="V299" s="33">
        <f>PVCalcs!L299</f>
        <v>25811.765833333331</v>
      </c>
      <c r="W299" s="158">
        <f>PVCalcs!F299</f>
        <v>8.194902450204164E-2</v>
      </c>
      <c r="X299" s="144">
        <f>IF('PV IN'!$F$4="Battery Only",0,PVCalcs!Y299+PVCalcs!Z299)</f>
        <v>0</v>
      </c>
      <c r="Y299" s="144">
        <f>IF('PV IN'!$F$4="PV Only",0,BattCalcs!AX299+BattCalcs!BC299)</f>
        <v>0</v>
      </c>
      <c r="Z299" s="144">
        <f>IF('PV IN'!$F$4="PV Only",0,BattCalcs!AY299+BattCalcs!BD299)</f>
        <v>0</v>
      </c>
      <c r="AA299" s="144">
        <f>IF('PV IN'!$F$4="PV Only",0,BattCalcs!AZ299+BattCalcs!BE299)</f>
        <v>0</v>
      </c>
      <c r="AB299" s="144">
        <f>IF('PV IN'!$F$4="PV Only",0,BattCalcs!BA299+BattCalcs!BF299)</f>
        <v>0</v>
      </c>
      <c r="AC299" s="144">
        <f>IF('PV IN'!$F$4="PV Only",0,BattCalcs!BB299+BattCalcs!BG299)</f>
        <v>0</v>
      </c>
      <c r="AD299" s="144">
        <f>IF('PV IN'!$F$4="PV Only",0,BattCalcs!BU299)</f>
        <v>0</v>
      </c>
      <c r="AE299" s="144">
        <f>IF('PV IN'!$F$4="PV Only",PVCalcs!W299+PVCalcs!AA299,IF('PV IN'!$F$4="Battery Only",BattCalcs!AV299+BattCalcs!BH299,PVCalcs!W299+PVCalcs!AA299+BattCalcs!AV299+BattCalcs!BH299))</f>
        <v>0</v>
      </c>
      <c r="AF299" s="10">
        <f>PVCalcs!AC299+BattCalcs!BJ299</f>
        <v>0</v>
      </c>
      <c r="AG299" s="144">
        <f>IF('PV IN'!$F$4="Battery Only",0,PVCalcs!AG299)</f>
        <v>-750</v>
      </c>
      <c r="AH299" s="144">
        <f>IF('PV IN'!$F$4="Battery Only",0,PVCalcs!AI299)</f>
        <v>0</v>
      </c>
      <c r="AI299" s="144">
        <f>IF('PV IN'!$F$4="PV Only",0,BattCalcs!BM299)</f>
        <v>0</v>
      </c>
      <c r="AJ299" s="144">
        <f>IF('PV IN'!$F$4="PV Only",0,SUM(BattCalcs!BO299:BT299))</f>
        <v>0</v>
      </c>
      <c r="AK299" s="144">
        <f>IF('PV IN'!$F$4="PV Only",PVCalcs!AH299,IF('PV IN'!$F$4="Battery Only",BattCalcs!BN299,PVCalcs!AH299+BattCalcs!BN299))</f>
        <v>-625</v>
      </c>
      <c r="AL299" s="144">
        <f>IF('PV IN'!$F$4="PV Only",0,BattCalcs!BV299)</f>
        <v>0</v>
      </c>
      <c r="AM299" s="144">
        <f>IF('PV IN'!$F$4="PV Only",0,SUM(BattCalcs!BW299:BX299))</f>
        <v>0</v>
      </c>
      <c r="AN299" s="144">
        <f>IF('PV IN'!$F$4="PV Only",0,BattCalcs!BY299)</f>
        <v>0</v>
      </c>
      <c r="AO299" s="144">
        <f>IF('PV IN'!$F$4="Battery Only",0,PVCalcs!U299)</f>
        <v>10272.201428467912</v>
      </c>
      <c r="AP299" s="10">
        <f>IF('PV IN'!$F$4="PV Only",0,BattCalcs!AS299)</f>
        <v>0</v>
      </c>
      <c r="AQ299" s="10">
        <f>IF('PV IN'!$F$4="PV Only",0,BattCalcs!AT299)</f>
        <v>0</v>
      </c>
      <c r="AR299" s="10">
        <f>IF('PV IN'!$F$4="PV Only",0,BattCalcs!AU299)</f>
        <v>0</v>
      </c>
      <c r="AS299" s="144">
        <f>IF('PV IN'!$F$4="PV Only",PVCalcs!X299,IF('PV IN'!$F$4="Battery Only",BattCalcs!AW299,PVCalcs!X299+BattCalcs!AW299))</f>
        <v>0</v>
      </c>
      <c r="AT299" s="144">
        <f>IF('PV IN'!$F$4="Battery Only",0,-PVCalcs!AQ299*'PV IN'!$E$8)</f>
        <v>0</v>
      </c>
      <c r="AU299" s="144">
        <f>IF('PV IN'!$F$4="PV Only",0,-BattCalcs!CG299*'PV IN'!$E$8)</f>
        <v>0</v>
      </c>
      <c r="AV299" s="144">
        <f>IF('PV IN'!$F$4="PV Only",PVCalcs!Z299+PVCalcs!AA299,IF('PV IN'!$F$4="Battery Only",SUM(BattCalcs!BC299:BH299),PVCalcs!Z299+PVCalcs!AA299+SUM(BattCalcs!BC299:BH299)))</f>
        <v>0</v>
      </c>
      <c r="AW299" s="144">
        <f>IF('PV IN'!$F$4="PV Only",SUM(PVCalcs!AF299:AI299),IF('PV IN'!$F$4="Battery Only",SUM(BattCalcs!BL299:BY299),SUM(PVCalcs!AF299:AI299)+SUM(BattCalcs!BL299:BY299)))</f>
        <v>-1375</v>
      </c>
      <c r="AX299" s="144">
        <f>IF('PV IN'!$F$4="Battery Only",0,-PVLoan!F327)</f>
        <v>0</v>
      </c>
      <c r="AY299" s="144">
        <f>IF('PV IN'!$F$4="PV Only",0,-BattLoan!F327)</f>
        <v>0</v>
      </c>
      <c r="AZ299" s="144">
        <f>IF('PV IN'!$F$4="Battery Only",0,-PVLoan!H327)</f>
        <v>0</v>
      </c>
      <c r="BA299" s="144">
        <f>IF('PV IN'!$F$4="PV Only",0,-BattLoan!H327)</f>
        <v>0</v>
      </c>
    </row>
    <row r="300" spans="1:88" x14ac:dyDescent="0.25">
      <c r="A300" t="str">
        <f>IF(C300&lt;='PV IN'!$O$22*12,C300,"")</f>
        <v/>
      </c>
      <c r="C300">
        <v>296</v>
      </c>
      <c r="D300" s="2">
        <f>BattCalcs!CK300+PVCalcs!AT300</f>
        <v>9179.1032941822687</v>
      </c>
      <c r="E300" s="20">
        <f>PVCalcs!AV300</f>
        <v>1903167.3339118804</v>
      </c>
      <c r="F300" s="20">
        <f>PVCalcs!AW300</f>
        <v>2755.058849370339</v>
      </c>
      <c r="G300" s="20" t="e">
        <f>PVCalcs!AX300</f>
        <v>#N/A</v>
      </c>
      <c r="H300" s="20">
        <f>BattCalcs!CM300</f>
        <v>0</v>
      </c>
      <c r="I300" s="20">
        <f>BattCalcs!CN300</f>
        <v>0</v>
      </c>
      <c r="J300" s="20" t="e">
        <f>IF(C300&lt;='Batt IN'!H$43*12,BattCalcs!CO300,NA())</f>
        <v>#N/A</v>
      </c>
      <c r="L300" s="20">
        <f t="shared" si="689"/>
        <v>2755.058849370339</v>
      </c>
      <c r="M300" s="20" t="e">
        <f>G300+BattCalcs!CO300</f>
        <v>#N/A</v>
      </c>
      <c r="O300" s="10" t="str">
        <f>PVLoan!G328</f>
        <v>-</v>
      </c>
      <c r="P300" s="10" t="str">
        <f>PVLoan!J328</f>
        <v>-</v>
      </c>
      <c r="Q300" s="2" t="str">
        <f>BattLoan!G328</f>
        <v>-</v>
      </c>
      <c r="R300" s="10" t="str">
        <f>BattLoan!J328</f>
        <v>-</v>
      </c>
      <c r="T300" s="33">
        <f>IF('PV IN'!$F$4="Battery Only",0,PVCalcs!G300)</f>
        <v>125265.10665086101</v>
      </c>
      <c r="U300" s="33">
        <f>IF('PV IN'!$F$4="Battery Only",0,PVCalcs!M300)</f>
        <v>125265.10665086101</v>
      </c>
      <c r="V300" s="33">
        <f>PVCalcs!L300</f>
        <v>25811.765833333331</v>
      </c>
      <c r="W300" s="158">
        <f>PVCalcs!F300</f>
        <v>8.194902450204164E-2</v>
      </c>
      <c r="X300" s="144">
        <f>IF('PV IN'!$F$4="Battery Only",0,PVCalcs!Y300+PVCalcs!Z300)</f>
        <v>0</v>
      </c>
      <c r="Y300" s="144">
        <f>IF('PV IN'!$F$4="PV Only",0,BattCalcs!AX300+BattCalcs!BC300)</f>
        <v>0</v>
      </c>
      <c r="Z300" s="144">
        <f>IF('PV IN'!$F$4="PV Only",0,BattCalcs!AY300+BattCalcs!BD300)</f>
        <v>0</v>
      </c>
      <c r="AA300" s="144">
        <f>IF('PV IN'!$F$4="PV Only",0,BattCalcs!AZ300+BattCalcs!BE300)</f>
        <v>0</v>
      </c>
      <c r="AB300" s="144">
        <f>IF('PV IN'!$F$4="PV Only",0,BattCalcs!BA300+BattCalcs!BF300)</f>
        <v>0</v>
      </c>
      <c r="AC300" s="144">
        <f>IF('PV IN'!$F$4="PV Only",0,BattCalcs!BB300+BattCalcs!BG300)</f>
        <v>0</v>
      </c>
      <c r="AD300" s="144">
        <f>IF('PV IN'!$F$4="PV Only",0,BattCalcs!BU300)</f>
        <v>0</v>
      </c>
      <c r="AE300" s="144">
        <f>IF('PV IN'!$F$4="PV Only",PVCalcs!W300+PVCalcs!AA300,IF('PV IN'!$F$4="Battery Only",BattCalcs!AV300+BattCalcs!BH300,PVCalcs!W300+PVCalcs!AA300+BattCalcs!AV300+BattCalcs!BH300))</f>
        <v>0</v>
      </c>
      <c r="AF300" s="10">
        <f>PVCalcs!AC300+BattCalcs!BJ300</f>
        <v>0</v>
      </c>
      <c r="AG300" s="144">
        <f>IF('PV IN'!$F$4="Battery Only",0,PVCalcs!AG300)</f>
        <v>-750</v>
      </c>
      <c r="AH300" s="144">
        <f>IF('PV IN'!$F$4="Battery Only",0,PVCalcs!AI300)</f>
        <v>0</v>
      </c>
      <c r="AI300" s="144">
        <f>IF('PV IN'!$F$4="PV Only",0,BattCalcs!BM300)</f>
        <v>0</v>
      </c>
      <c r="AJ300" s="144">
        <f>IF('PV IN'!$F$4="PV Only",0,SUM(BattCalcs!BO300:BT300))</f>
        <v>0</v>
      </c>
      <c r="AK300" s="144">
        <f>IF('PV IN'!$F$4="PV Only",PVCalcs!AH300,IF('PV IN'!$F$4="Battery Only",BattCalcs!BN300,PVCalcs!AH300+BattCalcs!BN300))</f>
        <v>-625</v>
      </c>
      <c r="AL300" s="144">
        <f>IF('PV IN'!$F$4="PV Only",0,BattCalcs!BV300)</f>
        <v>0</v>
      </c>
      <c r="AM300" s="144">
        <f>IF('PV IN'!$F$4="PV Only",0,SUM(BattCalcs!BW300:BX300))</f>
        <v>0</v>
      </c>
      <c r="AN300" s="144">
        <f>IF('PV IN'!$F$4="PV Only",0,BattCalcs!BY300)</f>
        <v>0</v>
      </c>
      <c r="AO300" s="144">
        <f>IF('PV IN'!$F$4="Battery Only",0,PVCalcs!U300)</f>
        <v>10265.353294182269</v>
      </c>
      <c r="AP300" s="10">
        <f>IF('PV IN'!$F$4="PV Only",0,BattCalcs!AS300)</f>
        <v>0</v>
      </c>
      <c r="AQ300" s="10">
        <f>IF('PV IN'!$F$4="PV Only",0,BattCalcs!AT300)</f>
        <v>0</v>
      </c>
      <c r="AR300" s="10">
        <f>IF('PV IN'!$F$4="PV Only",0,BattCalcs!AU300)</f>
        <v>0</v>
      </c>
      <c r="AS300" s="144">
        <f>IF('PV IN'!$F$4="PV Only",PVCalcs!X300,IF('PV IN'!$F$4="Battery Only",BattCalcs!AW300,PVCalcs!X300+BattCalcs!AW300))</f>
        <v>0</v>
      </c>
      <c r="AT300" s="144">
        <f>IF('PV IN'!$F$4="Battery Only",0,-PVCalcs!AQ300*'PV IN'!$E$8)</f>
        <v>0</v>
      </c>
      <c r="AU300" s="144">
        <f>IF('PV IN'!$F$4="PV Only",0,-BattCalcs!CG300*'PV IN'!$E$8)</f>
        <v>0</v>
      </c>
      <c r="AV300" s="144">
        <f>IF('PV IN'!$F$4="PV Only",PVCalcs!Z300+PVCalcs!AA300,IF('PV IN'!$F$4="Battery Only",SUM(BattCalcs!BC300:BH300),PVCalcs!Z300+PVCalcs!AA300+SUM(BattCalcs!BC300:BH300)))</f>
        <v>0</v>
      </c>
      <c r="AW300" s="144">
        <f>IF('PV IN'!$F$4="PV Only",SUM(PVCalcs!AF300:AI300),IF('PV IN'!$F$4="Battery Only",SUM(BattCalcs!BL300:BY300),SUM(PVCalcs!AF300:AI300)+SUM(BattCalcs!BL300:BY300)))</f>
        <v>-1375</v>
      </c>
      <c r="AX300" s="144">
        <f>IF('PV IN'!$F$4="Battery Only",0,-PVLoan!F328)</f>
        <v>0</v>
      </c>
      <c r="AY300" s="144">
        <f>IF('PV IN'!$F$4="PV Only",0,-BattLoan!F328)</f>
        <v>0</v>
      </c>
      <c r="AZ300" s="144">
        <f>IF('PV IN'!$F$4="Battery Only",0,-PVLoan!H328)</f>
        <v>0</v>
      </c>
      <c r="BA300" s="144">
        <f>IF('PV IN'!$F$4="PV Only",0,-BattLoan!H328)</f>
        <v>0</v>
      </c>
    </row>
    <row r="301" spans="1:88" x14ac:dyDescent="0.25">
      <c r="A301" t="str">
        <f>IF(C301&lt;='PV IN'!$O$22*12,C301,"")</f>
        <v/>
      </c>
      <c r="C301">
        <v>297</v>
      </c>
      <c r="D301" s="2">
        <f>BattCalcs!CK301+PVCalcs!AT301</f>
        <v>9172.2597253194781</v>
      </c>
      <c r="E301" s="20">
        <f>PVCalcs!AV301</f>
        <v>1912339.5936371998</v>
      </c>
      <c r="F301" s="20">
        <f>PVCalcs!AW301</f>
        <v>2741.8342167187038</v>
      </c>
      <c r="G301" s="20" t="e">
        <f>PVCalcs!AX301</f>
        <v>#N/A</v>
      </c>
      <c r="H301" s="20">
        <f>BattCalcs!CM301</f>
        <v>0</v>
      </c>
      <c r="I301" s="20">
        <f>BattCalcs!CN301</f>
        <v>0</v>
      </c>
      <c r="J301" s="20" t="e">
        <f>IF(C301&lt;='Batt IN'!H$43*12,BattCalcs!CO301,NA())</f>
        <v>#N/A</v>
      </c>
      <c r="L301" s="20">
        <f t="shared" si="689"/>
        <v>2741.8342167187038</v>
      </c>
      <c r="M301" s="20" t="e">
        <f>G301+BattCalcs!CO301</f>
        <v>#N/A</v>
      </c>
      <c r="O301" s="10" t="str">
        <f>PVLoan!G329</f>
        <v>-</v>
      </c>
      <c r="P301" s="10" t="str">
        <f>PVLoan!J329</f>
        <v>-</v>
      </c>
      <c r="Q301" s="2" t="str">
        <f>BattLoan!G329</f>
        <v>-</v>
      </c>
      <c r="R301" s="10" t="str">
        <f>BattLoan!J329</f>
        <v>-</v>
      </c>
      <c r="T301" s="33">
        <f>IF('PV IN'!$F$4="Battery Only",0,PVCalcs!G301)</f>
        <v>125181.59657976041</v>
      </c>
      <c r="U301" s="33">
        <f>IF('PV IN'!$F$4="Battery Only",0,PVCalcs!M301)</f>
        <v>125181.59657976041</v>
      </c>
      <c r="V301" s="33">
        <f>PVCalcs!L301</f>
        <v>25811.765833333331</v>
      </c>
      <c r="W301" s="158">
        <f>PVCalcs!F301</f>
        <v>8.194902450204164E-2</v>
      </c>
      <c r="X301" s="144">
        <f>IF('PV IN'!$F$4="Battery Only",0,PVCalcs!Y301+PVCalcs!Z301)</f>
        <v>0</v>
      </c>
      <c r="Y301" s="144">
        <f>IF('PV IN'!$F$4="PV Only",0,BattCalcs!AX301+BattCalcs!BC301)</f>
        <v>0</v>
      </c>
      <c r="Z301" s="144">
        <f>IF('PV IN'!$F$4="PV Only",0,BattCalcs!AY301+BattCalcs!BD301)</f>
        <v>0</v>
      </c>
      <c r="AA301" s="144">
        <f>IF('PV IN'!$F$4="PV Only",0,BattCalcs!AZ301+BattCalcs!BE301)</f>
        <v>0</v>
      </c>
      <c r="AB301" s="144">
        <f>IF('PV IN'!$F$4="PV Only",0,BattCalcs!BA301+BattCalcs!BF301)</f>
        <v>0</v>
      </c>
      <c r="AC301" s="144">
        <f>IF('PV IN'!$F$4="PV Only",0,BattCalcs!BB301+BattCalcs!BG301)</f>
        <v>0</v>
      </c>
      <c r="AD301" s="144">
        <f>IF('PV IN'!$F$4="PV Only",0,BattCalcs!BU301)</f>
        <v>0</v>
      </c>
      <c r="AE301" s="144">
        <f>IF('PV IN'!$F$4="PV Only",PVCalcs!W301+PVCalcs!AA301,IF('PV IN'!$F$4="Battery Only",BattCalcs!AV301+BattCalcs!BH301,PVCalcs!W301+PVCalcs!AA301+BattCalcs!AV301+BattCalcs!BH301))</f>
        <v>0</v>
      </c>
      <c r="AF301" s="10">
        <f>PVCalcs!AC301+BattCalcs!BJ301</f>
        <v>0</v>
      </c>
      <c r="AG301" s="144">
        <f>IF('PV IN'!$F$4="Battery Only",0,PVCalcs!AG301)</f>
        <v>-750</v>
      </c>
      <c r="AH301" s="144">
        <f>IF('PV IN'!$F$4="Battery Only",0,PVCalcs!AI301)</f>
        <v>0</v>
      </c>
      <c r="AI301" s="144">
        <f>IF('PV IN'!$F$4="PV Only",0,BattCalcs!BM301)</f>
        <v>0</v>
      </c>
      <c r="AJ301" s="144">
        <f>IF('PV IN'!$F$4="PV Only",0,SUM(BattCalcs!BO301:BT301))</f>
        <v>0</v>
      </c>
      <c r="AK301" s="144">
        <f>IF('PV IN'!$F$4="PV Only",PVCalcs!AH301,IF('PV IN'!$F$4="Battery Only",BattCalcs!BN301,PVCalcs!AH301+BattCalcs!BN301))</f>
        <v>-625</v>
      </c>
      <c r="AL301" s="144">
        <f>IF('PV IN'!$F$4="PV Only",0,BattCalcs!BV301)</f>
        <v>0</v>
      </c>
      <c r="AM301" s="144">
        <f>IF('PV IN'!$F$4="PV Only",0,SUM(BattCalcs!BW301:BX301))</f>
        <v>0</v>
      </c>
      <c r="AN301" s="144">
        <f>IF('PV IN'!$F$4="PV Only",0,BattCalcs!BY301)</f>
        <v>0</v>
      </c>
      <c r="AO301" s="144">
        <f>IF('PV IN'!$F$4="Battery Only",0,PVCalcs!U301)</f>
        <v>10258.509725319478</v>
      </c>
      <c r="AP301" s="10">
        <f>IF('PV IN'!$F$4="PV Only",0,BattCalcs!AS301)</f>
        <v>0</v>
      </c>
      <c r="AQ301" s="10">
        <f>IF('PV IN'!$F$4="PV Only",0,BattCalcs!AT301)</f>
        <v>0</v>
      </c>
      <c r="AR301" s="10">
        <f>IF('PV IN'!$F$4="PV Only",0,BattCalcs!AU301)</f>
        <v>0</v>
      </c>
      <c r="AS301" s="144">
        <f>IF('PV IN'!$F$4="PV Only",PVCalcs!X301,IF('PV IN'!$F$4="Battery Only",BattCalcs!AW301,PVCalcs!X301+BattCalcs!AW301))</f>
        <v>0</v>
      </c>
      <c r="AT301" s="144">
        <f>IF('PV IN'!$F$4="Battery Only",0,-PVCalcs!AQ301*'PV IN'!$E$8)</f>
        <v>0</v>
      </c>
      <c r="AU301" s="144">
        <f>IF('PV IN'!$F$4="PV Only",0,-BattCalcs!CG301*'PV IN'!$E$8)</f>
        <v>0</v>
      </c>
      <c r="AV301" s="144">
        <f>IF('PV IN'!$F$4="PV Only",PVCalcs!Z301+PVCalcs!AA301,IF('PV IN'!$F$4="Battery Only",SUM(BattCalcs!BC301:BH301),PVCalcs!Z301+PVCalcs!AA301+SUM(BattCalcs!BC301:BH301)))</f>
        <v>0</v>
      </c>
      <c r="AW301" s="144">
        <f>IF('PV IN'!$F$4="PV Only",SUM(PVCalcs!AF301:AI301),IF('PV IN'!$F$4="Battery Only",SUM(BattCalcs!BL301:BY301),SUM(PVCalcs!AF301:AI301)+SUM(BattCalcs!BL301:BY301)))</f>
        <v>-1375</v>
      </c>
      <c r="AX301" s="144">
        <f>IF('PV IN'!$F$4="Battery Only",0,-PVLoan!F329)</f>
        <v>0</v>
      </c>
      <c r="AY301" s="144">
        <f>IF('PV IN'!$F$4="PV Only",0,-BattLoan!F329)</f>
        <v>0</v>
      </c>
      <c r="AZ301" s="144">
        <f>IF('PV IN'!$F$4="Battery Only",0,-PVLoan!H329)</f>
        <v>0</v>
      </c>
      <c r="BA301" s="144">
        <f>IF('PV IN'!$F$4="PV Only",0,-BattLoan!H329)</f>
        <v>0</v>
      </c>
    </row>
    <row r="302" spans="1:88" x14ac:dyDescent="0.25">
      <c r="A302" t="str">
        <f>IF(C302&lt;='PV IN'!$O$22*12,C302,"")</f>
        <v/>
      </c>
      <c r="C302">
        <v>298</v>
      </c>
      <c r="D302" s="2">
        <f>BattCalcs!CK302+PVCalcs!AT302</f>
        <v>9165.4207188359305</v>
      </c>
      <c r="E302" s="20">
        <f>PVCalcs!AV302</f>
        <v>1921505.0143560357</v>
      </c>
      <c r="F302" s="20">
        <f>PVCalcs!AW302</f>
        <v>2728.6729032461517</v>
      </c>
      <c r="G302" s="20" t="e">
        <f>PVCalcs!AX302</f>
        <v>#N/A</v>
      </c>
      <c r="H302" s="20">
        <f>BattCalcs!CM302</f>
        <v>0</v>
      </c>
      <c r="I302" s="20">
        <f>BattCalcs!CN302</f>
        <v>0</v>
      </c>
      <c r="J302" s="20" t="e">
        <f>IF(C302&lt;='Batt IN'!H$43*12,BattCalcs!CO302,NA())</f>
        <v>#N/A</v>
      </c>
      <c r="L302" s="20">
        <f t="shared" si="689"/>
        <v>2728.6729032461517</v>
      </c>
      <c r="M302" s="20" t="e">
        <f>G302+BattCalcs!CO302</f>
        <v>#N/A</v>
      </c>
      <c r="O302" s="10" t="str">
        <f>PVLoan!G330</f>
        <v>-</v>
      </c>
      <c r="P302" s="10" t="str">
        <f>PVLoan!J330</f>
        <v>-</v>
      </c>
      <c r="Q302" s="2" t="str">
        <f>BattLoan!G330</f>
        <v>-</v>
      </c>
      <c r="R302" s="10" t="str">
        <f>BattLoan!J330</f>
        <v>-</v>
      </c>
      <c r="T302" s="33">
        <f>IF('PV IN'!$F$4="Battery Only",0,PVCalcs!G302)</f>
        <v>125098.14218204057</v>
      </c>
      <c r="U302" s="33">
        <f>IF('PV IN'!$F$4="Battery Only",0,PVCalcs!M302)</f>
        <v>125098.14218204057</v>
      </c>
      <c r="V302" s="33">
        <f>PVCalcs!L302</f>
        <v>25811.765833333331</v>
      </c>
      <c r="W302" s="158">
        <f>PVCalcs!F302</f>
        <v>8.194902450204164E-2</v>
      </c>
      <c r="X302" s="144">
        <f>IF('PV IN'!$F$4="Battery Only",0,PVCalcs!Y302+PVCalcs!Z302)</f>
        <v>0</v>
      </c>
      <c r="Y302" s="144">
        <f>IF('PV IN'!$F$4="PV Only",0,BattCalcs!AX302+BattCalcs!BC302)</f>
        <v>0</v>
      </c>
      <c r="Z302" s="144">
        <f>IF('PV IN'!$F$4="PV Only",0,BattCalcs!AY302+BattCalcs!BD302)</f>
        <v>0</v>
      </c>
      <c r="AA302" s="144">
        <f>IF('PV IN'!$F$4="PV Only",0,BattCalcs!AZ302+BattCalcs!BE302)</f>
        <v>0</v>
      </c>
      <c r="AB302" s="144">
        <f>IF('PV IN'!$F$4="PV Only",0,BattCalcs!BA302+BattCalcs!BF302)</f>
        <v>0</v>
      </c>
      <c r="AC302" s="144">
        <f>IF('PV IN'!$F$4="PV Only",0,BattCalcs!BB302+BattCalcs!BG302)</f>
        <v>0</v>
      </c>
      <c r="AD302" s="144">
        <f>IF('PV IN'!$F$4="PV Only",0,BattCalcs!BU302)</f>
        <v>0</v>
      </c>
      <c r="AE302" s="144">
        <f>IF('PV IN'!$F$4="PV Only",PVCalcs!W302+PVCalcs!AA302,IF('PV IN'!$F$4="Battery Only",BattCalcs!AV302+BattCalcs!BH302,PVCalcs!W302+PVCalcs!AA302+BattCalcs!AV302+BattCalcs!BH302))</f>
        <v>0</v>
      </c>
      <c r="AF302" s="10">
        <f>PVCalcs!AC302+BattCalcs!BJ302</f>
        <v>0</v>
      </c>
      <c r="AG302" s="144">
        <f>IF('PV IN'!$F$4="Battery Only",0,PVCalcs!AG302)</f>
        <v>-750</v>
      </c>
      <c r="AH302" s="144">
        <f>IF('PV IN'!$F$4="Battery Only",0,PVCalcs!AI302)</f>
        <v>0</v>
      </c>
      <c r="AI302" s="144">
        <f>IF('PV IN'!$F$4="PV Only",0,BattCalcs!BM302)</f>
        <v>0</v>
      </c>
      <c r="AJ302" s="144">
        <f>IF('PV IN'!$F$4="PV Only",0,SUM(BattCalcs!BO302:BT302))</f>
        <v>0</v>
      </c>
      <c r="AK302" s="144">
        <f>IF('PV IN'!$F$4="PV Only",PVCalcs!AH302,IF('PV IN'!$F$4="Battery Only",BattCalcs!BN302,PVCalcs!AH302+BattCalcs!BN302))</f>
        <v>-625</v>
      </c>
      <c r="AL302" s="144">
        <f>IF('PV IN'!$F$4="PV Only",0,BattCalcs!BV302)</f>
        <v>0</v>
      </c>
      <c r="AM302" s="144">
        <f>IF('PV IN'!$F$4="PV Only",0,SUM(BattCalcs!BW302:BX302))</f>
        <v>0</v>
      </c>
      <c r="AN302" s="144">
        <f>IF('PV IN'!$F$4="PV Only",0,BattCalcs!BY302)</f>
        <v>0</v>
      </c>
      <c r="AO302" s="144">
        <f>IF('PV IN'!$F$4="Battery Only",0,PVCalcs!U302)</f>
        <v>10251.670718835931</v>
      </c>
      <c r="AP302" s="10">
        <f>IF('PV IN'!$F$4="PV Only",0,BattCalcs!AS302)</f>
        <v>0</v>
      </c>
      <c r="AQ302" s="10">
        <f>IF('PV IN'!$F$4="PV Only",0,BattCalcs!AT302)</f>
        <v>0</v>
      </c>
      <c r="AR302" s="10">
        <f>IF('PV IN'!$F$4="PV Only",0,BattCalcs!AU302)</f>
        <v>0</v>
      </c>
      <c r="AS302" s="144">
        <f>IF('PV IN'!$F$4="PV Only",PVCalcs!X302,IF('PV IN'!$F$4="Battery Only",BattCalcs!AW302,PVCalcs!X302+BattCalcs!AW302))</f>
        <v>0</v>
      </c>
      <c r="AT302" s="144">
        <f>IF('PV IN'!$F$4="Battery Only",0,-PVCalcs!AQ302*'PV IN'!$E$8)</f>
        <v>0</v>
      </c>
      <c r="AU302" s="144">
        <f>IF('PV IN'!$F$4="PV Only",0,-BattCalcs!CG302*'PV IN'!$E$8)</f>
        <v>0</v>
      </c>
      <c r="AV302" s="144">
        <f>IF('PV IN'!$F$4="PV Only",PVCalcs!Z302+PVCalcs!AA302,IF('PV IN'!$F$4="Battery Only",SUM(BattCalcs!BC302:BH302),PVCalcs!Z302+PVCalcs!AA302+SUM(BattCalcs!BC302:BH302)))</f>
        <v>0</v>
      </c>
      <c r="AW302" s="144">
        <f>IF('PV IN'!$F$4="PV Only",SUM(PVCalcs!AF302:AI302),IF('PV IN'!$F$4="Battery Only",SUM(BattCalcs!BL302:BY302),SUM(PVCalcs!AF302:AI302)+SUM(BattCalcs!BL302:BY302)))</f>
        <v>-1375</v>
      </c>
      <c r="AX302" s="144">
        <f>IF('PV IN'!$F$4="Battery Only",0,-PVLoan!F330)</f>
        <v>0</v>
      </c>
      <c r="AY302" s="144">
        <f>IF('PV IN'!$F$4="PV Only",0,-BattLoan!F330)</f>
        <v>0</v>
      </c>
      <c r="AZ302" s="144">
        <f>IF('PV IN'!$F$4="Battery Only",0,-PVLoan!H330)</f>
        <v>0</v>
      </c>
      <c r="BA302" s="144">
        <f>IF('PV IN'!$F$4="PV Only",0,-BattLoan!H330)</f>
        <v>0</v>
      </c>
    </row>
    <row r="303" spans="1:88" x14ac:dyDescent="0.25">
      <c r="A303" t="str">
        <f>IF(C303&lt;='PV IN'!$O$22*12,C303,"")</f>
        <v/>
      </c>
      <c r="C303">
        <v>299</v>
      </c>
      <c r="D303" s="2">
        <f>BattCalcs!CK303+PVCalcs!AT303</f>
        <v>9158.586271690041</v>
      </c>
      <c r="E303" s="20">
        <f>PVCalcs!AV303</f>
        <v>1930663.6006277257</v>
      </c>
      <c r="F303" s="20">
        <f>PVCalcs!AW303</f>
        <v>2715.5746064237219</v>
      </c>
      <c r="G303" s="20" t="e">
        <f>PVCalcs!AX303</f>
        <v>#N/A</v>
      </c>
      <c r="H303" s="20">
        <f>BattCalcs!CM303</f>
        <v>0</v>
      </c>
      <c r="I303" s="20">
        <f>BattCalcs!CN303</f>
        <v>0</v>
      </c>
      <c r="J303" s="20" t="e">
        <f>IF(C303&lt;='Batt IN'!H$43*12,BattCalcs!CO303,NA())</f>
        <v>#N/A</v>
      </c>
      <c r="L303" s="20">
        <f t="shared" si="689"/>
        <v>2715.5746064237219</v>
      </c>
      <c r="M303" s="20" t="e">
        <f>G303+BattCalcs!CO303</f>
        <v>#N/A</v>
      </c>
      <c r="O303" s="10" t="str">
        <f>PVLoan!G331</f>
        <v>-</v>
      </c>
      <c r="P303" s="10" t="str">
        <f>PVLoan!J331</f>
        <v>-</v>
      </c>
      <c r="Q303" s="2" t="str">
        <f>BattLoan!G331</f>
        <v>-</v>
      </c>
      <c r="R303" s="10" t="str">
        <f>BattLoan!J331</f>
        <v>-</v>
      </c>
      <c r="T303" s="33">
        <f>IF('PV IN'!$F$4="Battery Only",0,PVCalcs!G303)</f>
        <v>125014.74342058589</v>
      </c>
      <c r="U303" s="33">
        <f>IF('PV IN'!$F$4="Battery Only",0,PVCalcs!M303)</f>
        <v>125014.74342058589</v>
      </c>
      <c r="V303" s="33">
        <f>PVCalcs!L303</f>
        <v>25811.765833333331</v>
      </c>
      <c r="W303" s="158">
        <f>PVCalcs!F303</f>
        <v>8.194902450204164E-2</v>
      </c>
      <c r="X303" s="144">
        <f>IF('PV IN'!$F$4="Battery Only",0,PVCalcs!Y303+PVCalcs!Z303)</f>
        <v>0</v>
      </c>
      <c r="Y303" s="144">
        <f>IF('PV IN'!$F$4="PV Only",0,BattCalcs!AX303+BattCalcs!BC303)</f>
        <v>0</v>
      </c>
      <c r="Z303" s="144">
        <f>IF('PV IN'!$F$4="PV Only",0,BattCalcs!AY303+BattCalcs!BD303)</f>
        <v>0</v>
      </c>
      <c r="AA303" s="144">
        <f>IF('PV IN'!$F$4="PV Only",0,BattCalcs!AZ303+BattCalcs!BE303)</f>
        <v>0</v>
      </c>
      <c r="AB303" s="144">
        <f>IF('PV IN'!$F$4="PV Only",0,BattCalcs!BA303+BattCalcs!BF303)</f>
        <v>0</v>
      </c>
      <c r="AC303" s="144">
        <f>IF('PV IN'!$F$4="PV Only",0,BattCalcs!BB303+BattCalcs!BG303)</f>
        <v>0</v>
      </c>
      <c r="AD303" s="144">
        <f>IF('PV IN'!$F$4="PV Only",0,BattCalcs!BU303)</f>
        <v>0</v>
      </c>
      <c r="AE303" s="144">
        <f>IF('PV IN'!$F$4="PV Only",PVCalcs!W303+PVCalcs!AA303,IF('PV IN'!$F$4="Battery Only",BattCalcs!AV303+BattCalcs!BH303,PVCalcs!W303+PVCalcs!AA303+BattCalcs!AV303+BattCalcs!BH303))</f>
        <v>0</v>
      </c>
      <c r="AF303" s="10">
        <f>PVCalcs!AC303+BattCalcs!BJ303</f>
        <v>0</v>
      </c>
      <c r="AG303" s="144">
        <f>IF('PV IN'!$F$4="Battery Only",0,PVCalcs!AG303)</f>
        <v>-750</v>
      </c>
      <c r="AH303" s="144">
        <f>IF('PV IN'!$F$4="Battery Only",0,PVCalcs!AI303)</f>
        <v>0</v>
      </c>
      <c r="AI303" s="144">
        <f>IF('PV IN'!$F$4="PV Only",0,BattCalcs!BM303)</f>
        <v>0</v>
      </c>
      <c r="AJ303" s="144">
        <f>IF('PV IN'!$F$4="PV Only",0,SUM(BattCalcs!BO303:BT303))</f>
        <v>0</v>
      </c>
      <c r="AK303" s="144">
        <f>IF('PV IN'!$F$4="PV Only",PVCalcs!AH303,IF('PV IN'!$F$4="Battery Only",BattCalcs!BN303,PVCalcs!AH303+BattCalcs!BN303))</f>
        <v>-625</v>
      </c>
      <c r="AL303" s="144">
        <f>IF('PV IN'!$F$4="PV Only",0,BattCalcs!BV303)</f>
        <v>0</v>
      </c>
      <c r="AM303" s="144">
        <f>IF('PV IN'!$F$4="PV Only",0,SUM(BattCalcs!BW303:BX303))</f>
        <v>0</v>
      </c>
      <c r="AN303" s="144">
        <f>IF('PV IN'!$F$4="PV Only",0,BattCalcs!BY303)</f>
        <v>0</v>
      </c>
      <c r="AO303" s="144">
        <f>IF('PV IN'!$F$4="Battery Only",0,PVCalcs!U303)</f>
        <v>10244.836271690041</v>
      </c>
      <c r="AP303" s="10">
        <f>IF('PV IN'!$F$4="PV Only",0,BattCalcs!AS303)</f>
        <v>0</v>
      </c>
      <c r="AQ303" s="10">
        <f>IF('PV IN'!$F$4="PV Only",0,BattCalcs!AT303)</f>
        <v>0</v>
      </c>
      <c r="AR303" s="10">
        <f>IF('PV IN'!$F$4="PV Only",0,BattCalcs!AU303)</f>
        <v>0</v>
      </c>
      <c r="AS303" s="144">
        <f>IF('PV IN'!$F$4="PV Only",PVCalcs!X303,IF('PV IN'!$F$4="Battery Only",BattCalcs!AW303,PVCalcs!X303+BattCalcs!AW303))</f>
        <v>0</v>
      </c>
      <c r="AT303" s="144">
        <f>IF('PV IN'!$F$4="Battery Only",0,-PVCalcs!AQ303*'PV IN'!$E$8)</f>
        <v>0</v>
      </c>
      <c r="AU303" s="144">
        <f>IF('PV IN'!$F$4="PV Only",0,-BattCalcs!CG303*'PV IN'!$E$8)</f>
        <v>0</v>
      </c>
      <c r="AV303" s="144">
        <f>IF('PV IN'!$F$4="PV Only",PVCalcs!Z303+PVCalcs!AA303,IF('PV IN'!$F$4="Battery Only",SUM(BattCalcs!BC303:BH303),PVCalcs!Z303+PVCalcs!AA303+SUM(BattCalcs!BC303:BH303)))</f>
        <v>0</v>
      </c>
      <c r="AW303" s="144">
        <f>IF('PV IN'!$F$4="PV Only",SUM(PVCalcs!AF303:AI303),IF('PV IN'!$F$4="Battery Only",SUM(BattCalcs!BL303:BY303),SUM(PVCalcs!AF303:AI303)+SUM(BattCalcs!BL303:BY303)))</f>
        <v>-1375</v>
      </c>
      <c r="AX303" s="144">
        <f>IF('PV IN'!$F$4="Battery Only",0,-PVLoan!F331)</f>
        <v>0</v>
      </c>
      <c r="AY303" s="144">
        <f>IF('PV IN'!$F$4="PV Only",0,-BattLoan!F331)</f>
        <v>0</v>
      </c>
      <c r="AZ303" s="144">
        <f>IF('PV IN'!$F$4="Battery Only",0,-PVLoan!H331)</f>
        <v>0</v>
      </c>
      <c r="BA303" s="144">
        <f>IF('PV IN'!$F$4="PV Only",0,-BattLoan!H331)</f>
        <v>0</v>
      </c>
    </row>
    <row r="304" spans="1:88" x14ac:dyDescent="0.25">
      <c r="A304" t="str">
        <f>IF(C304&lt;='PV IN'!$O$22*12,C304,"")</f>
        <v/>
      </c>
      <c r="B304">
        <f>B292+1</f>
        <v>2050</v>
      </c>
      <c r="C304">
        <v>300</v>
      </c>
      <c r="D304" s="2">
        <f>BattCalcs!CK304+PVCalcs!AT304</f>
        <v>9151.7563808422474</v>
      </c>
      <c r="E304" s="20">
        <f>PVCalcs!AV304</f>
        <v>1939815.357008568</v>
      </c>
      <c r="F304" s="20">
        <f>PVCalcs!AW304</f>
        <v>2702.5390251653212</v>
      </c>
      <c r="G304" s="20" t="e">
        <f>PVCalcs!AX304</f>
        <v>#N/A</v>
      </c>
      <c r="H304" s="20">
        <f>BattCalcs!CM304</f>
        <v>0</v>
      </c>
      <c r="I304" s="20">
        <f>BattCalcs!CN304</f>
        <v>0</v>
      </c>
      <c r="J304" s="20" t="e">
        <f>IF(C304&lt;='Batt IN'!H$43*12,BattCalcs!CO304,NA())</f>
        <v>#N/A</v>
      </c>
      <c r="L304" s="20">
        <f t="shared" si="689"/>
        <v>2702.5390251653212</v>
      </c>
      <c r="M304" s="20" t="e">
        <f>G304+BattCalcs!CO304</f>
        <v>#N/A</v>
      </c>
      <c r="O304" s="10" t="str">
        <f>PVLoan!G332</f>
        <v>-</v>
      </c>
      <c r="P304" s="10" t="str">
        <f>PVLoan!J332</f>
        <v>-</v>
      </c>
      <c r="Q304" s="2" t="str">
        <f>BattLoan!G332</f>
        <v>-</v>
      </c>
      <c r="R304" s="10" t="str">
        <f>BattLoan!J332</f>
        <v>-</v>
      </c>
      <c r="T304" s="33">
        <f>IF('PV IN'!$F$4="Battery Only",0,PVCalcs!G304)</f>
        <v>124931.40025830548</v>
      </c>
      <c r="U304" s="33">
        <f>IF('PV IN'!$F$4="Battery Only",0,PVCalcs!M304)</f>
        <v>124931.40025830548</v>
      </c>
      <c r="V304" s="33">
        <f>PVCalcs!L304</f>
        <v>25811.765833333331</v>
      </c>
      <c r="W304" s="158">
        <f>PVCalcs!F304</f>
        <v>8.194902450204164E-2</v>
      </c>
      <c r="X304" s="144">
        <f>IF('PV IN'!$F$4="Battery Only",0,PVCalcs!Y304+PVCalcs!Z304)</f>
        <v>0</v>
      </c>
      <c r="Y304" s="144">
        <f>IF('PV IN'!$F$4="PV Only",0,BattCalcs!AX304+BattCalcs!BC304)</f>
        <v>0</v>
      </c>
      <c r="Z304" s="144">
        <f>IF('PV IN'!$F$4="PV Only",0,BattCalcs!AY304+BattCalcs!BD304)</f>
        <v>0</v>
      </c>
      <c r="AA304" s="144">
        <f>IF('PV IN'!$F$4="PV Only",0,BattCalcs!AZ304+BattCalcs!BE304)</f>
        <v>0</v>
      </c>
      <c r="AB304" s="144">
        <f>IF('PV IN'!$F$4="PV Only",0,BattCalcs!BA304+BattCalcs!BF304)</f>
        <v>0</v>
      </c>
      <c r="AC304" s="144">
        <f>IF('PV IN'!$F$4="PV Only",0,BattCalcs!BB304+BattCalcs!BG304)</f>
        <v>0</v>
      </c>
      <c r="AD304" s="144">
        <f>IF('PV IN'!$F$4="PV Only",0,BattCalcs!BU304)</f>
        <v>0</v>
      </c>
      <c r="AE304" s="144">
        <f>IF('PV IN'!$F$4="PV Only",PVCalcs!W304+PVCalcs!AA304,IF('PV IN'!$F$4="Battery Only",BattCalcs!AV304+BattCalcs!BH304,PVCalcs!W304+PVCalcs!AA304+BattCalcs!AV304+BattCalcs!BH304))</f>
        <v>0</v>
      </c>
      <c r="AF304" s="10">
        <f>PVCalcs!AC304+BattCalcs!BJ304</f>
        <v>0</v>
      </c>
      <c r="AG304" s="144">
        <f>IF('PV IN'!$F$4="Battery Only",0,PVCalcs!AG304)</f>
        <v>-750</v>
      </c>
      <c r="AH304" s="144">
        <f>IF('PV IN'!$F$4="Battery Only",0,PVCalcs!AI304)</f>
        <v>0</v>
      </c>
      <c r="AI304" s="144">
        <f>IF('PV IN'!$F$4="PV Only",0,BattCalcs!BM304)</f>
        <v>0</v>
      </c>
      <c r="AJ304" s="144">
        <f>IF('PV IN'!$F$4="PV Only",0,SUM(BattCalcs!BO304:BT304))</f>
        <v>0</v>
      </c>
      <c r="AK304" s="144">
        <f>IF('PV IN'!$F$4="PV Only",PVCalcs!AH304,IF('PV IN'!$F$4="Battery Only",BattCalcs!BN304,PVCalcs!AH304+BattCalcs!BN304))</f>
        <v>-625</v>
      </c>
      <c r="AL304" s="144">
        <f>IF('PV IN'!$F$4="PV Only",0,BattCalcs!BV304)</f>
        <v>0</v>
      </c>
      <c r="AM304" s="144">
        <f>IF('PV IN'!$F$4="PV Only",0,SUM(BattCalcs!BW304:BX304))</f>
        <v>0</v>
      </c>
      <c r="AN304" s="144">
        <f>IF('PV IN'!$F$4="PV Only",0,BattCalcs!BY304)</f>
        <v>0</v>
      </c>
      <c r="AO304" s="144">
        <f>IF('PV IN'!$F$4="Battery Only",0,PVCalcs!U304)</f>
        <v>10238.006380842247</v>
      </c>
      <c r="AP304" s="10">
        <f>IF('PV IN'!$F$4="PV Only",0,BattCalcs!AS304)</f>
        <v>0</v>
      </c>
      <c r="AQ304" s="10">
        <f>IF('PV IN'!$F$4="PV Only",0,BattCalcs!AT304)</f>
        <v>0</v>
      </c>
      <c r="AR304" s="10">
        <f>IF('PV IN'!$F$4="PV Only",0,BattCalcs!AU304)</f>
        <v>0</v>
      </c>
      <c r="AS304" s="144">
        <f>IF('PV IN'!$F$4="PV Only",PVCalcs!X304,IF('PV IN'!$F$4="Battery Only",BattCalcs!AW304,PVCalcs!X304+BattCalcs!AW304))</f>
        <v>0</v>
      </c>
      <c r="AT304" s="144">
        <f>IF('PV IN'!$F$4="Battery Only",0,-PVCalcs!AQ304*'PV IN'!$E$8)</f>
        <v>0</v>
      </c>
      <c r="AU304" s="144">
        <f>IF('PV IN'!$F$4="PV Only",0,-BattCalcs!CG304*'PV IN'!$E$8)</f>
        <v>0</v>
      </c>
      <c r="AV304" s="144">
        <f>IF('PV IN'!$F$4="PV Only",PVCalcs!Z304+PVCalcs!AA304,IF('PV IN'!$F$4="Battery Only",SUM(BattCalcs!BC304:BH304),PVCalcs!Z304+PVCalcs!AA304+SUM(BattCalcs!BC304:BH304)))</f>
        <v>0</v>
      </c>
      <c r="AW304" s="144">
        <f>IF('PV IN'!$F$4="PV Only",SUM(PVCalcs!AF304:AI304),IF('PV IN'!$F$4="Battery Only",SUM(BattCalcs!BL304:BY304),SUM(PVCalcs!AF304:AI304)+SUM(BattCalcs!BL304:BY304)))</f>
        <v>-1375</v>
      </c>
      <c r="AX304" s="144">
        <f>IF('PV IN'!$F$4="Battery Only",0,-PVLoan!F332)</f>
        <v>0</v>
      </c>
      <c r="AY304" s="144">
        <f>IF('PV IN'!$F$4="PV Only",0,-BattLoan!F332)</f>
        <v>0</v>
      </c>
      <c r="AZ304" s="144">
        <f>IF('PV IN'!$F$4="Battery Only",0,-PVLoan!H332)</f>
        <v>0</v>
      </c>
      <c r="BA304" s="144">
        <f>IF('PV IN'!$F$4="PV Only",0,-BattLoan!H332)</f>
        <v>0</v>
      </c>
      <c r="BC304" s="33">
        <f t="shared" ref="BC304" si="792">SUM(T293:T304)</f>
        <v>1504689.7020080981</v>
      </c>
      <c r="BD304" s="33">
        <f t="shared" ref="BD304" si="793">SUM(U293:U304)</f>
        <v>1504689.7020080981</v>
      </c>
      <c r="BE304" s="33">
        <f t="shared" ref="BE304" si="794">SUM(V293:V304)</f>
        <v>309741.19</v>
      </c>
      <c r="BF304" s="50">
        <f t="shared" ref="BF304" si="795">W304</f>
        <v>8.194902450204164E-2</v>
      </c>
      <c r="BG304" s="2">
        <f t="shared" ref="BG304" si="796">SUM(X293:X304)</f>
        <v>0</v>
      </c>
      <c r="BH304" s="2">
        <f t="shared" ref="BH304" si="797">SUM(Y293:Y304)</f>
        <v>0</v>
      </c>
      <c r="BI304" s="2">
        <f t="shared" ref="BI304" si="798">SUM(Z293:Z304)</f>
        <v>0</v>
      </c>
      <c r="BJ304" s="2">
        <f t="shared" ref="BJ304" si="799">SUM(AA293:AA304)</f>
        <v>0</v>
      </c>
      <c r="BK304" s="2">
        <f t="shared" ref="BK304" si="800">SUM(AB293:AB304)</f>
        <v>0</v>
      </c>
      <c r="BL304" s="2">
        <f t="shared" ref="BL304" si="801">SUM(AC293:AC304)</f>
        <v>0</v>
      </c>
      <c r="BM304" s="2">
        <f t="shared" ref="BM304" si="802">SUM(AD293:AD304)</f>
        <v>0</v>
      </c>
      <c r="BN304" s="2">
        <f t="shared" ref="BN304" si="803">SUM(AE293:AE304)</f>
        <v>0</v>
      </c>
      <c r="BO304" s="2">
        <f t="shared" ref="BO304" si="804">SUM(AF293:AF304)</f>
        <v>0</v>
      </c>
      <c r="BP304" s="2">
        <f t="shared" ref="BP304" si="805">SUM(AG293:AG304)</f>
        <v>-9000</v>
      </c>
      <c r="BQ304" s="2">
        <f t="shared" ref="BQ304" si="806">SUM(AH293:AH304)</f>
        <v>0</v>
      </c>
      <c r="BR304" s="2">
        <f t="shared" ref="BR304" si="807">SUM(AI293:AI304)</f>
        <v>0</v>
      </c>
      <c r="BS304" s="2">
        <f t="shared" ref="BS304" si="808">SUM(AJ293:AJ304)</f>
        <v>0</v>
      </c>
      <c r="BT304" s="2">
        <f t="shared" ref="BT304" si="809">SUM(AK293:AK304)</f>
        <v>-7500</v>
      </c>
      <c r="BU304" s="2">
        <f t="shared" ref="BU304" si="810">SUM(AL293:AL304)</f>
        <v>0</v>
      </c>
      <c r="BV304" s="2">
        <f t="shared" ref="BV304" si="811">SUM(AM293:AM304)</f>
        <v>0</v>
      </c>
      <c r="BW304" s="2">
        <f t="shared" ref="BW304" si="812">SUM(AN293:AN304)</f>
        <v>0</v>
      </c>
      <c r="BX304" s="2">
        <f t="shared" ref="BX304" si="813">SUM(AO293:AO304)</f>
        <v>123307.85325783138</v>
      </c>
      <c r="BY304" s="2">
        <f t="shared" ref="BY304" si="814">SUM(AP293:AP304)</f>
        <v>0</v>
      </c>
      <c r="BZ304" s="2">
        <f t="shared" ref="BZ304" si="815">SUM(AQ293:AQ304)</f>
        <v>0</v>
      </c>
      <c r="CA304" s="2">
        <f t="shared" ref="CA304" si="816">SUM(AR293:AR304)</f>
        <v>0</v>
      </c>
      <c r="CB304" s="2">
        <f t="shared" ref="CB304" si="817">SUM(AS293:AS304)</f>
        <v>0</v>
      </c>
      <c r="CC304" s="2">
        <f t="shared" ref="CC304" si="818">SUM(AT293:AT304)</f>
        <v>0</v>
      </c>
      <c r="CD304" s="2">
        <f t="shared" ref="CD304" si="819">SUM(AU293:AU304)</f>
        <v>0</v>
      </c>
      <c r="CE304" s="2">
        <f t="shared" ref="CE304" si="820">SUM(AV293:AV304)</f>
        <v>0</v>
      </c>
      <c r="CF304" s="2">
        <f t="shared" ref="CF304" si="821">SUM(AW293:AW304)</f>
        <v>-16500</v>
      </c>
      <c r="CG304" s="2">
        <f t="shared" ref="CG304" si="822">SUM(AX293:AX304)</f>
        <v>0</v>
      </c>
      <c r="CH304" s="2">
        <f t="shared" ref="CH304" si="823">SUM(AY293:AY304)</f>
        <v>0</v>
      </c>
      <c r="CI304" s="2">
        <f t="shared" ref="CI304" si="824">SUM(AZ293:AZ304)</f>
        <v>0</v>
      </c>
      <c r="CJ304" s="2">
        <f t="shared" ref="CJ304" si="825">SUM(BA293:BA304)</f>
        <v>0</v>
      </c>
    </row>
    <row r="305" spans="1:88" x14ac:dyDescent="0.25">
      <c r="A305" t="str">
        <f>IF(C305&lt;='PV IN'!$O$22*12,C305,"")</f>
        <v/>
      </c>
      <c r="C305">
        <v>301</v>
      </c>
      <c r="D305" s="2">
        <f>BattCalcs!CK305+PVCalcs!AT305</f>
        <v>9067.5495379717759</v>
      </c>
      <c r="E305" s="20">
        <f>PVCalcs!AV305</f>
        <v>1948882.9065465399</v>
      </c>
      <c r="F305" s="20">
        <f>PVCalcs!AW305</f>
        <v>2666.807606772587</v>
      </c>
      <c r="G305" s="20" t="e">
        <f>PVCalcs!AX305</f>
        <v>#N/A</v>
      </c>
      <c r="H305" s="20">
        <f>BattCalcs!CM305</f>
        <v>0</v>
      </c>
      <c r="I305" s="20">
        <f>BattCalcs!CN305</f>
        <v>0</v>
      </c>
      <c r="J305" s="20" t="e">
        <f>IF(C305&lt;='Batt IN'!H$43*12,BattCalcs!CO305,NA())</f>
        <v>#N/A</v>
      </c>
      <c r="L305" s="20">
        <f t="shared" ref="L305:L364" si="826">F305+I305</f>
        <v>2666.807606772587</v>
      </c>
      <c r="M305" s="20" t="e">
        <f>G305+BattCalcs!CO305</f>
        <v>#N/A</v>
      </c>
      <c r="O305" s="10" t="str">
        <f>PVLoan!G333</f>
        <v>-</v>
      </c>
      <c r="P305" s="10" t="str">
        <f>PVLoan!J333</f>
        <v>-</v>
      </c>
      <c r="Q305" s="2" t="str">
        <f>BattLoan!G333</f>
        <v>-</v>
      </c>
      <c r="R305" s="10" t="str">
        <f>BattLoan!J333</f>
        <v>-</v>
      </c>
      <c r="T305" s="33">
        <f>IF('PV IN'!$F$4="Battery Only",0,PVCalcs!G305)</f>
        <v>124848.11265813328</v>
      </c>
      <c r="U305" s="33">
        <f>IF('PV IN'!$F$4="Battery Only",0,PVCalcs!M305)</f>
        <v>124848.11265813328</v>
      </c>
      <c r="V305" s="33">
        <f>PVCalcs!L305</f>
        <v>25811.765833333331</v>
      </c>
      <c r="W305" s="158">
        <f>PVCalcs!F305</f>
        <v>8.1329219335301683E-2</v>
      </c>
      <c r="X305" s="144">
        <f>IF('PV IN'!$F$4="Battery Only",0,PVCalcs!Y305+PVCalcs!Z305)</f>
        <v>0</v>
      </c>
      <c r="Y305" s="144">
        <f>IF('PV IN'!$F$4="PV Only",0,BattCalcs!AX305+BattCalcs!BC305)</f>
        <v>0</v>
      </c>
      <c r="Z305" s="144">
        <f>IF('PV IN'!$F$4="PV Only",0,BattCalcs!AY305+BattCalcs!BD305)</f>
        <v>0</v>
      </c>
      <c r="AA305" s="144">
        <f>IF('PV IN'!$F$4="PV Only",0,BattCalcs!AZ305+BattCalcs!BE305)</f>
        <v>0</v>
      </c>
      <c r="AB305" s="144">
        <f>IF('PV IN'!$F$4="PV Only",0,BattCalcs!BA305+BattCalcs!BF305)</f>
        <v>0</v>
      </c>
      <c r="AC305" s="144">
        <f>IF('PV IN'!$F$4="PV Only",0,BattCalcs!BB305+BattCalcs!BG305)</f>
        <v>0</v>
      </c>
      <c r="AD305" s="144">
        <f>IF('PV IN'!$F$4="PV Only",0,BattCalcs!BU305)</f>
        <v>0</v>
      </c>
      <c r="AE305" s="144">
        <f>IF('PV IN'!$F$4="PV Only",PVCalcs!W305+PVCalcs!AA305,IF('PV IN'!$F$4="Battery Only",BattCalcs!AV305+BattCalcs!BH305,PVCalcs!W305+PVCalcs!AA305+BattCalcs!AV305+BattCalcs!BH305))</f>
        <v>0</v>
      </c>
      <c r="AF305" s="10">
        <f>PVCalcs!AC305+BattCalcs!BJ305</f>
        <v>0</v>
      </c>
      <c r="AG305" s="144">
        <f>IF('PV IN'!$F$4="Battery Only",0,PVCalcs!AG305)</f>
        <v>-750</v>
      </c>
      <c r="AH305" s="144">
        <f>IF('PV IN'!$F$4="Battery Only",0,PVCalcs!AI305)</f>
        <v>0</v>
      </c>
      <c r="AI305" s="144">
        <f>IF('PV IN'!$F$4="PV Only",0,BattCalcs!BM305)</f>
        <v>0</v>
      </c>
      <c r="AJ305" s="144">
        <f>IF('PV IN'!$F$4="PV Only",0,SUM(BattCalcs!BO305:BT305))</f>
        <v>0</v>
      </c>
      <c r="AK305" s="144">
        <f>IF('PV IN'!$F$4="PV Only",PVCalcs!AH305,IF('PV IN'!$F$4="Battery Only",BattCalcs!BN305,PVCalcs!AH305+BattCalcs!BN305))</f>
        <v>-625</v>
      </c>
      <c r="AL305" s="144">
        <f>IF('PV IN'!$F$4="PV Only",0,BattCalcs!BV305)</f>
        <v>0</v>
      </c>
      <c r="AM305" s="144">
        <f>IF('PV IN'!$F$4="PV Only",0,SUM(BattCalcs!BW305:BX305))</f>
        <v>0</v>
      </c>
      <c r="AN305" s="144">
        <f>IF('PV IN'!$F$4="PV Only",0,BattCalcs!BY305)</f>
        <v>0</v>
      </c>
      <c r="AO305" s="144">
        <f>IF('PV IN'!$F$4="Battery Only",0,PVCalcs!U305)</f>
        <v>10153.799537971776</v>
      </c>
      <c r="AP305" s="10">
        <f>IF('PV IN'!$F$4="PV Only",0,BattCalcs!AS305)</f>
        <v>0</v>
      </c>
      <c r="AQ305" s="10">
        <f>IF('PV IN'!$F$4="PV Only",0,BattCalcs!AT305)</f>
        <v>0</v>
      </c>
      <c r="AR305" s="10">
        <f>IF('PV IN'!$F$4="PV Only",0,BattCalcs!AU305)</f>
        <v>0</v>
      </c>
      <c r="AS305" s="144">
        <f>IF('PV IN'!$F$4="PV Only",PVCalcs!X305,IF('PV IN'!$F$4="Battery Only",BattCalcs!AW305,PVCalcs!X305+BattCalcs!AW305))</f>
        <v>0</v>
      </c>
      <c r="AT305" s="144">
        <f>IF('PV IN'!$F$4="Battery Only",0,-PVCalcs!AQ305*'PV IN'!$E$8)</f>
        <v>0</v>
      </c>
      <c r="AU305" s="144">
        <f>IF('PV IN'!$F$4="PV Only",0,-BattCalcs!CG305*'PV IN'!$E$8)</f>
        <v>0</v>
      </c>
      <c r="AV305" s="144">
        <f>IF('PV IN'!$F$4="PV Only",PVCalcs!Z305+PVCalcs!AA305,IF('PV IN'!$F$4="Battery Only",SUM(BattCalcs!BC305:BH305),PVCalcs!Z305+PVCalcs!AA305+SUM(BattCalcs!BC305:BH305)))</f>
        <v>0</v>
      </c>
      <c r="AW305" s="144">
        <f>IF('PV IN'!$F$4="PV Only",SUM(PVCalcs!AF305:AI305),IF('PV IN'!$F$4="Battery Only",SUM(BattCalcs!BL305:BY305),SUM(PVCalcs!AF305:AI305)+SUM(BattCalcs!BL305:BY305)))</f>
        <v>-1375</v>
      </c>
      <c r="AX305" s="144">
        <f>IF('PV IN'!$F$4="Battery Only",0,-PVLoan!F333)</f>
        <v>0</v>
      </c>
      <c r="AY305" s="144">
        <f>IF('PV IN'!$F$4="PV Only",0,-BattLoan!F333)</f>
        <v>0</v>
      </c>
      <c r="AZ305" s="144">
        <f>IF('PV IN'!$F$4="Battery Only",0,-PVLoan!H333)</f>
        <v>0</v>
      </c>
      <c r="BA305" s="144">
        <f>IF('PV IN'!$F$4="PV Only",0,-BattLoan!H333)</f>
        <v>0</v>
      </c>
    </row>
    <row r="306" spans="1:88" x14ac:dyDescent="0.25">
      <c r="A306" t="str">
        <f>IF(C306&lt;='PV IN'!$O$22*12,C306,"")</f>
        <v/>
      </c>
      <c r="C306">
        <v>302</v>
      </c>
      <c r="D306" s="2">
        <f>BattCalcs!CK306+PVCalcs!AT306</f>
        <v>9060.7803382797956</v>
      </c>
      <c r="E306" s="20">
        <f>PVCalcs!AV306</f>
        <v>1957943.6868848198</v>
      </c>
      <c r="F306" s="20">
        <f>PVCalcs!AW306</f>
        <v>2654.0040134476085</v>
      </c>
      <c r="G306" s="20" t="e">
        <f>PVCalcs!AX306</f>
        <v>#N/A</v>
      </c>
      <c r="H306" s="20">
        <f>BattCalcs!CM306</f>
        <v>0</v>
      </c>
      <c r="I306" s="20">
        <f>BattCalcs!CN306</f>
        <v>0</v>
      </c>
      <c r="J306" s="20" t="e">
        <f>IF(C306&lt;='Batt IN'!H$43*12,BattCalcs!CO306,NA())</f>
        <v>#N/A</v>
      </c>
      <c r="L306" s="20">
        <f t="shared" si="826"/>
        <v>2654.0040134476085</v>
      </c>
      <c r="M306" s="20" t="e">
        <f>G306+BattCalcs!CO306</f>
        <v>#N/A</v>
      </c>
      <c r="O306" s="10" t="str">
        <f>PVLoan!G334</f>
        <v>-</v>
      </c>
      <c r="P306" s="10" t="str">
        <f>PVLoan!J334</f>
        <v>-</v>
      </c>
      <c r="Q306" s="2" t="str">
        <f>BattLoan!G334</f>
        <v>-</v>
      </c>
      <c r="R306" s="10" t="str">
        <f>BattLoan!J334</f>
        <v>-</v>
      </c>
      <c r="T306" s="33">
        <f>IF('PV IN'!$F$4="Battery Only",0,PVCalcs!G306)</f>
        <v>124764.88058302786</v>
      </c>
      <c r="U306" s="33">
        <f>IF('PV IN'!$F$4="Battery Only",0,PVCalcs!M306)</f>
        <v>124764.88058302786</v>
      </c>
      <c r="V306" s="33">
        <f>PVCalcs!L306</f>
        <v>25811.765833333331</v>
      </c>
      <c r="W306" s="158">
        <f>PVCalcs!F306</f>
        <v>8.1329219335301683E-2</v>
      </c>
      <c r="X306" s="144">
        <f>IF('PV IN'!$F$4="Battery Only",0,PVCalcs!Y306+PVCalcs!Z306)</f>
        <v>0</v>
      </c>
      <c r="Y306" s="144">
        <f>IF('PV IN'!$F$4="PV Only",0,BattCalcs!AX306+BattCalcs!BC306)</f>
        <v>0</v>
      </c>
      <c r="Z306" s="144">
        <f>IF('PV IN'!$F$4="PV Only",0,BattCalcs!AY306+BattCalcs!BD306)</f>
        <v>0</v>
      </c>
      <c r="AA306" s="144">
        <f>IF('PV IN'!$F$4="PV Only",0,BattCalcs!AZ306+BattCalcs!BE306)</f>
        <v>0</v>
      </c>
      <c r="AB306" s="144">
        <f>IF('PV IN'!$F$4="PV Only",0,BattCalcs!BA306+BattCalcs!BF306)</f>
        <v>0</v>
      </c>
      <c r="AC306" s="144">
        <f>IF('PV IN'!$F$4="PV Only",0,BattCalcs!BB306+BattCalcs!BG306)</f>
        <v>0</v>
      </c>
      <c r="AD306" s="144">
        <f>IF('PV IN'!$F$4="PV Only",0,BattCalcs!BU306)</f>
        <v>0</v>
      </c>
      <c r="AE306" s="144">
        <f>IF('PV IN'!$F$4="PV Only",PVCalcs!W306+PVCalcs!AA306,IF('PV IN'!$F$4="Battery Only",BattCalcs!AV306+BattCalcs!BH306,PVCalcs!W306+PVCalcs!AA306+BattCalcs!AV306+BattCalcs!BH306))</f>
        <v>0</v>
      </c>
      <c r="AF306" s="10">
        <f>PVCalcs!AC306+BattCalcs!BJ306</f>
        <v>0</v>
      </c>
      <c r="AG306" s="144">
        <f>IF('PV IN'!$F$4="Battery Only",0,PVCalcs!AG306)</f>
        <v>-750</v>
      </c>
      <c r="AH306" s="144">
        <f>IF('PV IN'!$F$4="Battery Only",0,PVCalcs!AI306)</f>
        <v>0</v>
      </c>
      <c r="AI306" s="144">
        <f>IF('PV IN'!$F$4="PV Only",0,BattCalcs!BM306)</f>
        <v>0</v>
      </c>
      <c r="AJ306" s="144">
        <f>IF('PV IN'!$F$4="PV Only",0,SUM(BattCalcs!BO306:BT306))</f>
        <v>0</v>
      </c>
      <c r="AK306" s="144">
        <f>IF('PV IN'!$F$4="PV Only",PVCalcs!AH306,IF('PV IN'!$F$4="Battery Only",BattCalcs!BN306,PVCalcs!AH306+BattCalcs!BN306))</f>
        <v>-625</v>
      </c>
      <c r="AL306" s="144">
        <f>IF('PV IN'!$F$4="PV Only",0,BattCalcs!BV306)</f>
        <v>0</v>
      </c>
      <c r="AM306" s="144">
        <f>IF('PV IN'!$F$4="PV Only",0,SUM(BattCalcs!BW306:BX306))</f>
        <v>0</v>
      </c>
      <c r="AN306" s="144">
        <f>IF('PV IN'!$F$4="PV Only",0,BattCalcs!BY306)</f>
        <v>0</v>
      </c>
      <c r="AO306" s="144">
        <f>IF('PV IN'!$F$4="Battery Only",0,PVCalcs!U306)</f>
        <v>10147.030338279796</v>
      </c>
      <c r="AP306" s="10">
        <f>IF('PV IN'!$F$4="PV Only",0,BattCalcs!AS306)</f>
        <v>0</v>
      </c>
      <c r="AQ306" s="10">
        <f>IF('PV IN'!$F$4="PV Only",0,BattCalcs!AT306)</f>
        <v>0</v>
      </c>
      <c r="AR306" s="10">
        <f>IF('PV IN'!$F$4="PV Only",0,BattCalcs!AU306)</f>
        <v>0</v>
      </c>
      <c r="AS306" s="144">
        <f>IF('PV IN'!$F$4="PV Only",PVCalcs!X306,IF('PV IN'!$F$4="Battery Only",BattCalcs!AW306,PVCalcs!X306+BattCalcs!AW306))</f>
        <v>0</v>
      </c>
      <c r="AT306" s="144">
        <f>IF('PV IN'!$F$4="Battery Only",0,-PVCalcs!AQ306*'PV IN'!$E$8)</f>
        <v>0</v>
      </c>
      <c r="AU306" s="144">
        <f>IF('PV IN'!$F$4="PV Only",0,-BattCalcs!CG306*'PV IN'!$E$8)</f>
        <v>0</v>
      </c>
      <c r="AV306" s="144">
        <f>IF('PV IN'!$F$4="PV Only",PVCalcs!Z306+PVCalcs!AA306,IF('PV IN'!$F$4="Battery Only",SUM(BattCalcs!BC306:BH306),PVCalcs!Z306+PVCalcs!AA306+SUM(BattCalcs!BC306:BH306)))</f>
        <v>0</v>
      </c>
      <c r="AW306" s="144">
        <f>IF('PV IN'!$F$4="PV Only",SUM(PVCalcs!AF306:AI306),IF('PV IN'!$F$4="Battery Only",SUM(BattCalcs!BL306:BY306),SUM(PVCalcs!AF306:AI306)+SUM(BattCalcs!BL306:BY306)))</f>
        <v>-1375</v>
      </c>
      <c r="AX306" s="144">
        <f>IF('PV IN'!$F$4="Battery Only",0,-PVLoan!F334)</f>
        <v>0</v>
      </c>
      <c r="AY306" s="144">
        <f>IF('PV IN'!$F$4="PV Only",0,-BattLoan!F334)</f>
        <v>0</v>
      </c>
      <c r="AZ306" s="144">
        <f>IF('PV IN'!$F$4="Battery Only",0,-PVLoan!H334)</f>
        <v>0</v>
      </c>
      <c r="BA306" s="144">
        <f>IF('PV IN'!$F$4="PV Only",0,-BattLoan!H334)</f>
        <v>0</v>
      </c>
    </row>
    <row r="307" spans="1:88" x14ac:dyDescent="0.25">
      <c r="A307" t="str">
        <f>IF(C307&lt;='PV IN'!$O$22*12,C307,"")</f>
        <v/>
      </c>
      <c r="C307">
        <v>303</v>
      </c>
      <c r="D307" s="2">
        <f>BattCalcs!CK307+PVCalcs!AT307</f>
        <v>9054.0156513876082</v>
      </c>
      <c r="E307" s="20">
        <f>PVCalcs!AV307</f>
        <v>1966997.7025362074</v>
      </c>
      <c r="F307" s="20">
        <f>PVCalcs!AW307</f>
        <v>2641.2617336656103</v>
      </c>
      <c r="G307" s="20" t="e">
        <f>PVCalcs!AX307</f>
        <v>#N/A</v>
      </c>
      <c r="H307" s="20">
        <f>BattCalcs!CM307</f>
        <v>0</v>
      </c>
      <c r="I307" s="20">
        <f>BattCalcs!CN307</f>
        <v>0</v>
      </c>
      <c r="J307" s="20" t="e">
        <f>IF(C307&lt;='Batt IN'!H$43*12,BattCalcs!CO307,NA())</f>
        <v>#N/A</v>
      </c>
      <c r="L307" s="20">
        <f t="shared" si="826"/>
        <v>2641.2617336656103</v>
      </c>
      <c r="M307" s="20" t="e">
        <f>G307+BattCalcs!CO307</f>
        <v>#N/A</v>
      </c>
      <c r="O307" s="10" t="str">
        <f>PVLoan!G335</f>
        <v>-</v>
      </c>
      <c r="P307" s="10" t="str">
        <f>PVLoan!J335</f>
        <v>-</v>
      </c>
      <c r="Q307" s="2" t="str">
        <f>BattLoan!G335</f>
        <v>-</v>
      </c>
      <c r="R307" s="10" t="str">
        <f>BattLoan!J335</f>
        <v>-</v>
      </c>
      <c r="T307" s="33">
        <f>IF('PV IN'!$F$4="Battery Only",0,PVCalcs!G307)</f>
        <v>124681.70399597249</v>
      </c>
      <c r="U307" s="33">
        <f>IF('PV IN'!$F$4="Battery Only",0,PVCalcs!M307)</f>
        <v>124681.70399597249</v>
      </c>
      <c r="V307" s="33">
        <f>PVCalcs!L307</f>
        <v>25811.765833333331</v>
      </c>
      <c r="W307" s="158">
        <f>PVCalcs!F307</f>
        <v>8.1329219335301683E-2</v>
      </c>
      <c r="X307" s="144">
        <f>IF('PV IN'!$F$4="Battery Only",0,PVCalcs!Y307+PVCalcs!Z307)</f>
        <v>0</v>
      </c>
      <c r="Y307" s="144">
        <f>IF('PV IN'!$F$4="PV Only",0,BattCalcs!AX307+BattCalcs!BC307)</f>
        <v>0</v>
      </c>
      <c r="Z307" s="144">
        <f>IF('PV IN'!$F$4="PV Only",0,BattCalcs!AY307+BattCalcs!BD307)</f>
        <v>0</v>
      </c>
      <c r="AA307" s="144">
        <f>IF('PV IN'!$F$4="PV Only",0,BattCalcs!AZ307+BattCalcs!BE307)</f>
        <v>0</v>
      </c>
      <c r="AB307" s="144">
        <f>IF('PV IN'!$F$4="PV Only",0,BattCalcs!BA307+BattCalcs!BF307)</f>
        <v>0</v>
      </c>
      <c r="AC307" s="144">
        <f>IF('PV IN'!$F$4="PV Only",0,BattCalcs!BB307+BattCalcs!BG307)</f>
        <v>0</v>
      </c>
      <c r="AD307" s="144">
        <f>IF('PV IN'!$F$4="PV Only",0,BattCalcs!BU307)</f>
        <v>0</v>
      </c>
      <c r="AE307" s="144">
        <f>IF('PV IN'!$F$4="PV Only",PVCalcs!W307+PVCalcs!AA307,IF('PV IN'!$F$4="Battery Only",BattCalcs!AV307+BattCalcs!BH307,PVCalcs!W307+PVCalcs!AA307+BattCalcs!AV307+BattCalcs!BH307))</f>
        <v>0</v>
      </c>
      <c r="AF307" s="10">
        <f>PVCalcs!AC307+BattCalcs!BJ307</f>
        <v>0</v>
      </c>
      <c r="AG307" s="144">
        <f>IF('PV IN'!$F$4="Battery Only",0,PVCalcs!AG307)</f>
        <v>-750</v>
      </c>
      <c r="AH307" s="144">
        <f>IF('PV IN'!$F$4="Battery Only",0,PVCalcs!AI307)</f>
        <v>0</v>
      </c>
      <c r="AI307" s="144">
        <f>IF('PV IN'!$F$4="PV Only",0,BattCalcs!BM307)</f>
        <v>0</v>
      </c>
      <c r="AJ307" s="144">
        <f>IF('PV IN'!$F$4="PV Only",0,SUM(BattCalcs!BO307:BT307))</f>
        <v>0</v>
      </c>
      <c r="AK307" s="144">
        <f>IF('PV IN'!$F$4="PV Only",PVCalcs!AH307,IF('PV IN'!$F$4="Battery Only",BattCalcs!BN307,PVCalcs!AH307+BattCalcs!BN307))</f>
        <v>-625</v>
      </c>
      <c r="AL307" s="144">
        <f>IF('PV IN'!$F$4="PV Only",0,BattCalcs!BV307)</f>
        <v>0</v>
      </c>
      <c r="AM307" s="144">
        <f>IF('PV IN'!$F$4="PV Only",0,SUM(BattCalcs!BW307:BX307))</f>
        <v>0</v>
      </c>
      <c r="AN307" s="144">
        <f>IF('PV IN'!$F$4="PV Only",0,BattCalcs!BY307)</f>
        <v>0</v>
      </c>
      <c r="AO307" s="144">
        <f>IF('PV IN'!$F$4="Battery Only",0,PVCalcs!U307)</f>
        <v>10140.265651387608</v>
      </c>
      <c r="AP307" s="10">
        <f>IF('PV IN'!$F$4="PV Only",0,BattCalcs!AS307)</f>
        <v>0</v>
      </c>
      <c r="AQ307" s="10">
        <f>IF('PV IN'!$F$4="PV Only",0,BattCalcs!AT307)</f>
        <v>0</v>
      </c>
      <c r="AR307" s="10">
        <f>IF('PV IN'!$F$4="PV Only",0,BattCalcs!AU307)</f>
        <v>0</v>
      </c>
      <c r="AS307" s="144">
        <f>IF('PV IN'!$F$4="PV Only",PVCalcs!X307,IF('PV IN'!$F$4="Battery Only",BattCalcs!AW307,PVCalcs!X307+BattCalcs!AW307))</f>
        <v>0</v>
      </c>
      <c r="AT307" s="144">
        <f>IF('PV IN'!$F$4="Battery Only",0,-PVCalcs!AQ307*'PV IN'!$E$8)</f>
        <v>0</v>
      </c>
      <c r="AU307" s="144">
        <f>IF('PV IN'!$F$4="PV Only",0,-BattCalcs!CG307*'PV IN'!$E$8)</f>
        <v>0</v>
      </c>
      <c r="AV307" s="144">
        <f>IF('PV IN'!$F$4="PV Only",PVCalcs!Z307+PVCalcs!AA307,IF('PV IN'!$F$4="Battery Only",SUM(BattCalcs!BC307:BH307),PVCalcs!Z307+PVCalcs!AA307+SUM(BattCalcs!BC307:BH307)))</f>
        <v>0</v>
      </c>
      <c r="AW307" s="144">
        <f>IF('PV IN'!$F$4="PV Only",SUM(PVCalcs!AF307:AI307),IF('PV IN'!$F$4="Battery Only",SUM(BattCalcs!BL307:BY307),SUM(PVCalcs!AF307:AI307)+SUM(BattCalcs!BL307:BY307)))</f>
        <v>-1375</v>
      </c>
      <c r="AX307" s="144">
        <f>IF('PV IN'!$F$4="Battery Only",0,-PVLoan!F335)</f>
        <v>0</v>
      </c>
      <c r="AY307" s="144">
        <f>IF('PV IN'!$F$4="PV Only",0,-BattLoan!F335)</f>
        <v>0</v>
      </c>
      <c r="AZ307" s="144">
        <f>IF('PV IN'!$F$4="Battery Only",0,-PVLoan!H335)</f>
        <v>0</v>
      </c>
      <c r="BA307" s="144">
        <f>IF('PV IN'!$F$4="PV Only",0,-BattLoan!H335)</f>
        <v>0</v>
      </c>
    </row>
    <row r="308" spans="1:88" x14ac:dyDescent="0.25">
      <c r="A308" t="str">
        <f>IF(C308&lt;='PV IN'!$O$22*12,C308,"")</f>
        <v/>
      </c>
      <c r="C308">
        <v>304</v>
      </c>
      <c r="D308" s="2">
        <f>BattCalcs!CK308+PVCalcs!AT308</f>
        <v>9047.2554742866814</v>
      </c>
      <c r="E308" s="20">
        <f>PVCalcs!AV308</f>
        <v>1976044.958010494</v>
      </c>
      <c r="F308" s="20">
        <f>PVCalcs!AW308</f>
        <v>2628.5804744390734</v>
      </c>
      <c r="G308" s="20" t="e">
        <f>PVCalcs!AX308</f>
        <v>#N/A</v>
      </c>
      <c r="H308" s="20">
        <f>BattCalcs!CM308</f>
        <v>0</v>
      </c>
      <c r="I308" s="20">
        <f>BattCalcs!CN308</f>
        <v>0</v>
      </c>
      <c r="J308" s="20" t="e">
        <f>IF(C308&lt;='Batt IN'!H$43*12,BattCalcs!CO308,NA())</f>
        <v>#N/A</v>
      </c>
      <c r="L308" s="20">
        <f t="shared" si="826"/>
        <v>2628.5804744390734</v>
      </c>
      <c r="M308" s="20" t="e">
        <f>G308+BattCalcs!CO308</f>
        <v>#N/A</v>
      </c>
      <c r="O308" s="10" t="str">
        <f>PVLoan!G336</f>
        <v>-</v>
      </c>
      <c r="P308" s="10" t="str">
        <f>PVLoan!J336</f>
        <v>-</v>
      </c>
      <c r="Q308" s="2" t="str">
        <f>BattLoan!G336</f>
        <v>-</v>
      </c>
      <c r="R308" s="10" t="str">
        <f>BattLoan!J336</f>
        <v>-</v>
      </c>
      <c r="T308" s="33">
        <f>IF('PV IN'!$F$4="Battery Only",0,PVCalcs!G308)</f>
        <v>124598.58285997517</v>
      </c>
      <c r="U308" s="33">
        <f>IF('PV IN'!$F$4="Battery Only",0,PVCalcs!M308)</f>
        <v>124598.58285997517</v>
      </c>
      <c r="V308" s="33">
        <f>PVCalcs!L308</f>
        <v>25811.765833333331</v>
      </c>
      <c r="W308" s="158">
        <f>PVCalcs!F308</f>
        <v>8.1329219335301683E-2</v>
      </c>
      <c r="X308" s="144">
        <f>IF('PV IN'!$F$4="Battery Only",0,PVCalcs!Y308+PVCalcs!Z308)</f>
        <v>0</v>
      </c>
      <c r="Y308" s="144">
        <f>IF('PV IN'!$F$4="PV Only",0,BattCalcs!AX308+BattCalcs!BC308)</f>
        <v>0</v>
      </c>
      <c r="Z308" s="144">
        <f>IF('PV IN'!$F$4="PV Only",0,BattCalcs!AY308+BattCalcs!BD308)</f>
        <v>0</v>
      </c>
      <c r="AA308" s="144">
        <f>IF('PV IN'!$F$4="PV Only",0,BattCalcs!AZ308+BattCalcs!BE308)</f>
        <v>0</v>
      </c>
      <c r="AB308" s="144">
        <f>IF('PV IN'!$F$4="PV Only",0,BattCalcs!BA308+BattCalcs!BF308)</f>
        <v>0</v>
      </c>
      <c r="AC308" s="144">
        <f>IF('PV IN'!$F$4="PV Only",0,BattCalcs!BB308+BattCalcs!BG308)</f>
        <v>0</v>
      </c>
      <c r="AD308" s="144">
        <f>IF('PV IN'!$F$4="PV Only",0,BattCalcs!BU308)</f>
        <v>0</v>
      </c>
      <c r="AE308" s="144">
        <f>IF('PV IN'!$F$4="PV Only",PVCalcs!W308+PVCalcs!AA308,IF('PV IN'!$F$4="Battery Only",BattCalcs!AV308+BattCalcs!BH308,PVCalcs!W308+PVCalcs!AA308+BattCalcs!AV308+BattCalcs!BH308))</f>
        <v>0</v>
      </c>
      <c r="AF308" s="10">
        <f>PVCalcs!AC308+BattCalcs!BJ308</f>
        <v>0</v>
      </c>
      <c r="AG308" s="144">
        <f>IF('PV IN'!$F$4="Battery Only",0,PVCalcs!AG308)</f>
        <v>-750</v>
      </c>
      <c r="AH308" s="144">
        <f>IF('PV IN'!$F$4="Battery Only",0,PVCalcs!AI308)</f>
        <v>0</v>
      </c>
      <c r="AI308" s="144">
        <f>IF('PV IN'!$F$4="PV Only",0,BattCalcs!BM308)</f>
        <v>0</v>
      </c>
      <c r="AJ308" s="144">
        <f>IF('PV IN'!$F$4="PV Only",0,SUM(BattCalcs!BO308:BT308))</f>
        <v>0</v>
      </c>
      <c r="AK308" s="144">
        <f>IF('PV IN'!$F$4="PV Only",PVCalcs!AH308,IF('PV IN'!$F$4="Battery Only",BattCalcs!BN308,PVCalcs!AH308+BattCalcs!BN308))</f>
        <v>-625</v>
      </c>
      <c r="AL308" s="144">
        <f>IF('PV IN'!$F$4="PV Only",0,BattCalcs!BV308)</f>
        <v>0</v>
      </c>
      <c r="AM308" s="144">
        <f>IF('PV IN'!$F$4="PV Only",0,SUM(BattCalcs!BW308:BX308))</f>
        <v>0</v>
      </c>
      <c r="AN308" s="144">
        <f>IF('PV IN'!$F$4="PV Only",0,BattCalcs!BY308)</f>
        <v>0</v>
      </c>
      <c r="AO308" s="144">
        <f>IF('PV IN'!$F$4="Battery Only",0,PVCalcs!U308)</f>
        <v>10133.505474286681</v>
      </c>
      <c r="AP308" s="10">
        <f>IF('PV IN'!$F$4="PV Only",0,BattCalcs!AS308)</f>
        <v>0</v>
      </c>
      <c r="AQ308" s="10">
        <f>IF('PV IN'!$F$4="PV Only",0,BattCalcs!AT308)</f>
        <v>0</v>
      </c>
      <c r="AR308" s="10">
        <f>IF('PV IN'!$F$4="PV Only",0,BattCalcs!AU308)</f>
        <v>0</v>
      </c>
      <c r="AS308" s="144">
        <f>IF('PV IN'!$F$4="PV Only",PVCalcs!X308,IF('PV IN'!$F$4="Battery Only",BattCalcs!AW308,PVCalcs!X308+BattCalcs!AW308))</f>
        <v>0</v>
      </c>
      <c r="AT308" s="144">
        <f>IF('PV IN'!$F$4="Battery Only",0,-PVCalcs!AQ308*'PV IN'!$E$8)</f>
        <v>0</v>
      </c>
      <c r="AU308" s="144">
        <f>IF('PV IN'!$F$4="PV Only",0,-BattCalcs!CG308*'PV IN'!$E$8)</f>
        <v>0</v>
      </c>
      <c r="AV308" s="144">
        <f>IF('PV IN'!$F$4="PV Only",PVCalcs!Z308+PVCalcs!AA308,IF('PV IN'!$F$4="Battery Only",SUM(BattCalcs!BC308:BH308),PVCalcs!Z308+PVCalcs!AA308+SUM(BattCalcs!BC308:BH308)))</f>
        <v>0</v>
      </c>
      <c r="AW308" s="144">
        <f>IF('PV IN'!$F$4="PV Only",SUM(PVCalcs!AF308:AI308),IF('PV IN'!$F$4="Battery Only",SUM(BattCalcs!BL308:BY308),SUM(PVCalcs!AF308:AI308)+SUM(BattCalcs!BL308:BY308)))</f>
        <v>-1375</v>
      </c>
      <c r="AX308" s="144">
        <f>IF('PV IN'!$F$4="Battery Only",0,-PVLoan!F336)</f>
        <v>0</v>
      </c>
      <c r="AY308" s="144">
        <f>IF('PV IN'!$F$4="PV Only",0,-BattLoan!F336)</f>
        <v>0</v>
      </c>
      <c r="AZ308" s="144">
        <f>IF('PV IN'!$F$4="Battery Only",0,-PVLoan!H336)</f>
        <v>0</v>
      </c>
      <c r="BA308" s="144">
        <f>IF('PV IN'!$F$4="PV Only",0,-BattLoan!H336)</f>
        <v>0</v>
      </c>
    </row>
    <row r="309" spans="1:88" x14ac:dyDescent="0.25">
      <c r="A309" t="str">
        <f>IF(C309&lt;='PV IN'!$O$22*12,C309,"")</f>
        <v/>
      </c>
      <c r="C309">
        <v>305</v>
      </c>
      <c r="D309" s="2">
        <f>BattCalcs!CK309+PVCalcs!AT309</f>
        <v>9040.4998039704897</v>
      </c>
      <c r="E309" s="20">
        <f>PVCalcs!AV309</f>
        <v>1985085.4578144646</v>
      </c>
      <c r="F309" s="20">
        <f>PVCalcs!AW309</f>
        <v>2615.9599441780088</v>
      </c>
      <c r="G309" s="20" t="e">
        <f>PVCalcs!AX309</f>
        <v>#N/A</v>
      </c>
      <c r="H309" s="20">
        <f>BattCalcs!CM309</f>
        <v>0</v>
      </c>
      <c r="I309" s="20">
        <f>BattCalcs!CN309</f>
        <v>0</v>
      </c>
      <c r="J309" s="20" t="e">
        <f>IF(C309&lt;='Batt IN'!H$43*12,BattCalcs!CO309,NA())</f>
        <v>#N/A</v>
      </c>
      <c r="L309" s="20">
        <f t="shared" si="826"/>
        <v>2615.9599441780088</v>
      </c>
      <c r="M309" s="20" t="e">
        <f>G309+BattCalcs!CO309</f>
        <v>#N/A</v>
      </c>
      <c r="O309" s="10" t="str">
        <f>PVLoan!G337</f>
        <v>-</v>
      </c>
      <c r="P309" s="10" t="str">
        <f>PVLoan!J337</f>
        <v>-</v>
      </c>
      <c r="Q309" s="2" t="str">
        <f>BattLoan!G337</f>
        <v>-</v>
      </c>
      <c r="R309" s="10" t="str">
        <f>BattLoan!J337</f>
        <v>-</v>
      </c>
      <c r="T309" s="33">
        <f>IF('PV IN'!$F$4="Battery Only",0,PVCalcs!G309)</f>
        <v>124515.51713806851</v>
      </c>
      <c r="U309" s="33">
        <f>IF('PV IN'!$F$4="Battery Only",0,PVCalcs!M309)</f>
        <v>124515.51713806851</v>
      </c>
      <c r="V309" s="33">
        <f>PVCalcs!L309</f>
        <v>25811.765833333331</v>
      </c>
      <c r="W309" s="158">
        <f>PVCalcs!F309</f>
        <v>8.1329219335301683E-2</v>
      </c>
      <c r="X309" s="144">
        <f>IF('PV IN'!$F$4="Battery Only",0,PVCalcs!Y309+PVCalcs!Z309)</f>
        <v>0</v>
      </c>
      <c r="Y309" s="144">
        <f>IF('PV IN'!$F$4="PV Only",0,BattCalcs!AX309+BattCalcs!BC309)</f>
        <v>0</v>
      </c>
      <c r="Z309" s="144">
        <f>IF('PV IN'!$F$4="PV Only",0,BattCalcs!AY309+BattCalcs!BD309)</f>
        <v>0</v>
      </c>
      <c r="AA309" s="144">
        <f>IF('PV IN'!$F$4="PV Only",0,BattCalcs!AZ309+BattCalcs!BE309)</f>
        <v>0</v>
      </c>
      <c r="AB309" s="144">
        <f>IF('PV IN'!$F$4="PV Only",0,BattCalcs!BA309+BattCalcs!BF309)</f>
        <v>0</v>
      </c>
      <c r="AC309" s="144">
        <f>IF('PV IN'!$F$4="PV Only",0,BattCalcs!BB309+BattCalcs!BG309)</f>
        <v>0</v>
      </c>
      <c r="AD309" s="144">
        <f>IF('PV IN'!$F$4="PV Only",0,BattCalcs!BU309)</f>
        <v>0</v>
      </c>
      <c r="AE309" s="144">
        <f>IF('PV IN'!$F$4="PV Only",PVCalcs!W309+PVCalcs!AA309,IF('PV IN'!$F$4="Battery Only",BattCalcs!AV309+BattCalcs!BH309,PVCalcs!W309+PVCalcs!AA309+BattCalcs!AV309+BattCalcs!BH309))</f>
        <v>0</v>
      </c>
      <c r="AF309" s="10">
        <f>PVCalcs!AC309+BattCalcs!BJ309</f>
        <v>0</v>
      </c>
      <c r="AG309" s="144">
        <f>IF('PV IN'!$F$4="Battery Only",0,PVCalcs!AG309)</f>
        <v>-750</v>
      </c>
      <c r="AH309" s="144">
        <f>IF('PV IN'!$F$4="Battery Only",0,PVCalcs!AI309)</f>
        <v>0</v>
      </c>
      <c r="AI309" s="144">
        <f>IF('PV IN'!$F$4="PV Only",0,BattCalcs!BM309)</f>
        <v>0</v>
      </c>
      <c r="AJ309" s="144">
        <f>IF('PV IN'!$F$4="PV Only",0,SUM(BattCalcs!BO309:BT309))</f>
        <v>0</v>
      </c>
      <c r="AK309" s="144">
        <f>IF('PV IN'!$F$4="PV Only",PVCalcs!AH309,IF('PV IN'!$F$4="Battery Only",BattCalcs!BN309,PVCalcs!AH309+BattCalcs!BN309))</f>
        <v>-625</v>
      </c>
      <c r="AL309" s="144">
        <f>IF('PV IN'!$F$4="PV Only",0,BattCalcs!BV309)</f>
        <v>0</v>
      </c>
      <c r="AM309" s="144">
        <f>IF('PV IN'!$F$4="PV Only",0,SUM(BattCalcs!BW309:BX309))</f>
        <v>0</v>
      </c>
      <c r="AN309" s="144">
        <f>IF('PV IN'!$F$4="PV Only",0,BattCalcs!BY309)</f>
        <v>0</v>
      </c>
      <c r="AO309" s="144">
        <f>IF('PV IN'!$F$4="Battery Only",0,PVCalcs!U309)</f>
        <v>10126.74980397049</v>
      </c>
      <c r="AP309" s="10">
        <f>IF('PV IN'!$F$4="PV Only",0,BattCalcs!AS309)</f>
        <v>0</v>
      </c>
      <c r="AQ309" s="10">
        <f>IF('PV IN'!$F$4="PV Only",0,BattCalcs!AT309)</f>
        <v>0</v>
      </c>
      <c r="AR309" s="10">
        <f>IF('PV IN'!$F$4="PV Only",0,BattCalcs!AU309)</f>
        <v>0</v>
      </c>
      <c r="AS309" s="144">
        <f>IF('PV IN'!$F$4="PV Only",PVCalcs!X309,IF('PV IN'!$F$4="Battery Only",BattCalcs!AW309,PVCalcs!X309+BattCalcs!AW309))</f>
        <v>0</v>
      </c>
      <c r="AT309" s="144">
        <f>IF('PV IN'!$F$4="Battery Only",0,-PVCalcs!AQ309*'PV IN'!$E$8)</f>
        <v>0</v>
      </c>
      <c r="AU309" s="144">
        <f>IF('PV IN'!$F$4="PV Only",0,-BattCalcs!CG309*'PV IN'!$E$8)</f>
        <v>0</v>
      </c>
      <c r="AV309" s="144">
        <f>IF('PV IN'!$F$4="PV Only",PVCalcs!Z309+PVCalcs!AA309,IF('PV IN'!$F$4="Battery Only",SUM(BattCalcs!BC309:BH309),PVCalcs!Z309+PVCalcs!AA309+SUM(BattCalcs!BC309:BH309)))</f>
        <v>0</v>
      </c>
      <c r="AW309" s="144">
        <f>IF('PV IN'!$F$4="PV Only",SUM(PVCalcs!AF309:AI309),IF('PV IN'!$F$4="Battery Only",SUM(BattCalcs!BL309:BY309),SUM(PVCalcs!AF309:AI309)+SUM(BattCalcs!BL309:BY309)))</f>
        <v>-1375</v>
      </c>
      <c r="AX309" s="144">
        <f>IF('PV IN'!$F$4="Battery Only",0,-PVLoan!F337)</f>
        <v>0</v>
      </c>
      <c r="AY309" s="144">
        <f>IF('PV IN'!$F$4="PV Only",0,-BattLoan!F337)</f>
        <v>0</v>
      </c>
      <c r="AZ309" s="144">
        <f>IF('PV IN'!$F$4="Battery Only",0,-PVLoan!H337)</f>
        <v>0</v>
      </c>
      <c r="BA309" s="144">
        <f>IF('PV IN'!$F$4="PV Only",0,-BattLoan!H337)</f>
        <v>0</v>
      </c>
    </row>
    <row r="310" spans="1:88" x14ac:dyDescent="0.25">
      <c r="A310" t="str">
        <f>IF(C310&lt;='PV IN'!$O$22*12,C310,"")</f>
        <v/>
      </c>
      <c r="C310">
        <v>306</v>
      </c>
      <c r="D310" s="2">
        <f>BattCalcs!CK310+PVCalcs!AT310</f>
        <v>9033.7486374345081</v>
      </c>
      <c r="E310" s="20">
        <f>PVCalcs!AV310</f>
        <v>1994119.2064518991</v>
      </c>
      <c r="F310" s="20">
        <f>PVCalcs!AW310</f>
        <v>2603.3998526832925</v>
      </c>
      <c r="G310" s="20" t="e">
        <f>PVCalcs!AX310</f>
        <v>#N/A</v>
      </c>
      <c r="H310" s="20">
        <f>BattCalcs!CM310</f>
        <v>0</v>
      </c>
      <c r="I310" s="20">
        <f>BattCalcs!CN310</f>
        <v>0</v>
      </c>
      <c r="J310" s="20" t="e">
        <f>IF(C310&lt;='Batt IN'!H$43*12,BattCalcs!CO310,NA())</f>
        <v>#N/A</v>
      </c>
      <c r="L310" s="20">
        <f t="shared" si="826"/>
        <v>2603.3998526832925</v>
      </c>
      <c r="M310" s="20" t="e">
        <f>G310+BattCalcs!CO310</f>
        <v>#N/A</v>
      </c>
      <c r="O310" s="10" t="str">
        <f>PVLoan!G338</f>
        <v>-</v>
      </c>
      <c r="P310" s="10" t="str">
        <f>PVLoan!J338</f>
        <v>-</v>
      </c>
      <c r="Q310" s="2" t="str">
        <f>BattLoan!G338</f>
        <v>-</v>
      </c>
      <c r="R310" s="10" t="str">
        <f>BattLoan!J338</f>
        <v>-</v>
      </c>
      <c r="T310" s="33">
        <f>IF('PV IN'!$F$4="Battery Only",0,PVCalcs!G310)</f>
        <v>124432.50679330979</v>
      </c>
      <c r="U310" s="33">
        <f>IF('PV IN'!$F$4="Battery Only",0,PVCalcs!M310)</f>
        <v>124432.50679330979</v>
      </c>
      <c r="V310" s="33">
        <f>PVCalcs!L310</f>
        <v>25811.765833333331</v>
      </c>
      <c r="W310" s="158">
        <f>PVCalcs!F310</f>
        <v>8.1329219335301683E-2</v>
      </c>
      <c r="X310" s="144">
        <f>IF('PV IN'!$F$4="Battery Only",0,PVCalcs!Y310+PVCalcs!Z310)</f>
        <v>0</v>
      </c>
      <c r="Y310" s="144">
        <f>IF('PV IN'!$F$4="PV Only",0,BattCalcs!AX310+BattCalcs!BC310)</f>
        <v>0</v>
      </c>
      <c r="Z310" s="144">
        <f>IF('PV IN'!$F$4="PV Only",0,BattCalcs!AY310+BattCalcs!BD310)</f>
        <v>0</v>
      </c>
      <c r="AA310" s="144">
        <f>IF('PV IN'!$F$4="PV Only",0,BattCalcs!AZ310+BattCalcs!BE310)</f>
        <v>0</v>
      </c>
      <c r="AB310" s="144">
        <f>IF('PV IN'!$F$4="PV Only",0,BattCalcs!BA310+BattCalcs!BF310)</f>
        <v>0</v>
      </c>
      <c r="AC310" s="144">
        <f>IF('PV IN'!$F$4="PV Only",0,BattCalcs!BB310+BattCalcs!BG310)</f>
        <v>0</v>
      </c>
      <c r="AD310" s="144">
        <f>IF('PV IN'!$F$4="PV Only",0,BattCalcs!BU310)</f>
        <v>0</v>
      </c>
      <c r="AE310" s="144">
        <f>IF('PV IN'!$F$4="PV Only",PVCalcs!W310+PVCalcs!AA310,IF('PV IN'!$F$4="Battery Only",BattCalcs!AV310+BattCalcs!BH310,PVCalcs!W310+PVCalcs!AA310+BattCalcs!AV310+BattCalcs!BH310))</f>
        <v>0</v>
      </c>
      <c r="AF310" s="10">
        <f>PVCalcs!AC310+BattCalcs!BJ310</f>
        <v>0</v>
      </c>
      <c r="AG310" s="144">
        <f>IF('PV IN'!$F$4="Battery Only",0,PVCalcs!AG310)</f>
        <v>-750</v>
      </c>
      <c r="AH310" s="144">
        <f>IF('PV IN'!$F$4="Battery Only",0,PVCalcs!AI310)</f>
        <v>0</v>
      </c>
      <c r="AI310" s="144">
        <f>IF('PV IN'!$F$4="PV Only",0,BattCalcs!BM310)</f>
        <v>0</v>
      </c>
      <c r="AJ310" s="144">
        <f>IF('PV IN'!$F$4="PV Only",0,SUM(BattCalcs!BO310:BT310))</f>
        <v>0</v>
      </c>
      <c r="AK310" s="144">
        <f>IF('PV IN'!$F$4="PV Only",PVCalcs!AH310,IF('PV IN'!$F$4="Battery Only",BattCalcs!BN310,PVCalcs!AH310+BattCalcs!BN310))</f>
        <v>-625</v>
      </c>
      <c r="AL310" s="144">
        <f>IF('PV IN'!$F$4="PV Only",0,BattCalcs!BV310)</f>
        <v>0</v>
      </c>
      <c r="AM310" s="144">
        <f>IF('PV IN'!$F$4="PV Only",0,SUM(BattCalcs!BW310:BX310))</f>
        <v>0</v>
      </c>
      <c r="AN310" s="144">
        <f>IF('PV IN'!$F$4="PV Only",0,BattCalcs!BY310)</f>
        <v>0</v>
      </c>
      <c r="AO310" s="144">
        <f>IF('PV IN'!$F$4="Battery Only",0,PVCalcs!U310)</f>
        <v>10119.998637434508</v>
      </c>
      <c r="AP310" s="10">
        <f>IF('PV IN'!$F$4="PV Only",0,BattCalcs!AS310)</f>
        <v>0</v>
      </c>
      <c r="AQ310" s="10">
        <f>IF('PV IN'!$F$4="PV Only",0,BattCalcs!AT310)</f>
        <v>0</v>
      </c>
      <c r="AR310" s="10">
        <f>IF('PV IN'!$F$4="PV Only",0,BattCalcs!AU310)</f>
        <v>0</v>
      </c>
      <c r="AS310" s="144">
        <f>IF('PV IN'!$F$4="PV Only",PVCalcs!X310,IF('PV IN'!$F$4="Battery Only",BattCalcs!AW310,PVCalcs!X310+BattCalcs!AW310))</f>
        <v>0</v>
      </c>
      <c r="AT310" s="144">
        <f>IF('PV IN'!$F$4="Battery Only",0,-PVCalcs!AQ310*'PV IN'!$E$8)</f>
        <v>0</v>
      </c>
      <c r="AU310" s="144">
        <f>IF('PV IN'!$F$4="PV Only",0,-BattCalcs!CG310*'PV IN'!$E$8)</f>
        <v>0</v>
      </c>
      <c r="AV310" s="144">
        <f>IF('PV IN'!$F$4="PV Only",PVCalcs!Z310+PVCalcs!AA310,IF('PV IN'!$F$4="Battery Only",SUM(BattCalcs!BC310:BH310),PVCalcs!Z310+PVCalcs!AA310+SUM(BattCalcs!BC310:BH310)))</f>
        <v>0</v>
      </c>
      <c r="AW310" s="144">
        <f>IF('PV IN'!$F$4="PV Only",SUM(PVCalcs!AF310:AI310),IF('PV IN'!$F$4="Battery Only",SUM(BattCalcs!BL310:BY310),SUM(PVCalcs!AF310:AI310)+SUM(BattCalcs!BL310:BY310)))</f>
        <v>-1375</v>
      </c>
      <c r="AX310" s="144">
        <f>IF('PV IN'!$F$4="Battery Only",0,-PVLoan!F338)</f>
        <v>0</v>
      </c>
      <c r="AY310" s="144">
        <f>IF('PV IN'!$F$4="PV Only",0,-BattLoan!F338)</f>
        <v>0</v>
      </c>
      <c r="AZ310" s="144">
        <f>IF('PV IN'!$F$4="Battery Only",0,-PVLoan!H338)</f>
        <v>0</v>
      </c>
      <c r="BA310" s="144">
        <f>IF('PV IN'!$F$4="PV Only",0,-BattLoan!H338)</f>
        <v>0</v>
      </c>
    </row>
    <row r="311" spans="1:88" x14ac:dyDescent="0.25">
      <c r="A311" t="str">
        <f>IF(C311&lt;='PV IN'!$O$22*12,C311,"")</f>
        <v/>
      </c>
      <c r="C311">
        <v>307</v>
      </c>
      <c r="D311" s="2">
        <f>BattCalcs!CK311+PVCalcs!AT311</f>
        <v>9027.0019716762199</v>
      </c>
      <c r="E311" s="20">
        <f>PVCalcs!AV311</f>
        <v>2003146.2084235754</v>
      </c>
      <c r="F311" s="20">
        <f>PVCalcs!AW311</f>
        <v>2590.8999111400526</v>
      </c>
      <c r="G311" s="20" t="e">
        <f>PVCalcs!AX311</f>
        <v>#N/A</v>
      </c>
      <c r="H311" s="20">
        <f>BattCalcs!CM311</f>
        <v>0</v>
      </c>
      <c r="I311" s="20">
        <f>BattCalcs!CN311</f>
        <v>0</v>
      </c>
      <c r="J311" s="20" t="e">
        <f>IF(C311&lt;='Batt IN'!H$43*12,BattCalcs!CO311,NA())</f>
        <v>#N/A</v>
      </c>
      <c r="L311" s="20">
        <f t="shared" si="826"/>
        <v>2590.8999111400526</v>
      </c>
      <c r="M311" s="20" t="e">
        <f>G311+BattCalcs!CO311</f>
        <v>#N/A</v>
      </c>
      <c r="O311" s="10" t="str">
        <f>PVLoan!G339</f>
        <v>-</v>
      </c>
      <c r="P311" s="10" t="str">
        <f>PVLoan!J339</f>
        <v>-</v>
      </c>
      <c r="Q311" s="2" t="str">
        <f>BattLoan!G339</f>
        <v>-</v>
      </c>
      <c r="R311" s="10" t="str">
        <f>BattLoan!J339</f>
        <v>-</v>
      </c>
      <c r="T311" s="33">
        <f>IF('PV IN'!$F$4="Battery Only",0,PVCalcs!G311)</f>
        <v>124349.55178878093</v>
      </c>
      <c r="U311" s="33">
        <f>IF('PV IN'!$F$4="Battery Only",0,PVCalcs!M311)</f>
        <v>124349.55178878093</v>
      </c>
      <c r="V311" s="33">
        <f>PVCalcs!L311</f>
        <v>25811.765833333331</v>
      </c>
      <c r="W311" s="158">
        <f>PVCalcs!F311</f>
        <v>8.1329219335301683E-2</v>
      </c>
      <c r="X311" s="144">
        <f>IF('PV IN'!$F$4="Battery Only",0,PVCalcs!Y311+PVCalcs!Z311)</f>
        <v>0</v>
      </c>
      <c r="Y311" s="144">
        <f>IF('PV IN'!$F$4="PV Only",0,BattCalcs!AX311+BattCalcs!BC311)</f>
        <v>0</v>
      </c>
      <c r="Z311" s="144">
        <f>IF('PV IN'!$F$4="PV Only",0,BattCalcs!AY311+BattCalcs!BD311)</f>
        <v>0</v>
      </c>
      <c r="AA311" s="144">
        <f>IF('PV IN'!$F$4="PV Only",0,BattCalcs!AZ311+BattCalcs!BE311)</f>
        <v>0</v>
      </c>
      <c r="AB311" s="144">
        <f>IF('PV IN'!$F$4="PV Only",0,BattCalcs!BA311+BattCalcs!BF311)</f>
        <v>0</v>
      </c>
      <c r="AC311" s="144">
        <f>IF('PV IN'!$F$4="PV Only",0,BattCalcs!BB311+BattCalcs!BG311)</f>
        <v>0</v>
      </c>
      <c r="AD311" s="144">
        <f>IF('PV IN'!$F$4="PV Only",0,BattCalcs!BU311)</f>
        <v>0</v>
      </c>
      <c r="AE311" s="144">
        <f>IF('PV IN'!$F$4="PV Only",PVCalcs!W311+PVCalcs!AA311,IF('PV IN'!$F$4="Battery Only",BattCalcs!AV311+BattCalcs!BH311,PVCalcs!W311+PVCalcs!AA311+BattCalcs!AV311+BattCalcs!BH311))</f>
        <v>0</v>
      </c>
      <c r="AF311" s="10">
        <f>PVCalcs!AC311+BattCalcs!BJ311</f>
        <v>0</v>
      </c>
      <c r="AG311" s="144">
        <f>IF('PV IN'!$F$4="Battery Only",0,PVCalcs!AG311)</f>
        <v>-750</v>
      </c>
      <c r="AH311" s="144">
        <f>IF('PV IN'!$F$4="Battery Only",0,PVCalcs!AI311)</f>
        <v>0</v>
      </c>
      <c r="AI311" s="144">
        <f>IF('PV IN'!$F$4="PV Only",0,BattCalcs!BM311)</f>
        <v>0</v>
      </c>
      <c r="AJ311" s="144">
        <f>IF('PV IN'!$F$4="PV Only",0,SUM(BattCalcs!BO311:BT311))</f>
        <v>0</v>
      </c>
      <c r="AK311" s="144">
        <f>IF('PV IN'!$F$4="PV Only",PVCalcs!AH311,IF('PV IN'!$F$4="Battery Only",BattCalcs!BN311,PVCalcs!AH311+BattCalcs!BN311))</f>
        <v>-625</v>
      </c>
      <c r="AL311" s="144">
        <f>IF('PV IN'!$F$4="PV Only",0,BattCalcs!BV311)</f>
        <v>0</v>
      </c>
      <c r="AM311" s="144">
        <f>IF('PV IN'!$F$4="PV Only",0,SUM(BattCalcs!BW311:BX311))</f>
        <v>0</v>
      </c>
      <c r="AN311" s="144">
        <f>IF('PV IN'!$F$4="PV Only",0,BattCalcs!BY311)</f>
        <v>0</v>
      </c>
      <c r="AO311" s="144">
        <f>IF('PV IN'!$F$4="Battery Only",0,PVCalcs!U311)</f>
        <v>10113.25197167622</v>
      </c>
      <c r="AP311" s="10">
        <f>IF('PV IN'!$F$4="PV Only",0,BattCalcs!AS311)</f>
        <v>0</v>
      </c>
      <c r="AQ311" s="10">
        <f>IF('PV IN'!$F$4="PV Only",0,BattCalcs!AT311)</f>
        <v>0</v>
      </c>
      <c r="AR311" s="10">
        <f>IF('PV IN'!$F$4="PV Only",0,BattCalcs!AU311)</f>
        <v>0</v>
      </c>
      <c r="AS311" s="144">
        <f>IF('PV IN'!$F$4="PV Only",PVCalcs!X311,IF('PV IN'!$F$4="Battery Only",BattCalcs!AW311,PVCalcs!X311+BattCalcs!AW311))</f>
        <v>0</v>
      </c>
      <c r="AT311" s="144">
        <f>IF('PV IN'!$F$4="Battery Only",0,-PVCalcs!AQ311*'PV IN'!$E$8)</f>
        <v>0</v>
      </c>
      <c r="AU311" s="144">
        <f>IF('PV IN'!$F$4="PV Only",0,-BattCalcs!CG311*'PV IN'!$E$8)</f>
        <v>0</v>
      </c>
      <c r="AV311" s="144">
        <f>IF('PV IN'!$F$4="PV Only",PVCalcs!Z311+PVCalcs!AA311,IF('PV IN'!$F$4="Battery Only",SUM(BattCalcs!BC311:BH311),PVCalcs!Z311+PVCalcs!AA311+SUM(BattCalcs!BC311:BH311)))</f>
        <v>0</v>
      </c>
      <c r="AW311" s="144">
        <f>IF('PV IN'!$F$4="PV Only",SUM(PVCalcs!AF311:AI311),IF('PV IN'!$F$4="Battery Only",SUM(BattCalcs!BL311:BY311),SUM(PVCalcs!AF311:AI311)+SUM(BattCalcs!BL311:BY311)))</f>
        <v>-1375</v>
      </c>
      <c r="AX311" s="144">
        <f>IF('PV IN'!$F$4="Battery Only",0,-PVLoan!F339)</f>
        <v>0</v>
      </c>
      <c r="AY311" s="144">
        <f>IF('PV IN'!$F$4="PV Only",0,-BattLoan!F339)</f>
        <v>0</v>
      </c>
      <c r="AZ311" s="144">
        <f>IF('PV IN'!$F$4="Battery Only",0,-PVLoan!H339)</f>
        <v>0</v>
      </c>
      <c r="BA311" s="144">
        <f>IF('PV IN'!$F$4="PV Only",0,-BattLoan!H339)</f>
        <v>0</v>
      </c>
    </row>
    <row r="312" spans="1:88" x14ac:dyDescent="0.25">
      <c r="A312" t="str">
        <f>IF(C312&lt;='PV IN'!$O$22*12,C312,"")</f>
        <v/>
      </c>
      <c r="C312">
        <v>308</v>
      </c>
      <c r="D312" s="2">
        <f>BattCalcs!CK312+PVCalcs!AT312</f>
        <v>9020.2598036951022</v>
      </c>
      <c r="E312" s="20">
        <f>PVCalcs!AV312</f>
        <v>2012166.4682272705</v>
      </c>
      <c r="F312" s="20">
        <f>PVCalcs!AW312</f>
        <v>2578.4598321110666</v>
      </c>
      <c r="G312" s="20" t="e">
        <f>PVCalcs!AX312</f>
        <v>#N/A</v>
      </c>
      <c r="H312" s="20">
        <f>BattCalcs!CM312</f>
        <v>0</v>
      </c>
      <c r="I312" s="20">
        <f>BattCalcs!CN312</f>
        <v>0</v>
      </c>
      <c r="J312" s="20" t="e">
        <f>IF(C312&lt;='Batt IN'!H$43*12,BattCalcs!CO312,NA())</f>
        <v>#N/A</v>
      </c>
      <c r="L312" s="20">
        <f t="shared" si="826"/>
        <v>2578.4598321110666</v>
      </c>
      <c r="M312" s="20" t="e">
        <f>G312+BattCalcs!CO312</f>
        <v>#N/A</v>
      </c>
      <c r="O312" s="10" t="str">
        <f>PVLoan!G340</f>
        <v>-</v>
      </c>
      <c r="P312" s="10" t="str">
        <f>PVLoan!J340</f>
        <v>-</v>
      </c>
      <c r="Q312" s="2" t="str">
        <f>BattLoan!G340</f>
        <v>-</v>
      </c>
      <c r="R312" s="10" t="str">
        <f>BattLoan!J340</f>
        <v>-</v>
      </c>
      <c r="T312" s="33">
        <f>IF('PV IN'!$F$4="Battery Only",0,PVCalcs!G312)</f>
        <v>124266.6520875884</v>
      </c>
      <c r="U312" s="33">
        <f>IF('PV IN'!$F$4="Battery Only",0,PVCalcs!M312)</f>
        <v>124266.6520875884</v>
      </c>
      <c r="V312" s="33">
        <f>PVCalcs!L312</f>
        <v>25811.765833333331</v>
      </c>
      <c r="W312" s="158">
        <f>PVCalcs!F312</f>
        <v>8.1329219335301683E-2</v>
      </c>
      <c r="X312" s="144">
        <f>IF('PV IN'!$F$4="Battery Only",0,PVCalcs!Y312+PVCalcs!Z312)</f>
        <v>0</v>
      </c>
      <c r="Y312" s="144">
        <f>IF('PV IN'!$F$4="PV Only",0,BattCalcs!AX312+BattCalcs!BC312)</f>
        <v>0</v>
      </c>
      <c r="Z312" s="144">
        <f>IF('PV IN'!$F$4="PV Only",0,BattCalcs!AY312+BattCalcs!BD312)</f>
        <v>0</v>
      </c>
      <c r="AA312" s="144">
        <f>IF('PV IN'!$F$4="PV Only",0,BattCalcs!AZ312+BattCalcs!BE312)</f>
        <v>0</v>
      </c>
      <c r="AB312" s="144">
        <f>IF('PV IN'!$F$4="PV Only",0,BattCalcs!BA312+BattCalcs!BF312)</f>
        <v>0</v>
      </c>
      <c r="AC312" s="144">
        <f>IF('PV IN'!$F$4="PV Only",0,BattCalcs!BB312+BattCalcs!BG312)</f>
        <v>0</v>
      </c>
      <c r="AD312" s="144">
        <f>IF('PV IN'!$F$4="PV Only",0,BattCalcs!BU312)</f>
        <v>0</v>
      </c>
      <c r="AE312" s="144">
        <f>IF('PV IN'!$F$4="PV Only",PVCalcs!W312+PVCalcs!AA312,IF('PV IN'!$F$4="Battery Only",BattCalcs!AV312+BattCalcs!BH312,PVCalcs!W312+PVCalcs!AA312+BattCalcs!AV312+BattCalcs!BH312))</f>
        <v>0</v>
      </c>
      <c r="AF312" s="10">
        <f>PVCalcs!AC312+BattCalcs!BJ312</f>
        <v>0</v>
      </c>
      <c r="AG312" s="144">
        <f>IF('PV IN'!$F$4="Battery Only",0,PVCalcs!AG312)</f>
        <v>-750</v>
      </c>
      <c r="AH312" s="144">
        <f>IF('PV IN'!$F$4="Battery Only",0,PVCalcs!AI312)</f>
        <v>0</v>
      </c>
      <c r="AI312" s="144">
        <f>IF('PV IN'!$F$4="PV Only",0,BattCalcs!BM312)</f>
        <v>0</v>
      </c>
      <c r="AJ312" s="144">
        <f>IF('PV IN'!$F$4="PV Only",0,SUM(BattCalcs!BO312:BT312))</f>
        <v>0</v>
      </c>
      <c r="AK312" s="144">
        <f>IF('PV IN'!$F$4="PV Only",PVCalcs!AH312,IF('PV IN'!$F$4="Battery Only",BattCalcs!BN312,PVCalcs!AH312+BattCalcs!BN312))</f>
        <v>-625</v>
      </c>
      <c r="AL312" s="144">
        <f>IF('PV IN'!$F$4="PV Only",0,BattCalcs!BV312)</f>
        <v>0</v>
      </c>
      <c r="AM312" s="144">
        <f>IF('PV IN'!$F$4="PV Only",0,SUM(BattCalcs!BW312:BX312))</f>
        <v>0</v>
      </c>
      <c r="AN312" s="144">
        <f>IF('PV IN'!$F$4="PV Only",0,BattCalcs!BY312)</f>
        <v>0</v>
      </c>
      <c r="AO312" s="144">
        <f>IF('PV IN'!$F$4="Battery Only",0,PVCalcs!U312)</f>
        <v>10106.509803695102</v>
      </c>
      <c r="AP312" s="10">
        <f>IF('PV IN'!$F$4="PV Only",0,BattCalcs!AS312)</f>
        <v>0</v>
      </c>
      <c r="AQ312" s="10">
        <f>IF('PV IN'!$F$4="PV Only",0,BattCalcs!AT312)</f>
        <v>0</v>
      </c>
      <c r="AR312" s="10">
        <f>IF('PV IN'!$F$4="PV Only",0,BattCalcs!AU312)</f>
        <v>0</v>
      </c>
      <c r="AS312" s="144">
        <f>IF('PV IN'!$F$4="PV Only",PVCalcs!X312,IF('PV IN'!$F$4="Battery Only",BattCalcs!AW312,PVCalcs!X312+BattCalcs!AW312))</f>
        <v>0</v>
      </c>
      <c r="AT312" s="144">
        <f>IF('PV IN'!$F$4="Battery Only",0,-PVCalcs!AQ312*'PV IN'!$E$8)</f>
        <v>0</v>
      </c>
      <c r="AU312" s="144">
        <f>IF('PV IN'!$F$4="PV Only",0,-BattCalcs!CG312*'PV IN'!$E$8)</f>
        <v>0</v>
      </c>
      <c r="AV312" s="144">
        <f>IF('PV IN'!$F$4="PV Only",PVCalcs!Z312+PVCalcs!AA312,IF('PV IN'!$F$4="Battery Only",SUM(BattCalcs!BC312:BH312),PVCalcs!Z312+PVCalcs!AA312+SUM(BattCalcs!BC312:BH312)))</f>
        <v>0</v>
      </c>
      <c r="AW312" s="144">
        <f>IF('PV IN'!$F$4="PV Only",SUM(PVCalcs!AF312:AI312),IF('PV IN'!$F$4="Battery Only",SUM(BattCalcs!BL312:BY312),SUM(PVCalcs!AF312:AI312)+SUM(BattCalcs!BL312:BY312)))</f>
        <v>-1375</v>
      </c>
      <c r="AX312" s="144">
        <f>IF('PV IN'!$F$4="Battery Only",0,-PVLoan!F340)</f>
        <v>0</v>
      </c>
      <c r="AY312" s="144">
        <f>IF('PV IN'!$F$4="PV Only",0,-BattLoan!F340)</f>
        <v>0</v>
      </c>
      <c r="AZ312" s="144">
        <f>IF('PV IN'!$F$4="Battery Only",0,-PVLoan!H340)</f>
        <v>0</v>
      </c>
      <c r="BA312" s="144">
        <f>IF('PV IN'!$F$4="PV Only",0,-BattLoan!H340)</f>
        <v>0</v>
      </c>
    </row>
    <row r="313" spans="1:88" x14ac:dyDescent="0.25">
      <c r="A313" t="str">
        <f>IF(C313&lt;='PV IN'!$O$22*12,C313,"")</f>
        <v/>
      </c>
      <c r="C313">
        <v>309</v>
      </c>
      <c r="D313" s="2">
        <f>BattCalcs!CK313+PVCalcs!AT313</f>
        <v>9013.5221304926363</v>
      </c>
      <c r="E313" s="20">
        <f>PVCalcs!AV313</f>
        <v>2021179.9903577631</v>
      </c>
      <c r="F313" s="20">
        <f>PVCalcs!AW313</f>
        <v>2566.0793295302065</v>
      </c>
      <c r="G313" s="20" t="e">
        <f>PVCalcs!AX313</f>
        <v>#N/A</v>
      </c>
      <c r="H313" s="20">
        <f>BattCalcs!CM313</f>
        <v>0</v>
      </c>
      <c r="I313" s="20">
        <f>BattCalcs!CN313</f>
        <v>0</v>
      </c>
      <c r="J313" s="20" t="e">
        <f>IF(C313&lt;='Batt IN'!H$43*12,BattCalcs!CO313,NA())</f>
        <v>#N/A</v>
      </c>
      <c r="L313" s="20">
        <f t="shared" si="826"/>
        <v>2566.0793295302065</v>
      </c>
      <c r="M313" s="20" t="e">
        <f>G313+BattCalcs!CO313</f>
        <v>#N/A</v>
      </c>
      <c r="O313" s="10" t="str">
        <f>PVLoan!G341</f>
        <v>-</v>
      </c>
      <c r="P313" s="10" t="str">
        <f>PVLoan!J341</f>
        <v>-</v>
      </c>
      <c r="Q313" s="2" t="str">
        <f>BattLoan!G341</f>
        <v>-</v>
      </c>
      <c r="R313" s="10" t="str">
        <f>BattLoan!J341</f>
        <v>-</v>
      </c>
      <c r="T313" s="33">
        <f>IF('PV IN'!$F$4="Battery Only",0,PVCalcs!G313)</f>
        <v>124183.80765286332</v>
      </c>
      <c r="U313" s="33">
        <f>IF('PV IN'!$F$4="Battery Only",0,PVCalcs!M313)</f>
        <v>124183.80765286332</v>
      </c>
      <c r="V313" s="33">
        <f>PVCalcs!L313</f>
        <v>25811.765833333331</v>
      </c>
      <c r="W313" s="158">
        <f>PVCalcs!F313</f>
        <v>8.1329219335301683E-2</v>
      </c>
      <c r="X313" s="144">
        <f>IF('PV IN'!$F$4="Battery Only",0,PVCalcs!Y313+PVCalcs!Z313)</f>
        <v>0</v>
      </c>
      <c r="Y313" s="144">
        <f>IF('PV IN'!$F$4="PV Only",0,BattCalcs!AX313+BattCalcs!BC313)</f>
        <v>0</v>
      </c>
      <c r="Z313" s="144">
        <f>IF('PV IN'!$F$4="PV Only",0,BattCalcs!AY313+BattCalcs!BD313)</f>
        <v>0</v>
      </c>
      <c r="AA313" s="144">
        <f>IF('PV IN'!$F$4="PV Only",0,BattCalcs!AZ313+BattCalcs!BE313)</f>
        <v>0</v>
      </c>
      <c r="AB313" s="144">
        <f>IF('PV IN'!$F$4="PV Only",0,BattCalcs!BA313+BattCalcs!BF313)</f>
        <v>0</v>
      </c>
      <c r="AC313" s="144">
        <f>IF('PV IN'!$F$4="PV Only",0,BattCalcs!BB313+BattCalcs!BG313)</f>
        <v>0</v>
      </c>
      <c r="AD313" s="144">
        <f>IF('PV IN'!$F$4="PV Only",0,BattCalcs!BU313)</f>
        <v>0</v>
      </c>
      <c r="AE313" s="144">
        <f>IF('PV IN'!$F$4="PV Only",PVCalcs!W313+PVCalcs!AA313,IF('PV IN'!$F$4="Battery Only",BattCalcs!AV313+BattCalcs!BH313,PVCalcs!W313+PVCalcs!AA313+BattCalcs!AV313+BattCalcs!BH313))</f>
        <v>0</v>
      </c>
      <c r="AF313" s="10">
        <f>PVCalcs!AC313+BattCalcs!BJ313</f>
        <v>0</v>
      </c>
      <c r="AG313" s="144">
        <f>IF('PV IN'!$F$4="Battery Only",0,PVCalcs!AG313)</f>
        <v>-750</v>
      </c>
      <c r="AH313" s="144">
        <f>IF('PV IN'!$F$4="Battery Only",0,PVCalcs!AI313)</f>
        <v>0</v>
      </c>
      <c r="AI313" s="144">
        <f>IF('PV IN'!$F$4="PV Only",0,BattCalcs!BM313)</f>
        <v>0</v>
      </c>
      <c r="AJ313" s="144">
        <f>IF('PV IN'!$F$4="PV Only",0,SUM(BattCalcs!BO313:BT313))</f>
        <v>0</v>
      </c>
      <c r="AK313" s="144">
        <f>IF('PV IN'!$F$4="PV Only",PVCalcs!AH313,IF('PV IN'!$F$4="Battery Only",BattCalcs!BN313,PVCalcs!AH313+BattCalcs!BN313))</f>
        <v>-625</v>
      </c>
      <c r="AL313" s="144">
        <f>IF('PV IN'!$F$4="PV Only",0,BattCalcs!BV313)</f>
        <v>0</v>
      </c>
      <c r="AM313" s="144">
        <f>IF('PV IN'!$F$4="PV Only",0,SUM(BattCalcs!BW313:BX313))</f>
        <v>0</v>
      </c>
      <c r="AN313" s="144">
        <f>IF('PV IN'!$F$4="PV Only",0,BattCalcs!BY313)</f>
        <v>0</v>
      </c>
      <c r="AO313" s="144">
        <f>IF('PV IN'!$F$4="Battery Only",0,PVCalcs!U313)</f>
        <v>10099.772130492636</v>
      </c>
      <c r="AP313" s="10">
        <f>IF('PV IN'!$F$4="PV Only",0,BattCalcs!AS313)</f>
        <v>0</v>
      </c>
      <c r="AQ313" s="10">
        <f>IF('PV IN'!$F$4="PV Only",0,BattCalcs!AT313)</f>
        <v>0</v>
      </c>
      <c r="AR313" s="10">
        <f>IF('PV IN'!$F$4="PV Only",0,BattCalcs!AU313)</f>
        <v>0</v>
      </c>
      <c r="AS313" s="144">
        <f>IF('PV IN'!$F$4="PV Only",PVCalcs!X313,IF('PV IN'!$F$4="Battery Only",BattCalcs!AW313,PVCalcs!X313+BattCalcs!AW313))</f>
        <v>0</v>
      </c>
      <c r="AT313" s="144">
        <f>IF('PV IN'!$F$4="Battery Only",0,-PVCalcs!AQ313*'PV IN'!$E$8)</f>
        <v>0</v>
      </c>
      <c r="AU313" s="144">
        <f>IF('PV IN'!$F$4="PV Only",0,-BattCalcs!CG313*'PV IN'!$E$8)</f>
        <v>0</v>
      </c>
      <c r="AV313" s="144">
        <f>IF('PV IN'!$F$4="PV Only",PVCalcs!Z313+PVCalcs!AA313,IF('PV IN'!$F$4="Battery Only",SUM(BattCalcs!BC313:BH313),PVCalcs!Z313+PVCalcs!AA313+SUM(BattCalcs!BC313:BH313)))</f>
        <v>0</v>
      </c>
      <c r="AW313" s="144">
        <f>IF('PV IN'!$F$4="PV Only",SUM(PVCalcs!AF313:AI313),IF('PV IN'!$F$4="Battery Only",SUM(BattCalcs!BL313:BY313),SUM(PVCalcs!AF313:AI313)+SUM(BattCalcs!BL313:BY313)))</f>
        <v>-1375</v>
      </c>
      <c r="AX313" s="144">
        <f>IF('PV IN'!$F$4="Battery Only",0,-PVLoan!F341)</f>
        <v>0</v>
      </c>
      <c r="AY313" s="144">
        <f>IF('PV IN'!$F$4="PV Only",0,-BattLoan!F341)</f>
        <v>0</v>
      </c>
      <c r="AZ313" s="144">
        <f>IF('PV IN'!$F$4="Battery Only",0,-PVLoan!H341)</f>
        <v>0</v>
      </c>
      <c r="BA313" s="144">
        <f>IF('PV IN'!$F$4="PV Only",0,-BattLoan!H341)</f>
        <v>0</v>
      </c>
    </row>
    <row r="314" spans="1:88" x14ac:dyDescent="0.25">
      <c r="A314" t="str">
        <f>IF(C314&lt;='PV IN'!$O$22*12,C314,"")</f>
        <v/>
      </c>
      <c r="C314">
        <v>310</v>
      </c>
      <c r="D314" s="2">
        <f>BattCalcs!CK314+PVCalcs!AT314</f>
        <v>9006.7889490723101</v>
      </c>
      <c r="E314" s="20">
        <f>PVCalcs!AV314</f>
        <v>2030186.7793068355</v>
      </c>
      <c r="F314" s="20">
        <f>PVCalcs!AW314</f>
        <v>2553.758118695906</v>
      </c>
      <c r="G314" s="20" t="e">
        <f>PVCalcs!AX314</f>
        <v>#N/A</v>
      </c>
      <c r="H314" s="20">
        <f>BattCalcs!CM314</f>
        <v>0</v>
      </c>
      <c r="I314" s="20">
        <f>BattCalcs!CN314</f>
        <v>0</v>
      </c>
      <c r="J314" s="20" t="e">
        <f>IF(C314&lt;='Batt IN'!H$43*12,BattCalcs!CO314,NA())</f>
        <v>#N/A</v>
      </c>
      <c r="L314" s="20">
        <f t="shared" si="826"/>
        <v>2553.758118695906</v>
      </c>
      <c r="M314" s="20" t="e">
        <f>G314+BattCalcs!CO314</f>
        <v>#N/A</v>
      </c>
      <c r="O314" s="10" t="str">
        <f>PVLoan!G342</f>
        <v>-</v>
      </c>
      <c r="P314" s="10" t="str">
        <f>PVLoan!J342</f>
        <v>-</v>
      </c>
      <c r="Q314" s="2" t="str">
        <f>BattLoan!G342</f>
        <v>-</v>
      </c>
      <c r="R314" s="10" t="str">
        <f>BattLoan!J342</f>
        <v>-</v>
      </c>
      <c r="T314" s="33">
        <f>IF('PV IN'!$F$4="Battery Only",0,PVCalcs!G314)</f>
        <v>124101.01844776142</v>
      </c>
      <c r="U314" s="33">
        <f>IF('PV IN'!$F$4="Battery Only",0,PVCalcs!M314)</f>
        <v>124101.01844776142</v>
      </c>
      <c r="V314" s="33">
        <f>PVCalcs!L314</f>
        <v>25811.765833333331</v>
      </c>
      <c r="W314" s="158">
        <f>PVCalcs!F314</f>
        <v>8.1329219335301683E-2</v>
      </c>
      <c r="X314" s="144">
        <f>IF('PV IN'!$F$4="Battery Only",0,PVCalcs!Y314+PVCalcs!Z314)</f>
        <v>0</v>
      </c>
      <c r="Y314" s="144">
        <f>IF('PV IN'!$F$4="PV Only",0,BattCalcs!AX314+BattCalcs!BC314)</f>
        <v>0</v>
      </c>
      <c r="Z314" s="144">
        <f>IF('PV IN'!$F$4="PV Only",0,BattCalcs!AY314+BattCalcs!BD314)</f>
        <v>0</v>
      </c>
      <c r="AA314" s="144">
        <f>IF('PV IN'!$F$4="PV Only",0,BattCalcs!AZ314+BattCalcs!BE314)</f>
        <v>0</v>
      </c>
      <c r="AB314" s="144">
        <f>IF('PV IN'!$F$4="PV Only",0,BattCalcs!BA314+BattCalcs!BF314)</f>
        <v>0</v>
      </c>
      <c r="AC314" s="144">
        <f>IF('PV IN'!$F$4="PV Only",0,BattCalcs!BB314+BattCalcs!BG314)</f>
        <v>0</v>
      </c>
      <c r="AD314" s="144">
        <f>IF('PV IN'!$F$4="PV Only",0,BattCalcs!BU314)</f>
        <v>0</v>
      </c>
      <c r="AE314" s="144">
        <f>IF('PV IN'!$F$4="PV Only",PVCalcs!W314+PVCalcs!AA314,IF('PV IN'!$F$4="Battery Only",BattCalcs!AV314+BattCalcs!BH314,PVCalcs!W314+PVCalcs!AA314+BattCalcs!AV314+BattCalcs!BH314))</f>
        <v>0</v>
      </c>
      <c r="AF314" s="10">
        <f>PVCalcs!AC314+BattCalcs!BJ314</f>
        <v>0</v>
      </c>
      <c r="AG314" s="144">
        <f>IF('PV IN'!$F$4="Battery Only",0,PVCalcs!AG314)</f>
        <v>-750</v>
      </c>
      <c r="AH314" s="144">
        <f>IF('PV IN'!$F$4="Battery Only",0,PVCalcs!AI314)</f>
        <v>0</v>
      </c>
      <c r="AI314" s="144">
        <f>IF('PV IN'!$F$4="PV Only",0,BattCalcs!BM314)</f>
        <v>0</v>
      </c>
      <c r="AJ314" s="144">
        <f>IF('PV IN'!$F$4="PV Only",0,SUM(BattCalcs!BO314:BT314))</f>
        <v>0</v>
      </c>
      <c r="AK314" s="144">
        <f>IF('PV IN'!$F$4="PV Only",PVCalcs!AH314,IF('PV IN'!$F$4="Battery Only",BattCalcs!BN314,PVCalcs!AH314+BattCalcs!BN314))</f>
        <v>-625</v>
      </c>
      <c r="AL314" s="144">
        <f>IF('PV IN'!$F$4="PV Only",0,BattCalcs!BV314)</f>
        <v>0</v>
      </c>
      <c r="AM314" s="144">
        <f>IF('PV IN'!$F$4="PV Only",0,SUM(BattCalcs!BW314:BX314))</f>
        <v>0</v>
      </c>
      <c r="AN314" s="144">
        <f>IF('PV IN'!$F$4="PV Only",0,BattCalcs!BY314)</f>
        <v>0</v>
      </c>
      <c r="AO314" s="144">
        <f>IF('PV IN'!$F$4="Battery Only",0,PVCalcs!U314)</f>
        <v>10093.03894907231</v>
      </c>
      <c r="AP314" s="10">
        <f>IF('PV IN'!$F$4="PV Only",0,BattCalcs!AS314)</f>
        <v>0</v>
      </c>
      <c r="AQ314" s="10">
        <f>IF('PV IN'!$F$4="PV Only",0,BattCalcs!AT314)</f>
        <v>0</v>
      </c>
      <c r="AR314" s="10">
        <f>IF('PV IN'!$F$4="PV Only",0,BattCalcs!AU314)</f>
        <v>0</v>
      </c>
      <c r="AS314" s="144">
        <f>IF('PV IN'!$F$4="PV Only",PVCalcs!X314,IF('PV IN'!$F$4="Battery Only",BattCalcs!AW314,PVCalcs!X314+BattCalcs!AW314))</f>
        <v>0</v>
      </c>
      <c r="AT314" s="144">
        <f>IF('PV IN'!$F$4="Battery Only",0,-PVCalcs!AQ314*'PV IN'!$E$8)</f>
        <v>0</v>
      </c>
      <c r="AU314" s="144">
        <f>IF('PV IN'!$F$4="PV Only",0,-BattCalcs!CG314*'PV IN'!$E$8)</f>
        <v>0</v>
      </c>
      <c r="AV314" s="144">
        <f>IF('PV IN'!$F$4="PV Only",PVCalcs!Z314+PVCalcs!AA314,IF('PV IN'!$F$4="Battery Only",SUM(BattCalcs!BC314:BH314),PVCalcs!Z314+PVCalcs!AA314+SUM(BattCalcs!BC314:BH314)))</f>
        <v>0</v>
      </c>
      <c r="AW314" s="144">
        <f>IF('PV IN'!$F$4="PV Only",SUM(PVCalcs!AF314:AI314),IF('PV IN'!$F$4="Battery Only",SUM(BattCalcs!BL314:BY314),SUM(PVCalcs!AF314:AI314)+SUM(BattCalcs!BL314:BY314)))</f>
        <v>-1375</v>
      </c>
      <c r="AX314" s="144">
        <f>IF('PV IN'!$F$4="Battery Only",0,-PVLoan!F342)</f>
        <v>0</v>
      </c>
      <c r="AY314" s="144">
        <f>IF('PV IN'!$F$4="PV Only",0,-BattLoan!F342)</f>
        <v>0</v>
      </c>
      <c r="AZ314" s="144">
        <f>IF('PV IN'!$F$4="Battery Only",0,-PVLoan!H342)</f>
        <v>0</v>
      </c>
      <c r="BA314" s="144">
        <f>IF('PV IN'!$F$4="PV Only",0,-BattLoan!H342)</f>
        <v>0</v>
      </c>
    </row>
    <row r="315" spans="1:88" x14ac:dyDescent="0.25">
      <c r="A315" t="str">
        <f>IF(C315&lt;='PV IN'!$O$22*12,C315,"")</f>
        <v/>
      </c>
      <c r="C315">
        <v>311</v>
      </c>
      <c r="D315" s="2">
        <f>BattCalcs!CK315+PVCalcs!AT315</f>
        <v>9000.060256439594</v>
      </c>
      <c r="E315" s="20">
        <f>PVCalcs!AV315</f>
        <v>2039186.839563275</v>
      </c>
      <c r="F315" s="20">
        <f>PVCalcs!AW315</f>
        <v>2541.4959162646596</v>
      </c>
      <c r="G315" s="20" t="e">
        <f>PVCalcs!AX315</f>
        <v>#N/A</v>
      </c>
      <c r="H315" s="20">
        <f>BattCalcs!CM315</f>
        <v>0</v>
      </c>
      <c r="I315" s="20">
        <f>BattCalcs!CN315</f>
        <v>0</v>
      </c>
      <c r="J315" s="20" t="e">
        <f>IF(C315&lt;='Batt IN'!H$43*12,BattCalcs!CO315,NA())</f>
        <v>#N/A</v>
      </c>
      <c r="L315" s="20">
        <f t="shared" si="826"/>
        <v>2541.4959162646596</v>
      </c>
      <c r="M315" s="20" t="e">
        <f>G315+BattCalcs!CO315</f>
        <v>#N/A</v>
      </c>
      <c r="O315" s="10" t="str">
        <f>PVLoan!G343</f>
        <v>-</v>
      </c>
      <c r="P315" s="10" t="str">
        <f>PVLoan!J343</f>
        <v>-</v>
      </c>
      <c r="Q315" s="2" t="str">
        <f>BattLoan!G343</f>
        <v>-</v>
      </c>
      <c r="R315" s="10" t="str">
        <f>BattLoan!J343</f>
        <v>-</v>
      </c>
      <c r="T315" s="33">
        <f>IF('PV IN'!$F$4="Battery Only",0,PVCalcs!G315)</f>
        <v>124018.28443546291</v>
      </c>
      <c r="U315" s="33">
        <f>IF('PV IN'!$F$4="Battery Only",0,PVCalcs!M315)</f>
        <v>124018.28443546291</v>
      </c>
      <c r="V315" s="33">
        <f>PVCalcs!L315</f>
        <v>25811.765833333331</v>
      </c>
      <c r="W315" s="158">
        <f>PVCalcs!F315</f>
        <v>8.1329219335301683E-2</v>
      </c>
      <c r="X315" s="144">
        <f>IF('PV IN'!$F$4="Battery Only",0,PVCalcs!Y315+PVCalcs!Z315)</f>
        <v>0</v>
      </c>
      <c r="Y315" s="144">
        <f>IF('PV IN'!$F$4="PV Only",0,BattCalcs!AX315+BattCalcs!BC315)</f>
        <v>0</v>
      </c>
      <c r="Z315" s="144">
        <f>IF('PV IN'!$F$4="PV Only",0,BattCalcs!AY315+BattCalcs!BD315)</f>
        <v>0</v>
      </c>
      <c r="AA315" s="144">
        <f>IF('PV IN'!$F$4="PV Only",0,BattCalcs!AZ315+BattCalcs!BE315)</f>
        <v>0</v>
      </c>
      <c r="AB315" s="144">
        <f>IF('PV IN'!$F$4="PV Only",0,BattCalcs!BA315+BattCalcs!BF315)</f>
        <v>0</v>
      </c>
      <c r="AC315" s="144">
        <f>IF('PV IN'!$F$4="PV Only",0,BattCalcs!BB315+BattCalcs!BG315)</f>
        <v>0</v>
      </c>
      <c r="AD315" s="144">
        <f>IF('PV IN'!$F$4="PV Only",0,BattCalcs!BU315)</f>
        <v>0</v>
      </c>
      <c r="AE315" s="144">
        <f>IF('PV IN'!$F$4="PV Only",PVCalcs!W315+PVCalcs!AA315,IF('PV IN'!$F$4="Battery Only",BattCalcs!AV315+BattCalcs!BH315,PVCalcs!W315+PVCalcs!AA315+BattCalcs!AV315+BattCalcs!BH315))</f>
        <v>0</v>
      </c>
      <c r="AF315" s="10">
        <f>PVCalcs!AC315+BattCalcs!BJ315</f>
        <v>0</v>
      </c>
      <c r="AG315" s="144">
        <f>IF('PV IN'!$F$4="Battery Only",0,PVCalcs!AG315)</f>
        <v>-750</v>
      </c>
      <c r="AH315" s="144">
        <f>IF('PV IN'!$F$4="Battery Only",0,PVCalcs!AI315)</f>
        <v>0</v>
      </c>
      <c r="AI315" s="144">
        <f>IF('PV IN'!$F$4="PV Only",0,BattCalcs!BM315)</f>
        <v>0</v>
      </c>
      <c r="AJ315" s="144">
        <f>IF('PV IN'!$F$4="PV Only",0,SUM(BattCalcs!BO315:BT315))</f>
        <v>0</v>
      </c>
      <c r="AK315" s="144">
        <f>IF('PV IN'!$F$4="PV Only",PVCalcs!AH315,IF('PV IN'!$F$4="Battery Only",BattCalcs!BN315,PVCalcs!AH315+BattCalcs!BN315))</f>
        <v>-625</v>
      </c>
      <c r="AL315" s="144">
        <f>IF('PV IN'!$F$4="PV Only",0,BattCalcs!BV315)</f>
        <v>0</v>
      </c>
      <c r="AM315" s="144">
        <f>IF('PV IN'!$F$4="PV Only",0,SUM(BattCalcs!BW315:BX315))</f>
        <v>0</v>
      </c>
      <c r="AN315" s="144">
        <f>IF('PV IN'!$F$4="PV Only",0,BattCalcs!BY315)</f>
        <v>0</v>
      </c>
      <c r="AO315" s="144">
        <f>IF('PV IN'!$F$4="Battery Only",0,PVCalcs!U315)</f>
        <v>10086.310256439594</v>
      </c>
      <c r="AP315" s="10">
        <f>IF('PV IN'!$F$4="PV Only",0,BattCalcs!AS315)</f>
        <v>0</v>
      </c>
      <c r="AQ315" s="10">
        <f>IF('PV IN'!$F$4="PV Only",0,BattCalcs!AT315)</f>
        <v>0</v>
      </c>
      <c r="AR315" s="10">
        <f>IF('PV IN'!$F$4="PV Only",0,BattCalcs!AU315)</f>
        <v>0</v>
      </c>
      <c r="AS315" s="144">
        <f>IF('PV IN'!$F$4="PV Only",PVCalcs!X315,IF('PV IN'!$F$4="Battery Only",BattCalcs!AW315,PVCalcs!X315+BattCalcs!AW315))</f>
        <v>0</v>
      </c>
      <c r="AT315" s="144">
        <f>IF('PV IN'!$F$4="Battery Only",0,-PVCalcs!AQ315*'PV IN'!$E$8)</f>
        <v>0</v>
      </c>
      <c r="AU315" s="144">
        <f>IF('PV IN'!$F$4="PV Only",0,-BattCalcs!CG315*'PV IN'!$E$8)</f>
        <v>0</v>
      </c>
      <c r="AV315" s="144">
        <f>IF('PV IN'!$F$4="PV Only",PVCalcs!Z315+PVCalcs!AA315,IF('PV IN'!$F$4="Battery Only",SUM(BattCalcs!BC315:BH315),PVCalcs!Z315+PVCalcs!AA315+SUM(BattCalcs!BC315:BH315)))</f>
        <v>0</v>
      </c>
      <c r="AW315" s="144">
        <f>IF('PV IN'!$F$4="PV Only",SUM(PVCalcs!AF315:AI315),IF('PV IN'!$F$4="Battery Only",SUM(BattCalcs!BL315:BY315),SUM(PVCalcs!AF315:AI315)+SUM(BattCalcs!BL315:BY315)))</f>
        <v>-1375</v>
      </c>
      <c r="AX315" s="144">
        <f>IF('PV IN'!$F$4="Battery Only",0,-PVLoan!F343)</f>
        <v>0</v>
      </c>
      <c r="AY315" s="144">
        <f>IF('PV IN'!$F$4="PV Only",0,-BattLoan!F343)</f>
        <v>0</v>
      </c>
      <c r="AZ315" s="144">
        <f>IF('PV IN'!$F$4="Battery Only",0,-PVLoan!H343)</f>
        <v>0</v>
      </c>
      <c r="BA315" s="144">
        <f>IF('PV IN'!$F$4="PV Only",0,-BattLoan!H343)</f>
        <v>0</v>
      </c>
    </row>
    <row r="316" spans="1:88" x14ac:dyDescent="0.25">
      <c r="A316" t="str">
        <f>IF(C316&lt;='PV IN'!$O$22*12,C316,"")</f>
        <v/>
      </c>
      <c r="B316">
        <f>B304+1</f>
        <v>2051</v>
      </c>
      <c r="C316">
        <v>312</v>
      </c>
      <c r="D316" s="2">
        <f>BattCalcs!CK316+PVCalcs!AT316</f>
        <v>8993.3360496019668</v>
      </c>
      <c r="E316" s="20">
        <f>PVCalcs!AV316</f>
        <v>2048180.1756128769</v>
      </c>
      <c r="F316" s="20">
        <f>PVCalcs!AW316</f>
        <v>2529.2924402445592</v>
      </c>
      <c r="G316" s="20" t="e">
        <f>PVCalcs!AX316</f>
        <v>#N/A</v>
      </c>
      <c r="H316" s="20">
        <f>BattCalcs!CM316</f>
        <v>0</v>
      </c>
      <c r="I316" s="20">
        <f>BattCalcs!CN316</f>
        <v>0</v>
      </c>
      <c r="J316" s="20" t="e">
        <f>IF(C316&lt;='Batt IN'!H$43*12,BattCalcs!CO316,NA())</f>
        <v>#N/A</v>
      </c>
      <c r="L316" s="20">
        <f t="shared" si="826"/>
        <v>2529.2924402445592</v>
      </c>
      <c r="M316" s="20" t="e">
        <f>G316+BattCalcs!CO316</f>
        <v>#N/A</v>
      </c>
      <c r="O316" s="10" t="str">
        <f>PVLoan!G344</f>
        <v>-</v>
      </c>
      <c r="P316" s="10" t="str">
        <f>PVLoan!J344</f>
        <v>-</v>
      </c>
      <c r="Q316" s="2" t="str">
        <f>BattLoan!G344</f>
        <v>-</v>
      </c>
      <c r="R316" s="10" t="str">
        <f>BattLoan!J344</f>
        <v>-</v>
      </c>
      <c r="T316" s="33">
        <f>IF('PV IN'!$F$4="Battery Only",0,PVCalcs!G316)</f>
        <v>123935.6055791726</v>
      </c>
      <c r="U316" s="33">
        <f>IF('PV IN'!$F$4="Battery Only",0,PVCalcs!M316)</f>
        <v>123935.6055791726</v>
      </c>
      <c r="V316" s="33">
        <f>PVCalcs!L316</f>
        <v>25811.765833333331</v>
      </c>
      <c r="W316" s="158">
        <f>PVCalcs!F316</f>
        <v>8.1329219335301683E-2</v>
      </c>
      <c r="X316" s="144">
        <f>IF('PV IN'!$F$4="Battery Only",0,PVCalcs!Y316+PVCalcs!Z316)</f>
        <v>0</v>
      </c>
      <c r="Y316" s="144">
        <f>IF('PV IN'!$F$4="PV Only",0,BattCalcs!AX316+BattCalcs!BC316)</f>
        <v>0</v>
      </c>
      <c r="Z316" s="144">
        <f>IF('PV IN'!$F$4="PV Only",0,BattCalcs!AY316+BattCalcs!BD316)</f>
        <v>0</v>
      </c>
      <c r="AA316" s="144">
        <f>IF('PV IN'!$F$4="PV Only",0,BattCalcs!AZ316+BattCalcs!BE316)</f>
        <v>0</v>
      </c>
      <c r="AB316" s="144">
        <f>IF('PV IN'!$F$4="PV Only",0,BattCalcs!BA316+BattCalcs!BF316)</f>
        <v>0</v>
      </c>
      <c r="AC316" s="144">
        <f>IF('PV IN'!$F$4="PV Only",0,BattCalcs!BB316+BattCalcs!BG316)</f>
        <v>0</v>
      </c>
      <c r="AD316" s="144">
        <f>IF('PV IN'!$F$4="PV Only",0,BattCalcs!BU316)</f>
        <v>0</v>
      </c>
      <c r="AE316" s="144">
        <f>IF('PV IN'!$F$4="PV Only",PVCalcs!W316+PVCalcs!AA316,IF('PV IN'!$F$4="Battery Only",BattCalcs!AV316+BattCalcs!BH316,PVCalcs!W316+PVCalcs!AA316+BattCalcs!AV316+BattCalcs!BH316))</f>
        <v>0</v>
      </c>
      <c r="AF316" s="10">
        <f>PVCalcs!AC316+BattCalcs!BJ316</f>
        <v>0</v>
      </c>
      <c r="AG316" s="144">
        <f>IF('PV IN'!$F$4="Battery Only",0,PVCalcs!AG316)</f>
        <v>-750</v>
      </c>
      <c r="AH316" s="144">
        <f>IF('PV IN'!$F$4="Battery Only",0,PVCalcs!AI316)</f>
        <v>0</v>
      </c>
      <c r="AI316" s="144">
        <f>IF('PV IN'!$F$4="PV Only",0,BattCalcs!BM316)</f>
        <v>0</v>
      </c>
      <c r="AJ316" s="144">
        <f>IF('PV IN'!$F$4="PV Only",0,SUM(BattCalcs!BO316:BT316))</f>
        <v>0</v>
      </c>
      <c r="AK316" s="144">
        <f>IF('PV IN'!$F$4="PV Only",PVCalcs!AH316,IF('PV IN'!$F$4="Battery Only",BattCalcs!BN316,PVCalcs!AH316+BattCalcs!BN316))</f>
        <v>-625</v>
      </c>
      <c r="AL316" s="144">
        <f>IF('PV IN'!$F$4="PV Only",0,BattCalcs!BV316)</f>
        <v>0</v>
      </c>
      <c r="AM316" s="144">
        <f>IF('PV IN'!$F$4="PV Only",0,SUM(BattCalcs!BW316:BX316))</f>
        <v>0</v>
      </c>
      <c r="AN316" s="144">
        <f>IF('PV IN'!$F$4="PV Only",0,BattCalcs!BY316)</f>
        <v>0</v>
      </c>
      <c r="AO316" s="144">
        <f>IF('PV IN'!$F$4="Battery Only",0,PVCalcs!U316)</f>
        <v>10079.586049601967</v>
      </c>
      <c r="AP316" s="10">
        <f>IF('PV IN'!$F$4="PV Only",0,BattCalcs!AS316)</f>
        <v>0</v>
      </c>
      <c r="AQ316" s="10">
        <f>IF('PV IN'!$F$4="PV Only",0,BattCalcs!AT316)</f>
        <v>0</v>
      </c>
      <c r="AR316" s="10">
        <f>IF('PV IN'!$F$4="PV Only",0,BattCalcs!AU316)</f>
        <v>0</v>
      </c>
      <c r="AS316" s="144">
        <f>IF('PV IN'!$F$4="PV Only",PVCalcs!X316,IF('PV IN'!$F$4="Battery Only",BattCalcs!AW316,PVCalcs!X316+BattCalcs!AW316))</f>
        <v>0</v>
      </c>
      <c r="AT316" s="144">
        <f>IF('PV IN'!$F$4="Battery Only",0,-PVCalcs!AQ316*'PV IN'!$E$8)</f>
        <v>0</v>
      </c>
      <c r="AU316" s="144">
        <f>IF('PV IN'!$F$4="PV Only",0,-BattCalcs!CG316*'PV IN'!$E$8)</f>
        <v>0</v>
      </c>
      <c r="AV316" s="144">
        <f>IF('PV IN'!$F$4="PV Only",PVCalcs!Z316+PVCalcs!AA316,IF('PV IN'!$F$4="Battery Only",SUM(BattCalcs!BC316:BH316),PVCalcs!Z316+PVCalcs!AA316+SUM(BattCalcs!BC316:BH316)))</f>
        <v>0</v>
      </c>
      <c r="AW316" s="144">
        <f>IF('PV IN'!$F$4="PV Only",SUM(PVCalcs!AF316:AI316),IF('PV IN'!$F$4="Battery Only",SUM(BattCalcs!BL316:BY316),SUM(PVCalcs!AF316:AI316)+SUM(BattCalcs!BL316:BY316)))</f>
        <v>-1375</v>
      </c>
      <c r="AX316" s="144">
        <f>IF('PV IN'!$F$4="Battery Only",0,-PVLoan!F344)</f>
        <v>0</v>
      </c>
      <c r="AY316" s="144">
        <f>IF('PV IN'!$F$4="PV Only",0,-BattLoan!F344)</f>
        <v>0</v>
      </c>
      <c r="AZ316" s="144">
        <f>IF('PV IN'!$F$4="Battery Only",0,-PVLoan!H344)</f>
        <v>0</v>
      </c>
      <c r="BA316" s="144">
        <f>IF('PV IN'!$F$4="PV Only",0,-BattLoan!H344)</f>
        <v>0</v>
      </c>
      <c r="BC316" s="33">
        <f t="shared" ref="BC316" si="827">SUM(T305:T316)</f>
        <v>1492696.2240201167</v>
      </c>
      <c r="BD316" s="33">
        <f t="shared" ref="BD316" si="828">SUM(U305:U316)</f>
        <v>1492696.2240201167</v>
      </c>
      <c r="BE316" s="33">
        <f t="shared" ref="BE316" si="829">SUM(V305:V316)</f>
        <v>309741.19</v>
      </c>
      <c r="BF316" s="50">
        <f t="shared" ref="BF316" si="830">W316</f>
        <v>8.1329219335301683E-2</v>
      </c>
      <c r="BG316" s="2">
        <f t="shared" ref="BG316" si="831">SUM(X305:X316)</f>
        <v>0</v>
      </c>
      <c r="BH316" s="2">
        <f t="shared" ref="BH316" si="832">SUM(Y305:Y316)</f>
        <v>0</v>
      </c>
      <c r="BI316" s="2">
        <f t="shared" ref="BI316" si="833">SUM(Z305:Z316)</f>
        <v>0</v>
      </c>
      <c r="BJ316" s="2">
        <f t="shared" ref="BJ316" si="834">SUM(AA305:AA316)</f>
        <v>0</v>
      </c>
      <c r="BK316" s="2">
        <f t="shared" ref="BK316" si="835">SUM(AB305:AB316)</f>
        <v>0</v>
      </c>
      <c r="BL316" s="2">
        <f t="shared" ref="BL316" si="836">SUM(AC305:AC316)</f>
        <v>0</v>
      </c>
      <c r="BM316" s="2">
        <f t="shared" ref="BM316" si="837">SUM(AD305:AD316)</f>
        <v>0</v>
      </c>
      <c r="BN316" s="2">
        <f t="shared" ref="BN316" si="838">SUM(AE305:AE316)</f>
        <v>0</v>
      </c>
      <c r="BO316" s="2">
        <f t="shared" ref="BO316" si="839">SUM(AF305:AF316)</f>
        <v>0</v>
      </c>
      <c r="BP316" s="2">
        <f t="shared" ref="BP316" si="840">SUM(AG305:AG316)</f>
        <v>-9000</v>
      </c>
      <c r="BQ316" s="2">
        <f t="shared" ref="BQ316" si="841">SUM(AH305:AH316)</f>
        <v>0</v>
      </c>
      <c r="BR316" s="2">
        <f t="shared" ref="BR316" si="842">SUM(AI305:AI316)</f>
        <v>0</v>
      </c>
      <c r="BS316" s="2">
        <f t="shared" ref="BS316" si="843">SUM(AJ305:AJ316)</f>
        <v>0</v>
      </c>
      <c r="BT316" s="2">
        <f t="shared" ref="BT316" si="844">SUM(AK305:AK316)</f>
        <v>-7500</v>
      </c>
      <c r="BU316" s="2">
        <f t="shared" ref="BU316" si="845">SUM(AL305:AL316)</f>
        <v>0</v>
      </c>
      <c r="BV316" s="2">
        <f t="shared" ref="BV316" si="846">SUM(AM305:AM316)</f>
        <v>0</v>
      </c>
      <c r="BW316" s="2">
        <f t="shared" ref="BW316" si="847">SUM(AN305:AN316)</f>
        <v>0</v>
      </c>
      <c r="BX316" s="2">
        <f t="shared" ref="BX316" si="848">SUM(AO305:AO316)</f>
        <v>121399.81860430868</v>
      </c>
      <c r="BY316" s="2">
        <f t="shared" ref="BY316" si="849">SUM(AP305:AP316)</f>
        <v>0</v>
      </c>
      <c r="BZ316" s="2">
        <f t="shared" ref="BZ316" si="850">SUM(AQ305:AQ316)</f>
        <v>0</v>
      </c>
      <c r="CA316" s="2">
        <f t="shared" ref="CA316" si="851">SUM(AR305:AR316)</f>
        <v>0</v>
      </c>
      <c r="CB316" s="2">
        <f t="shared" ref="CB316" si="852">SUM(AS305:AS316)</f>
        <v>0</v>
      </c>
      <c r="CC316" s="2">
        <f t="shared" ref="CC316" si="853">SUM(AT305:AT316)</f>
        <v>0</v>
      </c>
      <c r="CD316" s="2">
        <f t="shared" ref="CD316" si="854">SUM(AU305:AU316)</f>
        <v>0</v>
      </c>
      <c r="CE316" s="2">
        <f t="shared" ref="CE316" si="855">SUM(AV305:AV316)</f>
        <v>0</v>
      </c>
      <c r="CF316" s="2">
        <f t="shared" ref="CF316" si="856">SUM(AW305:AW316)</f>
        <v>-16500</v>
      </c>
      <c r="CG316" s="2">
        <f t="shared" ref="CG316" si="857">SUM(AX305:AX316)</f>
        <v>0</v>
      </c>
      <c r="CH316" s="2">
        <f t="shared" ref="CH316" si="858">SUM(AY305:AY316)</f>
        <v>0</v>
      </c>
      <c r="CI316" s="2">
        <f t="shared" ref="CI316" si="859">SUM(AZ305:AZ316)</f>
        <v>0</v>
      </c>
      <c r="CJ316" s="2">
        <f t="shared" ref="CJ316" si="860">SUM(BA305:BA316)</f>
        <v>0</v>
      </c>
    </row>
    <row r="317" spans="1:88" x14ac:dyDescent="0.25">
      <c r="A317" t="str">
        <f>IF(C317&lt;='PV IN'!$O$22*12,C317,"")</f>
        <v/>
      </c>
      <c r="C317">
        <v>313</v>
      </c>
      <c r="D317" s="2">
        <f>BattCalcs!CK317+PVCalcs!AT317</f>
        <v>8910.4322022019041</v>
      </c>
      <c r="E317" s="20">
        <f>PVCalcs!AV317</f>
        <v>2057090.6078150787</v>
      </c>
      <c r="F317" s="20">
        <f>PVCalcs!AW317</f>
        <v>2495.8082694416044</v>
      </c>
      <c r="G317" s="20" t="e">
        <f>PVCalcs!AX317</f>
        <v>#N/A</v>
      </c>
      <c r="H317" s="20">
        <f>BattCalcs!CM317</f>
        <v>0</v>
      </c>
      <c r="I317" s="20">
        <f>BattCalcs!CN317</f>
        <v>0</v>
      </c>
      <c r="J317" s="20" t="e">
        <f>IF(C317&lt;='Batt IN'!H$43*12,BattCalcs!CO317,NA())</f>
        <v>#N/A</v>
      </c>
      <c r="L317" s="20">
        <f t="shared" si="826"/>
        <v>2495.8082694416044</v>
      </c>
      <c r="M317" s="20" t="e">
        <f>G317+BattCalcs!CO317</f>
        <v>#N/A</v>
      </c>
      <c r="O317" s="10" t="str">
        <f>PVLoan!G345</f>
        <v>-</v>
      </c>
      <c r="P317" s="10" t="str">
        <f>PVLoan!J345</f>
        <v>-</v>
      </c>
      <c r="Q317" s="2" t="str">
        <f>BattLoan!G345</f>
        <v>-</v>
      </c>
      <c r="R317" s="10" t="str">
        <f>BattLoan!J345</f>
        <v>-</v>
      </c>
      <c r="T317" s="33">
        <f>IF('PV IN'!$F$4="Battery Only",0,PVCalcs!G317)</f>
        <v>123852.98184211981</v>
      </c>
      <c r="U317" s="33">
        <f>IF('PV IN'!$F$4="Battery Only",0,PVCalcs!M317)</f>
        <v>123852.98184211981</v>
      </c>
      <c r="V317" s="33">
        <f>PVCalcs!L317</f>
        <v>25811.765833333331</v>
      </c>
      <c r="W317" s="158">
        <f>PVCalcs!F317</f>
        <v>8.071410194180921E-2</v>
      </c>
      <c r="X317" s="144">
        <f>IF('PV IN'!$F$4="Battery Only",0,PVCalcs!Y317+PVCalcs!Z317)</f>
        <v>0</v>
      </c>
      <c r="Y317" s="144">
        <f>IF('PV IN'!$F$4="PV Only",0,BattCalcs!AX317+BattCalcs!BC317)</f>
        <v>0</v>
      </c>
      <c r="Z317" s="144">
        <f>IF('PV IN'!$F$4="PV Only",0,BattCalcs!AY317+BattCalcs!BD317)</f>
        <v>0</v>
      </c>
      <c r="AA317" s="144">
        <f>IF('PV IN'!$F$4="PV Only",0,BattCalcs!AZ317+BattCalcs!BE317)</f>
        <v>0</v>
      </c>
      <c r="AB317" s="144">
        <f>IF('PV IN'!$F$4="PV Only",0,BattCalcs!BA317+BattCalcs!BF317)</f>
        <v>0</v>
      </c>
      <c r="AC317" s="144">
        <f>IF('PV IN'!$F$4="PV Only",0,BattCalcs!BB317+BattCalcs!BG317)</f>
        <v>0</v>
      </c>
      <c r="AD317" s="144">
        <f>IF('PV IN'!$F$4="PV Only",0,BattCalcs!BU317)</f>
        <v>0</v>
      </c>
      <c r="AE317" s="144">
        <f>IF('PV IN'!$F$4="PV Only",PVCalcs!W317+PVCalcs!AA317,IF('PV IN'!$F$4="Battery Only",BattCalcs!AV317+BattCalcs!BH317,PVCalcs!W317+PVCalcs!AA317+BattCalcs!AV317+BattCalcs!BH317))</f>
        <v>0</v>
      </c>
      <c r="AF317" s="10">
        <f>PVCalcs!AC317+BattCalcs!BJ317</f>
        <v>0</v>
      </c>
      <c r="AG317" s="144">
        <f>IF('PV IN'!$F$4="Battery Only",0,PVCalcs!AG317)</f>
        <v>-750</v>
      </c>
      <c r="AH317" s="144">
        <f>IF('PV IN'!$F$4="Battery Only",0,PVCalcs!AI317)</f>
        <v>0</v>
      </c>
      <c r="AI317" s="144">
        <f>IF('PV IN'!$F$4="PV Only",0,BattCalcs!BM317)</f>
        <v>0</v>
      </c>
      <c r="AJ317" s="144">
        <f>IF('PV IN'!$F$4="PV Only",0,SUM(BattCalcs!BO317:BT317))</f>
        <v>0</v>
      </c>
      <c r="AK317" s="144">
        <f>IF('PV IN'!$F$4="PV Only",PVCalcs!AH317,IF('PV IN'!$F$4="Battery Only",BattCalcs!BN317,PVCalcs!AH317+BattCalcs!BN317))</f>
        <v>-625</v>
      </c>
      <c r="AL317" s="144">
        <f>IF('PV IN'!$F$4="PV Only",0,BattCalcs!BV317)</f>
        <v>0</v>
      </c>
      <c r="AM317" s="144">
        <f>IF('PV IN'!$F$4="PV Only",0,SUM(BattCalcs!BW317:BX317))</f>
        <v>0</v>
      </c>
      <c r="AN317" s="144">
        <f>IF('PV IN'!$F$4="PV Only",0,BattCalcs!BY317)</f>
        <v>0</v>
      </c>
      <c r="AO317" s="144">
        <f>IF('PV IN'!$F$4="Battery Only",0,PVCalcs!U317)</f>
        <v>9996.6822022019041</v>
      </c>
      <c r="AP317" s="10">
        <f>IF('PV IN'!$F$4="PV Only",0,BattCalcs!AS317)</f>
        <v>0</v>
      </c>
      <c r="AQ317" s="10">
        <f>IF('PV IN'!$F$4="PV Only",0,BattCalcs!AT317)</f>
        <v>0</v>
      </c>
      <c r="AR317" s="10">
        <f>IF('PV IN'!$F$4="PV Only",0,BattCalcs!AU317)</f>
        <v>0</v>
      </c>
      <c r="AS317" s="144">
        <f>IF('PV IN'!$F$4="PV Only",PVCalcs!X317,IF('PV IN'!$F$4="Battery Only",BattCalcs!AW317,PVCalcs!X317+BattCalcs!AW317))</f>
        <v>0</v>
      </c>
      <c r="AT317" s="144">
        <f>IF('PV IN'!$F$4="Battery Only",0,-PVCalcs!AQ317*'PV IN'!$E$8)</f>
        <v>0</v>
      </c>
      <c r="AU317" s="144">
        <f>IF('PV IN'!$F$4="PV Only",0,-BattCalcs!CG317*'PV IN'!$E$8)</f>
        <v>0</v>
      </c>
      <c r="AV317" s="144">
        <f>IF('PV IN'!$F$4="PV Only",PVCalcs!Z317+PVCalcs!AA317,IF('PV IN'!$F$4="Battery Only",SUM(BattCalcs!BC317:BH317),PVCalcs!Z317+PVCalcs!AA317+SUM(BattCalcs!BC317:BH317)))</f>
        <v>0</v>
      </c>
      <c r="AW317" s="144">
        <f>IF('PV IN'!$F$4="PV Only",SUM(PVCalcs!AF317:AI317),IF('PV IN'!$F$4="Battery Only",SUM(BattCalcs!BL317:BY317),SUM(PVCalcs!AF317:AI317)+SUM(BattCalcs!BL317:BY317)))</f>
        <v>-1375</v>
      </c>
      <c r="AX317" s="144">
        <f>IF('PV IN'!$F$4="Battery Only",0,-PVLoan!F345)</f>
        <v>0</v>
      </c>
      <c r="AY317" s="144">
        <f>IF('PV IN'!$F$4="PV Only",0,-BattLoan!F345)</f>
        <v>0</v>
      </c>
      <c r="AZ317" s="144">
        <f>IF('PV IN'!$F$4="Battery Only",0,-PVLoan!H345)</f>
        <v>0</v>
      </c>
      <c r="BA317" s="144">
        <f>IF('PV IN'!$F$4="PV Only",0,-BattLoan!H345)</f>
        <v>0</v>
      </c>
    </row>
    <row r="318" spans="1:88" x14ac:dyDescent="0.25">
      <c r="A318" t="str">
        <f>IF(C318&lt;='PV IN'!$O$22*12,C318,"")</f>
        <v/>
      </c>
      <c r="C318">
        <v>314</v>
      </c>
      <c r="D318" s="2">
        <f>BattCalcs!CK318+PVCalcs!AT318</f>
        <v>8903.7677474004358</v>
      </c>
      <c r="E318" s="20">
        <f>PVCalcs!AV318</f>
        <v>2065994.375562479</v>
      </c>
      <c r="F318" s="20">
        <f>PVCalcs!AW318</f>
        <v>2483.8221595521113</v>
      </c>
      <c r="G318" s="20" t="e">
        <f>PVCalcs!AX318</f>
        <v>#N/A</v>
      </c>
      <c r="H318" s="20">
        <f>BattCalcs!CM318</f>
        <v>0</v>
      </c>
      <c r="I318" s="20">
        <f>BattCalcs!CN318</f>
        <v>0</v>
      </c>
      <c r="J318" s="20" t="e">
        <f>IF(C318&lt;='Batt IN'!H$43*12,BattCalcs!CO318,NA())</f>
        <v>#N/A</v>
      </c>
      <c r="L318" s="20">
        <f t="shared" si="826"/>
        <v>2483.8221595521113</v>
      </c>
      <c r="M318" s="20" t="e">
        <f>G318+BattCalcs!CO318</f>
        <v>#N/A</v>
      </c>
      <c r="O318" s="10" t="str">
        <f>PVLoan!G346</f>
        <v>-</v>
      </c>
      <c r="P318" s="10" t="str">
        <f>PVLoan!J346</f>
        <v>-</v>
      </c>
      <c r="Q318" s="2" t="str">
        <f>BattLoan!G346</f>
        <v>-</v>
      </c>
      <c r="R318" s="10" t="str">
        <f>BattLoan!J346</f>
        <v>-</v>
      </c>
      <c r="T318" s="33">
        <f>IF('PV IN'!$F$4="Battery Only",0,PVCalcs!G318)</f>
        <v>123770.4131875584</v>
      </c>
      <c r="U318" s="33">
        <f>IF('PV IN'!$F$4="Battery Only",0,PVCalcs!M318)</f>
        <v>123770.4131875584</v>
      </c>
      <c r="V318" s="33">
        <f>PVCalcs!L318</f>
        <v>25811.765833333331</v>
      </c>
      <c r="W318" s="158">
        <f>PVCalcs!F318</f>
        <v>8.071410194180921E-2</v>
      </c>
      <c r="X318" s="144">
        <f>IF('PV IN'!$F$4="Battery Only",0,PVCalcs!Y318+PVCalcs!Z318)</f>
        <v>0</v>
      </c>
      <c r="Y318" s="144">
        <f>IF('PV IN'!$F$4="PV Only",0,BattCalcs!AX318+BattCalcs!BC318)</f>
        <v>0</v>
      </c>
      <c r="Z318" s="144">
        <f>IF('PV IN'!$F$4="PV Only",0,BattCalcs!AY318+BattCalcs!BD318)</f>
        <v>0</v>
      </c>
      <c r="AA318" s="144">
        <f>IF('PV IN'!$F$4="PV Only",0,BattCalcs!AZ318+BattCalcs!BE318)</f>
        <v>0</v>
      </c>
      <c r="AB318" s="144">
        <f>IF('PV IN'!$F$4="PV Only",0,BattCalcs!BA318+BattCalcs!BF318)</f>
        <v>0</v>
      </c>
      <c r="AC318" s="144">
        <f>IF('PV IN'!$F$4="PV Only",0,BattCalcs!BB318+BattCalcs!BG318)</f>
        <v>0</v>
      </c>
      <c r="AD318" s="144">
        <f>IF('PV IN'!$F$4="PV Only",0,BattCalcs!BU318)</f>
        <v>0</v>
      </c>
      <c r="AE318" s="144">
        <f>IF('PV IN'!$F$4="PV Only",PVCalcs!W318+PVCalcs!AA318,IF('PV IN'!$F$4="Battery Only",BattCalcs!AV318+BattCalcs!BH318,PVCalcs!W318+PVCalcs!AA318+BattCalcs!AV318+BattCalcs!BH318))</f>
        <v>0</v>
      </c>
      <c r="AF318" s="10">
        <f>PVCalcs!AC318+BattCalcs!BJ318</f>
        <v>0</v>
      </c>
      <c r="AG318" s="144">
        <f>IF('PV IN'!$F$4="Battery Only",0,PVCalcs!AG318)</f>
        <v>-750</v>
      </c>
      <c r="AH318" s="144">
        <f>IF('PV IN'!$F$4="Battery Only",0,PVCalcs!AI318)</f>
        <v>0</v>
      </c>
      <c r="AI318" s="144">
        <f>IF('PV IN'!$F$4="PV Only",0,BattCalcs!BM318)</f>
        <v>0</v>
      </c>
      <c r="AJ318" s="144">
        <f>IF('PV IN'!$F$4="PV Only",0,SUM(BattCalcs!BO318:BT318))</f>
        <v>0</v>
      </c>
      <c r="AK318" s="144">
        <f>IF('PV IN'!$F$4="PV Only",PVCalcs!AH318,IF('PV IN'!$F$4="Battery Only",BattCalcs!BN318,PVCalcs!AH318+BattCalcs!BN318))</f>
        <v>-625</v>
      </c>
      <c r="AL318" s="144">
        <f>IF('PV IN'!$F$4="PV Only",0,BattCalcs!BV318)</f>
        <v>0</v>
      </c>
      <c r="AM318" s="144">
        <f>IF('PV IN'!$F$4="PV Only",0,SUM(BattCalcs!BW318:BX318))</f>
        <v>0</v>
      </c>
      <c r="AN318" s="144">
        <f>IF('PV IN'!$F$4="PV Only",0,BattCalcs!BY318)</f>
        <v>0</v>
      </c>
      <c r="AO318" s="144">
        <f>IF('PV IN'!$F$4="Battery Only",0,PVCalcs!U318)</f>
        <v>9990.0177474004358</v>
      </c>
      <c r="AP318" s="10">
        <f>IF('PV IN'!$F$4="PV Only",0,BattCalcs!AS318)</f>
        <v>0</v>
      </c>
      <c r="AQ318" s="10">
        <f>IF('PV IN'!$F$4="PV Only",0,BattCalcs!AT318)</f>
        <v>0</v>
      </c>
      <c r="AR318" s="10">
        <f>IF('PV IN'!$F$4="PV Only",0,BattCalcs!AU318)</f>
        <v>0</v>
      </c>
      <c r="AS318" s="144">
        <f>IF('PV IN'!$F$4="PV Only",PVCalcs!X318,IF('PV IN'!$F$4="Battery Only",BattCalcs!AW318,PVCalcs!X318+BattCalcs!AW318))</f>
        <v>0</v>
      </c>
      <c r="AT318" s="144">
        <f>IF('PV IN'!$F$4="Battery Only",0,-PVCalcs!AQ318*'PV IN'!$E$8)</f>
        <v>0</v>
      </c>
      <c r="AU318" s="144">
        <f>IF('PV IN'!$F$4="PV Only",0,-BattCalcs!CG318*'PV IN'!$E$8)</f>
        <v>0</v>
      </c>
      <c r="AV318" s="144">
        <f>IF('PV IN'!$F$4="PV Only",PVCalcs!Z318+PVCalcs!AA318,IF('PV IN'!$F$4="Battery Only",SUM(BattCalcs!BC318:BH318),PVCalcs!Z318+PVCalcs!AA318+SUM(BattCalcs!BC318:BH318)))</f>
        <v>0</v>
      </c>
      <c r="AW318" s="144">
        <f>IF('PV IN'!$F$4="PV Only",SUM(PVCalcs!AF318:AI318),IF('PV IN'!$F$4="Battery Only",SUM(BattCalcs!BL318:BY318),SUM(PVCalcs!AF318:AI318)+SUM(BattCalcs!BL318:BY318)))</f>
        <v>-1375</v>
      </c>
      <c r="AX318" s="144">
        <f>IF('PV IN'!$F$4="Battery Only",0,-PVLoan!F346)</f>
        <v>0</v>
      </c>
      <c r="AY318" s="144">
        <f>IF('PV IN'!$F$4="PV Only",0,-BattLoan!F346)</f>
        <v>0</v>
      </c>
      <c r="AZ318" s="144">
        <f>IF('PV IN'!$F$4="Battery Only",0,-PVLoan!H346)</f>
        <v>0</v>
      </c>
      <c r="BA318" s="144">
        <f>IF('PV IN'!$F$4="PV Only",0,-BattLoan!H346)</f>
        <v>0</v>
      </c>
    </row>
    <row r="319" spans="1:88" x14ac:dyDescent="0.25">
      <c r="A319" t="str">
        <f>IF(C319&lt;='PV IN'!$O$22*12,C319,"")</f>
        <v/>
      </c>
      <c r="C319">
        <v>315</v>
      </c>
      <c r="D319" s="2">
        <f>BattCalcs!CK319+PVCalcs!AT319</f>
        <v>8897.107735568834</v>
      </c>
      <c r="E319" s="20">
        <f>PVCalcs!AV319</f>
        <v>2074891.4832980479</v>
      </c>
      <c r="F319" s="20">
        <f>PVCalcs!AW319</f>
        <v>2471.8934624283274</v>
      </c>
      <c r="G319" s="20" t="e">
        <f>PVCalcs!AX319</f>
        <v>#N/A</v>
      </c>
      <c r="H319" s="20">
        <f>BattCalcs!CM319</f>
        <v>0</v>
      </c>
      <c r="I319" s="20">
        <f>BattCalcs!CN319</f>
        <v>0</v>
      </c>
      <c r="J319" s="20" t="e">
        <f>IF(C319&lt;='Batt IN'!H$43*12,BattCalcs!CO319,NA())</f>
        <v>#N/A</v>
      </c>
      <c r="L319" s="20">
        <f t="shared" si="826"/>
        <v>2471.8934624283274</v>
      </c>
      <c r="M319" s="20" t="e">
        <f>G319+BattCalcs!CO319</f>
        <v>#N/A</v>
      </c>
      <c r="O319" s="10" t="str">
        <f>PVLoan!G347</f>
        <v>-</v>
      </c>
      <c r="P319" s="10" t="str">
        <f>PVLoan!J347</f>
        <v>-</v>
      </c>
      <c r="Q319" s="2" t="str">
        <f>BattLoan!G347</f>
        <v>-</v>
      </c>
      <c r="R319" s="10" t="str">
        <f>BattLoan!J347</f>
        <v>-</v>
      </c>
      <c r="T319" s="33">
        <f>IF('PV IN'!$F$4="Battery Only",0,PVCalcs!G319)</f>
        <v>123687.89957876668</v>
      </c>
      <c r="U319" s="33">
        <f>IF('PV IN'!$F$4="Battery Only",0,PVCalcs!M319)</f>
        <v>123687.89957876668</v>
      </c>
      <c r="V319" s="33">
        <f>PVCalcs!L319</f>
        <v>25811.765833333331</v>
      </c>
      <c r="W319" s="158">
        <f>PVCalcs!F319</f>
        <v>8.071410194180921E-2</v>
      </c>
      <c r="X319" s="144">
        <f>IF('PV IN'!$F$4="Battery Only",0,PVCalcs!Y319+PVCalcs!Z319)</f>
        <v>0</v>
      </c>
      <c r="Y319" s="144">
        <f>IF('PV IN'!$F$4="PV Only",0,BattCalcs!AX319+BattCalcs!BC319)</f>
        <v>0</v>
      </c>
      <c r="Z319" s="144">
        <f>IF('PV IN'!$F$4="PV Only",0,BattCalcs!AY319+BattCalcs!BD319)</f>
        <v>0</v>
      </c>
      <c r="AA319" s="144">
        <f>IF('PV IN'!$F$4="PV Only",0,BattCalcs!AZ319+BattCalcs!BE319)</f>
        <v>0</v>
      </c>
      <c r="AB319" s="144">
        <f>IF('PV IN'!$F$4="PV Only",0,BattCalcs!BA319+BattCalcs!BF319)</f>
        <v>0</v>
      </c>
      <c r="AC319" s="144">
        <f>IF('PV IN'!$F$4="PV Only",0,BattCalcs!BB319+BattCalcs!BG319)</f>
        <v>0</v>
      </c>
      <c r="AD319" s="144">
        <f>IF('PV IN'!$F$4="PV Only",0,BattCalcs!BU319)</f>
        <v>0</v>
      </c>
      <c r="AE319" s="144">
        <f>IF('PV IN'!$F$4="PV Only",PVCalcs!W319+PVCalcs!AA319,IF('PV IN'!$F$4="Battery Only",BattCalcs!AV319+BattCalcs!BH319,PVCalcs!W319+PVCalcs!AA319+BattCalcs!AV319+BattCalcs!BH319))</f>
        <v>0</v>
      </c>
      <c r="AF319" s="10">
        <f>PVCalcs!AC319+BattCalcs!BJ319</f>
        <v>0</v>
      </c>
      <c r="AG319" s="144">
        <f>IF('PV IN'!$F$4="Battery Only",0,PVCalcs!AG319)</f>
        <v>-750</v>
      </c>
      <c r="AH319" s="144">
        <f>IF('PV IN'!$F$4="Battery Only",0,PVCalcs!AI319)</f>
        <v>0</v>
      </c>
      <c r="AI319" s="144">
        <f>IF('PV IN'!$F$4="PV Only",0,BattCalcs!BM319)</f>
        <v>0</v>
      </c>
      <c r="AJ319" s="144">
        <f>IF('PV IN'!$F$4="PV Only",0,SUM(BattCalcs!BO319:BT319))</f>
        <v>0</v>
      </c>
      <c r="AK319" s="144">
        <f>IF('PV IN'!$F$4="PV Only",PVCalcs!AH319,IF('PV IN'!$F$4="Battery Only",BattCalcs!BN319,PVCalcs!AH319+BattCalcs!BN319))</f>
        <v>-625</v>
      </c>
      <c r="AL319" s="144">
        <f>IF('PV IN'!$F$4="PV Only",0,BattCalcs!BV319)</f>
        <v>0</v>
      </c>
      <c r="AM319" s="144">
        <f>IF('PV IN'!$F$4="PV Only",0,SUM(BattCalcs!BW319:BX319))</f>
        <v>0</v>
      </c>
      <c r="AN319" s="144">
        <f>IF('PV IN'!$F$4="PV Only",0,BattCalcs!BY319)</f>
        <v>0</v>
      </c>
      <c r="AO319" s="144">
        <f>IF('PV IN'!$F$4="Battery Only",0,PVCalcs!U319)</f>
        <v>9983.357735568834</v>
      </c>
      <c r="AP319" s="10">
        <f>IF('PV IN'!$F$4="PV Only",0,BattCalcs!AS319)</f>
        <v>0</v>
      </c>
      <c r="AQ319" s="10">
        <f>IF('PV IN'!$F$4="PV Only",0,BattCalcs!AT319)</f>
        <v>0</v>
      </c>
      <c r="AR319" s="10">
        <f>IF('PV IN'!$F$4="PV Only",0,BattCalcs!AU319)</f>
        <v>0</v>
      </c>
      <c r="AS319" s="144">
        <f>IF('PV IN'!$F$4="PV Only",PVCalcs!X319,IF('PV IN'!$F$4="Battery Only",BattCalcs!AW319,PVCalcs!X319+BattCalcs!AW319))</f>
        <v>0</v>
      </c>
      <c r="AT319" s="144">
        <f>IF('PV IN'!$F$4="Battery Only",0,-PVCalcs!AQ319*'PV IN'!$E$8)</f>
        <v>0</v>
      </c>
      <c r="AU319" s="144">
        <f>IF('PV IN'!$F$4="PV Only",0,-BattCalcs!CG319*'PV IN'!$E$8)</f>
        <v>0</v>
      </c>
      <c r="AV319" s="144">
        <f>IF('PV IN'!$F$4="PV Only",PVCalcs!Z319+PVCalcs!AA319,IF('PV IN'!$F$4="Battery Only",SUM(BattCalcs!BC319:BH319),PVCalcs!Z319+PVCalcs!AA319+SUM(BattCalcs!BC319:BH319)))</f>
        <v>0</v>
      </c>
      <c r="AW319" s="144">
        <f>IF('PV IN'!$F$4="PV Only",SUM(PVCalcs!AF319:AI319),IF('PV IN'!$F$4="Battery Only",SUM(BattCalcs!BL319:BY319),SUM(PVCalcs!AF319:AI319)+SUM(BattCalcs!BL319:BY319)))</f>
        <v>-1375</v>
      </c>
      <c r="AX319" s="144">
        <f>IF('PV IN'!$F$4="Battery Only",0,-PVLoan!F347)</f>
        <v>0</v>
      </c>
      <c r="AY319" s="144">
        <f>IF('PV IN'!$F$4="PV Only",0,-BattLoan!F347)</f>
        <v>0</v>
      </c>
      <c r="AZ319" s="144">
        <f>IF('PV IN'!$F$4="Battery Only",0,-PVLoan!H347)</f>
        <v>0</v>
      </c>
      <c r="BA319" s="144">
        <f>IF('PV IN'!$F$4="PV Only",0,-BattLoan!H347)</f>
        <v>0</v>
      </c>
    </row>
    <row r="320" spans="1:88" x14ac:dyDescent="0.25">
      <c r="A320" t="str">
        <f>IF(C320&lt;='PV IN'!$O$22*12,C320,"")</f>
        <v/>
      </c>
      <c r="C320">
        <v>316</v>
      </c>
      <c r="D320" s="2">
        <f>BattCalcs!CK320+PVCalcs!AT320</f>
        <v>8890.4521637451217</v>
      </c>
      <c r="E320" s="20">
        <f>PVCalcs!AV320</f>
        <v>2083781.9354617931</v>
      </c>
      <c r="F320" s="20">
        <f>PVCalcs!AW320</f>
        <v>2460.0219036667672</v>
      </c>
      <c r="G320" s="20" t="e">
        <f>PVCalcs!AX320</f>
        <v>#N/A</v>
      </c>
      <c r="H320" s="20">
        <f>BattCalcs!CM320</f>
        <v>0</v>
      </c>
      <c r="I320" s="20">
        <f>BattCalcs!CN320</f>
        <v>0</v>
      </c>
      <c r="J320" s="20" t="e">
        <f>IF(C320&lt;='Batt IN'!H$43*12,BattCalcs!CO320,NA())</f>
        <v>#N/A</v>
      </c>
      <c r="L320" s="20">
        <f t="shared" si="826"/>
        <v>2460.0219036667672</v>
      </c>
      <c r="M320" s="20" t="e">
        <f>G320+BattCalcs!CO320</f>
        <v>#N/A</v>
      </c>
      <c r="O320" s="10" t="str">
        <f>PVLoan!G348</f>
        <v>-</v>
      </c>
      <c r="P320" s="10" t="str">
        <f>PVLoan!J348</f>
        <v>-</v>
      </c>
      <c r="Q320" s="2" t="str">
        <f>BattLoan!G348</f>
        <v>-</v>
      </c>
      <c r="R320" s="10" t="str">
        <f>BattLoan!J348</f>
        <v>-</v>
      </c>
      <c r="T320" s="33">
        <f>IF('PV IN'!$F$4="Battery Only",0,PVCalcs!G320)</f>
        <v>123605.4409790475</v>
      </c>
      <c r="U320" s="33">
        <f>IF('PV IN'!$F$4="Battery Only",0,PVCalcs!M320)</f>
        <v>123605.4409790475</v>
      </c>
      <c r="V320" s="33">
        <f>PVCalcs!L320</f>
        <v>25811.765833333331</v>
      </c>
      <c r="W320" s="158">
        <f>PVCalcs!F320</f>
        <v>8.071410194180921E-2</v>
      </c>
      <c r="X320" s="144">
        <f>IF('PV IN'!$F$4="Battery Only",0,PVCalcs!Y320+PVCalcs!Z320)</f>
        <v>0</v>
      </c>
      <c r="Y320" s="144">
        <f>IF('PV IN'!$F$4="PV Only",0,BattCalcs!AX320+BattCalcs!BC320)</f>
        <v>0</v>
      </c>
      <c r="Z320" s="144">
        <f>IF('PV IN'!$F$4="PV Only",0,BattCalcs!AY320+BattCalcs!BD320)</f>
        <v>0</v>
      </c>
      <c r="AA320" s="144">
        <f>IF('PV IN'!$F$4="PV Only",0,BattCalcs!AZ320+BattCalcs!BE320)</f>
        <v>0</v>
      </c>
      <c r="AB320" s="144">
        <f>IF('PV IN'!$F$4="PV Only",0,BattCalcs!BA320+BattCalcs!BF320)</f>
        <v>0</v>
      </c>
      <c r="AC320" s="144">
        <f>IF('PV IN'!$F$4="PV Only",0,BattCalcs!BB320+BattCalcs!BG320)</f>
        <v>0</v>
      </c>
      <c r="AD320" s="144">
        <f>IF('PV IN'!$F$4="PV Only",0,BattCalcs!BU320)</f>
        <v>0</v>
      </c>
      <c r="AE320" s="144">
        <f>IF('PV IN'!$F$4="PV Only",PVCalcs!W320+PVCalcs!AA320,IF('PV IN'!$F$4="Battery Only",BattCalcs!AV320+BattCalcs!BH320,PVCalcs!W320+PVCalcs!AA320+BattCalcs!AV320+BattCalcs!BH320))</f>
        <v>0</v>
      </c>
      <c r="AF320" s="10">
        <f>PVCalcs!AC320+BattCalcs!BJ320</f>
        <v>0</v>
      </c>
      <c r="AG320" s="144">
        <f>IF('PV IN'!$F$4="Battery Only",0,PVCalcs!AG320)</f>
        <v>-750</v>
      </c>
      <c r="AH320" s="144">
        <f>IF('PV IN'!$F$4="Battery Only",0,PVCalcs!AI320)</f>
        <v>0</v>
      </c>
      <c r="AI320" s="144">
        <f>IF('PV IN'!$F$4="PV Only",0,BattCalcs!BM320)</f>
        <v>0</v>
      </c>
      <c r="AJ320" s="144">
        <f>IF('PV IN'!$F$4="PV Only",0,SUM(BattCalcs!BO320:BT320))</f>
        <v>0</v>
      </c>
      <c r="AK320" s="144">
        <f>IF('PV IN'!$F$4="PV Only",PVCalcs!AH320,IF('PV IN'!$F$4="Battery Only",BattCalcs!BN320,PVCalcs!AH320+BattCalcs!BN320))</f>
        <v>-625</v>
      </c>
      <c r="AL320" s="144">
        <f>IF('PV IN'!$F$4="PV Only",0,BattCalcs!BV320)</f>
        <v>0</v>
      </c>
      <c r="AM320" s="144">
        <f>IF('PV IN'!$F$4="PV Only",0,SUM(BattCalcs!BW320:BX320))</f>
        <v>0</v>
      </c>
      <c r="AN320" s="144">
        <f>IF('PV IN'!$F$4="PV Only",0,BattCalcs!BY320)</f>
        <v>0</v>
      </c>
      <c r="AO320" s="144">
        <f>IF('PV IN'!$F$4="Battery Only",0,PVCalcs!U320)</f>
        <v>9976.7021637451217</v>
      </c>
      <c r="AP320" s="10">
        <f>IF('PV IN'!$F$4="PV Only",0,BattCalcs!AS320)</f>
        <v>0</v>
      </c>
      <c r="AQ320" s="10">
        <f>IF('PV IN'!$F$4="PV Only",0,BattCalcs!AT320)</f>
        <v>0</v>
      </c>
      <c r="AR320" s="10">
        <f>IF('PV IN'!$F$4="PV Only",0,BattCalcs!AU320)</f>
        <v>0</v>
      </c>
      <c r="AS320" s="144">
        <f>IF('PV IN'!$F$4="PV Only",PVCalcs!X320,IF('PV IN'!$F$4="Battery Only",BattCalcs!AW320,PVCalcs!X320+BattCalcs!AW320))</f>
        <v>0</v>
      </c>
      <c r="AT320" s="144">
        <f>IF('PV IN'!$F$4="Battery Only",0,-PVCalcs!AQ320*'PV IN'!$E$8)</f>
        <v>0</v>
      </c>
      <c r="AU320" s="144">
        <f>IF('PV IN'!$F$4="PV Only",0,-BattCalcs!CG320*'PV IN'!$E$8)</f>
        <v>0</v>
      </c>
      <c r="AV320" s="144">
        <f>IF('PV IN'!$F$4="PV Only",PVCalcs!Z320+PVCalcs!AA320,IF('PV IN'!$F$4="Battery Only",SUM(BattCalcs!BC320:BH320),PVCalcs!Z320+PVCalcs!AA320+SUM(BattCalcs!BC320:BH320)))</f>
        <v>0</v>
      </c>
      <c r="AW320" s="144">
        <f>IF('PV IN'!$F$4="PV Only",SUM(PVCalcs!AF320:AI320),IF('PV IN'!$F$4="Battery Only",SUM(BattCalcs!BL320:BY320),SUM(PVCalcs!AF320:AI320)+SUM(BattCalcs!BL320:BY320)))</f>
        <v>-1375</v>
      </c>
      <c r="AX320" s="144">
        <f>IF('PV IN'!$F$4="Battery Only",0,-PVLoan!F348)</f>
        <v>0</v>
      </c>
      <c r="AY320" s="144">
        <f>IF('PV IN'!$F$4="PV Only",0,-BattLoan!F348)</f>
        <v>0</v>
      </c>
      <c r="AZ320" s="144">
        <f>IF('PV IN'!$F$4="Battery Only",0,-PVLoan!H348)</f>
        <v>0</v>
      </c>
      <c r="BA320" s="144">
        <f>IF('PV IN'!$F$4="PV Only",0,-BattLoan!H348)</f>
        <v>0</v>
      </c>
    </row>
    <row r="321" spans="1:88" x14ac:dyDescent="0.25">
      <c r="A321" t="str">
        <f>IF(C321&lt;='PV IN'!$O$22*12,C321,"")</f>
        <v/>
      </c>
      <c r="C321">
        <v>317</v>
      </c>
      <c r="D321" s="2">
        <f>BattCalcs!CK321+PVCalcs!AT321</f>
        <v>8883.801028969292</v>
      </c>
      <c r="E321" s="20">
        <f>PVCalcs!AV321</f>
        <v>2092665.7364907623</v>
      </c>
      <c r="F321" s="20">
        <f>PVCalcs!AW321</f>
        <v>2448.2072101730487</v>
      </c>
      <c r="G321" s="20" t="e">
        <f>PVCalcs!AX321</f>
        <v>#N/A</v>
      </c>
      <c r="H321" s="20">
        <f>BattCalcs!CM321</f>
        <v>0</v>
      </c>
      <c r="I321" s="20">
        <f>BattCalcs!CN321</f>
        <v>0</v>
      </c>
      <c r="J321" s="20" t="e">
        <f>IF(C321&lt;='Batt IN'!H$43*12,BattCalcs!CO321,NA())</f>
        <v>#N/A</v>
      </c>
      <c r="L321" s="20">
        <f t="shared" si="826"/>
        <v>2448.2072101730487</v>
      </c>
      <c r="M321" s="20" t="e">
        <f>G321+BattCalcs!CO321</f>
        <v>#N/A</v>
      </c>
      <c r="O321" s="10" t="str">
        <f>PVLoan!G349</f>
        <v>-</v>
      </c>
      <c r="P321" s="10" t="str">
        <f>PVLoan!J349</f>
        <v>-</v>
      </c>
      <c r="Q321" s="2" t="str">
        <f>BattLoan!G349</f>
        <v>-</v>
      </c>
      <c r="R321" s="10" t="str">
        <f>BattLoan!J349</f>
        <v>-</v>
      </c>
      <c r="T321" s="33">
        <f>IF('PV IN'!$F$4="Battery Only",0,PVCalcs!G321)</f>
        <v>123523.03735172814</v>
      </c>
      <c r="U321" s="33">
        <f>IF('PV IN'!$F$4="Battery Only",0,PVCalcs!M321)</f>
        <v>123523.03735172814</v>
      </c>
      <c r="V321" s="33">
        <f>PVCalcs!L321</f>
        <v>25811.765833333331</v>
      </c>
      <c r="W321" s="158">
        <f>PVCalcs!F321</f>
        <v>8.071410194180921E-2</v>
      </c>
      <c r="X321" s="144">
        <f>IF('PV IN'!$F$4="Battery Only",0,PVCalcs!Y321+PVCalcs!Z321)</f>
        <v>0</v>
      </c>
      <c r="Y321" s="144">
        <f>IF('PV IN'!$F$4="PV Only",0,BattCalcs!AX321+BattCalcs!BC321)</f>
        <v>0</v>
      </c>
      <c r="Z321" s="144">
        <f>IF('PV IN'!$F$4="PV Only",0,BattCalcs!AY321+BattCalcs!BD321)</f>
        <v>0</v>
      </c>
      <c r="AA321" s="144">
        <f>IF('PV IN'!$F$4="PV Only",0,BattCalcs!AZ321+BattCalcs!BE321)</f>
        <v>0</v>
      </c>
      <c r="AB321" s="144">
        <f>IF('PV IN'!$F$4="PV Only",0,BattCalcs!BA321+BattCalcs!BF321)</f>
        <v>0</v>
      </c>
      <c r="AC321" s="144">
        <f>IF('PV IN'!$F$4="PV Only",0,BattCalcs!BB321+BattCalcs!BG321)</f>
        <v>0</v>
      </c>
      <c r="AD321" s="144">
        <f>IF('PV IN'!$F$4="PV Only",0,BattCalcs!BU321)</f>
        <v>0</v>
      </c>
      <c r="AE321" s="144">
        <f>IF('PV IN'!$F$4="PV Only",PVCalcs!W321+PVCalcs!AA321,IF('PV IN'!$F$4="Battery Only",BattCalcs!AV321+BattCalcs!BH321,PVCalcs!W321+PVCalcs!AA321+BattCalcs!AV321+BattCalcs!BH321))</f>
        <v>0</v>
      </c>
      <c r="AF321" s="10">
        <f>PVCalcs!AC321+BattCalcs!BJ321</f>
        <v>0</v>
      </c>
      <c r="AG321" s="144">
        <f>IF('PV IN'!$F$4="Battery Only",0,PVCalcs!AG321)</f>
        <v>-750</v>
      </c>
      <c r="AH321" s="144">
        <f>IF('PV IN'!$F$4="Battery Only",0,PVCalcs!AI321)</f>
        <v>0</v>
      </c>
      <c r="AI321" s="144">
        <f>IF('PV IN'!$F$4="PV Only",0,BattCalcs!BM321)</f>
        <v>0</v>
      </c>
      <c r="AJ321" s="144">
        <f>IF('PV IN'!$F$4="PV Only",0,SUM(BattCalcs!BO321:BT321))</f>
        <v>0</v>
      </c>
      <c r="AK321" s="144">
        <f>IF('PV IN'!$F$4="PV Only",PVCalcs!AH321,IF('PV IN'!$F$4="Battery Only",BattCalcs!BN321,PVCalcs!AH321+BattCalcs!BN321))</f>
        <v>-625</v>
      </c>
      <c r="AL321" s="144">
        <f>IF('PV IN'!$F$4="PV Only",0,BattCalcs!BV321)</f>
        <v>0</v>
      </c>
      <c r="AM321" s="144">
        <f>IF('PV IN'!$F$4="PV Only",0,SUM(BattCalcs!BW321:BX321))</f>
        <v>0</v>
      </c>
      <c r="AN321" s="144">
        <f>IF('PV IN'!$F$4="PV Only",0,BattCalcs!BY321)</f>
        <v>0</v>
      </c>
      <c r="AO321" s="144">
        <f>IF('PV IN'!$F$4="Battery Only",0,PVCalcs!U321)</f>
        <v>9970.051028969292</v>
      </c>
      <c r="AP321" s="10">
        <f>IF('PV IN'!$F$4="PV Only",0,BattCalcs!AS321)</f>
        <v>0</v>
      </c>
      <c r="AQ321" s="10">
        <f>IF('PV IN'!$F$4="PV Only",0,BattCalcs!AT321)</f>
        <v>0</v>
      </c>
      <c r="AR321" s="10">
        <f>IF('PV IN'!$F$4="PV Only",0,BattCalcs!AU321)</f>
        <v>0</v>
      </c>
      <c r="AS321" s="144">
        <f>IF('PV IN'!$F$4="PV Only",PVCalcs!X321,IF('PV IN'!$F$4="Battery Only",BattCalcs!AW321,PVCalcs!X321+BattCalcs!AW321))</f>
        <v>0</v>
      </c>
      <c r="AT321" s="144">
        <f>IF('PV IN'!$F$4="Battery Only",0,-PVCalcs!AQ321*'PV IN'!$E$8)</f>
        <v>0</v>
      </c>
      <c r="AU321" s="144">
        <f>IF('PV IN'!$F$4="PV Only",0,-BattCalcs!CG321*'PV IN'!$E$8)</f>
        <v>0</v>
      </c>
      <c r="AV321" s="144">
        <f>IF('PV IN'!$F$4="PV Only",PVCalcs!Z321+PVCalcs!AA321,IF('PV IN'!$F$4="Battery Only",SUM(BattCalcs!BC321:BH321),PVCalcs!Z321+PVCalcs!AA321+SUM(BattCalcs!BC321:BH321)))</f>
        <v>0</v>
      </c>
      <c r="AW321" s="144">
        <f>IF('PV IN'!$F$4="PV Only",SUM(PVCalcs!AF321:AI321),IF('PV IN'!$F$4="Battery Only",SUM(BattCalcs!BL321:BY321),SUM(PVCalcs!AF321:AI321)+SUM(BattCalcs!BL321:BY321)))</f>
        <v>-1375</v>
      </c>
      <c r="AX321" s="144">
        <f>IF('PV IN'!$F$4="Battery Only",0,-PVLoan!F349)</f>
        <v>0</v>
      </c>
      <c r="AY321" s="144">
        <f>IF('PV IN'!$F$4="PV Only",0,-BattLoan!F349)</f>
        <v>0</v>
      </c>
      <c r="AZ321" s="144">
        <f>IF('PV IN'!$F$4="Battery Only",0,-PVLoan!H349)</f>
        <v>0</v>
      </c>
      <c r="BA321" s="144">
        <f>IF('PV IN'!$F$4="PV Only",0,-BattLoan!H349)</f>
        <v>0</v>
      </c>
    </row>
    <row r="322" spans="1:88" x14ac:dyDescent="0.25">
      <c r="A322" t="str">
        <f>IF(C322&lt;='PV IN'!$O$22*12,C322,"")</f>
        <v/>
      </c>
      <c r="C322">
        <v>318</v>
      </c>
      <c r="D322" s="2">
        <f>BattCalcs!CK322+PVCalcs!AT322</f>
        <v>8877.1543282833118</v>
      </c>
      <c r="E322" s="20">
        <f>PVCalcs!AV322</f>
        <v>2101542.8908190457</v>
      </c>
      <c r="F322" s="20">
        <f>PVCalcs!AW322</f>
        <v>2436.4491101556628</v>
      </c>
      <c r="G322" s="20" t="e">
        <f>PVCalcs!AX322</f>
        <v>#N/A</v>
      </c>
      <c r="H322" s="20">
        <f>BattCalcs!CM322</f>
        <v>0</v>
      </c>
      <c r="I322" s="20">
        <f>BattCalcs!CN322</f>
        <v>0</v>
      </c>
      <c r="J322" s="20" t="e">
        <f>IF(C322&lt;='Batt IN'!H$43*12,BattCalcs!CO322,NA())</f>
        <v>#N/A</v>
      </c>
      <c r="L322" s="20">
        <f t="shared" si="826"/>
        <v>2436.4491101556628</v>
      </c>
      <c r="M322" s="20" t="e">
        <f>G322+BattCalcs!CO322</f>
        <v>#N/A</v>
      </c>
      <c r="O322" s="10" t="str">
        <f>PVLoan!G350</f>
        <v>-</v>
      </c>
      <c r="P322" s="10" t="str">
        <f>PVLoan!J350</f>
        <v>-</v>
      </c>
      <c r="Q322" s="2" t="str">
        <f>BattLoan!G350</f>
        <v>-</v>
      </c>
      <c r="R322" s="10" t="str">
        <f>BattLoan!J350</f>
        <v>-</v>
      </c>
      <c r="T322" s="33">
        <f>IF('PV IN'!$F$4="Battery Only",0,PVCalcs!G322)</f>
        <v>123440.68866016032</v>
      </c>
      <c r="U322" s="33">
        <f>IF('PV IN'!$F$4="Battery Only",0,PVCalcs!M322)</f>
        <v>123440.68866016032</v>
      </c>
      <c r="V322" s="33">
        <f>PVCalcs!L322</f>
        <v>25811.765833333331</v>
      </c>
      <c r="W322" s="158">
        <f>PVCalcs!F322</f>
        <v>8.071410194180921E-2</v>
      </c>
      <c r="X322" s="144">
        <f>IF('PV IN'!$F$4="Battery Only",0,PVCalcs!Y322+PVCalcs!Z322)</f>
        <v>0</v>
      </c>
      <c r="Y322" s="144">
        <f>IF('PV IN'!$F$4="PV Only",0,BattCalcs!AX322+BattCalcs!BC322)</f>
        <v>0</v>
      </c>
      <c r="Z322" s="144">
        <f>IF('PV IN'!$F$4="PV Only",0,BattCalcs!AY322+BattCalcs!BD322)</f>
        <v>0</v>
      </c>
      <c r="AA322" s="144">
        <f>IF('PV IN'!$F$4="PV Only",0,BattCalcs!AZ322+BattCalcs!BE322)</f>
        <v>0</v>
      </c>
      <c r="AB322" s="144">
        <f>IF('PV IN'!$F$4="PV Only",0,BattCalcs!BA322+BattCalcs!BF322)</f>
        <v>0</v>
      </c>
      <c r="AC322" s="144">
        <f>IF('PV IN'!$F$4="PV Only",0,BattCalcs!BB322+BattCalcs!BG322)</f>
        <v>0</v>
      </c>
      <c r="AD322" s="144">
        <f>IF('PV IN'!$F$4="PV Only",0,BattCalcs!BU322)</f>
        <v>0</v>
      </c>
      <c r="AE322" s="144">
        <f>IF('PV IN'!$F$4="PV Only",PVCalcs!W322+PVCalcs!AA322,IF('PV IN'!$F$4="Battery Only",BattCalcs!AV322+BattCalcs!BH322,PVCalcs!W322+PVCalcs!AA322+BattCalcs!AV322+BattCalcs!BH322))</f>
        <v>0</v>
      </c>
      <c r="AF322" s="10">
        <f>PVCalcs!AC322+BattCalcs!BJ322</f>
        <v>0</v>
      </c>
      <c r="AG322" s="144">
        <f>IF('PV IN'!$F$4="Battery Only",0,PVCalcs!AG322)</f>
        <v>-750</v>
      </c>
      <c r="AH322" s="144">
        <f>IF('PV IN'!$F$4="Battery Only",0,PVCalcs!AI322)</f>
        <v>0</v>
      </c>
      <c r="AI322" s="144">
        <f>IF('PV IN'!$F$4="PV Only",0,BattCalcs!BM322)</f>
        <v>0</v>
      </c>
      <c r="AJ322" s="144">
        <f>IF('PV IN'!$F$4="PV Only",0,SUM(BattCalcs!BO322:BT322))</f>
        <v>0</v>
      </c>
      <c r="AK322" s="144">
        <f>IF('PV IN'!$F$4="PV Only",PVCalcs!AH322,IF('PV IN'!$F$4="Battery Only",BattCalcs!BN322,PVCalcs!AH322+BattCalcs!BN322))</f>
        <v>-625</v>
      </c>
      <c r="AL322" s="144">
        <f>IF('PV IN'!$F$4="PV Only",0,BattCalcs!BV322)</f>
        <v>0</v>
      </c>
      <c r="AM322" s="144">
        <f>IF('PV IN'!$F$4="PV Only",0,SUM(BattCalcs!BW322:BX322))</f>
        <v>0</v>
      </c>
      <c r="AN322" s="144">
        <f>IF('PV IN'!$F$4="PV Only",0,BattCalcs!BY322)</f>
        <v>0</v>
      </c>
      <c r="AO322" s="144">
        <f>IF('PV IN'!$F$4="Battery Only",0,PVCalcs!U322)</f>
        <v>9963.4043282833118</v>
      </c>
      <c r="AP322" s="10">
        <f>IF('PV IN'!$F$4="PV Only",0,BattCalcs!AS322)</f>
        <v>0</v>
      </c>
      <c r="AQ322" s="10">
        <f>IF('PV IN'!$F$4="PV Only",0,BattCalcs!AT322)</f>
        <v>0</v>
      </c>
      <c r="AR322" s="10">
        <f>IF('PV IN'!$F$4="PV Only",0,BattCalcs!AU322)</f>
        <v>0</v>
      </c>
      <c r="AS322" s="144">
        <f>IF('PV IN'!$F$4="PV Only",PVCalcs!X322,IF('PV IN'!$F$4="Battery Only",BattCalcs!AW322,PVCalcs!X322+BattCalcs!AW322))</f>
        <v>0</v>
      </c>
      <c r="AT322" s="144">
        <f>IF('PV IN'!$F$4="Battery Only",0,-PVCalcs!AQ322*'PV IN'!$E$8)</f>
        <v>0</v>
      </c>
      <c r="AU322" s="144">
        <f>IF('PV IN'!$F$4="PV Only",0,-BattCalcs!CG322*'PV IN'!$E$8)</f>
        <v>0</v>
      </c>
      <c r="AV322" s="144">
        <f>IF('PV IN'!$F$4="PV Only",PVCalcs!Z322+PVCalcs!AA322,IF('PV IN'!$F$4="Battery Only",SUM(BattCalcs!BC322:BH322),PVCalcs!Z322+PVCalcs!AA322+SUM(BattCalcs!BC322:BH322)))</f>
        <v>0</v>
      </c>
      <c r="AW322" s="144">
        <f>IF('PV IN'!$F$4="PV Only",SUM(PVCalcs!AF322:AI322),IF('PV IN'!$F$4="Battery Only",SUM(BattCalcs!BL322:BY322),SUM(PVCalcs!AF322:AI322)+SUM(BattCalcs!BL322:BY322)))</f>
        <v>-1375</v>
      </c>
      <c r="AX322" s="144">
        <f>IF('PV IN'!$F$4="Battery Only",0,-PVLoan!F350)</f>
        <v>0</v>
      </c>
      <c r="AY322" s="144">
        <f>IF('PV IN'!$F$4="PV Only",0,-BattLoan!F350)</f>
        <v>0</v>
      </c>
      <c r="AZ322" s="144">
        <f>IF('PV IN'!$F$4="Battery Only",0,-PVLoan!H350)</f>
        <v>0</v>
      </c>
      <c r="BA322" s="144">
        <f>IF('PV IN'!$F$4="PV Only",0,-BattLoan!H350)</f>
        <v>0</v>
      </c>
    </row>
    <row r="323" spans="1:88" x14ac:dyDescent="0.25">
      <c r="A323" t="str">
        <f>IF(C323&lt;='PV IN'!$O$22*12,C323,"")</f>
        <v/>
      </c>
      <c r="C323">
        <v>319</v>
      </c>
      <c r="D323" s="2">
        <f>BattCalcs!CK323+PVCalcs!AT323</f>
        <v>8870.5120587311212</v>
      </c>
      <c r="E323" s="20">
        <f>PVCalcs!AV323</f>
        <v>2110413.4028777769</v>
      </c>
      <c r="F323" s="20">
        <f>PVCalcs!AW323</f>
        <v>2424.7473331197639</v>
      </c>
      <c r="G323" s="20" t="e">
        <f>PVCalcs!AX323</f>
        <v>#N/A</v>
      </c>
      <c r="H323" s="20">
        <f>BattCalcs!CM323</f>
        <v>0</v>
      </c>
      <c r="I323" s="20">
        <f>BattCalcs!CN323</f>
        <v>0</v>
      </c>
      <c r="J323" s="20" t="e">
        <f>IF(C323&lt;='Batt IN'!H$43*12,BattCalcs!CO323,NA())</f>
        <v>#N/A</v>
      </c>
      <c r="L323" s="20">
        <f t="shared" si="826"/>
        <v>2424.7473331197639</v>
      </c>
      <c r="M323" s="20" t="e">
        <f>G323+BattCalcs!CO323</f>
        <v>#N/A</v>
      </c>
      <c r="O323" s="10" t="str">
        <f>PVLoan!G351</f>
        <v>-</v>
      </c>
      <c r="P323" s="10" t="str">
        <f>PVLoan!J351</f>
        <v>-</v>
      </c>
      <c r="Q323" s="2" t="str">
        <f>BattLoan!G351</f>
        <v>-</v>
      </c>
      <c r="R323" s="10" t="str">
        <f>BattLoan!J351</f>
        <v>-</v>
      </c>
      <c r="T323" s="33">
        <f>IF('PV IN'!$F$4="Battery Only",0,PVCalcs!G323)</f>
        <v>123358.39486772018</v>
      </c>
      <c r="U323" s="33">
        <f>IF('PV IN'!$F$4="Battery Only",0,PVCalcs!M323)</f>
        <v>123358.39486772018</v>
      </c>
      <c r="V323" s="33">
        <f>PVCalcs!L323</f>
        <v>25811.765833333331</v>
      </c>
      <c r="W323" s="158">
        <f>PVCalcs!F323</f>
        <v>8.071410194180921E-2</v>
      </c>
      <c r="X323" s="144">
        <f>IF('PV IN'!$F$4="Battery Only",0,PVCalcs!Y323+PVCalcs!Z323)</f>
        <v>0</v>
      </c>
      <c r="Y323" s="144">
        <f>IF('PV IN'!$F$4="PV Only",0,BattCalcs!AX323+BattCalcs!BC323)</f>
        <v>0</v>
      </c>
      <c r="Z323" s="144">
        <f>IF('PV IN'!$F$4="PV Only",0,BattCalcs!AY323+BattCalcs!BD323)</f>
        <v>0</v>
      </c>
      <c r="AA323" s="144">
        <f>IF('PV IN'!$F$4="PV Only",0,BattCalcs!AZ323+BattCalcs!BE323)</f>
        <v>0</v>
      </c>
      <c r="AB323" s="144">
        <f>IF('PV IN'!$F$4="PV Only",0,BattCalcs!BA323+BattCalcs!BF323)</f>
        <v>0</v>
      </c>
      <c r="AC323" s="144">
        <f>IF('PV IN'!$F$4="PV Only",0,BattCalcs!BB323+BattCalcs!BG323)</f>
        <v>0</v>
      </c>
      <c r="AD323" s="144">
        <f>IF('PV IN'!$F$4="PV Only",0,BattCalcs!BU323)</f>
        <v>0</v>
      </c>
      <c r="AE323" s="144">
        <f>IF('PV IN'!$F$4="PV Only",PVCalcs!W323+PVCalcs!AA323,IF('PV IN'!$F$4="Battery Only",BattCalcs!AV323+BattCalcs!BH323,PVCalcs!W323+PVCalcs!AA323+BattCalcs!AV323+BattCalcs!BH323))</f>
        <v>0</v>
      </c>
      <c r="AF323" s="10">
        <f>PVCalcs!AC323+BattCalcs!BJ323</f>
        <v>0</v>
      </c>
      <c r="AG323" s="144">
        <f>IF('PV IN'!$F$4="Battery Only",0,PVCalcs!AG323)</f>
        <v>-750</v>
      </c>
      <c r="AH323" s="144">
        <f>IF('PV IN'!$F$4="Battery Only",0,PVCalcs!AI323)</f>
        <v>0</v>
      </c>
      <c r="AI323" s="144">
        <f>IF('PV IN'!$F$4="PV Only",0,BattCalcs!BM323)</f>
        <v>0</v>
      </c>
      <c r="AJ323" s="144">
        <f>IF('PV IN'!$F$4="PV Only",0,SUM(BattCalcs!BO323:BT323))</f>
        <v>0</v>
      </c>
      <c r="AK323" s="144">
        <f>IF('PV IN'!$F$4="PV Only",PVCalcs!AH323,IF('PV IN'!$F$4="Battery Only",BattCalcs!BN323,PVCalcs!AH323+BattCalcs!BN323))</f>
        <v>-625</v>
      </c>
      <c r="AL323" s="144">
        <f>IF('PV IN'!$F$4="PV Only",0,BattCalcs!BV323)</f>
        <v>0</v>
      </c>
      <c r="AM323" s="144">
        <f>IF('PV IN'!$F$4="PV Only",0,SUM(BattCalcs!BW323:BX323))</f>
        <v>0</v>
      </c>
      <c r="AN323" s="144">
        <f>IF('PV IN'!$F$4="PV Only",0,BattCalcs!BY323)</f>
        <v>0</v>
      </c>
      <c r="AO323" s="144">
        <f>IF('PV IN'!$F$4="Battery Only",0,PVCalcs!U323)</f>
        <v>9956.7620587311212</v>
      </c>
      <c r="AP323" s="10">
        <f>IF('PV IN'!$F$4="PV Only",0,BattCalcs!AS323)</f>
        <v>0</v>
      </c>
      <c r="AQ323" s="10">
        <f>IF('PV IN'!$F$4="PV Only",0,BattCalcs!AT323)</f>
        <v>0</v>
      </c>
      <c r="AR323" s="10">
        <f>IF('PV IN'!$F$4="PV Only",0,BattCalcs!AU323)</f>
        <v>0</v>
      </c>
      <c r="AS323" s="144">
        <f>IF('PV IN'!$F$4="PV Only",PVCalcs!X323,IF('PV IN'!$F$4="Battery Only",BattCalcs!AW323,PVCalcs!X323+BattCalcs!AW323))</f>
        <v>0</v>
      </c>
      <c r="AT323" s="144">
        <f>IF('PV IN'!$F$4="Battery Only",0,-PVCalcs!AQ323*'PV IN'!$E$8)</f>
        <v>0</v>
      </c>
      <c r="AU323" s="144">
        <f>IF('PV IN'!$F$4="PV Only",0,-BattCalcs!CG323*'PV IN'!$E$8)</f>
        <v>0</v>
      </c>
      <c r="AV323" s="144">
        <f>IF('PV IN'!$F$4="PV Only",PVCalcs!Z323+PVCalcs!AA323,IF('PV IN'!$F$4="Battery Only",SUM(BattCalcs!BC323:BH323),PVCalcs!Z323+PVCalcs!AA323+SUM(BattCalcs!BC323:BH323)))</f>
        <v>0</v>
      </c>
      <c r="AW323" s="144">
        <f>IF('PV IN'!$F$4="PV Only",SUM(PVCalcs!AF323:AI323),IF('PV IN'!$F$4="Battery Only",SUM(BattCalcs!BL323:BY323),SUM(PVCalcs!AF323:AI323)+SUM(BattCalcs!BL323:BY323)))</f>
        <v>-1375</v>
      </c>
      <c r="AX323" s="144">
        <f>IF('PV IN'!$F$4="Battery Only",0,-PVLoan!F351)</f>
        <v>0</v>
      </c>
      <c r="AY323" s="144">
        <f>IF('PV IN'!$F$4="PV Only",0,-BattLoan!F351)</f>
        <v>0</v>
      </c>
      <c r="AZ323" s="144">
        <f>IF('PV IN'!$F$4="Battery Only",0,-PVLoan!H351)</f>
        <v>0</v>
      </c>
      <c r="BA323" s="144">
        <f>IF('PV IN'!$F$4="PV Only",0,-BattLoan!H351)</f>
        <v>0</v>
      </c>
    </row>
    <row r="324" spans="1:88" x14ac:dyDescent="0.25">
      <c r="A324" t="str">
        <f>IF(C324&lt;='PV IN'!$O$22*12,C324,"")</f>
        <v/>
      </c>
      <c r="C324">
        <v>320</v>
      </c>
      <c r="D324" s="2">
        <f>BattCalcs!CK324+PVCalcs!AT324</f>
        <v>8863.8742173586361</v>
      </c>
      <c r="E324" s="20">
        <f>PVCalcs!AV324</f>
        <v>2119277.2770951353</v>
      </c>
      <c r="F324" s="20">
        <f>PVCalcs!AW324</f>
        <v>2413.1016098609962</v>
      </c>
      <c r="G324" s="20" t="e">
        <f>PVCalcs!AX324</f>
        <v>#N/A</v>
      </c>
      <c r="H324" s="20">
        <f>BattCalcs!CM324</f>
        <v>0</v>
      </c>
      <c r="I324" s="20">
        <f>BattCalcs!CN324</f>
        <v>0</v>
      </c>
      <c r="J324" s="20" t="e">
        <f>IF(C324&lt;='Batt IN'!H$43*12,BattCalcs!CO324,NA())</f>
        <v>#N/A</v>
      </c>
      <c r="L324" s="20">
        <f t="shared" si="826"/>
        <v>2413.1016098609962</v>
      </c>
      <c r="M324" s="20" t="e">
        <f>G324+BattCalcs!CO324</f>
        <v>#N/A</v>
      </c>
      <c r="O324" s="10" t="str">
        <f>PVLoan!G352</f>
        <v>-</v>
      </c>
      <c r="P324" s="10" t="str">
        <f>PVLoan!J352</f>
        <v>-</v>
      </c>
      <c r="Q324" s="2" t="str">
        <f>BattLoan!G352</f>
        <v>-</v>
      </c>
      <c r="R324" s="10" t="str">
        <f>BattLoan!J352</f>
        <v>-</v>
      </c>
      <c r="T324" s="33">
        <f>IF('PV IN'!$F$4="Battery Only",0,PVCalcs!G324)</f>
        <v>123276.15593780839</v>
      </c>
      <c r="U324" s="33">
        <f>IF('PV IN'!$F$4="Battery Only",0,PVCalcs!M324)</f>
        <v>123276.15593780839</v>
      </c>
      <c r="V324" s="33">
        <f>PVCalcs!L324</f>
        <v>25811.765833333331</v>
      </c>
      <c r="W324" s="158">
        <f>PVCalcs!F324</f>
        <v>8.071410194180921E-2</v>
      </c>
      <c r="X324" s="144">
        <f>IF('PV IN'!$F$4="Battery Only",0,PVCalcs!Y324+PVCalcs!Z324)</f>
        <v>0</v>
      </c>
      <c r="Y324" s="144">
        <f>IF('PV IN'!$F$4="PV Only",0,BattCalcs!AX324+BattCalcs!BC324)</f>
        <v>0</v>
      </c>
      <c r="Z324" s="144">
        <f>IF('PV IN'!$F$4="PV Only",0,BattCalcs!AY324+BattCalcs!BD324)</f>
        <v>0</v>
      </c>
      <c r="AA324" s="144">
        <f>IF('PV IN'!$F$4="PV Only",0,BattCalcs!AZ324+BattCalcs!BE324)</f>
        <v>0</v>
      </c>
      <c r="AB324" s="144">
        <f>IF('PV IN'!$F$4="PV Only",0,BattCalcs!BA324+BattCalcs!BF324)</f>
        <v>0</v>
      </c>
      <c r="AC324" s="144">
        <f>IF('PV IN'!$F$4="PV Only",0,BattCalcs!BB324+BattCalcs!BG324)</f>
        <v>0</v>
      </c>
      <c r="AD324" s="144">
        <f>IF('PV IN'!$F$4="PV Only",0,BattCalcs!BU324)</f>
        <v>0</v>
      </c>
      <c r="AE324" s="144">
        <f>IF('PV IN'!$F$4="PV Only",PVCalcs!W324+PVCalcs!AA324,IF('PV IN'!$F$4="Battery Only",BattCalcs!AV324+BattCalcs!BH324,PVCalcs!W324+PVCalcs!AA324+BattCalcs!AV324+BattCalcs!BH324))</f>
        <v>0</v>
      </c>
      <c r="AF324" s="10">
        <f>PVCalcs!AC324+BattCalcs!BJ324</f>
        <v>0</v>
      </c>
      <c r="AG324" s="144">
        <f>IF('PV IN'!$F$4="Battery Only",0,PVCalcs!AG324)</f>
        <v>-750</v>
      </c>
      <c r="AH324" s="144">
        <f>IF('PV IN'!$F$4="Battery Only",0,PVCalcs!AI324)</f>
        <v>0</v>
      </c>
      <c r="AI324" s="144">
        <f>IF('PV IN'!$F$4="PV Only",0,BattCalcs!BM324)</f>
        <v>0</v>
      </c>
      <c r="AJ324" s="144">
        <f>IF('PV IN'!$F$4="PV Only",0,SUM(BattCalcs!BO324:BT324))</f>
        <v>0</v>
      </c>
      <c r="AK324" s="144">
        <f>IF('PV IN'!$F$4="PV Only",PVCalcs!AH324,IF('PV IN'!$F$4="Battery Only",BattCalcs!BN324,PVCalcs!AH324+BattCalcs!BN324))</f>
        <v>-625</v>
      </c>
      <c r="AL324" s="144">
        <f>IF('PV IN'!$F$4="PV Only",0,BattCalcs!BV324)</f>
        <v>0</v>
      </c>
      <c r="AM324" s="144">
        <f>IF('PV IN'!$F$4="PV Only",0,SUM(BattCalcs!BW324:BX324))</f>
        <v>0</v>
      </c>
      <c r="AN324" s="144">
        <f>IF('PV IN'!$F$4="PV Only",0,BattCalcs!BY324)</f>
        <v>0</v>
      </c>
      <c r="AO324" s="144">
        <f>IF('PV IN'!$F$4="Battery Only",0,PVCalcs!U324)</f>
        <v>9950.1242173586361</v>
      </c>
      <c r="AP324" s="10">
        <f>IF('PV IN'!$F$4="PV Only",0,BattCalcs!AS324)</f>
        <v>0</v>
      </c>
      <c r="AQ324" s="10">
        <f>IF('PV IN'!$F$4="PV Only",0,BattCalcs!AT324)</f>
        <v>0</v>
      </c>
      <c r="AR324" s="10">
        <f>IF('PV IN'!$F$4="PV Only",0,BattCalcs!AU324)</f>
        <v>0</v>
      </c>
      <c r="AS324" s="144">
        <f>IF('PV IN'!$F$4="PV Only",PVCalcs!X324,IF('PV IN'!$F$4="Battery Only",BattCalcs!AW324,PVCalcs!X324+BattCalcs!AW324))</f>
        <v>0</v>
      </c>
      <c r="AT324" s="144">
        <f>IF('PV IN'!$F$4="Battery Only",0,-PVCalcs!AQ324*'PV IN'!$E$8)</f>
        <v>0</v>
      </c>
      <c r="AU324" s="144">
        <f>IF('PV IN'!$F$4="PV Only",0,-BattCalcs!CG324*'PV IN'!$E$8)</f>
        <v>0</v>
      </c>
      <c r="AV324" s="144">
        <f>IF('PV IN'!$F$4="PV Only",PVCalcs!Z324+PVCalcs!AA324,IF('PV IN'!$F$4="Battery Only",SUM(BattCalcs!BC324:BH324),PVCalcs!Z324+PVCalcs!AA324+SUM(BattCalcs!BC324:BH324)))</f>
        <v>0</v>
      </c>
      <c r="AW324" s="144">
        <f>IF('PV IN'!$F$4="PV Only",SUM(PVCalcs!AF324:AI324),IF('PV IN'!$F$4="Battery Only",SUM(BattCalcs!BL324:BY324),SUM(PVCalcs!AF324:AI324)+SUM(BattCalcs!BL324:BY324)))</f>
        <v>-1375</v>
      </c>
      <c r="AX324" s="144">
        <f>IF('PV IN'!$F$4="Battery Only",0,-PVLoan!F352)</f>
        <v>0</v>
      </c>
      <c r="AY324" s="144">
        <f>IF('PV IN'!$F$4="PV Only",0,-BattLoan!F352)</f>
        <v>0</v>
      </c>
      <c r="AZ324" s="144">
        <f>IF('PV IN'!$F$4="Battery Only",0,-PVLoan!H352)</f>
        <v>0</v>
      </c>
      <c r="BA324" s="144">
        <f>IF('PV IN'!$F$4="PV Only",0,-BattLoan!H352)</f>
        <v>0</v>
      </c>
    </row>
    <row r="325" spans="1:88" x14ac:dyDescent="0.25">
      <c r="A325" t="str">
        <f>IF(C325&lt;='PV IN'!$O$22*12,C325,"")</f>
        <v/>
      </c>
      <c r="C325">
        <v>321</v>
      </c>
      <c r="D325" s="2">
        <f>BattCalcs!CK325+PVCalcs!AT325</f>
        <v>8857.2408012137275</v>
      </c>
      <c r="E325" s="20">
        <f>PVCalcs!AV325</f>
        <v>2128134.5178963491</v>
      </c>
      <c r="F325" s="20">
        <f>PVCalcs!AW325</f>
        <v>2401.5116724593408</v>
      </c>
      <c r="G325" s="20" t="e">
        <f>PVCalcs!AX325</f>
        <v>#N/A</v>
      </c>
      <c r="H325" s="20">
        <f>BattCalcs!CM325</f>
        <v>0</v>
      </c>
      <c r="I325" s="20">
        <f>BattCalcs!CN325</f>
        <v>0</v>
      </c>
      <c r="J325" s="20" t="e">
        <f>IF(C325&lt;='Batt IN'!H$43*12,BattCalcs!CO325,NA())</f>
        <v>#N/A</v>
      </c>
      <c r="L325" s="20">
        <f t="shared" si="826"/>
        <v>2401.5116724593408</v>
      </c>
      <c r="M325" s="20" t="e">
        <f>G325+BattCalcs!CO325</f>
        <v>#N/A</v>
      </c>
      <c r="O325" s="10" t="str">
        <f>PVLoan!G353</f>
        <v>-</v>
      </c>
      <c r="P325" s="10" t="str">
        <f>PVLoan!J353</f>
        <v>-</v>
      </c>
      <c r="Q325" s="2" t="str">
        <f>BattLoan!G353</f>
        <v>-</v>
      </c>
      <c r="R325" s="10" t="str">
        <f>BattLoan!J353</f>
        <v>-</v>
      </c>
      <c r="T325" s="33">
        <f>IF('PV IN'!$F$4="Battery Only",0,PVCalcs!G325)</f>
        <v>123193.97183384984</v>
      </c>
      <c r="U325" s="33">
        <f>IF('PV IN'!$F$4="Battery Only",0,PVCalcs!M325)</f>
        <v>123193.97183384984</v>
      </c>
      <c r="V325" s="33">
        <f>PVCalcs!L325</f>
        <v>25811.765833333331</v>
      </c>
      <c r="W325" s="158">
        <f>PVCalcs!F325</f>
        <v>8.071410194180921E-2</v>
      </c>
      <c r="X325" s="144">
        <f>IF('PV IN'!$F$4="Battery Only",0,PVCalcs!Y325+PVCalcs!Z325)</f>
        <v>0</v>
      </c>
      <c r="Y325" s="144">
        <f>IF('PV IN'!$F$4="PV Only",0,BattCalcs!AX325+BattCalcs!BC325)</f>
        <v>0</v>
      </c>
      <c r="Z325" s="144">
        <f>IF('PV IN'!$F$4="PV Only",0,BattCalcs!AY325+BattCalcs!BD325)</f>
        <v>0</v>
      </c>
      <c r="AA325" s="144">
        <f>IF('PV IN'!$F$4="PV Only",0,BattCalcs!AZ325+BattCalcs!BE325)</f>
        <v>0</v>
      </c>
      <c r="AB325" s="144">
        <f>IF('PV IN'!$F$4="PV Only",0,BattCalcs!BA325+BattCalcs!BF325)</f>
        <v>0</v>
      </c>
      <c r="AC325" s="144">
        <f>IF('PV IN'!$F$4="PV Only",0,BattCalcs!BB325+BattCalcs!BG325)</f>
        <v>0</v>
      </c>
      <c r="AD325" s="144">
        <f>IF('PV IN'!$F$4="PV Only",0,BattCalcs!BU325)</f>
        <v>0</v>
      </c>
      <c r="AE325" s="144">
        <f>IF('PV IN'!$F$4="PV Only",PVCalcs!W325+PVCalcs!AA325,IF('PV IN'!$F$4="Battery Only",BattCalcs!AV325+BattCalcs!BH325,PVCalcs!W325+PVCalcs!AA325+BattCalcs!AV325+BattCalcs!BH325))</f>
        <v>0</v>
      </c>
      <c r="AF325" s="10">
        <f>PVCalcs!AC325+BattCalcs!BJ325</f>
        <v>0</v>
      </c>
      <c r="AG325" s="144">
        <f>IF('PV IN'!$F$4="Battery Only",0,PVCalcs!AG325)</f>
        <v>-750</v>
      </c>
      <c r="AH325" s="144">
        <f>IF('PV IN'!$F$4="Battery Only",0,PVCalcs!AI325)</f>
        <v>0</v>
      </c>
      <c r="AI325" s="144">
        <f>IF('PV IN'!$F$4="PV Only",0,BattCalcs!BM325)</f>
        <v>0</v>
      </c>
      <c r="AJ325" s="144">
        <f>IF('PV IN'!$F$4="PV Only",0,SUM(BattCalcs!BO325:BT325))</f>
        <v>0</v>
      </c>
      <c r="AK325" s="144">
        <f>IF('PV IN'!$F$4="PV Only",PVCalcs!AH325,IF('PV IN'!$F$4="Battery Only",BattCalcs!BN325,PVCalcs!AH325+BattCalcs!BN325))</f>
        <v>-625</v>
      </c>
      <c r="AL325" s="144">
        <f>IF('PV IN'!$F$4="PV Only",0,BattCalcs!BV325)</f>
        <v>0</v>
      </c>
      <c r="AM325" s="144">
        <f>IF('PV IN'!$F$4="PV Only",0,SUM(BattCalcs!BW325:BX325))</f>
        <v>0</v>
      </c>
      <c r="AN325" s="144">
        <f>IF('PV IN'!$F$4="PV Only",0,BattCalcs!BY325)</f>
        <v>0</v>
      </c>
      <c r="AO325" s="144">
        <f>IF('PV IN'!$F$4="Battery Only",0,PVCalcs!U325)</f>
        <v>9943.4908012137275</v>
      </c>
      <c r="AP325" s="10">
        <f>IF('PV IN'!$F$4="PV Only",0,BattCalcs!AS325)</f>
        <v>0</v>
      </c>
      <c r="AQ325" s="10">
        <f>IF('PV IN'!$F$4="PV Only",0,BattCalcs!AT325)</f>
        <v>0</v>
      </c>
      <c r="AR325" s="10">
        <f>IF('PV IN'!$F$4="PV Only",0,BattCalcs!AU325)</f>
        <v>0</v>
      </c>
      <c r="AS325" s="144">
        <f>IF('PV IN'!$F$4="PV Only",PVCalcs!X325,IF('PV IN'!$F$4="Battery Only",BattCalcs!AW325,PVCalcs!X325+BattCalcs!AW325))</f>
        <v>0</v>
      </c>
      <c r="AT325" s="144">
        <f>IF('PV IN'!$F$4="Battery Only",0,-PVCalcs!AQ325*'PV IN'!$E$8)</f>
        <v>0</v>
      </c>
      <c r="AU325" s="144">
        <f>IF('PV IN'!$F$4="PV Only",0,-BattCalcs!CG325*'PV IN'!$E$8)</f>
        <v>0</v>
      </c>
      <c r="AV325" s="144">
        <f>IF('PV IN'!$F$4="PV Only",PVCalcs!Z325+PVCalcs!AA325,IF('PV IN'!$F$4="Battery Only",SUM(BattCalcs!BC325:BH325),PVCalcs!Z325+PVCalcs!AA325+SUM(BattCalcs!BC325:BH325)))</f>
        <v>0</v>
      </c>
      <c r="AW325" s="144">
        <f>IF('PV IN'!$F$4="PV Only",SUM(PVCalcs!AF325:AI325),IF('PV IN'!$F$4="Battery Only",SUM(BattCalcs!BL325:BY325),SUM(PVCalcs!AF325:AI325)+SUM(BattCalcs!BL325:BY325)))</f>
        <v>-1375</v>
      </c>
      <c r="AX325" s="144">
        <f>IF('PV IN'!$F$4="Battery Only",0,-PVLoan!F353)</f>
        <v>0</v>
      </c>
      <c r="AY325" s="144">
        <f>IF('PV IN'!$F$4="PV Only",0,-BattLoan!F353)</f>
        <v>0</v>
      </c>
      <c r="AZ325" s="144">
        <f>IF('PV IN'!$F$4="Battery Only",0,-PVLoan!H353)</f>
        <v>0</v>
      </c>
      <c r="BA325" s="144">
        <f>IF('PV IN'!$F$4="PV Only",0,-BattLoan!H353)</f>
        <v>0</v>
      </c>
    </row>
    <row r="326" spans="1:88" x14ac:dyDescent="0.25">
      <c r="A326" t="str">
        <f>IF(C326&lt;='PV IN'!$O$22*12,C326,"")</f>
        <v/>
      </c>
      <c r="C326">
        <v>322</v>
      </c>
      <c r="D326" s="2">
        <f>BattCalcs!CK326+PVCalcs!AT326</f>
        <v>8850.6118073462512</v>
      </c>
      <c r="E326" s="20">
        <f>PVCalcs!AV326</f>
        <v>2136985.1297036954</v>
      </c>
      <c r="F326" s="20">
        <f>PVCalcs!AW326</f>
        <v>2389.9772542730057</v>
      </c>
      <c r="G326" s="20" t="e">
        <f>PVCalcs!AX326</f>
        <v>#N/A</v>
      </c>
      <c r="H326" s="20">
        <f>BattCalcs!CM326</f>
        <v>0</v>
      </c>
      <c r="I326" s="20">
        <f>BattCalcs!CN326</f>
        <v>0</v>
      </c>
      <c r="J326" s="20" t="e">
        <f>IF(C326&lt;='Batt IN'!H$43*12,BattCalcs!CO326,NA())</f>
        <v>#N/A</v>
      </c>
      <c r="L326" s="20">
        <f t="shared" si="826"/>
        <v>2389.9772542730057</v>
      </c>
      <c r="M326" s="20" t="e">
        <f>G326+BattCalcs!CO326</f>
        <v>#N/A</v>
      </c>
      <c r="O326" s="10" t="str">
        <f>PVLoan!G354</f>
        <v>-</v>
      </c>
      <c r="P326" s="10" t="str">
        <f>PVLoan!J354</f>
        <v>-</v>
      </c>
      <c r="Q326" s="2" t="str">
        <f>BattLoan!G354</f>
        <v>-</v>
      </c>
      <c r="R326" s="10" t="str">
        <f>BattLoan!J354</f>
        <v>-</v>
      </c>
      <c r="T326" s="33">
        <f>IF('PV IN'!$F$4="Battery Only",0,PVCalcs!G326)</f>
        <v>123111.84251929393</v>
      </c>
      <c r="U326" s="33">
        <f>IF('PV IN'!$F$4="Battery Only",0,PVCalcs!M326)</f>
        <v>123111.84251929393</v>
      </c>
      <c r="V326" s="33">
        <f>PVCalcs!L326</f>
        <v>25811.765833333331</v>
      </c>
      <c r="W326" s="158">
        <f>PVCalcs!F326</f>
        <v>8.071410194180921E-2</v>
      </c>
      <c r="X326" s="144">
        <f>IF('PV IN'!$F$4="Battery Only",0,PVCalcs!Y326+PVCalcs!Z326)</f>
        <v>0</v>
      </c>
      <c r="Y326" s="144">
        <f>IF('PV IN'!$F$4="PV Only",0,BattCalcs!AX326+BattCalcs!BC326)</f>
        <v>0</v>
      </c>
      <c r="Z326" s="144">
        <f>IF('PV IN'!$F$4="PV Only",0,BattCalcs!AY326+BattCalcs!BD326)</f>
        <v>0</v>
      </c>
      <c r="AA326" s="144">
        <f>IF('PV IN'!$F$4="PV Only",0,BattCalcs!AZ326+BattCalcs!BE326)</f>
        <v>0</v>
      </c>
      <c r="AB326" s="144">
        <f>IF('PV IN'!$F$4="PV Only",0,BattCalcs!BA326+BattCalcs!BF326)</f>
        <v>0</v>
      </c>
      <c r="AC326" s="144">
        <f>IF('PV IN'!$F$4="PV Only",0,BattCalcs!BB326+BattCalcs!BG326)</f>
        <v>0</v>
      </c>
      <c r="AD326" s="144">
        <f>IF('PV IN'!$F$4="PV Only",0,BattCalcs!BU326)</f>
        <v>0</v>
      </c>
      <c r="AE326" s="144">
        <f>IF('PV IN'!$F$4="PV Only",PVCalcs!W326+PVCalcs!AA326,IF('PV IN'!$F$4="Battery Only",BattCalcs!AV326+BattCalcs!BH326,PVCalcs!W326+PVCalcs!AA326+BattCalcs!AV326+BattCalcs!BH326))</f>
        <v>0</v>
      </c>
      <c r="AF326" s="10">
        <f>PVCalcs!AC326+BattCalcs!BJ326</f>
        <v>0</v>
      </c>
      <c r="AG326" s="144">
        <f>IF('PV IN'!$F$4="Battery Only",0,PVCalcs!AG326)</f>
        <v>-750</v>
      </c>
      <c r="AH326" s="144">
        <f>IF('PV IN'!$F$4="Battery Only",0,PVCalcs!AI326)</f>
        <v>0</v>
      </c>
      <c r="AI326" s="144">
        <f>IF('PV IN'!$F$4="PV Only",0,BattCalcs!BM326)</f>
        <v>0</v>
      </c>
      <c r="AJ326" s="144">
        <f>IF('PV IN'!$F$4="PV Only",0,SUM(BattCalcs!BO326:BT326))</f>
        <v>0</v>
      </c>
      <c r="AK326" s="144">
        <f>IF('PV IN'!$F$4="PV Only",PVCalcs!AH326,IF('PV IN'!$F$4="Battery Only",BattCalcs!BN326,PVCalcs!AH326+BattCalcs!BN326))</f>
        <v>-625</v>
      </c>
      <c r="AL326" s="144">
        <f>IF('PV IN'!$F$4="PV Only",0,BattCalcs!BV326)</f>
        <v>0</v>
      </c>
      <c r="AM326" s="144">
        <f>IF('PV IN'!$F$4="PV Only",0,SUM(BattCalcs!BW326:BX326))</f>
        <v>0</v>
      </c>
      <c r="AN326" s="144">
        <f>IF('PV IN'!$F$4="PV Only",0,BattCalcs!BY326)</f>
        <v>0</v>
      </c>
      <c r="AO326" s="144">
        <f>IF('PV IN'!$F$4="Battery Only",0,PVCalcs!U326)</f>
        <v>9936.8618073462512</v>
      </c>
      <c r="AP326" s="10">
        <f>IF('PV IN'!$F$4="PV Only",0,BattCalcs!AS326)</f>
        <v>0</v>
      </c>
      <c r="AQ326" s="10">
        <f>IF('PV IN'!$F$4="PV Only",0,BattCalcs!AT326)</f>
        <v>0</v>
      </c>
      <c r="AR326" s="10">
        <f>IF('PV IN'!$F$4="PV Only",0,BattCalcs!AU326)</f>
        <v>0</v>
      </c>
      <c r="AS326" s="144">
        <f>IF('PV IN'!$F$4="PV Only",PVCalcs!X326,IF('PV IN'!$F$4="Battery Only",BattCalcs!AW326,PVCalcs!X326+BattCalcs!AW326))</f>
        <v>0</v>
      </c>
      <c r="AT326" s="144">
        <f>IF('PV IN'!$F$4="Battery Only",0,-PVCalcs!AQ326*'PV IN'!$E$8)</f>
        <v>0</v>
      </c>
      <c r="AU326" s="144">
        <f>IF('PV IN'!$F$4="PV Only",0,-BattCalcs!CG326*'PV IN'!$E$8)</f>
        <v>0</v>
      </c>
      <c r="AV326" s="144">
        <f>IF('PV IN'!$F$4="PV Only",PVCalcs!Z326+PVCalcs!AA326,IF('PV IN'!$F$4="Battery Only",SUM(BattCalcs!BC326:BH326),PVCalcs!Z326+PVCalcs!AA326+SUM(BattCalcs!BC326:BH326)))</f>
        <v>0</v>
      </c>
      <c r="AW326" s="144">
        <f>IF('PV IN'!$F$4="PV Only",SUM(PVCalcs!AF326:AI326),IF('PV IN'!$F$4="Battery Only",SUM(BattCalcs!BL326:BY326),SUM(PVCalcs!AF326:AI326)+SUM(BattCalcs!BL326:BY326)))</f>
        <v>-1375</v>
      </c>
      <c r="AX326" s="144">
        <f>IF('PV IN'!$F$4="Battery Only",0,-PVLoan!F354)</f>
        <v>0</v>
      </c>
      <c r="AY326" s="144">
        <f>IF('PV IN'!$F$4="PV Only",0,-BattLoan!F354)</f>
        <v>0</v>
      </c>
      <c r="AZ326" s="144">
        <f>IF('PV IN'!$F$4="Battery Only",0,-PVLoan!H354)</f>
        <v>0</v>
      </c>
      <c r="BA326" s="144">
        <f>IF('PV IN'!$F$4="PV Only",0,-BattLoan!H354)</f>
        <v>0</v>
      </c>
    </row>
    <row r="327" spans="1:88" x14ac:dyDescent="0.25">
      <c r="A327" t="str">
        <f>IF(C327&lt;='PV IN'!$O$22*12,C327,"")</f>
        <v/>
      </c>
      <c r="C327">
        <v>323</v>
      </c>
      <c r="D327" s="2">
        <f>BattCalcs!CK327+PVCalcs!AT327</f>
        <v>8843.9872328080219</v>
      </c>
      <c r="E327" s="20">
        <f>PVCalcs!AV327</f>
        <v>2145829.1169365034</v>
      </c>
      <c r="F327" s="20">
        <f>PVCalcs!AW327</f>
        <v>2378.4980899323332</v>
      </c>
      <c r="G327" s="20" t="e">
        <f>PVCalcs!AX327</f>
        <v>#N/A</v>
      </c>
      <c r="H327" s="20">
        <f>BattCalcs!CM327</f>
        <v>0</v>
      </c>
      <c r="I327" s="20">
        <f>BattCalcs!CN327</f>
        <v>0</v>
      </c>
      <c r="J327" s="20" t="e">
        <f>IF(C327&lt;='Batt IN'!H$43*12,BattCalcs!CO327,NA())</f>
        <v>#N/A</v>
      </c>
      <c r="L327" s="20">
        <f t="shared" si="826"/>
        <v>2378.4980899323332</v>
      </c>
      <c r="M327" s="20" t="e">
        <f>G327+BattCalcs!CO327</f>
        <v>#N/A</v>
      </c>
      <c r="O327" s="10" t="str">
        <f>PVLoan!G355</f>
        <v>-</v>
      </c>
      <c r="P327" s="10" t="str">
        <f>PVLoan!J355</f>
        <v>-</v>
      </c>
      <c r="Q327" s="2" t="str">
        <f>BattLoan!G355</f>
        <v>-</v>
      </c>
      <c r="R327" s="10" t="str">
        <f>BattLoan!J355</f>
        <v>-</v>
      </c>
      <c r="T327" s="33">
        <f>IF('PV IN'!$F$4="Battery Only",0,PVCalcs!G327)</f>
        <v>123029.7679576144</v>
      </c>
      <c r="U327" s="33">
        <f>IF('PV IN'!$F$4="Battery Only",0,PVCalcs!M327)</f>
        <v>123029.7679576144</v>
      </c>
      <c r="V327" s="33">
        <f>PVCalcs!L327</f>
        <v>25811.765833333331</v>
      </c>
      <c r="W327" s="158">
        <f>PVCalcs!F327</f>
        <v>8.071410194180921E-2</v>
      </c>
      <c r="X327" s="144">
        <f>IF('PV IN'!$F$4="Battery Only",0,PVCalcs!Y327+PVCalcs!Z327)</f>
        <v>0</v>
      </c>
      <c r="Y327" s="144">
        <f>IF('PV IN'!$F$4="PV Only",0,BattCalcs!AX327+BattCalcs!BC327)</f>
        <v>0</v>
      </c>
      <c r="Z327" s="144">
        <f>IF('PV IN'!$F$4="PV Only",0,BattCalcs!AY327+BattCalcs!BD327)</f>
        <v>0</v>
      </c>
      <c r="AA327" s="144">
        <f>IF('PV IN'!$F$4="PV Only",0,BattCalcs!AZ327+BattCalcs!BE327)</f>
        <v>0</v>
      </c>
      <c r="AB327" s="144">
        <f>IF('PV IN'!$F$4="PV Only",0,BattCalcs!BA327+BattCalcs!BF327)</f>
        <v>0</v>
      </c>
      <c r="AC327" s="144">
        <f>IF('PV IN'!$F$4="PV Only",0,BattCalcs!BB327+BattCalcs!BG327)</f>
        <v>0</v>
      </c>
      <c r="AD327" s="144">
        <f>IF('PV IN'!$F$4="PV Only",0,BattCalcs!BU327)</f>
        <v>0</v>
      </c>
      <c r="AE327" s="144">
        <f>IF('PV IN'!$F$4="PV Only",PVCalcs!W327+PVCalcs!AA327,IF('PV IN'!$F$4="Battery Only",BattCalcs!AV327+BattCalcs!BH327,PVCalcs!W327+PVCalcs!AA327+BattCalcs!AV327+BattCalcs!BH327))</f>
        <v>0</v>
      </c>
      <c r="AF327" s="10">
        <f>PVCalcs!AC327+BattCalcs!BJ327</f>
        <v>0</v>
      </c>
      <c r="AG327" s="144">
        <f>IF('PV IN'!$F$4="Battery Only",0,PVCalcs!AG327)</f>
        <v>-750</v>
      </c>
      <c r="AH327" s="144">
        <f>IF('PV IN'!$F$4="Battery Only",0,PVCalcs!AI327)</f>
        <v>0</v>
      </c>
      <c r="AI327" s="144">
        <f>IF('PV IN'!$F$4="PV Only",0,BattCalcs!BM327)</f>
        <v>0</v>
      </c>
      <c r="AJ327" s="144">
        <f>IF('PV IN'!$F$4="PV Only",0,SUM(BattCalcs!BO327:BT327))</f>
        <v>0</v>
      </c>
      <c r="AK327" s="144">
        <f>IF('PV IN'!$F$4="PV Only",PVCalcs!AH327,IF('PV IN'!$F$4="Battery Only",BattCalcs!BN327,PVCalcs!AH327+BattCalcs!BN327))</f>
        <v>-625</v>
      </c>
      <c r="AL327" s="144">
        <f>IF('PV IN'!$F$4="PV Only",0,BattCalcs!BV327)</f>
        <v>0</v>
      </c>
      <c r="AM327" s="144">
        <f>IF('PV IN'!$F$4="PV Only",0,SUM(BattCalcs!BW327:BX327))</f>
        <v>0</v>
      </c>
      <c r="AN327" s="144">
        <f>IF('PV IN'!$F$4="PV Only",0,BattCalcs!BY327)</f>
        <v>0</v>
      </c>
      <c r="AO327" s="144">
        <f>IF('PV IN'!$F$4="Battery Only",0,PVCalcs!U327)</f>
        <v>9930.2372328080219</v>
      </c>
      <c r="AP327" s="10">
        <f>IF('PV IN'!$F$4="PV Only",0,BattCalcs!AS327)</f>
        <v>0</v>
      </c>
      <c r="AQ327" s="10">
        <f>IF('PV IN'!$F$4="PV Only",0,BattCalcs!AT327)</f>
        <v>0</v>
      </c>
      <c r="AR327" s="10">
        <f>IF('PV IN'!$F$4="PV Only",0,BattCalcs!AU327)</f>
        <v>0</v>
      </c>
      <c r="AS327" s="144">
        <f>IF('PV IN'!$F$4="PV Only",PVCalcs!X327,IF('PV IN'!$F$4="Battery Only",BattCalcs!AW327,PVCalcs!X327+BattCalcs!AW327))</f>
        <v>0</v>
      </c>
      <c r="AT327" s="144">
        <f>IF('PV IN'!$F$4="Battery Only",0,-PVCalcs!AQ327*'PV IN'!$E$8)</f>
        <v>0</v>
      </c>
      <c r="AU327" s="144">
        <f>IF('PV IN'!$F$4="PV Only",0,-BattCalcs!CG327*'PV IN'!$E$8)</f>
        <v>0</v>
      </c>
      <c r="AV327" s="144">
        <f>IF('PV IN'!$F$4="PV Only",PVCalcs!Z327+PVCalcs!AA327,IF('PV IN'!$F$4="Battery Only",SUM(BattCalcs!BC327:BH327),PVCalcs!Z327+PVCalcs!AA327+SUM(BattCalcs!BC327:BH327)))</f>
        <v>0</v>
      </c>
      <c r="AW327" s="144">
        <f>IF('PV IN'!$F$4="PV Only",SUM(PVCalcs!AF327:AI327),IF('PV IN'!$F$4="Battery Only",SUM(BattCalcs!BL327:BY327),SUM(PVCalcs!AF327:AI327)+SUM(BattCalcs!BL327:BY327)))</f>
        <v>-1375</v>
      </c>
      <c r="AX327" s="144">
        <f>IF('PV IN'!$F$4="Battery Only",0,-PVLoan!F355)</f>
        <v>0</v>
      </c>
      <c r="AY327" s="144">
        <f>IF('PV IN'!$F$4="PV Only",0,-BattLoan!F355)</f>
        <v>0</v>
      </c>
      <c r="AZ327" s="144">
        <f>IF('PV IN'!$F$4="Battery Only",0,-PVLoan!H355)</f>
        <v>0</v>
      </c>
      <c r="BA327" s="144">
        <f>IF('PV IN'!$F$4="PV Only",0,-BattLoan!H355)</f>
        <v>0</v>
      </c>
    </row>
    <row r="328" spans="1:88" x14ac:dyDescent="0.25">
      <c r="A328" t="str">
        <f>IF(C328&lt;='PV IN'!$O$22*12,C328,"")</f>
        <v/>
      </c>
      <c r="B328">
        <f>B316+1</f>
        <v>2052</v>
      </c>
      <c r="C328">
        <v>324</v>
      </c>
      <c r="D328" s="2">
        <f>BattCalcs!CK328+PVCalcs!AT328</f>
        <v>8837.3670746528151</v>
      </c>
      <c r="E328" s="20">
        <f>PVCalcs!AV328</f>
        <v>2154666.4840111565</v>
      </c>
      <c r="F328" s="20">
        <f>PVCalcs!AW328</f>
        <v>2367.0739153337345</v>
      </c>
      <c r="G328" s="20" t="e">
        <f>PVCalcs!AX328</f>
        <v>#N/A</v>
      </c>
      <c r="H328" s="20">
        <f>BattCalcs!CM328</f>
        <v>0</v>
      </c>
      <c r="I328" s="20">
        <f>BattCalcs!CN328</f>
        <v>0</v>
      </c>
      <c r="J328" s="20" t="e">
        <f>IF(C328&lt;='Batt IN'!H$43*12,BattCalcs!CO328,NA())</f>
        <v>#N/A</v>
      </c>
      <c r="L328" s="20">
        <f t="shared" si="826"/>
        <v>2367.0739153337345</v>
      </c>
      <c r="M328" s="20" t="e">
        <f>G328+BattCalcs!CO328</f>
        <v>#N/A</v>
      </c>
      <c r="O328" s="10" t="str">
        <f>PVLoan!G356</f>
        <v>-</v>
      </c>
      <c r="P328" s="10" t="str">
        <f>PVLoan!J356</f>
        <v>-</v>
      </c>
      <c r="Q328" s="2" t="str">
        <f>BattLoan!G356</f>
        <v>-</v>
      </c>
      <c r="R328" s="10" t="str">
        <f>BattLoan!J356</f>
        <v>-</v>
      </c>
      <c r="T328" s="33">
        <f>IF('PV IN'!$F$4="Battery Only",0,PVCalcs!G328)</f>
        <v>122947.74811230932</v>
      </c>
      <c r="U328" s="33">
        <f>IF('PV IN'!$F$4="Battery Only",0,PVCalcs!M328)</f>
        <v>122947.74811230932</v>
      </c>
      <c r="V328" s="33">
        <f>PVCalcs!L328</f>
        <v>25811.765833333331</v>
      </c>
      <c r="W328" s="158">
        <f>PVCalcs!F328</f>
        <v>8.071410194180921E-2</v>
      </c>
      <c r="X328" s="144">
        <f>IF('PV IN'!$F$4="Battery Only",0,PVCalcs!Y328+PVCalcs!Z328)</f>
        <v>0</v>
      </c>
      <c r="Y328" s="144">
        <f>IF('PV IN'!$F$4="PV Only",0,BattCalcs!AX328+BattCalcs!BC328)</f>
        <v>0</v>
      </c>
      <c r="Z328" s="144">
        <f>IF('PV IN'!$F$4="PV Only",0,BattCalcs!AY328+BattCalcs!BD328)</f>
        <v>0</v>
      </c>
      <c r="AA328" s="144">
        <f>IF('PV IN'!$F$4="PV Only",0,BattCalcs!AZ328+BattCalcs!BE328)</f>
        <v>0</v>
      </c>
      <c r="AB328" s="144">
        <f>IF('PV IN'!$F$4="PV Only",0,BattCalcs!BA328+BattCalcs!BF328)</f>
        <v>0</v>
      </c>
      <c r="AC328" s="144">
        <f>IF('PV IN'!$F$4="PV Only",0,BattCalcs!BB328+BattCalcs!BG328)</f>
        <v>0</v>
      </c>
      <c r="AD328" s="144">
        <f>IF('PV IN'!$F$4="PV Only",0,BattCalcs!BU328)</f>
        <v>0</v>
      </c>
      <c r="AE328" s="144">
        <f>IF('PV IN'!$F$4="PV Only",PVCalcs!W328+PVCalcs!AA328,IF('PV IN'!$F$4="Battery Only",BattCalcs!AV328+BattCalcs!BH328,PVCalcs!W328+PVCalcs!AA328+BattCalcs!AV328+BattCalcs!BH328))</f>
        <v>0</v>
      </c>
      <c r="AF328" s="10">
        <f>PVCalcs!AC328+BattCalcs!BJ328</f>
        <v>0</v>
      </c>
      <c r="AG328" s="144">
        <f>IF('PV IN'!$F$4="Battery Only",0,PVCalcs!AG328)</f>
        <v>-750</v>
      </c>
      <c r="AH328" s="144">
        <f>IF('PV IN'!$F$4="Battery Only",0,PVCalcs!AI328)</f>
        <v>0</v>
      </c>
      <c r="AI328" s="144">
        <f>IF('PV IN'!$F$4="PV Only",0,BattCalcs!BM328)</f>
        <v>0</v>
      </c>
      <c r="AJ328" s="144">
        <f>IF('PV IN'!$F$4="PV Only",0,SUM(BattCalcs!BO328:BT328))</f>
        <v>0</v>
      </c>
      <c r="AK328" s="144">
        <f>IF('PV IN'!$F$4="PV Only",PVCalcs!AH328,IF('PV IN'!$F$4="Battery Only",BattCalcs!BN328,PVCalcs!AH328+BattCalcs!BN328))</f>
        <v>-625</v>
      </c>
      <c r="AL328" s="144">
        <f>IF('PV IN'!$F$4="PV Only",0,BattCalcs!BV328)</f>
        <v>0</v>
      </c>
      <c r="AM328" s="144">
        <f>IF('PV IN'!$F$4="PV Only",0,SUM(BattCalcs!BW328:BX328))</f>
        <v>0</v>
      </c>
      <c r="AN328" s="144">
        <f>IF('PV IN'!$F$4="PV Only",0,BattCalcs!BY328)</f>
        <v>0</v>
      </c>
      <c r="AO328" s="144">
        <f>IF('PV IN'!$F$4="Battery Only",0,PVCalcs!U328)</f>
        <v>9923.6170746528151</v>
      </c>
      <c r="AP328" s="10">
        <f>IF('PV IN'!$F$4="PV Only",0,BattCalcs!AS328)</f>
        <v>0</v>
      </c>
      <c r="AQ328" s="10">
        <f>IF('PV IN'!$F$4="PV Only",0,BattCalcs!AT328)</f>
        <v>0</v>
      </c>
      <c r="AR328" s="10">
        <f>IF('PV IN'!$F$4="PV Only",0,BattCalcs!AU328)</f>
        <v>0</v>
      </c>
      <c r="AS328" s="144">
        <f>IF('PV IN'!$F$4="PV Only",PVCalcs!X328,IF('PV IN'!$F$4="Battery Only",BattCalcs!AW328,PVCalcs!X328+BattCalcs!AW328))</f>
        <v>0</v>
      </c>
      <c r="AT328" s="144">
        <f>IF('PV IN'!$F$4="Battery Only",0,-PVCalcs!AQ328*'PV IN'!$E$8)</f>
        <v>0</v>
      </c>
      <c r="AU328" s="144">
        <f>IF('PV IN'!$F$4="PV Only",0,-BattCalcs!CG328*'PV IN'!$E$8)</f>
        <v>0</v>
      </c>
      <c r="AV328" s="144">
        <f>IF('PV IN'!$F$4="PV Only",PVCalcs!Z328+PVCalcs!AA328,IF('PV IN'!$F$4="Battery Only",SUM(BattCalcs!BC328:BH328),PVCalcs!Z328+PVCalcs!AA328+SUM(BattCalcs!BC328:BH328)))</f>
        <v>0</v>
      </c>
      <c r="AW328" s="144">
        <f>IF('PV IN'!$F$4="PV Only",SUM(PVCalcs!AF328:AI328),IF('PV IN'!$F$4="Battery Only",SUM(BattCalcs!BL328:BY328),SUM(PVCalcs!AF328:AI328)+SUM(BattCalcs!BL328:BY328)))</f>
        <v>-1375</v>
      </c>
      <c r="AX328" s="144">
        <f>IF('PV IN'!$F$4="Battery Only",0,-PVLoan!F356)</f>
        <v>0</v>
      </c>
      <c r="AY328" s="144">
        <f>IF('PV IN'!$F$4="PV Only",0,-BattLoan!F356)</f>
        <v>0</v>
      </c>
      <c r="AZ328" s="144">
        <f>IF('PV IN'!$F$4="Battery Only",0,-PVLoan!H356)</f>
        <v>0</v>
      </c>
      <c r="BA328" s="144">
        <f>IF('PV IN'!$F$4="PV Only",0,-BattLoan!H356)</f>
        <v>0</v>
      </c>
      <c r="BC328" s="33">
        <f t="shared" ref="BC328" si="861">SUM(T317:T328)</f>
        <v>1480798.3428279769</v>
      </c>
      <c r="BD328" s="33">
        <f t="shared" ref="BD328" si="862">SUM(U317:U328)</f>
        <v>1480798.3428279769</v>
      </c>
      <c r="BE328" s="33">
        <f t="shared" ref="BE328" si="863">SUM(V317:V328)</f>
        <v>309741.19</v>
      </c>
      <c r="BF328" s="50">
        <f t="shared" ref="BF328" si="864">W328</f>
        <v>8.071410194180921E-2</v>
      </c>
      <c r="BG328" s="2">
        <f t="shared" ref="BG328" si="865">SUM(X317:X328)</f>
        <v>0</v>
      </c>
      <c r="BH328" s="2">
        <f t="shared" ref="BH328" si="866">SUM(Y317:Y328)</f>
        <v>0</v>
      </c>
      <c r="BI328" s="2">
        <f t="shared" ref="BI328" si="867">SUM(Z317:Z328)</f>
        <v>0</v>
      </c>
      <c r="BJ328" s="2">
        <f t="shared" ref="BJ328" si="868">SUM(AA317:AA328)</f>
        <v>0</v>
      </c>
      <c r="BK328" s="2">
        <f t="shared" ref="BK328" si="869">SUM(AB317:AB328)</f>
        <v>0</v>
      </c>
      <c r="BL328" s="2">
        <f t="shared" ref="BL328" si="870">SUM(AC317:AC328)</f>
        <v>0</v>
      </c>
      <c r="BM328" s="2">
        <f t="shared" ref="BM328" si="871">SUM(AD317:AD328)</f>
        <v>0</v>
      </c>
      <c r="BN328" s="2">
        <f t="shared" ref="BN328" si="872">SUM(AE317:AE328)</f>
        <v>0</v>
      </c>
      <c r="BO328" s="2">
        <f t="shared" ref="BO328" si="873">SUM(AF317:AF328)</f>
        <v>0</v>
      </c>
      <c r="BP328" s="2">
        <f t="shared" ref="BP328" si="874">SUM(AG317:AG328)</f>
        <v>-9000</v>
      </c>
      <c r="BQ328" s="2">
        <f t="shared" ref="BQ328" si="875">SUM(AH317:AH328)</f>
        <v>0</v>
      </c>
      <c r="BR328" s="2">
        <f t="shared" ref="BR328" si="876">SUM(AI317:AI328)</f>
        <v>0</v>
      </c>
      <c r="BS328" s="2">
        <f t="shared" ref="BS328" si="877">SUM(AJ317:AJ328)</f>
        <v>0</v>
      </c>
      <c r="BT328" s="2">
        <f t="shared" ref="BT328" si="878">SUM(AK317:AK328)</f>
        <v>-7500</v>
      </c>
      <c r="BU328" s="2">
        <f t="shared" ref="BU328" si="879">SUM(AL317:AL328)</f>
        <v>0</v>
      </c>
      <c r="BV328" s="2">
        <f t="shared" ref="BV328" si="880">SUM(AM317:AM328)</f>
        <v>0</v>
      </c>
      <c r="BW328" s="2">
        <f t="shared" ref="BW328" si="881">SUM(AN317:AN328)</f>
        <v>0</v>
      </c>
      <c r="BX328" s="2">
        <f t="shared" ref="BX328" si="882">SUM(AO317:AO328)</f>
        <v>119521.30839827948</v>
      </c>
      <c r="BY328" s="2">
        <f t="shared" ref="BY328" si="883">SUM(AP317:AP328)</f>
        <v>0</v>
      </c>
      <c r="BZ328" s="2">
        <f t="shared" ref="BZ328" si="884">SUM(AQ317:AQ328)</f>
        <v>0</v>
      </c>
      <c r="CA328" s="2">
        <f t="shared" ref="CA328" si="885">SUM(AR317:AR328)</f>
        <v>0</v>
      </c>
      <c r="CB328" s="2">
        <f t="shared" ref="CB328" si="886">SUM(AS317:AS328)</f>
        <v>0</v>
      </c>
      <c r="CC328" s="2">
        <f t="shared" ref="CC328" si="887">SUM(AT317:AT328)</f>
        <v>0</v>
      </c>
      <c r="CD328" s="2">
        <f t="shared" ref="CD328" si="888">SUM(AU317:AU328)</f>
        <v>0</v>
      </c>
      <c r="CE328" s="2">
        <f t="shared" ref="CE328" si="889">SUM(AV317:AV328)</f>
        <v>0</v>
      </c>
      <c r="CF328" s="2">
        <f t="shared" ref="CF328" si="890">SUM(AW317:AW328)</f>
        <v>-16500</v>
      </c>
      <c r="CG328" s="2">
        <f t="shared" ref="CG328" si="891">SUM(AX317:AX328)</f>
        <v>0</v>
      </c>
      <c r="CH328" s="2">
        <f t="shared" ref="CH328" si="892">SUM(AY317:AY328)</f>
        <v>0</v>
      </c>
      <c r="CI328" s="2">
        <f t="shared" ref="CI328" si="893">SUM(AZ317:AZ328)</f>
        <v>0</v>
      </c>
      <c r="CJ328" s="2">
        <f t="shared" ref="CJ328" si="894">SUM(BA317:BA328)</f>
        <v>0</v>
      </c>
    </row>
    <row r="329" spans="1:88" x14ac:dyDescent="0.25">
      <c r="A329" t="str">
        <f>IF(C329&lt;='PV IN'!$O$22*12,C329,"")</f>
        <v/>
      </c>
      <c r="C329">
        <v>325</v>
      </c>
      <c r="D329" s="2">
        <f>BattCalcs!CK329+PVCalcs!AT329</f>
        <v>8755.7460604995413</v>
      </c>
      <c r="E329" s="20">
        <f>PVCalcs!AV329</f>
        <v>2163422.2300716559</v>
      </c>
      <c r="F329" s="20">
        <f>PVCalcs!AW329</f>
        <v>2335.6959494785442</v>
      </c>
      <c r="G329" s="20" t="e">
        <f>PVCalcs!AX329</f>
        <v>#N/A</v>
      </c>
      <c r="H329" s="20">
        <f>BattCalcs!CM329</f>
        <v>0</v>
      </c>
      <c r="I329" s="20">
        <f>BattCalcs!CN329</f>
        <v>0</v>
      </c>
      <c r="J329" s="20" t="e">
        <f>IF(C329&lt;='Batt IN'!H$43*12,BattCalcs!CO329,NA())</f>
        <v>#N/A</v>
      </c>
      <c r="L329" s="20">
        <f t="shared" si="826"/>
        <v>2335.6959494785442</v>
      </c>
      <c r="M329" s="20" t="e">
        <f>G329+BattCalcs!CO329</f>
        <v>#N/A</v>
      </c>
      <c r="O329" s="10" t="str">
        <f>PVLoan!G357</f>
        <v>-</v>
      </c>
      <c r="P329" s="10" t="str">
        <f>PVLoan!J357</f>
        <v>-</v>
      </c>
      <c r="Q329" s="2" t="str">
        <f>BattLoan!G357</f>
        <v>-</v>
      </c>
      <c r="R329" s="10" t="str">
        <f>BattLoan!J357</f>
        <v>-</v>
      </c>
      <c r="T329" s="33">
        <f>IF('PV IN'!$F$4="Battery Only",0,PVCalcs!G329)</f>
        <v>122865.7829469011</v>
      </c>
      <c r="U329" s="33">
        <f>IF('PV IN'!$F$4="Battery Only",0,PVCalcs!M329)</f>
        <v>122865.7829469011</v>
      </c>
      <c r="V329" s="33">
        <f>PVCalcs!L329</f>
        <v>25811.765833333331</v>
      </c>
      <c r="W329" s="158">
        <f>PVCalcs!F329</f>
        <v>8.0103636866522526E-2</v>
      </c>
      <c r="X329" s="144">
        <f>IF('PV IN'!$F$4="Battery Only",0,PVCalcs!Y329+PVCalcs!Z329)</f>
        <v>0</v>
      </c>
      <c r="Y329" s="144">
        <f>IF('PV IN'!$F$4="PV Only",0,BattCalcs!AX329+BattCalcs!BC329)</f>
        <v>0</v>
      </c>
      <c r="Z329" s="144">
        <f>IF('PV IN'!$F$4="PV Only",0,BattCalcs!AY329+BattCalcs!BD329)</f>
        <v>0</v>
      </c>
      <c r="AA329" s="144">
        <f>IF('PV IN'!$F$4="PV Only",0,BattCalcs!AZ329+BattCalcs!BE329)</f>
        <v>0</v>
      </c>
      <c r="AB329" s="144">
        <f>IF('PV IN'!$F$4="PV Only",0,BattCalcs!BA329+BattCalcs!BF329)</f>
        <v>0</v>
      </c>
      <c r="AC329" s="144">
        <f>IF('PV IN'!$F$4="PV Only",0,BattCalcs!BB329+BattCalcs!BG329)</f>
        <v>0</v>
      </c>
      <c r="AD329" s="144">
        <f>IF('PV IN'!$F$4="PV Only",0,BattCalcs!BU329)</f>
        <v>0</v>
      </c>
      <c r="AE329" s="144">
        <f>IF('PV IN'!$F$4="PV Only",PVCalcs!W329+PVCalcs!AA329,IF('PV IN'!$F$4="Battery Only",BattCalcs!AV329+BattCalcs!BH329,PVCalcs!W329+PVCalcs!AA329+BattCalcs!AV329+BattCalcs!BH329))</f>
        <v>0</v>
      </c>
      <c r="AF329" s="10">
        <f>PVCalcs!AC329+BattCalcs!BJ329</f>
        <v>0</v>
      </c>
      <c r="AG329" s="144">
        <f>IF('PV IN'!$F$4="Battery Only",0,PVCalcs!AG329)</f>
        <v>-750</v>
      </c>
      <c r="AH329" s="144">
        <f>IF('PV IN'!$F$4="Battery Only",0,PVCalcs!AI329)</f>
        <v>0</v>
      </c>
      <c r="AI329" s="144">
        <f>IF('PV IN'!$F$4="PV Only",0,BattCalcs!BM329)</f>
        <v>0</v>
      </c>
      <c r="AJ329" s="144">
        <f>IF('PV IN'!$F$4="PV Only",0,SUM(BattCalcs!BO329:BT329))</f>
        <v>0</v>
      </c>
      <c r="AK329" s="144">
        <f>IF('PV IN'!$F$4="PV Only",PVCalcs!AH329,IF('PV IN'!$F$4="Battery Only",BattCalcs!BN329,PVCalcs!AH329+BattCalcs!BN329))</f>
        <v>-625</v>
      </c>
      <c r="AL329" s="144">
        <f>IF('PV IN'!$F$4="PV Only",0,BattCalcs!BV329)</f>
        <v>0</v>
      </c>
      <c r="AM329" s="144">
        <f>IF('PV IN'!$F$4="PV Only",0,SUM(BattCalcs!BW329:BX329))</f>
        <v>0</v>
      </c>
      <c r="AN329" s="144">
        <f>IF('PV IN'!$F$4="PV Only",0,BattCalcs!BY329)</f>
        <v>0</v>
      </c>
      <c r="AO329" s="144">
        <f>IF('PV IN'!$F$4="Battery Only",0,PVCalcs!U329)</f>
        <v>9841.9960604995413</v>
      </c>
      <c r="AP329" s="10">
        <f>IF('PV IN'!$F$4="PV Only",0,BattCalcs!AS329)</f>
        <v>0</v>
      </c>
      <c r="AQ329" s="10">
        <f>IF('PV IN'!$F$4="PV Only",0,BattCalcs!AT329)</f>
        <v>0</v>
      </c>
      <c r="AR329" s="10">
        <f>IF('PV IN'!$F$4="PV Only",0,BattCalcs!AU329)</f>
        <v>0</v>
      </c>
      <c r="AS329" s="144">
        <f>IF('PV IN'!$F$4="PV Only",PVCalcs!X329,IF('PV IN'!$F$4="Battery Only",BattCalcs!AW329,PVCalcs!X329+BattCalcs!AW329))</f>
        <v>0</v>
      </c>
      <c r="AT329" s="144">
        <f>IF('PV IN'!$F$4="Battery Only",0,-PVCalcs!AQ329*'PV IN'!$E$8)</f>
        <v>0</v>
      </c>
      <c r="AU329" s="144">
        <f>IF('PV IN'!$F$4="PV Only",0,-BattCalcs!CG329*'PV IN'!$E$8)</f>
        <v>0</v>
      </c>
      <c r="AV329" s="144">
        <f>IF('PV IN'!$F$4="PV Only",PVCalcs!Z329+PVCalcs!AA329,IF('PV IN'!$F$4="Battery Only",SUM(BattCalcs!BC329:BH329),PVCalcs!Z329+PVCalcs!AA329+SUM(BattCalcs!BC329:BH329)))</f>
        <v>0</v>
      </c>
      <c r="AW329" s="144">
        <f>IF('PV IN'!$F$4="PV Only",SUM(PVCalcs!AF329:AI329),IF('PV IN'!$F$4="Battery Only",SUM(BattCalcs!BL329:BY329),SUM(PVCalcs!AF329:AI329)+SUM(BattCalcs!BL329:BY329)))</f>
        <v>-1375</v>
      </c>
      <c r="AX329" s="144">
        <f>IF('PV IN'!$F$4="Battery Only",0,-PVLoan!F357)</f>
        <v>0</v>
      </c>
      <c r="AY329" s="144">
        <f>IF('PV IN'!$F$4="PV Only",0,-BattLoan!F357)</f>
        <v>0</v>
      </c>
      <c r="AZ329" s="144">
        <f>IF('PV IN'!$F$4="Battery Only",0,-PVLoan!H357)</f>
        <v>0</v>
      </c>
      <c r="BA329" s="144">
        <f>IF('PV IN'!$F$4="PV Only",0,-BattLoan!H357)</f>
        <v>0</v>
      </c>
    </row>
    <row r="330" spans="1:88" x14ac:dyDescent="0.25">
      <c r="A330" t="str">
        <f>IF(C330&lt;='PV IN'!$O$22*12,C330,"")</f>
        <v/>
      </c>
      <c r="C330">
        <v>326</v>
      </c>
      <c r="D330" s="2">
        <f>BattCalcs!CK330+PVCalcs!AT330</f>
        <v>8749.1847297925415</v>
      </c>
      <c r="E330" s="20">
        <f>PVCalcs!AV330</f>
        <v>2172171.4148014486</v>
      </c>
      <c r="F330" s="20">
        <f>PVCalcs!AW330</f>
        <v>2324.4754383915192</v>
      </c>
      <c r="G330" s="20" t="e">
        <f>PVCalcs!AX330</f>
        <v>#N/A</v>
      </c>
      <c r="H330" s="20">
        <f>BattCalcs!CM330</f>
        <v>0</v>
      </c>
      <c r="I330" s="20">
        <f>BattCalcs!CN330</f>
        <v>0</v>
      </c>
      <c r="J330" s="20" t="e">
        <f>IF(C330&lt;='Batt IN'!H$43*12,BattCalcs!CO330,NA())</f>
        <v>#N/A</v>
      </c>
      <c r="L330" s="20">
        <f t="shared" si="826"/>
        <v>2324.4754383915192</v>
      </c>
      <c r="M330" s="20" t="e">
        <f>G330+BattCalcs!CO330</f>
        <v>#N/A</v>
      </c>
      <c r="O330" s="10" t="str">
        <f>PVLoan!G358</f>
        <v>-</v>
      </c>
      <c r="P330" s="10" t="str">
        <f>PVLoan!J358</f>
        <v>-</v>
      </c>
      <c r="Q330" s="2" t="str">
        <f>BattLoan!G358</f>
        <v>-</v>
      </c>
      <c r="R330" s="10" t="str">
        <f>BattLoan!J358</f>
        <v>-</v>
      </c>
      <c r="T330" s="33">
        <f>IF('PV IN'!$F$4="Battery Only",0,PVCalcs!G330)</f>
        <v>122783.87242493649</v>
      </c>
      <c r="U330" s="33">
        <f>IF('PV IN'!$F$4="Battery Only",0,PVCalcs!M330)</f>
        <v>122783.87242493649</v>
      </c>
      <c r="V330" s="33">
        <f>PVCalcs!L330</f>
        <v>25811.765833333331</v>
      </c>
      <c r="W330" s="158">
        <f>PVCalcs!F330</f>
        <v>8.0103636866522526E-2</v>
      </c>
      <c r="X330" s="144">
        <f>IF('PV IN'!$F$4="Battery Only",0,PVCalcs!Y330+PVCalcs!Z330)</f>
        <v>0</v>
      </c>
      <c r="Y330" s="144">
        <f>IF('PV IN'!$F$4="PV Only",0,BattCalcs!AX330+BattCalcs!BC330)</f>
        <v>0</v>
      </c>
      <c r="Z330" s="144">
        <f>IF('PV IN'!$F$4="PV Only",0,BattCalcs!AY330+BattCalcs!BD330)</f>
        <v>0</v>
      </c>
      <c r="AA330" s="144">
        <f>IF('PV IN'!$F$4="PV Only",0,BattCalcs!AZ330+BattCalcs!BE330)</f>
        <v>0</v>
      </c>
      <c r="AB330" s="144">
        <f>IF('PV IN'!$F$4="PV Only",0,BattCalcs!BA330+BattCalcs!BF330)</f>
        <v>0</v>
      </c>
      <c r="AC330" s="144">
        <f>IF('PV IN'!$F$4="PV Only",0,BattCalcs!BB330+BattCalcs!BG330)</f>
        <v>0</v>
      </c>
      <c r="AD330" s="144">
        <f>IF('PV IN'!$F$4="PV Only",0,BattCalcs!BU330)</f>
        <v>0</v>
      </c>
      <c r="AE330" s="144">
        <f>IF('PV IN'!$F$4="PV Only",PVCalcs!W330+PVCalcs!AA330,IF('PV IN'!$F$4="Battery Only",BattCalcs!AV330+BattCalcs!BH330,PVCalcs!W330+PVCalcs!AA330+BattCalcs!AV330+BattCalcs!BH330))</f>
        <v>0</v>
      </c>
      <c r="AF330" s="10">
        <f>PVCalcs!AC330+BattCalcs!BJ330</f>
        <v>0</v>
      </c>
      <c r="AG330" s="144">
        <f>IF('PV IN'!$F$4="Battery Only",0,PVCalcs!AG330)</f>
        <v>-750</v>
      </c>
      <c r="AH330" s="144">
        <f>IF('PV IN'!$F$4="Battery Only",0,PVCalcs!AI330)</f>
        <v>0</v>
      </c>
      <c r="AI330" s="144">
        <f>IF('PV IN'!$F$4="PV Only",0,BattCalcs!BM330)</f>
        <v>0</v>
      </c>
      <c r="AJ330" s="144">
        <f>IF('PV IN'!$F$4="PV Only",0,SUM(BattCalcs!BO330:BT330))</f>
        <v>0</v>
      </c>
      <c r="AK330" s="144">
        <f>IF('PV IN'!$F$4="PV Only",PVCalcs!AH330,IF('PV IN'!$F$4="Battery Only",BattCalcs!BN330,PVCalcs!AH330+BattCalcs!BN330))</f>
        <v>-625</v>
      </c>
      <c r="AL330" s="144">
        <f>IF('PV IN'!$F$4="PV Only",0,BattCalcs!BV330)</f>
        <v>0</v>
      </c>
      <c r="AM330" s="144">
        <f>IF('PV IN'!$F$4="PV Only",0,SUM(BattCalcs!BW330:BX330))</f>
        <v>0</v>
      </c>
      <c r="AN330" s="144">
        <f>IF('PV IN'!$F$4="PV Only",0,BattCalcs!BY330)</f>
        <v>0</v>
      </c>
      <c r="AO330" s="144">
        <f>IF('PV IN'!$F$4="Battery Only",0,PVCalcs!U330)</f>
        <v>9835.4347297925415</v>
      </c>
      <c r="AP330" s="10">
        <f>IF('PV IN'!$F$4="PV Only",0,BattCalcs!AS330)</f>
        <v>0</v>
      </c>
      <c r="AQ330" s="10">
        <f>IF('PV IN'!$F$4="PV Only",0,BattCalcs!AT330)</f>
        <v>0</v>
      </c>
      <c r="AR330" s="10">
        <f>IF('PV IN'!$F$4="PV Only",0,BattCalcs!AU330)</f>
        <v>0</v>
      </c>
      <c r="AS330" s="144">
        <f>IF('PV IN'!$F$4="PV Only",PVCalcs!X330,IF('PV IN'!$F$4="Battery Only",BattCalcs!AW330,PVCalcs!X330+BattCalcs!AW330))</f>
        <v>0</v>
      </c>
      <c r="AT330" s="144">
        <f>IF('PV IN'!$F$4="Battery Only",0,-PVCalcs!AQ330*'PV IN'!$E$8)</f>
        <v>0</v>
      </c>
      <c r="AU330" s="144">
        <f>IF('PV IN'!$F$4="PV Only",0,-BattCalcs!CG330*'PV IN'!$E$8)</f>
        <v>0</v>
      </c>
      <c r="AV330" s="144">
        <f>IF('PV IN'!$F$4="PV Only",PVCalcs!Z330+PVCalcs!AA330,IF('PV IN'!$F$4="Battery Only",SUM(BattCalcs!BC330:BH330),PVCalcs!Z330+PVCalcs!AA330+SUM(BattCalcs!BC330:BH330)))</f>
        <v>0</v>
      </c>
      <c r="AW330" s="144">
        <f>IF('PV IN'!$F$4="PV Only",SUM(PVCalcs!AF330:AI330),IF('PV IN'!$F$4="Battery Only",SUM(BattCalcs!BL330:BY330),SUM(PVCalcs!AF330:AI330)+SUM(BattCalcs!BL330:BY330)))</f>
        <v>-1375</v>
      </c>
      <c r="AX330" s="144">
        <f>IF('PV IN'!$F$4="Battery Only",0,-PVLoan!F358)</f>
        <v>0</v>
      </c>
      <c r="AY330" s="144">
        <f>IF('PV IN'!$F$4="PV Only",0,-BattLoan!F358)</f>
        <v>0</v>
      </c>
      <c r="AZ330" s="144">
        <f>IF('PV IN'!$F$4="Battery Only",0,-PVLoan!H358)</f>
        <v>0</v>
      </c>
      <c r="BA330" s="144">
        <f>IF('PV IN'!$F$4="PV Only",0,-BattLoan!H358)</f>
        <v>0</v>
      </c>
    </row>
    <row r="331" spans="1:88" x14ac:dyDescent="0.25">
      <c r="A331" t="str">
        <f>IF(C331&lt;='PV IN'!$O$22*12,C331,"")</f>
        <v/>
      </c>
      <c r="C331">
        <v>327</v>
      </c>
      <c r="D331" s="2">
        <f>BattCalcs!CK331+PVCalcs!AT331</f>
        <v>8742.6277733060142</v>
      </c>
      <c r="E331" s="20">
        <f>PVCalcs!AV331</f>
        <v>2180914.0425747545</v>
      </c>
      <c r="F331" s="20">
        <f>PVCalcs!AW331</f>
        <v>2313.3086862207037</v>
      </c>
      <c r="G331" s="20" t="e">
        <f>PVCalcs!AX331</f>
        <v>#N/A</v>
      </c>
      <c r="H331" s="20">
        <f>BattCalcs!CM331</f>
        <v>0</v>
      </c>
      <c r="I331" s="20">
        <f>BattCalcs!CN331</f>
        <v>0</v>
      </c>
      <c r="J331" s="20" t="e">
        <f>IF(C331&lt;='Batt IN'!H$43*12,BattCalcs!CO331,NA())</f>
        <v>#N/A</v>
      </c>
      <c r="L331" s="20">
        <f t="shared" si="826"/>
        <v>2313.3086862207037</v>
      </c>
      <c r="M331" s="20" t="e">
        <f>G331+BattCalcs!CO331</f>
        <v>#N/A</v>
      </c>
      <c r="O331" s="10" t="str">
        <f>PVLoan!G359</f>
        <v>-</v>
      </c>
      <c r="P331" s="10" t="str">
        <f>PVLoan!J359</f>
        <v>-</v>
      </c>
      <c r="Q331" s="2" t="str">
        <f>BattLoan!G359</f>
        <v>-</v>
      </c>
      <c r="R331" s="10" t="str">
        <f>BattLoan!J359</f>
        <v>-</v>
      </c>
      <c r="T331" s="33">
        <f>IF('PV IN'!$F$4="Battery Only",0,PVCalcs!G331)</f>
        <v>122702.01650998654</v>
      </c>
      <c r="U331" s="33">
        <f>IF('PV IN'!$F$4="Battery Only",0,PVCalcs!M331)</f>
        <v>122702.01650998654</v>
      </c>
      <c r="V331" s="33">
        <f>PVCalcs!L331</f>
        <v>25811.765833333331</v>
      </c>
      <c r="W331" s="158">
        <f>PVCalcs!F331</f>
        <v>8.0103636866522526E-2</v>
      </c>
      <c r="X331" s="144">
        <f>IF('PV IN'!$F$4="Battery Only",0,PVCalcs!Y331+PVCalcs!Z331)</f>
        <v>0</v>
      </c>
      <c r="Y331" s="144">
        <f>IF('PV IN'!$F$4="PV Only",0,BattCalcs!AX331+BattCalcs!BC331)</f>
        <v>0</v>
      </c>
      <c r="Z331" s="144">
        <f>IF('PV IN'!$F$4="PV Only",0,BattCalcs!AY331+BattCalcs!BD331)</f>
        <v>0</v>
      </c>
      <c r="AA331" s="144">
        <f>IF('PV IN'!$F$4="PV Only",0,BattCalcs!AZ331+BattCalcs!BE331)</f>
        <v>0</v>
      </c>
      <c r="AB331" s="144">
        <f>IF('PV IN'!$F$4="PV Only",0,BattCalcs!BA331+BattCalcs!BF331)</f>
        <v>0</v>
      </c>
      <c r="AC331" s="144">
        <f>IF('PV IN'!$F$4="PV Only",0,BattCalcs!BB331+BattCalcs!BG331)</f>
        <v>0</v>
      </c>
      <c r="AD331" s="144">
        <f>IF('PV IN'!$F$4="PV Only",0,BattCalcs!BU331)</f>
        <v>0</v>
      </c>
      <c r="AE331" s="144">
        <f>IF('PV IN'!$F$4="PV Only",PVCalcs!W331+PVCalcs!AA331,IF('PV IN'!$F$4="Battery Only",BattCalcs!AV331+BattCalcs!BH331,PVCalcs!W331+PVCalcs!AA331+BattCalcs!AV331+BattCalcs!BH331))</f>
        <v>0</v>
      </c>
      <c r="AF331" s="10">
        <f>PVCalcs!AC331+BattCalcs!BJ331</f>
        <v>0</v>
      </c>
      <c r="AG331" s="144">
        <f>IF('PV IN'!$F$4="Battery Only",0,PVCalcs!AG331)</f>
        <v>-750</v>
      </c>
      <c r="AH331" s="144">
        <f>IF('PV IN'!$F$4="Battery Only",0,PVCalcs!AI331)</f>
        <v>0</v>
      </c>
      <c r="AI331" s="144">
        <f>IF('PV IN'!$F$4="PV Only",0,BattCalcs!BM331)</f>
        <v>0</v>
      </c>
      <c r="AJ331" s="144">
        <f>IF('PV IN'!$F$4="PV Only",0,SUM(BattCalcs!BO331:BT331))</f>
        <v>0</v>
      </c>
      <c r="AK331" s="144">
        <f>IF('PV IN'!$F$4="PV Only",PVCalcs!AH331,IF('PV IN'!$F$4="Battery Only",BattCalcs!BN331,PVCalcs!AH331+BattCalcs!BN331))</f>
        <v>-625</v>
      </c>
      <c r="AL331" s="144">
        <f>IF('PV IN'!$F$4="PV Only",0,BattCalcs!BV331)</f>
        <v>0</v>
      </c>
      <c r="AM331" s="144">
        <f>IF('PV IN'!$F$4="PV Only",0,SUM(BattCalcs!BW331:BX331))</f>
        <v>0</v>
      </c>
      <c r="AN331" s="144">
        <f>IF('PV IN'!$F$4="PV Only",0,BattCalcs!BY331)</f>
        <v>0</v>
      </c>
      <c r="AO331" s="144">
        <f>IF('PV IN'!$F$4="Battery Only",0,PVCalcs!U331)</f>
        <v>9828.8777733060142</v>
      </c>
      <c r="AP331" s="10">
        <f>IF('PV IN'!$F$4="PV Only",0,BattCalcs!AS331)</f>
        <v>0</v>
      </c>
      <c r="AQ331" s="10">
        <f>IF('PV IN'!$F$4="PV Only",0,BattCalcs!AT331)</f>
        <v>0</v>
      </c>
      <c r="AR331" s="10">
        <f>IF('PV IN'!$F$4="PV Only",0,BattCalcs!AU331)</f>
        <v>0</v>
      </c>
      <c r="AS331" s="144">
        <f>IF('PV IN'!$F$4="PV Only",PVCalcs!X331,IF('PV IN'!$F$4="Battery Only",BattCalcs!AW331,PVCalcs!X331+BattCalcs!AW331))</f>
        <v>0</v>
      </c>
      <c r="AT331" s="144">
        <f>IF('PV IN'!$F$4="Battery Only",0,-PVCalcs!AQ331*'PV IN'!$E$8)</f>
        <v>0</v>
      </c>
      <c r="AU331" s="144">
        <f>IF('PV IN'!$F$4="PV Only",0,-BattCalcs!CG331*'PV IN'!$E$8)</f>
        <v>0</v>
      </c>
      <c r="AV331" s="144">
        <f>IF('PV IN'!$F$4="PV Only",PVCalcs!Z331+PVCalcs!AA331,IF('PV IN'!$F$4="Battery Only",SUM(BattCalcs!BC331:BH331),PVCalcs!Z331+PVCalcs!AA331+SUM(BattCalcs!BC331:BH331)))</f>
        <v>0</v>
      </c>
      <c r="AW331" s="144">
        <f>IF('PV IN'!$F$4="PV Only",SUM(PVCalcs!AF331:AI331),IF('PV IN'!$F$4="Battery Only",SUM(BattCalcs!BL331:BY331),SUM(PVCalcs!AF331:AI331)+SUM(BattCalcs!BL331:BY331)))</f>
        <v>-1375</v>
      </c>
      <c r="AX331" s="144">
        <f>IF('PV IN'!$F$4="Battery Only",0,-PVLoan!F359)</f>
        <v>0</v>
      </c>
      <c r="AY331" s="144">
        <f>IF('PV IN'!$F$4="PV Only",0,-BattLoan!F359)</f>
        <v>0</v>
      </c>
      <c r="AZ331" s="144">
        <f>IF('PV IN'!$F$4="Battery Only",0,-PVLoan!H359)</f>
        <v>0</v>
      </c>
      <c r="BA331" s="144">
        <f>IF('PV IN'!$F$4="PV Only",0,-BattLoan!H359)</f>
        <v>0</v>
      </c>
    </row>
    <row r="332" spans="1:88" x14ac:dyDescent="0.25">
      <c r="A332" t="str">
        <f>IF(C332&lt;='PV IN'!$O$22*12,C332,"")</f>
        <v/>
      </c>
      <c r="C332">
        <v>328</v>
      </c>
      <c r="D332" s="2">
        <f>BattCalcs!CK332+PVCalcs!AT332</f>
        <v>8736.0751881238102</v>
      </c>
      <c r="E332" s="20">
        <f>PVCalcs!AV332</f>
        <v>2189650.1177628781</v>
      </c>
      <c r="F332" s="20">
        <f>PVCalcs!AW332</f>
        <v>2302.1954359728397</v>
      </c>
      <c r="G332" s="20" t="e">
        <f>PVCalcs!AX332</f>
        <v>#N/A</v>
      </c>
      <c r="H332" s="20">
        <f>BattCalcs!CM332</f>
        <v>0</v>
      </c>
      <c r="I332" s="20">
        <f>BattCalcs!CN332</f>
        <v>0</v>
      </c>
      <c r="J332" s="20" t="e">
        <f>IF(C332&lt;='Batt IN'!H$43*12,BattCalcs!CO332,NA())</f>
        <v>#N/A</v>
      </c>
      <c r="L332" s="20">
        <f t="shared" si="826"/>
        <v>2302.1954359728397</v>
      </c>
      <c r="M332" s="20" t="e">
        <f>G332+BattCalcs!CO332</f>
        <v>#N/A</v>
      </c>
      <c r="O332" s="10" t="str">
        <f>PVLoan!G360</f>
        <v>-</v>
      </c>
      <c r="P332" s="10" t="str">
        <f>PVLoan!J360</f>
        <v>-</v>
      </c>
      <c r="Q332" s="2" t="str">
        <f>BattLoan!G360</f>
        <v>-</v>
      </c>
      <c r="R332" s="10" t="str">
        <f>BattLoan!J360</f>
        <v>-</v>
      </c>
      <c r="T332" s="33">
        <f>IF('PV IN'!$F$4="Battery Only",0,PVCalcs!G332)</f>
        <v>122620.21516564656</v>
      </c>
      <c r="U332" s="33">
        <f>IF('PV IN'!$F$4="Battery Only",0,PVCalcs!M332)</f>
        <v>122620.21516564656</v>
      </c>
      <c r="V332" s="33">
        <f>PVCalcs!L332</f>
        <v>25811.765833333331</v>
      </c>
      <c r="W332" s="158">
        <f>PVCalcs!F332</f>
        <v>8.0103636866522526E-2</v>
      </c>
      <c r="X332" s="144">
        <f>IF('PV IN'!$F$4="Battery Only",0,PVCalcs!Y332+PVCalcs!Z332)</f>
        <v>0</v>
      </c>
      <c r="Y332" s="144">
        <f>IF('PV IN'!$F$4="PV Only",0,BattCalcs!AX332+BattCalcs!BC332)</f>
        <v>0</v>
      </c>
      <c r="Z332" s="144">
        <f>IF('PV IN'!$F$4="PV Only",0,BattCalcs!AY332+BattCalcs!BD332)</f>
        <v>0</v>
      </c>
      <c r="AA332" s="144">
        <f>IF('PV IN'!$F$4="PV Only",0,BattCalcs!AZ332+BattCalcs!BE332)</f>
        <v>0</v>
      </c>
      <c r="AB332" s="144">
        <f>IF('PV IN'!$F$4="PV Only",0,BattCalcs!BA332+BattCalcs!BF332)</f>
        <v>0</v>
      </c>
      <c r="AC332" s="144">
        <f>IF('PV IN'!$F$4="PV Only",0,BattCalcs!BB332+BattCalcs!BG332)</f>
        <v>0</v>
      </c>
      <c r="AD332" s="144">
        <f>IF('PV IN'!$F$4="PV Only",0,BattCalcs!BU332)</f>
        <v>0</v>
      </c>
      <c r="AE332" s="144">
        <f>IF('PV IN'!$F$4="PV Only",PVCalcs!W332+PVCalcs!AA332,IF('PV IN'!$F$4="Battery Only",BattCalcs!AV332+BattCalcs!BH332,PVCalcs!W332+PVCalcs!AA332+BattCalcs!AV332+BattCalcs!BH332))</f>
        <v>0</v>
      </c>
      <c r="AF332" s="10">
        <f>PVCalcs!AC332+BattCalcs!BJ332</f>
        <v>0</v>
      </c>
      <c r="AG332" s="144">
        <f>IF('PV IN'!$F$4="Battery Only",0,PVCalcs!AG332)</f>
        <v>-750</v>
      </c>
      <c r="AH332" s="144">
        <f>IF('PV IN'!$F$4="Battery Only",0,PVCalcs!AI332)</f>
        <v>0</v>
      </c>
      <c r="AI332" s="144">
        <f>IF('PV IN'!$F$4="PV Only",0,BattCalcs!BM332)</f>
        <v>0</v>
      </c>
      <c r="AJ332" s="144">
        <f>IF('PV IN'!$F$4="PV Only",0,SUM(BattCalcs!BO332:BT332))</f>
        <v>0</v>
      </c>
      <c r="AK332" s="144">
        <f>IF('PV IN'!$F$4="PV Only",PVCalcs!AH332,IF('PV IN'!$F$4="Battery Only",BattCalcs!BN332,PVCalcs!AH332+BattCalcs!BN332))</f>
        <v>-625</v>
      </c>
      <c r="AL332" s="144">
        <f>IF('PV IN'!$F$4="PV Only",0,BattCalcs!BV332)</f>
        <v>0</v>
      </c>
      <c r="AM332" s="144">
        <f>IF('PV IN'!$F$4="PV Only",0,SUM(BattCalcs!BW332:BX332))</f>
        <v>0</v>
      </c>
      <c r="AN332" s="144">
        <f>IF('PV IN'!$F$4="PV Only",0,BattCalcs!BY332)</f>
        <v>0</v>
      </c>
      <c r="AO332" s="144">
        <f>IF('PV IN'!$F$4="Battery Only",0,PVCalcs!U332)</f>
        <v>9822.3251881238102</v>
      </c>
      <c r="AP332" s="10">
        <f>IF('PV IN'!$F$4="PV Only",0,BattCalcs!AS332)</f>
        <v>0</v>
      </c>
      <c r="AQ332" s="10">
        <f>IF('PV IN'!$F$4="PV Only",0,BattCalcs!AT332)</f>
        <v>0</v>
      </c>
      <c r="AR332" s="10">
        <f>IF('PV IN'!$F$4="PV Only",0,BattCalcs!AU332)</f>
        <v>0</v>
      </c>
      <c r="AS332" s="144">
        <f>IF('PV IN'!$F$4="PV Only",PVCalcs!X332,IF('PV IN'!$F$4="Battery Only",BattCalcs!AW332,PVCalcs!X332+BattCalcs!AW332))</f>
        <v>0</v>
      </c>
      <c r="AT332" s="144">
        <f>IF('PV IN'!$F$4="Battery Only",0,-PVCalcs!AQ332*'PV IN'!$E$8)</f>
        <v>0</v>
      </c>
      <c r="AU332" s="144">
        <f>IF('PV IN'!$F$4="PV Only",0,-BattCalcs!CG332*'PV IN'!$E$8)</f>
        <v>0</v>
      </c>
      <c r="AV332" s="144">
        <f>IF('PV IN'!$F$4="PV Only",PVCalcs!Z332+PVCalcs!AA332,IF('PV IN'!$F$4="Battery Only",SUM(BattCalcs!BC332:BH332),PVCalcs!Z332+PVCalcs!AA332+SUM(BattCalcs!BC332:BH332)))</f>
        <v>0</v>
      </c>
      <c r="AW332" s="144">
        <f>IF('PV IN'!$F$4="PV Only",SUM(PVCalcs!AF332:AI332),IF('PV IN'!$F$4="Battery Only",SUM(BattCalcs!BL332:BY332),SUM(PVCalcs!AF332:AI332)+SUM(BattCalcs!BL332:BY332)))</f>
        <v>-1375</v>
      </c>
      <c r="AX332" s="144">
        <f>IF('PV IN'!$F$4="Battery Only",0,-PVLoan!F360)</f>
        <v>0</v>
      </c>
      <c r="AY332" s="144">
        <f>IF('PV IN'!$F$4="PV Only",0,-BattLoan!F360)</f>
        <v>0</v>
      </c>
      <c r="AZ332" s="144">
        <f>IF('PV IN'!$F$4="Battery Only",0,-PVLoan!H360)</f>
        <v>0</v>
      </c>
      <c r="BA332" s="144">
        <f>IF('PV IN'!$F$4="PV Only",0,-BattLoan!H360)</f>
        <v>0</v>
      </c>
    </row>
    <row r="333" spans="1:88" x14ac:dyDescent="0.25">
      <c r="A333" t="str">
        <f>IF(C333&lt;='PV IN'!$O$22*12,C333,"")</f>
        <v/>
      </c>
      <c r="C333">
        <v>329</v>
      </c>
      <c r="D333" s="2">
        <f>BattCalcs!CK333+PVCalcs!AT333</f>
        <v>8729.5269713317248</v>
      </c>
      <c r="E333" s="20">
        <f>PVCalcs!AV333</f>
        <v>2198379.6447342099</v>
      </c>
      <c r="F333" s="20">
        <f>PVCalcs!AW333</f>
        <v>2291.1354318809304</v>
      </c>
      <c r="G333" s="20" t="e">
        <f>PVCalcs!AX333</f>
        <v>#N/A</v>
      </c>
      <c r="H333" s="20">
        <f>BattCalcs!CM333</f>
        <v>0</v>
      </c>
      <c r="I333" s="20">
        <f>BattCalcs!CN333</f>
        <v>0</v>
      </c>
      <c r="J333" s="20" t="e">
        <f>IF(C333&lt;='Batt IN'!H$43*12,BattCalcs!CO333,NA())</f>
        <v>#N/A</v>
      </c>
      <c r="L333" s="20">
        <f t="shared" si="826"/>
        <v>2291.1354318809304</v>
      </c>
      <c r="M333" s="20" t="e">
        <f>G333+BattCalcs!CO333</f>
        <v>#N/A</v>
      </c>
      <c r="O333" s="10" t="str">
        <f>PVLoan!G361</f>
        <v>-</v>
      </c>
      <c r="P333" s="10" t="str">
        <f>PVLoan!J361</f>
        <v>-</v>
      </c>
      <c r="Q333" s="2" t="str">
        <f>BattLoan!G361</f>
        <v>-</v>
      </c>
      <c r="R333" s="10" t="str">
        <f>BattLoan!J361</f>
        <v>-</v>
      </c>
      <c r="T333" s="33">
        <f>IF('PV IN'!$F$4="Battery Only",0,PVCalcs!G333)</f>
        <v>122538.4683555361</v>
      </c>
      <c r="U333" s="33">
        <f>IF('PV IN'!$F$4="Battery Only",0,PVCalcs!M333)</f>
        <v>122538.4683555361</v>
      </c>
      <c r="V333" s="33">
        <f>PVCalcs!L333</f>
        <v>25811.765833333331</v>
      </c>
      <c r="W333" s="158">
        <f>PVCalcs!F333</f>
        <v>8.0103636866522526E-2</v>
      </c>
      <c r="X333" s="144">
        <f>IF('PV IN'!$F$4="Battery Only",0,PVCalcs!Y333+PVCalcs!Z333)</f>
        <v>0</v>
      </c>
      <c r="Y333" s="144">
        <f>IF('PV IN'!$F$4="PV Only",0,BattCalcs!AX333+BattCalcs!BC333)</f>
        <v>0</v>
      </c>
      <c r="Z333" s="144">
        <f>IF('PV IN'!$F$4="PV Only",0,BattCalcs!AY333+BattCalcs!BD333)</f>
        <v>0</v>
      </c>
      <c r="AA333" s="144">
        <f>IF('PV IN'!$F$4="PV Only",0,BattCalcs!AZ333+BattCalcs!BE333)</f>
        <v>0</v>
      </c>
      <c r="AB333" s="144">
        <f>IF('PV IN'!$F$4="PV Only",0,BattCalcs!BA333+BattCalcs!BF333)</f>
        <v>0</v>
      </c>
      <c r="AC333" s="144">
        <f>IF('PV IN'!$F$4="PV Only",0,BattCalcs!BB333+BattCalcs!BG333)</f>
        <v>0</v>
      </c>
      <c r="AD333" s="144">
        <f>IF('PV IN'!$F$4="PV Only",0,BattCalcs!BU333)</f>
        <v>0</v>
      </c>
      <c r="AE333" s="144">
        <f>IF('PV IN'!$F$4="PV Only",PVCalcs!W333+PVCalcs!AA333,IF('PV IN'!$F$4="Battery Only",BattCalcs!AV333+BattCalcs!BH333,PVCalcs!W333+PVCalcs!AA333+BattCalcs!AV333+BattCalcs!BH333))</f>
        <v>0</v>
      </c>
      <c r="AF333" s="10">
        <f>PVCalcs!AC333+BattCalcs!BJ333</f>
        <v>0</v>
      </c>
      <c r="AG333" s="144">
        <f>IF('PV IN'!$F$4="Battery Only",0,PVCalcs!AG333)</f>
        <v>-750</v>
      </c>
      <c r="AH333" s="144">
        <f>IF('PV IN'!$F$4="Battery Only",0,PVCalcs!AI333)</f>
        <v>0</v>
      </c>
      <c r="AI333" s="144">
        <f>IF('PV IN'!$F$4="PV Only",0,BattCalcs!BM333)</f>
        <v>0</v>
      </c>
      <c r="AJ333" s="144">
        <f>IF('PV IN'!$F$4="PV Only",0,SUM(BattCalcs!BO333:BT333))</f>
        <v>0</v>
      </c>
      <c r="AK333" s="144">
        <f>IF('PV IN'!$F$4="PV Only",PVCalcs!AH333,IF('PV IN'!$F$4="Battery Only",BattCalcs!BN333,PVCalcs!AH333+BattCalcs!BN333))</f>
        <v>-625</v>
      </c>
      <c r="AL333" s="144">
        <f>IF('PV IN'!$F$4="PV Only",0,BattCalcs!BV333)</f>
        <v>0</v>
      </c>
      <c r="AM333" s="144">
        <f>IF('PV IN'!$F$4="PV Only",0,SUM(BattCalcs!BW333:BX333))</f>
        <v>0</v>
      </c>
      <c r="AN333" s="144">
        <f>IF('PV IN'!$F$4="PV Only",0,BattCalcs!BY333)</f>
        <v>0</v>
      </c>
      <c r="AO333" s="144">
        <f>IF('PV IN'!$F$4="Battery Only",0,PVCalcs!U333)</f>
        <v>9815.7769713317248</v>
      </c>
      <c r="AP333" s="10">
        <f>IF('PV IN'!$F$4="PV Only",0,BattCalcs!AS333)</f>
        <v>0</v>
      </c>
      <c r="AQ333" s="10">
        <f>IF('PV IN'!$F$4="PV Only",0,BattCalcs!AT333)</f>
        <v>0</v>
      </c>
      <c r="AR333" s="10">
        <f>IF('PV IN'!$F$4="PV Only",0,BattCalcs!AU333)</f>
        <v>0</v>
      </c>
      <c r="AS333" s="144">
        <f>IF('PV IN'!$F$4="PV Only",PVCalcs!X333,IF('PV IN'!$F$4="Battery Only",BattCalcs!AW333,PVCalcs!X333+BattCalcs!AW333))</f>
        <v>0</v>
      </c>
      <c r="AT333" s="144">
        <f>IF('PV IN'!$F$4="Battery Only",0,-PVCalcs!AQ333*'PV IN'!$E$8)</f>
        <v>0</v>
      </c>
      <c r="AU333" s="144">
        <f>IF('PV IN'!$F$4="PV Only",0,-BattCalcs!CG333*'PV IN'!$E$8)</f>
        <v>0</v>
      </c>
      <c r="AV333" s="144">
        <f>IF('PV IN'!$F$4="PV Only",PVCalcs!Z333+PVCalcs!AA333,IF('PV IN'!$F$4="Battery Only",SUM(BattCalcs!BC333:BH333),PVCalcs!Z333+PVCalcs!AA333+SUM(BattCalcs!BC333:BH333)))</f>
        <v>0</v>
      </c>
      <c r="AW333" s="144">
        <f>IF('PV IN'!$F$4="PV Only",SUM(PVCalcs!AF333:AI333),IF('PV IN'!$F$4="Battery Only",SUM(BattCalcs!BL333:BY333),SUM(PVCalcs!AF333:AI333)+SUM(BattCalcs!BL333:BY333)))</f>
        <v>-1375</v>
      </c>
      <c r="AX333" s="144">
        <f>IF('PV IN'!$F$4="Battery Only",0,-PVLoan!F361)</f>
        <v>0</v>
      </c>
      <c r="AY333" s="144">
        <f>IF('PV IN'!$F$4="PV Only",0,-BattLoan!F361)</f>
        <v>0</v>
      </c>
      <c r="AZ333" s="144">
        <f>IF('PV IN'!$F$4="Battery Only",0,-PVLoan!H361)</f>
        <v>0</v>
      </c>
      <c r="BA333" s="144">
        <f>IF('PV IN'!$F$4="PV Only",0,-BattLoan!H361)</f>
        <v>0</v>
      </c>
    </row>
    <row r="334" spans="1:88" x14ac:dyDescent="0.25">
      <c r="A334" t="str">
        <f>IF(C334&lt;='PV IN'!$O$22*12,C334,"")</f>
        <v/>
      </c>
      <c r="C334">
        <v>330</v>
      </c>
      <c r="D334" s="2">
        <f>BattCalcs!CK334+PVCalcs!AT334</f>
        <v>8722.9831200175049</v>
      </c>
      <c r="E334" s="20">
        <f>PVCalcs!AV334</f>
        <v>2207102.6278542276</v>
      </c>
      <c r="F334" s="20">
        <f>PVCalcs!AW334</f>
        <v>2280.1284193983984</v>
      </c>
      <c r="G334" s="20" t="e">
        <f>PVCalcs!AX334</f>
        <v>#N/A</v>
      </c>
      <c r="H334" s="20">
        <f>BattCalcs!CM334</f>
        <v>0</v>
      </c>
      <c r="I334" s="20">
        <f>BattCalcs!CN334</f>
        <v>0</v>
      </c>
      <c r="J334" s="20" t="e">
        <f>IF(C334&lt;='Batt IN'!H$43*12,BattCalcs!CO334,NA())</f>
        <v>#N/A</v>
      </c>
      <c r="L334" s="20">
        <f t="shared" si="826"/>
        <v>2280.1284193983984</v>
      </c>
      <c r="M334" s="20" t="e">
        <f>G334+BattCalcs!CO334</f>
        <v>#N/A</v>
      </c>
      <c r="O334" s="10" t="str">
        <f>PVLoan!G362</f>
        <v>-</v>
      </c>
      <c r="P334" s="10" t="str">
        <f>PVLoan!J362</f>
        <v>-</v>
      </c>
      <c r="Q334" s="2" t="str">
        <f>BattLoan!G362</f>
        <v>-</v>
      </c>
      <c r="R334" s="10" t="str">
        <f>BattLoan!J362</f>
        <v>-</v>
      </c>
      <c r="T334" s="33">
        <f>IF('PV IN'!$F$4="Battery Only",0,PVCalcs!G334)</f>
        <v>122456.77604329908</v>
      </c>
      <c r="U334" s="33">
        <f>IF('PV IN'!$F$4="Battery Only",0,PVCalcs!M334)</f>
        <v>122456.77604329908</v>
      </c>
      <c r="V334" s="33">
        <f>PVCalcs!L334</f>
        <v>25811.765833333331</v>
      </c>
      <c r="W334" s="158">
        <f>PVCalcs!F334</f>
        <v>8.0103636866522526E-2</v>
      </c>
      <c r="X334" s="144">
        <f>IF('PV IN'!$F$4="Battery Only",0,PVCalcs!Y334+PVCalcs!Z334)</f>
        <v>0</v>
      </c>
      <c r="Y334" s="144">
        <f>IF('PV IN'!$F$4="PV Only",0,BattCalcs!AX334+BattCalcs!BC334)</f>
        <v>0</v>
      </c>
      <c r="Z334" s="144">
        <f>IF('PV IN'!$F$4="PV Only",0,BattCalcs!AY334+BattCalcs!BD334)</f>
        <v>0</v>
      </c>
      <c r="AA334" s="144">
        <f>IF('PV IN'!$F$4="PV Only",0,BattCalcs!AZ334+BattCalcs!BE334)</f>
        <v>0</v>
      </c>
      <c r="AB334" s="144">
        <f>IF('PV IN'!$F$4="PV Only",0,BattCalcs!BA334+BattCalcs!BF334)</f>
        <v>0</v>
      </c>
      <c r="AC334" s="144">
        <f>IF('PV IN'!$F$4="PV Only",0,BattCalcs!BB334+BattCalcs!BG334)</f>
        <v>0</v>
      </c>
      <c r="AD334" s="144">
        <f>IF('PV IN'!$F$4="PV Only",0,BattCalcs!BU334)</f>
        <v>0</v>
      </c>
      <c r="AE334" s="144">
        <f>IF('PV IN'!$F$4="PV Only",PVCalcs!W334+PVCalcs!AA334,IF('PV IN'!$F$4="Battery Only",BattCalcs!AV334+BattCalcs!BH334,PVCalcs!W334+PVCalcs!AA334+BattCalcs!AV334+BattCalcs!BH334))</f>
        <v>0</v>
      </c>
      <c r="AF334" s="10">
        <f>PVCalcs!AC334+BattCalcs!BJ334</f>
        <v>0</v>
      </c>
      <c r="AG334" s="144">
        <f>IF('PV IN'!$F$4="Battery Only",0,PVCalcs!AG334)</f>
        <v>-750</v>
      </c>
      <c r="AH334" s="144">
        <f>IF('PV IN'!$F$4="Battery Only",0,PVCalcs!AI334)</f>
        <v>0</v>
      </c>
      <c r="AI334" s="144">
        <f>IF('PV IN'!$F$4="PV Only",0,BattCalcs!BM334)</f>
        <v>0</v>
      </c>
      <c r="AJ334" s="144">
        <f>IF('PV IN'!$F$4="PV Only",0,SUM(BattCalcs!BO334:BT334))</f>
        <v>0</v>
      </c>
      <c r="AK334" s="144">
        <f>IF('PV IN'!$F$4="PV Only",PVCalcs!AH334,IF('PV IN'!$F$4="Battery Only",BattCalcs!BN334,PVCalcs!AH334+BattCalcs!BN334))</f>
        <v>-625</v>
      </c>
      <c r="AL334" s="144">
        <f>IF('PV IN'!$F$4="PV Only",0,BattCalcs!BV334)</f>
        <v>0</v>
      </c>
      <c r="AM334" s="144">
        <f>IF('PV IN'!$F$4="PV Only",0,SUM(BattCalcs!BW334:BX334))</f>
        <v>0</v>
      </c>
      <c r="AN334" s="144">
        <f>IF('PV IN'!$F$4="PV Only",0,BattCalcs!BY334)</f>
        <v>0</v>
      </c>
      <c r="AO334" s="144">
        <f>IF('PV IN'!$F$4="Battery Only",0,PVCalcs!U334)</f>
        <v>9809.2331200175049</v>
      </c>
      <c r="AP334" s="10">
        <f>IF('PV IN'!$F$4="PV Only",0,BattCalcs!AS334)</f>
        <v>0</v>
      </c>
      <c r="AQ334" s="10">
        <f>IF('PV IN'!$F$4="PV Only",0,BattCalcs!AT334)</f>
        <v>0</v>
      </c>
      <c r="AR334" s="10">
        <f>IF('PV IN'!$F$4="PV Only",0,BattCalcs!AU334)</f>
        <v>0</v>
      </c>
      <c r="AS334" s="144">
        <f>IF('PV IN'!$F$4="PV Only",PVCalcs!X334,IF('PV IN'!$F$4="Battery Only",BattCalcs!AW334,PVCalcs!X334+BattCalcs!AW334))</f>
        <v>0</v>
      </c>
      <c r="AT334" s="144">
        <f>IF('PV IN'!$F$4="Battery Only",0,-PVCalcs!AQ334*'PV IN'!$E$8)</f>
        <v>0</v>
      </c>
      <c r="AU334" s="144">
        <f>IF('PV IN'!$F$4="PV Only",0,-BattCalcs!CG334*'PV IN'!$E$8)</f>
        <v>0</v>
      </c>
      <c r="AV334" s="144">
        <f>IF('PV IN'!$F$4="PV Only",PVCalcs!Z334+PVCalcs!AA334,IF('PV IN'!$F$4="Battery Only",SUM(BattCalcs!BC334:BH334),PVCalcs!Z334+PVCalcs!AA334+SUM(BattCalcs!BC334:BH334)))</f>
        <v>0</v>
      </c>
      <c r="AW334" s="144">
        <f>IF('PV IN'!$F$4="PV Only",SUM(PVCalcs!AF334:AI334),IF('PV IN'!$F$4="Battery Only",SUM(BattCalcs!BL334:BY334),SUM(PVCalcs!AF334:AI334)+SUM(BattCalcs!BL334:BY334)))</f>
        <v>-1375</v>
      </c>
      <c r="AX334" s="144">
        <f>IF('PV IN'!$F$4="Battery Only",0,-PVLoan!F362)</f>
        <v>0</v>
      </c>
      <c r="AY334" s="144">
        <f>IF('PV IN'!$F$4="PV Only",0,-BattLoan!F362)</f>
        <v>0</v>
      </c>
      <c r="AZ334" s="144">
        <f>IF('PV IN'!$F$4="Battery Only",0,-PVLoan!H362)</f>
        <v>0</v>
      </c>
      <c r="BA334" s="144">
        <f>IF('PV IN'!$F$4="PV Only",0,-BattLoan!H362)</f>
        <v>0</v>
      </c>
    </row>
    <row r="335" spans="1:88" x14ac:dyDescent="0.25">
      <c r="A335" t="str">
        <f>IF(C335&lt;='PV IN'!$O$22*12,C335,"")</f>
        <v/>
      </c>
      <c r="C335">
        <v>331</v>
      </c>
      <c r="D335" s="2">
        <f>BattCalcs!CK335+PVCalcs!AT335</f>
        <v>8716.4436312708276</v>
      </c>
      <c r="E335" s="20">
        <f>PVCalcs!AV335</f>
        <v>2215819.0714854985</v>
      </c>
      <c r="F335" s="20">
        <f>PVCalcs!AW335</f>
        <v>2269.1741451932694</v>
      </c>
      <c r="G335" s="20" t="e">
        <f>PVCalcs!AX335</f>
        <v>#N/A</v>
      </c>
      <c r="H335" s="20">
        <f>BattCalcs!CM335</f>
        <v>0</v>
      </c>
      <c r="I335" s="20">
        <f>BattCalcs!CN335</f>
        <v>0</v>
      </c>
      <c r="J335" s="20" t="e">
        <f>IF(C335&lt;='Batt IN'!H$43*12,BattCalcs!CO335,NA())</f>
        <v>#N/A</v>
      </c>
      <c r="L335" s="20">
        <f t="shared" si="826"/>
        <v>2269.1741451932694</v>
      </c>
      <c r="M335" s="20" t="e">
        <f>G335+BattCalcs!CO335</f>
        <v>#N/A</v>
      </c>
      <c r="O335" s="10" t="str">
        <f>PVLoan!G363</f>
        <v>-</v>
      </c>
      <c r="P335" s="10" t="str">
        <f>PVLoan!J363</f>
        <v>-</v>
      </c>
      <c r="Q335" s="2" t="str">
        <f>BattLoan!G363</f>
        <v>-</v>
      </c>
      <c r="R335" s="10" t="str">
        <f>BattLoan!J363</f>
        <v>-</v>
      </c>
      <c r="T335" s="33">
        <f>IF('PV IN'!$F$4="Battery Only",0,PVCalcs!G335)</f>
        <v>122375.13819260355</v>
      </c>
      <c r="U335" s="33">
        <f>IF('PV IN'!$F$4="Battery Only",0,PVCalcs!M335)</f>
        <v>122375.13819260355</v>
      </c>
      <c r="V335" s="33">
        <f>PVCalcs!L335</f>
        <v>25811.765833333331</v>
      </c>
      <c r="W335" s="158">
        <f>PVCalcs!F335</f>
        <v>8.0103636866522526E-2</v>
      </c>
      <c r="X335" s="144">
        <f>IF('PV IN'!$F$4="Battery Only",0,PVCalcs!Y335+PVCalcs!Z335)</f>
        <v>0</v>
      </c>
      <c r="Y335" s="144">
        <f>IF('PV IN'!$F$4="PV Only",0,BattCalcs!AX335+BattCalcs!BC335)</f>
        <v>0</v>
      </c>
      <c r="Z335" s="144">
        <f>IF('PV IN'!$F$4="PV Only",0,BattCalcs!AY335+BattCalcs!BD335)</f>
        <v>0</v>
      </c>
      <c r="AA335" s="144">
        <f>IF('PV IN'!$F$4="PV Only",0,BattCalcs!AZ335+BattCalcs!BE335)</f>
        <v>0</v>
      </c>
      <c r="AB335" s="144">
        <f>IF('PV IN'!$F$4="PV Only",0,BattCalcs!BA335+BattCalcs!BF335)</f>
        <v>0</v>
      </c>
      <c r="AC335" s="144">
        <f>IF('PV IN'!$F$4="PV Only",0,BattCalcs!BB335+BattCalcs!BG335)</f>
        <v>0</v>
      </c>
      <c r="AD335" s="144">
        <f>IF('PV IN'!$F$4="PV Only",0,BattCalcs!BU335)</f>
        <v>0</v>
      </c>
      <c r="AE335" s="144">
        <f>IF('PV IN'!$F$4="PV Only",PVCalcs!W335+PVCalcs!AA335,IF('PV IN'!$F$4="Battery Only",BattCalcs!AV335+BattCalcs!BH335,PVCalcs!W335+PVCalcs!AA335+BattCalcs!AV335+BattCalcs!BH335))</f>
        <v>0</v>
      </c>
      <c r="AF335" s="10">
        <f>PVCalcs!AC335+BattCalcs!BJ335</f>
        <v>0</v>
      </c>
      <c r="AG335" s="144">
        <f>IF('PV IN'!$F$4="Battery Only",0,PVCalcs!AG335)</f>
        <v>-750</v>
      </c>
      <c r="AH335" s="144">
        <f>IF('PV IN'!$F$4="Battery Only",0,PVCalcs!AI335)</f>
        <v>0</v>
      </c>
      <c r="AI335" s="144">
        <f>IF('PV IN'!$F$4="PV Only",0,BattCalcs!BM335)</f>
        <v>0</v>
      </c>
      <c r="AJ335" s="144">
        <f>IF('PV IN'!$F$4="PV Only",0,SUM(BattCalcs!BO335:BT335))</f>
        <v>0</v>
      </c>
      <c r="AK335" s="144">
        <f>IF('PV IN'!$F$4="PV Only",PVCalcs!AH335,IF('PV IN'!$F$4="Battery Only",BattCalcs!BN335,PVCalcs!AH335+BattCalcs!BN335))</f>
        <v>-625</v>
      </c>
      <c r="AL335" s="144">
        <f>IF('PV IN'!$F$4="PV Only",0,BattCalcs!BV335)</f>
        <v>0</v>
      </c>
      <c r="AM335" s="144">
        <f>IF('PV IN'!$F$4="PV Only",0,SUM(BattCalcs!BW335:BX335))</f>
        <v>0</v>
      </c>
      <c r="AN335" s="144">
        <f>IF('PV IN'!$F$4="PV Only",0,BattCalcs!BY335)</f>
        <v>0</v>
      </c>
      <c r="AO335" s="144">
        <f>IF('PV IN'!$F$4="Battery Only",0,PVCalcs!U335)</f>
        <v>9802.6936312708276</v>
      </c>
      <c r="AP335" s="10">
        <f>IF('PV IN'!$F$4="PV Only",0,BattCalcs!AS335)</f>
        <v>0</v>
      </c>
      <c r="AQ335" s="10">
        <f>IF('PV IN'!$F$4="PV Only",0,BattCalcs!AT335)</f>
        <v>0</v>
      </c>
      <c r="AR335" s="10">
        <f>IF('PV IN'!$F$4="PV Only",0,BattCalcs!AU335)</f>
        <v>0</v>
      </c>
      <c r="AS335" s="144">
        <f>IF('PV IN'!$F$4="PV Only",PVCalcs!X335,IF('PV IN'!$F$4="Battery Only",BattCalcs!AW335,PVCalcs!X335+BattCalcs!AW335))</f>
        <v>0</v>
      </c>
      <c r="AT335" s="144">
        <f>IF('PV IN'!$F$4="Battery Only",0,-PVCalcs!AQ335*'PV IN'!$E$8)</f>
        <v>0</v>
      </c>
      <c r="AU335" s="144">
        <f>IF('PV IN'!$F$4="PV Only",0,-BattCalcs!CG335*'PV IN'!$E$8)</f>
        <v>0</v>
      </c>
      <c r="AV335" s="144">
        <f>IF('PV IN'!$F$4="PV Only",PVCalcs!Z335+PVCalcs!AA335,IF('PV IN'!$F$4="Battery Only",SUM(BattCalcs!BC335:BH335),PVCalcs!Z335+PVCalcs!AA335+SUM(BattCalcs!BC335:BH335)))</f>
        <v>0</v>
      </c>
      <c r="AW335" s="144">
        <f>IF('PV IN'!$F$4="PV Only",SUM(PVCalcs!AF335:AI335),IF('PV IN'!$F$4="Battery Only",SUM(BattCalcs!BL335:BY335),SUM(PVCalcs!AF335:AI335)+SUM(BattCalcs!BL335:BY335)))</f>
        <v>-1375</v>
      </c>
      <c r="AX335" s="144">
        <f>IF('PV IN'!$F$4="Battery Only",0,-PVLoan!F363)</f>
        <v>0</v>
      </c>
      <c r="AY335" s="144">
        <f>IF('PV IN'!$F$4="PV Only",0,-BattLoan!F363)</f>
        <v>0</v>
      </c>
      <c r="AZ335" s="144">
        <f>IF('PV IN'!$F$4="Battery Only",0,-PVLoan!H363)</f>
        <v>0</v>
      </c>
      <c r="BA335" s="144">
        <f>IF('PV IN'!$F$4="PV Only",0,-BattLoan!H363)</f>
        <v>0</v>
      </c>
    </row>
    <row r="336" spans="1:88" x14ac:dyDescent="0.25">
      <c r="A336" t="str">
        <f>IF(C336&lt;='PV IN'!$O$22*12,C336,"")</f>
        <v/>
      </c>
      <c r="C336">
        <v>332</v>
      </c>
      <c r="D336" s="2">
        <f>BattCalcs!CK336+PVCalcs!AT336</f>
        <v>8709.9085021833125</v>
      </c>
      <c r="E336" s="20">
        <f>PVCalcs!AV336</f>
        <v>2224528.9799876818</v>
      </c>
      <c r="F336" s="20">
        <f>PVCalcs!AW336</f>
        <v>2258.2723571423849</v>
      </c>
      <c r="G336" s="20" t="e">
        <f>PVCalcs!AX336</f>
        <v>#N/A</v>
      </c>
      <c r="H336" s="20">
        <f>BattCalcs!CM336</f>
        <v>0</v>
      </c>
      <c r="I336" s="20">
        <f>BattCalcs!CN336</f>
        <v>0</v>
      </c>
      <c r="J336" s="20" t="e">
        <f>IF(C336&lt;='Batt IN'!H$43*12,BattCalcs!CO336,NA())</f>
        <v>#N/A</v>
      </c>
      <c r="L336" s="20">
        <f t="shared" si="826"/>
        <v>2258.2723571423849</v>
      </c>
      <c r="M336" s="20" t="e">
        <f>G336+BattCalcs!CO336</f>
        <v>#N/A</v>
      </c>
      <c r="O336" s="10" t="str">
        <f>PVLoan!G364</f>
        <v>-</v>
      </c>
      <c r="P336" s="10" t="str">
        <f>PVLoan!J364</f>
        <v>-</v>
      </c>
      <c r="Q336" s="2" t="str">
        <f>BattLoan!G364</f>
        <v>-</v>
      </c>
      <c r="R336" s="10" t="str">
        <f>BattLoan!J364</f>
        <v>-</v>
      </c>
      <c r="T336" s="33">
        <f>IF('PV IN'!$F$4="Battery Only",0,PVCalcs!G336)</f>
        <v>122293.5547671418</v>
      </c>
      <c r="U336" s="33">
        <f>IF('PV IN'!$F$4="Battery Only",0,PVCalcs!M336)</f>
        <v>122293.5547671418</v>
      </c>
      <c r="V336" s="33">
        <f>PVCalcs!L336</f>
        <v>25811.765833333331</v>
      </c>
      <c r="W336" s="158">
        <f>PVCalcs!F336</f>
        <v>8.0103636866522526E-2</v>
      </c>
      <c r="X336" s="144">
        <f>IF('PV IN'!$F$4="Battery Only",0,PVCalcs!Y336+PVCalcs!Z336)</f>
        <v>0</v>
      </c>
      <c r="Y336" s="144">
        <f>IF('PV IN'!$F$4="PV Only",0,BattCalcs!AX336+BattCalcs!BC336)</f>
        <v>0</v>
      </c>
      <c r="Z336" s="144">
        <f>IF('PV IN'!$F$4="PV Only",0,BattCalcs!AY336+BattCalcs!BD336)</f>
        <v>0</v>
      </c>
      <c r="AA336" s="144">
        <f>IF('PV IN'!$F$4="PV Only",0,BattCalcs!AZ336+BattCalcs!BE336)</f>
        <v>0</v>
      </c>
      <c r="AB336" s="144">
        <f>IF('PV IN'!$F$4="PV Only",0,BattCalcs!BA336+BattCalcs!BF336)</f>
        <v>0</v>
      </c>
      <c r="AC336" s="144">
        <f>IF('PV IN'!$F$4="PV Only",0,BattCalcs!BB336+BattCalcs!BG336)</f>
        <v>0</v>
      </c>
      <c r="AD336" s="144">
        <f>IF('PV IN'!$F$4="PV Only",0,BattCalcs!BU336)</f>
        <v>0</v>
      </c>
      <c r="AE336" s="144">
        <f>IF('PV IN'!$F$4="PV Only",PVCalcs!W336+PVCalcs!AA336,IF('PV IN'!$F$4="Battery Only",BattCalcs!AV336+BattCalcs!BH336,PVCalcs!W336+PVCalcs!AA336+BattCalcs!AV336+BattCalcs!BH336))</f>
        <v>0</v>
      </c>
      <c r="AF336" s="10">
        <f>PVCalcs!AC336+BattCalcs!BJ336</f>
        <v>0</v>
      </c>
      <c r="AG336" s="144">
        <f>IF('PV IN'!$F$4="Battery Only",0,PVCalcs!AG336)</f>
        <v>-750</v>
      </c>
      <c r="AH336" s="144">
        <f>IF('PV IN'!$F$4="Battery Only",0,PVCalcs!AI336)</f>
        <v>0</v>
      </c>
      <c r="AI336" s="144">
        <f>IF('PV IN'!$F$4="PV Only",0,BattCalcs!BM336)</f>
        <v>0</v>
      </c>
      <c r="AJ336" s="144">
        <f>IF('PV IN'!$F$4="PV Only",0,SUM(BattCalcs!BO336:BT336))</f>
        <v>0</v>
      </c>
      <c r="AK336" s="144">
        <f>IF('PV IN'!$F$4="PV Only",PVCalcs!AH336,IF('PV IN'!$F$4="Battery Only",BattCalcs!BN336,PVCalcs!AH336+BattCalcs!BN336))</f>
        <v>-625</v>
      </c>
      <c r="AL336" s="144">
        <f>IF('PV IN'!$F$4="PV Only",0,BattCalcs!BV336)</f>
        <v>0</v>
      </c>
      <c r="AM336" s="144">
        <f>IF('PV IN'!$F$4="PV Only",0,SUM(BattCalcs!BW336:BX336))</f>
        <v>0</v>
      </c>
      <c r="AN336" s="144">
        <f>IF('PV IN'!$F$4="PV Only",0,BattCalcs!BY336)</f>
        <v>0</v>
      </c>
      <c r="AO336" s="144">
        <f>IF('PV IN'!$F$4="Battery Only",0,PVCalcs!U336)</f>
        <v>9796.1585021833125</v>
      </c>
      <c r="AP336" s="10">
        <f>IF('PV IN'!$F$4="PV Only",0,BattCalcs!AS336)</f>
        <v>0</v>
      </c>
      <c r="AQ336" s="10">
        <f>IF('PV IN'!$F$4="PV Only",0,BattCalcs!AT336)</f>
        <v>0</v>
      </c>
      <c r="AR336" s="10">
        <f>IF('PV IN'!$F$4="PV Only",0,BattCalcs!AU336)</f>
        <v>0</v>
      </c>
      <c r="AS336" s="144">
        <f>IF('PV IN'!$F$4="PV Only",PVCalcs!X336,IF('PV IN'!$F$4="Battery Only",BattCalcs!AW336,PVCalcs!X336+BattCalcs!AW336))</f>
        <v>0</v>
      </c>
      <c r="AT336" s="144">
        <f>IF('PV IN'!$F$4="Battery Only",0,-PVCalcs!AQ336*'PV IN'!$E$8)</f>
        <v>0</v>
      </c>
      <c r="AU336" s="144">
        <f>IF('PV IN'!$F$4="PV Only",0,-BattCalcs!CG336*'PV IN'!$E$8)</f>
        <v>0</v>
      </c>
      <c r="AV336" s="144">
        <f>IF('PV IN'!$F$4="PV Only",PVCalcs!Z336+PVCalcs!AA336,IF('PV IN'!$F$4="Battery Only",SUM(BattCalcs!BC336:BH336),PVCalcs!Z336+PVCalcs!AA336+SUM(BattCalcs!BC336:BH336)))</f>
        <v>0</v>
      </c>
      <c r="AW336" s="144">
        <f>IF('PV IN'!$F$4="PV Only",SUM(PVCalcs!AF336:AI336),IF('PV IN'!$F$4="Battery Only",SUM(BattCalcs!BL336:BY336),SUM(PVCalcs!AF336:AI336)+SUM(BattCalcs!BL336:BY336)))</f>
        <v>-1375</v>
      </c>
      <c r="AX336" s="144">
        <f>IF('PV IN'!$F$4="Battery Only",0,-PVLoan!F364)</f>
        <v>0</v>
      </c>
      <c r="AY336" s="144">
        <f>IF('PV IN'!$F$4="PV Only",0,-BattLoan!F364)</f>
        <v>0</v>
      </c>
      <c r="AZ336" s="144">
        <f>IF('PV IN'!$F$4="Battery Only",0,-PVLoan!H364)</f>
        <v>0</v>
      </c>
      <c r="BA336" s="144">
        <f>IF('PV IN'!$F$4="PV Only",0,-BattLoan!H364)</f>
        <v>0</v>
      </c>
    </row>
    <row r="337" spans="1:88" x14ac:dyDescent="0.25">
      <c r="A337" t="str">
        <f>IF(C337&lt;='PV IN'!$O$22*12,C337,"")</f>
        <v/>
      </c>
      <c r="C337">
        <v>333</v>
      </c>
      <c r="D337" s="2">
        <f>BattCalcs!CK337+PVCalcs!AT337</f>
        <v>8703.3777298485238</v>
      </c>
      <c r="E337" s="20">
        <f>PVCalcs!AV337</f>
        <v>2233232.3577175303</v>
      </c>
      <c r="F337" s="20">
        <f>PVCalcs!AW337</f>
        <v>2247.4228043256494</v>
      </c>
      <c r="G337" s="20" t="e">
        <f>PVCalcs!AX337</f>
        <v>#N/A</v>
      </c>
      <c r="H337" s="20">
        <f>BattCalcs!CM337</f>
        <v>0</v>
      </c>
      <c r="I337" s="20">
        <f>BattCalcs!CN337</f>
        <v>0</v>
      </c>
      <c r="J337" s="20" t="e">
        <f>IF(C337&lt;='Batt IN'!H$43*12,BattCalcs!CO337,NA())</f>
        <v>#N/A</v>
      </c>
      <c r="L337" s="20">
        <f t="shared" si="826"/>
        <v>2247.4228043256494</v>
      </c>
      <c r="M337" s="20" t="e">
        <f>G337+BattCalcs!CO337</f>
        <v>#N/A</v>
      </c>
      <c r="O337" s="10" t="str">
        <f>PVLoan!G365</f>
        <v>-</v>
      </c>
      <c r="P337" s="10" t="str">
        <f>PVLoan!J365</f>
        <v>-</v>
      </c>
      <c r="Q337" s="2" t="str">
        <f>BattLoan!G365</f>
        <v>-</v>
      </c>
      <c r="R337" s="10" t="str">
        <f>BattLoan!J365</f>
        <v>-</v>
      </c>
      <c r="T337" s="33">
        <f>IF('PV IN'!$F$4="Battery Only",0,PVCalcs!G337)</f>
        <v>122212.02573063038</v>
      </c>
      <c r="U337" s="33">
        <f>IF('PV IN'!$F$4="Battery Only",0,PVCalcs!M337)</f>
        <v>122212.02573063038</v>
      </c>
      <c r="V337" s="33">
        <f>PVCalcs!L337</f>
        <v>25811.765833333331</v>
      </c>
      <c r="W337" s="158">
        <f>PVCalcs!F337</f>
        <v>8.0103636866522526E-2</v>
      </c>
      <c r="X337" s="144">
        <f>IF('PV IN'!$F$4="Battery Only",0,PVCalcs!Y337+PVCalcs!Z337)</f>
        <v>0</v>
      </c>
      <c r="Y337" s="144">
        <f>IF('PV IN'!$F$4="PV Only",0,BattCalcs!AX337+BattCalcs!BC337)</f>
        <v>0</v>
      </c>
      <c r="Z337" s="144">
        <f>IF('PV IN'!$F$4="PV Only",0,BattCalcs!AY337+BattCalcs!BD337)</f>
        <v>0</v>
      </c>
      <c r="AA337" s="144">
        <f>IF('PV IN'!$F$4="PV Only",0,BattCalcs!AZ337+BattCalcs!BE337)</f>
        <v>0</v>
      </c>
      <c r="AB337" s="144">
        <f>IF('PV IN'!$F$4="PV Only",0,BattCalcs!BA337+BattCalcs!BF337)</f>
        <v>0</v>
      </c>
      <c r="AC337" s="144">
        <f>IF('PV IN'!$F$4="PV Only",0,BattCalcs!BB337+BattCalcs!BG337)</f>
        <v>0</v>
      </c>
      <c r="AD337" s="144">
        <f>IF('PV IN'!$F$4="PV Only",0,BattCalcs!BU337)</f>
        <v>0</v>
      </c>
      <c r="AE337" s="144">
        <f>IF('PV IN'!$F$4="PV Only",PVCalcs!W337+PVCalcs!AA337,IF('PV IN'!$F$4="Battery Only",BattCalcs!AV337+BattCalcs!BH337,PVCalcs!W337+PVCalcs!AA337+BattCalcs!AV337+BattCalcs!BH337))</f>
        <v>0</v>
      </c>
      <c r="AF337" s="10">
        <f>PVCalcs!AC337+BattCalcs!BJ337</f>
        <v>0</v>
      </c>
      <c r="AG337" s="144">
        <f>IF('PV IN'!$F$4="Battery Only",0,PVCalcs!AG337)</f>
        <v>-750</v>
      </c>
      <c r="AH337" s="144">
        <f>IF('PV IN'!$F$4="Battery Only",0,PVCalcs!AI337)</f>
        <v>0</v>
      </c>
      <c r="AI337" s="144">
        <f>IF('PV IN'!$F$4="PV Only",0,BattCalcs!BM337)</f>
        <v>0</v>
      </c>
      <c r="AJ337" s="144">
        <f>IF('PV IN'!$F$4="PV Only",0,SUM(BattCalcs!BO337:BT337))</f>
        <v>0</v>
      </c>
      <c r="AK337" s="144">
        <f>IF('PV IN'!$F$4="PV Only",PVCalcs!AH337,IF('PV IN'!$F$4="Battery Only",BattCalcs!BN337,PVCalcs!AH337+BattCalcs!BN337))</f>
        <v>-625</v>
      </c>
      <c r="AL337" s="144">
        <f>IF('PV IN'!$F$4="PV Only",0,BattCalcs!BV337)</f>
        <v>0</v>
      </c>
      <c r="AM337" s="144">
        <f>IF('PV IN'!$F$4="PV Only",0,SUM(BattCalcs!BW337:BX337))</f>
        <v>0</v>
      </c>
      <c r="AN337" s="144">
        <f>IF('PV IN'!$F$4="PV Only",0,BattCalcs!BY337)</f>
        <v>0</v>
      </c>
      <c r="AO337" s="144">
        <f>IF('PV IN'!$F$4="Battery Only",0,PVCalcs!U337)</f>
        <v>9789.6277298485238</v>
      </c>
      <c r="AP337" s="10">
        <f>IF('PV IN'!$F$4="PV Only",0,BattCalcs!AS337)</f>
        <v>0</v>
      </c>
      <c r="AQ337" s="10">
        <f>IF('PV IN'!$F$4="PV Only",0,BattCalcs!AT337)</f>
        <v>0</v>
      </c>
      <c r="AR337" s="10">
        <f>IF('PV IN'!$F$4="PV Only",0,BattCalcs!AU337)</f>
        <v>0</v>
      </c>
      <c r="AS337" s="144">
        <f>IF('PV IN'!$F$4="PV Only",PVCalcs!X337,IF('PV IN'!$F$4="Battery Only",BattCalcs!AW337,PVCalcs!X337+BattCalcs!AW337))</f>
        <v>0</v>
      </c>
      <c r="AT337" s="144">
        <f>IF('PV IN'!$F$4="Battery Only",0,-PVCalcs!AQ337*'PV IN'!$E$8)</f>
        <v>0</v>
      </c>
      <c r="AU337" s="144">
        <f>IF('PV IN'!$F$4="PV Only",0,-BattCalcs!CG337*'PV IN'!$E$8)</f>
        <v>0</v>
      </c>
      <c r="AV337" s="144">
        <f>IF('PV IN'!$F$4="PV Only",PVCalcs!Z337+PVCalcs!AA337,IF('PV IN'!$F$4="Battery Only",SUM(BattCalcs!BC337:BH337),PVCalcs!Z337+PVCalcs!AA337+SUM(BattCalcs!BC337:BH337)))</f>
        <v>0</v>
      </c>
      <c r="AW337" s="144">
        <f>IF('PV IN'!$F$4="PV Only",SUM(PVCalcs!AF337:AI337),IF('PV IN'!$F$4="Battery Only",SUM(BattCalcs!BL337:BY337),SUM(PVCalcs!AF337:AI337)+SUM(BattCalcs!BL337:BY337)))</f>
        <v>-1375</v>
      </c>
      <c r="AX337" s="144">
        <f>IF('PV IN'!$F$4="Battery Only",0,-PVLoan!F365)</f>
        <v>0</v>
      </c>
      <c r="AY337" s="144">
        <f>IF('PV IN'!$F$4="PV Only",0,-BattLoan!F365)</f>
        <v>0</v>
      </c>
      <c r="AZ337" s="144">
        <f>IF('PV IN'!$F$4="Battery Only",0,-PVLoan!H365)</f>
        <v>0</v>
      </c>
      <c r="BA337" s="144">
        <f>IF('PV IN'!$F$4="PV Only",0,-BattLoan!H365)</f>
        <v>0</v>
      </c>
    </row>
    <row r="338" spans="1:88" x14ac:dyDescent="0.25">
      <c r="A338" t="str">
        <f>IF(C338&lt;='PV IN'!$O$22*12,C338,"")</f>
        <v/>
      </c>
      <c r="C338">
        <v>334</v>
      </c>
      <c r="D338" s="2">
        <f>BattCalcs!CK338+PVCalcs!AT338</f>
        <v>8696.8513113619556</v>
      </c>
      <c r="E338" s="20">
        <f>PVCalcs!AV338</f>
        <v>2241929.2090288922</v>
      </c>
      <c r="F338" s="20">
        <f>PVCalcs!AW338</f>
        <v>2236.625237020291</v>
      </c>
      <c r="G338" s="20" t="e">
        <f>PVCalcs!AX338</f>
        <v>#N/A</v>
      </c>
      <c r="H338" s="20">
        <f>BattCalcs!CM338</f>
        <v>0</v>
      </c>
      <c r="I338" s="20">
        <f>BattCalcs!CN338</f>
        <v>0</v>
      </c>
      <c r="J338" s="20" t="e">
        <f>IF(C338&lt;='Batt IN'!H$43*12,BattCalcs!CO338,NA())</f>
        <v>#N/A</v>
      </c>
      <c r="L338" s="20">
        <f t="shared" si="826"/>
        <v>2236.625237020291</v>
      </c>
      <c r="M338" s="20" t="e">
        <f>G338+BattCalcs!CO338</f>
        <v>#N/A</v>
      </c>
      <c r="O338" s="10" t="str">
        <f>PVLoan!G366</f>
        <v>-</v>
      </c>
      <c r="P338" s="10" t="str">
        <f>PVLoan!J366</f>
        <v>-</v>
      </c>
      <c r="Q338" s="2" t="str">
        <f>BattLoan!G366</f>
        <v>-</v>
      </c>
      <c r="R338" s="10" t="str">
        <f>BattLoan!J366</f>
        <v>-</v>
      </c>
      <c r="T338" s="33">
        <f>IF('PV IN'!$F$4="Battery Only",0,PVCalcs!G338)</f>
        <v>122130.55104680994</v>
      </c>
      <c r="U338" s="33">
        <f>IF('PV IN'!$F$4="Battery Only",0,PVCalcs!M338)</f>
        <v>122130.55104680994</v>
      </c>
      <c r="V338" s="33">
        <f>PVCalcs!L338</f>
        <v>25811.765833333331</v>
      </c>
      <c r="W338" s="158">
        <f>PVCalcs!F338</f>
        <v>8.0103636866522526E-2</v>
      </c>
      <c r="X338" s="144">
        <f>IF('PV IN'!$F$4="Battery Only",0,PVCalcs!Y338+PVCalcs!Z338)</f>
        <v>0</v>
      </c>
      <c r="Y338" s="144">
        <f>IF('PV IN'!$F$4="PV Only",0,BattCalcs!AX338+BattCalcs!BC338)</f>
        <v>0</v>
      </c>
      <c r="Z338" s="144">
        <f>IF('PV IN'!$F$4="PV Only",0,BattCalcs!AY338+BattCalcs!BD338)</f>
        <v>0</v>
      </c>
      <c r="AA338" s="144">
        <f>IF('PV IN'!$F$4="PV Only",0,BattCalcs!AZ338+BattCalcs!BE338)</f>
        <v>0</v>
      </c>
      <c r="AB338" s="144">
        <f>IF('PV IN'!$F$4="PV Only",0,BattCalcs!BA338+BattCalcs!BF338)</f>
        <v>0</v>
      </c>
      <c r="AC338" s="144">
        <f>IF('PV IN'!$F$4="PV Only",0,BattCalcs!BB338+BattCalcs!BG338)</f>
        <v>0</v>
      </c>
      <c r="AD338" s="144">
        <f>IF('PV IN'!$F$4="PV Only",0,BattCalcs!BU338)</f>
        <v>0</v>
      </c>
      <c r="AE338" s="144">
        <f>IF('PV IN'!$F$4="PV Only",PVCalcs!W338+PVCalcs!AA338,IF('PV IN'!$F$4="Battery Only",BattCalcs!AV338+BattCalcs!BH338,PVCalcs!W338+PVCalcs!AA338+BattCalcs!AV338+BattCalcs!BH338))</f>
        <v>0</v>
      </c>
      <c r="AF338" s="10">
        <f>PVCalcs!AC338+BattCalcs!BJ338</f>
        <v>0</v>
      </c>
      <c r="AG338" s="144">
        <f>IF('PV IN'!$F$4="Battery Only",0,PVCalcs!AG338)</f>
        <v>-750</v>
      </c>
      <c r="AH338" s="144">
        <f>IF('PV IN'!$F$4="Battery Only",0,PVCalcs!AI338)</f>
        <v>0</v>
      </c>
      <c r="AI338" s="144">
        <f>IF('PV IN'!$F$4="PV Only",0,BattCalcs!BM338)</f>
        <v>0</v>
      </c>
      <c r="AJ338" s="144">
        <f>IF('PV IN'!$F$4="PV Only",0,SUM(BattCalcs!BO338:BT338))</f>
        <v>0</v>
      </c>
      <c r="AK338" s="144">
        <f>IF('PV IN'!$F$4="PV Only",PVCalcs!AH338,IF('PV IN'!$F$4="Battery Only",BattCalcs!BN338,PVCalcs!AH338+BattCalcs!BN338))</f>
        <v>-625</v>
      </c>
      <c r="AL338" s="144">
        <f>IF('PV IN'!$F$4="PV Only",0,BattCalcs!BV338)</f>
        <v>0</v>
      </c>
      <c r="AM338" s="144">
        <f>IF('PV IN'!$F$4="PV Only",0,SUM(BattCalcs!BW338:BX338))</f>
        <v>0</v>
      </c>
      <c r="AN338" s="144">
        <f>IF('PV IN'!$F$4="PV Only",0,BattCalcs!BY338)</f>
        <v>0</v>
      </c>
      <c r="AO338" s="144">
        <f>IF('PV IN'!$F$4="Battery Only",0,PVCalcs!U338)</f>
        <v>9783.1013113619556</v>
      </c>
      <c r="AP338" s="10">
        <f>IF('PV IN'!$F$4="PV Only",0,BattCalcs!AS338)</f>
        <v>0</v>
      </c>
      <c r="AQ338" s="10">
        <f>IF('PV IN'!$F$4="PV Only",0,BattCalcs!AT338)</f>
        <v>0</v>
      </c>
      <c r="AR338" s="10">
        <f>IF('PV IN'!$F$4="PV Only",0,BattCalcs!AU338)</f>
        <v>0</v>
      </c>
      <c r="AS338" s="144">
        <f>IF('PV IN'!$F$4="PV Only",PVCalcs!X338,IF('PV IN'!$F$4="Battery Only",BattCalcs!AW338,PVCalcs!X338+BattCalcs!AW338))</f>
        <v>0</v>
      </c>
      <c r="AT338" s="144">
        <f>IF('PV IN'!$F$4="Battery Only",0,-PVCalcs!AQ338*'PV IN'!$E$8)</f>
        <v>0</v>
      </c>
      <c r="AU338" s="144">
        <f>IF('PV IN'!$F$4="PV Only",0,-BattCalcs!CG338*'PV IN'!$E$8)</f>
        <v>0</v>
      </c>
      <c r="AV338" s="144">
        <f>IF('PV IN'!$F$4="PV Only",PVCalcs!Z338+PVCalcs!AA338,IF('PV IN'!$F$4="Battery Only",SUM(BattCalcs!BC338:BH338),PVCalcs!Z338+PVCalcs!AA338+SUM(BattCalcs!BC338:BH338)))</f>
        <v>0</v>
      </c>
      <c r="AW338" s="144">
        <f>IF('PV IN'!$F$4="PV Only",SUM(PVCalcs!AF338:AI338),IF('PV IN'!$F$4="Battery Only",SUM(BattCalcs!BL338:BY338),SUM(PVCalcs!AF338:AI338)+SUM(BattCalcs!BL338:BY338)))</f>
        <v>-1375</v>
      </c>
      <c r="AX338" s="144">
        <f>IF('PV IN'!$F$4="Battery Only",0,-PVLoan!F366)</f>
        <v>0</v>
      </c>
      <c r="AY338" s="144">
        <f>IF('PV IN'!$F$4="PV Only",0,-BattLoan!F366)</f>
        <v>0</v>
      </c>
      <c r="AZ338" s="144">
        <f>IF('PV IN'!$F$4="Battery Only",0,-PVLoan!H366)</f>
        <v>0</v>
      </c>
      <c r="BA338" s="144">
        <f>IF('PV IN'!$F$4="PV Only",0,-BattLoan!H366)</f>
        <v>0</v>
      </c>
    </row>
    <row r="339" spans="1:88" x14ac:dyDescent="0.25">
      <c r="A339" t="str">
        <f>IF(C339&lt;='PV IN'!$O$22*12,C339,"")</f>
        <v/>
      </c>
      <c r="C339">
        <v>335</v>
      </c>
      <c r="D339" s="2">
        <f>BattCalcs!CK339+PVCalcs!AT339</f>
        <v>8690.3292438210483</v>
      </c>
      <c r="E339" s="20">
        <f>PVCalcs!AV339</f>
        <v>2250619.5382727133</v>
      </c>
      <c r="F339" s="20">
        <f>PVCalcs!AW339</f>
        <v>2225.8794066951637</v>
      </c>
      <c r="G339" s="20" t="e">
        <f>PVCalcs!AX339</f>
        <v>#N/A</v>
      </c>
      <c r="H339" s="20">
        <f>BattCalcs!CM339</f>
        <v>0</v>
      </c>
      <c r="I339" s="20">
        <f>BattCalcs!CN339</f>
        <v>0</v>
      </c>
      <c r="J339" s="20" t="e">
        <f>IF(C339&lt;='Batt IN'!H$43*12,BattCalcs!CO339,NA())</f>
        <v>#N/A</v>
      </c>
      <c r="L339" s="20">
        <f t="shared" si="826"/>
        <v>2225.8794066951637</v>
      </c>
      <c r="M339" s="20" t="e">
        <f>G339+BattCalcs!CO339</f>
        <v>#N/A</v>
      </c>
      <c r="O339" s="10" t="str">
        <f>PVLoan!G367</f>
        <v>-</v>
      </c>
      <c r="P339" s="10" t="str">
        <f>PVLoan!J367</f>
        <v>-</v>
      </c>
      <c r="Q339" s="2" t="str">
        <f>BattLoan!G367</f>
        <v>-</v>
      </c>
      <c r="R339" s="10" t="str">
        <f>BattLoan!J367</f>
        <v>-</v>
      </c>
      <c r="T339" s="33">
        <f>IF('PV IN'!$F$4="Battery Only",0,PVCalcs!G339)</f>
        <v>122049.13067944541</v>
      </c>
      <c r="U339" s="33">
        <f>IF('PV IN'!$F$4="Battery Only",0,PVCalcs!M339)</f>
        <v>122049.13067944541</v>
      </c>
      <c r="V339" s="33">
        <f>PVCalcs!L339</f>
        <v>25811.765833333331</v>
      </c>
      <c r="W339" s="158">
        <f>PVCalcs!F339</f>
        <v>8.0103636866522526E-2</v>
      </c>
      <c r="X339" s="144">
        <f>IF('PV IN'!$F$4="Battery Only",0,PVCalcs!Y339+PVCalcs!Z339)</f>
        <v>0</v>
      </c>
      <c r="Y339" s="144">
        <f>IF('PV IN'!$F$4="PV Only",0,BattCalcs!AX339+BattCalcs!BC339)</f>
        <v>0</v>
      </c>
      <c r="Z339" s="144">
        <f>IF('PV IN'!$F$4="PV Only",0,BattCalcs!AY339+BattCalcs!BD339)</f>
        <v>0</v>
      </c>
      <c r="AA339" s="144">
        <f>IF('PV IN'!$F$4="PV Only",0,BattCalcs!AZ339+BattCalcs!BE339)</f>
        <v>0</v>
      </c>
      <c r="AB339" s="144">
        <f>IF('PV IN'!$F$4="PV Only",0,BattCalcs!BA339+BattCalcs!BF339)</f>
        <v>0</v>
      </c>
      <c r="AC339" s="144">
        <f>IF('PV IN'!$F$4="PV Only",0,BattCalcs!BB339+BattCalcs!BG339)</f>
        <v>0</v>
      </c>
      <c r="AD339" s="144">
        <f>IF('PV IN'!$F$4="PV Only",0,BattCalcs!BU339)</f>
        <v>0</v>
      </c>
      <c r="AE339" s="144">
        <f>IF('PV IN'!$F$4="PV Only",PVCalcs!W339+PVCalcs!AA339,IF('PV IN'!$F$4="Battery Only",BattCalcs!AV339+BattCalcs!BH339,PVCalcs!W339+PVCalcs!AA339+BattCalcs!AV339+BattCalcs!BH339))</f>
        <v>0</v>
      </c>
      <c r="AF339" s="10">
        <f>PVCalcs!AC339+BattCalcs!BJ339</f>
        <v>0</v>
      </c>
      <c r="AG339" s="144">
        <f>IF('PV IN'!$F$4="Battery Only",0,PVCalcs!AG339)</f>
        <v>-750</v>
      </c>
      <c r="AH339" s="144">
        <f>IF('PV IN'!$F$4="Battery Only",0,PVCalcs!AI339)</f>
        <v>0</v>
      </c>
      <c r="AI339" s="144">
        <f>IF('PV IN'!$F$4="PV Only",0,BattCalcs!BM339)</f>
        <v>0</v>
      </c>
      <c r="AJ339" s="144">
        <f>IF('PV IN'!$F$4="PV Only",0,SUM(BattCalcs!BO339:BT339))</f>
        <v>0</v>
      </c>
      <c r="AK339" s="144">
        <f>IF('PV IN'!$F$4="PV Only",PVCalcs!AH339,IF('PV IN'!$F$4="Battery Only",BattCalcs!BN339,PVCalcs!AH339+BattCalcs!BN339))</f>
        <v>-625</v>
      </c>
      <c r="AL339" s="144">
        <f>IF('PV IN'!$F$4="PV Only",0,BattCalcs!BV339)</f>
        <v>0</v>
      </c>
      <c r="AM339" s="144">
        <f>IF('PV IN'!$F$4="PV Only",0,SUM(BattCalcs!BW339:BX339))</f>
        <v>0</v>
      </c>
      <c r="AN339" s="144">
        <f>IF('PV IN'!$F$4="PV Only",0,BattCalcs!BY339)</f>
        <v>0</v>
      </c>
      <c r="AO339" s="144">
        <f>IF('PV IN'!$F$4="Battery Only",0,PVCalcs!U339)</f>
        <v>9776.5792438210483</v>
      </c>
      <c r="AP339" s="10">
        <f>IF('PV IN'!$F$4="PV Only",0,BattCalcs!AS339)</f>
        <v>0</v>
      </c>
      <c r="AQ339" s="10">
        <f>IF('PV IN'!$F$4="PV Only",0,BattCalcs!AT339)</f>
        <v>0</v>
      </c>
      <c r="AR339" s="10">
        <f>IF('PV IN'!$F$4="PV Only",0,BattCalcs!AU339)</f>
        <v>0</v>
      </c>
      <c r="AS339" s="144">
        <f>IF('PV IN'!$F$4="PV Only",PVCalcs!X339,IF('PV IN'!$F$4="Battery Only",BattCalcs!AW339,PVCalcs!X339+BattCalcs!AW339))</f>
        <v>0</v>
      </c>
      <c r="AT339" s="144">
        <f>IF('PV IN'!$F$4="Battery Only",0,-PVCalcs!AQ339*'PV IN'!$E$8)</f>
        <v>0</v>
      </c>
      <c r="AU339" s="144">
        <f>IF('PV IN'!$F$4="PV Only",0,-BattCalcs!CG339*'PV IN'!$E$8)</f>
        <v>0</v>
      </c>
      <c r="AV339" s="144">
        <f>IF('PV IN'!$F$4="PV Only",PVCalcs!Z339+PVCalcs!AA339,IF('PV IN'!$F$4="Battery Only",SUM(BattCalcs!BC339:BH339),PVCalcs!Z339+PVCalcs!AA339+SUM(BattCalcs!BC339:BH339)))</f>
        <v>0</v>
      </c>
      <c r="AW339" s="144">
        <f>IF('PV IN'!$F$4="PV Only",SUM(PVCalcs!AF339:AI339),IF('PV IN'!$F$4="Battery Only",SUM(BattCalcs!BL339:BY339),SUM(PVCalcs!AF339:AI339)+SUM(BattCalcs!BL339:BY339)))</f>
        <v>-1375</v>
      </c>
      <c r="AX339" s="144">
        <f>IF('PV IN'!$F$4="Battery Only",0,-PVLoan!F367)</f>
        <v>0</v>
      </c>
      <c r="AY339" s="144">
        <f>IF('PV IN'!$F$4="PV Only",0,-BattLoan!F367)</f>
        <v>0</v>
      </c>
      <c r="AZ339" s="144">
        <f>IF('PV IN'!$F$4="Battery Only",0,-PVLoan!H367)</f>
        <v>0</v>
      </c>
      <c r="BA339" s="144">
        <f>IF('PV IN'!$F$4="PV Only",0,-BattLoan!H367)</f>
        <v>0</v>
      </c>
    </row>
    <row r="340" spans="1:88" x14ac:dyDescent="0.25">
      <c r="A340" t="str">
        <f>IF(C340&lt;='PV IN'!$O$22*12,C340,"")</f>
        <v/>
      </c>
      <c r="B340">
        <f>B328+1</f>
        <v>2053</v>
      </c>
      <c r="C340">
        <v>336</v>
      </c>
      <c r="D340" s="2">
        <f>BattCalcs!CK340+PVCalcs!AT340</f>
        <v>8683.8115243251686</v>
      </c>
      <c r="E340" s="20">
        <f>PVCalcs!AV340</f>
        <v>2259303.3497970384</v>
      </c>
      <c r="F340" s="20">
        <f>PVCalcs!AW340</f>
        <v>2215.1850660050636</v>
      </c>
      <c r="G340" s="20" t="e">
        <f>PVCalcs!AX340</f>
        <v>#N/A</v>
      </c>
      <c r="H340" s="20">
        <f>BattCalcs!CM340</f>
        <v>0</v>
      </c>
      <c r="I340" s="20">
        <f>BattCalcs!CN340</f>
        <v>0</v>
      </c>
      <c r="J340" s="20" t="e">
        <f>IF(C340&lt;='Batt IN'!H$43*12,BattCalcs!CO340,NA())</f>
        <v>#N/A</v>
      </c>
      <c r="L340" s="20">
        <f t="shared" si="826"/>
        <v>2215.1850660050636</v>
      </c>
      <c r="M340" s="20" t="e">
        <f>G340+BattCalcs!CO340</f>
        <v>#N/A</v>
      </c>
      <c r="O340" s="10" t="str">
        <f>PVLoan!G368</f>
        <v>-</v>
      </c>
      <c r="P340" s="10" t="str">
        <f>PVLoan!J368</f>
        <v>-</v>
      </c>
      <c r="Q340" s="2" t="str">
        <f>BattLoan!G368</f>
        <v>-</v>
      </c>
      <c r="R340" s="10" t="str">
        <f>BattLoan!J368</f>
        <v>-</v>
      </c>
      <c r="T340" s="33">
        <f>IF('PV IN'!$F$4="Battery Only",0,PVCalcs!G340)</f>
        <v>121967.7645923258</v>
      </c>
      <c r="U340" s="33">
        <f>IF('PV IN'!$F$4="Battery Only",0,PVCalcs!M340)</f>
        <v>121967.7645923258</v>
      </c>
      <c r="V340" s="33">
        <f>PVCalcs!L340</f>
        <v>25811.765833333331</v>
      </c>
      <c r="W340" s="158">
        <f>PVCalcs!F340</f>
        <v>8.0103636866522526E-2</v>
      </c>
      <c r="X340" s="144">
        <f>IF('PV IN'!$F$4="Battery Only",0,PVCalcs!Y340+PVCalcs!Z340)</f>
        <v>0</v>
      </c>
      <c r="Y340" s="144">
        <f>IF('PV IN'!$F$4="PV Only",0,BattCalcs!AX340+BattCalcs!BC340)</f>
        <v>0</v>
      </c>
      <c r="Z340" s="144">
        <f>IF('PV IN'!$F$4="PV Only",0,BattCalcs!AY340+BattCalcs!BD340)</f>
        <v>0</v>
      </c>
      <c r="AA340" s="144">
        <f>IF('PV IN'!$F$4="PV Only",0,BattCalcs!AZ340+BattCalcs!BE340)</f>
        <v>0</v>
      </c>
      <c r="AB340" s="144">
        <f>IF('PV IN'!$F$4="PV Only",0,BattCalcs!BA340+BattCalcs!BF340)</f>
        <v>0</v>
      </c>
      <c r="AC340" s="144">
        <f>IF('PV IN'!$F$4="PV Only",0,BattCalcs!BB340+BattCalcs!BG340)</f>
        <v>0</v>
      </c>
      <c r="AD340" s="144">
        <f>IF('PV IN'!$F$4="PV Only",0,BattCalcs!BU340)</f>
        <v>0</v>
      </c>
      <c r="AE340" s="144">
        <f>IF('PV IN'!$F$4="PV Only",PVCalcs!W340+PVCalcs!AA340,IF('PV IN'!$F$4="Battery Only",BattCalcs!AV340+BattCalcs!BH340,PVCalcs!W340+PVCalcs!AA340+BattCalcs!AV340+BattCalcs!BH340))</f>
        <v>0</v>
      </c>
      <c r="AF340" s="10">
        <f>PVCalcs!AC340+BattCalcs!BJ340</f>
        <v>0</v>
      </c>
      <c r="AG340" s="144">
        <f>IF('PV IN'!$F$4="Battery Only",0,PVCalcs!AG340)</f>
        <v>-750</v>
      </c>
      <c r="AH340" s="144">
        <f>IF('PV IN'!$F$4="Battery Only",0,PVCalcs!AI340)</f>
        <v>0</v>
      </c>
      <c r="AI340" s="144">
        <f>IF('PV IN'!$F$4="PV Only",0,BattCalcs!BM340)</f>
        <v>0</v>
      </c>
      <c r="AJ340" s="144">
        <f>IF('PV IN'!$F$4="PV Only",0,SUM(BattCalcs!BO340:BT340))</f>
        <v>0</v>
      </c>
      <c r="AK340" s="144">
        <f>IF('PV IN'!$F$4="PV Only",PVCalcs!AH340,IF('PV IN'!$F$4="Battery Only",BattCalcs!BN340,PVCalcs!AH340+BattCalcs!BN340))</f>
        <v>-625</v>
      </c>
      <c r="AL340" s="144">
        <f>IF('PV IN'!$F$4="PV Only",0,BattCalcs!BV340)</f>
        <v>0</v>
      </c>
      <c r="AM340" s="144">
        <f>IF('PV IN'!$F$4="PV Only",0,SUM(BattCalcs!BW340:BX340))</f>
        <v>0</v>
      </c>
      <c r="AN340" s="144">
        <f>IF('PV IN'!$F$4="PV Only",0,BattCalcs!BY340)</f>
        <v>0</v>
      </c>
      <c r="AO340" s="144">
        <f>IF('PV IN'!$F$4="Battery Only",0,PVCalcs!U340)</f>
        <v>9770.0615243251686</v>
      </c>
      <c r="AP340" s="10">
        <f>IF('PV IN'!$F$4="PV Only",0,BattCalcs!AS340)</f>
        <v>0</v>
      </c>
      <c r="AQ340" s="10">
        <f>IF('PV IN'!$F$4="PV Only",0,BattCalcs!AT340)</f>
        <v>0</v>
      </c>
      <c r="AR340" s="10">
        <f>IF('PV IN'!$F$4="PV Only",0,BattCalcs!AU340)</f>
        <v>0</v>
      </c>
      <c r="AS340" s="144">
        <f>IF('PV IN'!$F$4="PV Only",PVCalcs!X340,IF('PV IN'!$F$4="Battery Only",BattCalcs!AW340,PVCalcs!X340+BattCalcs!AW340))</f>
        <v>0</v>
      </c>
      <c r="AT340" s="144">
        <f>IF('PV IN'!$F$4="Battery Only",0,-PVCalcs!AQ340*'PV IN'!$E$8)</f>
        <v>0</v>
      </c>
      <c r="AU340" s="144">
        <f>IF('PV IN'!$F$4="PV Only",0,-BattCalcs!CG340*'PV IN'!$E$8)</f>
        <v>0</v>
      </c>
      <c r="AV340" s="144">
        <f>IF('PV IN'!$F$4="PV Only",PVCalcs!Z340+PVCalcs!AA340,IF('PV IN'!$F$4="Battery Only",SUM(BattCalcs!BC340:BH340),PVCalcs!Z340+PVCalcs!AA340+SUM(BattCalcs!BC340:BH340)))</f>
        <v>0</v>
      </c>
      <c r="AW340" s="144">
        <f>IF('PV IN'!$F$4="PV Only",SUM(PVCalcs!AF340:AI340),IF('PV IN'!$F$4="Battery Only",SUM(BattCalcs!BL340:BY340),SUM(PVCalcs!AF340:AI340)+SUM(BattCalcs!BL340:BY340)))</f>
        <v>-1375</v>
      </c>
      <c r="AX340" s="144">
        <f>IF('PV IN'!$F$4="Battery Only",0,-PVLoan!F368)</f>
        <v>0</v>
      </c>
      <c r="AY340" s="144">
        <f>IF('PV IN'!$F$4="PV Only",0,-BattLoan!F368)</f>
        <v>0</v>
      </c>
      <c r="AZ340" s="144">
        <f>IF('PV IN'!$F$4="Battery Only",0,-PVLoan!H368)</f>
        <v>0</v>
      </c>
      <c r="BA340" s="144">
        <f>IF('PV IN'!$F$4="PV Only",0,-BattLoan!H368)</f>
        <v>0</v>
      </c>
      <c r="BC340" s="33">
        <f t="shared" ref="BC340" si="895">SUM(T329:T340)</f>
        <v>1468995.2964552627</v>
      </c>
      <c r="BD340" s="33">
        <f t="shared" ref="BD340" si="896">SUM(U329:U340)</f>
        <v>1468995.2964552627</v>
      </c>
      <c r="BE340" s="33">
        <f t="shared" ref="BE340" si="897">SUM(V329:V340)</f>
        <v>309741.19</v>
      </c>
      <c r="BF340" s="50">
        <f t="shared" ref="BF340" si="898">W340</f>
        <v>8.0103636866522526E-2</v>
      </c>
      <c r="BG340" s="2">
        <f t="shared" ref="BG340" si="899">SUM(X329:X340)</f>
        <v>0</v>
      </c>
      <c r="BH340" s="2">
        <f t="shared" ref="BH340" si="900">SUM(Y329:Y340)</f>
        <v>0</v>
      </c>
      <c r="BI340" s="2">
        <f t="shared" ref="BI340" si="901">SUM(Z329:Z340)</f>
        <v>0</v>
      </c>
      <c r="BJ340" s="2">
        <f t="shared" ref="BJ340" si="902">SUM(AA329:AA340)</f>
        <v>0</v>
      </c>
      <c r="BK340" s="2">
        <f t="shared" ref="BK340" si="903">SUM(AB329:AB340)</f>
        <v>0</v>
      </c>
      <c r="BL340" s="2">
        <f t="shared" ref="BL340" si="904">SUM(AC329:AC340)</f>
        <v>0</v>
      </c>
      <c r="BM340" s="2">
        <f t="shared" ref="BM340" si="905">SUM(AD329:AD340)</f>
        <v>0</v>
      </c>
      <c r="BN340" s="2">
        <f t="shared" ref="BN340" si="906">SUM(AE329:AE340)</f>
        <v>0</v>
      </c>
      <c r="BO340" s="2">
        <f t="shared" ref="BO340" si="907">SUM(AF329:AF340)</f>
        <v>0</v>
      </c>
      <c r="BP340" s="2">
        <f t="shared" ref="BP340" si="908">SUM(AG329:AG340)</f>
        <v>-9000</v>
      </c>
      <c r="BQ340" s="2">
        <f t="shared" ref="BQ340" si="909">SUM(AH329:AH340)</f>
        <v>0</v>
      </c>
      <c r="BR340" s="2">
        <f t="shared" ref="BR340" si="910">SUM(AI329:AI340)</f>
        <v>0</v>
      </c>
      <c r="BS340" s="2">
        <f t="shared" ref="BS340" si="911">SUM(AJ329:AJ340)</f>
        <v>0</v>
      </c>
      <c r="BT340" s="2">
        <f t="shared" ref="BT340" si="912">SUM(AK329:AK340)</f>
        <v>-7500</v>
      </c>
      <c r="BU340" s="2">
        <f t="shared" ref="BU340" si="913">SUM(AL329:AL340)</f>
        <v>0</v>
      </c>
      <c r="BV340" s="2">
        <f t="shared" ref="BV340" si="914">SUM(AM329:AM340)</f>
        <v>0</v>
      </c>
      <c r="BW340" s="2">
        <f t="shared" ref="BW340" si="915">SUM(AN329:AN340)</f>
        <v>0</v>
      </c>
      <c r="BX340" s="2">
        <f t="shared" ref="BX340" si="916">SUM(AO329:AO340)</f>
        <v>117671.86578588198</v>
      </c>
      <c r="BY340" s="2">
        <f t="shared" ref="BY340" si="917">SUM(AP329:AP340)</f>
        <v>0</v>
      </c>
      <c r="BZ340" s="2">
        <f t="shared" ref="BZ340" si="918">SUM(AQ329:AQ340)</f>
        <v>0</v>
      </c>
      <c r="CA340" s="2">
        <f t="shared" ref="CA340" si="919">SUM(AR329:AR340)</f>
        <v>0</v>
      </c>
      <c r="CB340" s="2">
        <f t="shared" ref="CB340" si="920">SUM(AS329:AS340)</f>
        <v>0</v>
      </c>
      <c r="CC340" s="2">
        <f t="shared" ref="CC340" si="921">SUM(AT329:AT340)</f>
        <v>0</v>
      </c>
      <c r="CD340" s="2">
        <f t="shared" ref="CD340" si="922">SUM(AU329:AU340)</f>
        <v>0</v>
      </c>
      <c r="CE340" s="2">
        <f t="shared" ref="CE340" si="923">SUM(AV329:AV340)</f>
        <v>0</v>
      </c>
      <c r="CF340" s="2">
        <f t="shared" ref="CF340" si="924">SUM(AW329:AW340)</f>
        <v>-16500</v>
      </c>
      <c r="CG340" s="2">
        <f t="shared" ref="CG340" si="925">SUM(AX329:AX340)</f>
        <v>0</v>
      </c>
      <c r="CH340" s="2">
        <f t="shared" ref="CH340" si="926">SUM(AY329:AY340)</f>
        <v>0</v>
      </c>
      <c r="CI340" s="2">
        <f t="shared" ref="CI340" si="927">SUM(AZ329:AZ340)</f>
        <v>0</v>
      </c>
      <c r="CJ340" s="2">
        <f t="shared" ref="CJ340" si="928">SUM(BA329:BA340)</f>
        <v>0</v>
      </c>
    </row>
    <row r="341" spans="1:88" x14ac:dyDescent="0.25">
      <c r="A341" t="str">
        <f>IF(C341&lt;='PV IN'!$O$22*12,C341,"")</f>
        <v/>
      </c>
      <c r="C341">
        <v>337</v>
      </c>
      <c r="D341" s="2">
        <f>BattCalcs!CK341+PVCalcs!AT341</f>
        <v>8603.4534931802391</v>
      </c>
      <c r="E341" s="20">
        <f>PVCalcs!AV341</f>
        <v>2267906.8032902186</v>
      </c>
      <c r="F341" s="20">
        <f>PVCalcs!AW341</f>
        <v>2185.7811007980363</v>
      </c>
      <c r="G341" s="20" t="e">
        <f>PVCalcs!AX341</f>
        <v>#N/A</v>
      </c>
      <c r="H341" s="20">
        <f>BattCalcs!CM341</f>
        <v>0</v>
      </c>
      <c r="I341" s="20">
        <f>BattCalcs!CN341</f>
        <v>0</v>
      </c>
      <c r="J341" s="20" t="e">
        <f>IF(C341&lt;='Batt IN'!H$43*12,BattCalcs!CO341,NA())</f>
        <v>#N/A</v>
      </c>
      <c r="L341" s="20">
        <f t="shared" si="826"/>
        <v>2185.7811007980363</v>
      </c>
      <c r="M341" s="20" t="e">
        <f>G341+BattCalcs!CO341</f>
        <v>#N/A</v>
      </c>
      <c r="O341" s="10" t="str">
        <f>PVLoan!G369</f>
        <v>-</v>
      </c>
      <c r="P341" s="10" t="str">
        <f>PVLoan!J369</f>
        <v>-</v>
      </c>
      <c r="Q341" s="2" t="str">
        <f>BattLoan!G369</f>
        <v>-</v>
      </c>
      <c r="R341" s="10" t="str">
        <f>BattLoan!J369</f>
        <v>-</v>
      </c>
      <c r="T341" s="33">
        <f>IF('PV IN'!$F$4="Battery Only",0,PVCalcs!G341)</f>
        <v>121886.45274926421</v>
      </c>
      <c r="U341" s="33">
        <f>IF('PV IN'!$F$4="Battery Only",0,PVCalcs!M341)</f>
        <v>121886.45274926421</v>
      </c>
      <c r="V341" s="33">
        <f>PVCalcs!L341</f>
        <v>25811.765833333331</v>
      </c>
      <c r="W341" s="158">
        <f>PVCalcs!F341</f>
        <v>7.9497788922557128E-2</v>
      </c>
      <c r="X341" s="144">
        <f>IF('PV IN'!$F$4="Battery Only",0,PVCalcs!Y341+PVCalcs!Z341)</f>
        <v>0</v>
      </c>
      <c r="Y341" s="144">
        <f>IF('PV IN'!$F$4="PV Only",0,BattCalcs!AX341+BattCalcs!BC341)</f>
        <v>0</v>
      </c>
      <c r="Z341" s="144">
        <f>IF('PV IN'!$F$4="PV Only",0,BattCalcs!AY341+BattCalcs!BD341)</f>
        <v>0</v>
      </c>
      <c r="AA341" s="144">
        <f>IF('PV IN'!$F$4="PV Only",0,BattCalcs!AZ341+BattCalcs!BE341)</f>
        <v>0</v>
      </c>
      <c r="AB341" s="144">
        <f>IF('PV IN'!$F$4="PV Only",0,BattCalcs!BA341+BattCalcs!BF341)</f>
        <v>0</v>
      </c>
      <c r="AC341" s="144">
        <f>IF('PV IN'!$F$4="PV Only",0,BattCalcs!BB341+BattCalcs!BG341)</f>
        <v>0</v>
      </c>
      <c r="AD341" s="144">
        <f>IF('PV IN'!$F$4="PV Only",0,BattCalcs!BU341)</f>
        <v>0</v>
      </c>
      <c r="AE341" s="144">
        <f>IF('PV IN'!$F$4="PV Only",PVCalcs!W341+PVCalcs!AA341,IF('PV IN'!$F$4="Battery Only",BattCalcs!AV341+BattCalcs!BH341,PVCalcs!W341+PVCalcs!AA341+BattCalcs!AV341+BattCalcs!BH341))</f>
        <v>0</v>
      </c>
      <c r="AF341" s="10">
        <f>PVCalcs!AC341+BattCalcs!BJ341</f>
        <v>0</v>
      </c>
      <c r="AG341" s="144">
        <f>IF('PV IN'!$F$4="Battery Only",0,PVCalcs!AG341)</f>
        <v>-750</v>
      </c>
      <c r="AH341" s="144">
        <f>IF('PV IN'!$F$4="Battery Only",0,PVCalcs!AI341)</f>
        <v>0</v>
      </c>
      <c r="AI341" s="144">
        <f>IF('PV IN'!$F$4="PV Only",0,BattCalcs!BM341)</f>
        <v>0</v>
      </c>
      <c r="AJ341" s="144">
        <f>IF('PV IN'!$F$4="PV Only",0,SUM(BattCalcs!BO341:BT341))</f>
        <v>0</v>
      </c>
      <c r="AK341" s="144">
        <f>IF('PV IN'!$F$4="PV Only",PVCalcs!AH341,IF('PV IN'!$F$4="Battery Only",BattCalcs!BN341,PVCalcs!AH341+BattCalcs!BN341))</f>
        <v>-625</v>
      </c>
      <c r="AL341" s="144">
        <f>IF('PV IN'!$F$4="PV Only",0,BattCalcs!BV341)</f>
        <v>0</v>
      </c>
      <c r="AM341" s="144">
        <f>IF('PV IN'!$F$4="PV Only",0,SUM(BattCalcs!BW341:BX341))</f>
        <v>0</v>
      </c>
      <c r="AN341" s="144">
        <f>IF('PV IN'!$F$4="PV Only",0,BattCalcs!BY341)</f>
        <v>0</v>
      </c>
      <c r="AO341" s="144">
        <f>IF('PV IN'!$F$4="Battery Only",0,PVCalcs!U341)</f>
        <v>9689.7034931802391</v>
      </c>
      <c r="AP341" s="10">
        <f>IF('PV IN'!$F$4="PV Only",0,BattCalcs!AS341)</f>
        <v>0</v>
      </c>
      <c r="AQ341" s="10">
        <f>IF('PV IN'!$F$4="PV Only",0,BattCalcs!AT341)</f>
        <v>0</v>
      </c>
      <c r="AR341" s="10">
        <f>IF('PV IN'!$F$4="PV Only",0,BattCalcs!AU341)</f>
        <v>0</v>
      </c>
      <c r="AS341" s="144">
        <f>IF('PV IN'!$F$4="PV Only",PVCalcs!X341,IF('PV IN'!$F$4="Battery Only",BattCalcs!AW341,PVCalcs!X341+BattCalcs!AW341))</f>
        <v>0</v>
      </c>
      <c r="AT341" s="144">
        <f>IF('PV IN'!$F$4="Battery Only",0,-PVCalcs!AQ341*'PV IN'!$E$8)</f>
        <v>0</v>
      </c>
      <c r="AU341" s="144">
        <f>IF('PV IN'!$F$4="PV Only",0,-BattCalcs!CG341*'PV IN'!$E$8)</f>
        <v>0</v>
      </c>
      <c r="AV341" s="144">
        <f>IF('PV IN'!$F$4="PV Only",PVCalcs!Z341+PVCalcs!AA341,IF('PV IN'!$F$4="Battery Only",SUM(BattCalcs!BC341:BH341),PVCalcs!Z341+PVCalcs!AA341+SUM(BattCalcs!BC341:BH341)))</f>
        <v>0</v>
      </c>
      <c r="AW341" s="144">
        <f>IF('PV IN'!$F$4="PV Only",SUM(PVCalcs!AF341:AI341),IF('PV IN'!$F$4="Battery Only",SUM(BattCalcs!BL341:BY341),SUM(PVCalcs!AF341:AI341)+SUM(BattCalcs!BL341:BY341)))</f>
        <v>-1375</v>
      </c>
      <c r="AX341" s="144">
        <f>IF('PV IN'!$F$4="Battery Only",0,-PVLoan!F369)</f>
        <v>0</v>
      </c>
      <c r="AY341" s="144">
        <f>IF('PV IN'!$F$4="PV Only",0,-BattLoan!F369)</f>
        <v>0</v>
      </c>
      <c r="AZ341" s="144">
        <f>IF('PV IN'!$F$4="Battery Only",0,-PVLoan!H369)</f>
        <v>0</v>
      </c>
      <c r="BA341" s="144">
        <f>IF('PV IN'!$F$4="PV Only",0,-BattLoan!H369)</f>
        <v>0</v>
      </c>
    </row>
    <row r="342" spans="1:88" x14ac:dyDescent="0.25">
      <c r="A342" t="str">
        <f>IF(C342&lt;='PV IN'!$O$22*12,C342,"")</f>
        <v/>
      </c>
      <c r="C342">
        <v>338</v>
      </c>
      <c r="D342" s="2">
        <f>BattCalcs!CK342+PVCalcs!AT342</f>
        <v>8596.9936908514519</v>
      </c>
      <c r="E342" s="20">
        <f>PVCalcs!AV342</f>
        <v>2276503.7969810702</v>
      </c>
      <c r="F342" s="20">
        <f>PVCalcs!AW342</f>
        <v>2175.2775825139925</v>
      </c>
      <c r="G342" s="20" t="e">
        <f>PVCalcs!AX342</f>
        <v>#N/A</v>
      </c>
      <c r="H342" s="20">
        <f>BattCalcs!CM342</f>
        <v>0</v>
      </c>
      <c r="I342" s="20">
        <f>BattCalcs!CN342</f>
        <v>0</v>
      </c>
      <c r="J342" s="20" t="e">
        <f>IF(C342&lt;='Batt IN'!H$43*12,BattCalcs!CO342,NA())</f>
        <v>#N/A</v>
      </c>
      <c r="L342" s="20">
        <f t="shared" si="826"/>
        <v>2175.2775825139925</v>
      </c>
      <c r="M342" s="20" t="e">
        <f>G342+BattCalcs!CO342</f>
        <v>#N/A</v>
      </c>
      <c r="O342" s="10" t="str">
        <f>PVLoan!G370</f>
        <v>-</v>
      </c>
      <c r="P342" s="10" t="str">
        <f>PVLoan!J370</f>
        <v>-</v>
      </c>
      <c r="Q342" s="2" t="str">
        <f>BattLoan!G370</f>
        <v>-</v>
      </c>
      <c r="R342" s="10" t="str">
        <f>BattLoan!J370</f>
        <v>-</v>
      </c>
      <c r="T342" s="33">
        <f>IF('PV IN'!$F$4="Battery Only",0,PVCalcs!G342)</f>
        <v>121805.19511409802</v>
      </c>
      <c r="U342" s="33">
        <f>IF('PV IN'!$F$4="Battery Only",0,PVCalcs!M342)</f>
        <v>121805.19511409802</v>
      </c>
      <c r="V342" s="33">
        <f>PVCalcs!L342</f>
        <v>25811.765833333331</v>
      </c>
      <c r="W342" s="158">
        <f>PVCalcs!F342</f>
        <v>7.9497788922557128E-2</v>
      </c>
      <c r="X342" s="144">
        <f>IF('PV IN'!$F$4="Battery Only",0,PVCalcs!Y342+PVCalcs!Z342)</f>
        <v>0</v>
      </c>
      <c r="Y342" s="144">
        <f>IF('PV IN'!$F$4="PV Only",0,BattCalcs!AX342+BattCalcs!BC342)</f>
        <v>0</v>
      </c>
      <c r="Z342" s="144">
        <f>IF('PV IN'!$F$4="PV Only",0,BattCalcs!AY342+BattCalcs!BD342)</f>
        <v>0</v>
      </c>
      <c r="AA342" s="144">
        <f>IF('PV IN'!$F$4="PV Only",0,BattCalcs!AZ342+BattCalcs!BE342)</f>
        <v>0</v>
      </c>
      <c r="AB342" s="144">
        <f>IF('PV IN'!$F$4="PV Only",0,BattCalcs!BA342+BattCalcs!BF342)</f>
        <v>0</v>
      </c>
      <c r="AC342" s="144">
        <f>IF('PV IN'!$F$4="PV Only",0,BattCalcs!BB342+BattCalcs!BG342)</f>
        <v>0</v>
      </c>
      <c r="AD342" s="144">
        <f>IF('PV IN'!$F$4="PV Only",0,BattCalcs!BU342)</f>
        <v>0</v>
      </c>
      <c r="AE342" s="144">
        <f>IF('PV IN'!$F$4="PV Only",PVCalcs!W342+PVCalcs!AA342,IF('PV IN'!$F$4="Battery Only",BattCalcs!AV342+BattCalcs!BH342,PVCalcs!W342+PVCalcs!AA342+BattCalcs!AV342+BattCalcs!BH342))</f>
        <v>0</v>
      </c>
      <c r="AF342" s="10">
        <f>PVCalcs!AC342+BattCalcs!BJ342</f>
        <v>0</v>
      </c>
      <c r="AG342" s="144">
        <f>IF('PV IN'!$F$4="Battery Only",0,PVCalcs!AG342)</f>
        <v>-750</v>
      </c>
      <c r="AH342" s="144">
        <f>IF('PV IN'!$F$4="Battery Only",0,PVCalcs!AI342)</f>
        <v>0</v>
      </c>
      <c r="AI342" s="144">
        <f>IF('PV IN'!$F$4="PV Only",0,BattCalcs!BM342)</f>
        <v>0</v>
      </c>
      <c r="AJ342" s="144">
        <f>IF('PV IN'!$F$4="PV Only",0,SUM(BattCalcs!BO342:BT342))</f>
        <v>0</v>
      </c>
      <c r="AK342" s="144">
        <f>IF('PV IN'!$F$4="PV Only",PVCalcs!AH342,IF('PV IN'!$F$4="Battery Only",BattCalcs!BN342,PVCalcs!AH342+BattCalcs!BN342))</f>
        <v>-625</v>
      </c>
      <c r="AL342" s="144">
        <f>IF('PV IN'!$F$4="PV Only",0,BattCalcs!BV342)</f>
        <v>0</v>
      </c>
      <c r="AM342" s="144">
        <f>IF('PV IN'!$F$4="PV Only",0,SUM(BattCalcs!BW342:BX342))</f>
        <v>0</v>
      </c>
      <c r="AN342" s="144">
        <f>IF('PV IN'!$F$4="PV Only",0,BattCalcs!BY342)</f>
        <v>0</v>
      </c>
      <c r="AO342" s="144">
        <f>IF('PV IN'!$F$4="Battery Only",0,PVCalcs!U342)</f>
        <v>9683.2436908514519</v>
      </c>
      <c r="AP342" s="10">
        <f>IF('PV IN'!$F$4="PV Only",0,BattCalcs!AS342)</f>
        <v>0</v>
      </c>
      <c r="AQ342" s="10">
        <f>IF('PV IN'!$F$4="PV Only",0,BattCalcs!AT342)</f>
        <v>0</v>
      </c>
      <c r="AR342" s="10">
        <f>IF('PV IN'!$F$4="PV Only",0,BattCalcs!AU342)</f>
        <v>0</v>
      </c>
      <c r="AS342" s="144">
        <f>IF('PV IN'!$F$4="PV Only",PVCalcs!X342,IF('PV IN'!$F$4="Battery Only",BattCalcs!AW342,PVCalcs!X342+BattCalcs!AW342))</f>
        <v>0</v>
      </c>
      <c r="AT342" s="144">
        <f>IF('PV IN'!$F$4="Battery Only",0,-PVCalcs!AQ342*'PV IN'!$E$8)</f>
        <v>0</v>
      </c>
      <c r="AU342" s="144">
        <f>IF('PV IN'!$F$4="PV Only",0,-BattCalcs!CG342*'PV IN'!$E$8)</f>
        <v>0</v>
      </c>
      <c r="AV342" s="144">
        <f>IF('PV IN'!$F$4="PV Only",PVCalcs!Z342+PVCalcs!AA342,IF('PV IN'!$F$4="Battery Only",SUM(BattCalcs!BC342:BH342),PVCalcs!Z342+PVCalcs!AA342+SUM(BattCalcs!BC342:BH342)))</f>
        <v>0</v>
      </c>
      <c r="AW342" s="144">
        <f>IF('PV IN'!$F$4="PV Only",SUM(PVCalcs!AF342:AI342),IF('PV IN'!$F$4="Battery Only",SUM(BattCalcs!BL342:BY342),SUM(PVCalcs!AF342:AI342)+SUM(BattCalcs!BL342:BY342)))</f>
        <v>-1375</v>
      </c>
      <c r="AX342" s="144">
        <f>IF('PV IN'!$F$4="Battery Only",0,-PVLoan!F370)</f>
        <v>0</v>
      </c>
      <c r="AY342" s="144">
        <f>IF('PV IN'!$F$4="PV Only",0,-BattLoan!F370)</f>
        <v>0</v>
      </c>
      <c r="AZ342" s="144">
        <f>IF('PV IN'!$F$4="Battery Only",0,-PVLoan!H370)</f>
        <v>0</v>
      </c>
      <c r="BA342" s="144">
        <f>IF('PV IN'!$F$4="PV Only",0,-BattLoan!H370)</f>
        <v>0</v>
      </c>
    </row>
    <row r="343" spans="1:88" x14ac:dyDescent="0.25">
      <c r="A343" t="str">
        <f>IF(C343&lt;='PV IN'!$O$22*12,C343,"")</f>
        <v/>
      </c>
      <c r="C343">
        <v>339</v>
      </c>
      <c r="D343" s="2">
        <f>BattCalcs!CK343+PVCalcs!AT343</f>
        <v>8590.538195057552</v>
      </c>
      <c r="E343" s="20">
        <f>PVCalcs!AV343</f>
        <v>2285094.335176128</v>
      </c>
      <c r="F343" s="20">
        <f>PVCalcs!AW343</f>
        <v>2164.8244006512459</v>
      </c>
      <c r="G343" s="20" t="e">
        <f>PVCalcs!AX343</f>
        <v>#N/A</v>
      </c>
      <c r="H343" s="20">
        <f>BattCalcs!CM343</f>
        <v>0</v>
      </c>
      <c r="I343" s="20">
        <f>BattCalcs!CN343</f>
        <v>0</v>
      </c>
      <c r="J343" s="20" t="e">
        <f>IF(C343&lt;='Batt IN'!H$43*12,BattCalcs!CO343,NA())</f>
        <v>#N/A</v>
      </c>
      <c r="L343" s="20">
        <f t="shared" si="826"/>
        <v>2164.8244006512459</v>
      </c>
      <c r="M343" s="20" t="e">
        <f>G343+BattCalcs!CO343</f>
        <v>#N/A</v>
      </c>
      <c r="O343" s="10" t="str">
        <f>PVLoan!G371</f>
        <v>-</v>
      </c>
      <c r="P343" s="10" t="str">
        <f>PVLoan!J371</f>
        <v>-</v>
      </c>
      <c r="Q343" s="2" t="str">
        <f>BattLoan!G371</f>
        <v>-</v>
      </c>
      <c r="R343" s="10" t="str">
        <f>BattLoan!J371</f>
        <v>-</v>
      </c>
      <c r="T343" s="33">
        <f>IF('PV IN'!$F$4="Battery Only",0,PVCalcs!G343)</f>
        <v>121723.99165068864</v>
      </c>
      <c r="U343" s="33">
        <f>IF('PV IN'!$F$4="Battery Only",0,PVCalcs!M343)</f>
        <v>121723.99165068864</v>
      </c>
      <c r="V343" s="33">
        <f>PVCalcs!L343</f>
        <v>25811.765833333331</v>
      </c>
      <c r="W343" s="158">
        <f>PVCalcs!F343</f>
        <v>7.9497788922557128E-2</v>
      </c>
      <c r="X343" s="144">
        <f>IF('PV IN'!$F$4="Battery Only",0,PVCalcs!Y343+PVCalcs!Z343)</f>
        <v>0</v>
      </c>
      <c r="Y343" s="144">
        <f>IF('PV IN'!$F$4="PV Only",0,BattCalcs!AX343+BattCalcs!BC343)</f>
        <v>0</v>
      </c>
      <c r="Z343" s="144">
        <f>IF('PV IN'!$F$4="PV Only",0,BattCalcs!AY343+BattCalcs!BD343)</f>
        <v>0</v>
      </c>
      <c r="AA343" s="144">
        <f>IF('PV IN'!$F$4="PV Only",0,BattCalcs!AZ343+BattCalcs!BE343)</f>
        <v>0</v>
      </c>
      <c r="AB343" s="144">
        <f>IF('PV IN'!$F$4="PV Only",0,BattCalcs!BA343+BattCalcs!BF343)</f>
        <v>0</v>
      </c>
      <c r="AC343" s="144">
        <f>IF('PV IN'!$F$4="PV Only",0,BattCalcs!BB343+BattCalcs!BG343)</f>
        <v>0</v>
      </c>
      <c r="AD343" s="144">
        <f>IF('PV IN'!$F$4="PV Only",0,BattCalcs!BU343)</f>
        <v>0</v>
      </c>
      <c r="AE343" s="144">
        <f>IF('PV IN'!$F$4="PV Only",PVCalcs!W343+PVCalcs!AA343,IF('PV IN'!$F$4="Battery Only",BattCalcs!AV343+BattCalcs!BH343,PVCalcs!W343+PVCalcs!AA343+BattCalcs!AV343+BattCalcs!BH343))</f>
        <v>0</v>
      </c>
      <c r="AF343" s="10">
        <f>PVCalcs!AC343+BattCalcs!BJ343</f>
        <v>0</v>
      </c>
      <c r="AG343" s="144">
        <f>IF('PV IN'!$F$4="Battery Only",0,PVCalcs!AG343)</f>
        <v>-750</v>
      </c>
      <c r="AH343" s="144">
        <f>IF('PV IN'!$F$4="Battery Only",0,PVCalcs!AI343)</f>
        <v>0</v>
      </c>
      <c r="AI343" s="144">
        <f>IF('PV IN'!$F$4="PV Only",0,BattCalcs!BM343)</f>
        <v>0</v>
      </c>
      <c r="AJ343" s="144">
        <f>IF('PV IN'!$F$4="PV Only",0,SUM(BattCalcs!BO343:BT343))</f>
        <v>0</v>
      </c>
      <c r="AK343" s="144">
        <f>IF('PV IN'!$F$4="PV Only",PVCalcs!AH343,IF('PV IN'!$F$4="Battery Only",BattCalcs!BN343,PVCalcs!AH343+BattCalcs!BN343))</f>
        <v>-625</v>
      </c>
      <c r="AL343" s="144">
        <f>IF('PV IN'!$F$4="PV Only",0,BattCalcs!BV343)</f>
        <v>0</v>
      </c>
      <c r="AM343" s="144">
        <f>IF('PV IN'!$F$4="PV Only",0,SUM(BattCalcs!BW343:BX343))</f>
        <v>0</v>
      </c>
      <c r="AN343" s="144">
        <f>IF('PV IN'!$F$4="PV Only",0,BattCalcs!BY343)</f>
        <v>0</v>
      </c>
      <c r="AO343" s="144">
        <f>IF('PV IN'!$F$4="Battery Only",0,PVCalcs!U343)</f>
        <v>9676.788195057552</v>
      </c>
      <c r="AP343" s="10">
        <f>IF('PV IN'!$F$4="PV Only",0,BattCalcs!AS343)</f>
        <v>0</v>
      </c>
      <c r="AQ343" s="10">
        <f>IF('PV IN'!$F$4="PV Only",0,BattCalcs!AT343)</f>
        <v>0</v>
      </c>
      <c r="AR343" s="10">
        <f>IF('PV IN'!$F$4="PV Only",0,BattCalcs!AU343)</f>
        <v>0</v>
      </c>
      <c r="AS343" s="144">
        <f>IF('PV IN'!$F$4="PV Only",PVCalcs!X343,IF('PV IN'!$F$4="Battery Only",BattCalcs!AW343,PVCalcs!X343+BattCalcs!AW343))</f>
        <v>0</v>
      </c>
      <c r="AT343" s="144">
        <f>IF('PV IN'!$F$4="Battery Only",0,-PVCalcs!AQ343*'PV IN'!$E$8)</f>
        <v>0</v>
      </c>
      <c r="AU343" s="144">
        <f>IF('PV IN'!$F$4="PV Only",0,-BattCalcs!CG343*'PV IN'!$E$8)</f>
        <v>0</v>
      </c>
      <c r="AV343" s="144">
        <f>IF('PV IN'!$F$4="PV Only",PVCalcs!Z343+PVCalcs!AA343,IF('PV IN'!$F$4="Battery Only",SUM(BattCalcs!BC343:BH343),PVCalcs!Z343+PVCalcs!AA343+SUM(BattCalcs!BC343:BH343)))</f>
        <v>0</v>
      </c>
      <c r="AW343" s="144">
        <f>IF('PV IN'!$F$4="PV Only",SUM(PVCalcs!AF343:AI343),IF('PV IN'!$F$4="Battery Only",SUM(BattCalcs!BL343:BY343),SUM(PVCalcs!AF343:AI343)+SUM(BattCalcs!BL343:BY343)))</f>
        <v>-1375</v>
      </c>
      <c r="AX343" s="144">
        <f>IF('PV IN'!$F$4="Battery Only",0,-PVLoan!F371)</f>
        <v>0</v>
      </c>
      <c r="AY343" s="144">
        <f>IF('PV IN'!$F$4="PV Only",0,-BattLoan!F371)</f>
        <v>0</v>
      </c>
      <c r="AZ343" s="144">
        <f>IF('PV IN'!$F$4="Battery Only",0,-PVLoan!H371)</f>
        <v>0</v>
      </c>
      <c r="BA343" s="144">
        <f>IF('PV IN'!$F$4="PV Only",0,-BattLoan!H371)</f>
        <v>0</v>
      </c>
    </row>
    <row r="344" spans="1:88" x14ac:dyDescent="0.25">
      <c r="A344" t="str">
        <f>IF(C344&lt;='PV IN'!$O$22*12,C344,"")</f>
        <v/>
      </c>
      <c r="C344">
        <v>340</v>
      </c>
      <c r="D344" s="2">
        <f>BattCalcs!CK344+PVCalcs!AT344</f>
        <v>8584.087002927512</v>
      </c>
      <c r="E344" s="20">
        <f>PVCalcs!AV344</f>
        <v>2293678.4221790554</v>
      </c>
      <c r="F344" s="20">
        <f>PVCalcs!AW344</f>
        <v>2154.4213145268736</v>
      </c>
      <c r="G344" s="20" t="e">
        <f>PVCalcs!AX344</f>
        <v>#N/A</v>
      </c>
      <c r="H344" s="20">
        <f>BattCalcs!CM344</f>
        <v>0</v>
      </c>
      <c r="I344" s="20">
        <f>BattCalcs!CN344</f>
        <v>0</v>
      </c>
      <c r="J344" s="20" t="e">
        <f>IF(C344&lt;='Batt IN'!H$43*12,BattCalcs!CO344,NA())</f>
        <v>#N/A</v>
      </c>
      <c r="L344" s="20">
        <f t="shared" si="826"/>
        <v>2154.4213145268736</v>
      </c>
      <c r="M344" s="20" t="e">
        <f>G344+BattCalcs!CO344</f>
        <v>#N/A</v>
      </c>
      <c r="O344" s="10" t="str">
        <f>PVLoan!G372</f>
        <v>-</v>
      </c>
      <c r="P344" s="10" t="str">
        <f>PVLoan!J372</f>
        <v>-</v>
      </c>
      <c r="Q344" s="2" t="str">
        <f>BattLoan!G372</f>
        <v>-</v>
      </c>
      <c r="R344" s="10" t="str">
        <f>BattLoan!J372</f>
        <v>-</v>
      </c>
      <c r="T344" s="33">
        <f>IF('PV IN'!$F$4="Battery Only",0,PVCalcs!G344)</f>
        <v>121642.8423229215</v>
      </c>
      <c r="U344" s="33">
        <f>IF('PV IN'!$F$4="Battery Only",0,PVCalcs!M344)</f>
        <v>121642.8423229215</v>
      </c>
      <c r="V344" s="33">
        <f>PVCalcs!L344</f>
        <v>25811.765833333331</v>
      </c>
      <c r="W344" s="158">
        <f>PVCalcs!F344</f>
        <v>7.9497788922557128E-2</v>
      </c>
      <c r="X344" s="144">
        <f>IF('PV IN'!$F$4="Battery Only",0,PVCalcs!Y344+PVCalcs!Z344)</f>
        <v>0</v>
      </c>
      <c r="Y344" s="144">
        <f>IF('PV IN'!$F$4="PV Only",0,BattCalcs!AX344+BattCalcs!BC344)</f>
        <v>0</v>
      </c>
      <c r="Z344" s="144">
        <f>IF('PV IN'!$F$4="PV Only",0,BattCalcs!AY344+BattCalcs!BD344)</f>
        <v>0</v>
      </c>
      <c r="AA344" s="144">
        <f>IF('PV IN'!$F$4="PV Only",0,BattCalcs!AZ344+BattCalcs!BE344)</f>
        <v>0</v>
      </c>
      <c r="AB344" s="144">
        <f>IF('PV IN'!$F$4="PV Only",0,BattCalcs!BA344+BattCalcs!BF344)</f>
        <v>0</v>
      </c>
      <c r="AC344" s="144">
        <f>IF('PV IN'!$F$4="PV Only",0,BattCalcs!BB344+BattCalcs!BG344)</f>
        <v>0</v>
      </c>
      <c r="AD344" s="144">
        <f>IF('PV IN'!$F$4="PV Only",0,BattCalcs!BU344)</f>
        <v>0</v>
      </c>
      <c r="AE344" s="144">
        <f>IF('PV IN'!$F$4="PV Only",PVCalcs!W344+PVCalcs!AA344,IF('PV IN'!$F$4="Battery Only",BattCalcs!AV344+BattCalcs!BH344,PVCalcs!W344+PVCalcs!AA344+BattCalcs!AV344+BattCalcs!BH344))</f>
        <v>0</v>
      </c>
      <c r="AF344" s="10">
        <f>PVCalcs!AC344+BattCalcs!BJ344</f>
        <v>0</v>
      </c>
      <c r="AG344" s="144">
        <f>IF('PV IN'!$F$4="Battery Only",0,PVCalcs!AG344)</f>
        <v>-750</v>
      </c>
      <c r="AH344" s="144">
        <f>IF('PV IN'!$F$4="Battery Only",0,PVCalcs!AI344)</f>
        <v>0</v>
      </c>
      <c r="AI344" s="144">
        <f>IF('PV IN'!$F$4="PV Only",0,BattCalcs!BM344)</f>
        <v>0</v>
      </c>
      <c r="AJ344" s="144">
        <f>IF('PV IN'!$F$4="PV Only",0,SUM(BattCalcs!BO344:BT344))</f>
        <v>0</v>
      </c>
      <c r="AK344" s="144">
        <f>IF('PV IN'!$F$4="PV Only",PVCalcs!AH344,IF('PV IN'!$F$4="Battery Only",BattCalcs!BN344,PVCalcs!AH344+BattCalcs!BN344))</f>
        <v>-625</v>
      </c>
      <c r="AL344" s="144">
        <f>IF('PV IN'!$F$4="PV Only",0,BattCalcs!BV344)</f>
        <v>0</v>
      </c>
      <c r="AM344" s="144">
        <f>IF('PV IN'!$F$4="PV Only",0,SUM(BattCalcs!BW344:BX344))</f>
        <v>0</v>
      </c>
      <c r="AN344" s="144">
        <f>IF('PV IN'!$F$4="PV Only",0,BattCalcs!BY344)</f>
        <v>0</v>
      </c>
      <c r="AO344" s="144">
        <f>IF('PV IN'!$F$4="Battery Only",0,PVCalcs!U344)</f>
        <v>9670.337002927512</v>
      </c>
      <c r="AP344" s="10">
        <f>IF('PV IN'!$F$4="PV Only",0,BattCalcs!AS344)</f>
        <v>0</v>
      </c>
      <c r="AQ344" s="10">
        <f>IF('PV IN'!$F$4="PV Only",0,BattCalcs!AT344)</f>
        <v>0</v>
      </c>
      <c r="AR344" s="10">
        <f>IF('PV IN'!$F$4="PV Only",0,BattCalcs!AU344)</f>
        <v>0</v>
      </c>
      <c r="AS344" s="144">
        <f>IF('PV IN'!$F$4="PV Only",PVCalcs!X344,IF('PV IN'!$F$4="Battery Only",BattCalcs!AW344,PVCalcs!X344+BattCalcs!AW344))</f>
        <v>0</v>
      </c>
      <c r="AT344" s="144">
        <f>IF('PV IN'!$F$4="Battery Only",0,-PVCalcs!AQ344*'PV IN'!$E$8)</f>
        <v>0</v>
      </c>
      <c r="AU344" s="144">
        <f>IF('PV IN'!$F$4="PV Only",0,-BattCalcs!CG344*'PV IN'!$E$8)</f>
        <v>0</v>
      </c>
      <c r="AV344" s="144">
        <f>IF('PV IN'!$F$4="PV Only",PVCalcs!Z344+PVCalcs!AA344,IF('PV IN'!$F$4="Battery Only",SUM(BattCalcs!BC344:BH344),PVCalcs!Z344+PVCalcs!AA344+SUM(BattCalcs!BC344:BH344)))</f>
        <v>0</v>
      </c>
      <c r="AW344" s="144">
        <f>IF('PV IN'!$F$4="PV Only",SUM(PVCalcs!AF344:AI344),IF('PV IN'!$F$4="Battery Only",SUM(BattCalcs!BL344:BY344),SUM(PVCalcs!AF344:AI344)+SUM(BattCalcs!BL344:BY344)))</f>
        <v>-1375</v>
      </c>
      <c r="AX344" s="144">
        <f>IF('PV IN'!$F$4="Battery Only",0,-PVLoan!F372)</f>
        <v>0</v>
      </c>
      <c r="AY344" s="144">
        <f>IF('PV IN'!$F$4="PV Only",0,-BattLoan!F372)</f>
        <v>0</v>
      </c>
      <c r="AZ344" s="144">
        <f>IF('PV IN'!$F$4="Battery Only",0,-PVLoan!H372)</f>
        <v>0</v>
      </c>
      <c r="BA344" s="144">
        <f>IF('PV IN'!$F$4="PV Only",0,-BattLoan!H372)</f>
        <v>0</v>
      </c>
    </row>
    <row r="345" spans="1:88" x14ac:dyDescent="0.25">
      <c r="A345" t="str">
        <f>IF(C345&lt;='PV IN'!$O$22*12,C345,"")</f>
        <v/>
      </c>
      <c r="C345">
        <v>341</v>
      </c>
      <c r="D345" s="2">
        <f>BattCalcs!CK345+PVCalcs!AT345</f>
        <v>8577.6401115922272</v>
      </c>
      <c r="E345" s="20">
        <f>PVCalcs!AV345</f>
        <v>2302256.0622906475</v>
      </c>
      <c r="F345" s="20">
        <f>PVCalcs!AW345</f>
        <v>2144.0680846065911</v>
      </c>
      <c r="G345" s="20" t="e">
        <f>PVCalcs!AX345</f>
        <v>#N/A</v>
      </c>
      <c r="H345" s="20">
        <f>BattCalcs!CM345</f>
        <v>0</v>
      </c>
      <c r="I345" s="20">
        <f>BattCalcs!CN345</f>
        <v>0</v>
      </c>
      <c r="J345" s="20" t="e">
        <f>IF(C345&lt;='Batt IN'!H$43*12,BattCalcs!CO345,NA())</f>
        <v>#N/A</v>
      </c>
      <c r="L345" s="20">
        <f t="shared" si="826"/>
        <v>2144.0680846065911</v>
      </c>
      <c r="M345" s="20" t="e">
        <f>G345+BattCalcs!CO345</f>
        <v>#N/A</v>
      </c>
      <c r="O345" s="10" t="str">
        <f>PVLoan!G373</f>
        <v>-</v>
      </c>
      <c r="P345" s="10" t="str">
        <f>PVLoan!J373</f>
        <v>-</v>
      </c>
      <c r="Q345" s="2" t="str">
        <f>BattLoan!G373</f>
        <v>-</v>
      </c>
      <c r="R345" s="10" t="str">
        <f>BattLoan!J373</f>
        <v>-</v>
      </c>
      <c r="T345" s="33">
        <f>IF('PV IN'!$F$4="Battery Only",0,PVCalcs!G345)</f>
        <v>121561.74709470622</v>
      </c>
      <c r="U345" s="33">
        <f>IF('PV IN'!$F$4="Battery Only",0,PVCalcs!M345)</f>
        <v>121561.74709470622</v>
      </c>
      <c r="V345" s="33">
        <f>PVCalcs!L345</f>
        <v>25811.765833333331</v>
      </c>
      <c r="W345" s="158">
        <f>PVCalcs!F345</f>
        <v>7.9497788922557128E-2</v>
      </c>
      <c r="X345" s="144">
        <f>IF('PV IN'!$F$4="Battery Only",0,PVCalcs!Y345+PVCalcs!Z345)</f>
        <v>0</v>
      </c>
      <c r="Y345" s="144">
        <f>IF('PV IN'!$F$4="PV Only",0,BattCalcs!AX345+BattCalcs!BC345)</f>
        <v>0</v>
      </c>
      <c r="Z345" s="144">
        <f>IF('PV IN'!$F$4="PV Only",0,BattCalcs!AY345+BattCalcs!BD345)</f>
        <v>0</v>
      </c>
      <c r="AA345" s="144">
        <f>IF('PV IN'!$F$4="PV Only",0,BattCalcs!AZ345+BattCalcs!BE345)</f>
        <v>0</v>
      </c>
      <c r="AB345" s="144">
        <f>IF('PV IN'!$F$4="PV Only",0,BattCalcs!BA345+BattCalcs!BF345)</f>
        <v>0</v>
      </c>
      <c r="AC345" s="144">
        <f>IF('PV IN'!$F$4="PV Only",0,BattCalcs!BB345+BattCalcs!BG345)</f>
        <v>0</v>
      </c>
      <c r="AD345" s="144">
        <f>IF('PV IN'!$F$4="PV Only",0,BattCalcs!BU345)</f>
        <v>0</v>
      </c>
      <c r="AE345" s="144">
        <f>IF('PV IN'!$F$4="PV Only",PVCalcs!W345+PVCalcs!AA345,IF('PV IN'!$F$4="Battery Only",BattCalcs!AV345+BattCalcs!BH345,PVCalcs!W345+PVCalcs!AA345+BattCalcs!AV345+BattCalcs!BH345))</f>
        <v>0</v>
      </c>
      <c r="AF345" s="10">
        <f>PVCalcs!AC345+BattCalcs!BJ345</f>
        <v>0</v>
      </c>
      <c r="AG345" s="144">
        <f>IF('PV IN'!$F$4="Battery Only",0,PVCalcs!AG345)</f>
        <v>-750</v>
      </c>
      <c r="AH345" s="144">
        <f>IF('PV IN'!$F$4="Battery Only",0,PVCalcs!AI345)</f>
        <v>0</v>
      </c>
      <c r="AI345" s="144">
        <f>IF('PV IN'!$F$4="PV Only",0,BattCalcs!BM345)</f>
        <v>0</v>
      </c>
      <c r="AJ345" s="144">
        <f>IF('PV IN'!$F$4="PV Only",0,SUM(BattCalcs!BO345:BT345))</f>
        <v>0</v>
      </c>
      <c r="AK345" s="144">
        <f>IF('PV IN'!$F$4="PV Only",PVCalcs!AH345,IF('PV IN'!$F$4="Battery Only",BattCalcs!BN345,PVCalcs!AH345+BattCalcs!BN345))</f>
        <v>-625</v>
      </c>
      <c r="AL345" s="144">
        <f>IF('PV IN'!$F$4="PV Only",0,BattCalcs!BV345)</f>
        <v>0</v>
      </c>
      <c r="AM345" s="144">
        <f>IF('PV IN'!$F$4="PV Only",0,SUM(BattCalcs!BW345:BX345))</f>
        <v>0</v>
      </c>
      <c r="AN345" s="144">
        <f>IF('PV IN'!$F$4="PV Only",0,BattCalcs!BY345)</f>
        <v>0</v>
      </c>
      <c r="AO345" s="144">
        <f>IF('PV IN'!$F$4="Battery Only",0,PVCalcs!U345)</f>
        <v>9663.8901115922272</v>
      </c>
      <c r="AP345" s="10">
        <f>IF('PV IN'!$F$4="PV Only",0,BattCalcs!AS345)</f>
        <v>0</v>
      </c>
      <c r="AQ345" s="10">
        <f>IF('PV IN'!$F$4="PV Only",0,BattCalcs!AT345)</f>
        <v>0</v>
      </c>
      <c r="AR345" s="10">
        <f>IF('PV IN'!$F$4="PV Only",0,BattCalcs!AU345)</f>
        <v>0</v>
      </c>
      <c r="AS345" s="144">
        <f>IF('PV IN'!$F$4="PV Only",PVCalcs!X345,IF('PV IN'!$F$4="Battery Only",BattCalcs!AW345,PVCalcs!X345+BattCalcs!AW345))</f>
        <v>0</v>
      </c>
      <c r="AT345" s="144">
        <f>IF('PV IN'!$F$4="Battery Only",0,-PVCalcs!AQ345*'PV IN'!$E$8)</f>
        <v>0</v>
      </c>
      <c r="AU345" s="144">
        <f>IF('PV IN'!$F$4="PV Only",0,-BattCalcs!CG345*'PV IN'!$E$8)</f>
        <v>0</v>
      </c>
      <c r="AV345" s="144">
        <f>IF('PV IN'!$F$4="PV Only",PVCalcs!Z345+PVCalcs!AA345,IF('PV IN'!$F$4="Battery Only",SUM(BattCalcs!BC345:BH345),PVCalcs!Z345+PVCalcs!AA345+SUM(BattCalcs!BC345:BH345)))</f>
        <v>0</v>
      </c>
      <c r="AW345" s="144">
        <f>IF('PV IN'!$F$4="PV Only",SUM(PVCalcs!AF345:AI345),IF('PV IN'!$F$4="Battery Only",SUM(BattCalcs!BL345:BY345),SUM(PVCalcs!AF345:AI345)+SUM(BattCalcs!BL345:BY345)))</f>
        <v>-1375</v>
      </c>
      <c r="AX345" s="144">
        <f>IF('PV IN'!$F$4="Battery Only",0,-PVLoan!F373)</f>
        <v>0</v>
      </c>
      <c r="AY345" s="144">
        <f>IF('PV IN'!$F$4="PV Only",0,-BattLoan!F373)</f>
        <v>0</v>
      </c>
      <c r="AZ345" s="144">
        <f>IF('PV IN'!$F$4="Battery Only",0,-PVLoan!H373)</f>
        <v>0</v>
      </c>
      <c r="BA345" s="144">
        <f>IF('PV IN'!$F$4="PV Only",0,-BattLoan!H373)</f>
        <v>0</v>
      </c>
    </row>
    <row r="346" spans="1:88" x14ac:dyDescent="0.25">
      <c r="A346" t="str">
        <f>IF(C346&lt;='PV IN'!$O$22*12,C346,"")</f>
        <v/>
      </c>
      <c r="C346">
        <v>342</v>
      </c>
      <c r="D346" s="2">
        <f>BattCalcs!CK346+PVCalcs!AT346</f>
        <v>8571.1975181844991</v>
      </c>
      <c r="E346" s="20">
        <f>PVCalcs!AV346</f>
        <v>2310827.2598088318</v>
      </c>
      <c r="F346" s="20">
        <f>PVCalcs!AW346</f>
        <v>2133.7644724992788</v>
      </c>
      <c r="G346" s="20" t="e">
        <f>PVCalcs!AX346</f>
        <v>#N/A</v>
      </c>
      <c r="H346" s="20">
        <f>BattCalcs!CM346</f>
        <v>0</v>
      </c>
      <c r="I346" s="20">
        <f>BattCalcs!CN346</f>
        <v>0</v>
      </c>
      <c r="J346" s="20" t="e">
        <f>IF(C346&lt;='Batt IN'!H$43*12,BattCalcs!CO346,NA())</f>
        <v>#N/A</v>
      </c>
      <c r="L346" s="20">
        <f t="shared" si="826"/>
        <v>2133.7644724992788</v>
      </c>
      <c r="M346" s="20" t="e">
        <f>G346+BattCalcs!CO346</f>
        <v>#N/A</v>
      </c>
      <c r="O346" s="10" t="str">
        <f>PVLoan!G374</f>
        <v>-</v>
      </c>
      <c r="P346" s="10" t="str">
        <f>PVLoan!J374</f>
        <v>-</v>
      </c>
      <c r="Q346" s="2" t="str">
        <f>BattLoan!G374</f>
        <v>-</v>
      </c>
      <c r="R346" s="10" t="str">
        <f>BattLoan!J374</f>
        <v>-</v>
      </c>
      <c r="T346" s="33">
        <f>IF('PV IN'!$F$4="Battery Only",0,PVCalcs!G346)</f>
        <v>121480.70592997641</v>
      </c>
      <c r="U346" s="33">
        <f>IF('PV IN'!$F$4="Battery Only",0,PVCalcs!M346)</f>
        <v>121480.70592997641</v>
      </c>
      <c r="V346" s="33">
        <f>PVCalcs!L346</f>
        <v>25811.765833333331</v>
      </c>
      <c r="W346" s="158">
        <f>PVCalcs!F346</f>
        <v>7.9497788922557128E-2</v>
      </c>
      <c r="X346" s="144">
        <f>IF('PV IN'!$F$4="Battery Only",0,PVCalcs!Y346+PVCalcs!Z346)</f>
        <v>0</v>
      </c>
      <c r="Y346" s="144">
        <f>IF('PV IN'!$F$4="PV Only",0,BattCalcs!AX346+BattCalcs!BC346)</f>
        <v>0</v>
      </c>
      <c r="Z346" s="144">
        <f>IF('PV IN'!$F$4="PV Only",0,BattCalcs!AY346+BattCalcs!BD346)</f>
        <v>0</v>
      </c>
      <c r="AA346" s="144">
        <f>IF('PV IN'!$F$4="PV Only",0,BattCalcs!AZ346+BattCalcs!BE346)</f>
        <v>0</v>
      </c>
      <c r="AB346" s="144">
        <f>IF('PV IN'!$F$4="PV Only",0,BattCalcs!BA346+BattCalcs!BF346)</f>
        <v>0</v>
      </c>
      <c r="AC346" s="144">
        <f>IF('PV IN'!$F$4="PV Only",0,BattCalcs!BB346+BattCalcs!BG346)</f>
        <v>0</v>
      </c>
      <c r="AD346" s="144">
        <f>IF('PV IN'!$F$4="PV Only",0,BattCalcs!BU346)</f>
        <v>0</v>
      </c>
      <c r="AE346" s="144">
        <f>IF('PV IN'!$F$4="PV Only",PVCalcs!W346+PVCalcs!AA346,IF('PV IN'!$F$4="Battery Only",BattCalcs!AV346+BattCalcs!BH346,PVCalcs!W346+PVCalcs!AA346+BattCalcs!AV346+BattCalcs!BH346))</f>
        <v>0</v>
      </c>
      <c r="AF346" s="10">
        <f>PVCalcs!AC346+BattCalcs!BJ346</f>
        <v>0</v>
      </c>
      <c r="AG346" s="144">
        <f>IF('PV IN'!$F$4="Battery Only",0,PVCalcs!AG346)</f>
        <v>-750</v>
      </c>
      <c r="AH346" s="144">
        <f>IF('PV IN'!$F$4="Battery Only",0,PVCalcs!AI346)</f>
        <v>0</v>
      </c>
      <c r="AI346" s="144">
        <f>IF('PV IN'!$F$4="PV Only",0,BattCalcs!BM346)</f>
        <v>0</v>
      </c>
      <c r="AJ346" s="144">
        <f>IF('PV IN'!$F$4="PV Only",0,SUM(BattCalcs!BO346:BT346))</f>
        <v>0</v>
      </c>
      <c r="AK346" s="144">
        <f>IF('PV IN'!$F$4="PV Only",PVCalcs!AH346,IF('PV IN'!$F$4="Battery Only",BattCalcs!BN346,PVCalcs!AH346+BattCalcs!BN346))</f>
        <v>-625</v>
      </c>
      <c r="AL346" s="144">
        <f>IF('PV IN'!$F$4="PV Only",0,BattCalcs!BV346)</f>
        <v>0</v>
      </c>
      <c r="AM346" s="144">
        <f>IF('PV IN'!$F$4="PV Only",0,SUM(BattCalcs!BW346:BX346))</f>
        <v>0</v>
      </c>
      <c r="AN346" s="144">
        <f>IF('PV IN'!$F$4="PV Only",0,BattCalcs!BY346)</f>
        <v>0</v>
      </c>
      <c r="AO346" s="144">
        <f>IF('PV IN'!$F$4="Battery Only",0,PVCalcs!U346)</f>
        <v>9657.4475181844991</v>
      </c>
      <c r="AP346" s="10">
        <f>IF('PV IN'!$F$4="PV Only",0,BattCalcs!AS346)</f>
        <v>0</v>
      </c>
      <c r="AQ346" s="10">
        <f>IF('PV IN'!$F$4="PV Only",0,BattCalcs!AT346)</f>
        <v>0</v>
      </c>
      <c r="AR346" s="10">
        <f>IF('PV IN'!$F$4="PV Only",0,BattCalcs!AU346)</f>
        <v>0</v>
      </c>
      <c r="AS346" s="144">
        <f>IF('PV IN'!$F$4="PV Only",PVCalcs!X346,IF('PV IN'!$F$4="Battery Only",BattCalcs!AW346,PVCalcs!X346+BattCalcs!AW346))</f>
        <v>0</v>
      </c>
      <c r="AT346" s="144">
        <f>IF('PV IN'!$F$4="Battery Only",0,-PVCalcs!AQ346*'PV IN'!$E$8)</f>
        <v>0</v>
      </c>
      <c r="AU346" s="144">
        <f>IF('PV IN'!$F$4="PV Only",0,-BattCalcs!CG346*'PV IN'!$E$8)</f>
        <v>0</v>
      </c>
      <c r="AV346" s="144">
        <f>IF('PV IN'!$F$4="PV Only",PVCalcs!Z346+PVCalcs!AA346,IF('PV IN'!$F$4="Battery Only",SUM(BattCalcs!BC346:BH346),PVCalcs!Z346+PVCalcs!AA346+SUM(BattCalcs!BC346:BH346)))</f>
        <v>0</v>
      </c>
      <c r="AW346" s="144">
        <f>IF('PV IN'!$F$4="PV Only",SUM(PVCalcs!AF346:AI346),IF('PV IN'!$F$4="Battery Only",SUM(BattCalcs!BL346:BY346),SUM(PVCalcs!AF346:AI346)+SUM(BattCalcs!BL346:BY346)))</f>
        <v>-1375</v>
      </c>
      <c r="AX346" s="144">
        <f>IF('PV IN'!$F$4="Battery Only",0,-PVLoan!F374)</f>
        <v>0</v>
      </c>
      <c r="AY346" s="144">
        <f>IF('PV IN'!$F$4="PV Only",0,-BattLoan!F374)</f>
        <v>0</v>
      </c>
      <c r="AZ346" s="144">
        <f>IF('PV IN'!$F$4="Battery Only",0,-PVLoan!H374)</f>
        <v>0</v>
      </c>
      <c r="BA346" s="144">
        <f>IF('PV IN'!$F$4="PV Only",0,-BattLoan!H374)</f>
        <v>0</v>
      </c>
    </row>
    <row r="347" spans="1:88" x14ac:dyDescent="0.25">
      <c r="A347" t="str">
        <f>IF(C347&lt;='PV IN'!$O$22*12,C347,"")</f>
        <v/>
      </c>
      <c r="C347">
        <v>343</v>
      </c>
      <c r="D347" s="2">
        <f>BattCalcs!CK347+PVCalcs!AT347</f>
        <v>8564.759219839043</v>
      </c>
      <c r="E347" s="20">
        <f>PVCalcs!AV347</f>
        <v>2319392.0190286711</v>
      </c>
      <c r="F347" s="20">
        <f>PVCalcs!AW347</f>
        <v>2123.5102409515357</v>
      </c>
      <c r="G347" s="20" t="e">
        <f>PVCalcs!AX347</f>
        <v>#N/A</v>
      </c>
      <c r="H347" s="20">
        <f>BattCalcs!CM347</f>
        <v>0</v>
      </c>
      <c r="I347" s="20">
        <f>BattCalcs!CN347</f>
        <v>0</v>
      </c>
      <c r="J347" s="20" t="e">
        <f>IF(C347&lt;='Batt IN'!H$43*12,BattCalcs!CO347,NA())</f>
        <v>#N/A</v>
      </c>
      <c r="L347" s="20">
        <f t="shared" si="826"/>
        <v>2123.5102409515357</v>
      </c>
      <c r="M347" s="20" t="e">
        <f>G347+BattCalcs!CO347</f>
        <v>#N/A</v>
      </c>
      <c r="O347" s="10" t="str">
        <f>PVLoan!G375</f>
        <v>-</v>
      </c>
      <c r="P347" s="10" t="str">
        <f>PVLoan!J375</f>
        <v>-</v>
      </c>
      <c r="Q347" s="2" t="str">
        <f>BattLoan!G375</f>
        <v>-</v>
      </c>
      <c r="R347" s="10" t="str">
        <f>BattLoan!J375</f>
        <v>-</v>
      </c>
      <c r="T347" s="33">
        <f>IF('PV IN'!$F$4="Battery Only",0,PVCalcs!G347)</f>
        <v>121399.71879268976</v>
      </c>
      <c r="U347" s="33">
        <f>IF('PV IN'!$F$4="Battery Only",0,PVCalcs!M347)</f>
        <v>121399.71879268976</v>
      </c>
      <c r="V347" s="33">
        <f>PVCalcs!L347</f>
        <v>25811.765833333331</v>
      </c>
      <c r="W347" s="158">
        <f>PVCalcs!F347</f>
        <v>7.9497788922557128E-2</v>
      </c>
      <c r="X347" s="144">
        <f>IF('PV IN'!$F$4="Battery Only",0,PVCalcs!Y347+PVCalcs!Z347)</f>
        <v>0</v>
      </c>
      <c r="Y347" s="144">
        <f>IF('PV IN'!$F$4="PV Only",0,BattCalcs!AX347+BattCalcs!BC347)</f>
        <v>0</v>
      </c>
      <c r="Z347" s="144">
        <f>IF('PV IN'!$F$4="PV Only",0,BattCalcs!AY347+BattCalcs!BD347)</f>
        <v>0</v>
      </c>
      <c r="AA347" s="144">
        <f>IF('PV IN'!$F$4="PV Only",0,BattCalcs!AZ347+BattCalcs!BE347)</f>
        <v>0</v>
      </c>
      <c r="AB347" s="144">
        <f>IF('PV IN'!$F$4="PV Only",0,BattCalcs!BA347+BattCalcs!BF347)</f>
        <v>0</v>
      </c>
      <c r="AC347" s="144">
        <f>IF('PV IN'!$F$4="PV Only",0,BattCalcs!BB347+BattCalcs!BG347)</f>
        <v>0</v>
      </c>
      <c r="AD347" s="144">
        <f>IF('PV IN'!$F$4="PV Only",0,BattCalcs!BU347)</f>
        <v>0</v>
      </c>
      <c r="AE347" s="144">
        <f>IF('PV IN'!$F$4="PV Only",PVCalcs!W347+PVCalcs!AA347,IF('PV IN'!$F$4="Battery Only",BattCalcs!AV347+BattCalcs!BH347,PVCalcs!W347+PVCalcs!AA347+BattCalcs!AV347+BattCalcs!BH347))</f>
        <v>0</v>
      </c>
      <c r="AF347" s="10">
        <f>PVCalcs!AC347+BattCalcs!BJ347</f>
        <v>0</v>
      </c>
      <c r="AG347" s="144">
        <f>IF('PV IN'!$F$4="Battery Only",0,PVCalcs!AG347)</f>
        <v>-750</v>
      </c>
      <c r="AH347" s="144">
        <f>IF('PV IN'!$F$4="Battery Only",0,PVCalcs!AI347)</f>
        <v>0</v>
      </c>
      <c r="AI347" s="144">
        <f>IF('PV IN'!$F$4="PV Only",0,BattCalcs!BM347)</f>
        <v>0</v>
      </c>
      <c r="AJ347" s="144">
        <f>IF('PV IN'!$F$4="PV Only",0,SUM(BattCalcs!BO347:BT347))</f>
        <v>0</v>
      </c>
      <c r="AK347" s="144">
        <f>IF('PV IN'!$F$4="PV Only",PVCalcs!AH347,IF('PV IN'!$F$4="Battery Only",BattCalcs!BN347,PVCalcs!AH347+BattCalcs!BN347))</f>
        <v>-625</v>
      </c>
      <c r="AL347" s="144">
        <f>IF('PV IN'!$F$4="PV Only",0,BattCalcs!BV347)</f>
        <v>0</v>
      </c>
      <c r="AM347" s="144">
        <f>IF('PV IN'!$F$4="PV Only",0,SUM(BattCalcs!BW347:BX347))</f>
        <v>0</v>
      </c>
      <c r="AN347" s="144">
        <f>IF('PV IN'!$F$4="PV Only",0,BattCalcs!BY347)</f>
        <v>0</v>
      </c>
      <c r="AO347" s="144">
        <f>IF('PV IN'!$F$4="Battery Only",0,PVCalcs!U347)</f>
        <v>9651.009219839043</v>
      </c>
      <c r="AP347" s="10">
        <f>IF('PV IN'!$F$4="PV Only",0,BattCalcs!AS347)</f>
        <v>0</v>
      </c>
      <c r="AQ347" s="10">
        <f>IF('PV IN'!$F$4="PV Only",0,BattCalcs!AT347)</f>
        <v>0</v>
      </c>
      <c r="AR347" s="10">
        <f>IF('PV IN'!$F$4="PV Only",0,BattCalcs!AU347)</f>
        <v>0</v>
      </c>
      <c r="AS347" s="144">
        <f>IF('PV IN'!$F$4="PV Only",PVCalcs!X347,IF('PV IN'!$F$4="Battery Only",BattCalcs!AW347,PVCalcs!X347+BattCalcs!AW347))</f>
        <v>0</v>
      </c>
      <c r="AT347" s="144">
        <f>IF('PV IN'!$F$4="Battery Only",0,-PVCalcs!AQ347*'PV IN'!$E$8)</f>
        <v>0</v>
      </c>
      <c r="AU347" s="144">
        <f>IF('PV IN'!$F$4="PV Only",0,-BattCalcs!CG347*'PV IN'!$E$8)</f>
        <v>0</v>
      </c>
      <c r="AV347" s="144">
        <f>IF('PV IN'!$F$4="PV Only",PVCalcs!Z347+PVCalcs!AA347,IF('PV IN'!$F$4="Battery Only",SUM(BattCalcs!BC347:BH347),PVCalcs!Z347+PVCalcs!AA347+SUM(BattCalcs!BC347:BH347)))</f>
        <v>0</v>
      </c>
      <c r="AW347" s="144">
        <f>IF('PV IN'!$F$4="PV Only",SUM(PVCalcs!AF347:AI347),IF('PV IN'!$F$4="Battery Only",SUM(BattCalcs!BL347:BY347),SUM(PVCalcs!AF347:AI347)+SUM(BattCalcs!BL347:BY347)))</f>
        <v>-1375</v>
      </c>
      <c r="AX347" s="144">
        <f>IF('PV IN'!$F$4="Battery Only",0,-PVLoan!F375)</f>
        <v>0</v>
      </c>
      <c r="AY347" s="144">
        <f>IF('PV IN'!$F$4="PV Only",0,-BattLoan!F375)</f>
        <v>0</v>
      </c>
      <c r="AZ347" s="144">
        <f>IF('PV IN'!$F$4="Battery Only",0,-PVLoan!H375)</f>
        <v>0</v>
      </c>
      <c r="BA347" s="144">
        <f>IF('PV IN'!$F$4="PV Only",0,-BattLoan!H375)</f>
        <v>0</v>
      </c>
    </row>
    <row r="348" spans="1:88" x14ac:dyDescent="0.25">
      <c r="A348" t="str">
        <f>IF(C348&lt;='PV IN'!$O$22*12,C348,"")</f>
        <v/>
      </c>
      <c r="C348">
        <v>344</v>
      </c>
      <c r="D348" s="2">
        <f>BattCalcs!CK348+PVCalcs!AT348</f>
        <v>8558.3252136924821</v>
      </c>
      <c r="E348" s="20">
        <f>PVCalcs!AV348</f>
        <v>2327950.3442423637</v>
      </c>
      <c r="F348" s="20">
        <f>PVCalcs!AW348</f>
        <v>2113.3051538422565</v>
      </c>
      <c r="G348" s="20" t="e">
        <f>PVCalcs!AX348</f>
        <v>#N/A</v>
      </c>
      <c r="H348" s="20">
        <f>BattCalcs!CM348</f>
        <v>0</v>
      </c>
      <c r="I348" s="20">
        <f>BattCalcs!CN348</f>
        <v>0</v>
      </c>
      <c r="J348" s="20" t="e">
        <f>IF(C348&lt;='Batt IN'!H$43*12,BattCalcs!CO348,NA())</f>
        <v>#N/A</v>
      </c>
      <c r="L348" s="20">
        <f t="shared" si="826"/>
        <v>2113.3051538422565</v>
      </c>
      <c r="M348" s="20" t="e">
        <f>G348+BattCalcs!CO348</f>
        <v>#N/A</v>
      </c>
      <c r="O348" s="10" t="str">
        <f>PVLoan!G376</f>
        <v>-</v>
      </c>
      <c r="P348" s="10" t="str">
        <f>PVLoan!J376</f>
        <v>-</v>
      </c>
      <c r="Q348" s="2" t="str">
        <f>BattLoan!G376</f>
        <v>-</v>
      </c>
      <c r="R348" s="10" t="str">
        <f>BattLoan!J376</f>
        <v>-</v>
      </c>
      <c r="T348" s="33">
        <f>IF('PV IN'!$F$4="Battery Only",0,PVCalcs!G348)</f>
        <v>121318.78564682795</v>
      </c>
      <c r="U348" s="33">
        <f>IF('PV IN'!$F$4="Battery Only",0,PVCalcs!M348)</f>
        <v>121318.78564682795</v>
      </c>
      <c r="V348" s="33">
        <f>PVCalcs!L348</f>
        <v>25811.765833333331</v>
      </c>
      <c r="W348" s="158">
        <f>PVCalcs!F348</f>
        <v>7.9497788922557128E-2</v>
      </c>
      <c r="X348" s="144">
        <f>IF('PV IN'!$F$4="Battery Only",0,PVCalcs!Y348+PVCalcs!Z348)</f>
        <v>0</v>
      </c>
      <c r="Y348" s="144">
        <f>IF('PV IN'!$F$4="PV Only",0,BattCalcs!AX348+BattCalcs!BC348)</f>
        <v>0</v>
      </c>
      <c r="Z348" s="144">
        <f>IF('PV IN'!$F$4="PV Only",0,BattCalcs!AY348+BattCalcs!BD348)</f>
        <v>0</v>
      </c>
      <c r="AA348" s="144">
        <f>IF('PV IN'!$F$4="PV Only",0,BattCalcs!AZ348+BattCalcs!BE348)</f>
        <v>0</v>
      </c>
      <c r="AB348" s="144">
        <f>IF('PV IN'!$F$4="PV Only",0,BattCalcs!BA348+BattCalcs!BF348)</f>
        <v>0</v>
      </c>
      <c r="AC348" s="144">
        <f>IF('PV IN'!$F$4="PV Only",0,BattCalcs!BB348+BattCalcs!BG348)</f>
        <v>0</v>
      </c>
      <c r="AD348" s="144">
        <f>IF('PV IN'!$F$4="PV Only",0,BattCalcs!BU348)</f>
        <v>0</v>
      </c>
      <c r="AE348" s="144">
        <f>IF('PV IN'!$F$4="PV Only",PVCalcs!W348+PVCalcs!AA348,IF('PV IN'!$F$4="Battery Only",BattCalcs!AV348+BattCalcs!BH348,PVCalcs!W348+PVCalcs!AA348+BattCalcs!AV348+BattCalcs!BH348))</f>
        <v>0</v>
      </c>
      <c r="AF348" s="10">
        <f>PVCalcs!AC348+BattCalcs!BJ348</f>
        <v>0</v>
      </c>
      <c r="AG348" s="144">
        <f>IF('PV IN'!$F$4="Battery Only",0,PVCalcs!AG348)</f>
        <v>-750</v>
      </c>
      <c r="AH348" s="144">
        <f>IF('PV IN'!$F$4="Battery Only",0,PVCalcs!AI348)</f>
        <v>0</v>
      </c>
      <c r="AI348" s="144">
        <f>IF('PV IN'!$F$4="PV Only",0,BattCalcs!BM348)</f>
        <v>0</v>
      </c>
      <c r="AJ348" s="144">
        <f>IF('PV IN'!$F$4="PV Only",0,SUM(BattCalcs!BO348:BT348))</f>
        <v>0</v>
      </c>
      <c r="AK348" s="144">
        <f>IF('PV IN'!$F$4="PV Only",PVCalcs!AH348,IF('PV IN'!$F$4="Battery Only",BattCalcs!BN348,PVCalcs!AH348+BattCalcs!BN348))</f>
        <v>-625</v>
      </c>
      <c r="AL348" s="144">
        <f>IF('PV IN'!$F$4="PV Only",0,BattCalcs!BV348)</f>
        <v>0</v>
      </c>
      <c r="AM348" s="144">
        <f>IF('PV IN'!$F$4="PV Only",0,SUM(BattCalcs!BW348:BX348))</f>
        <v>0</v>
      </c>
      <c r="AN348" s="144">
        <f>IF('PV IN'!$F$4="PV Only",0,BattCalcs!BY348)</f>
        <v>0</v>
      </c>
      <c r="AO348" s="144">
        <f>IF('PV IN'!$F$4="Battery Only",0,PVCalcs!U348)</f>
        <v>9644.5752136924821</v>
      </c>
      <c r="AP348" s="10">
        <f>IF('PV IN'!$F$4="PV Only",0,BattCalcs!AS348)</f>
        <v>0</v>
      </c>
      <c r="AQ348" s="10">
        <f>IF('PV IN'!$F$4="PV Only",0,BattCalcs!AT348)</f>
        <v>0</v>
      </c>
      <c r="AR348" s="10">
        <f>IF('PV IN'!$F$4="PV Only",0,BattCalcs!AU348)</f>
        <v>0</v>
      </c>
      <c r="AS348" s="144">
        <f>IF('PV IN'!$F$4="PV Only",PVCalcs!X348,IF('PV IN'!$F$4="Battery Only",BattCalcs!AW348,PVCalcs!X348+BattCalcs!AW348))</f>
        <v>0</v>
      </c>
      <c r="AT348" s="144">
        <f>IF('PV IN'!$F$4="Battery Only",0,-PVCalcs!AQ348*'PV IN'!$E$8)</f>
        <v>0</v>
      </c>
      <c r="AU348" s="144">
        <f>IF('PV IN'!$F$4="PV Only",0,-BattCalcs!CG348*'PV IN'!$E$8)</f>
        <v>0</v>
      </c>
      <c r="AV348" s="144">
        <f>IF('PV IN'!$F$4="PV Only",PVCalcs!Z348+PVCalcs!AA348,IF('PV IN'!$F$4="Battery Only",SUM(BattCalcs!BC348:BH348),PVCalcs!Z348+PVCalcs!AA348+SUM(BattCalcs!BC348:BH348)))</f>
        <v>0</v>
      </c>
      <c r="AW348" s="144">
        <f>IF('PV IN'!$F$4="PV Only",SUM(PVCalcs!AF348:AI348),IF('PV IN'!$F$4="Battery Only",SUM(BattCalcs!BL348:BY348),SUM(PVCalcs!AF348:AI348)+SUM(BattCalcs!BL348:BY348)))</f>
        <v>-1375</v>
      </c>
      <c r="AX348" s="144">
        <f>IF('PV IN'!$F$4="Battery Only",0,-PVLoan!F376)</f>
        <v>0</v>
      </c>
      <c r="AY348" s="144">
        <f>IF('PV IN'!$F$4="PV Only",0,-BattLoan!F376)</f>
        <v>0</v>
      </c>
      <c r="AZ348" s="144">
        <f>IF('PV IN'!$F$4="Battery Only",0,-PVLoan!H376)</f>
        <v>0</v>
      </c>
      <c r="BA348" s="144">
        <f>IF('PV IN'!$F$4="PV Only",0,-BattLoan!H376)</f>
        <v>0</v>
      </c>
    </row>
    <row r="349" spans="1:88" x14ac:dyDescent="0.25">
      <c r="A349" t="str">
        <f>IF(C349&lt;='PV IN'!$O$22*12,C349,"")</f>
        <v/>
      </c>
      <c r="C349">
        <v>345</v>
      </c>
      <c r="D349" s="2">
        <f>BattCalcs!CK349+PVCalcs!AT349</f>
        <v>8551.8954968833532</v>
      </c>
      <c r="E349" s="20">
        <f>PVCalcs!AV349</f>
        <v>2336502.2397392471</v>
      </c>
      <c r="F349" s="20">
        <f>PVCalcs!AW349</f>
        <v>2103.1489761772405</v>
      </c>
      <c r="G349" s="20" t="e">
        <f>PVCalcs!AX349</f>
        <v>#N/A</v>
      </c>
      <c r="H349" s="20">
        <f>BattCalcs!CM349</f>
        <v>0</v>
      </c>
      <c r="I349" s="20">
        <f>BattCalcs!CN349</f>
        <v>0</v>
      </c>
      <c r="J349" s="20" t="e">
        <f>IF(C349&lt;='Batt IN'!H$43*12,BattCalcs!CO349,NA())</f>
        <v>#N/A</v>
      </c>
      <c r="L349" s="20">
        <f t="shared" si="826"/>
        <v>2103.1489761772405</v>
      </c>
      <c r="M349" s="20" t="e">
        <f>G349+BattCalcs!CO349</f>
        <v>#N/A</v>
      </c>
      <c r="O349" s="10" t="str">
        <f>PVLoan!G377</f>
        <v>-</v>
      </c>
      <c r="P349" s="10" t="str">
        <f>PVLoan!J377</f>
        <v>-</v>
      </c>
      <c r="Q349" s="2" t="str">
        <f>BattLoan!G377</f>
        <v>-</v>
      </c>
      <c r="R349" s="10" t="str">
        <f>BattLoan!J377</f>
        <v>-</v>
      </c>
      <c r="T349" s="33">
        <f>IF('PV IN'!$F$4="Battery Only",0,PVCalcs!G349)</f>
        <v>121237.90645639674</v>
      </c>
      <c r="U349" s="33">
        <f>IF('PV IN'!$F$4="Battery Only",0,PVCalcs!M349)</f>
        <v>121237.90645639674</v>
      </c>
      <c r="V349" s="33">
        <f>PVCalcs!L349</f>
        <v>25811.765833333331</v>
      </c>
      <c r="W349" s="158">
        <f>PVCalcs!F349</f>
        <v>7.9497788922557128E-2</v>
      </c>
      <c r="X349" s="144">
        <f>IF('PV IN'!$F$4="Battery Only",0,PVCalcs!Y349+PVCalcs!Z349)</f>
        <v>0</v>
      </c>
      <c r="Y349" s="144">
        <f>IF('PV IN'!$F$4="PV Only",0,BattCalcs!AX349+BattCalcs!BC349)</f>
        <v>0</v>
      </c>
      <c r="Z349" s="144">
        <f>IF('PV IN'!$F$4="PV Only",0,BattCalcs!AY349+BattCalcs!BD349)</f>
        <v>0</v>
      </c>
      <c r="AA349" s="144">
        <f>IF('PV IN'!$F$4="PV Only",0,BattCalcs!AZ349+BattCalcs!BE349)</f>
        <v>0</v>
      </c>
      <c r="AB349" s="144">
        <f>IF('PV IN'!$F$4="PV Only",0,BattCalcs!BA349+BattCalcs!BF349)</f>
        <v>0</v>
      </c>
      <c r="AC349" s="144">
        <f>IF('PV IN'!$F$4="PV Only",0,BattCalcs!BB349+BattCalcs!BG349)</f>
        <v>0</v>
      </c>
      <c r="AD349" s="144">
        <f>IF('PV IN'!$F$4="PV Only",0,BattCalcs!BU349)</f>
        <v>0</v>
      </c>
      <c r="AE349" s="144">
        <f>IF('PV IN'!$F$4="PV Only",PVCalcs!W349+PVCalcs!AA349,IF('PV IN'!$F$4="Battery Only",BattCalcs!AV349+BattCalcs!BH349,PVCalcs!W349+PVCalcs!AA349+BattCalcs!AV349+BattCalcs!BH349))</f>
        <v>0</v>
      </c>
      <c r="AF349" s="10">
        <f>PVCalcs!AC349+BattCalcs!BJ349</f>
        <v>0</v>
      </c>
      <c r="AG349" s="144">
        <f>IF('PV IN'!$F$4="Battery Only",0,PVCalcs!AG349)</f>
        <v>-750</v>
      </c>
      <c r="AH349" s="144">
        <f>IF('PV IN'!$F$4="Battery Only",0,PVCalcs!AI349)</f>
        <v>0</v>
      </c>
      <c r="AI349" s="144">
        <f>IF('PV IN'!$F$4="PV Only",0,BattCalcs!BM349)</f>
        <v>0</v>
      </c>
      <c r="AJ349" s="144">
        <f>IF('PV IN'!$F$4="PV Only",0,SUM(BattCalcs!BO349:BT349))</f>
        <v>0</v>
      </c>
      <c r="AK349" s="144">
        <f>IF('PV IN'!$F$4="PV Only",PVCalcs!AH349,IF('PV IN'!$F$4="Battery Only",BattCalcs!BN349,PVCalcs!AH349+BattCalcs!BN349))</f>
        <v>-625</v>
      </c>
      <c r="AL349" s="144">
        <f>IF('PV IN'!$F$4="PV Only",0,BattCalcs!BV349)</f>
        <v>0</v>
      </c>
      <c r="AM349" s="144">
        <f>IF('PV IN'!$F$4="PV Only",0,SUM(BattCalcs!BW349:BX349))</f>
        <v>0</v>
      </c>
      <c r="AN349" s="144">
        <f>IF('PV IN'!$F$4="PV Only",0,BattCalcs!BY349)</f>
        <v>0</v>
      </c>
      <c r="AO349" s="144">
        <f>IF('PV IN'!$F$4="Battery Only",0,PVCalcs!U349)</f>
        <v>9638.1454968833532</v>
      </c>
      <c r="AP349" s="10">
        <f>IF('PV IN'!$F$4="PV Only",0,BattCalcs!AS349)</f>
        <v>0</v>
      </c>
      <c r="AQ349" s="10">
        <f>IF('PV IN'!$F$4="PV Only",0,BattCalcs!AT349)</f>
        <v>0</v>
      </c>
      <c r="AR349" s="10">
        <f>IF('PV IN'!$F$4="PV Only",0,BattCalcs!AU349)</f>
        <v>0</v>
      </c>
      <c r="AS349" s="144">
        <f>IF('PV IN'!$F$4="PV Only",PVCalcs!X349,IF('PV IN'!$F$4="Battery Only",BattCalcs!AW349,PVCalcs!X349+BattCalcs!AW349))</f>
        <v>0</v>
      </c>
      <c r="AT349" s="144">
        <f>IF('PV IN'!$F$4="Battery Only",0,-PVCalcs!AQ349*'PV IN'!$E$8)</f>
        <v>0</v>
      </c>
      <c r="AU349" s="144">
        <f>IF('PV IN'!$F$4="PV Only",0,-BattCalcs!CG349*'PV IN'!$E$8)</f>
        <v>0</v>
      </c>
      <c r="AV349" s="144">
        <f>IF('PV IN'!$F$4="PV Only",PVCalcs!Z349+PVCalcs!AA349,IF('PV IN'!$F$4="Battery Only",SUM(BattCalcs!BC349:BH349),PVCalcs!Z349+PVCalcs!AA349+SUM(BattCalcs!BC349:BH349)))</f>
        <v>0</v>
      </c>
      <c r="AW349" s="144">
        <f>IF('PV IN'!$F$4="PV Only",SUM(PVCalcs!AF349:AI349),IF('PV IN'!$F$4="Battery Only",SUM(BattCalcs!BL349:BY349),SUM(PVCalcs!AF349:AI349)+SUM(BattCalcs!BL349:BY349)))</f>
        <v>-1375</v>
      </c>
      <c r="AX349" s="144">
        <f>IF('PV IN'!$F$4="Battery Only",0,-PVLoan!F377)</f>
        <v>0</v>
      </c>
      <c r="AY349" s="144">
        <f>IF('PV IN'!$F$4="PV Only",0,-BattLoan!F377)</f>
        <v>0</v>
      </c>
      <c r="AZ349" s="144">
        <f>IF('PV IN'!$F$4="Battery Only",0,-PVLoan!H377)</f>
        <v>0</v>
      </c>
      <c r="BA349" s="144">
        <f>IF('PV IN'!$F$4="PV Only",0,-BattLoan!H377)</f>
        <v>0</v>
      </c>
    </row>
    <row r="350" spans="1:88" x14ac:dyDescent="0.25">
      <c r="A350" t="str">
        <f>IF(C350&lt;='PV IN'!$O$22*12,C350,"")</f>
        <v/>
      </c>
      <c r="C350">
        <v>346</v>
      </c>
      <c r="D350" s="2">
        <f>BattCalcs!CK350+PVCalcs!AT350</f>
        <v>8545.4700665520977</v>
      </c>
      <c r="E350" s="20">
        <f>PVCalcs!AV350</f>
        <v>2345047.7098057992</v>
      </c>
      <c r="F350" s="20">
        <f>PVCalcs!AW350</f>
        <v>2093.0414740838191</v>
      </c>
      <c r="G350" s="20" t="e">
        <f>PVCalcs!AX350</f>
        <v>#N/A</v>
      </c>
      <c r="H350" s="20">
        <f>BattCalcs!CM350</f>
        <v>0</v>
      </c>
      <c r="I350" s="20">
        <f>BattCalcs!CN350</f>
        <v>0</v>
      </c>
      <c r="J350" s="20" t="e">
        <f>IF(C350&lt;='Batt IN'!H$43*12,BattCalcs!CO350,NA())</f>
        <v>#N/A</v>
      </c>
      <c r="L350" s="20">
        <f t="shared" si="826"/>
        <v>2093.0414740838191</v>
      </c>
      <c r="M350" s="20" t="e">
        <f>G350+BattCalcs!CO350</f>
        <v>#N/A</v>
      </c>
      <c r="O350" s="10" t="str">
        <f>PVLoan!G378</f>
        <v>-</v>
      </c>
      <c r="P350" s="10" t="str">
        <f>PVLoan!J378</f>
        <v>-</v>
      </c>
      <c r="Q350" s="2" t="str">
        <f>BattLoan!G378</f>
        <v>-</v>
      </c>
      <c r="R350" s="10" t="str">
        <f>BattLoan!J378</f>
        <v>-</v>
      </c>
      <c r="T350" s="33">
        <f>IF('PV IN'!$F$4="Battery Only",0,PVCalcs!G350)</f>
        <v>121157.08118542581</v>
      </c>
      <c r="U350" s="33">
        <f>IF('PV IN'!$F$4="Battery Only",0,PVCalcs!M350)</f>
        <v>121157.08118542581</v>
      </c>
      <c r="V350" s="33">
        <f>PVCalcs!L350</f>
        <v>25811.765833333331</v>
      </c>
      <c r="W350" s="158">
        <f>PVCalcs!F350</f>
        <v>7.9497788922557128E-2</v>
      </c>
      <c r="X350" s="144">
        <f>IF('PV IN'!$F$4="Battery Only",0,PVCalcs!Y350+PVCalcs!Z350)</f>
        <v>0</v>
      </c>
      <c r="Y350" s="144">
        <f>IF('PV IN'!$F$4="PV Only",0,BattCalcs!AX350+BattCalcs!BC350)</f>
        <v>0</v>
      </c>
      <c r="Z350" s="144">
        <f>IF('PV IN'!$F$4="PV Only",0,BattCalcs!AY350+BattCalcs!BD350)</f>
        <v>0</v>
      </c>
      <c r="AA350" s="144">
        <f>IF('PV IN'!$F$4="PV Only",0,BattCalcs!AZ350+BattCalcs!BE350)</f>
        <v>0</v>
      </c>
      <c r="AB350" s="144">
        <f>IF('PV IN'!$F$4="PV Only",0,BattCalcs!BA350+BattCalcs!BF350)</f>
        <v>0</v>
      </c>
      <c r="AC350" s="144">
        <f>IF('PV IN'!$F$4="PV Only",0,BattCalcs!BB350+BattCalcs!BG350)</f>
        <v>0</v>
      </c>
      <c r="AD350" s="144">
        <f>IF('PV IN'!$F$4="PV Only",0,BattCalcs!BU350)</f>
        <v>0</v>
      </c>
      <c r="AE350" s="144">
        <f>IF('PV IN'!$F$4="PV Only",PVCalcs!W350+PVCalcs!AA350,IF('PV IN'!$F$4="Battery Only",BattCalcs!AV350+BattCalcs!BH350,PVCalcs!W350+PVCalcs!AA350+BattCalcs!AV350+BattCalcs!BH350))</f>
        <v>0</v>
      </c>
      <c r="AF350" s="10">
        <f>PVCalcs!AC350+BattCalcs!BJ350</f>
        <v>0</v>
      </c>
      <c r="AG350" s="144">
        <f>IF('PV IN'!$F$4="Battery Only",0,PVCalcs!AG350)</f>
        <v>-750</v>
      </c>
      <c r="AH350" s="144">
        <f>IF('PV IN'!$F$4="Battery Only",0,PVCalcs!AI350)</f>
        <v>0</v>
      </c>
      <c r="AI350" s="144">
        <f>IF('PV IN'!$F$4="PV Only",0,BattCalcs!BM350)</f>
        <v>0</v>
      </c>
      <c r="AJ350" s="144">
        <f>IF('PV IN'!$F$4="PV Only",0,SUM(BattCalcs!BO350:BT350))</f>
        <v>0</v>
      </c>
      <c r="AK350" s="144">
        <f>IF('PV IN'!$F$4="PV Only",PVCalcs!AH350,IF('PV IN'!$F$4="Battery Only",BattCalcs!BN350,PVCalcs!AH350+BattCalcs!BN350))</f>
        <v>-625</v>
      </c>
      <c r="AL350" s="144">
        <f>IF('PV IN'!$F$4="PV Only",0,BattCalcs!BV350)</f>
        <v>0</v>
      </c>
      <c r="AM350" s="144">
        <f>IF('PV IN'!$F$4="PV Only",0,SUM(BattCalcs!BW350:BX350))</f>
        <v>0</v>
      </c>
      <c r="AN350" s="144">
        <f>IF('PV IN'!$F$4="PV Only",0,BattCalcs!BY350)</f>
        <v>0</v>
      </c>
      <c r="AO350" s="144">
        <f>IF('PV IN'!$F$4="Battery Only",0,PVCalcs!U350)</f>
        <v>9631.7200665520977</v>
      </c>
      <c r="AP350" s="10">
        <f>IF('PV IN'!$F$4="PV Only",0,BattCalcs!AS350)</f>
        <v>0</v>
      </c>
      <c r="AQ350" s="10">
        <f>IF('PV IN'!$F$4="PV Only",0,BattCalcs!AT350)</f>
        <v>0</v>
      </c>
      <c r="AR350" s="10">
        <f>IF('PV IN'!$F$4="PV Only",0,BattCalcs!AU350)</f>
        <v>0</v>
      </c>
      <c r="AS350" s="144">
        <f>IF('PV IN'!$F$4="PV Only",PVCalcs!X350,IF('PV IN'!$F$4="Battery Only",BattCalcs!AW350,PVCalcs!X350+BattCalcs!AW350))</f>
        <v>0</v>
      </c>
      <c r="AT350" s="144">
        <f>IF('PV IN'!$F$4="Battery Only",0,-PVCalcs!AQ350*'PV IN'!$E$8)</f>
        <v>0</v>
      </c>
      <c r="AU350" s="144">
        <f>IF('PV IN'!$F$4="PV Only",0,-BattCalcs!CG350*'PV IN'!$E$8)</f>
        <v>0</v>
      </c>
      <c r="AV350" s="144">
        <f>IF('PV IN'!$F$4="PV Only",PVCalcs!Z350+PVCalcs!AA350,IF('PV IN'!$F$4="Battery Only",SUM(BattCalcs!BC350:BH350),PVCalcs!Z350+PVCalcs!AA350+SUM(BattCalcs!BC350:BH350)))</f>
        <v>0</v>
      </c>
      <c r="AW350" s="144">
        <f>IF('PV IN'!$F$4="PV Only",SUM(PVCalcs!AF350:AI350),IF('PV IN'!$F$4="Battery Only",SUM(BattCalcs!BL350:BY350),SUM(PVCalcs!AF350:AI350)+SUM(BattCalcs!BL350:BY350)))</f>
        <v>-1375</v>
      </c>
      <c r="AX350" s="144">
        <f>IF('PV IN'!$F$4="Battery Only",0,-PVLoan!F378)</f>
        <v>0</v>
      </c>
      <c r="AY350" s="144">
        <f>IF('PV IN'!$F$4="PV Only",0,-BattLoan!F378)</f>
        <v>0</v>
      </c>
      <c r="AZ350" s="144">
        <f>IF('PV IN'!$F$4="Battery Only",0,-PVLoan!H378)</f>
        <v>0</v>
      </c>
      <c r="BA350" s="144">
        <f>IF('PV IN'!$F$4="PV Only",0,-BattLoan!H378)</f>
        <v>0</v>
      </c>
    </row>
    <row r="351" spans="1:88" x14ac:dyDescent="0.25">
      <c r="A351" t="str">
        <f>IF(C351&lt;='PV IN'!$O$22*12,C351,"")</f>
        <v/>
      </c>
      <c r="C351">
        <v>347</v>
      </c>
      <c r="D351" s="2">
        <f>BattCalcs!CK351+PVCalcs!AT351</f>
        <v>8539.0489198410633</v>
      </c>
      <c r="E351" s="20">
        <f>PVCalcs!AV351</f>
        <v>2353586.7587256404</v>
      </c>
      <c r="F351" s="20">
        <f>PVCalcs!AW351</f>
        <v>2082.9824148055109</v>
      </c>
      <c r="G351" s="20" t="e">
        <f>PVCalcs!AX351</f>
        <v>#N/A</v>
      </c>
      <c r="H351" s="20">
        <f>BattCalcs!CM351</f>
        <v>0</v>
      </c>
      <c r="I351" s="20">
        <f>BattCalcs!CN351</f>
        <v>0</v>
      </c>
      <c r="J351" s="20" t="e">
        <f>IF(C351&lt;='Batt IN'!H$43*12,BattCalcs!CO351,NA())</f>
        <v>#N/A</v>
      </c>
      <c r="L351" s="20">
        <f t="shared" si="826"/>
        <v>2082.9824148055109</v>
      </c>
      <c r="M351" s="20" t="e">
        <f>G351+BattCalcs!CO351</f>
        <v>#N/A</v>
      </c>
      <c r="O351" s="10" t="str">
        <f>PVLoan!G379</f>
        <v>-</v>
      </c>
      <c r="P351" s="10" t="str">
        <f>PVLoan!J379</f>
        <v>-</v>
      </c>
      <c r="Q351" s="2" t="str">
        <f>BattLoan!G379</f>
        <v>-</v>
      </c>
      <c r="R351" s="10" t="str">
        <f>BattLoan!J379</f>
        <v>-</v>
      </c>
      <c r="T351" s="33">
        <f>IF('PV IN'!$F$4="Battery Only",0,PVCalcs!G351)</f>
        <v>121076.30979796885</v>
      </c>
      <c r="U351" s="33">
        <f>IF('PV IN'!$F$4="Battery Only",0,PVCalcs!M351)</f>
        <v>121076.30979796885</v>
      </c>
      <c r="V351" s="33">
        <f>PVCalcs!L351</f>
        <v>25811.765833333331</v>
      </c>
      <c r="W351" s="158">
        <f>PVCalcs!F351</f>
        <v>7.9497788922557128E-2</v>
      </c>
      <c r="X351" s="144">
        <f>IF('PV IN'!$F$4="Battery Only",0,PVCalcs!Y351+PVCalcs!Z351)</f>
        <v>0</v>
      </c>
      <c r="Y351" s="144">
        <f>IF('PV IN'!$F$4="PV Only",0,BattCalcs!AX351+BattCalcs!BC351)</f>
        <v>0</v>
      </c>
      <c r="Z351" s="144">
        <f>IF('PV IN'!$F$4="PV Only",0,BattCalcs!AY351+BattCalcs!BD351)</f>
        <v>0</v>
      </c>
      <c r="AA351" s="144">
        <f>IF('PV IN'!$F$4="PV Only",0,BattCalcs!AZ351+BattCalcs!BE351)</f>
        <v>0</v>
      </c>
      <c r="AB351" s="144">
        <f>IF('PV IN'!$F$4="PV Only",0,BattCalcs!BA351+BattCalcs!BF351)</f>
        <v>0</v>
      </c>
      <c r="AC351" s="144">
        <f>IF('PV IN'!$F$4="PV Only",0,BattCalcs!BB351+BattCalcs!BG351)</f>
        <v>0</v>
      </c>
      <c r="AD351" s="144">
        <f>IF('PV IN'!$F$4="PV Only",0,BattCalcs!BU351)</f>
        <v>0</v>
      </c>
      <c r="AE351" s="144">
        <f>IF('PV IN'!$F$4="PV Only",PVCalcs!W351+PVCalcs!AA351,IF('PV IN'!$F$4="Battery Only",BattCalcs!AV351+BattCalcs!BH351,PVCalcs!W351+PVCalcs!AA351+BattCalcs!AV351+BattCalcs!BH351))</f>
        <v>0</v>
      </c>
      <c r="AF351" s="10">
        <f>PVCalcs!AC351+BattCalcs!BJ351</f>
        <v>0</v>
      </c>
      <c r="AG351" s="144">
        <f>IF('PV IN'!$F$4="Battery Only",0,PVCalcs!AG351)</f>
        <v>-750</v>
      </c>
      <c r="AH351" s="144">
        <f>IF('PV IN'!$F$4="Battery Only",0,PVCalcs!AI351)</f>
        <v>0</v>
      </c>
      <c r="AI351" s="144">
        <f>IF('PV IN'!$F$4="PV Only",0,BattCalcs!BM351)</f>
        <v>0</v>
      </c>
      <c r="AJ351" s="144">
        <f>IF('PV IN'!$F$4="PV Only",0,SUM(BattCalcs!BO351:BT351))</f>
        <v>0</v>
      </c>
      <c r="AK351" s="144">
        <f>IF('PV IN'!$F$4="PV Only",PVCalcs!AH351,IF('PV IN'!$F$4="Battery Only",BattCalcs!BN351,PVCalcs!AH351+BattCalcs!BN351))</f>
        <v>-625</v>
      </c>
      <c r="AL351" s="144">
        <f>IF('PV IN'!$F$4="PV Only",0,BattCalcs!BV351)</f>
        <v>0</v>
      </c>
      <c r="AM351" s="144">
        <f>IF('PV IN'!$F$4="PV Only",0,SUM(BattCalcs!BW351:BX351))</f>
        <v>0</v>
      </c>
      <c r="AN351" s="144">
        <f>IF('PV IN'!$F$4="PV Only",0,BattCalcs!BY351)</f>
        <v>0</v>
      </c>
      <c r="AO351" s="144">
        <f>IF('PV IN'!$F$4="Battery Only",0,PVCalcs!U351)</f>
        <v>9625.2989198410633</v>
      </c>
      <c r="AP351" s="10">
        <f>IF('PV IN'!$F$4="PV Only",0,BattCalcs!AS351)</f>
        <v>0</v>
      </c>
      <c r="AQ351" s="10">
        <f>IF('PV IN'!$F$4="PV Only",0,BattCalcs!AT351)</f>
        <v>0</v>
      </c>
      <c r="AR351" s="10">
        <f>IF('PV IN'!$F$4="PV Only",0,BattCalcs!AU351)</f>
        <v>0</v>
      </c>
      <c r="AS351" s="144">
        <f>IF('PV IN'!$F$4="PV Only",PVCalcs!X351,IF('PV IN'!$F$4="Battery Only",BattCalcs!AW351,PVCalcs!X351+BattCalcs!AW351))</f>
        <v>0</v>
      </c>
      <c r="AT351" s="144">
        <f>IF('PV IN'!$F$4="Battery Only",0,-PVCalcs!AQ351*'PV IN'!$E$8)</f>
        <v>0</v>
      </c>
      <c r="AU351" s="144">
        <f>IF('PV IN'!$F$4="PV Only",0,-BattCalcs!CG351*'PV IN'!$E$8)</f>
        <v>0</v>
      </c>
      <c r="AV351" s="144">
        <f>IF('PV IN'!$F$4="PV Only",PVCalcs!Z351+PVCalcs!AA351,IF('PV IN'!$F$4="Battery Only",SUM(BattCalcs!BC351:BH351),PVCalcs!Z351+PVCalcs!AA351+SUM(BattCalcs!BC351:BH351)))</f>
        <v>0</v>
      </c>
      <c r="AW351" s="144">
        <f>IF('PV IN'!$F$4="PV Only",SUM(PVCalcs!AF351:AI351),IF('PV IN'!$F$4="Battery Only",SUM(BattCalcs!BL351:BY351),SUM(PVCalcs!AF351:AI351)+SUM(BattCalcs!BL351:BY351)))</f>
        <v>-1375</v>
      </c>
      <c r="AX351" s="144">
        <f>IF('PV IN'!$F$4="Battery Only",0,-PVLoan!F379)</f>
        <v>0</v>
      </c>
      <c r="AY351" s="144">
        <f>IF('PV IN'!$F$4="PV Only",0,-BattLoan!F379)</f>
        <v>0</v>
      </c>
      <c r="AZ351" s="144">
        <f>IF('PV IN'!$F$4="Battery Only",0,-PVLoan!H379)</f>
        <v>0</v>
      </c>
      <c r="BA351" s="144">
        <f>IF('PV IN'!$F$4="PV Only",0,-BattLoan!H379)</f>
        <v>0</v>
      </c>
    </row>
    <row r="352" spans="1:88" x14ac:dyDescent="0.25">
      <c r="A352" t="str">
        <f>IF(C352&lt;='PV IN'!$O$22*12,C352,"")</f>
        <v/>
      </c>
      <c r="B352">
        <f>B340+1</f>
        <v>2054</v>
      </c>
      <c r="C352">
        <v>348</v>
      </c>
      <c r="D352" s="2">
        <f>BattCalcs!CK352+PVCalcs!AT352</f>
        <v>8532.6320538945001</v>
      </c>
      <c r="E352" s="20">
        <f>PVCalcs!AV352</f>
        <v>2362119.3907795348</v>
      </c>
      <c r="F352" s="20">
        <f>PVCalcs!AW352</f>
        <v>2072.9715666967022</v>
      </c>
      <c r="G352" s="20" t="e">
        <f>PVCalcs!AX352</f>
        <v>#N/A</v>
      </c>
      <c r="H352" s="20">
        <f>BattCalcs!CM352</f>
        <v>0</v>
      </c>
      <c r="I352" s="20">
        <f>BattCalcs!CN352</f>
        <v>0</v>
      </c>
      <c r="J352" s="20" t="e">
        <f>IF(C352&lt;='Batt IN'!H$43*12,BattCalcs!CO352,NA())</f>
        <v>#N/A</v>
      </c>
      <c r="L352" s="20">
        <f t="shared" si="826"/>
        <v>2072.9715666967022</v>
      </c>
      <c r="M352" s="20" t="e">
        <f>G352+BattCalcs!CO352</f>
        <v>#N/A</v>
      </c>
      <c r="O352" s="10" t="str">
        <f>PVLoan!G380</f>
        <v>-</v>
      </c>
      <c r="P352" s="10" t="str">
        <f>PVLoan!J380</f>
        <v>-</v>
      </c>
      <c r="Q352" s="2" t="str">
        <f>BattLoan!G380</f>
        <v>-</v>
      </c>
      <c r="R352" s="10" t="str">
        <f>BattLoan!J380</f>
        <v>-</v>
      </c>
      <c r="T352" s="33">
        <f>IF('PV IN'!$F$4="Battery Only",0,PVCalcs!G352)</f>
        <v>120995.59225810351</v>
      </c>
      <c r="U352" s="33">
        <f>IF('PV IN'!$F$4="Battery Only",0,PVCalcs!M352)</f>
        <v>120995.59225810351</v>
      </c>
      <c r="V352" s="33">
        <f>PVCalcs!L352</f>
        <v>25811.765833333331</v>
      </c>
      <c r="W352" s="158">
        <f>PVCalcs!F352</f>
        <v>7.9497788922557128E-2</v>
      </c>
      <c r="X352" s="144">
        <f>IF('PV IN'!$F$4="Battery Only",0,PVCalcs!Y352+PVCalcs!Z352)</f>
        <v>0</v>
      </c>
      <c r="Y352" s="144">
        <f>IF('PV IN'!$F$4="PV Only",0,BattCalcs!AX352+BattCalcs!BC352)</f>
        <v>0</v>
      </c>
      <c r="Z352" s="144">
        <f>IF('PV IN'!$F$4="PV Only",0,BattCalcs!AY352+BattCalcs!BD352)</f>
        <v>0</v>
      </c>
      <c r="AA352" s="144">
        <f>IF('PV IN'!$F$4="PV Only",0,BattCalcs!AZ352+BattCalcs!BE352)</f>
        <v>0</v>
      </c>
      <c r="AB352" s="144">
        <f>IF('PV IN'!$F$4="PV Only",0,BattCalcs!BA352+BattCalcs!BF352)</f>
        <v>0</v>
      </c>
      <c r="AC352" s="144">
        <f>IF('PV IN'!$F$4="PV Only",0,BattCalcs!BB352+BattCalcs!BG352)</f>
        <v>0</v>
      </c>
      <c r="AD352" s="144">
        <f>IF('PV IN'!$F$4="PV Only",0,BattCalcs!BU352)</f>
        <v>0</v>
      </c>
      <c r="AE352" s="144">
        <f>IF('PV IN'!$F$4="PV Only",PVCalcs!W352+PVCalcs!AA352,IF('PV IN'!$F$4="Battery Only",BattCalcs!AV352+BattCalcs!BH352,PVCalcs!W352+PVCalcs!AA352+BattCalcs!AV352+BattCalcs!BH352))</f>
        <v>0</v>
      </c>
      <c r="AF352" s="10">
        <f>PVCalcs!AC352+BattCalcs!BJ352</f>
        <v>0</v>
      </c>
      <c r="AG352" s="144">
        <f>IF('PV IN'!$F$4="Battery Only",0,PVCalcs!AG352)</f>
        <v>-750</v>
      </c>
      <c r="AH352" s="144">
        <f>IF('PV IN'!$F$4="Battery Only",0,PVCalcs!AI352)</f>
        <v>0</v>
      </c>
      <c r="AI352" s="144">
        <f>IF('PV IN'!$F$4="PV Only",0,BattCalcs!BM352)</f>
        <v>0</v>
      </c>
      <c r="AJ352" s="144">
        <f>IF('PV IN'!$F$4="PV Only",0,SUM(BattCalcs!BO352:BT352))</f>
        <v>0</v>
      </c>
      <c r="AK352" s="144">
        <f>IF('PV IN'!$F$4="PV Only",PVCalcs!AH352,IF('PV IN'!$F$4="Battery Only",BattCalcs!BN352,PVCalcs!AH352+BattCalcs!BN352))</f>
        <v>-625</v>
      </c>
      <c r="AL352" s="144">
        <f>IF('PV IN'!$F$4="PV Only",0,BattCalcs!BV352)</f>
        <v>0</v>
      </c>
      <c r="AM352" s="144">
        <f>IF('PV IN'!$F$4="PV Only",0,SUM(BattCalcs!BW352:BX352))</f>
        <v>0</v>
      </c>
      <c r="AN352" s="144">
        <f>IF('PV IN'!$F$4="PV Only",0,BattCalcs!BY352)</f>
        <v>0</v>
      </c>
      <c r="AO352" s="144">
        <f>IF('PV IN'!$F$4="Battery Only",0,PVCalcs!U352)</f>
        <v>9618.8820538945001</v>
      </c>
      <c r="AP352" s="10">
        <f>IF('PV IN'!$F$4="PV Only",0,BattCalcs!AS352)</f>
        <v>0</v>
      </c>
      <c r="AQ352" s="10">
        <f>IF('PV IN'!$F$4="PV Only",0,BattCalcs!AT352)</f>
        <v>0</v>
      </c>
      <c r="AR352" s="10">
        <f>IF('PV IN'!$F$4="PV Only",0,BattCalcs!AU352)</f>
        <v>0</v>
      </c>
      <c r="AS352" s="144">
        <f>IF('PV IN'!$F$4="PV Only",PVCalcs!X352,IF('PV IN'!$F$4="Battery Only",BattCalcs!AW352,PVCalcs!X352+BattCalcs!AW352))</f>
        <v>0</v>
      </c>
      <c r="AT352" s="144">
        <f>IF('PV IN'!$F$4="Battery Only",0,-PVCalcs!AQ352*'PV IN'!$E$8)</f>
        <v>0</v>
      </c>
      <c r="AU352" s="144">
        <f>IF('PV IN'!$F$4="PV Only",0,-BattCalcs!CG352*'PV IN'!$E$8)</f>
        <v>0</v>
      </c>
      <c r="AV352" s="144">
        <f>IF('PV IN'!$F$4="PV Only",PVCalcs!Z352+PVCalcs!AA352,IF('PV IN'!$F$4="Battery Only",SUM(BattCalcs!BC352:BH352),PVCalcs!Z352+PVCalcs!AA352+SUM(BattCalcs!BC352:BH352)))</f>
        <v>0</v>
      </c>
      <c r="AW352" s="144">
        <f>IF('PV IN'!$F$4="PV Only",SUM(PVCalcs!AF352:AI352),IF('PV IN'!$F$4="Battery Only",SUM(BattCalcs!BL352:BY352),SUM(PVCalcs!AF352:AI352)+SUM(BattCalcs!BL352:BY352)))</f>
        <v>-1375</v>
      </c>
      <c r="AX352" s="144">
        <f>IF('PV IN'!$F$4="Battery Only",0,-PVLoan!F380)</f>
        <v>0</v>
      </c>
      <c r="AY352" s="144">
        <f>IF('PV IN'!$F$4="PV Only",0,-BattLoan!F380)</f>
        <v>0</v>
      </c>
      <c r="AZ352" s="144">
        <f>IF('PV IN'!$F$4="Battery Only",0,-PVLoan!H380)</f>
        <v>0</v>
      </c>
      <c r="BA352" s="144">
        <f>IF('PV IN'!$F$4="PV Only",0,-BattLoan!H380)</f>
        <v>0</v>
      </c>
      <c r="BC352" s="33">
        <f t="shared" ref="BC352" si="929">SUM(T341:T352)</f>
        <v>1457286.3289990677</v>
      </c>
      <c r="BD352" s="33">
        <f t="shared" ref="BD352" si="930">SUM(U341:U352)</f>
        <v>1457286.3289990677</v>
      </c>
      <c r="BE352" s="33">
        <f t="shared" ref="BE352" si="931">SUM(V341:V352)</f>
        <v>309741.19</v>
      </c>
      <c r="BF352" s="50">
        <f t="shared" ref="BF352" si="932">W352</f>
        <v>7.9497788922557128E-2</v>
      </c>
      <c r="BG352" s="2">
        <f t="shared" ref="BG352" si="933">SUM(X341:X352)</f>
        <v>0</v>
      </c>
      <c r="BH352" s="2">
        <f t="shared" ref="BH352" si="934">SUM(Y341:Y352)</f>
        <v>0</v>
      </c>
      <c r="BI352" s="2">
        <f t="shared" ref="BI352" si="935">SUM(Z341:Z352)</f>
        <v>0</v>
      </c>
      <c r="BJ352" s="2">
        <f t="shared" ref="BJ352" si="936">SUM(AA341:AA352)</f>
        <v>0</v>
      </c>
      <c r="BK352" s="2">
        <f t="shared" ref="BK352" si="937">SUM(AB341:AB352)</f>
        <v>0</v>
      </c>
      <c r="BL352" s="2">
        <f t="shared" ref="BL352" si="938">SUM(AC341:AC352)</f>
        <v>0</v>
      </c>
      <c r="BM352" s="2">
        <f t="shared" ref="BM352" si="939">SUM(AD341:AD352)</f>
        <v>0</v>
      </c>
      <c r="BN352" s="2">
        <f t="shared" ref="BN352" si="940">SUM(AE341:AE352)</f>
        <v>0</v>
      </c>
      <c r="BO352" s="2">
        <f t="shared" ref="BO352" si="941">SUM(AF341:AF352)</f>
        <v>0</v>
      </c>
      <c r="BP352" s="2">
        <f t="shared" ref="BP352" si="942">SUM(AG341:AG352)</f>
        <v>-9000</v>
      </c>
      <c r="BQ352" s="2">
        <f t="shared" ref="BQ352" si="943">SUM(AH341:AH352)</f>
        <v>0</v>
      </c>
      <c r="BR352" s="2">
        <f t="shared" ref="BR352" si="944">SUM(AI341:AI352)</f>
        <v>0</v>
      </c>
      <c r="BS352" s="2">
        <f t="shared" ref="BS352" si="945">SUM(AJ341:AJ352)</f>
        <v>0</v>
      </c>
      <c r="BT352" s="2">
        <f t="shared" ref="BT352" si="946">SUM(AK341:AK352)</f>
        <v>-7500</v>
      </c>
      <c r="BU352" s="2">
        <f t="shared" ref="BU352" si="947">SUM(AL341:AL352)</f>
        <v>0</v>
      </c>
      <c r="BV352" s="2">
        <f t="shared" ref="BV352" si="948">SUM(AM341:AM352)</f>
        <v>0</v>
      </c>
      <c r="BW352" s="2">
        <f t="shared" ref="BW352" si="949">SUM(AN341:AN352)</f>
        <v>0</v>
      </c>
      <c r="BX352" s="2">
        <f t="shared" ref="BX352" si="950">SUM(AO341:AO352)</f>
        <v>115851.04098249602</v>
      </c>
      <c r="BY352" s="2">
        <f t="shared" ref="BY352" si="951">SUM(AP341:AP352)</f>
        <v>0</v>
      </c>
      <c r="BZ352" s="2">
        <f t="shared" ref="BZ352" si="952">SUM(AQ341:AQ352)</f>
        <v>0</v>
      </c>
      <c r="CA352" s="2">
        <f t="shared" ref="CA352" si="953">SUM(AR341:AR352)</f>
        <v>0</v>
      </c>
      <c r="CB352" s="2">
        <f t="shared" ref="CB352" si="954">SUM(AS341:AS352)</f>
        <v>0</v>
      </c>
      <c r="CC352" s="2">
        <f t="shared" ref="CC352" si="955">SUM(AT341:AT352)</f>
        <v>0</v>
      </c>
      <c r="CD352" s="2">
        <f t="shared" ref="CD352" si="956">SUM(AU341:AU352)</f>
        <v>0</v>
      </c>
      <c r="CE352" s="2">
        <f t="shared" ref="CE352" si="957">SUM(AV341:AV352)</f>
        <v>0</v>
      </c>
      <c r="CF352" s="2">
        <f t="shared" ref="CF352" si="958">SUM(AW341:AW352)</f>
        <v>-16500</v>
      </c>
      <c r="CG352" s="2">
        <f t="shared" ref="CG352" si="959">SUM(AX341:AX352)</f>
        <v>0</v>
      </c>
      <c r="CH352" s="2">
        <f t="shared" ref="CH352" si="960">SUM(AY341:AY352)</f>
        <v>0</v>
      </c>
      <c r="CI352" s="2">
        <f t="shared" ref="CI352" si="961">SUM(AZ341:AZ352)</f>
        <v>0</v>
      </c>
      <c r="CJ352" s="2">
        <f t="shared" ref="CJ352" si="962">SUM(BA341:BA352)</f>
        <v>0</v>
      </c>
    </row>
    <row r="353" spans="1:88" x14ac:dyDescent="0.25">
      <c r="A353" t="str">
        <f>IF(C353&lt;='PV IN'!$O$22*12,C353,"")</f>
        <v/>
      </c>
      <c r="C353">
        <v>349</v>
      </c>
      <c r="D353" s="2">
        <f>BattCalcs!CK353+PVCalcs!AT353</f>
        <v>8453.5174626770604</v>
      </c>
      <c r="E353" s="20">
        <f>PVCalcs!AV353</f>
        <v>2370572.9082422117</v>
      </c>
      <c r="F353" s="20">
        <f>PVCalcs!AW353</f>
        <v>2045.4176829862447</v>
      </c>
      <c r="G353" s="20" t="e">
        <f>PVCalcs!AX353</f>
        <v>#N/A</v>
      </c>
      <c r="H353" s="20">
        <f>BattCalcs!CM353</f>
        <v>0</v>
      </c>
      <c r="I353" s="20">
        <f>BattCalcs!CN353</f>
        <v>0</v>
      </c>
      <c r="J353" s="20" t="e">
        <f>IF(C353&lt;='Batt IN'!H$43*12,BattCalcs!CO353,NA())</f>
        <v>#N/A</v>
      </c>
      <c r="L353" s="20">
        <f t="shared" si="826"/>
        <v>2045.4176829862447</v>
      </c>
      <c r="M353" s="20" t="e">
        <f>G353+BattCalcs!CO353</f>
        <v>#N/A</v>
      </c>
      <c r="O353" s="10" t="str">
        <f>PVLoan!G381</f>
        <v>-</v>
      </c>
      <c r="P353" s="10" t="str">
        <f>PVLoan!J381</f>
        <v>-</v>
      </c>
      <c r="Q353" s="2" t="str">
        <f>BattLoan!G381</f>
        <v>-</v>
      </c>
      <c r="R353" s="10" t="str">
        <f>BattLoan!J381</f>
        <v>-</v>
      </c>
      <c r="T353" s="33">
        <f>IF('PV IN'!$F$4="Battery Only",0,PVCalcs!G353)</f>
        <v>120914.92852993147</v>
      </c>
      <c r="U353" s="33">
        <f>IF('PV IN'!$F$4="Battery Only",0,PVCalcs!M353)</f>
        <v>120914.92852993147</v>
      </c>
      <c r="V353" s="33">
        <f>PVCalcs!L353</f>
        <v>25811.765833333331</v>
      </c>
      <c r="W353" s="158">
        <f>PVCalcs!F353</f>
        <v>7.8896523189157505E-2</v>
      </c>
      <c r="X353" s="144">
        <f>IF('PV IN'!$F$4="Battery Only",0,PVCalcs!Y353+PVCalcs!Z353)</f>
        <v>0</v>
      </c>
      <c r="Y353" s="144">
        <f>IF('PV IN'!$F$4="PV Only",0,BattCalcs!AX353+BattCalcs!BC353)</f>
        <v>0</v>
      </c>
      <c r="Z353" s="144">
        <f>IF('PV IN'!$F$4="PV Only",0,BattCalcs!AY353+BattCalcs!BD353)</f>
        <v>0</v>
      </c>
      <c r="AA353" s="144">
        <f>IF('PV IN'!$F$4="PV Only",0,BattCalcs!AZ353+BattCalcs!BE353)</f>
        <v>0</v>
      </c>
      <c r="AB353" s="144">
        <f>IF('PV IN'!$F$4="PV Only",0,BattCalcs!BA353+BattCalcs!BF353)</f>
        <v>0</v>
      </c>
      <c r="AC353" s="144">
        <f>IF('PV IN'!$F$4="PV Only",0,BattCalcs!BB353+BattCalcs!BG353)</f>
        <v>0</v>
      </c>
      <c r="AD353" s="144">
        <f>IF('PV IN'!$F$4="PV Only",0,BattCalcs!BU353)</f>
        <v>0</v>
      </c>
      <c r="AE353" s="144">
        <f>IF('PV IN'!$F$4="PV Only",PVCalcs!W353+PVCalcs!AA353,IF('PV IN'!$F$4="Battery Only",BattCalcs!AV353+BattCalcs!BH353,PVCalcs!W353+PVCalcs!AA353+BattCalcs!AV353+BattCalcs!BH353))</f>
        <v>0</v>
      </c>
      <c r="AF353" s="10">
        <f>PVCalcs!AC353+BattCalcs!BJ353</f>
        <v>0</v>
      </c>
      <c r="AG353" s="144">
        <f>IF('PV IN'!$F$4="Battery Only",0,PVCalcs!AG353)</f>
        <v>-750</v>
      </c>
      <c r="AH353" s="144">
        <f>IF('PV IN'!$F$4="Battery Only",0,PVCalcs!AI353)</f>
        <v>0</v>
      </c>
      <c r="AI353" s="144">
        <f>IF('PV IN'!$F$4="PV Only",0,BattCalcs!BM353)</f>
        <v>0</v>
      </c>
      <c r="AJ353" s="144">
        <f>IF('PV IN'!$F$4="PV Only",0,SUM(BattCalcs!BO353:BT353))</f>
        <v>0</v>
      </c>
      <c r="AK353" s="144">
        <f>IF('PV IN'!$F$4="PV Only",PVCalcs!AH353,IF('PV IN'!$F$4="Battery Only",BattCalcs!BN353,PVCalcs!AH353+BattCalcs!BN353))</f>
        <v>-625</v>
      </c>
      <c r="AL353" s="144">
        <f>IF('PV IN'!$F$4="PV Only",0,BattCalcs!BV353)</f>
        <v>0</v>
      </c>
      <c r="AM353" s="144">
        <f>IF('PV IN'!$F$4="PV Only",0,SUM(BattCalcs!BW353:BX353))</f>
        <v>0</v>
      </c>
      <c r="AN353" s="144">
        <f>IF('PV IN'!$F$4="PV Only",0,BattCalcs!BY353)</f>
        <v>0</v>
      </c>
      <c r="AO353" s="144">
        <f>IF('PV IN'!$F$4="Battery Only",0,PVCalcs!U353)</f>
        <v>9539.7674626770604</v>
      </c>
      <c r="AP353" s="10">
        <f>IF('PV IN'!$F$4="PV Only",0,BattCalcs!AS353)</f>
        <v>0</v>
      </c>
      <c r="AQ353" s="10">
        <f>IF('PV IN'!$F$4="PV Only",0,BattCalcs!AT353)</f>
        <v>0</v>
      </c>
      <c r="AR353" s="10">
        <f>IF('PV IN'!$F$4="PV Only",0,BattCalcs!AU353)</f>
        <v>0</v>
      </c>
      <c r="AS353" s="144">
        <f>IF('PV IN'!$F$4="PV Only",PVCalcs!X353,IF('PV IN'!$F$4="Battery Only",BattCalcs!AW353,PVCalcs!X353+BattCalcs!AW353))</f>
        <v>0</v>
      </c>
      <c r="AT353" s="144">
        <f>IF('PV IN'!$F$4="Battery Only",0,-PVCalcs!AQ353*'PV IN'!$E$8)</f>
        <v>0</v>
      </c>
      <c r="AU353" s="144">
        <f>IF('PV IN'!$F$4="PV Only",0,-BattCalcs!CG353*'PV IN'!$E$8)</f>
        <v>0</v>
      </c>
      <c r="AV353" s="144">
        <f>IF('PV IN'!$F$4="PV Only",PVCalcs!Z353+PVCalcs!AA353,IF('PV IN'!$F$4="Battery Only",SUM(BattCalcs!BC353:BH353),PVCalcs!Z353+PVCalcs!AA353+SUM(BattCalcs!BC353:BH353)))</f>
        <v>0</v>
      </c>
      <c r="AW353" s="144">
        <f>IF('PV IN'!$F$4="PV Only",SUM(PVCalcs!AF353:AI353),IF('PV IN'!$F$4="Battery Only",SUM(BattCalcs!BL353:BY353),SUM(PVCalcs!AF353:AI353)+SUM(BattCalcs!BL353:BY353)))</f>
        <v>-1375</v>
      </c>
      <c r="AX353" s="144">
        <f>IF('PV IN'!$F$4="Battery Only",0,-PVLoan!F381)</f>
        <v>0</v>
      </c>
      <c r="AY353" s="144">
        <f>IF('PV IN'!$F$4="PV Only",0,-BattLoan!F381)</f>
        <v>0</v>
      </c>
      <c r="AZ353" s="144">
        <f>IF('PV IN'!$F$4="Battery Only",0,-PVLoan!H381)</f>
        <v>0</v>
      </c>
      <c r="BA353" s="144">
        <f>IF('PV IN'!$F$4="PV Only",0,-BattLoan!H381)</f>
        <v>0</v>
      </c>
    </row>
    <row r="354" spans="1:88" x14ac:dyDescent="0.25">
      <c r="A354" t="str">
        <f>IF(C354&lt;='PV IN'!$O$22*12,C354,"")</f>
        <v/>
      </c>
      <c r="C354">
        <v>350</v>
      </c>
      <c r="D354" s="2">
        <f>BattCalcs!CK354+PVCalcs!AT354</f>
        <v>8447.1576177019415</v>
      </c>
      <c r="E354" s="20">
        <f>PVCalcs!AV354</f>
        <v>2379020.0658599138</v>
      </c>
      <c r="F354" s="20">
        <f>PVCalcs!AW354</f>
        <v>2035.5856236341581</v>
      </c>
      <c r="G354" s="20" t="e">
        <f>PVCalcs!AX354</f>
        <v>#N/A</v>
      </c>
      <c r="H354" s="20">
        <f>BattCalcs!CM354</f>
        <v>0</v>
      </c>
      <c r="I354" s="20">
        <f>BattCalcs!CN354</f>
        <v>0</v>
      </c>
      <c r="J354" s="20" t="e">
        <f>IF(C354&lt;='Batt IN'!H$43*12,BattCalcs!CO354,NA())</f>
        <v>#N/A</v>
      </c>
      <c r="L354" s="20">
        <f t="shared" si="826"/>
        <v>2035.5856236341581</v>
      </c>
      <c r="M354" s="20" t="e">
        <f>G354+BattCalcs!CO354</f>
        <v>#N/A</v>
      </c>
      <c r="O354" s="10" t="str">
        <f>PVLoan!G382</f>
        <v>-</v>
      </c>
      <c r="P354" s="10" t="str">
        <f>PVLoan!J382</f>
        <v>-</v>
      </c>
      <c r="Q354" s="2" t="str">
        <f>BattLoan!G382</f>
        <v>-</v>
      </c>
      <c r="R354" s="10" t="str">
        <f>BattLoan!J382</f>
        <v>-</v>
      </c>
      <c r="T354" s="33">
        <f>IF('PV IN'!$F$4="Battery Only",0,PVCalcs!G354)</f>
        <v>120834.31857757816</v>
      </c>
      <c r="U354" s="33">
        <f>IF('PV IN'!$F$4="Battery Only",0,PVCalcs!M354)</f>
        <v>120834.31857757816</v>
      </c>
      <c r="V354" s="33">
        <f>PVCalcs!L354</f>
        <v>25811.765833333331</v>
      </c>
      <c r="W354" s="158">
        <f>PVCalcs!F354</f>
        <v>7.8896523189157505E-2</v>
      </c>
      <c r="X354" s="144">
        <f>IF('PV IN'!$F$4="Battery Only",0,PVCalcs!Y354+PVCalcs!Z354)</f>
        <v>0</v>
      </c>
      <c r="Y354" s="144">
        <f>IF('PV IN'!$F$4="PV Only",0,BattCalcs!AX354+BattCalcs!BC354)</f>
        <v>0</v>
      </c>
      <c r="Z354" s="144">
        <f>IF('PV IN'!$F$4="PV Only",0,BattCalcs!AY354+BattCalcs!BD354)</f>
        <v>0</v>
      </c>
      <c r="AA354" s="144">
        <f>IF('PV IN'!$F$4="PV Only",0,BattCalcs!AZ354+BattCalcs!BE354)</f>
        <v>0</v>
      </c>
      <c r="AB354" s="144">
        <f>IF('PV IN'!$F$4="PV Only",0,BattCalcs!BA354+BattCalcs!BF354)</f>
        <v>0</v>
      </c>
      <c r="AC354" s="144">
        <f>IF('PV IN'!$F$4="PV Only",0,BattCalcs!BB354+BattCalcs!BG354)</f>
        <v>0</v>
      </c>
      <c r="AD354" s="144">
        <f>IF('PV IN'!$F$4="PV Only",0,BattCalcs!BU354)</f>
        <v>0</v>
      </c>
      <c r="AE354" s="144">
        <f>IF('PV IN'!$F$4="PV Only",PVCalcs!W354+PVCalcs!AA354,IF('PV IN'!$F$4="Battery Only",BattCalcs!AV354+BattCalcs!BH354,PVCalcs!W354+PVCalcs!AA354+BattCalcs!AV354+BattCalcs!BH354))</f>
        <v>0</v>
      </c>
      <c r="AF354" s="10">
        <f>PVCalcs!AC354+BattCalcs!BJ354</f>
        <v>0</v>
      </c>
      <c r="AG354" s="144">
        <f>IF('PV IN'!$F$4="Battery Only",0,PVCalcs!AG354)</f>
        <v>-750</v>
      </c>
      <c r="AH354" s="144">
        <f>IF('PV IN'!$F$4="Battery Only",0,PVCalcs!AI354)</f>
        <v>0</v>
      </c>
      <c r="AI354" s="144">
        <f>IF('PV IN'!$F$4="PV Only",0,BattCalcs!BM354)</f>
        <v>0</v>
      </c>
      <c r="AJ354" s="144">
        <f>IF('PV IN'!$F$4="PV Only",0,SUM(BattCalcs!BO354:BT354))</f>
        <v>0</v>
      </c>
      <c r="AK354" s="144">
        <f>IF('PV IN'!$F$4="PV Only",PVCalcs!AH354,IF('PV IN'!$F$4="Battery Only",BattCalcs!BN354,PVCalcs!AH354+BattCalcs!BN354))</f>
        <v>-625</v>
      </c>
      <c r="AL354" s="144">
        <f>IF('PV IN'!$F$4="PV Only",0,BattCalcs!BV354)</f>
        <v>0</v>
      </c>
      <c r="AM354" s="144">
        <f>IF('PV IN'!$F$4="PV Only",0,SUM(BattCalcs!BW354:BX354))</f>
        <v>0</v>
      </c>
      <c r="AN354" s="144">
        <f>IF('PV IN'!$F$4="PV Only",0,BattCalcs!BY354)</f>
        <v>0</v>
      </c>
      <c r="AO354" s="144">
        <f>IF('PV IN'!$F$4="Battery Only",0,PVCalcs!U354)</f>
        <v>9533.4076177019415</v>
      </c>
      <c r="AP354" s="10">
        <f>IF('PV IN'!$F$4="PV Only",0,BattCalcs!AS354)</f>
        <v>0</v>
      </c>
      <c r="AQ354" s="10">
        <f>IF('PV IN'!$F$4="PV Only",0,BattCalcs!AT354)</f>
        <v>0</v>
      </c>
      <c r="AR354" s="10">
        <f>IF('PV IN'!$F$4="PV Only",0,BattCalcs!AU354)</f>
        <v>0</v>
      </c>
      <c r="AS354" s="144">
        <f>IF('PV IN'!$F$4="PV Only",PVCalcs!X354,IF('PV IN'!$F$4="Battery Only",BattCalcs!AW354,PVCalcs!X354+BattCalcs!AW354))</f>
        <v>0</v>
      </c>
      <c r="AT354" s="144">
        <f>IF('PV IN'!$F$4="Battery Only",0,-PVCalcs!AQ354*'PV IN'!$E$8)</f>
        <v>0</v>
      </c>
      <c r="AU354" s="144">
        <f>IF('PV IN'!$F$4="PV Only",0,-BattCalcs!CG354*'PV IN'!$E$8)</f>
        <v>0</v>
      </c>
      <c r="AV354" s="144">
        <f>IF('PV IN'!$F$4="PV Only",PVCalcs!Z354+PVCalcs!AA354,IF('PV IN'!$F$4="Battery Only",SUM(BattCalcs!BC354:BH354),PVCalcs!Z354+PVCalcs!AA354+SUM(BattCalcs!BC354:BH354)))</f>
        <v>0</v>
      </c>
      <c r="AW354" s="144">
        <f>IF('PV IN'!$F$4="PV Only",SUM(PVCalcs!AF354:AI354),IF('PV IN'!$F$4="Battery Only",SUM(BattCalcs!BL354:BY354),SUM(PVCalcs!AF354:AI354)+SUM(BattCalcs!BL354:BY354)))</f>
        <v>-1375</v>
      </c>
      <c r="AX354" s="144">
        <f>IF('PV IN'!$F$4="Battery Only",0,-PVLoan!F382)</f>
        <v>0</v>
      </c>
      <c r="AY354" s="144">
        <f>IF('PV IN'!$F$4="PV Only",0,-BattLoan!F382)</f>
        <v>0</v>
      </c>
      <c r="AZ354" s="144">
        <f>IF('PV IN'!$F$4="Battery Only",0,-PVLoan!H382)</f>
        <v>0</v>
      </c>
      <c r="BA354" s="144">
        <f>IF('PV IN'!$F$4="PV Only",0,-BattLoan!H382)</f>
        <v>0</v>
      </c>
    </row>
    <row r="355" spans="1:88" x14ac:dyDescent="0.25">
      <c r="A355" t="str">
        <f>IF(C355&lt;='PV IN'!$O$22*12,C355,"")</f>
        <v/>
      </c>
      <c r="C355">
        <v>351</v>
      </c>
      <c r="D355" s="2">
        <f>BattCalcs!CK355+PVCalcs!AT355</f>
        <v>8440.8020126234715</v>
      </c>
      <c r="E355" s="20">
        <f>PVCalcs!AV355</f>
        <v>2387460.8678725371</v>
      </c>
      <c r="F355" s="20">
        <f>PVCalcs!AW355</f>
        <v>2025.8006949693131</v>
      </c>
      <c r="G355" s="20" t="e">
        <f>PVCalcs!AX355</f>
        <v>#N/A</v>
      </c>
      <c r="H355" s="20">
        <f>BattCalcs!CM355</f>
        <v>0</v>
      </c>
      <c r="I355" s="20">
        <f>BattCalcs!CN355</f>
        <v>0</v>
      </c>
      <c r="J355" s="20" t="e">
        <f>IF(C355&lt;='Batt IN'!H$43*12,BattCalcs!CO355,NA())</f>
        <v>#N/A</v>
      </c>
      <c r="L355" s="20">
        <f t="shared" si="826"/>
        <v>2025.8006949693131</v>
      </c>
      <c r="M355" s="20" t="e">
        <f>G355+BattCalcs!CO355</f>
        <v>#N/A</v>
      </c>
      <c r="O355" s="10" t="str">
        <f>PVLoan!G383</f>
        <v>-</v>
      </c>
      <c r="P355" s="10" t="str">
        <f>PVLoan!J383</f>
        <v>-</v>
      </c>
      <c r="Q355" s="2" t="str">
        <f>BattLoan!G383</f>
        <v>-</v>
      </c>
      <c r="R355" s="10" t="str">
        <f>BattLoan!J383</f>
        <v>-</v>
      </c>
      <c r="T355" s="33">
        <f>IF('PV IN'!$F$4="Battery Only",0,PVCalcs!G355)</f>
        <v>120753.76236519309</v>
      </c>
      <c r="U355" s="33">
        <f>IF('PV IN'!$F$4="Battery Only",0,PVCalcs!M355)</f>
        <v>120753.76236519309</v>
      </c>
      <c r="V355" s="33">
        <f>PVCalcs!L355</f>
        <v>25811.765833333331</v>
      </c>
      <c r="W355" s="158">
        <f>PVCalcs!F355</f>
        <v>7.8896523189157505E-2</v>
      </c>
      <c r="X355" s="144">
        <f>IF('PV IN'!$F$4="Battery Only",0,PVCalcs!Y355+PVCalcs!Z355)</f>
        <v>0</v>
      </c>
      <c r="Y355" s="144">
        <f>IF('PV IN'!$F$4="PV Only",0,BattCalcs!AX355+BattCalcs!BC355)</f>
        <v>0</v>
      </c>
      <c r="Z355" s="144">
        <f>IF('PV IN'!$F$4="PV Only",0,BattCalcs!AY355+BattCalcs!BD355)</f>
        <v>0</v>
      </c>
      <c r="AA355" s="144">
        <f>IF('PV IN'!$F$4="PV Only",0,BattCalcs!AZ355+BattCalcs!BE355)</f>
        <v>0</v>
      </c>
      <c r="AB355" s="144">
        <f>IF('PV IN'!$F$4="PV Only",0,BattCalcs!BA355+BattCalcs!BF355)</f>
        <v>0</v>
      </c>
      <c r="AC355" s="144">
        <f>IF('PV IN'!$F$4="PV Only",0,BattCalcs!BB355+BattCalcs!BG355)</f>
        <v>0</v>
      </c>
      <c r="AD355" s="144">
        <f>IF('PV IN'!$F$4="PV Only",0,BattCalcs!BU355)</f>
        <v>0</v>
      </c>
      <c r="AE355" s="144">
        <f>IF('PV IN'!$F$4="PV Only",PVCalcs!W355+PVCalcs!AA355,IF('PV IN'!$F$4="Battery Only",BattCalcs!AV355+BattCalcs!BH355,PVCalcs!W355+PVCalcs!AA355+BattCalcs!AV355+BattCalcs!BH355))</f>
        <v>0</v>
      </c>
      <c r="AF355" s="10">
        <f>PVCalcs!AC355+BattCalcs!BJ355</f>
        <v>0</v>
      </c>
      <c r="AG355" s="144">
        <f>IF('PV IN'!$F$4="Battery Only",0,PVCalcs!AG355)</f>
        <v>-750</v>
      </c>
      <c r="AH355" s="144">
        <f>IF('PV IN'!$F$4="Battery Only",0,PVCalcs!AI355)</f>
        <v>0</v>
      </c>
      <c r="AI355" s="144">
        <f>IF('PV IN'!$F$4="PV Only",0,BattCalcs!BM355)</f>
        <v>0</v>
      </c>
      <c r="AJ355" s="144">
        <f>IF('PV IN'!$F$4="PV Only",0,SUM(BattCalcs!BO355:BT355))</f>
        <v>0</v>
      </c>
      <c r="AK355" s="144">
        <f>IF('PV IN'!$F$4="PV Only",PVCalcs!AH355,IF('PV IN'!$F$4="Battery Only",BattCalcs!BN355,PVCalcs!AH355+BattCalcs!BN355))</f>
        <v>-625</v>
      </c>
      <c r="AL355" s="144">
        <f>IF('PV IN'!$F$4="PV Only",0,BattCalcs!BV355)</f>
        <v>0</v>
      </c>
      <c r="AM355" s="144">
        <f>IF('PV IN'!$F$4="PV Only",0,SUM(BattCalcs!BW355:BX355))</f>
        <v>0</v>
      </c>
      <c r="AN355" s="144">
        <f>IF('PV IN'!$F$4="PV Only",0,BattCalcs!BY355)</f>
        <v>0</v>
      </c>
      <c r="AO355" s="144">
        <f>IF('PV IN'!$F$4="Battery Only",0,PVCalcs!U355)</f>
        <v>9527.0520126234715</v>
      </c>
      <c r="AP355" s="10">
        <f>IF('PV IN'!$F$4="PV Only",0,BattCalcs!AS355)</f>
        <v>0</v>
      </c>
      <c r="AQ355" s="10">
        <f>IF('PV IN'!$F$4="PV Only",0,BattCalcs!AT355)</f>
        <v>0</v>
      </c>
      <c r="AR355" s="10">
        <f>IF('PV IN'!$F$4="PV Only",0,BattCalcs!AU355)</f>
        <v>0</v>
      </c>
      <c r="AS355" s="144">
        <f>IF('PV IN'!$F$4="PV Only",PVCalcs!X355,IF('PV IN'!$F$4="Battery Only",BattCalcs!AW355,PVCalcs!X355+BattCalcs!AW355))</f>
        <v>0</v>
      </c>
      <c r="AT355" s="144">
        <f>IF('PV IN'!$F$4="Battery Only",0,-PVCalcs!AQ355*'PV IN'!$E$8)</f>
        <v>0</v>
      </c>
      <c r="AU355" s="144">
        <f>IF('PV IN'!$F$4="PV Only",0,-BattCalcs!CG355*'PV IN'!$E$8)</f>
        <v>0</v>
      </c>
      <c r="AV355" s="144">
        <f>IF('PV IN'!$F$4="PV Only",PVCalcs!Z355+PVCalcs!AA355,IF('PV IN'!$F$4="Battery Only",SUM(BattCalcs!BC355:BH355),PVCalcs!Z355+PVCalcs!AA355+SUM(BattCalcs!BC355:BH355)))</f>
        <v>0</v>
      </c>
      <c r="AW355" s="144">
        <f>IF('PV IN'!$F$4="PV Only",SUM(PVCalcs!AF355:AI355),IF('PV IN'!$F$4="Battery Only",SUM(BattCalcs!BL355:BY355),SUM(PVCalcs!AF355:AI355)+SUM(BattCalcs!BL355:BY355)))</f>
        <v>-1375</v>
      </c>
      <c r="AX355" s="144">
        <f>IF('PV IN'!$F$4="Battery Only",0,-PVLoan!F383)</f>
        <v>0</v>
      </c>
      <c r="AY355" s="144">
        <f>IF('PV IN'!$F$4="PV Only",0,-BattLoan!F383)</f>
        <v>0</v>
      </c>
      <c r="AZ355" s="144">
        <f>IF('PV IN'!$F$4="Battery Only",0,-PVLoan!H383)</f>
        <v>0</v>
      </c>
      <c r="BA355" s="144">
        <f>IF('PV IN'!$F$4="PV Only",0,-BattLoan!H383)</f>
        <v>0</v>
      </c>
    </row>
    <row r="356" spans="1:88" x14ac:dyDescent="0.25">
      <c r="A356" t="str">
        <f>IF(C356&lt;='PV IN'!$O$22*12,C356,"")</f>
        <v/>
      </c>
      <c r="C356">
        <v>352</v>
      </c>
      <c r="D356" s="2">
        <f>BattCalcs!CK356+PVCalcs!AT356</f>
        <v>8434.4506446150572</v>
      </c>
      <c r="E356" s="20">
        <f>PVCalcs!AV356</f>
        <v>2395895.3185171522</v>
      </c>
      <c r="F356" s="20">
        <f>PVCalcs!AW356</f>
        <v>2016.0626715884914</v>
      </c>
      <c r="G356" s="20" t="e">
        <f>PVCalcs!AX356</f>
        <v>#N/A</v>
      </c>
      <c r="H356" s="20">
        <f>BattCalcs!CM356</f>
        <v>0</v>
      </c>
      <c r="I356" s="20">
        <f>BattCalcs!CN356</f>
        <v>0</v>
      </c>
      <c r="J356" s="20" t="e">
        <f>IF(C356&lt;='Batt IN'!H$43*12,BattCalcs!CO356,NA())</f>
        <v>#N/A</v>
      </c>
      <c r="L356" s="20">
        <f t="shared" si="826"/>
        <v>2016.0626715884914</v>
      </c>
      <c r="M356" s="20" t="e">
        <f>G356+BattCalcs!CO356</f>
        <v>#N/A</v>
      </c>
      <c r="O356" s="10" t="str">
        <f>PVLoan!G384</f>
        <v>-</v>
      </c>
      <c r="P356" s="10" t="str">
        <f>PVLoan!J384</f>
        <v>-</v>
      </c>
      <c r="Q356" s="2" t="str">
        <f>BattLoan!G384</f>
        <v>-</v>
      </c>
      <c r="R356" s="10" t="str">
        <f>BattLoan!J384</f>
        <v>-</v>
      </c>
      <c r="T356" s="33">
        <f>IF('PV IN'!$F$4="Battery Only",0,PVCalcs!G356)</f>
        <v>120673.25985694965</v>
      </c>
      <c r="U356" s="33">
        <f>IF('PV IN'!$F$4="Battery Only",0,PVCalcs!M356)</f>
        <v>120673.25985694965</v>
      </c>
      <c r="V356" s="33">
        <f>PVCalcs!L356</f>
        <v>25811.765833333331</v>
      </c>
      <c r="W356" s="158">
        <f>PVCalcs!F356</f>
        <v>7.8896523189157505E-2</v>
      </c>
      <c r="X356" s="144">
        <f>IF('PV IN'!$F$4="Battery Only",0,PVCalcs!Y356+PVCalcs!Z356)</f>
        <v>0</v>
      </c>
      <c r="Y356" s="144">
        <f>IF('PV IN'!$F$4="PV Only",0,BattCalcs!AX356+BattCalcs!BC356)</f>
        <v>0</v>
      </c>
      <c r="Z356" s="144">
        <f>IF('PV IN'!$F$4="PV Only",0,BattCalcs!AY356+BattCalcs!BD356)</f>
        <v>0</v>
      </c>
      <c r="AA356" s="144">
        <f>IF('PV IN'!$F$4="PV Only",0,BattCalcs!AZ356+BattCalcs!BE356)</f>
        <v>0</v>
      </c>
      <c r="AB356" s="144">
        <f>IF('PV IN'!$F$4="PV Only",0,BattCalcs!BA356+BattCalcs!BF356)</f>
        <v>0</v>
      </c>
      <c r="AC356" s="144">
        <f>IF('PV IN'!$F$4="PV Only",0,BattCalcs!BB356+BattCalcs!BG356)</f>
        <v>0</v>
      </c>
      <c r="AD356" s="144">
        <f>IF('PV IN'!$F$4="PV Only",0,BattCalcs!BU356)</f>
        <v>0</v>
      </c>
      <c r="AE356" s="144">
        <f>IF('PV IN'!$F$4="PV Only",PVCalcs!W356+PVCalcs!AA356,IF('PV IN'!$F$4="Battery Only",BattCalcs!AV356+BattCalcs!BH356,PVCalcs!W356+PVCalcs!AA356+BattCalcs!AV356+BattCalcs!BH356))</f>
        <v>0</v>
      </c>
      <c r="AF356" s="10">
        <f>PVCalcs!AC356+BattCalcs!BJ356</f>
        <v>0</v>
      </c>
      <c r="AG356" s="144">
        <f>IF('PV IN'!$F$4="Battery Only",0,PVCalcs!AG356)</f>
        <v>-750</v>
      </c>
      <c r="AH356" s="144">
        <f>IF('PV IN'!$F$4="Battery Only",0,PVCalcs!AI356)</f>
        <v>0</v>
      </c>
      <c r="AI356" s="144">
        <f>IF('PV IN'!$F$4="PV Only",0,BattCalcs!BM356)</f>
        <v>0</v>
      </c>
      <c r="AJ356" s="144">
        <f>IF('PV IN'!$F$4="PV Only",0,SUM(BattCalcs!BO356:BT356))</f>
        <v>0</v>
      </c>
      <c r="AK356" s="144">
        <f>IF('PV IN'!$F$4="PV Only",PVCalcs!AH356,IF('PV IN'!$F$4="Battery Only",BattCalcs!BN356,PVCalcs!AH356+BattCalcs!BN356))</f>
        <v>-625</v>
      </c>
      <c r="AL356" s="144">
        <f>IF('PV IN'!$F$4="PV Only",0,BattCalcs!BV356)</f>
        <v>0</v>
      </c>
      <c r="AM356" s="144">
        <f>IF('PV IN'!$F$4="PV Only",0,SUM(BattCalcs!BW356:BX356))</f>
        <v>0</v>
      </c>
      <c r="AN356" s="144">
        <f>IF('PV IN'!$F$4="PV Only",0,BattCalcs!BY356)</f>
        <v>0</v>
      </c>
      <c r="AO356" s="144">
        <f>IF('PV IN'!$F$4="Battery Only",0,PVCalcs!U356)</f>
        <v>9520.7006446150572</v>
      </c>
      <c r="AP356" s="10">
        <f>IF('PV IN'!$F$4="PV Only",0,BattCalcs!AS356)</f>
        <v>0</v>
      </c>
      <c r="AQ356" s="10">
        <f>IF('PV IN'!$F$4="PV Only",0,BattCalcs!AT356)</f>
        <v>0</v>
      </c>
      <c r="AR356" s="10">
        <f>IF('PV IN'!$F$4="PV Only",0,BattCalcs!AU356)</f>
        <v>0</v>
      </c>
      <c r="AS356" s="144">
        <f>IF('PV IN'!$F$4="PV Only",PVCalcs!X356,IF('PV IN'!$F$4="Battery Only",BattCalcs!AW356,PVCalcs!X356+BattCalcs!AW356))</f>
        <v>0</v>
      </c>
      <c r="AT356" s="144">
        <f>IF('PV IN'!$F$4="Battery Only",0,-PVCalcs!AQ356*'PV IN'!$E$8)</f>
        <v>0</v>
      </c>
      <c r="AU356" s="144">
        <f>IF('PV IN'!$F$4="PV Only",0,-BattCalcs!CG356*'PV IN'!$E$8)</f>
        <v>0</v>
      </c>
      <c r="AV356" s="144">
        <f>IF('PV IN'!$F$4="PV Only",PVCalcs!Z356+PVCalcs!AA356,IF('PV IN'!$F$4="Battery Only",SUM(BattCalcs!BC356:BH356),PVCalcs!Z356+PVCalcs!AA356+SUM(BattCalcs!BC356:BH356)))</f>
        <v>0</v>
      </c>
      <c r="AW356" s="144">
        <f>IF('PV IN'!$F$4="PV Only",SUM(PVCalcs!AF356:AI356),IF('PV IN'!$F$4="Battery Only",SUM(BattCalcs!BL356:BY356),SUM(PVCalcs!AF356:AI356)+SUM(BattCalcs!BL356:BY356)))</f>
        <v>-1375</v>
      </c>
      <c r="AX356" s="144">
        <f>IF('PV IN'!$F$4="Battery Only",0,-PVLoan!F384)</f>
        <v>0</v>
      </c>
      <c r="AY356" s="144">
        <f>IF('PV IN'!$F$4="PV Only",0,-BattLoan!F384)</f>
        <v>0</v>
      </c>
      <c r="AZ356" s="144">
        <f>IF('PV IN'!$F$4="Battery Only",0,-PVLoan!H384)</f>
        <v>0</v>
      </c>
      <c r="BA356" s="144">
        <f>IF('PV IN'!$F$4="PV Only",0,-BattLoan!H384)</f>
        <v>0</v>
      </c>
    </row>
    <row r="357" spans="1:88" x14ac:dyDescent="0.25">
      <c r="A357" t="str">
        <f>IF(C357&lt;='PV IN'!$O$22*12,C357,"")</f>
        <v/>
      </c>
      <c r="C357">
        <v>353</v>
      </c>
      <c r="D357" s="2">
        <f>BattCalcs!CK357+PVCalcs!AT357</f>
        <v>8428.1035108519791</v>
      </c>
      <c r="E357" s="20">
        <f>PVCalcs!AV357</f>
        <v>2404323.4220280042</v>
      </c>
      <c r="F357" s="20">
        <f>PVCalcs!AW357</f>
        <v>2006.3713291643826</v>
      </c>
      <c r="G357" s="20" t="e">
        <f>PVCalcs!AX357</f>
        <v>#N/A</v>
      </c>
      <c r="H357" s="20">
        <f>BattCalcs!CM357</f>
        <v>0</v>
      </c>
      <c r="I357" s="20">
        <f>BattCalcs!CN357</f>
        <v>0</v>
      </c>
      <c r="J357" s="20" t="e">
        <f>IF(C357&lt;='Batt IN'!H$43*12,BattCalcs!CO357,NA())</f>
        <v>#N/A</v>
      </c>
      <c r="L357" s="20">
        <f t="shared" si="826"/>
        <v>2006.3713291643826</v>
      </c>
      <c r="M357" s="20" t="e">
        <f>G357+BattCalcs!CO357</f>
        <v>#N/A</v>
      </c>
      <c r="O357" s="10" t="str">
        <f>PVLoan!G385</f>
        <v>-</v>
      </c>
      <c r="P357" s="10" t="str">
        <f>PVLoan!J385</f>
        <v>-</v>
      </c>
      <c r="Q357" s="2" t="str">
        <f>BattLoan!G385</f>
        <v>-</v>
      </c>
      <c r="R357" s="10" t="str">
        <f>BattLoan!J385</f>
        <v>-</v>
      </c>
      <c r="T357" s="33">
        <f>IF('PV IN'!$F$4="Battery Only",0,PVCalcs!G357)</f>
        <v>120592.81101704499</v>
      </c>
      <c r="U357" s="33">
        <f>IF('PV IN'!$F$4="Battery Only",0,PVCalcs!M357)</f>
        <v>120592.81101704499</v>
      </c>
      <c r="V357" s="33">
        <f>PVCalcs!L357</f>
        <v>25811.765833333331</v>
      </c>
      <c r="W357" s="158">
        <f>PVCalcs!F357</f>
        <v>7.8896523189157505E-2</v>
      </c>
      <c r="X357" s="144">
        <f>IF('PV IN'!$F$4="Battery Only",0,PVCalcs!Y357+PVCalcs!Z357)</f>
        <v>0</v>
      </c>
      <c r="Y357" s="144">
        <f>IF('PV IN'!$F$4="PV Only",0,BattCalcs!AX357+BattCalcs!BC357)</f>
        <v>0</v>
      </c>
      <c r="Z357" s="144">
        <f>IF('PV IN'!$F$4="PV Only",0,BattCalcs!AY357+BattCalcs!BD357)</f>
        <v>0</v>
      </c>
      <c r="AA357" s="144">
        <f>IF('PV IN'!$F$4="PV Only",0,BattCalcs!AZ357+BattCalcs!BE357)</f>
        <v>0</v>
      </c>
      <c r="AB357" s="144">
        <f>IF('PV IN'!$F$4="PV Only",0,BattCalcs!BA357+BattCalcs!BF357)</f>
        <v>0</v>
      </c>
      <c r="AC357" s="144">
        <f>IF('PV IN'!$F$4="PV Only",0,BattCalcs!BB357+BattCalcs!BG357)</f>
        <v>0</v>
      </c>
      <c r="AD357" s="144">
        <f>IF('PV IN'!$F$4="PV Only",0,BattCalcs!BU357)</f>
        <v>0</v>
      </c>
      <c r="AE357" s="144">
        <f>IF('PV IN'!$F$4="PV Only",PVCalcs!W357+PVCalcs!AA357,IF('PV IN'!$F$4="Battery Only",BattCalcs!AV357+BattCalcs!BH357,PVCalcs!W357+PVCalcs!AA357+BattCalcs!AV357+BattCalcs!BH357))</f>
        <v>0</v>
      </c>
      <c r="AF357" s="10">
        <f>PVCalcs!AC357+BattCalcs!BJ357</f>
        <v>0</v>
      </c>
      <c r="AG357" s="144">
        <f>IF('PV IN'!$F$4="Battery Only",0,PVCalcs!AG357)</f>
        <v>-750</v>
      </c>
      <c r="AH357" s="144">
        <f>IF('PV IN'!$F$4="Battery Only",0,PVCalcs!AI357)</f>
        <v>0</v>
      </c>
      <c r="AI357" s="144">
        <f>IF('PV IN'!$F$4="PV Only",0,BattCalcs!BM357)</f>
        <v>0</v>
      </c>
      <c r="AJ357" s="144">
        <f>IF('PV IN'!$F$4="PV Only",0,SUM(BattCalcs!BO357:BT357))</f>
        <v>0</v>
      </c>
      <c r="AK357" s="144">
        <f>IF('PV IN'!$F$4="PV Only",PVCalcs!AH357,IF('PV IN'!$F$4="Battery Only",BattCalcs!BN357,PVCalcs!AH357+BattCalcs!BN357))</f>
        <v>-625</v>
      </c>
      <c r="AL357" s="144">
        <f>IF('PV IN'!$F$4="PV Only",0,BattCalcs!BV357)</f>
        <v>0</v>
      </c>
      <c r="AM357" s="144">
        <f>IF('PV IN'!$F$4="PV Only",0,SUM(BattCalcs!BW357:BX357))</f>
        <v>0</v>
      </c>
      <c r="AN357" s="144">
        <f>IF('PV IN'!$F$4="PV Only",0,BattCalcs!BY357)</f>
        <v>0</v>
      </c>
      <c r="AO357" s="144">
        <f>IF('PV IN'!$F$4="Battery Only",0,PVCalcs!U357)</f>
        <v>9514.3535108519791</v>
      </c>
      <c r="AP357" s="10">
        <f>IF('PV IN'!$F$4="PV Only",0,BattCalcs!AS357)</f>
        <v>0</v>
      </c>
      <c r="AQ357" s="10">
        <f>IF('PV IN'!$F$4="PV Only",0,BattCalcs!AT357)</f>
        <v>0</v>
      </c>
      <c r="AR357" s="10">
        <f>IF('PV IN'!$F$4="PV Only",0,BattCalcs!AU357)</f>
        <v>0</v>
      </c>
      <c r="AS357" s="144">
        <f>IF('PV IN'!$F$4="PV Only",PVCalcs!X357,IF('PV IN'!$F$4="Battery Only",BattCalcs!AW357,PVCalcs!X357+BattCalcs!AW357))</f>
        <v>0</v>
      </c>
      <c r="AT357" s="144">
        <f>IF('PV IN'!$F$4="Battery Only",0,-PVCalcs!AQ357*'PV IN'!$E$8)</f>
        <v>0</v>
      </c>
      <c r="AU357" s="144">
        <f>IF('PV IN'!$F$4="PV Only",0,-BattCalcs!CG357*'PV IN'!$E$8)</f>
        <v>0</v>
      </c>
      <c r="AV357" s="144">
        <f>IF('PV IN'!$F$4="PV Only",PVCalcs!Z357+PVCalcs!AA357,IF('PV IN'!$F$4="Battery Only",SUM(BattCalcs!BC357:BH357),PVCalcs!Z357+PVCalcs!AA357+SUM(BattCalcs!BC357:BH357)))</f>
        <v>0</v>
      </c>
      <c r="AW357" s="144">
        <f>IF('PV IN'!$F$4="PV Only",SUM(PVCalcs!AF357:AI357),IF('PV IN'!$F$4="Battery Only",SUM(BattCalcs!BL357:BY357),SUM(PVCalcs!AF357:AI357)+SUM(BattCalcs!BL357:BY357)))</f>
        <v>-1375</v>
      </c>
      <c r="AX357" s="144">
        <f>IF('PV IN'!$F$4="Battery Only",0,-PVLoan!F385)</f>
        <v>0</v>
      </c>
      <c r="AY357" s="144">
        <f>IF('PV IN'!$F$4="PV Only",0,-BattLoan!F385)</f>
        <v>0</v>
      </c>
      <c r="AZ357" s="144">
        <f>IF('PV IN'!$F$4="Battery Only",0,-PVLoan!H385)</f>
        <v>0</v>
      </c>
      <c r="BA357" s="144">
        <f>IF('PV IN'!$F$4="PV Only",0,-BattLoan!H385)</f>
        <v>0</v>
      </c>
    </row>
    <row r="358" spans="1:88" x14ac:dyDescent="0.25">
      <c r="A358" t="str">
        <f>IF(C358&lt;='PV IN'!$O$22*12,C358,"")</f>
        <v/>
      </c>
      <c r="C358">
        <v>354</v>
      </c>
      <c r="D358" s="2">
        <f>BattCalcs!CK358+PVCalcs!AT358</f>
        <v>8421.7606085114112</v>
      </c>
      <c r="E358" s="20">
        <f>PVCalcs!AV358</f>
        <v>2412745.1826365157</v>
      </c>
      <c r="F358" s="20">
        <f>PVCalcs!AW358</f>
        <v>1996.7264444404634</v>
      </c>
      <c r="G358" s="20" t="e">
        <f>PVCalcs!AX358</f>
        <v>#N/A</v>
      </c>
      <c r="H358" s="20">
        <f>BattCalcs!CM358</f>
        <v>0</v>
      </c>
      <c r="I358" s="20">
        <f>BattCalcs!CN358</f>
        <v>0</v>
      </c>
      <c r="J358" s="20" t="e">
        <f>IF(C358&lt;='Batt IN'!H$43*12,BattCalcs!CO358,NA())</f>
        <v>#N/A</v>
      </c>
      <c r="L358" s="20">
        <f t="shared" si="826"/>
        <v>1996.7264444404634</v>
      </c>
      <c r="M358" s="20" t="e">
        <f>G358+BattCalcs!CO358</f>
        <v>#N/A</v>
      </c>
      <c r="O358" s="10" t="str">
        <f>PVLoan!G386</f>
        <v>-</v>
      </c>
      <c r="P358" s="10" t="str">
        <f>PVLoan!J386</f>
        <v>-</v>
      </c>
      <c r="Q358" s="2" t="str">
        <f>BattLoan!G386</f>
        <v>-</v>
      </c>
      <c r="R358" s="10" t="str">
        <f>BattLoan!J386</f>
        <v>-</v>
      </c>
      <c r="T358" s="33">
        <f>IF('PV IN'!$F$4="Battery Only",0,PVCalcs!G358)</f>
        <v>120512.41580970029</v>
      </c>
      <c r="U358" s="33">
        <f>IF('PV IN'!$F$4="Battery Only",0,PVCalcs!M358)</f>
        <v>120512.41580970029</v>
      </c>
      <c r="V358" s="33">
        <f>PVCalcs!L358</f>
        <v>25811.765833333331</v>
      </c>
      <c r="W358" s="158">
        <f>PVCalcs!F358</f>
        <v>7.8896523189157505E-2</v>
      </c>
      <c r="X358" s="144">
        <f>IF('PV IN'!$F$4="Battery Only",0,PVCalcs!Y358+PVCalcs!Z358)</f>
        <v>0</v>
      </c>
      <c r="Y358" s="144">
        <f>IF('PV IN'!$F$4="PV Only",0,BattCalcs!AX358+BattCalcs!BC358)</f>
        <v>0</v>
      </c>
      <c r="Z358" s="144">
        <f>IF('PV IN'!$F$4="PV Only",0,BattCalcs!AY358+BattCalcs!BD358)</f>
        <v>0</v>
      </c>
      <c r="AA358" s="144">
        <f>IF('PV IN'!$F$4="PV Only",0,BattCalcs!AZ358+BattCalcs!BE358)</f>
        <v>0</v>
      </c>
      <c r="AB358" s="144">
        <f>IF('PV IN'!$F$4="PV Only",0,BattCalcs!BA358+BattCalcs!BF358)</f>
        <v>0</v>
      </c>
      <c r="AC358" s="144">
        <f>IF('PV IN'!$F$4="PV Only",0,BattCalcs!BB358+BattCalcs!BG358)</f>
        <v>0</v>
      </c>
      <c r="AD358" s="144">
        <f>IF('PV IN'!$F$4="PV Only",0,BattCalcs!BU358)</f>
        <v>0</v>
      </c>
      <c r="AE358" s="144">
        <f>IF('PV IN'!$F$4="PV Only",PVCalcs!W358+PVCalcs!AA358,IF('PV IN'!$F$4="Battery Only",BattCalcs!AV358+BattCalcs!BH358,PVCalcs!W358+PVCalcs!AA358+BattCalcs!AV358+BattCalcs!BH358))</f>
        <v>0</v>
      </c>
      <c r="AF358" s="10">
        <f>PVCalcs!AC358+BattCalcs!BJ358</f>
        <v>0</v>
      </c>
      <c r="AG358" s="144">
        <f>IF('PV IN'!$F$4="Battery Only",0,PVCalcs!AG358)</f>
        <v>-750</v>
      </c>
      <c r="AH358" s="144">
        <f>IF('PV IN'!$F$4="Battery Only",0,PVCalcs!AI358)</f>
        <v>0</v>
      </c>
      <c r="AI358" s="144">
        <f>IF('PV IN'!$F$4="PV Only",0,BattCalcs!BM358)</f>
        <v>0</v>
      </c>
      <c r="AJ358" s="144">
        <f>IF('PV IN'!$F$4="PV Only",0,SUM(BattCalcs!BO358:BT358))</f>
        <v>0</v>
      </c>
      <c r="AK358" s="144">
        <f>IF('PV IN'!$F$4="PV Only",PVCalcs!AH358,IF('PV IN'!$F$4="Battery Only",BattCalcs!BN358,PVCalcs!AH358+BattCalcs!BN358))</f>
        <v>-625</v>
      </c>
      <c r="AL358" s="144">
        <f>IF('PV IN'!$F$4="PV Only",0,BattCalcs!BV358)</f>
        <v>0</v>
      </c>
      <c r="AM358" s="144">
        <f>IF('PV IN'!$F$4="PV Only",0,SUM(BattCalcs!BW358:BX358))</f>
        <v>0</v>
      </c>
      <c r="AN358" s="144">
        <f>IF('PV IN'!$F$4="PV Only",0,BattCalcs!BY358)</f>
        <v>0</v>
      </c>
      <c r="AO358" s="144">
        <f>IF('PV IN'!$F$4="Battery Only",0,PVCalcs!U358)</f>
        <v>9508.0106085114112</v>
      </c>
      <c r="AP358" s="10">
        <f>IF('PV IN'!$F$4="PV Only",0,BattCalcs!AS358)</f>
        <v>0</v>
      </c>
      <c r="AQ358" s="10">
        <f>IF('PV IN'!$F$4="PV Only",0,BattCalcs!AT358)</f>
        <v>0</v>
      </c>
      <c r="AR358" s="10">
        <f>IF('PV IN'!$F$4="PV Only",0,BattCalcs!AU358)</f>
        <v>0</v>
      </c>
      <c r="AS358" s="144">
        <f>IF('PV IN'!$F$4="PV Only",PVCalcs!X358,IF('PV IN'!$F$4="Battery Only",BattCalcs!AW358,PVCalcs!X358+BattCalcs!AW358))</f>
        <v>0</v>
      </c>
      <c r="AT358" s="144">
        <f>IF('PV IN'!$F$4="Battery Only",0,-PVCalcs!AQ358*'PV IN'!$E$8)</f>
        <v>0</v>
      </c>
      <c r="AU358" s="144">
        <f>IF('PV IN'!$F$4="PV Only",0,-BattCalcs!CG358*'PV IN'!$E$8)</f>
        <v>0</v>
      </c>
      <c r="AV358" s="144">
        <f>IF('PV IN'!$F$4="PV Only",PVCalcs!Z358+PVCalcs!AA358,IF('PV IN'!$F$4="Battery Only",SUM(BattCalcs!BC358:BH358),PVCalcs!Z358+PVCalcs!AA358+SUM(BattCalcs!BC358:BH358)))</f>
        <v>0</v>
      </c>
      <c r="AW358" s="144">
        <f>IF('PV IN'!$F$4="PV Only",SUM(PVCalcs!AF358:AI358),IF('PV IN'!$F$4="Battery Only",SUM(BattCalcs!BL358:BY358),SUM(PVCalcs!AF358:AI358)+SUM(BattCalcs!BL358:BY358)))</f>
        <v>-1375</v>
      </c>
      <c r="AX358" s="144">
        <f>IF('PV IN'!$F$4="Battery Only",0,-PVLoan!F386)</f>
        <v>0</v>
      </c>
      <c r="AY358" s="144">
        <f>IF('PV IN'!$F$4="PV Only",0,-BattLoan!F386)</f>
        <v>0</v>
      </c>
      <c r="AZ358" s="144">
        <f>IF('PV IN'!$F$4="Battery Only",0,-PVLoan!H386)</f>
        <v>0</v>
      </c>
      <c r="BA358" s="144">
        <f>IF('PV IN'!$F$4="PV Only",0,-BattLoan!H386)</f>
        <v>0</v>
      </c>
    </row>
    <row r="359" spans="1:88" x14ac:dyDescent="0.25">
      <c r="A359" t="str">
        <f>IF(C359&lt;='PV IN'!$O$22*12,C359,"")</f>
        <v/>
      </c>
      <c r="C359">
        <v>355</v>
      </c>
      <c r="D359" s="2">
        <f>BattCalcs!CK359+PVCalcs!AT359</f>
        <v>8415.4219347724047</v>
      </c>
      <c r="E359" s="20">
        <f>PVCalcs!AV359</f>
        <v>2421160.604571288</v>
      </c>
      <c r="F359" s="20">
        <f>PVCalcs!AW359</f>
        <v>1987.1277952258922</v>
      </c>
      <c r="G359" s="20" t="e">
        <f>PVCalcs!AX359</f>
        <v>#N/A</v>
      </c>
      <c r="H359" s="20">
        <f>BattCalcs!CM359</f>
        <v>0</v>
      </c>
      <c r="I359" s="20">
        <f>BattCalcs!CN359</f>
        <v>0</v>
      </c>
      <c r="J359" s="20" t="e">
        <f>IF(C359&lt;='Batt IN'!H$43*12,BattCalcs!CO359,NA())</f>
        <v>#N/A</v>
      </c>
      <c r="L359" s="20">
        <f t="shared" si="826"/>
        <v>1987.1277952258922</v>
      </c>
      <c r="M359" s="20" t="e">
        <f>G359+BattCalcs!CO359</f>
        <v>#N/A</v>
      </c>
      <c r="O359" s="10" t="str">
        <f>PVLoan!G387</f>
        <v>-</v>
      </c>
      <c r="P359" s="10" t="str">
        <f>PVLoan!J387</f>
        <v>-</v>
      </c>
      <c r="Q359" s="2" t="str">
        <f>BattLoan!G387</f>
        <v>-</v>
      </c>
      <c r="R359" s="10" t="str">
        <f>BattLoan!J387</f>
        <v>-</v>
      </c>
      <c r="T359" s="33">
        <f>IF('PV IN'!$F$4="Battery Only",0,PVCalcs!G359)</f>
        <v>120432.0741991605</v>
      </c>
      <c r="U359" s="33">
        <f>IF('PV IN'!$F$4="Battery Only",0,PVCalcs!M359)</f>
        <v>120432.0741991605</v>
      </c>
      <c r="V359" s="33">
        <f>PVCalcs!L359</f>
        <v>25811.765833333331</v>
      </c>
      <c r="W359" s="158">
        <f>PVCalcs!F359</f>
        <v>7.8896523189157505E-2</v>
      </c>
      <c r="X359" s="144">
        <f>IF('PV IN'!$F$4="Battery Only",0,PVCalcs!Y359+PVCalcs!Z359)</f>
        <v>0</v>
      </c>
      <c r="Y359" s="144">
        <f>IF('PV IN'!$F$4="PV Only",0,BattCalcs!AX359+BattCalcs!BC359)</f>
        <v>0</v>
      </c>
      <c r="Z359" s="144">
        <f>IF('PV IN'!$F$4="PV Only",0,BattCalcs!AY359+BattCalcs!BD359)</f>
        <v>0</v>
      </c>
      <c r="AA359" s="144">
        <f>IF('PV IN'!$F$4="PV Only",0,BattCalcs!AZ359+BattCalcs!BE359)</f>
        <v>0</v>
      </c>
      <c r="AB359" s="144">
        <f>IF('PV IN'!$F$4="PV Only",0,BattCalcs!BA359+BattCalcs!BF359)</f>
        <v>0</v>
      </c>
      <c r="AC359" s="144">
        <f>IF('PV IN'!$F$4="PV Only",0,BattCalcs!BB359+BattCalcs!BG359)</f>
        <v>0</v>
      </c>
      <c r="AD359" s="144">
        <f>IF('PV IN'!$F$4="PV Only",0,BattCalcs!BU359)</f>
        <v>0</v>
      </c>
      <c r="AE359" s="144">
        <f>IF('PV IN'!$F$4="PV Only",PVCalcs!W359+PVCalcs!AA359,IF('PV IN'!$F$4="Battery Only",BattCalcs!AV359+BattCalcs!BH359,PVCalcs!W359+PVCalcs!AA359+BattCalcs!AV359+BattCalcs!BH359))</f>
        <v>0</v>
      </c>
      <c r="AF359" s="10">
        <f>PVCalcs!AC359+BattCalcs!BJ359</f>
        <v>0</v>
      </c>
      <c r="AG359" s="144">
        <f>IF('PV IN'!$F$4="Battery Only",0,PVCalcs!AG359)</f>
        <v>-750</v>
      </c>
      <c r="AH359" s="144">
        <f>IF('PV IN'!$F$4="Battery Only",0,PVCalcs!AI359)</f>
        <v>0</v>
      </c>
      <c r="AI359" s="144">
        <f>IF('PV IN'!$F$4="PV Only",0,BattCalcs!BM359)</f>
        <v>0</v>
      </c>
      <c r="AJ359" s="144">
        <f>IF('PV IN'!$F$4="PV Only",0,SUM(BattCalcs!BO359:BT359))</f>
        <v>0</v>
      </c>
      <c r="AK359" s="144">
        <f>IF('PV IN'!$F$4="PV Only",PVCalcs!AH359,IF('PV IN'!$F$4="Battery Only",BattCalcs!BN359,PVCalcs!AH359+BattCalcs!BN359))</f>
        <v>-625</v>
      </c>
      <c r="AL359" s="144">
        <f>IF('PV IN'!$F$4="PV Only",0,BattCalcs!BV359)</f>
        <v>0</v>
      </c>
      <c r="AM359" s="144">
        <f>IF('PV IN'!$F$4="PV Only",0,SUM(BattCalcs!BW359:BX359))</f>
        <v>0</v>
      </c>
      <c r="AN359" s="144">
        <f>IF('PV IN'!$F$4="PV Only",0,BattCalcs!BY359)</f>
        <v>0</v>
      </c>
      <c r="AO359" s="144">
        <f>IF('PV IN'!$F$4="Battery Only",0,PVCalcs!U359)</f>
        <v>9501.6719347724047</v>
      </c>
      <c r="AP359" s="10">
        <f>IF('PV IN'!$F$4="PV Only",0,BattCalcs!AS359)</f>
        <v>0</v>
      </c>
      <c r="AQ359" s="10">
        <f>IF('PV IN'!$F$4="PV Only",0,BattCalcs!AT359)</f>
        <v>0</v>
      </c>
      <c r="AR359" s="10">
        <f>IF('PV IN'!$F$4="PV Only",0,BattCalcs!AU359)</f>
        <v>0</v>
      </c>
      <c r="AS359" s="144">
        <f>IF('PV IN'!$F$4="PV Only",PVCalcs!X359,IF('PV IN'!$F$4="Battery Only",BattCalcs!AW359,PVCalcs!X359+BattCalcs!AW359))</f>
        <v>0</v>
      </c>
      <c r="AT359" s="144">
        <f>IF('PV IN'!$F$4="Battery Only",0,-PVCalcs!AQ359*'PV IN'!$E$8)</f>
        <v>0</v>
      </c>
      <c r="AU359" s="144">
        <f>IF('PV IN'!$F$4="PV Only",0,-BattCalcs!CG359*'PV IN'!$E$8)</f>
        <v>0</v>
      </c>
      <c r="AV359" s="144">
        <f>IF('PV IN'!$F$4="PV Only",PVCalcs!Z359+PVCalcs!AA359,IF('PV IN'!$F$4="Battery Only",SUM(BattCalcs!BC359:BH359),PVCalcs!Z359+PVCalcs!AA359+SUM(BattCalcs!BC359:BH359)))</f>
        <v>0</v>
      </c>
      <c r="AW359" s="144">
        <f>IF('PV IN'!$F$4="PV Only",SUM(PVCalcs!AF359:AI359),IF('PV IN'!$F$4="Battery Only",SUM(BattCalcs!BL359:BY359),SUM(PVCalcs!AF359:AI359)+SUM(BattCalcs!BL359:BY359)))</f>
        <v>-1375</v>
      </c>
      <c r="AX359" s="144">
        <f>IF('PV IN'!$F$4="Battery Only",0,-PVLoan!F387)</f>
        <v>0</v>
      </c>
      <c r="AY359" s="144">
        <f>IF('PV IN'!$F$4="PV Only",0,-BattLoan!F387)</f>
        <v>0</v>
      </c>
      <c r="AZ359" s="144">
        <f>IF('PV IN'!$F$4="Battery Only",0,-PVLoan!H387)</f>
        <v>0</v>
      </c>
      <c r="BA359" s="144">
        <f>IF('PV IN'!$F$4="PV Only",0,-BattLoan!H387)</f>
        <v>0</v>
      </c>
    </row>
    <row r="360" spans="1:88" x14ac:dyDescent="0.25">
      <c r="A360" t="str">
        <f>IF(C360&lt;='PV IN'!$O$22*12,C360,"")</f>
        <v/>
      </c>
      <c r="C360">
        <v>356</v>
      </c>
      <c r="D360" s="2">
        <f>BattCalcs!CK360+PVCalcs!AT360</f>
        <v>8409.087486815888</v>
      </c>
      <c r="E360" s="20">
        <f>PVCalcs!AV360</f>
        <v>2429569.6920581041</v>
      </c>
      <c r="F360" s="20">
        <f>PVCalcs!AW360</f>
        <v>1977.575160390428</v>
      </c>
      <c r="G360" s="20" t="e">
        <f>PVCalcs!AX360</f>
        <v>#N/A</v>
      </c>
      <c r="H360" s="20">
        <f>BattCalcs!CM360</f>
        <v>0</v>
      </c>
      <c r="I360" s="20">
        <f>BattCalcs!CN360</f>
        <v>0</v>
      </c>
      <c r="J360" s="20" t="e">
        <f>IF(C360&lt;='Batt IN'!H$43*12,BattCalcs!CO360,NA())</f>
        <v>#N/A</v>
      </c>
      <c r="L360" s="20">
        <f t="shared" si="826"/>
        <v>1977.575160390428</v>
      </c>
      <c r="M360" s="20" t="e">
        <f>G360+BattCalcs!CO360</f>
        <v>#N/A</v>
      </c>
      <c r="O360" s="10" t="str">
        <f>PVLoan!G388</f>
        <v>-</v>
      </c>
      <c r="P360" s="10" t="str">
        <f>PVLoan!J388</f>
        <v>-</v>
      </c>
      <c r="Q360" s="2" t="str">
        <f>BattLoan!G388</f>
        <v>-</v>
      </c>
      <c r="R360" s="10" t="str">
        <f>BattLoan!J388</f>
        <v>-</v>
      </c>
      <c r="T360" s="33">
        <f>IF('PV IN'!$F$4="Battery Only",0,PVCalcs!G360)</f>
        <v>120351.7861496944</v>
      </c>
      <c r="U360" s="33">
        <f>IF('PV IN'!$F$4="Battery Only",0,PVCalcs!M360)</f>
        <v>120351.7861496944</v>
      </c>
      <c r="V360" s="33">
        <f>PVCalcs!L360</f>
        <v>25811.765833333331</v>
      </c>
      <c r="W360" s="158">
        <f>PVCalcs!F360</f>
        <v>7.8896523189157505E-2</v>
      </c>
      <c r="X360" s="144">
        <f>IF('PV IN'!$F$4="Battery Only",0,PVCalcs!Y360+PVCalcs!Z360)</f>
        <v>0</v>
      </c>
      <c r="Y360" s="144">
        <f>IF('PV IN'!$F$4="PV Only",0,BattCalcs!AX360+BattCalcs!BC360)</f>
        <v>0</v>
      </c>
      <c r="Z360" s="144">
        <f>IF('PV IN'!$F$4="PV Only",0,BattCalcs!AY360+BattCalcs!BD360)</f>
        <v>0</v>
      </c>
      <c r="AA360" s="144">
        <f>IF('PV IN'!$F$4="PV Only",0,BattCalcs!AZ360+BattCalcs!BE360)</f>
        <v>0</v>
      </c>
      <c r="AB360" s="144">
        <f>IF('PV IN'!$F$4="PV Only",0,BattCalcs!BA360+BattCalcs!BF360)</f>
        <v>0</v>
      </c>
      <c r="AC360" s="144">
        <f>IF('PV IN'!$F$4="PV Only",0,BattCalcs!BB360+BattCalcs!BG360)</f>
        <v>0</v>
      </c>
      <c r="AD360" s="144">
        <f>IF('PV IN'!$F$4="PV Only",0,BattCalcs!BU360)</f>
        <v>0</v>
      </c>
      <c r="AE360" s="144">
        <f>IF('PV IN'!$F$4="PV Only",PVCalcs!W360+PVCalcs!AA360,IF('PV IN'!$F$4="Battery Only",BattCalcs!AV360+BattCalcs!BH360,PVCalcs!W360+PVCalcs!AA360+BattCalcs!AV360+BattCalcs!BH360))</f>
        <v>0</v>
      </c>
      <c r="AF360" s="10">
        <f>PVCalcs!AC360+BattCalcs!BJ360</f>
        <v>0</v>
      </c>
      <c r="AG360" s="144">
        <f>IF('PV IN'!$F$4="Battery Only",0,PVCalcs!AG360)</f>
        <v>-750</v>
      </c>
      <c r="AH360" s="144">
        <f>IF('PV IN'!$F$4="Battery Only",0,PVCalcs!AI360)</f>
        <v>0</v>
      </c>
      <c r="AI360" s="144">
        <f>IF('PV IN'!$F$4="PV Only",0,BattCalcs!BM360)</f>
        <v>0</v>
      </c>
      <c r="AJ360" s="144">
        <f>IF('PV IN'!$F$4="PV Only",0,SUM(BattCalcs!BO360:BT360))</f>
        <v>0</v>
      </c>
      <c r="AK360" s="144">
        <f>IF('PV IN'!$F$4="PV Only",PVCalcs!AH360,IF('PV IN'!$F$4="Battery Only",BattCalcs!BN360,PVCalcs!AH360+BattCalcs!BN360))</f>
        <v>-625</v>
      </c>
      <c r="AL360" s="144">
        <f>IF('PV IN'!$F$4="PV Only",0,BattCalcs!BV360)</f>
        <v>0</v>
      </c>
      <c r="AM360" s="144">
        <f>IF('PV IN'!$F$4="PV Only",0,SUM(BattCalcs!BW360:BX360))</f>
        <v>0</v>
      </c>
      <c r="AN360" s="144">
        <f>IF('PV IN'!$F$4="PV Only",0,BattCalcs!BY360)</f>
        <v>0</v>
      </c>
      <c r="AO360" s="144">
        <f>IF('PV IN'!$F$4="Battery Only",0,PVCalcs!U360)</f>
        <v>9495.337486815888</v>
      </c>
      <c r="AP360" s="10">
        <f>IF('PV IN'!$F$4="PV Only",0,BattCalcs!AS360)</f>
        <v>0</v>
      </c>
      <c r="AQ360" s="10">
        <f>IF('PV IN'!$F$4="PV Only",0,BattCalcs!AT360)</f>
        <v>0</v>
      </c>
      <c r="AR360" s="10">
        <f>IF('PV IN'!$F$4="PV Only",0,BattCalcs!AU360)</f>
        <v>0</v>
      </c>
      <c r="AS360" s="144">
        <f>IF('PV IN'!$F$4="PV Only",PVCalcs!X360,IF('PV IN'!$F$4="Battery Only",BattCalcs!AW360,PVCalcs!X360+BattCalcs!AW360))</f>
        <v>0</v>
      </c>
      <c r="AT360" s="144">
        <f>IF('PV IN'!$F$4="Battery Only",0,-PVCalcs!AQ360*'PV IN'!$E$8)</f>
        <v>0</v>
      </c>
      <c r="AU360" s="144">
        <f>IF('PV IN'!$F$4="PV Only",0,-BattCalcs!CG360*'PV IN'!$E$8)</f>
        <v>0</v>
      </c>
      <c r="AV360" s="144">
        <f>IF('PV IN'!$F$4="PV Only",PVCalcs!Z360+PVCalcs!AA360,IF('PV IN'!$F$4="Battery Only",SUM(BattCalcs!BC360:BH360),PVCalcs!Z360+PVCalcs!AA360+SUM(BattCalcs!BC360:BH360)))</f>
        <v>0</v>
      </c>
      <c r="AW360" s="144">
        <f>IF('PV IN'!$F$4="PV Only",SUM(PVCalcs!AF360:AI360),IF('PV IN'!$F$4="Battery Only",SUM(BattCalcs!BL360:BY360),SUM(PVCalcs!AF360:AI360)+SUM(BattCalcs!BL360:BY360)))</f>
        <v>-1375</v>
      </c>
      <c r="AX360" s="144">
        <f>IF('PV IN'!$F$4="Battery Only",0,-PVLoan!F388)</f>
        <v>0</v>
      </c>
      <c r="AY360" s="144">
        <f>IF('PV IN'!$F$4="PV Only",0,-BattLoan!F388)</f>
        <v>0</v>
      </c>
      <c r="AZ360" s="144">
        <f>IF('PV IN'!$F$4="Battery Only",0,-PVLoan!H388)</f>
        <v>0</v>
      </c>
      <c r="BA360" s="144">
        <f>IF('PV IN'!$F$4="PV Only",0,-BattLoan!H388)</f>
        <v>0</v>
      </c>
    </row>
    <row r="361" spans="1:88" x14ac:dyDescent="0.25">
      <c r="A361" t="str">
        <f>IF(C361&lt;='PV IN'!$O$22*12,C361,"")</f>
        <v/>
      </c>
      <c r="C361">
        <v>357</v>
      </c>
      <c r="D361" s="2">
        <f>BattCalcs!CK361+PVCalcs!AT361</f>
        <v>8402.7572618246777</v>
      </c>
      <c r="E361" s="20">
        <f>PVCalcs!AV361</f>
        <v>2437972.4493199289</v>
      </c>
      <c r="F361" s="20">
        <f>PVCalcs!AW361</f>
        <v>1968.0683198593799</v>
      </c>
      <c r="G361" s="20" t="e">
        <f>PVCalcs!AX361</f>
        <v>#N/A</v>
      </c>
      <c r="H361" s="20">
        <f>BattCalcs!CM361</f>
        <v>0</v>
      </c>
      <c r="I361" s="20">
        <f>BattCalcs!CN361</f>
        <v>0</v>
      </c>
      <c r="J361" s="20" t="e">
        <f>IF(C361&lt;='Batt IN'!H$43*12,BattCalcs!CO361,NA())</f>
        <v>#N/A</v>
      </c>
      <c r="L361" s="20">
        <f t="shared" si="826"/>
        <v>1968.0683198593799</v>
      </c>
      <c r="M361" s="20" t="e">
        <f>G361+BattCalcs!CO361</f>
        <v>#N/A</v>
      </c>
      <c r="O361" s="10" t="str">
        <f>PVLoan!G389</f>
        <v>-</v>
      </c>
      <c r="P361" s="10" t="str">
        <f>PVLoan!J389</f>
        <v>-</v>
      </c>
      <c r="Q361" s="2" t="str">
        <f>BattLoan!G389</f>
        <v>-</v>
      </c>
      <c r="R361" s="10" t="str">
        <f>BattLoan!J389</f>
        <v>-</v>
      </c>
      <c r="T361" s="33">
        <f>IF('PV IN'!$F$4="Battery Only",0,PVCalcs!G361)</f>
        <v>120271.55162559458</v>
      </c>
      <c r="U361" s="33">
        <f>IF('PV IN'!$F$4="Battery Only",0,PVCalcs!M361)</f>
        <v>120271.55162559458</v>
      </c>
      <c r="V361" s="33">
        <f>PVCalcs!L361</f>
        <v>25811.765833333331</v>
      </c>
      <c r="W361" s="158">
        <f>PVCalcs!F361</f>
        <v>7.8896523189157505E-2</v>
      </c>
      <c r="X361" s="144">
        <f>IF('PV IN'!$F$4="Battery Only",0,PVCalcs!Y361+PVCalcs!Z361)</f>
        <v>0</v>
      </c>
      <c r="Y361" s="144">
        <f>IF('PV IN'!$F$4="PV Only",0,BattCalcs!AX361+BattCalcs!BC361)</f>
        <v>0</v>
      </c>
      <c r="Z361" s="144">
        <f>IF('PV IN'!$F$4="PV Only",0,BattCalcs!AY361+BattCalcs!BD361)</f>
        <v>0</v>
      </c>
      <c r="AA361" s="144">
        <f>IF('PV IN'!$F$4="PV Only",0,BattCalcs!AZ361+BattCalcs!BE361)</f>
        <v>0</v>
      </c>
      <c r="AB361" s="144">
        <f>IF('PV IN'!$F$4="PV Only",0,BattCalcs!BA361+BattCalcs!BF361)</f>
        <v>0</v>
      </c>
      <c r="AC361" s="144">
        <f>IF('PV IN'!$F$4="PV Only",0,BattCalcs!BB361+BattCalcs!BG361)</f>
        <v>0</v>
      </c>
      <c r="AD361" s="144">
        <f>IF('PV IN'!$F$4="PV Only",0,BattCalcs!BU361)</f>
        <v>0</v>
      </c>
      <c r="AE361" s="144">
        <f>IF('PV IN'!$F$4="PV Only",PVCalcs!W361+PVCalcs!AA361,IF('PV IN'!$F$4="Battery Only",BattCalcs!AV361+BattCalcs!BH361,PVCalcs!W361+PVCalcs!AA361+BattCalcs!AV361+BattCalcs!BH361))</f>
        <v>0</v>
      </c>
      <c r="AF361" s="10">
        <f>PVCalcs!AC361+BattCalcs!BJ361</f>
        <v>0</v>
      </c>
      <c r="AG361" s="144">
        <f>IF('PV IN'!$F$4="Battery Only",0,PVCalcs!AG361)</f>
        <v>-750</v>
      </c>
      <c r="AH361" s="144">
        <f>IF('PV IN'!$F$4="Battery Only",0,PVCalcs!AI361)</f>
        <v>0</v>
      </c>
      <c r="AI361" s="144">
        <f>IF('PV IN'!$F$4="PV Only",0,BattCalcs!BM361)</f>
        <v>0</v>
      </c>
      <c r="AJ361" s="144">
        <f>IF('PV IN'!$F$4="PV Only",0,SUM(BattCalcs!BO361:BT361))</f>
        <v>0</v>
      </c>
      <c r="AK361" s="144">
        <f>IF('PV IN'!$F$4="PV Only",PVCalcs!AH361,IF('PV IN'!$F$4="Battery Only",BattCalcs!BN361,PVCalcs!AH361+BattCalcs!BN361))</f>
        <v>-625</v>
      </c>
      <c r="AL361" s="144">
        <f>IF('PV IN'!$F$4="PV Only",0,BattCalcs!BV361)</f>
        <v>0</v>
      </c>
      <c r="AM361" s="144">
        <f>IF('PV IN'!$F$4="PV Only",0,SUM(BattCalcs!BW361:BX361))</f>
        <v>0</v>
      </c>
      <c r="AN361" s="144">
        <f>IF('PV IN'!$F$4="PV Only",0,BattCalcs!BY361)</f>
        <v>0</v>
      </c>
      <c r="AO361" s="144">
        <f>IF('PV IN'!$F$4="Battery Only",0,PVCalcs!U361)</f>
        <v>9489.0072618246777</v>
      </c>
      <c r="AP361" s="10">
        <f>IF('PV IN'!$F$4="PV Only",0,BattCalcs!AS361)</f>
        <v>0</v>
      </c>
      <c r="AQ361" s="10">
        <f>IF('PV IN'!$F$4="PV Only",0,BattCalcs!AT361)</f>
        <v>0</v>
      </c>
      <c r="AR361" s="10">
        <f>IF('PV IN'!$F$4="PV Only",0,BattCalcs!AU361)</f>
        <v>0</v>
      </c>
      <c r="AS361" s="144">
        <f>IF('PV IN'!$F$4="PV Only",PVCalcs!X361,IF('PV IN'!$F$4="Battery Only",BattCalcs!AW361,PVCalcs!X361+BattCalcs!AW361))</f>
        <v>0</v>
      </c>
      <c r="AT361" s="144">
        <f>IF('PV IN'!$F$4="Battery Only",0,-PVCalcs!AQ361*'PV IN'!$E$8)</f>
        <v>0</v>
      </c>
      <c r="AU361" s="144">
        <f>IF('PV IN'!$F$4="PV Only",0,-BattCalcs!CG361*'PV IN'!$E$8)</f>
        <v>0</v>
      </c>
      <c r="AV361" s="144">
        <f>IF('PV IN'!$F$4="PV Only",PVCalcs!Z361+PVCalcs!AA361,IF('PV IN'!$F$4="Battery Only",SUM(BattCalcs!BC361:BH361),PVCalcs!Z361+PVCalcs!AA361+SUM(BattCalcs!BC361:BH361)))</f>
        <v>0</v>
      </c>
      <c r="AW361" s="144">
        <f>IF('PV IN'!$F$4="PV Only",SUM(PVCalcs!AF361:AI361),IF('PV IN'!$F$4="Battery Only",SUM(BattCalcs!BL361:BY361),SUM(PVCalcs!AF361:AI361)+SUM(BattCalcs!BL361:BY361)))</f>
        <v>-1375</v>
      </c>
      <c r="AX361" s="144">
        <f>IF('PV IN'!$F$4="Battery Only",0,-PVLoan!F389)</f>
        <v>0</v>
      </c>
      <c r="AY361" s="144">
        <f>IF('PV IN'!$F$4="PV Only",0,-BattLoan!F389)</f>
        <v>0</v>
      </c>
      <c r="AZ361" s="144">
        <f>IF('PV IN'!$F$4="Battery Only",0,-PVLoan!H389)</f>
        <v>0</v>
      </c>
      <c r="BA361" s="144">
        <f>IF('PV IN'!$F$4="PV Only",0,-BattLoan!H389)</f>
        <v>0</v>
      </c>
    </row>
    <row r="362" spans="1:88" x14ac:dyDescent="0.25">
      <c r="A362" t="str">
        <f>IF(C362&lt;='PV IN'!$O$22*12,C362,"")</f>
        <v/>
      </c>
      <c r="C362">
        <v>358</v>
      </c>
      <c r="D362" s="2">
        <f>BattCalcs!CK362+PVCalcs!AT362</f>
        <v>8396.4312569834619</v>
      </c>
      <c r="E362" s="20">
        <f>PVCalcs!AV362</f>
        <v>2446368.8805769123</v>
      </c>
      <c r="F362" s="20">
        <f>PVCalcs!AW362</f>
        <v>1958.6070546085737</v>
      </c>
      <c r="G362" s="20" t="e">
        <f>PVCalcs!AX362</f>
        <v>#N/A</v>
      </c>
      <c r="H362" s="20">
        <f>BattCalcs!CM362</f>
        <v>0</v>
      </c>
      <c r="I362" s="20">
        <f>BattCalcs!CN362</f>
        <v>0</v>
      </c>
      <c r="J362" s="20" t="e">
        <f>IF(C362&lt;='Batt IN'!H$43*12,BattCalcs!CO362,NA())</f>
        <v>#N/A</v>
      </c>
      <c r="L362" s="20">
        <f t="shared" si="826"/>
        <v>1958.6070546085737</v>
      </c>
      <c r="M362" s="20" t="e">
        <f>G362+BattCalcs!CO362</f>
        <v>#N/A</v>
      </c>
      <c r="O362" s="10" t="str">
        <f>PVLoan!G390</f>
        <v>-</v>
      </c>
      <c r="P362" s="10" t="str">
        <f>PVLoan!J390</f>
        <v>-</v>
      </c>
      <c r="Q362" s="2" t="str">
        <f>BattLoan!G390</f>
        <v>-</v>
      </c>
      <c r="R362" s="10" t="str">
        <f>BattLoan!J390</f>
        <v>-</v>
      </c>
      <c r="T362" s="33">
        <f>IF('PV IN'!$F$4="Battery Only",0,PVCalcs!G362)</f>
        <v>120191.37059117753</v>
      </c>
      <c r="U362" s="33">
        <f>IF('PV IN'!$F$4="Battery Only",0,PVCalcs!M362)</f>
        <v>120191.37059117753</v>
      </c>
      <c r="V362" s="33">
        <f>PVCalcs!L362</f>
        <v>25811.765833333331</v>
      </c>
      <c r="W362" s="158">
        <f>PVCalcs!F362</f>
        <v>7.8896523189157505E-2</v>
      </c>
      <c r="X362" s="144">
        <f>IF('PV IN'!$F$4="Battery Only",0,PVCalcs!Y362+PVCalcs!Z362)</f>
        <v>0</v>
      </c>
      <c r="Y362" s="144">
        <f>IF('PV IN'!$F$4="PV Only",0,BattCalcs!AX362+BattCalcs!BC362)</f>
        <v>0</v>
      </c>
      <c r="Z362" s="144">
        <f>IF('PV IN'!$F$4="PV Only",0,BattCalcs!AY362+BattCalcs!BD362)</f>
        <v>0</v>
      </c>
      <c r="AA362" s="144">
        <f>IF('PV IN'!$F$4="PV Only",0,BattCalcs!AZ362+BattCalcs!BE362)</f>
        <v>0</v>
      </c>
      <c r="AB362" s="144">
        <f>IF('PV IN'!$F$4="PV Only",0,BattCalcs!BA362+BattCalcs!BF362)</f>
        <v>0</v>
      </c>
      <c r="AC362" s="144">
        <f>IF('PV IN'!$F$4="PV Only",0,BattCalcs!BB362+BattCalcs!BG362)</f>
        <v>0</v>
      </c>
      <c r="AD362" s="144">
        <f>IF('PV IN'!$F$4="PV Only",0,BattCalcs!BU362)</f>
        <v>0</v>
      </c>
      <c r="AE362" s="144">
        <f>IF('PV IN'!$F$4="PV Only",PVCalcs!W362+PVCalcs!AA362,IF('PV IN'!$F$4="Battery Only",BattCalcs!AV362+BattCalcs!BH362,PVCalcs!W362+PVCalcs!AA362+BattCalcs!AV362+BattCalcs!BH362))</f>
        <v>0</v>
      </c>
      <c r="AF362" s="10">
        <f>PVCalcs!AC362+BattCalcs!BJ362</f>
        <v>0</v>
      </c>
      <c r="AG362" s="144">
        <f>IF('PV IN'!$F$4="Battery Only",0,PVCalcs!AG362)</f>
        <v>-750</v>
      </c>
      <c r="AH362" s="144">
        <f>IF('PV IN'!$F$4="Battery Only",0,PVCalcs!AI362)</f>
        <v>0</v>
      </c>
      <c r="AI362" s="144">
        <f>IF('PV IN'!$F$4="PV Only",0,BattCalcs!BM362)</f>
        <v>0</v>
      </c>
      <c r="AJ362" s="144">
        <f>IF('PV IN'!$F$4="PV Only",0,SUM(BattCalcs!BO362:BT362))</f>
        <v>0</v>
      </c>
      <c r="AK362" s="144">
        <f>IF('PV IN'!$F$4="PV Only",PVCalcs!AH362,IF('PV IN'!$F$4="Battery Only",BattCalcs!BN362,PVCalcs!AH362+BattCalcs!BN362))</f>
        <v>-625</v>
      </c>
      <c r="AL362" s="144">
        <f>IF('PV IN'!$F$4="PV Only",0,BattCalcs!BV362)</f>
        <v>0</v>
      </c>
      <c r="AM362" s="144">
        <f>IF('PV IN'!$F$4="PV Only",0,SUM(BattCalcs!BW362:BX362))</f>
        <v>0</v>
      </c>
      <c r="AN362" s="144">
        <f>IF('PV IN'!$F$4="PV Only",0,BattCalcs!BY362)</f>
        <v>0</v>
      </c>
      <c r="AO362" s="144">
        <f>IF('PV IN'!$F$4="Battery Only",0,PVCalcs!U362)</f>
        <v>9482.6812569834619</v>
      </c>
      <c r="AP362" s="10">
        <f>IF('PV IN'!$F$4="PV Only",0,BattCalcs!AS362)</f>
        <v>0</v>
      </c>
      <c r="AQ362" s="10">
        <f>IF('PV IN'!$F$4="PV Only",0,BattCalcs!AT362)</f>
        <v>0</v>
      </c>
      <c r="AR362" s="10">
        <f>IF('PV IN'!$F$4="PV Only",0,BattCalcs!AU362)</f>
        <v>0</v>
      </c>
      <c r="AS362" s="144">
        <f>IF('PV IN'!$F$4="PV Only",PVCalcs!X362,IF('PV IN'!$F$4="Battery Only",BattCalcs!AW362,PVCalcs!X362+BattCalcs!AW362))</f>
        <v>0</v>
      </c>
      <c r="AT362" s="144">
        <f>IF('PV IN'!$F$4="Battery Only",0,-PVCalcs!AQ362*'PV IN'!$E$8)</f>
        <v>0</v>
      </c>
      <c r="AU362" s="144">
        <f>IF('PV IN'!$F$4="PV Only",0,-BattCalcs!CG362*'PV IN'!$E$8)</f>
        <v>0</v>
      </c>
      <c r="AV362" s="144">
        <f>IF('PV IN'!$F$4="PV Only",PVCalcs!Z362+PVCalcs!AA362,IF('PV IN'!$F$4="Battery Only",SUM(BattCalcs!BC362:BH362),PVCalcs!Z362+PVCalcs!AA362+SUM(BattCalcs!BC362:BH362)))</f>
        <v>0</v>
      </c>
      <c r="AW362" s="144">
        <f>IF('PV IN'!$F$4="PV Only",SUM(PVCalcs!AF362:AI362),IF('PV IN'!$F$4="Battery Only",SUM(BattCalcs!BL362:BY362),SUM(PVCalcs!AF362:AI362)+SUM(BattCalcs!BL362:BY362)))</f>
        <v>-1375</v>
      </c>
      <c r="AX362" s="144">
        <f>IF('PV IN'!$F$4="Battery Only",0,-PVLoan!F390)</f>
        <v>0</v>
      </c>
      <c r="AY362" s="144">
        <f>IF('PV IN'!$F$4="PV Only",0,-BattLoan!F390)</f>
        <v>0</v>
      </c>
      <c r="AZ362" s="144">
        <f>IF('PV IN'!$F$4="Battery Only",0,-PVLoan!H390)</f>
        <v>0</v>
      </c>
      <c r="BA362" s="144">
        <f>IF('PV IN'!$F$4="PV Only",0,-BattLoan!H390)</f>
        <v>0</v>
      </c>
    </row>
    <row r="363" spans="1:88" x14ac:dyDescent="0.25">
      <c r="A363" t="str">
        <f>IF(C363&lt;='PV IN'!$O$22*12,C363,"")</f>
        <v/>
      </c>
      <c r="C363">
        <v>359</v>
      </c>
      <c r="D363" s="2">
        <f>BattCalcs!CK363+PVCalcs!AT363</f>
        <v>8390.1094694788044</v>
      </c>
      <c r="E363" s="20">
        <f>PVCalcs!AV363</f>
        <v>2454758.9900463913</v>
      </c>
      <c r="F363" s="20">
        <f>PVCalcs!AW363</f>
        <v>1949.1911466593469</v>
      </c>
      <c r="G363" s="20" t="e">
        <f>PVCalcs!AX363</f>
        <v>#N/A</v>
      </c>
      <c r="H363" s="20">
        <f>BattCalcs!CM363</f>
        <v>0</v>
      </c>
      <c r="I363" s="20">
        <f>BattCalcs!CN363</f>
        <v>0</v>
      </c>
      <c r="J363" s="20" t="e">
        <f>IF(C363&lt;='Batt IN'!H$43*12,BattCalcs!CO363,NA())</f>
        <v>#N/A</v>
      </c>
      <c r="L363" s="20">
        <f t="shared" si="826"/>
        <v>1949.1911466593469</v>
      </c>
      <c r="M363" s="20" t="e">
        <f>G363+BattCalcs!CO363</f>
        <v>#N/A</v>
      </c>
      <c r="O363" s="10" t="str">
        <f>PVLoan!G391</f>
        <v>-</v>
      </c>
      <c r="P363" s="10" t="str">
        <f>PVLoan!J391</f>
        <v>-</v>
      </c>
      <c r="Q363" s="2" t="str">
        <f>BattLoan!G391</f>
        <v>-</v>
      </c>
      <c r="R363" s="10" t="str">
        <f>BattLoan!J391</f>
        <v>-</v>
      </c>
      <c r="T363" s="33">
        <f>IF('PV IN'!$F$4="Battery Only",0,PVCalcs!G363)</f>
        <v>120111.24301078339</v>
      </c>
      <c r="U363" s="33">
        <f>IF('PV IN'!$F$4="Battery Only",0,PVCalcs!M363)</f>
        <v>120111.24301078339</v>
      </c>
      <c r="V363" s="33">
        <f>PVCalcs!L363</f>
        <v>25811.765833333331</v>
      </c>
      <c r="W363" s="158">
        <f>PVCalcs!F363</f>
        <v>7.8896523189157505E-2</v>
      </c>
      <c r="X363" s="144">
        <f>IF('PV IN'!$F$4="Battery Only",0,PVCalcs!Y363+PVCalcs!Z363)</f>
        <v>0</v>
      </c>
      <c r="Y363" s="144">
        <f>IF('PV IN'!$F$4="PV Only",0,BattCalcs!AX363+BattCalcs!BC363)</f>
        <v>0</v>
      </c>
      <c r="Z363" s="144">
        <f>IF('PV IN'!$F$4="PV Only",0,BattCalcs!AY363+BattCalcs!BD363)</f>
        <v>0</v>
      </c>
      <c r="AA363" s="144">
        <f>IF('PV IN'!$F$4="PV Only",0,BattCalcs!AZ363+BattCalcs!BE363)</f>
        <v>0</v>
      </c>
      <c r="AB363" s="144">
        <f>IF('PV IN'!$F$4="PV Only",0,BattCalcs!BA363+BattCalcs!BF363)</f>
        <v>0</v>
      </c>
      <c r="AC363" s="144">
        <f>IF('PV IN'!$F$4="PV Only",0,BattCalcs!BB363+BattCalcs!BG363)</f>
        <v>0</v>
      </c>
      <c r="AD363" s="144">
        <f>IF('PV IN'!$F$4="PV Only",0,BattCalcs!BU363)</f>
        <v>0</v>
      </c>
      <c r="AE363" s="144">
        <f>IF('PV IN'!$F$4="PV Only",PVCalcs!W363+PVCalcs!AA363,IF('PV IN'!$F$4="Battery Only",BattCalcs!AV363+BattCalcs!BH363,PVCalcs!W363+PVCalcs!AA363+BattCalcs!AV363+BattCalcs!BH363))</f>
        <v>0</v>
      </c>
      <c r="AF363" s="10">
        <f>PVCalcs!AC363+BattCalcs!BJ363</f>
        <v>0</v>
      </c>
      <c r="AG363" s="144">
        <f>IF('PV IN'!$F$4="Battery Only",0,PVCalcs!AG363)</f>
        <v>-750</v>
      </c>
      <c r="AH363" s="144">
        <f>IF('PV IN'!$F$4="Battery Only",0,PVCalcs!AI363)</f>
        <v>0</v>
      </c>
      <c r="AI363" s="144">
        <f>IF('PV IN'!$F$4="PV Only",0,BattCalcs!BM363)</f>
        <v>0</v>
      </c>
      <c r="AJ363" s="144">
        <f>IF('PV IN'!$F$4="PV Only",0,SUM(BattCalcs!BO363:BT363))</f>
        <v>0</v>
      </c>
      <c r="AK363" s="144">
        <f>IF('PV IN'!$F$4="PV Only",PVCalcs!AH363,IF('PV IN'!$F$4="Battery Only",BattCalcs!BN363,PVCalcs!AH363+BattCalcs!BN363))</f>
        <v>-625</v>
      </c>
      <c r="AL363" s="144">
        <f>IF('PV IN'!$F$4="PV Only",0,BattCalcs!BV363)</f>
        <v>0</v>
      </c>
      <c r="AM363" s="144">
        <f>IF('PV IN'!$F$4="PV Only",0,SUM(BattCalcs!BW363:BX363))</f>
        <v>0</v>
      </c>
      <c r="AN363" s="144">
        <f>IF('PV IN'!$F$4="PV Only",0,BattCalcs!BY363)</f>
        <v>0</v>
      </c>
      <c r="AO363" s="144">
        <f>IF('PV IN'!$F$4="Battery Only",0,PVCalcs!U363)</f>
        <v>9476.3594694788044</v>
      </c>
      <c r="AP363" s="10">
        <f>IF('PV IN'!$F$4="PV Only",0,BattCalcs!AS363)</f>
        <v>0</v>
      </c>
      <c r="AQ363" s="10">
        <f>IF('PV IN'!$F$4="PV Only",0,BattCalcs!AT363)</f>
        <v>0</v>
      </c>
      <c r="AR363" s="10">
        <f>IF('PV IN'!$F$4="PV Only",0,BattCalcs!AU363)</f>
        <v>0</v>
      </c>
      <c r="AS363" s="144">
        <f>IF('PV IN'!$F$4="PV Only",PVCalcs!X363,IF('PV IN'!$F$4="Battery Only",BattCalcs!AW363,PVCalcs!X363+BattCalcs!AW363))</f>
        <v>0</v>
      </c>
      <c r="AT363" s="144">
        <f>IF('PV IN'!$F$4="Battery Only",0,-PVCalcs!AQ363*'PV IN'!$E$8)</f>
        <v>0</v>
      </c>
      <c r="AU363" s="144">
        <f>IF('PV IN'!$F$4="PV Only",0,-BattCalcs!CG363*'PV IN'!$E$8)</f>
        <v>0</v>
      </c>
      <c r="AV363" s="144">
        <f>IF('PV IN'!$F$4="PV Only",PVCalcs!Z363+PVCalcs!AA363,IF('PV IN'!$F$4="Battery Only",SUM(BattCalcs!BC363:BH363),PVCalcs!Z363+PVCalcs!AA363+SUM(BattCalcs!BC363:BH363)))</f>
        <v>0</v>
      </c>
      <c r="AW363" s="144">
        <f>IF('PV IN'!$F$4="PV Only",SUM(PVCalcs!AF363:AI363),IF('PV IN'!$F$4="Battery Only",SUM(BattCalcs!BL363:BY363),SUM(PVCalcs!AF363:AI363)+SUM(BattCalcs!BL363:BY363)))</f>
        <v>-1375</v>
      </c>
      <c r="AX363" s="144">
        <f>IF('PV IN'!$F$4="Battery Only",0,-PVLoan!F391)</f>
        <v>0</v>
      </c>
      <c r="AY363" s="144">
        <f>IF('PV IN'!$F$4="PV Only",0,-BattLoan!F391)</f>
        <v>0</v>
      </c>
      <c r="AZ363" s="144">
        <f>IF('PV IN'!$F$4="Battery Only",0,-PVLoan!H391)</f>
        <v>0</v>
      </c>
      <c r="BA363" s="144">
        <f>IF('PV IN'!$F$4="PV Only",0,-BattLoan!H391)</f>
        <v>0</v>
      </c>
    </row>
    <row r="364" spans="1:88" x14ac:dyDescent="0.25">
      <c r="A364" t="str">
        <f>IF(C364&lt;='PV IN'!$O$22*12,C364,"")</f>
        <v/>
      </c>
      <c r="B364">
        <f>B352+1</f>
        <v>2055</v>
      </c>
      <c r="C364">
        <v>360</v>
      </c>
      <c r="D364" s="2">
        <f>BattCalcs!CK364+PVCalcs!AT364</f>
        <v>8383.7918964991513</v>
      </c>
      <c r="E364" s="20">
        <f>PVCalcs!AV364</f>
        <v>2463142.7819428905</v>
      </c>
      <c r="F364" s="20">
        <f>PVCalcs!AW364</f>
        <v>1939.8203790735674</v>
      </c>
      <c r="G364" s="20" t="e">
        <f>PVCalcs!AX364</f>
        <v>#N/A</v>
      </c>
      <c r="H364" s="20">
        <f>BattCalcs!CM364</f>
        <v>0</v>
      </c>
      <c r="I364" s="20">
        <f>BattCalcs!CN364</f>
        <v>0</v>
      </c>
      <c r="J364" s="20" t="e">
        <f>IF(C364&lt;='Batt IN'!H$43*12,BattCalcs!CO364,NA())</f>
        <v>#N/A</v>
      </c>
      <c r="L364" s="20">
        <f t="shared" si="826"/>
        <v>1939.8203790735674</v>
      </c>
      <c r="M364" s="20" t="e">
        <f>G364+BattCalcs!CO364</f>
        <v>#N/A</v>
      </c>
      <c r="O364" s="10" t="str">
        <f>PVLoan!G392</f>
        <v>-</v>
      </c>
      <c r="P364" s="10" t="str">
        <f>PVLoan!J392</f>
        <v>-</v>
      </c>
      <c r="Q364" s="2" t="str">
        <f>BattLoan!G392</f>
        <v>-</v>
      </c>
      <c r="R364" s="10" t="str">
        <f>BattLoan!J392</f>
        <v>-</v>
      </c>
      <c r="T364" s="33">
        <f>IF('PV IN'!$F$4="Battery Only",0,PVCalcs!G364)</f>
        <v>120031.1688487762</v>
      </c>
      <c r="U364" s="33">
        <f>IF('PV IN'!$F$4="Battery Only",0,PVCalcs!M364)</f>
        <v>120031.1688487762</v>
      </c>
      <c r="V364" s="33">
        <f>PVCalcs!L364</f>
        <v>25811.765833333331</v>
      </c>
      <c r="W364" s="158">
        <f>PVCalcs!F364</f>
        <v>7.8896523189157505E-2</v>
      </c>
      <c r="X364" s="144">
        <f>IF('PV IN'!$F$4="Battery Only",0,PVCalcs!Y364+PVCalcs!Z364)</f>
        <v>0</v>
      </c>
      <c r="Y364" s="144">
        <f>IF('PV IN'!$F$4="PV Only",0,BattCalcs!AX364+BattCalcs!BC364)</f>
        <v>0</v>
      </c>
      <c r="Z364" s="144">
        <f>IF('PV IN'!$F$4="PV Only",0,BattCalcs!AY364+BattCalcs!BD364)</f>
        <v>0</v>
      </c>
      <c r="AA364" s="144">
        <f>IF('PV IN'!$F$4="PV Only",0,BattCalcs!AZ364+BattCalcs!BE364)</f>
        <v>0</v>
      </c>
      <c r="AB364" s="144">
        <f>IF('PV IN'!$F$4="PV Only",0,BattCalcs!BA364+BattCalcs!BF364)</f>
        <v>0</v>
      </c>
      <c r="AC364" s="144">
        <f>IF('PV IN'!$F$4="PV Only",0,BattCalcs!BB364+BattCalcs!BG364)</f>
        <v>0</v>
      </c>
      <c r="AD364" s="144">
        <f>IF('PV IN'!$F$4="PV Only",0,BattCalcs!BU364)</f>
        <v>0</v>
      </c>
      <c r="AE364" s="144">
        <f>IF('PV IN'!$F$4="PV Only",PVCalcs!W364+PVCalcs!AA364,IF('PV IN'!$F$4="Battery Only",BattCalcs!AV364+BattCalcs!BH364,PVCalcs!W364+PVCalcs!AA364+BattCalcs!AV364+BattCalcs!BH364))</f>
        <v>0</v>
      </c>
      <c r="AF364" s="10">
        <f>PVCalcs!AC364+BattCalcs!BJ364</f>
        <v>0</v>
      </c>
      <c r="AG364" s="144">
        <f>IF('PV IN'!$F$4="Battery Only",0,PVCalcs!AG364)</f>
        <v>-750</v>
      </c>
      <c r="AH364" s="144">
        <f>IF('PV IN'!$F$4="Battery Only",0,PVCalcs!AI364)</f>
        <v>0</v>
      </c>
      <c r="AI364" s="144">
        <f>IF('PV IN'!$F$4="PV Only",0,BattCalcs!BM364)</f>
        <v>0</v>
      </c>
      <c r="AJ364" s="144">
        <f>IF('PV IN'!$F$4="PV Only",0,SUM(BattCalcs!BO364:BT364))</f>
        <v>0</v>
      </c>
      <c r="AK364" s="144">
        <f>IF('PV IN'!$F$4="PV Only",PVCalcs!AH364,IF('PV IN'!$F$4="Battery Only",BattCalcs!BN364,PVCalcs!AH364+BattCalcs!BN364))</f>
        <v>-625</v>
      </c>
      <c r="AL364" s="144">
        <f>IF('PV IN'!$F$4="PV Only",0,BattCalcs!BV364)</f>
        <v>0</v>
      </c>
      <c r="AM364" s="144">
        <f>IF('PV IN'!$F$4="PV Only",0,SUM(BattCalcs!BW364:BX364))</f>
        <v>0</v>
      </c>
      <c r="AN364" s="144">
        <f>IF('PV IN'!$F$4="PV Only",0,BattCalcs!BY364)</f>
        <v>0</v>
      </c>
      <c r="AO364" s="144">
        <f>IF('PV IN'!$F$4="Battery Only",0,PVCalcs!U364)</f>
        <v>9470.0418964991513</v>
      </c>
      <c r="AP364" s="10">
        <f>IF('PV IN'!$F$4="PV Only",0,BattCalcs!AS364)</f>
        <v>0</v>
      </c>
      <c r="AQ364" s="10">
        <f>IF('PV IN'!$F$4="PV Only",0,BattCalcs!AT364)</f>
        <v>0</v>
      </c>
      <c r="AR364" s="10">
        <f>IF('PV IN'!$F$4="PV Only",0,BattCalcs!AU364)</f>
        <v>0</v>
      </c>
      <c r="AS364" s="144">
        <f>IF('PV IN'!$F$4="PV Only",PVCalcs!X364,IF('PV IN'!$F$4="Battery Only",BattCalcs!AW364,PVCalcs!X364+BattCalcs!AW364))</f>
        <v>0</v>
      </c>
      <c r="AT364" s="144">
        <f>IF('PV IN'!$F$4="Battery Only",0,-PVCalcs!AQ364*'PV IN'!$E$8)</f>
        <v>0</v>
      </c>
      <c r="AU364" s="144">
        <f>IF('PV IN'!$F$4="PV Only",0,-BattCalcs!CG364*'PV IN'!$E$8)</f>
        <v>0</v>
      </c>
      <c r="AV364" s="144">
        <f>IF('PV IN'!$F$4="PV Only",PVCalcs!Z364+PVCalcs!AA364,IF('PV IN'!$F$4="Battery Only",SUM(BattCalcs!BC364:BH364),PVCalcs!Z364+PVCalcs!AA364+SUM(BattCalcs!BC364:BH364)))</f>
        <v>0</v>
      </c>
      <c r="AW364" s="144">
        <f>IF('PV IN'!$F$4="PV Only",SUM(PVCalcs!AF364:AI364),IF('PV IN'!$F$4="Battery Only",SUM(BattCalcs!BL364:BY364),SUM(PVCalcs!AF364:AI364)+SUM(BattCalcs!BL364:BY364)))</f>
        <v>-1375</v>
      </c>
      <c r="AX364" s="144">
        <f>IF('PV IN'!$F$4="Battery Only",0,-PVLoan!F392)</f>
        <v>0</v>
      </c>
      <c r="AY364" s="144">
        <f>IF('PV IN'!$F$4="PV Only",0,-BattLoan!F392)</f>
        <v>0</v>
      </c>
      <c r="AZ364" s="144">
        <f>IF('PV IN'!$F$4="Battery Only",0,-PVLoan!H392)</f>
        <v>0</v>
      </c>
      <c r="BA364" s="144">
        <f>IF('PV IN'!$F$4="PV Only",0,-BattLoan!H392)</f>
        <v>0</v>
      </c>
      <c r="BC364" s="33">
        <f t="shared" ref="BC364" si="963">SUM(T353:T364)</f>
        <v>1445670.6905815843</v>
      </c>
      <c r="BD364" s="33">
        <f t="shared" ref="BD364" si="964">SUM(U353:U364)</f>
        <v>1445670.6905815843</v>
      </c>
      <c r="BE364" s="33">
        <f t="shared" ref="BE364" si="965">SUM(V353:V364)</f>
        <v>309741.19</v>
      </c>
      <c r="BF364" s="50">
        <f t="shared" ref="BF364" si="966">W364</f>
        <v>7.8896523189157505E-2</v>
      </c>
      <c r="BG364" s="2">
        <f t="shared" ref="BG364" si="967">SUM(X353:X364)</f>
        <v>0</v>
      </c>
      <c r="BH364" s="2">
        <f t="shared" ref="BH364" si="968">SUM(Y353:Y364)</f>
        <v>0</v>
      </c>
      <c r="BI364" s="2">
        <f t="shared" ref="BI364" si="969">SUM(Z353:Z364)</f>
        <v>0</v>
      </c>
      <c r="BJ364" s="2">
        <f t="shared" ref="BJ364" si="970">SUM(AA353:AA364)</f>
        <v>0</v>
      </c>
      <c r="BK364" s="2">
        <f t="shared" ref="BK364" si="971">SUM(AB353:AB364)</f>
        <v>0</v>
      </c>
      <c r="BL364" s="2">
        <f t="shared" ref="BL364" si="972">SUM(AC353:AC364)</f>
        <v>0</v>
      </c>
      <c r="BM364" s="2">
        <f t="shared" ref="BM364" si="973">SUM(AD353:AD364)</f>
        <v>0</v>
      </c>
      <c r="BN364" s="2">
        <f t="shared" ref="BN364" si="974">SUM(AE353:AE364)</f>
        <v>0</v>
      </c>
      <c r="BO364" s="2">
        <f t="shared" ref="BO364" si="975">SUM(AF353:AF364)</f>
        <v>0</v>
      </c>
      <c r="BP364" s="2">
        <f t="shared" ref="BP364" si="976">SUM(AG353:AG364)</f>
        <v>-9000</v>
      </c>
      <c r="BQ364" s="2">
        <f t="shared" ref="BQ364" si="977">SUM(AH353:AH364)</f>
        <v>0</v>
      </c>
      <c r="BR364" s="2">
        <f t="shared" ref="BR364" si="978">SUM(AI353:AI364)</f>
        <v>0</v>
      </c>
      <c r="BS364" s="2">
        <f t="shared" ref="BS364" si="979">SUM(AJ353:AJ364)</f>
        <v>0</v>
      </c>
      <c r="BT364" s="2">
        <f t="shared" ref="BT364" si="980">SUM(AK353:AK364)</f>
        <v>-7500</v>
      </c>
      <c r="BU364" s="2">
        <f t="shared" ref="BU364" si="981">SUM(AL353:AL364)</f>
        <v>0</v>
      </c>
      <c r="BV364" s="2">
        <f t="shared" ref="BV364" si="982">SUM(AM353:AM364)</f>
        <v>0</v>
      </c>
      <c r="BW364" s="2">
        <f t="shared" ref="BW364" si="983">SUM(AN353:AN364)</f>
        <v>0</v>
      </c>
      <c r="BX364" s="2">
        <f t="shared" ref="BX364" si="984">SUM(AO353:AO364)</f>
        <v>114058.39116335531</v>
      </c>
      <c r="BY364" s="2">
        <f t="shared" ref="BY364" si="985">SUM(AP353:AP364)</f>
        <v>0</v>
      </c>
      <c r="BZ364" s="2">
        <f t="shared" ref="BZ364" si="986">SUM(AQ353:AQ364)</f>
        <v>0</v>
      </c>
      <c r="CA364" s="2">
        <f t="shared" ref="CA364" si="987">SUM(AR353:AR364)</f>
        <v>0</v>
      </c>
      <c r="CB364" s="2">
        <f t="shared" ref="CB364" si="988">SUM(AS353:AS364)</f>
        <v>0</v>
      </c>
      <c r="CC364" s="2">
        <f t="shared" ref="CC364" si="989">SUM(AT353:AT364)</f>
        <v>0</v>
      </c>
      <c r="CD364" s="2">
        <f t="shared" ref="CD364" si="990">SUM(AU353:AU364)</f>
        <v>0</v>
      </c>
      <c r="CE364" s="2">
        <f t="shared" ref="CE364" si="991">SUM(AV353:AV364)</f>
        <v>0</v>
      </c>
      <c r="CF364" s="2">
        <f t="shared" ref="CF364" si="992">SUM(AW353:AW364)</f>
        <v>-16500</v>
      </c>
      <c r="CG364" s="2">
        <f t="shared" ref="CG364" si="993">SUM(AX353:AX364)</f>
        <v>0</v>
      </c>
      <c r="CH364" s="2">
        <f t="shared" ref="CH364" si="994">SUM(AY353:AY364)</f>
        <v>0</v>
      </c>
      <c r="CI364" s="2">
        <f t="shared" ref="CI364" si="995">SUM(AZ353:AZ364)</f>
        <v>0</v>
      </c>
      <c r="CJ364" s="2">
        <f t="shared" ref="CJ364" si="996">SUM(BA353:BA364)</f>
        <v>0</v>
      </c>
    </row>
    <row r="365" spans="1:88" x14ac:dyDescent="0.25">
      <c r="A365" t="str">
        <f>IF(C365&lt;='PV IN'!$O$22*12,C365,"")</f>
        <v/>
      </c>
      <c r="C365">
        <v>361</v>
      </c>
      <c r="D365" s="2">
        <f>BattCalcs!CK365+PVCalcs!AT365</f>
        <v>8377.478535234819</v>
      </c>
      <c r="E365" s="20">
        <f>PVCalcs!AV365</f>
        <v>2471520.2604781254</v>
      </c>
      <c r="F365" s="20">
        <f>PVCalcs!AW365</f>
        <v>1930.4945359486712</v>
      </c>
      <c r="G365" s="20" t="e">
        <f>PVCalcs!AX365</f>
        <v>#N/A</v>
      </c>
      <c r="H365" s="20">
        <f>BattCalcs!CM365</f>
        <v>0</v>
      </c>
      <c r="I365" s="20">
        <f>BattCalcs!CN365</f>
        <v>0</v>
      </c>
      <c r="J365" s="20" t="e">
        <f>IF(C365&lt;='Batt IN'!H$43*12,BattCalcs!CO365,NA())</f>
        <v>#N/A</v>
      </c>
      <c r="L365" s="20">
        <f t="shared" ref="L365:L428" si="997">F365+I365</f>
        <v>1930.4945359486712</v>
      </c>
      <c r="M365" s="20" t="e">
        <f>G365+BattCalcs!CO365</f>
        <v>#N/A</v>
      </c>
      <c r="O365" s="10" t="str">
        <f>PVLoan!G393</f>
        <v>-</v>
      </c>
      <c r="P365" s="10" t="str">
        <f>PVLoan!J393</f>
        <v>-</v>
      </c>
      <c r="Q365" s="2" t="str">
        <f>BattLoan!G393</f>
        <v>-</v>
      </c>
      <c r="R365" s="10" t="str">
        <f>BattLoan!J393</f>
        <v>-</v>
      </c>
      <c r="T365" s="33">
        <f>IF('PV IN'!$F$4="Battery Only",0,PVCalcs!G365)</f>
        <v>119951.14806954369</v>
      </c>
      <c r="U365" s="33">
        <f>IF('PV IN'!$F$4="Battery Only",0,PVCalcs!M365)</f>
        <v>119951.14806954369</v>
      </c>
      <c r="V365" s="33">
        <f>PVCalcs!L365</f>
        <v>25811.765833333331</v>
      </c>
      <c r="W365" s="158">
        <f>PVCalcs!F365</f>
        <v>7.8896523189157505E-2</v>
      </c>
      <c r="X365" s="144">
        <f>IF('PV IN'!$F$4="Battery Only",0,PVCalcs!Y365+PVCalcs!Z365)</f>
        <v>0</v>
      </c>
      <c r="Y365" s="144">
        <f>IF('PV IN'!$F$4="PV Only",0,BattCalcs!AX365+BattCalcs!BC365)</f>
        <v>0</v>
      </c>
      <c r="Z365" s="144">
        <f>IF('PV IN'!$F$4="PV Only",0,BattCalcs!AY365+BattCalcs!BD365)</f>
        <v>0</v>
      </c>
      <c r="AA365" s="144">
        <f>IF('PV IN'!$F$4="PV Only",0,BattCalcs!AZ365+BattCalcs!BE365)</f>
        <v>0</v>
      </c>
      <c r="AB365" s="144">
        <f>IF('PV IN'!$F$4="PV Only",0,BattCalcs!BA365+BattCalcs!BF365)</f>
        <v>0</v>
      </c>
      <c r="AC365" s="144">
        <f>IF('PV IN'!$F$4="PV Only",0,BattCalcs!BB365+BattCalcs!BG365)</f>
        <v>0</v>
      </c>
      <c r="AD365" s="144">
        <f>IF('PV IN'!$F$4="PV Only",0,BattCalcs!BU365)</f>
        <v>0</v>
      </c>
      <c r="AE365" s="144">
        <f>IF('PV IN'!$F$4="PV Only",PVCalcs!W365+PVCalcs!AA365,IF('PV IN'!$F$4="Battery Only",BattCalcs!AV365+BattCalcs!BH365,PVCalcs!W365+PVCalcs!AA365+BattCalcs!AV365+BattCalcs!BH365))</f>
        <v>0</v>
      </c>
      <c r="AF365" s="10">
        <f>PVCalcs!AC365+BattCalcs!BJ365</f>
        <v>0</v>
      </c>
      <c r="AG365" s="144">
        <f>IF('PV IN'!$F$4="Battery Only",0,PVCalcs!AG365)</f>
        <v>-750</v>
      </c>
      <c r="AH365" s="144">
        <f>IF('PV IN'!$F$4="Battery Only",0,PVCalcs!AI365)</f>
        <v>0</v>
      </c>
      <c r="AI365" s="144">
        <f>IF('PV IN'!$F$4="PV Only",0,BattCalcs!BM365)</f>
        <v>0</v>
      </c>
      <c r="AJ365" s="144">
        <f>IF('PV IN'!$F$4="PV Only",0,SUM(BattCalcs!BO365:BT365))</f>
        <v>0</v>
      </c>
      <c r="AK365" s="144">
        <f>IF('PV IN'!$F$4="PV Only",PVCalcs!AH365,IF('PV IN'!$F$4="Battery Only",BattCalcs!BN365,PVCalcs!AH365+BattCalcs!BN365))</f>
        <v>-625</v>
      </c>
      <c r="AL365" s="144">
        <f>IF('PV IN'!$F$4="PV Only",0,BattCalcs!BV365)</f>
        <v>0</v>
      </c>
      <c r="AM365" s="144">
        <f>IF('PV IN'!$F$4="PV Only",0,SUM(BattCalcs!BW365:BX365))</f>
        <v>0</v>
      </c>
      <c r="AN365" s="144">
        <f>IF('PV IN'!$F$4="PV Only",0,BattCalcs!BY365)</f>
        <v>0</v>
      </c>
      <c r="AO365" s="144">
        <f>IF('PV IN'!$F$4="Battery Only",0,PVCalcs!U365)</f>
        <v>9463.728535234819</v>
      </c>
      <c r="AP365" s="10">
        <f>IF('PV IN'!$F$4="PV Only",0,BattCalcs!AS365)</f>
        <v>0</v>
      </c>
      <c r="AQ365" s="10">
        <f>IF('PV IN'!$F$4="PV Only",0,BattCalcs!AT365)</f>
        <v>0</v>
      </c>
      <c r="AR365" s="10">
        <f>IF('PV IN'!$F$4="PV Only",0,BattCalcs!AU365)</f>
        <v>0</v>
      </c>
      <c r="AS365" s="144">
        <f>IF('PV IN'!$F$4="PV Only",PVCalcs!X365,IF('PV IN'!$F$4="Battery Only",BattCalcs!AW365,PVCalcs!X365+BattCalcs!AW365))</f>
        <v>0</v>
      </c>
      <c r="AT365" s="144">
        <f>IF('PV IN'!$F$4="Battery Only",0,-PVCalcs!AQ365*'PV IN'!$E$8)</f>
        <v>0</v>
      </c>
      <c r="AU365" s="144">
        <f>IF('PV IN'!$F$4="PV Only",0,-BattCalcs!CG365*'PV IN'!$E$8)</f>
        <v>0</v>
      </c>
      <c r="AV365" s="144">
        <f>IF('PV IN'!$F$4="PV Only",PVCalcs!Z365+PVCalcs!AA365,IF('PV IN'!$F$4="Battery Only",SUM(BattCalcs!BC365:BH365),PVCalcs!Z365+PVCalcs!AA365+SUM(BattCalcs!BC365:BH365)))</f>
        <v>0</v>
      </c>
      <c r="AW365" s="144">
        <f>IF('PV IN'!$F$4="PV Only",SUM(PVCalcs!AF365:AI365),IF('PV IN'!$F$4="Battery Only",SUM(BattCalcs!BL365:BY365),SUM(PVCalcs!AF365:AI365)+SUM(BattCalcs!BL365:BY365)))</f>
        <v>-1375</v>
      </c>
      <c r="AX365" s="144">
        <f>IF('PV IN'!$F$4="Battery Only",0,-PVLoan!F393)</f>
        <v>0</v>
      </c>
      <c r="AY365" s="144">
        <f>IF('PV IN'!$F$4="PV Only",0,-BattLoan!F393)</f>
        <v>0</v>
      </c>
      <c r="AZ365" s="144">
        <f>IF('PV IN'!$F$4="Battery Only",0,-PVLoan!H393)</f>
        <v>0</v>
      </c>
      <c r="BA365" s="144">
        <f>IF('PV IN'!$F$4="PV Only",0,-BattLoan!H393)</f>
        <v>0</v>
      </c>
    </row>
    <row r="366" spans="1:88" x14ac:dyDescent="0.25">
      <c r="A366" t="str">
        <f>IF(C366&lt;='PV IN'!$O$22*12,C366,"")</f>
        <v/>
      </c>
      <c r="C366">
        <v>362</v>
      </c>
      <c r="D366" s="2">
        <f>BattCalcs!CK366+PVCalcs!AT366</f>
        <v>8371.1693828779953</v>
      </c>
      <c r="E366" s="20">
        <f>PVCalcs!AV366</f>
        <v>2479891.4298610035</v>
      </c>
      <c r="F366" s="20">
        <f>PVCalcs!AW366</f>
        <v>1921.2134024127308</v>
      </c>
      <c r="G366" s="20" t="e">
        <f>PVCalcs!AX366</f>
        <v>#N/A</v>
      </c>
      <c r="H366" s="20">
        <f>BattCalcs!CM366</f>
        <v>0</v>
      </c>
      <c r="I366" s="20">
        <f>BattCalcs!CN366</f>
        <v>0</v>
      </c>
      <c r="J366" s="20" t="e">
        <f>IF(C366&lt;='Batt IN'!H$43*12,BattCalcs!CO366,NA())</f>
        <v>#N/A</v>
      </c>
      <c r="L366" s="20">
        <f t="shared" si="997"/>
        <v>1921.2134024127308</v>
      </c>
      <c r="M366" s="20" t="e">
        <f>G366+BattCalcs!CO366</f>
        <v>#N/A</v>
      </c>
      <c r="O366" s="10" t="str">
        <f>PVLoan!G394</f>
        <v>-</v>
      </c>
      <c r="P366" s="10" t="str">
        <f>PVLoan!J394</f>
        <v>-</v>
      </c>
      <c r="Q366" s="2" t="str">
        <f>BattLoan!G394</f>
        <v>-</v>
      </c>
      <c r="R366" s="10" t="str">
        <f>BattLoan!J394</f>
        <v>-</v>
      </c>
      <c r="T366" s="33">
        <f>IF('PV IN'!$F$4="Battery Only",0,PVCalcs!G366)</f>
        <v>119871.18063749732</v>
      </c>
      <c r="U366" s="33">
        <f>IF('PV IN'!$F$4="Battery Only",0,PVCalcs!M366)</f>
        <v>119871.18063749732</v>
      </c>
      <c r="V366" s="33">
        <f>PVCalcs!L366</f>
        <v>0</v>
      </c>
      <c r="W366" s="158">
        <f>PVCalcs!F366</f>
        <v>7.8896523189157505E-2</v>
      </c>
      <c r="X366" s="144">
        <f>IF('PV IN'!$F$4="Battery Only",0,PVCalcs!Y366+PVCalcs!Z366)</f>
        <v>0</v>
      </c>
      <c r="Y366" s="144">
        <f>IF('PV IN'!$F$4="PV Only",0,BattCalcs!AX366+BattCalcs!BC366)</f>
        <v>0</v>
      </c>
      <c r="Z366" s="144">
        <f>IF('PV IN'!$F$4="PV Only",0,BattCalcs!AY366+BattCalcs!BD366)</f>
        <v>0</v>
      </c>
      <c r="AA366" s="144">
        <f>IF('PV IN'!$F$4="PV Only",0,BattCalcs!AZ366+BattCalcs!BE366)</f>
        <v>0</v>
      </c>
      <c r="AB366" s="144">
        <f>IF('PV IN'!$F$4="PV Only",0,BattCalcs!BA366+BattCalcs!BF366)</f>
        <v>0</v>
      </c>
      <c r="AC366" s="144">
        <f>IF('PV IN'!$F$4="PV Only",0,BattCalcs!BB366+BattCalcs!BG366)</f>
        <v>0</v>
      </c>
      <c r="AD366" s="144">
        <f>IF('PV IN'!$F$4="PV Only",0,BattCalcs!BU366)</f>
        <v>0</v>
      </c>
      <c r="AE366" s="144">
        <f>IF('PV IN'!$F$4="PV Only",PVCalcs!W366+PVCalcs!AA366,IF('PV IN'!$F$4="Battery Only",BattCalcs!AV366+BattCalcs!BH366,PVCalcs!W366+PVCalcs!AA366+BattCalcs!AV366+BattCalcs!BH366))</f>
        <v>0</v>
      </c>
      <c r="AF366" s="10">
        <f>PVCalcs!AC366+BattCalcs!BJ366</f>
        <v>0</v>
      </c>
      <c r="AG366" s="144">
        <f>IF('PV IN'!$F$4="Battery Only",0,PVCalcs!AG366)</f>
        <v>-750</v>
      </c>
      <c r="AH366" s="144">
        <f>IF('PV IN'!$F$4="Battery Only",0,PVCalcs!AI366)</f>
        <v>0</v>
      </c>
      <c r="AI366" s="144">
        <f>IF('PV IN'!$F$4="PV Only",0,BattCalcs!BM366)</f>
        <v>0</v>
      </c>
      <c r="AJ366" s="144">
        <f>IF('PV IN'!$F$4="PV Only",0,SUM(BattCalcs!BO366:BT366))</f>
        <v>0</v>
      </c>
      <c r="AK366" s="144">
        <f>IF('PV IN'!$F$4="PV Only",PVCalcs!AH366,IF('PV IN'!$F$4="Battery Only",BattCalcs!BN366,PVCalcs!AH366+BattCalcs!BN366))</f>
        <v>-625</v>
      </c>
      <c r="AL366" s="144">
        <f>IF('PV IN'!$F$4="PV Only",0,BattCalcs!BV366)</f>
        <v>0</v>
      </c>
      <c r="AM366" s="144">
        <f>IF('PV IN'!$F$4="PV Only",0,SUM(BattCalcs!BW366:BX366))</f>
        <v>0</v>
      </c>
      <c r="AN366" s="144">
        <f>IF('PV IN'!$F$4="PV Only",0,BattCalcs!BY366)</f>
        <v>0</v>
      </c>
      <c r="AO366" s="144">
        <f>IF('PV IN'!$F$4="Battery Only",0,PVCalcs!U366)</f>
        <v>9457.4193828779953</v>
      </c>
      <c r="AP366" s="10">
        <f>IF('PV IN'!$F$4="PV Only",0,BattCalcs!AS366)</f>
        <v>0</v>
      </c>
      <c r="AQ366" s="10">
        <f>IF('PV IN'!$F$4="PV Only",0,BattCalcs!AT366)</f>
        <v>0</v>
      </c>
      <c r="AR366" s="10">
        <f>IF('PV IN'!$F$4="PV Only",0,BattCalcs!AU366)</f>
        <v>0</v>
      </c>
      <c r="AS366" s="144">
        <f>IF('PV IN'!$F$4="PV Only",PVCalcs!X366,IF('PV IN'!$F$4="Battery Only",BattCalcs!AW366,PVCalcs!X366+BattCalcs!AW366))</f>
        <v>0</v>
      </c>
      <c r="AT366" s="144">
        <f>IF('PV IN'!$F$4="Battery Only",0,-PVCalcs!AQ366*'PV IN'!$E$8)</f>
        <v>0</v>
      </c>
      <c r="AU366" s="144">
        <f>IF('PV IN'!$F$4="PV Only",0,-BattCalcs!CG366*'PV IN'!$E$8)</f>
        <v>0</v>
      </c>
      <c r="AV366" s="144">
        <f>IF('PV IN'!$F$4="PV Only",PVCalcs!Z366+PVCalcs!AA366,IF('PV IN'!$F$4="Battery Only",SUM(BattCalcs!BC366:BH366),PVCalcs!Z366+PVCalcs!AA366+SUM(BattCalcs!BC366:BH366)))</f>
        <v>0</v>
      </c>
      <c r="AW366" s="144">
        <f>IF('PV IN'!$F$4="PV Only",SUM(PVCalcs!AF366:AI366),IF('PV IN'!$F$4="Battery Only",SUM(BattCalcs!BL366:BY366),SUM(PVCalcs!AF366:AI366)+SUM(BattCalcs!BL366:BY366)))</f>
        <v>-1375</v>
      </c>
      <c r="AX366" s="144">
        <f>IF('PV IN'!$F$4="Battery Only",0,-PVLoan!F394)</f>
        <v>0</v>
      </c>
      <c r="AY366" s="144">
        <f>IF('PV IN'!$F$4="PV Only",0,-BattLoan!F394)</f>
        <v>0</v>
      </c>
      <c r="AZ366" s="144">
        <f>IF('PV IN'!$F$4="Battery Only",0,-PVLoan!H394)</f>
        <v>0</v>
      </c>
      <c r="BA366" s="144">
        <f>IF('PV IN'!$F$4="PV Only",0,-BattLoan!H394)</f>
        <v>0</v>
      </c>
    </row>
    <row r="367" spans="1:88" x14ac:dyDescent="0.25">
      <c r="A367" t="str">
        <f>IF(C367&lt;='PV IN'!$O$22*12,C367,"")</f>
        <v/>
      </c>
      <c r="C367">
        <v>363</v>
      </c>
      <c r="D367" s="2">
        <f>BattCalcs!CK367+PVCalcs!AT367</f>
        <v>8364.8644366227418</v>
      </c>
      <c r="E367" s="20">
        <f>PVCalcs!AV367</f>
        <v>2488256.2942976262</v>
      </c>
      <c r="F367" s="20">
        <f>PVCalcs!AW367</f>
        <v>1911.9767646195403</v>
      </c>
      <c r="G367" s="20" t="e">
        <f>PVCalcs!AX367</f>
        <v>#N/A</v>
      </c>
      <c r="H367" s="20">
        <f>BattCalcs!CM367</f>
        <v>0</v>
      </c>
      <c r="I367" s="20">
        <f>BattCalcs!CN367</f>
        <v>0</v>
      </c>
      <c r="J367" s="20" t="e">
        <f>IF(C367&lt;='Batt IN'!H$43*12,BattCalcs!CO367,NA())</f>
        <v>#N/A</v>
      </c>
      <c r="L367" s="20">
        <f t="shared" si="997"/>
        <v>1911.9767646195403</v>
      </c>
      <c r="M367" s="20" t="e">
        <f>G367+BattCalcs!CO367</f>
        <v>#N/A</v>
      </c>
      <c r="O367" s="10" t="str">
        <f>PVLoan!G395</f>
        <v>-</v>
      </c>
      <c r="P367" s="10" t="str">
        <f>PVLoan!J395</f>
        <v>-</v>
      </c>
      <c r="Q367" s="2" t="str">
        <f>BattLoan!G395</f>
        <v>-</v>
      </c>
      <c r="R367" s="10" t="str">
        <f>BattLoan!J395</f>
        <v>-</v>
      </c>
      <c r="T367" s="33">
        <f>IF('PV IN'!$F$4="Battery Only",0,PVCalcs!G367)</f>
        <v>119791.2665170723</v>
      </c>
      <c r="U367" s="33">
        <f>IF('PV IN'!$F$4="Battery Only",0,PVCalcs!M367)</f>
        <v>119791.2665170723</v>
      </c>
      <c r="V367" s="33">
        <f>PVCalcs!L367</f>
        <v>25811.765833333331</v>
      </c>
      <c r="W367" s="158">
        <f>PVCalcs!F367</f>
        <v>7.8896523189157505E-2</v>
      </c>
      <c r="X367" s="144">
        <f>IF('PV IN'!$F$4="Battery Only",0,PVCalcs!Y367+PVCalcs!Z367)</f>
        <v>0</v>
      </c>
      <c r="Y367" s="144">
        <f>IF('PV IN'!$F$4="PV Only",0,BattCalcs!AX367+BattCalcs!BC367)</f>
        <v>0</v>
      </c>
      <c r="Z367" s="144">
        <f>IF('PV IN'!$F$4="PV Only",0,BattCalcs!AY367+BattCalcs!BD367)</f>
        <v>0</v>
      </c>
      <c r="AA367" s="144">
        <f>IF('PV IN'!$F$4="PV Only",0,BattCalcs!AZ367+BattCalcs!BE367)</f>
        <v>0</v>
      </c>
      <c r="AB367" s="144">
        <f>IF('PV IN'!$F$4="PV Only",0,BattCalcs!BA367+BattCalcs!BF367)</f>
        <v>0</v>
      </c>
      <c r="AC367" s="144">
        <f>IF('PV IN'!$F$4="PV Only",0,BattCalcs!BB367+BattCalcs!BG367)</f>
        <v>0</v>
      </c>
      <c r="AD367" s="144">
        <f>IF('PV IN'!$F$4="PV Only",0,BattCalcs!BU367)</f>
        <v>0</v>
      </c>
      <c r="AE367" s="144">
        <f>IF('PV IN'!$F$4="PV Only",PVCalcs!W367+PVCalcs!AA367,IF('PV IN'!$F$4="Battery Only",BattCalcs!AV367+BattCalcs!BH367,PVCalcs!W367+PVCalcs!AA367+BattCalcs!AV367+BattCalcs!BH367))</f>
        <v>0</v>
      </c>
      <c r="AF367" s="10">
        <f>PVCalcs!AC367+BattCalcs!BJ367</f>
        <v>0</v>
      </c>
      <c r="AG367" s="144">
        <f>IF('PV IN'!$F$4="Battery Only",0,PVCalcs!AG367)</f>
        <v>-750</v>
      </c>
      <c r="AH367" s="144">
        <f>IF('PV IN'!$F$4="Battery Only",0,PVCalcs!AI367)</f>
        <v>0</v>
      </c>
      <c r="AI367" s="144">
        <f>IF('PV IN'!$F$4="PV Only",0,BattCalcs!BM367)</f>
        <v>0</v>
      </c>
      <c r="AJ367" s="144">
        <f>IF('PV IN'!$F$4="PV Only",0,SUM(BattCalcs!BO367:BT367))</f>
        <v>0</v>
      </c>
      <c r="AK367" s="144">
        <f>IF('PV IN'!$F$4="PV Only",PVCalcs!AH367,IF('PV IN'!$F$4="Battery Only",BattCalcs!BN367,PVCalcs!AH367+BattCalcs!BN367))</f>
        <v>-625</v>
      </c>
      <c r="AL367" s="144">
        <f>IF('PV IN'!$F$4="PV Only",0,BattCalcs!BV367)</f>
        <v>0</v>
      </c>
      <c r="AM367" s="144">
        <f>IF('PV IN'!$F$4="PV Only",0,SUM(BattCalcs!BW367:BX367))</f>
        <v>0</v>
      </c>
      <c r="AN367" s="144">
        <f>IF('PV IN'!$F$4="PV Only",0,BattCalcs!BY367)</f>
        <v>0</v>
      </c>
      <c r="AO367" s="144">
        <f>IF('PV IN'!$F$4="Battery Only",0,PVCalcs!U367)</f>
        <v>9451.1144366227418</v>
      </c>
      <c r="AP367" s="10">
        <f>IF('PV IN'!$F$4="PV Only",0,BattCalcs!AS367)</f>
        <v>0</v>
      </c>
      <c r="AQ367" s="10">
        <f>IF('PV IN'!$F$4="PV Only",0,BattCalcs!AT367)</f>
        <v>0</v>
      </c>
      <c r="AR367" s="10">
        <f>IF('PV IN'!$F$4="PV Only",0,BattCalcs!AU367)</f>
        <v>0</v>
      </c>
      <c r="AS367" s="144">
        <f>IF('PV IN'!$F$4="PV Only",PVCalcs!X367,IF('PV IN'!$F$4="Battery Only",BattCalcs!AW367,PVCalcs!X367+BattCalcs!AW367))</f>
        <v>0</v>
      </c>
      <c r="AT367" s="144">
        <f>IF('PV IN'!$F$4="Battery Only",0,-PVCalcs!AQ367*'PV IN'!$E$8)</f>
        <v>0</v>
      </c>
      <c r="AU367" s="144">
        <f>IF('PV IN'!$F$4="PV Only",0,-BattCalcs!CG367*'PV IN'!$E$8)</f>
        <v>0</v>
      </c>
      <c r="AV367" s="144">
        <f>IF('PV IN'!$F$4="PV Only",PVCalcs!Z367+PVCalcs!AA367,IF('PV IN'!$F$4="Battery Only",SUM(BattCalcs!BC367:BH367),PVCalcs!Z367+PVCalcs!AA367+SUM(BattCalcs!BC367:BH367)))</f>
        <v>0</v>
      </c>
      <c r="AW367" s="144">
        <f>IF('PV IN'!$F$4="PV Only",SUM(PVCalcs!AF367:AI367),IF('PV IN'!$F$4="Battery Only",SUM(BattCalcs!BL367:BY367),SUM(PVCalcs!AF367:AI367)+SUM(BattCalcs!BL367:BY367)))</f>
        <v>-1375</v>
      </c>
      <c r="AX367" s="144">
        <f>IF('PV IN'!$F$4="Battery Only",0,-PVLoan!F395)</f>
        <v>0</v>
      </c>
      <c r="AY367" s="144">
        <f>IF('PV IN'!$F$4="PV Only",0,-BattLoan!F395)</f>
        <v>0</v>
      </c>
      <c r="AZ367" s="144">
        <f>IF('PV IN'!$F$4="Battery Only",0,-PVLoan!H395)</f>
        <v>0</v>
      </c>
      <c r="BA367" s="144">
        <f>IF('PV IN'!$F$4="PV Only",0,-BattLoan!H395)</f>
        <v>0</v>
      </c>
    </row>
    <row r="368" spans="1:88" x14ac:dyDescent="0.25">
      <c r="A368" t="str">
        <f>IF(C368&lt;='PV IN'!$O$22*12,C368,"")</f>
        <v/>
      </c>
      <c r="C368">
        <v>364</v>
      </c>
      <c r="D368" s="2">
        <f>BattCalcs!CK368+PVCalcs!AT368</f>
        <v>8358.5636936649953</v>
      </c>
      <c r="E368" s="20">
        <f>PVCalcs!AV368</f>
        <v>2496614.8579912912</v>
      </c>
      <c r="F368" s="20">
        <f>PVCalcs!AW368</f>
        <v>1902.7844097437287</v>
      </c>
      <c r="G368" s="20" t="e">
        <f>PVCalcs!AX368</f>
        <v>#N/A</v>
      </c>
      <c r="H368" s="20">
        <f>BattCalcs!CM368</f>
        <v>0</v>
      </c>
      <c r="I368" s="20">
        <f>BattCalcs!CN368</f>
        <v>0</v>
      </c>
      <c r="J368" s="20" t="e">
        <f>IF(C368&lt;='Batt IN'!H$43*12,BattCalcs!CO368,NA())</f>
        <v>#N/A</v>
      </c>
      <c r="L368" s="20">
        <f t="shared" si="997"/>
        <v>1902.7844097437287</v>
      </c>
      <c r="M368" s="20" t="e">
        <f>G368+BattCalcs!CO368</f>
        <v>#N/A</v>
      </c>
      <c r="O368" s="10" t="str">
        <f>PVLoan!G396</f>
        <v>-</v>
      </c>
      <c r="P368" s="10" t="str">
        <f>PVLoan!J396</f>
        <v>-</v>
      </c>
      <c r="Q368" s="2" t="str">
        <f>BattLoan!G396</f>
        <v>-</v>
      </c>
      <c r="R368" s="10" t="str">
        <f>BattLoan!J396</f>
        <v>-</v>
      </c>
      <c r="T368" s="33">
        <f>IF('PV IN'!$F$4="Battery Only",0,PVCalcs!G368)</f>
        <v>119711.4056727276</v>
      </c>
      <c r="U368" s="33">
        <f>IF('PV IN'!$F$4="Battery Only",0,PVCalcs!M368)</f>
        <v>119711.4056727276</v>
      </c>
      <c r="V368" s="33">
        <f>PVCalcs!L368</f>
        <v>25811.765833333331</v>
      </c>
      <c r="W368" s="158">
        <f>PVCalcs!F368</f>
        <v>7.8896523189157505E-2</v>
      </c>
      <c r="X368" s="144">
        <f>IF('PV IN'!$F$4="Battery Only",0,PVCalcs!Y368+PVCalcs!Z368)</f>
        <v>0</v>
      </c>
      <c r="Y368" s="144">
        <f>IF('PV IN'!$F$4="PV Only",0,BattCalcs!AX368+BattCalcs!BC368)</f>
        <v>0</v>
      </c>
      <c r="Z368" s="144">
        <f>IF('PV IN'!$F$4="PV Only",0,BattCalcs!AY368+BattCalcs!BD368)</f>
        <v>0</v>
      </c>
      <c r="AA368" s="144">
        <f>IF('PV IN'!$F$4="PV Only",0,BattCalcs!AZ368+BattCalcs!BE368)</f>
        <v>0</v>
      </c>
      <c r="AB368" s="144">
        <f>IF('PV IN'!$F$4="PV Only",0,BattCalcs!BA368+BattCalcs!BF368)</f>
        <v>0</v>
      </c>
      <c r="AC368" s="144">
        <f>IF('PV IN'!$F$4="PV Only",0,BattCalcs!BB368+BattCalcs!BG368)</f>
        <v>0</v>
      </c>
      <c r="AD368" s="144">
        <f>IF('PV IN'!$F$4="PV Only",0,BattCalcs!BU368)</f>
        <v>0</v>
      </c>
      <c r="AE368" s="144">
        <f>IF('PV IN'!$F$4="PV Only",PVCalcs!W368+PVCalcs!AA368,IF('PV IN'!$F$4="Battery Only",BattCalcs!AV368+BattCalcs!BH368,PVCalcs!W368+PVCalcs!AA368+BattCalcs!AV368+BattCalcs!BH368))</f>
        <v>0</v>
      </c>
      <c r="AF368" s="10">
        <f>PVCalcs!AC368+BattCalcs!BJ368</f>
        <v>0</v>
      </c>
      <c r="AG368" s="144">
        <f>IF('PV IN'!$F$4="Battery Only",0,PVCalcs!AG368)</f>
        <v>-750</v>
      </c>
      <c r="AH368" s="144">
        <f>IF('PV IN'!$F$4="Battery Only",0,PVCalcs!AI368)</f>
        <v>0</v>
      </c>
      <c r="AI368" s="144">
        <f>IF('PV IN'!$F$4="PV Only",0,BattCalcs!BM368)</f>
        <v>0</v>
      </c>
      <c r="AJ368" s="144">
        <f>IF('PV IN'!$F$4="PV Only",0,SUM(BattCalcs!BO368:BT368))</f>
        <v>0</v>
      </c>
      <c r="AK368" s="144">
        <f>IF('PV IN'!$F$4="PV Only",PVCalcs!AH368,IF('PV IN'!$F$4="Battery Only",BattCalcs!BN368,PVCalcs!AH368+BattCalcs!BN368))</f>
        <v>-625</v>
      </c>
      <c r="AL368" s="144">
        <f>IF('PV IN'!$F$4="PV Only",0,BattCalcs!BV368)</f>
        <v>0</v>
      </c>
      <c r="AM368" s="144">
        <f>IF('PV IN'!$F$4="PV Only",0,SUM(BattCalcs!BW368:BX368))</f>
        <v>0</v>
      </c>
      <c r="AN368" s="144">
        <f>IF('PV IN'!$F$4="PV Only",0,BattCalcs!BY368)</f>
        <v>0</v>
      </c>
      <c r="AO368" s="144">
        <f>IF('PV IN'!$F$4="Battery Only",0,PVCalcs!U368)</f>
        <v>9444.8136936649953</v>
      </c>
      <c r="AP368" s="10">
        <f>IF('PV IN'!$F$4="PV Only",0,BattCalcs!AS368)</f>
        <v>0</v>
      </c>
      <c r="AQ368" s="10">
        <f>IF('PV IN'!$F$4="PV Only",0,BattCalcs!AT368)</f>
        <v>0</v>
      </c>
      <c r="AR368" s="10">
        <f>IF('PV IN'!$F$4="PV Only",0,BattCalcs!AU368)</f>
        <v>0</v>
      </c>
      <c r="AS368" s="144">
        <f>IF('PV IN'!$F$4="PV Only",PVCalcs!X368,IF('PV IN'!$F$4="Battery Only",BattCalcs!AW368,PVCalcs!X368+BattCalcs!AW368))</f>
        <v>0</v>
      </c>
      <c r="AT368" s="144">
        <f>IF('PV IN'!$F$4="Battery Only",0,-PVCalcs!AQ368*'PV IN'!$E$8)</f>
        <v>0</v>
      </c>
      <c r="AU368" s="144">
        <f>IF('PV IN'!$F$4="PV Only",0,-BattCalcs!CG368*'PV IN'!$E$8)</f>
        <v>0</v>
      </c>
      <c r="AV368" s="144">
        <f>IF('PV IN'!$F$4="PV Only",PVCalcs!Z368+PVCalcs!AA368,IF('PV IN'!$F$4="Battery Only",SUM(BattCalcs!BC368:BH368),PVCalcs!Z368+PVCalcs!AA368+SUM(BattCalcs!BC368:BH368)))</f>
        <v>0</v>
      </c>
      <c r="AW368" s="144">
        <f>IF('PV IN'!$F$4="PV Only",SUM(PVCalcs!AF368:AI368),IF('PV IN'!$F$4="Battery Only",SUM(BattCalcs!BL368:BY368),SUM(PVCalcs!AF368:AI368)+SUM(BattCalcs!BL368:BY368)))</f>
        <v>-1375</v>
      </c>
      <c r="AX368" s="144">
        <f>IF('PV IN'!$F$4="Battery Only",0,-PVLoan!F396)</f>
        <v>0</v>
      </c>
      <c r="AY368" s="144">
        <f>IF('PV IN'!$F$4="PV Only",0,-BattLoan!F396)</f>
        <v>0</v>
      </c>
      <c r="AZ368" s="144">
        <f>IF('PV IN'!$F$4="Battery Only",0,-PVLoan!H396)</f>
        <v>0</v>
      </c>
      <c r="BA368" s="144">
        <f>IF('PV IN'!$F$4="PV Only",0,-BattLoan!H396)</f>
        <v>0</v>
      </c>
    </row>
    <row r="369" spans="1:88" x14ac:dyDescent="0.25">
      <c r="A369" t="str">
        <f>IF(C369&lt;='PV IN'!$O$22*12,C369,"")</f>
        <v/>
      </c>
      <c r="C369">
        <v>365</v>
      </c>
      <c r="D369" s="2">
        <f>BattCalcs!CK369+PVCalcs!AT369</f>
        <v>8352.2671512025518</v>
      </c>
      <c r="E369" s="20">
        <f>PVCalcs!AV369</f>
        <v>2504967.1251424938</v>
      </c>
      <c r="F369" s="20">
        <f>PVCalcs!AW369</f>
        <v>1893.6361259758942</v>
      </c>
      <c r="G369" s="20" t="e">
        <f>PVCalcs!AX369</f>
        <v>#N/A</v>
      </c>
      <c r="H369" s="20">
        <f>BattCalcs!CM369</f>
        <v>0</v>
      </c>
      <c r="I369" s="20">
        <f>BattCalcs!CN369</f>
        <v>0</v>
      </c>
      <c r="J369" s="20" t="e">
        <f>IF(C369&lt;='Batt IN'!H$43*12,BattCalcs!CO369,NA())</f>
        <v>#N/A</v>
      </c>
      <c r="L369" s="20">
        <f t="shared" si="997"/>
        <v>1893.6361259758942</v>
      </c>
      <c r="M369" s="20" t="e">
        <f>G369+BattCalcs!CO369</f>
        <v>#N/A</v>
      </c>
      <c r="O369" s="10" t="str">
        <f>PVLoan!G397</f>
        <v>-</v>
      </c>
      <c r="P369" s="10" t="str">
        <f>PVLoan!J397</f>
        <v>-</v>
      </c>
      <c r="Q369" s="2" t="str">
        <f>BattLoan!G397</f>
        <v>-</v>
      </c>
      <c r="R369" s="10" t="str">
        <f>BattLoan!J397</f>
        <v>-</v>
      </c>
      <c r="T369" s="33">
        <f>IF('PV IN'!$F$4="Battery Only",0,PVCalcs!G369)</f>
        <v>119631.59806894578</v>
      </c>
      <c r="U369" s="33">
        <f>IF('PV IN'!$F$4="Battery Only",0,PVCalcs!M369)</f>
        <v>119631.59806894578</v>
      </c>
      <c r="V369" s="33">
        <f>PVCalcs!L369</f>
        <v>25811.765833333331</v>
      </c>
      <c r="W369" s="158">
        <f>PVCalcs!F369</f>
        <v>7.8896523189157505E-2</v>
      </c>
      <c r="X369" s="144">
        <f>IF('PV IN'!$F$4="Battery Only",0,PVCalcs!Y369+PVCalcs!Z369)</f>
        <v>0</v>
      </c>
      <c r="Y369" s="144">
        <f>IF('PV IN'!$F$4="PV Only",0,BattCalcs!AX369+BattCalcs!BC369)</f>
        <v>0</v>
      </c>
      <c r="Z369" s="144">
        <f>IF('PV IN'!$F$4="PV Only",0,BattCalcs!AY369+BattCalcs!BD369)</f>
        <v>0</v>
      </c>
      <c r="AA369" s="144">
        <f>IF('PV IN'!$F$4="PV Only",0,BattCalcs!AZ369+BattCalcs!BE369)</f>
        <v>0</v>
      </c>
      <c r="AB369" s="144">
        <f>IF('PV IN'!$F$4="PV Only",0,BattCalcs!BA369+BattCalcs!BF369)</f>
        <v>0</v>
      </c>
      <c r="AC369" s="144">
        <f>IF('PV IN'!$F$4="PV Only",0,BattCalcs!BB369+BattCalcs!BG369)</f>
        <v>0</v>
      </c>
      <c r="AD369" s="144">
        <f>IF('PV IN'!$F$4="PV Only",0,BattCalcs!BU369)</f>
        <v>0</v>
      </c>
      <c r="AE369" s="144">
        <f>IF('PV IN'!$F$4="PV Only",PVCalcs!W369+PVCalcs!AA369,IF('PV IN'!$F$4="Battery Only",BattCalcs!AV369+BattCalcs!BH369,PVCalcs!W369+PVCalcs!AA369+BattCalcs!AV369+BattCalcs!BH369))</f>
        <v>0</v>
      </c>
      <c r="AF369" s="10">
        <f>PVCalcs!AC369+BattCalcs!BJ369</f>
        <v>0</v>
      </c>
      <c r="AG369" s="144">
        <f>IF('PV IN'!$F$4="Battery Only",0,PVCalcs!AG369)</f>
        <v>-750</v>
      </c>
      <c r="AH369" s="144">
        <f>IF('PV IN'!$F$4="Battery Only",0,PVCalcs!AI369)</f>
        <v>0</v>
      </c>
      <c r="AI369" s="144">
        <f>IF('PV IN'!$F$4="PV Only",0,BattCalcs!BM369)</f>
        <v>0</v>
      </c>
      <c r="AJ369" s="144">
        <f>IF('PV IN'!$F$4="PV Only",0,SUM(BattCalcs!BO369:BT369))</f>
        <v>0</v>
      </c>
      <c r="AK369" s="144">
        <f>IF('PV IN'!$F$4="PV Only",PVCalcs!AH369,IF('PV IN'!$F$4="Battery Only",BattCalcs!BN369,PVCalcs!AH369+BattCalcs!BN369))</f>
        <v>-625</v>
      </c>
      <c r="AL369" s="144">
        <f>IF('PV IN'!$F$4="PV Only",0,BattCalcs!BV369)</f>
        <v>0</v>
      </c>
      <c r="AM369" s="144">
        <f>IF('PV IN'!$F$4="PV Only",0,SUM(BattCalcs!BW369:BX369))</f>
        <v>0</v>
      </c>
      <c r="AN369" s="144">
        <f>IF('PV IN'!$F$4="PV Only",0,BattCalcs!BY369)</f>
        <v>0</v>
      </c>
      <c r="AO369" s="144">
        <f>IF('PV IN'!$F$4="Battery Only",0,PVCalcs!U369)</f>
        <v>9438.5171512025518</v>
      </c>
      <c r="AP369" s="10">
        <f>IF('PV IN'!$F$4="PV Only",0,BattCalcs!AS369)</f>
        <v>0</v>
      </c>
      <c r="AQ369" s="10">
        <f>IF('PV IN'!$F$4="PV Only",0,BattCalcs!AT369)</f>
        <v>0</v>
      </c>
      <c r="AR369" s="10">
        <f>IF('PV IN'!$F$4="PV Only",0,BattCalcs!AU369)</f>
        <v>0</v>
      </c>
      <c r="AS369" s="144">
        <f>IF('PV IN'!$F$4="PV Only",PVCalcs!X369,IF('PV IN'!$F$4="Battery Only",BattCalcs!AW369,PVCalcs!X369+BattCalcs!AW369))</f>
        <v>0</v>
      </c>
      <c r="AT369" s="144">
        <f>IF('PV IN'!$F$4="Battery Only",0,-PVCalcs!AQ369*'PV IN'!$E$8)</f>
        <v>0</v>
      </c>
      <c r="AU369" s="144">
        <f>IF('PV IN'!$F$4="PV Only",0,-BattCalcs!CG369*'PV IN'!$E$8)</f>
        <v>0</v>
      </c>
      <c r="AV369" s="144">
        <f>IF('PV IN'!$F$4="PV Only",PVCalcs!Z369+PVCalcs!AA369,IF('PV IN'!$F$4="Battery Only",SUM(BattCalcs!BC369:BH369),PVCalcs!Z369+PVCalcs!AA369+SUM(BattCalcs!BC369:BH369)))</f>
        <v>0</v>
      </c>
      <c r="AW369" s="144">
        <f>IF('PV IN'!$F$4="PV Only",SUM(PVCalcs!AF369:AI369),IF('PV IN'!$F$4="Battery Only",SUM(BattCalcs!BL369:BY369),SUM(PVCalcs!AF369:AI369)+SUM(BattCalcs!BL369:BY369)))</f>
        <v>-1375</v>
      </c>
      <c r="AX369" s="144">
        <f>IF('PV IN'!$F$4="Battery Only",0,-PVLoan!F397)</f>
        <v>0</v>
      </c>
      <c r="AY369" s="144">
        <f>IF('PV IN'!$F$4="PV Only",0,-BattLoan!F397)</f>
        <v>0</v>
      </c>
      <c r="AZ369" s="144">
        <f>IF('PV IN'!$F$4="Battery Only",0,-PVLoan!H397)</f>
        <v>0</v>
      </c>
      <c r="BA369" s="144">
        <f>IF('PV IN'!$F$4="PV Only",0,-BattLoan!H397)</f>
        <v>0</v>
      </c>
    </row>
    <row r="370" spans="1:88" x14ac:dyDescent="0.25">
      <c r="A370" t="str">
        <f>IF(C370&lt;='PV IN'!$O$22*12,C370,"")</f>
        <v/>
      </c>
      <c r="C370">
        <v>366</v>
      </c>
      <c r="D370" s="2">
        <f>BattCalcs!CK370+PVCalcs!AT370</f>
        <v>8345.9748064350824</v>
      </c>
      <c r="E370" s="20">
        <f>PVCalcs!AV370</f>
        <v>2513313.0999489287</v>
      </c>
      <c r="F370" s="20">
        <f>PVCalcs!AW370</f>
        <v>1884.5317025177628</v>
      </c>
      <c r="G370" s="20" t="e">
        <f>PVCalcs!AX370</f>
        <v>#N/A</v>
      </c>
      <c r="H370" s="20">
        <f>BattCalcs!CM370</f>
        <v>0</v>
      </c>
      <c r="I370" s="20">
        <f>BattCalcs!CN370</f>
        <v>0</v>
      </c>
      <c r="J370" s="20" t="e">
        <f>IF(C370&lt;='Batt IN'!H$43*12,BattCalcs!CO370,NA())</f>
        <v>#N/A</v>
      </c>
      <c r="L370" s="20">
        <f t="shared" si="997"/>
        <v>1884.5317025177628</v>
      </c>
      <c r="M370" s="20" t="e">
        <f>G370+BattCalcs!CO370</f>
        <v>#N/A</v>
      </c>
      <c r="O370" s="10" t="str">
        <f>PVLoan!G398</f>
        <v>-</v>
      </c>
      <c r="P370" s="10" t="str">
        <f>PVLoan!J398</f>
        <v>-</v>
      </c>
      <c r="Q370" s="2" t="str">
        <f>BattLoan!G398</f>
        <v>-</v>
      </c>
      <c r="R370" s="10" t="str">
        <f>BattLoan!J398</f>
        <v>-</v>
      </c>
      <c r="T370" s="33">
        <f>IF('PV IN'!$F$4="Battery Only",0,PVCalcs!G370)</f>
        <v>119551.84367023314</v>
      </c>
      <c r="U370" s="33">
        <f>IF('PV IN'!$F$4="Battery Only",0,PVCalcs!M370)</f>
        <v>119551.84367023314</v>
      </c>
      <c r="V370" s="33">
        <f>PVCalcs!L370</f>
        <v>25811.765833333331</v>
      </c>
      <c r="W370" s="158">
        <f>PVCalcs!F370</f>
        <v>7.8896523189157505E-2</v>
      </c>
      <c r="X370" s="144">
        <f>IF('PV IN'!$F$4="Battery Only",0,PVCalcs!Y370+PVCalcs!Z370)</f>
        <v>0</v>
      </c>
      <c r="Y370" s="144">
        <f>IF('PV IN'!$F$4="PV Only",0,BattCalcs!AX370+BattCalcs!BC370)</f>
        <v>0</v>
      </c>
      <c r="Z370" s="144">
        <f>IF('PV IN'!$F$4="PV Only",0,BattCalcs!AY370+BattCalcs!BD370)</f>
        <v>0</v>
      </c>
      <c r="AA370" s="144">
        <f>IF('PV IN'!$F$4="PV Only",0,BattCalcs!AZ370+BattCalcs!BE370)</f>
        <v>0</v>
      </c>
      <c r="AB370" s="144">
        <f>IF('PV IN'!$F$4="PV Only",0,BattCalcs!BA370+BattCalcs!BF370)</f>
        <v>0</v>
      </c>
      <c r="AC370" s="144">
        <f>IF('PV IN'!$F$4="PV Only",0,BattCalcs!BB370+BattCalcs!BG370)</f>
        <v>0</v>
      </c>
      <c r="AD370" s="144">
        <f>IF('PV IN'!$F$4="PV Only",0,BattCalcs!BU370)</f>
        <v>0</v>
      </c>
      <c r="AE370" s="144">
        <f>IF('PV IN'!$F$4="PV Only",PVCalcs!W370+PVCalcs!AA370,IF('PV IN'!$F$4="Battery Only",BattCalcs!AV370+BattCalcs!BH370,PVCalcs!W370+PVCalcs!AA370+BattCalcs!AV370+BattCalcs!BH370))</f>
        <v>0</v>
      </c>
      <c r="AF370" s="10">
        <f>PVCalcs!AC370+BattCalcs!BJ370</f>
        <v>0</v>
      </c>
      <c r="AG370" s="144">
        <f>IF('PV IN'!$F$4="Battery Only",0,PVCalcs!AG370)</f>
        <v>-750</v>
      </c>
      <c r="AH370" s="144">
        <f>IF('PV IN'!$F$4="Battery Only",0,PVCalcs!AI370)</f>
        <v>0</v>
      </c>
      <c r="AI370" s="144">
        <f>IF('PV IN'!$F$4="PV Only",0,BattCalcs!BM370)</f>
        <v>0</v>
      </c>
      <c r="AJ370" s="144">
        <f>IF('PV IN'!$F$4="PV Only",0,SUM(BattCalcs!BO370:BT370))</f>
        <v>0</v>
      </c>
      <c r="AK370" s="144">
        <f>IF('PV IN'!$F$4="PV Only",PVCalcs!AH370,IF('PV IN'!$F$4="Battery Only",BattCalcs!BN370,PVCalcs!AH370+BattCalcs!BN370))</f>
        <v>-625</v>
      </c>
      <c r="AL370" s="144">
        <f>IF('PV IN'!$F$4="PV Only",0,BattCalcs!BV370)</f>
        <v>0</v>
      </c>
      <c r="AM370" s="144">
        <f>IF('PV IN'!$F$4="PV Only",0,SUM(BattCalcs!BW370:BX370))</f>
        <v>0</v>
      </c>
      <c r="AN370" s="144">
        <f>IF('PV IN'!$F$4="PV Only",0,BattCalcs!BY370)</f>
        <v>0</v>
      </c>
      <c r="AO370" s="144">
        <f>IF('PV IN'!$F$4="Battery Only",0,PVCalcs!U370)</f>
        <v>9432.2248064350824</v>
      </c>
      <c r="AP370" s="10">
        <f>IF('PV IN'!$F$4="PV Only",0,BattCalcs!AS370)</f>
        <v>0</v>
      </c>
      <c r="AQ370" s="10">
        <f>IF('PV IN'!$F$4="PV Only",0,BattCalcs!AT370)</f>
        <v>0</v>
      </c>
      <c r="AR370" s="10">
        <f>IF('PV IN'!$F$4="PV Only",0,BattCalcs!AU370)</f>
        <v>0</v>
      </c>
      <c r="AS370" s="144">
        <f>IF('PV IN'!$F$4="PV Only",PVCalcs!X370,IF('PV IN'!$F$4="Battery Only",BattCalcs!AW370,PVCalcs!X370+BattCalcs!AW370))</f>
        <v>0</v>
      </c>
      <c r="AT370" s="144">
        <f>IF('PV IN'!$F$4="Battery Only",0,-PVCalcs!AQ370*'PV IN'!$E$8)</f>
        <v>0</v>
      </c>
      <c r="AU370" s="144">
        <f>IF('PV IN'!$F$4="PV Only",0,-BattCalcs!CG370*'PV IN'!$E$8)</f>
        <v>0</v>
      </c>
      <c r="AV370" s="144">
        <f>IF('PV IN'!$F$4="PV Only",PVCalcs!Z370+PVCalcs!AA370,IF('PV IN'!$F$4="Battery Only",SUM(BattCalcs!BC370:BH370),PVCalcs!Z370+PVCalcs!AA370+SUM(BattCalcs!BC370:BH370)))</f>
        <v>0</v>
      </c>
      <c r="AW370" s="144">
        <f>IF('PV IN'!$F$4="PV Only",SUM(PVCalcs!AF370:AI370),IF('PV IN'!$F$4="Battery Only",SUM(BattCalcs!BL370:BY370),SUM(PVCalcs!AF370:AI370)+SUM(BattCalcs!BL370:BY370)))</f>
        <v>-1375</v>
      </c>
      <c r="AX370" s="144">
        <f>IF('PV IN'!$F$4="Battery Only",0,-PVLoan!F398)</f>
        <v>0</v>
      </c>
      <c r="AY370" s="144">
        <f>IF('PV IN'!$F$4="PV Only",0,-BattLoan!F398)</f>
        <v>0</v>
      </c>
      <c r="AZ370" s="144">
        <f>IF('PV IN'!$F$4="Battery Only",0,-PVLoan!H398)</f>
        <v>0</v>
      </c>
      <c r="BA370" s="144">
        <f>IF('PV IN'!$F$4="PV Only",0,-BattLoan!H398)</f>
        <v>0</v>
      </c>
    </row>
    <row r="371" spans="1:88" x14ac:dyDescent="0.25">
      <c r="A371" t="str">
        <f>IF(C371&lt;='PV IN'!$O$22*12,C371,"")</f>
        <v/>
      </c>
      <c r="C371">
        <v>367</v>
      </c>
      <c r="D371" s="2">
        <f>BattCalcs!CK371+PVCalcs!AT371</f>
        <v>8339.6866565641249</v>
      </c>
      <c r="E371" s="20">
        <f>PVCalcs!AV371</f>
        <v>2521652.7866054927</v>
      </c>
      <c r="F371" s="20">
        <f>PVCalcs!AW371</f>
        <v>1875.4709295773682</v>
      </c>
      <c r="G371" s="20" t="e">
        <f>PVCalcs!AX371</f>
        <v>#N/A</v>
      </c>
      <c r="H371" s="20">
        <f>BattCalcs!CM371</f>
        <v>0</v>
      </c>
      <c r="I371" s="20">
        <f>BattCalcs!CN371</f>
        <v>0</v>
      </c>
      <c r="J371" s="20" t="e">
        <f>IF(C371&lt;='Batt IN'!H$43*12,BattCalcs!CO371,NA())</f>
        <v>#N/A</v>
      </c>
      <c r="L371" s="20">
        <f t="shared" si="997"/>
        <v>1875.4709295773682</v>
      </c>
      <c r="M371" s="20" t="e">
        <f>G371+BattCalcs!CO371</f>
        <v>#N/A</v>
      </c>
      <c r="O371" s="10" t="str">
        <f>PVLoan!G399</f>
        <v>-</v>
      </c>
      <c r="P371" s="10" t="str">
        <f>PVLoan!J399</f>
        <v>-</v>
      </c>
      <c r="Q371" s="2" t="str">
        <f>BattLoan!G399</f>
        <v>-</v>
      </c>
      <c r="R371" s="10" t="str">
        <f>BattLoan!J399</f>
        <v>-</v>
      </c>
      <c r="T371" s="33">
        <f>IF('PV IN'!$F$4="Battery Only",0,PVCalcs!G371)</f>
        <v>119472.14244111965</v>
      </c>
      <c r="U371" s="33">
        <f>IF('PV IN'!$F$4="Battery Only",0,PVCalcs!M371)</f>
        <v>119472.14244111965</v>
      </c>
      <c r="V371" s="33">
        <f>PVCalcs!L371</f>
        <v>25811.765833333331</v>
      </c>
      <c r="W371" s="158">
        <f>PVCalcs!F371</f>
        <v>7.8896523189157505E-2</v>
      </c>
      <c r="X371" s="144">
        <f>IF('PV IN'!$F$4="Battery Only",0,PVCalcs!Y371+PVCalcs!Z371)</f>
        <v>0</v>
      </c>
      <c r="Y371" s="144">
        <f>IF('PV IN'!$F$4="PV Only",0,BattCalcs!AX371+BattCalcs!BC371)</f>
        <v>0</v>
      </c>
      <c r="Z371" s="144">
        <f>IF('PV IN'!$F$4="PV Only",0,BattCalcs!AY371+BattCalcs!BD371)</f>
        <v>0</v>
      </c>
      <c r="AA371" s="144">
        <f>IF('PV IN'!$F$4="PV Only",0,BattCalcs!AZ371+BattCalcs!BE371)</f>
        <v>0</v>
      </c>
      <c r="AB371" s="144">
        <f>IF('PV IN'!$F$4="PV Only",0,BattCalcs!BA371+BattCalcs!BF371)</f>
        <v>0</v>
      </c>
      <c r="AC371" s="144">
        <f>IF('PV IN'!$F$4="PV Only",0,BattCalcs!BB371+BattCalcs!BG371)</f>
        <v>0</v>
      </c>
      <c r="AD371" s="144">
        <f>IF('PV IN'!$F$4="PV Only",0,BattCalcs!BU371)</f>
        <v>0</v>
      </c>
      <c r="AE371" s="144">
        <f>IF('PV IN'!$F$4="PV Only",PVCalcs!W371+PVCalcs!AA371,IF('PV IN'!$F$4="Battery Only",BattCalcs!AV371+BattCalcs!BH371,PVCalcs!W371+PVCalcs!AA371+BattCalcs!AV371+BattCalcs!BH371))</f>
        <v>0</v>
      </c>
      <c r="AF371" s="10">
        <f>PVCalcs!AC371+BattCalcs!BJ371</f>
        <v>0</v>
      </c>
      <c r="AG371" s="144">
        <f>IF('PV IN'!$F$4="Battery Only",0,PVCalcs!AG371)</f>
        <v>-750</v>
      </c>
      <c r="AH371" s="144">
        <f>IF('PV IN'!$F$4="Battery Only",0,PVCalcs!AI371)</f>
        <v>0</v>
      </c>
      <c r="AI371" s="144">
        <f>IF('PV IN'!$F$4="PV Only",0,BattCalcs!BM371)</f>
        <v>0</v>
      </c>
      <c r="AJ371" s="144">
        <f>IF('PV IN'!$F$4="PV Only",0,SUM(BattCalcs!BO371:BT371))</f>
        <v>0</v>
      </c>
      <c r="AK371" s="144">
        <f>IF('PV IN'!$F$4="PV Only",PVCalcs!AH371,IF('PV IN'!$F$4="Battery Only",BattCalcs!BN371,PVCalcs!AH371+BattCalcs!BN371))</f>
        <v>-625</v>
      </c>
      <c r="AL371" s="144">
        <f>IF('PV IN'!$F$4="PV Only",0,BattCalcs!BV371)</f>
        <v>0</v>
      </c>
      <c r="AM371" s="144">
        <f>IF('PV IN'!$F$4="PV Only",0,SUM(BattCalcs!BW371:BX371))</f>
        <v>0</v>
      </c>
      <c r="AN371" s="144">
        <f>IF('PV IN'!$F$4="PV Only",0,BattCalcs!BY371)</f>
        <v>0</v>
      </c>
      <c r="AO371" s="144">
        <f>IF('PV IN'!$F$4="Battery Only",0,PVCalcs!U371)</f>
        <v>9425.9366565641249</v>
      </c>
      <c r="AP371" s="10">
        <f>IF('PV IN'!$F$4="PV Only",0,BattCalcs!AS371)</f>
        <v>0</v>
      </c>
      <c r="AQ371" s="10">
        <f>IF('PV IN'!$F$4="PV Only",0,BattCalcs!AT371)</f>
        <v>0</v>
      </c>
      <c r="AR371" s="10">
        <f>IF('PV IN'!$F$4="PV Only",0,BattCalcs!AU371)</f>
        <v>0</v>
      </c>
      <c r="AS371" s="144">
        <f>IF('PV IN'!$F$4="PV Only",PVCalcs!X371,IF('PV IN'!$F$4="Battery Only",BattCalcs!AW371,PVCalcs!X371+BattCalcs!AW371))</f>
        <v>0</v>
      </c>
      <c r="AT371" s="144">
        <f>IF('PV IN'!$F$4="Battery Only",0,-PVCalcs!AQ371*'PV IN'!$E$8)</f>
        <v>0</v>
      </c>
      <c r="AU371" s="144">
        <f>IF('PV IN'!$F$4="PV Only",0,-BattCalcs!CG371*'PV IN'!$E$8)</f>
        <v>0</v>
      </c>
      <c r="AV371" s="144">
        <f>IF('PV IN'!$F$4="PV Only",PVCalcs!Z371+PVCalcs!AA371,IF('PV IN'!$F$4="Battery Only",SUM(BattCalcs!BC371:BH371),PVCalcs!Z371+PVCalcs!AA371+SUM(BattCalcs!BC371:BH371)))</f>
        <v>0</v>
      </c>
      <c r="AW371" s="144">
        <f>IF('PV IN'!$F$4="PV Only",SUM(PVCalcs!AF371:AI371),IF('PV IN'!$F$4="Battery Only",SUM(BattCalcs!BL371:BY371),SUM(PVCalcs!AF371:AI371)+SUM(BattCalcs!BL371:BY371)))</f>
        <v>-1375</v>
      </c>
      <c r="AX371" s="144">
        <f>IF('PV IN'!$F$4="Battery Only",0,-PVLoan!F399)</f>
        <v>0</v>
      </c>
      <c r="AY371" s="144">
        <f>IF('PV IN'!$F$4="PV Only",0,-BattLoan!F399)</f>
        <v>0</v>
      </c>
      <c r="AZ371" s="144">
        <f>IF('PV IN'!$F$4="Battery Only",0,-PVLoan!H399)</f>
        <v>0</v>
      </c>
      <c r="BA371" s="144">
        <f>IF('PV IN'!$F$4="PV Only",0,-BattLoan!H399)</f>
        <v>0</v>
      </c>
    </row>
    <row r="372" spans="1:88" x14ac:dyDescent="0.25">
      <c r="A372" t="str">
        <f>IF(C372&lt;='PV IN'!$O$22*12,C372,"")</f>
        <v/>
      </c>
      <c r="C372">
        <v>368</v>
      </c>
      <c r="D372" s="2">
        <f>BattCalcs!CK372+PVCalcs!AT372</f>
        <v>8333.4026987930829</v>
      </c>
      <c r="E372" s="20">
        <f>PVCalcs!AV372</f>
        <v>2529986.1893042857</v>
      </c>
      <c r="F372" s="20">
        <f>PVCalcs!AW372</f>
        <v>1866.4535983642577</v>
      </c>
      <c r="G372" s="20" t="e">
        <f>PVCalcs!AX372</f>
        <v>#N/A</v>
      </c>
      <c r="H372" s="20">
        <f>BattCalcs!CM372</f>
        <v>0</v>
      </c>
      <c r="I372" s="20">
        <f>BattCalcs!CN372</f>
        <v>0</v>
      </c>
      <c r="J372" s="20" t="e">
        <f>IF(C372&lt;='Batt IN'!H$43*12,BattCalcs!CO372,NA())</f>
        <v>#N/A</v>
      </c>
      <c r="L372" s="20">
        <f t="shared" si="997"/>
        <v>1866.4535983642577</v>
      </c>
      <c r="M372" s="20" t="e">
        <f>G372+BattCalcs!CO372</f>
        <v>#N/A</v>
      </c>
      <c r="O372" s="10" t="str">
        <f>PVLoan!G400</f>
        <v>-</v>
      </c>
      <c r="P372" s="10" t="str">
        <f>PVLoan!J400</f>
        <v>-</v>
      </c>
      <c r="Q372" s="2" t="str">
        <f>BattLoan!G400</f>
        <v>-</v>
      </c>
      <c r="R372" s="10" t="str">
        <f>BattLoan!J400</f>
        <v>-</v>
      </c>
      <c r="T372" s="33">
        <f>IF('PV IN'!$F$4="Battery Only",0,PVCalcs!G372)</f>
        <v>119392.49434615891</v>
      </c>
      <c r="U372" s="33">
        <f>IF('PV IN'!$F$4="Battery Only",0,PVCalcs!M372)</f>
        <v>119392.49434615891</v>
      </c>
      <c r="V372" s="33">
        <f>PVCalcs!L372</f>
        <v>25811.765833333331</v>
      </c>
      <c r="W372" s="158">
        <f>PVCalcs!F372</f>
        <v>7.8896523189157505E-2</v>
      </c>
      <c r="X372" s="144">
        <f>IF('PV IN'!$F$4="Battery Only",0,PVCalcs!Y372+PVCalcs!Z372)</f>
        <v>0</v>
      </c>
      <c r="Y372" s="144">
        <f>IF('PV IN'!$F$4="PV Only",0,BattCalcs!AX372+BattCalcs!BC372)</f>
        <v>0</v>
      </c>
      <c r="Z372" s="144">
        <f>IF('PV IN'!$F$4="PV Only",0,BattCalcs!AY372+BattCalcs!BD372)</f>
        <v>0</v>
      </c>
      <c r="AA372" s="144">
        <f>IF('PV IN'!$F$4="PV Only",0,BattCalcs!AZ372+BattCalcs!BE372)</f>
        <v>0</v>
      </c>
      <c r="AB372" s="144">
        <f>IF('PV IN'!$F$4="PV Only",0,BattCalcs!BA372+BattCalcs!BF372)</f>
        <v>0</v>
      </c>
      <c r="AC372" s="144">
        <f>IF('PV IN'!$F$4="PV Only",0,BattCalcs!BB372+BattCalcs!BG372)</f>
        <v>0</v>
      </c>
      <c r="AD372" s="144">
        <f>IF('PV IN'!$F$4="PV Only",0,BattCalcs!BU372)</f>
        <v>0</v>
      </c>
      <c r="AE372" s="144">
        <f>IF('PV IN'!$F$4="PV Only",PVCalcs!W372+PVCalcs!AA372,IF('PV IN'!$F$4="Battery Only",BattCalcs!AV372+BattCalcs!BH372,PVCalcs!W372+PVCalcs!AA372+BattCalcs!AV372+BattCalcs!BH372))</f>
        <v>0</v>
      </c>
      <c r="AF372" s="10">
        <f>PVCalcs!AC372+BattCalcs!BJ372</f>
        <v>0</v>
      </c>
      <c r="AG372" s="144">
        <f>IF('PV IN'!$F$4="Battery Only",0,PVCalcs!AG372)</f>
        <v>-750</v>
      </c>
      <c r="AH372" s="144">
        <f>IF('PV IN'!$F$4="Battery Only",0,PVCalcs!AI372)</f>
        <v>0</v>
      </c>
      <c r="AI372" s="144">
        <f>IF('PV IN'!$F$4="PV Only",0,BattCalcs!BM372)</f>
        <v>0</v>
      </c>
      <c r="AJ372" s="144">
        <f>IF('PV IN'!$F$4="PV Only",0,SUM(BattCalcs!BO372:BT372))</f>
        <v>0</v>
      </c>
      <c r="AK372" s="144">
        <f>IF('PV IN'!$F$4="PV Only",PVCalcs!AH372,IF('PV IN'!$F$4="Battery Only",BattCalcs!BN372,PVCalcs!AH372+BattCalcs!BN372))</f>
        <v>-625</v>
      </c>
      <c r="AL372" s="144">
        <f>IF('PV IN'!$F$4="PV Only",0,BattCalcs!BV372)</f>
        <v>0</v>
      </c>
      <c r="AM372" s="144">
        <f>IF('PV IN'!$F$4="PV Only",0,SUM(BattCalcs!BW372:BX372))</f>
        <v>0</v>
      </c>
      <c r="AN372" s="144">
        <f>IF('PV IN'!$F$4="PV Only",0,BattCalcs!BY372)</f>
        <v>0</v>
      </c>
      <c r="AO372" s="144">
        <f>IF('PV IN'!$F$4="Battery Only",0,PVCalcs!U372)</f>
        <v>9419.6526987930829</v>
      </c>
      <c r="AP372" s="10">
        <f>IF('PV IN'!$F$4="PV Only",0,BattCalcs!AS372)</f>
        <v>0</v>
      </c>
      <c r="AQ372" s="10">
        <f>IF('PV IN'!$F$4="PV Only",0,BattCalcs!AT372)</f>
        <v>0</v>
      </c>
      <c r="AR372" s="10">
        <f>IF('PV IN'!$F$4="PV Only",0,BattCalcs!AU372)</f>
        <v>0</v>
      </c>
      <c r="AS372" s="144">
        <f>IF('PV IN'!$F$4="PV Only",PVCalcs!X372,IF('PV IN'!$F$4="Battery Only",BattCalcs!AW372,PVCalcs!X372+BattCalcs!AW372))</f>
        <v>0</v>
      </c>
      <c r="AT372" s="144">
        <f>IF('PV IN'!$F$4="Battery Only",0,-PVCalcs!AQ372*'PV IN'!$E$8)</f>
        <v>0</v>
      </c>
      <c r="AU372" s="144">
        <f>IF('PV IN'!$F$4="PV Only",0,-BattCalcs!CG372*'PV IN'!$E$8)</f>
        <v>0</v>
      </c>
      <c r="AV372" s="144">
        <f>IF('PV IN'!$F$4="PV Only",PVCalcs!Z372+PVCalcs!AA372,IF('PV IN'!$F$4="Battery Only",SUM(BattCalcs!BC372:BH372),PVCalcs!Z372+PVCalcs!AA372+SUM(BattCalcs!BC372:BH372)))</f>
        <v>0</v>
      </c>
      <c r="AW372" s="144">
        <f>IF('PV IN'!$F$4="PV Only",SUM(PVCalcs!AF372:AI372),IF('PV IN'!$F$4="Battery Only",SUM(BattCalcs!BL372:BY372),SUM(PVCalcs!AF372:AI372)+SUM(BattCalcs!BL372:BY372)))</f>
        <v>-1375</v>
      </c>
      <c r="AX372" s="144">
        <f>IF('PV IN'!$F$4="Battery Only",0,-PVLoan!F400)</f>
        <v>0</v>
      </c>
      <c r="AY372" s="144">
        <f>IF('PV IN'!$F$4="PV Only",0,-BattLoan!F400)</f>
        <v>0</v>
      </c>
      <c r="AZ372" s="144">
        <f>IF('PV IN'!$F$4="Battery Only",0,-PVLoan!H400)</f>
        <v>0</v>
      </c>
      <c r="BA372" s="144">
        <f>IF('PV IN'!$F$4="PV Only",0,-BattLoan!H400)</f>
        <v>0</v>
      </c>
    </row>
    <row r="373" spans="1:88" x14ac:dyDescent="0.25">
      <c r="A373" t="str">
        <f>IF(C373&lt;='PV IN'!$O$22*12,C373,"")</f>
        <v/>
      </c>
      <c r="C373">
        <v>369</v>
      </c>
      <c r="D373" s="2">
        <f>BattCalcs!CK373+PVCalcs!AT373</f>
        <v>8327.1229303272194</v>
      </c>
      <c r="E373" s="20">
        <f>PVCalcs!AV373</f>
        <v>2538313.3122346131</v>
      </c>
      <c r="F373" s="20">
        <f>PVCalcs!AW373</f>
        <v>1857.4795010847172</v>
      </c>
      <c r="G373" s="20" t="e">
        <f>PVCalcs!AX373</f>
        <v>#N/A</v>
      </c>
      <c r="H373" s="20">
        <f>BattCalcs!CM373</f>
        <v>0</v>
      </c>
      <c r="I373" s="20">
        <f>BattCalcs!CN373</f>
        <v>0</v>
      </c>
      <c r="J373" s="20" t="e">
        <f>IF(C373&lt;='Batt IN'!H$43*12,BattCalcs!CO373,NA())</f>
        <v>#N/A</v>
      </c>
      <c r="L373" s="20">
        <f t="shared" si="997"/>
        <v>1857.4795010847172</v>
      </c>
      <c r="M373" s="20" t="e">
        <f>G373+BattCalcs!CO373</f>
        <v>#N/A</v>
      </c>
      <c r="O373" s="10" t="str">
        <f>PVLoan!G401</f>
        <v>-</v>
      </c>
      <c r="P373" s="10" t="str">
        <f>PVLoan!J401</f>
        <v>-</v>
      </c>
      <c r="Q373" s="2" t="str">
        <f>BattLoan!G401</f>
        <v>-</v>
      </c>
      <c r="R373" s="10" t="str">
        <f>BattLoan!J401</f>
        <v>-</v>
      </c>
      <c r="T373" s="33">
        <f>IF('PV IN'!$F$4="Battery Only",0,PVCalcs!G373)</f>
        <v>119312.89934992812</v>
      </c>
      <c r="U373" s="33">
        <f>IF('PV IN'!$F$4="Battery Only",0,PVCalcs!M373)</f>
        <v>119312.89934992812</v>
      </c>
      <c r="V373" s="33">
        <f>PVCalcs!L373</f>
        <v>25811.765833333331</v>
      </c>
      <c r="W373" s="158">
        <f>PVCalcs!F373</f>
        <v>7.8896523189157505E-2</v>
      </c>
      <c r="X373" s="144">
        <f>IF('PV IN'!$F$4="Battery Only",0,PVCalcs!Y373+PVCalcs!Z373)</f>
        <v>0</v>
      </c>
      <c r="Y373" s="144">
        <f>IF('PV IN'!$F$4="PV Only",0,BattCalcs!AX373+BattCalcs!BC373)</f>
        <v>0</v>
      </c>
      <c r="Z373" s="144">
        <f>IF('PV IN'!$F$4="PV Only",0,BattCalcs!AY373+BattCalcs!BD373)</f>
        <v>0</v>
      </c>
      <c r="AA373" s="144">
        <f>IF('PV IN'!$F$4="PV Only",0,BattCalcs!AZ373+BattCalcs!BE373)</f>
        <v>0</v>
      </c>
      <c r="AB373" s="144">
        <f>IF('PV IN'!$F$4="PV Only",0,BattCalcs!BA373+BattCalcs!BF373)</f>
        <v>0</v>
      </c>
      <c r="AC373" s="144">
        <f>IF('PV IN'!$F$4="PV Only",0,BattCalcs!BB373+BattCalcs!BG373)</f>
        <v>0</v>
      </c>
      <c r="AD373" s="144">
        <f>IF('PV IN'!$F$4="PV Only",0,BattCalcs!BU373)</f>
        <v>0</v>
      </c>
      <c r="AE373" s="144">
        <f>IF('PV IN'!$F$4="PV Only",PVCalcs!W373+PVCalcs!AA373,IF('PV IN'!$F$4="Battery Only",BattCalcs!AV373+BattCalcs!BH373,PVCalcs!W373+PVCalcs!AA373+BattCalcs!AV373+BattCalcs!BH373))</f>
        <v>0</v>
      </c>
      <c r="AF373" s="10">
        <f>PVCalcs!AC373+BattCalcs!BJ373</f>
        <v>0</v>
      </c>
      <c r="AG373" s="144">
        <f>IF('PV IN'!$F$4="Battery Only",0,PVCalcs!AG373)</f>
        <v>-750</v>
      </c>
      <c r="AH373" s="144">
        <f>IF('PV IN'!$F$4="Battery Only",0,PVCalcs!AI373)</f>
        <v>0</v>
      </c>
      <c r="AI373" s="144">
        <f>IF('PV IN'!$F$4="PV Only",0,BattCalcs!BM373)</f>
        <v>0</v>
      </c>
      <c r="AJ373" s="144">
        <f>IF('PV IN'!$F$4="PV Only",0,SUM(BattCalcs!BO373:BT373))</f>
        <v>0</v>
      </c>
      <c r="AK373" s="144">
        <f>IF('PV IN'!$F$4="PV Only",PVCalcs!AH373,IF('PV IN'!$F$4="Battery Only",BattCalcs!BN373,PVCalcs!AH373+BattCalcs!BN373))</f>
        <v>-625</v>
      </c>
      <c r="AL373" s="144">
        <f>IF('PV IN'!$F$4="PV Only",0,BattCalcs!BV373)</f>
        <v>0</v>
      </c>
      <c r="AM373" s="144">
        <f>IF('PV IN'!$F$4="PV Only",0,SUM(BattCalcs!BW373:BX373))</f>
        <v>0</v>
      </c>
      <c r="AN373" s="144">
        <f>IF('PV IN'!$F$4="PV Only",0,BattCalcs!BY373)</f>
        <v>0</v>
      </c>
      <c r="AO373" s="144">
        <f>IF('PV IN'!$F$4="Battery Only",0,PVCalcs!U373)</f>
        <v>9413.3729303272194</v>
      </c>
      <c r="AP373" s="10">
        <f>IF('PV IN'!$F$4="PV Only",0,BattCalcs!AS373)</f>
        <v>0</v>
      </c>
      <c r="AQ373" s="10">
        <f>IF('PV IN'!$F$4="PV Only",0,BattCalcs!AT373)</f>
        <v>0</v>
      </c>
      <c r="AR373" s="10">
        <f>IF('PV IN'!$F$4="PV Only",0,BattCalcs!AU373)</f>
        <v>0</v>
      </c>
      <c r="AS373" s="144">
        <f>IF('PV IN'!$F$4="PV Only",PVCalcs!X373,IF('PV IN'!$F$4="Battery Only",BattCalcs!AW373,PVCalcs!X373+BattCalcs!AW373))</f>
        <v>0</v>
      </c>
      <c r="AT373" s="144">
        <f>IF('PV IN'!$F$4="Battery Only",0,-PVCalcs!AQ373*'PV IN'!$E$8)</f>
        <v>0</v>
      </c>
      <c r="AU373" s="144">
        <f>IF('PV IN'!$F$4="PV Only",0,-BattCalcs!CG373*'PV IN'!$E$8)</f>
        <v>0</v>
      </c>
      <c r="AV373" s="144">
        <f>IF('PV IN'!$F$4="PV Only",PVCalcs!Z373+PVCalcs!AA373,IF('PV IN'!$F$4="Battery Only",SUM(BattCalcs!BC373:BH373),PVCalcs!Z373+PVCalcs!AA373+SUM(BattCalcs!BC373:BH373)))</f>
        <v>0</v>
      </c>
      <c r="AW373" s="144">
        <f>IF('PV IN'!$F$4="PV Only",SUM(PVCalcs!AF373:AI373),IF('PV IN'!$F$4="Battery Only",SUM(BattCalcs!BL373:BY373),SUM(PVCalcs!AF373:AI373)+SUM(BattCalcs!BL373:BY373)))</f>
        <v>-1375</v>
      </c>
      <c r="AX373" s="144">
        <f>IF('PV IN'!$F$4="Battery Only",0,-PVLoan!F401)</f>
        <v>0</v>
      </c>
      <c r="AY373" s="144">
        <f>IF('PV IN'!$F$4="PV Only",0,-BattLoan!F401)</f>
        <v>0</v>
      </c>
      <c r="AZ373" s="144">
        <f>IF('PV IN'!$F$4="Battery Only",0,-PVLoan!H401)</f>
        <v>0</v>
      </c>
      <c r="BA373" s="144">
        <f>IF('PV IN'!$F$4="PV Only",0,-BattLoan!H401)</f>
        <v>0</v>
      </c>
    </row>
    <row r="374" spans="1:88" x14ac:dyDescent="0.25">
      <c r="A374" t="str">
        <f>IF(C374&lt;='PV IN'!$O$22*12,C374,"")</f>
        <v/>
      </c>
      <c r="C374">
        <v>370</v>
      </c>
      <c r="D374" s="2">
        <f>BattCalcs!CK374+PVCalcs!AT374</f>
        <v>8320.847348373667</v>
      </c>
      <c r="E374" s="20">
        <f>PVCalcs!AV374</f>
        <v>2546634.159582987</v>
      </c>
      <c r="F374" s="20">
        <f>PVCalcs!AW374</f>
        <v>1848.548430937019</v>
      </c>
      <c r="G374" s="20" t="e">
        <f>PVCalcs!AX374</f>
        <v>#N/A</v>
      </c>
      <c r="H374" s="20">
        <f>BattCalcs!CM374</f>
        <v>0</v>
      </c>
      <c r="I374" s="20">
        <f>BattCalcs!CN374</f>
        <v>0</v>
      </c>
      <c r="J374" s="20" t="e">
        <f>IF(C374&lt;='Batt IN'!H$43*12,BattCalcs!CO374,NA())</f>
        <v>#N/A</v>
      </c>
      <c r="L374" s="20">
        <f t="shared" si="997"/>
        <v>1848.548430937019</v>
      </c>
      <c r="M374" s="20" t="e">
        <f>G374+BattCalcs!CO374</f>
        <v>#N/A</v>
      </c>
      <c r="O374" s="10" t="str">
        <f>PVLoan!G402</f>
        <v>-</v>
      </c>
      <c r="P374" s="10" t="str">
        <f>PVLoan!J402</f>
        <v>-</v>
      </c>
      <c r="Q374" s="2" t="str">
        <f>BattLoan!G402</f>
        <v>-</v>
      </c>
      <c r="R374" s="10" t="str">
        <f>BattLoan!J402</f>
        <v>-</v>
      </c>
      <c r="T374" s="33">
        <f>IF('PV IN'!$F$4="Battery Only",0,PVCalcs!G374)</f>
        <v>119233.35741702816</v>
      </c>
      <c r="U374" s="33">
        <f>IF('PV IN'!$F$4="Battery Only",0,PVCalcs!M374)</f>
        <v>119233.35741702816</v>
      </c>
      <c r="V374" s="33">
        <f>PVCalcs!L374</f>
        <v>25811.765833333331</v>
      </c>
      <c r="W374" s="158">
        <f>PVCalcs!F374</f>
        <v>7.8896523189157505E-2</v>
      </c>
      <c r="X374" s="144">
        <f>IF('PV IN'!$F$4="Battery Only",0,PVCalcs!Y374+PVCalcs!Z374)</f>
        <v>0</v>
      </c>
      <c r="Y374" s="144">
        <f>IF('PV IN'!$F$4="PV Only",0,BattCalcs!AX374+BattCalcs!BC374)</f>
        <v>0</v>
      </c>
      <c r="Z374" s="144">
        <f>IF('PV IN'!$F$4="PV Only",0,BattCalcs!AY374+BattCalcs!BD374)</f>
        <v>0</v>
      </c>
      <c r="AA374" s="144">
        <f>IF('PV IN'!$F$4="PV Only",0,BattCalcs!AZ374+BattCalcs!BE374)</f>
        <v>0</v>
      </c>
      <c r="AB374" s="144">
        <f>IF('PV IN'!$F$4="PV Only",0,BattCalcs!BA374+BattCalcs!BF374)</f>
        <v>0</v>
      </c>
      <c r="AC374" s="144">
        <f>IF('PV IN'!$F$4="PV Only",0,BattCalcs!BB374+BattCalcs!BG374)</f>
        <v>0</v>
      </c>
      <c r="AD374" s="144">
        <f>IF('PV IN'!$F$4="PV Only",0,BattCalcs!BU374)</f>
        <v>0</v>
      </c>
      <c r="AE374" s="144">
        <f>IF('PV IN'!$F$4="PV Only",PVCalcs!W374+PVCalcs!AA374,IF('PV IN'!$F$4="Battery Only",BattCalcs!AV374+BattCalcs!BH374,PVCalcs!W374+PVCalcs!AA374+BattCalcs!AV374+BattCalcs!BH374))</f>
        <v>0</v>
      </c>
      <c r="AF374" s="10">
        <f>PVCalcs!AC374+BattCalcs!BJ374</f>
        <v>0</v>
      </c>
      <c r="AG374" s="144">
        <f>IF('PV IN'!$F$4="Battery Only",0,PVCalcs!AG374)</f>
        <v>-750</v>
      </c>
      <c r="AH374" s="144">
        <f>IF('PV IN'!$F$4="Battery Only",0,PVCalcs!AI374)</f>
        <v>0</v>
      </c>
      <c r="AI374" s="144">
        <f>IF('PV IN'!$F$4="PV Only",0,BattCalcs!BM374)</f>
        <v>0</v>
      </c>
      <c r="AJ374" s="144">
        <f>IF('PV IN'!$F$4="PV Only",0,SUM(BattCalcs!BO374:BT374))</f>
        <v>0</v>
      </c>
      <c r="AK374" s="144">
        <f>IF('PV IN'!$F$4="PV Only",PVCalcs!AH374,IF('PV IN'!$F$4="Battery Only",BattCalcs!BN374,PVCalcs!AH374+BattCalcs!BN374))</f>
        <v>-625</v>
      </c>
      <c r="AL374" s="144">
        <f>IF('PV IN'!$F$4="PV Only",0,BattCalcs!BV374)</f>
        <v>0</v>
      </c>
      <c r="AM374" s="144">
        <f>IF('PV IN'!$F$4="PV Only",0,SUM(BattCalcs!BW374:BX374))</f>
        <v>0</v>
      </c>
      <c r="AN374" s="144">
        <f>IF('PV IN'!$F$4="PV Only",0,BattCalcs!BY374)</f>
        <v>0</v>
      </c>
      <c r="AO374" s="144">
        <f>IF('PV IN'!$F$4="Battery Only",0,PVCalcs!U374)</f>
        <v>9407.097348373667</v>
      </c>
      <c r="AP374" s="10">
        <f>IF('PV IN'!$F$4="PV Only",0,BattCalcs!AS374)</f>
        <v>0</v>
      </c>
      <c r="AQ374" s="10">
        <f>IF('PV IN'!$F$4="PV Only",0,BattCalcs!AT374)</f>
        <v>0</v>
      </c>
      <c r="AR374" s="10">
        <f>IF('PV IN'!$F$4="PV Only",0,BattCalcs!AU374)</f>
        <v>0</v>
      </c>
      <c r="AS374" s="144">
        <f>IF('PV IN'!$F$4="PV Only",PVCalcs!X374,IF('PV IN'!$F$4="Battery Only",BattCalcs!AW374,PVCalcs!X374+BattCalcs!AW374))</f>
        <v>0</v>
      </c>
      <c r="AT374" s="144">
        <f>IF('PV IN'!$F$4="Battery Only",0,-PVCalcs!AQ374*'PV IN'!$E$8)</f>
        <v>0</v>
      </c>
      <c r="AU374" s="144">
        <f>IF('PV IN'!$F$4="PV Only",0,-BattCalcs!CG374*'PV IN'!$E$8)</f>
        <v>0</v>
      </c>
      <c r="AV374" s="144">
        <f>IF('PV IN'!$F$4="PV Only",PVCalcs!Z374+PVCalcs!AA374,IF('PV IN'!$F$4="Battery Only",SUM(BattCalcs!BC374:BH374),PVCalcs!Z374+PVCalcs!AA374+SUM(BattCalcs!BC374:BH374)))</f>
        <v>0</v>
      </c>
      <c r="AW374" s="144">
        <f>IF('PV IN'!$F$4="PV Only",SUM(PVCalcs!AF374:AI374),IF('PV IN'!$F$4="Battery Only",SUM(BattCalcs!BL374:BY374),SUM(PVCalcs!AF374:AI374)+SUM(BattCalcs!BL374:BY374)))</f>
        <v>-1375</v>
      </c>
      <c r="AX374" s="144">
        <f>IF('PV IN'!$F$4="Battery Only",0,-PVLoan!F402)</f>
        <v>0</v>
      </c>
      <c r="AY374" s="144">
        <f>IF('PV IN'!$F$4="PV Only",0,-BattLoan!F402)</f>
        <v>0</v>
      </c>
      <c r="AZ374" s="144">
        <f>IF('PV IN'!$F$4="Battery Only",0,-PVLoan!H402)</f>
        <v>0</v>
      </c>
      <c r="BA374" s="144">
        <f>IF('PV IN'!$F$4="PV Only",0,-BattLoan!H402)</f>
        <v>0</v>
      </c>
    </row>
    <row r="375" spans="1:88" x14ac:dyDescent="0.25">
      <c r="A375" t="str">
        <f>IF(C375&lt;='PV IN'!$O$22*12,C375,"")</f>
        <v/>
      </c>
      <c r="C375">
        <v>371</v>
      </c>
      <c r="D375" s="2">
        <f>BattCalcs!CK375+PVCalcs!AT375</f>
        <v>8314.5759501414177</v>
      </c>
      <c r="E375" s="20">
        <f>PVCalcs!AV375</f>
        <v>2554948.7355331285</v>
      </c>
      <c r="F375" s="20">
        <f>PVCalcs!AW375</f>
        <v>1839.6601821067011</v>
      </c>
      <c r="G375" s="20" t="e">
        <f>PVCalcs!AX375</f>
        <v>#N/A</v>
      </c>
      <c r="H375" s="20">
        <f>BattCalcs!CM375</f>
        <v>0</v>
      </c>
      <c r="I375" s="20">
        <f>BattCalcs!CN375</f>
        <v>0</v>
      </c>
      <c r="J375" s="20" t="e">
        <f>IF(C375&lt;='Batt IN'!H$43*12,BattCalcs!CO375,NA())</f>
        <v>#N/A</v>
      </c>
      <c r="L375" s="20">
        <f t="shared" si="997"/>
        <v>1839.6601821067011</v>
      </c>
      <c r="M375" s="20" t="e">
        <f>G375+BattCalcs!CO375</f>
        <v>#N/A</v>
      </c>
      <c r="O375" s="10" t="str">
        <f>PVLoan!G403</f>
        <v>-</v>
      </c>
      <c r="P375" s="10" t="str">
        <f>PVLoan!J403</f>
        <v>-</v>
      </c>
      <c r="Q375" s="2" t="str">
        <f>BattLoan!G403</f>
        <v>-</v>
      </c>
      <c r="R375" s="10" t="str">
        <f>BattLoan!J403</f>
        <v>-</v>
      </c>
      <c r="T375" s="33">
        <f>IF('PV IN'!$F$4="Battery Only",0,PVCalcs!G375)</f>
        <v>119153.86851208347</v>
      </c>
      <c r="U375" s="33">
        <f>IF('PV IN'!$F$4="Battery Only",0,PVCalcs!M375)</f>
        <v>119153.86851208347</v>
      </c>
      <c r="V375" s="33">
        <f>PVCalcs!L375</f>
        <v>25811.765833333331</v>
      </c>
      <c r="W375" s="158">
        <f>PVCalcs!F375</f>
        <v>7.8896523189157505E-2</v>
      </c>
      <c r="X375" s="144">
        <f>IF('PV IN'!$F$4="Battery Only",0,PVCalcs!Y375+PVCalcs!Z375)</f>
        <v>0</v>
      </c>
      <c r="Y375" s="144">
        <f>IF('PV IN'!$F$4="PV Only",0,BattCalcs!AX375+BattCalcs!BC375)</f>
        <v>0</v>
      </c>
      <c r="Z375" s="144">
        <f>IF('PV IN'!$F$4="PV Only",0,BattCalcs!AY375+BattCalcs!BD375)</f>
        <v>0</v>
      </c>
      <c r="AA375" s="144">
        <f>IF('PV IN'!$F$4="PV Only",0,BattCalcs!AZ375+BattCalcs!BE375)</f>
        <v>0</v>
      </c>
      <c r="AB375" s="144">
        <f>IF('PV IN'!$F$4="PV Only",0,BattCalcs!BA375+BattCalcs!BF375)</f>
        <v>0</v>
      </c>
      <c r="AC375" s="144">
        <f>IF('PV IN'!$F$4="PV Only",0,BattCalcs!BB375+BattCalcs!BG375)</f>
        <v>0</v>
      </c>
      <c r="AD375" s="144">
        <f>IF('PV IN'!$F$4="PV Only",0,BattCalcs!BU375)</f>
        <v>0</v>
      </c>
      <c r="AE375" s="144">
        <f>IF('PV IN'!$F$4="PV Only",PVCalcs!W375+PVCalcs!AA375,IF('PV IN'!$F$4="Battery Only",BattCalcs!AV375+BattCalcs!BH375,PVCalcs!W375+PVCalcs!AA375+BattCalcs!AV375+BattCalcs!BH375))</f>
        <v>0</v>
      </c>
      <c r="AF375" s="10">
        <f>PVCalcs!AC375+BattCalcs!BJ375</f>
        <v>0</v>
      </c>
      <c r="AG375" s="144">
        <f>IF('PV IN'!$F$4="Battery Only",0,PVCalcs!AG375)</f>
        <v>-750</v>
      </c>
      <c r="AH375" s="144">
        <f>IF('PV IN'!$F$4="Battery Only",0,PVCalcs!AI375)</f>
        <v>0</v>
      </c>
      <c r="AI375" s="144">
        <f>IF('PV IN'!$F$4="PV Only",0,BattCalcs!BM375)</f>
        <v>0</v>
      </c>
      <c r="AJ375" s="144">
        <f>IF('PV IN'!$F$4="PV Only",0,SUM(BattCalcs!BO375:BT375))</f>
        <v>0</v>
      </c>
      <c r="AK375" s="144">
        <f>IF('PV IN'!$F$4="PV Only",PVCalcs!AH375,IF('PV IN'!$F$4="Battery Only",BattCalcs!BN375,PVCalcs!AH375+BattCalcs!BN375))</f>
        <v>-625</v>
      </c>
      <c r="AL375" s="144">
        <f>IF('PV IN'!$F$4="PV Only",0,BattCalcs!BV375)</f>
        <v>0</v>
      </c>
      <c r="AM375" s="144">
        <f>IF('PV IN'!$F$4="PV Only",0,SUM(BattCalcs!BW375:BX375))</f>
        <v>0</v>
      </c>
      <c r="AN375" s="144">
        <f>IF('PV IN'!$F$4="PV Only",0,BattCalcs!BY375)</f>
        <v>0</v>
      </c>
      <c r="AO375" s="144">
        <f>IF('PV IN'!$F$4="Battery Only",0,PVCalcs!U375)</f>
        <v>9400.8259501414177</v>
      </c>
      <c r="AP375" s="10">
        <f>IF('PV IN'!$F$4="PV Only",0,BattCalcs!AS375)</f>
        <v>0</v>
      </c>
      <c r="AQ375" s="10">
        <f>IF('PV IN'!$F$4="PV Only",0,BattCalcs!AT375)</f>
        <v>0</v>
      </c>
      <c r="AR375" s="10">
        <f>IF('PV IN'!$F$4="PV Only",0,BattCalcs!AU375)</f>
        <v>0</v>
      </c>
      <c r="AS375" s="144">
        <f>IF('PV IN'!$F$4="PV Only",PVCalcs!X375,IF('PV IN'!$F$4="Battery Only",BattCalcs!AW375,PVCalcs!X375+BattCalcs!AW375))</f>
        <v>0</v>
      </c>
      <c r="AT375" s="144">
        <f>IF('PV IN'!$F$4="Battery Only",0,-PVCalcs!AQ375*'PV IN'!$E$8)</f>
        <v>0</v>
      </c>
      <c r="AU375" s="144">
        <f>IF('PV IN'!$F$4="PV Only",0,-BattCalcs!CG375*'PV IN'!$E$8)</f>
        <v>0</v>
      </c>
      <c r="AV375" s="144">
        <f>IF('PV IN'!$F$4="PV Only",PVCalcs!Z375+PVCalcs!AA375,IF('PV IN'!$F$4="Battery Only",SUM(BattCalcs!BC375:BH375),PVCalcs!Z375+PVCalcs!AA375+SUM(BattCalcs!BC375:BH375)))</f>
        <v>0</v>
      </c>
      <c r="AW375" s="144">
        <f>IF('PV IN'!$F$4="PV Only",SUM(PVCalcs!AF375:AI375),IF('PV IN'!$F$4="Battery Only",SUM(BattCalcs!BL375:BY375),SUM(PVCalcs!AF375:AI375)+SUM(BattCalcs!BL375:BY375)))</f>
        <v>-1375</v>
      </c>
      <c r="AX375" s="144">
        <f>IF('PV IN'!$F$4="Battery Only",0,-PVLoan!F403)</f>
        <v>0</v>
      </c>
      <c r="AY375" s="144">
        <f>IF('PV IN'!$F$4="PV Only",0,-BattLoan!F403)</f>
        <v>0</v>
      </c>
      <c r="AZ375" s="144">
        <f>IF('PV IN'!$F$4="Battery Only",0,-PVLoan!H403)</f>
        <v>0</v>
      </c>
      <c r="BA375" s="144">
        <f>IF('PV IN'!$F$4="PV Only",0,-BattLoan!H403)</f>
        <v>0</v>
      </c>
    </row>
    <row r="376" spans="1:88" x14ac:dyDescent="0.25">
      <c r="A376" t="str">
        <f>IF(C376&lt;='PV IN'!$O$22*12,C376,"")</f>
        <v/>
      </c>
      <c r="B376">
        <f t="shared" ref="B376" si="998">B364+1</f>
        <v>2056</v>
      </c>
      <c r="C376">
        <v>372</v>
      </c>
      <c r="D376" s="2">
        <f>BattCalcs!CK376+PVCalcs!AT376</f>
        <v>8308.3087328413239</v>
      </c>
      <c r="E376" s="20">
        <f>PVCalcs!AV376</f>
        <v>2563257.0442659697</v>
      </c>
      <c r="F376" s="20">
        <f>PVCalcs!AW376</f>
        <v>1830.8145497618525</v>
      </c>
      <c r="G376" s="20" t="e">
        <f>PVCalcs!AX376</f>
        <v>#N/A</v>
      </c>
      <c r="H376" s="20">
        <f>BattCalcs!CM376</f>
        <v>0</v>
      </c>
      <c r="I376" s="20">
        <f>BattCalcs!CN376</f>
        <v>0</v>
      </c>
      <c r="J376" s="20" t="e">
        <f>IF(C376&lt;='Batt IN'!H$43*12,BattCalcs!CO376,NA())</f>
        <v>#N/A</v>
      </c>
      <c r="L376" s="20">
        <f t="shared" si="997"/>
        <v>1830.8145497618525</v>
      </c>
      <c r="M376" s="20" t="e">
        <f>G376+BattCalcs!CO376</f>
        <v>#N/A</v>
      </c>
      <c r="O376" s="10" t="str">
        <f>PVLoan!G404</f>
        <v>-</v>
      </c>
      <c r="P376" s="10" t="str">
        <f>PVLoan!J404</f>
        <v>-</v>
      </c>
      <c r="Q376" s="2" t="str">
        <f>BattLoan!G404</f>
        <v>-</v>
      </c>
      <c r="R376" s="10" t="str">
        <f>BattLoan!J404</f>
        <v>-</v>
      </c>
      <c r="T376" s="33">
        <f>IF('PV IN'!$F$4="Battery Only",0,PVCalcs!G376)</f>
        <v>119074.4325997421</v>
      </c>
      <c r="U376" s="33">
        <f>IF('PV IN'!$F$4="Battery Only",0,PVCalcs!M376)</f>
        <v>119074.4325997421</v>
      </c>
      <c r="V376" s="33">
        <f>PVCalcs!L376</f>
        <v>25811.765833333331</v>
      </c>
      <c r="W376" s="158">
        <f>PVCalcs!F376</f>
        <v>7.8896523189157505E-2</v>
      </c>
      <c r="X376" s="144">
        <f>IF('PV IN'!$F$4="Battery Only",0,PVCalcs!Y376+PVCalcs!Z376)</f>
        <v>0</v>
      </c>
      <c r="Y376" s="144">
        <f>IF('PV IN'!$F$4="PV Only",0,BattCalcs!AX376+BattCalcs!BC376)</f>
        <v>0</v>
      </c>
      <c r="Z376" s="144">
        <f>IF('PV IN'!$F$4="PV Only",0,BattCalcs!AY376+BattCalcs!BD376)</f>
        <v>0</v>
      </c>
      <c r="AA376" s="144">
        <f>IF('PV IN'!$F$4="PV Only",0,BattCalcs!AZ376+BattCalcs!BE376)</f>
        <v>0</v>
      </c>
      <c r="AB376" s="144">
        <f>IF('PV IN'!$F$4="PV Only",0,BattCalcs!BA376+BattCalcs!BF376)</f>
        <v>0</v>
      </c>
      <c r="AC376" s="144">
        <f>IF('PV IN'!$F$4="PV Only",0,BattCalcs!BB376+BattCalcs!BG376)</f>
        <v>0</v>
      </c>
      <c r="AD376" s="144">
        <f>IF('PV IN'!$F$4="PV Only",0,BattCalcs!BU376)</f>
        <v>0</v>
      </c>
      <c r="AE376" s="144">
        <f>IF('PV IN'!$F$4="PV Only",PVCalcs!W376+PVCalcs!AA376,IF('PV IN'!$F$4="Battery Only",BattCalcs!AV376+BattCalcs!BH376,PVCalcs!W376+PVCalcs!AA376+BattCalcs!AV376+BattCalcs!BH376))</f>
        <v>0</v>
      </c>
      <c r="AF376" s="10">
        <f>PVCalcs!AC376+BattCalcs!BJ376</f>
        <v>0</v>
      </c>
      <c r="AG376" s="144">
        <f>IF('PV IN'!$F$4="Battery Only",0,PVCalcs!AG376)</f>
        <v>-750</v>
      </c>
      <c r="AH376" s="144">
        <f>IF('PV IN'!$F$4="Battery Only",0,PVCalcs!AI376)</f>
        <v>0</v>
      </c>
      <c r="AI376" s="144">
        <f>IF('PV IN'!$F$4="PV Only",0,BattCalcs!BM376)</f>
        <v>0</v>
      </c>
      <c r="AJ376" s="144">
        <f>IF('PV IN'!$F$4="PV Only",0,SUM(BattCalcs!BO376:BT376))</f>
        <v>0</v>
      </c>
      <c r="AK376" s="144">
        <f>IF('PV IN'!$F$4="PV Only",PVCalcs!AH376,IF('PV IN'!$F$4="Battery Only",BattCalcs!BN376,PVCalcs!AH376+BattCalcs!BN376))</f>
        <v>-625</v>
      </c>
      <c r="AL376" s="144">
        <f>IF('PV IN'!$F$4="PV Only",0,BattCalcs!BV376)</f>
        <v>0</v>
      </c>
      <c r="AM376" s="144">
        <f>IF('PV IN'!$F$4="PV Only",0,SUM(BattCalcs!BW376:BX376))</f>
        <v>0</v>
      </c>
      <c r="AN376" s="144">
        <f>IF('PV IN'!$F$4="PV Only",0,BattCalcs!BY376)</f>
        <v>0</v>
      </c>
      <c r="AO376" s="144">
        <f>IF('PV IN'!$F$4="Battery Only",0,PVCalcs!U376)</f>
        <v>9394.5587328413239</v>
      </c>
      <c r="AP376" s="10">
        <f>IF('PV IN'!$F$4="PV Only",0,BattCalcs!AS376)</f>
        <v>0</v>
      </c>
      <c r="AQ376" s="10">
        <f>IF('PV IN'!$F$4="PV Only",0,BattCalcs!AT376)</f>
        <v>0</v>
      </c>
      <c r="AR376" s="10">
        <f>IF('PV IN'!$F$4="PV Only",0,BattCalcs!AU376)</f>
        <v>0</v>
      </c>
      <c r="AS376" s="144">
        <f>IF('PV IN'!$F$4="PV Only",PVCalcs!X376,IF('PV IN'!$F$4="Battery Only",BattCalcs!AW376,PVCalcs!X376+BattCalcs!AW376))</f>
        <v>0</v>
      </c>
      <c r="AT376" s="144">
        <f>IF('PV IN'!$F$4="Battery Only",0,-PVCalcs!AQ376*'PV IN'!$E$8)</f>
        <v>0</v>
      </c>
      <c r="AU376" s="144">
        <f>IF('PV IN'!$F$4="PV Only",0,-BattCalcs!CG376*'PV IN'!$E$8)</f>
        <v>0</v>
      </c>
      <c r="AV376" s="144">
        <f>IF('PV IN'!$F$4="PV Only",PVCalcs!Z376+PVCalcs!AA376,IF('PV IN'!$F$4="Battery Only",SUM(BattCalcs!BC376:BH376),PVCalcs!Z376+PVCalcs!AA376+SUM(BattCalcs!BC376:BH376)))</f>
        <v>0</v>
      </c>
      <c r="AW376" s="144">
        <f>IF('PV IN'!$F$4="PV Only",SUM(PVCalcs!AF376:AI376),IF('PV IN'!$F$4="Battery Only",SUM(BattCalcs!BL376:BY376),SUM(PVCalcs!AF376:AI376)+SUM(BattCalcs!BL376:BY376)))</f>
        <v>-1375</v>
      </c>
      <c r="AX376" s="144">
        <f>IF('PV IN'!$F$4="Battery Only",0,-PVLoan!F404)</f>
        <v>0</v>
      </c>
      <c r="AY376" s="144">
        <f>IF('PV IN'!$F$4="PV Only",0,-BattLoan!F404)</f>
        <v>0</v>
      </c>
      <c r="AZ376" s="144">
        <f>IF('PV IN'!$F$4="Battery Only",0,-PVLoan!H404)</f>
        <v>0</v>
      </c>
      <c r="BA376" s="144">
        <f>IF('PV IN'!$F$4="PV Only",0,-BattLoan!H404)</f>
        <v>0</v>
      </c>
      <c r="BC376" s="33">
        <f t="shared" ref="BC376" si="999">SUM(T365:T376)</f>
        <v>1434147.6373020804</v>
      </c>
      <c r="BD376" s="33">
        <f t="shared" ref="BD376" si="1000">SUM(U365:U376)</f>
        <v>1434147.6373020804</v>
      </c>
      <c r="BE376" s="33">
        <f t="shared" ref="BE376" si="1001">SUM(V365:V376)</f>
        <v>283929.42416666669</v>
      </c>
      <c r="BF376" s="50">
        <f t="shared" ref="BF376" si="1002">W376</f>
        <v>7.8896523189157505E-2</v>
      </c>
      <c r="BG376" s="2">
        <f t="shared" ref="BG376" si="1003">SUM(X365:X376)</f>
        <v>0</v>
      </c>
      <c r="BH376" s="2">
        <f t="shared" ref="BH376" si="1004">SUM(Y365:Y376)</f>
        <v>0</v>
      </c>
      <c r="BI376" s="2">
        <f t="shared" ref="BI376" si="1005">SUM(Z365:Z376)</f>
        <v>0</v>
      </c>
      <c r="BJ376" s="2">
        <f t="shared" ref="BJ376" si="1006">SUM(AA365:AA376)</f>
        <v>0</v>
      </c>
      <c r="BK376" s="2">
        <f t="shared" ref="BK376" si="1007">SUM(AB365:AB376)</f>
        <v>0</v>
      </c>
      <c r="BL376" s="2">
        <f t="shared" ref="BL376" si="1008">SUM(AC365:AC376)</f>
        <v>0</v>
      </c>
      <c r="BM376" s="2">
        <f t="shared" ref="BM376" si="1009">SUM(AD365:AD376)</f>
        <v>0</v>
      </c>
      <c r="BN376" s="2">
        <f t="shared" ref="BN376" si="1010">SUM(AE365:AE376)</f>
        <v>0</v>
      </c>
      <c r="BO376" s="2">
        <f t="shared" ref="BO376" si="1011">SUM(AF365:AF376)</f>
        <v>0</v>
      </c>
      <c r="BP376" s="2">
        <f t="shared" ref="BP376" si="1012">SUM(AG365:AG376)</f>
        <v>-9000</v>
      </c>
      <c r="BQ376" s="2">
        <f t="shared" ref="BQ376" si="1013">SUM(AH365:AH376)</f>
        <v>0</v>
      </c>
      <c r="BR376" s="2">
        <f t="shared" ref="BR376" si="1014">SUM(AI365:AI376)</f>
        <v>0</v>
      </c>
      <c r="BS376" s="2">
        <f t="shared" ref="BS376" si="1015">SUM(AJ365:AJ376)</f>
        <v>0</v>
      </c>
      <c r="BT376" s="2">
        <f t="shared" ref="BT376" si="1016">SUM(AK365:AK376)</f>
        <v>-7500</v>
      </c>
      <c r="BU376" s="2">
        <f t="shared" ref="BU376" si="1017">SUM(AL365:AL376)</f>
        <v>0</v>
      </c>
      <c r="BV376" s="2">
        <f t="shared" ref="BV376" si="1018">SUM(AM365:AM376)</f>
        <v>0</v>
      </c>
      <c r="BW376" s="2">
        <f t="shared" ref="BW376" si="1019">SUM(AN365:AN376)</f>
        <v>0</v>
      </c>
      <c r="BX376" s="2">
        <f t="shared" ref="BX376" si="1020">SUM(AO365:AO376)</f>
        <v>113149.26232307903</v>
      </c>
      <c r="BY376" s="2">
        <f t="shared" ref="BY376" si="1021">SUM(AP365:AP376)</f>
        <v>0</v>
      </c>
      <c r="BZ376" s="2">
        <f t="shared" ref="BZ376" si="1022">SUM(AQ365:AQ376)</f>
        <v>0</v>
      </c>
      <c r="CA376" s="2">
        <f t="shared" ref="CA376" si="1023">SUM(AR365:AR376)</f>
        <v>0</v>
      </c>
      <c r="CB376" s="2">
        <f t="shared" ref="CB376" si="1024">SUM(AS365:AS376)</f>
        <v>0</v>
      </c>
      <c r="CC376" s="2">
        <f t="shared" ref="CC376" si="1025">SUM(AT365:AT376)</f>
        <v>0</v>
      </c>
      <c r="CD376" s="2">
        <f t="shared" ref="CD376" si="1026">SUM(AU365:AU376)</f>
        <v>0</v>
      </c>
      <c r="CE376" s="2">
        <f t="shared" ref="CE376" si="1027">SUM(AV365:AV376)</f>
        <v>0</v>
      </c>
      <c r="CF376" s="2">
        <f t="shared" ref="CF376" si="1028">SUM(AW365:AW376)</f>
        <v>-16500</v>
      </c>
      <c r="CG376" s="2">
        <f t="shared" ref="CG376" si="1029">SUM(AX365:AX376)</f>
        <v>0</v>
      </c>
      <c r="CH376" s="2">
        <f t="shared" ref="CH376" si="1030">SUM(AY365:AY376)</f>
        <v>0</v>
      </c>
      <c r="CI376" s="2">
        <f t="shared" ref="CI376" si="1031">SUM(AZ365:AZ376)</f>
        <v>0</v>
      </c>
      <c r="CJ376" s="2">
        <f t="shared" ref="CJ376" si="1032">SUM(BA365:BA376)</f>
        <v>0</v>
      </c>
    </row>
    <row r="377" spans="1:88" x14ac:dyDescent="0.25">
      <c r="A377" t="str">
        <f>IF(C377&lt;='PV IN'!$O$22*12,C377,"")</f>
        <v/>
      </c>
      <c r="C377">
        <v>373</v>
      </c>
      <c r="D377" s="2">
        <f>BattCalcs!CK377+PVCalcs!AT377</f>
        <v>8302.0456936860955</v>
      </c>
      <c r="E377" s="20">
        <f>PVCalcs!AV377</f>
        <v>2571559.0899596559</v>
      </c>
      <c r="F377" s="20">
        <f>PVCalcs!AW377</f>
        <v>1822.0113300484365</v>
      </c>
      <c r="G377" s="20" t="e">
        <f>PVCalcs!AX377</f>
        <v>#N/A</v>
      </c>
      <c r="H377" s="20">
        <f>BattCalcs!CM377</f>
        <v>0</v>
      </c>
      <c r="I377" s="20">
        <f>BattCalcs!CN377</f>
        <v>0</v>
      </c>
      <c r="J377" s="20" t="e">
        <f>IF(C377&lt;='Batt IN'!H$43*12,BattCalcs!CO377,NA())</f>
        <v>#N/A</v>
      </c>
      <c r="L377" s="20">
        <f t="shared" si="997"/>
        <v>1822.0113300484365</v>
      </c>
      <c r="M377" s="20" t="e">
        <f>G377+BattCalcs!CO377</f>
        <v>#N/A</v>
      </c>
      <c r="O377" s="10" t="str">
        <f>PVLoan!G405</f>
        <v>-</v>
      </c>
      <c r="P377" s="10" t="str">
        <f>PVLoan!J405</f>
        <v>-</v>
      </c>
      <c r="Q377" s="2" t="str">
        <f>BattLoan!G405</f>
        <v>-</v>
      </c>
      <c r="R377" s="10" t="str">
        <f>BattLoan!J405</f>
        <v>-</v>
      </c>
      <c r="T377" s="33">
        <f>IF('PV IN'!$F$4="Battery Only",0,PVCalcs!G377)</f>
        <v>118995.04964467557</v>
      </c>
      <c r="U377" s="33">
        <f>IF('PV IN'!$F$4="Battery Only",0,PVCalcs!M377)</f>
        <v>118995.04964467557</v>
      </c>
      <c r="V377" s="33">
        <f>PVCalcs!L377</f>
        <v>25811.765833333331</v>
      </c>
      <c r="W377" s="158">
        <f>PVCalcs!F377</f>
        <v>7.8896523189157505E-2</v>
      </c>
      <c r="X377" s="144">
        <f>IF('PV IN'!$F$4="Battery Only",0,PVCalcs!Y377+PVCalcs!Z377)</f>
        <v>0</v>
      </c>
      <c r="Y377" s="144">
        <f>IF('PV IN'!$F$4="PV Only",0,BattCalcs!AX377+BattCalcs!BC377)</f>
        <v>0</v>
      </c>
      <c r="Z377" s="144">
        <f>IF('PV IN'!$F$4="PV Only",0,BattCalcs!AY377+BattCalcs!BD377)</f>
        <v>0</v>
      </c>
      <c r="AA377" s="144">
        <f>IF('PV IN'!$F$4="PV Only",0,BattCalcs!AZ377+BattCalcs!BE377)</f>
        <v>0</v>
      </c>
      <c r="AB377" s="144">
        <f>IF('PV IN'!$F$4="PV Only",0,BattCalcs!BA377+BattCalcs!BF377)</f>
        <v>0</v>
      </c>
      <c r="AC377" s="144">
        <f>IF('PV IN'!$F$4="PV Only",0,BattCalcs!BB377+BattCalcs!BG377)</f>
        <v>0</v>
      </c>
      <c r="AD377" s="144">
        <f>IF('PV IN'!$F$4="PV Only",0,BattCalcs!BU377)</f>
        <v>0</v>
      </c>
      <c r="AE377" s="144">
        <f>IF('PV IN'!$F$4="PV Only",PVCalcs!W377+PVCalcs!AA377,IF('PV IN'!$F$4="Battery Only",BattCalcs!AV377+BattCalcs!BH377,PVCalcs!W377+PVCalcs!AA377+BattCalcs!AV377+BattCalcs!BH377))</f>
        <v>0</v>
      </c>
      <c r="AF377" s="10">
        <f>PVCalcs!AC377+BattCalcs!BJ377</f>
        <v>0</v>
      </c>
      <c r="AG377" s="144">
        <f>IF('PV IN'!$F$4="Battery Only",0,PVCalcs!AG377)</f>
        <v>-750</v>
      </c>
      <c r="AH377" s="144">
        <f>IF('PV IN'!$F$4="Battery Only",0,PVCalcs!AI377)</f>
        <v>0</v>
      </c>
      <c r="AI377" s="144">
        <f>IF('PV IN'!$F$4="PV Only",0,BattCalcs!BM377)</f>
        <v>0</v>
      </c>
      <c r="AJ377" s="144">
        <f>IF('PV IN'!$F$4="PV Only",0,SUM(BattCalcs!BO377:BT377))</f>
        <v>0</v>
      </c>
      <c r="AK377" s="144">
        <f>IF('PV IN'!$F$4="PV Only",PVCalcs!AH377,IF('PV IN'!$F$4="Battery Only",BattCalcs!BN377,PVCalcs!AH377+BattCalcs!BN377))</f>
        <v>-625</v>
      </c>
      <c r="AL377" s="144">
        <f>IF('PV IN'!$F$4="PV Only",0,BattCalcs!BV377)</f>
        <v>0</v>
      </c>
      <c r="AM377" s="144">
        <f>IF('PV IN'!$F$4="PV Only",0,SUM(BattCalcs!BW377:BX377))</f>
        <v>0</v>
      </c>
      <c r="AN377" s="144">
        <f>IF('PV IN'!$F$4="PV Only",0,BattCalcs!BY377)</f>
        <v>0</v>
      </c>
      <c r="AO377" s="144">
        <f>IF('PV IN'!$F$4="Battery Only",0,PVCalcs!U377)</f>
        <v>9388.2956936860955</v>
      </c>
      <c r="AP377" s="10">
        <f>IF('PV IN'!$F$4="PV Only",0,BattCalcs!AS377)</f>
        <v>0</v>
      </c>
      <c r="AQ377" s="10">
        <f>IF('PV IN'!$F$4="PV Only",0,BattCalcs!AT377)</f>
        <v>0</v>
      </c>
      <c r="AR377" s="10">
        <f>IF('PV IN'!$F$4="PV Only",0,BattCalcs!AU377)</f>
        <v>0</v>
      </c>
      <c r="AS377" s="144">
        <f>IF('PV IN'!$F$4="PV Only",PVCalcs!X377,IF('PV IN'!$F$4="Battery Only",BattCalcs!AW377,PVCalcs!X377+BattCalcs!AW377))</f>
        <v>0</v>
      </c>
      <c r="AT377" s="144">
        <f>IF('PV IN'!$F$4="Battery Only",0,-PVCalcs!AQ377*'PV IN'!$E$8)</f>
        <v>0</v>
      </c>
      <c r="AU377" s="144">
        <f>IF('PV IN'!$F$4="PV Only",0,-BattCalcs!CG377*'PV IN'!$E$8)</f>
        <v>0</v>
      </c>
      <c r="AV377" s="144">
        <f>IF('PV IN'!$F$4="PV Only",PVCalcs!Z377+PVCalcs!AA377,IF('PV IN'!$F$4="Battery Only",SUM(BattCalcs!BC377:BH377),PVCalcs!Z377+PVCalcs!AA377+SUM(BattCalcs!BC377:BH377)))</f>
        <v>0</v>
      </c>
      <c r="AW377" s="144">
        <f>IF('PV IN'!$F$4="PV Only",SUM(PVCalcs!AF377:AI377),IF('PV IN'!$F$4="Battery Only",SUM(BattCalcs!BL377:BY377),SUM(PVCalcs!AF377:AI377)+SUM(BattCalcs!BL377:BY377)))</f>
        <v>-1375</v>
      </c>
      <c r="AX377" s="144">
        <f>IF('PV IN'!$F$4="Battery Only",0,-PVLoan!F405)</f>
        <v>0</v>
      </c>
      <c r="AY377" s="144">
        <f>IF('PV IN'!$F$4="PV Only",0,-BattLoan!F405)</f>
        <v>0</v>
      </c>
      <c r="AZ377" s="144">
        <f>IF('PV IN'!$F$4="Battery Only",0,-PVLoan!H405)</f>
        <v>0</v>
      </c>
      <c r="BA377" s="144">
        <f>IF('PV IN'!$F$4="PV Only",0,-BattLoan!H405)</f>
        <v>0</v>
      </c>
    </row>
    <row r="378" spans="1:88" x14ac:dyDescent="0.25">
      <c r="A378" t="str">
        <f>IF(C378&lt;='PV IN'!$O$22*12,C378,"")</f>
        <v/>
      </c>
      <c r="C378">
        <v>374</v>
      </c>
      <c r="D378" s="2">
        <f>BattCalcs!CK378+PVCalcs!AT378</f>
        <v>8295.7868298903031</v>
      </c>
      <c r="E378" s="20">
        <f>PVCalcs!AV378</f>
        <v>2579854.8767895461</v>
      </c>
      <c r="F378" s="20">
        <f>PVCalcs!AW378</f>
        <v>1813.2503200856277</v>
      </c>
      <c r="G378" s="20" t="e">
        <f>PVCalcs!AX378</f>
        <v>#N/A</v>
      </c>
      <c r="H378" s="20">
        <f>BattCalcs!CM378</f>
        <v>0</v>
      </c>
      <c r="I378" s="20">
        <f>BattCalcs!CN378</f>
        <v>0</v>
      </c>
      <c r="J378" s="20" t="e">
        <f>IF(C378&lt;='Batt IN'!H$43*12,BattCalcs!CO378,NA())</f>
        <v>#N/A</v>
      </c>
      <c r="L378" s="20">
        <f t="shared" si="997"/>
        <v>1813.2503200856277</v>
      </c>
      <c r="M378" s="20" t="e">
        <f>G378+BattCalcs!CO378</f>
        <v>#N/A</v>
      </c>
      <c r="O378" s="10" t="str">
        <f>PVLoan!G406</f>
        <v>-</v>
      </c>
      <c r="P378" s="10" t="str">
        <f>PVLoan!J406</f>
        <v>-</v>
      </c>
      <c r="Q378" s="2" t="str">
        <f>BattLoan!G406</f>
        <v>-</v>
      </c>
      <c r="R378" s="10" t="str">
        <f>BattLoan!J406</f>
        <v>-</v>
      </c>
      <c r="T378" s="33">
        <f>IF('PV IN'!$F$4="Battery Only",0,PVCalcs!G378)</f>
        <v>118915.71961157912</v>
      </c>
      <c r="U378" s="33">
        <f>IF('PV IN'!$F$4="Battery Only",0,PVCalcs!M378)</f>
        <v>118915.71961157912</v>
      </c>
      <c r="V378" s="33">
        <f>PVCalcs!L378</f>
        <v>25811.765833333331</v>
      </c>
      <c r="W378" s="158">
        <f>PVCalcs!F378</f>
        <v>7.8896523189157505E-2</v>
      </c>
      <c r="X378" s="144">
        <f>IF('PV IN'!$F$4="Battery Only",0,PVCalcs!Y378+PVCalcs!Z378)</f>
        <v>0</v>
      </c>
      <c r="Y378" s="144">
        <f>IF('PV IN'!$F$4="PV Only",0,BattCalcs!AX378+BattCalcs!BC378)</f>
        <v>0</v>
      </c>
      <c r="Z378" s="144">
        <f>IF('PV IN'!$F$4="PV Only",0,BattCalcs!AY378+BattCalcs!BD378)</f>
        <v>0</v>
      </c>
      <c r="AA378" s="144">
        <f>IF('PV IN'!$F$4="PV Only",0,BattCalcs!AZ378+BattCalcs!BE378)</f>
        <v>0</v>
      </c>
      <c r="AB378" s="144">
        <f>IF('PV IN'!$F$4="PV Only",0,BattCalcs!BA378+BattCalcs!BF378)</f>
        <v>0</v>
      </c>
      <c r="AC378" s="144">
        <f>IF('PV IN'!$F$4="PV Only",0,BattCalcs!BB378+BattCalcs!BG378)</f>
        <v>0</v>
      </c>
      <c r="AD378" s="144">
        <f>IF('PV IN'!$F$4="PV Only",0,BattCalcs!BU378)</f>
        <v>0</v>
      </c>
      <c r="AE378" s="144">
        <f>IF('PV IN'!$F$4="PV Only",PVCalcs!W378+PVCalcs!AA378,IF('PV IN'!$F$4="Battery Only",BattCalcs!AV378+BattCalcs!BH378,PVCalcs!W378+PVCalcs!AA378+BattCalcs!AV378+BattCalcs!BH378))</f>
        <v>0</v>
      </c>
      <c r="AF378" s="10">
        <f>PVCalcs!AC378+BattCalcs!BJ378</f>
        <v>0</v>
      </c>
      <c r="AG378" s="144">
        <f>IF('PV IN'!$F$4="Battery Only",0,PVCalcs!AG378)</f>
        <v>-750</v>
      </c>
      <c r="AH378" s="144">
        <f>IF('PV IN'!$F$4="Battery Only",0,PVCalcs!AI378)</f>
        <v>0</v>
      </c>
      <c r="AI378" s="144">
        <f>IF('PV IN'!$F$4="PV Only",0,BattCalcs!BM378)</f>
        <v>0</v>
      </c>
      <c r="AJ378" s="144">
        <f>IF('PV IN'!$F$4="PV Only",0,SUM(BattCalcs!BO378:BT378))</f>
        <v>0</v>
      </c>
      <c r="AK378" s="144">
        <f>IF('PV IN'!$F$4="PV Only",PVCalcs!AH378,IF('PV IN'!$F$4="Battery Only",BattCalcs!BN378,PVCalcs!AH378+BattCalcs!BN378))</f>
        <v>-625</v>
      </c>
      <c r="AL378" s="144">
        <f>IF('PV IN'!$F$4="PV Only",0,BattCalcs!BV378)</f>
        <v>0</v>
      </c>
      <c r="AM378" s="144">
        <f>IF('PV IN'!$F$4="PV Only",0,SUM(BattCalcs!BW378:BX378))</f>
        <v>0</v>
      </c>
      <c r="AN378" s="144">
        <f>IF('PV IN'!$F$4="PV Only",0,BattCalcs!BY378)</f>
        <v>0</v>
      </c>
      <c r="AO378" s="144">
        <f>IF('PV IN'!$F$4="Battery Only",0,PVCalcs!U378)</f>
        <v>9382.0368298903031</v>
      </c>
      <c r="AP378" s="10">
        <f>IF('PV IN'!$F$4="PV Only",0,BattCalcs!AS378)</f>
        <v>0</v>
      </c>
      <c r="AQ378" s="10">
        <f>IF('PV IN'!$F$4="PV Only",0,BattCalcs!AT378)</f>
        <v>0</v>
      </c>
      <c r="AR378" s="10">
        <f>IF('PV IN'!$F$4="PV Only",0,BattCalcs!AU378)</f>
        <v>0</v>
      </c>
      <c r="AS378" s="144">
        <f>IF('PV IN'!$F$4="PV Only",PVCalcs!X378,IF('PV IN'!$F$4="Battery Only",BattCalcs!AW378,PVCalcs!X378+BattCalcs!AW378))</f>
        <v>0</v>
      </c>
      <c r="AT378" s="144">
        <f>IF('PV IN'!$F$4="Battery Only",0,-PVCalcs!AQ378*'PV IN'!$E$8)</f>
        <v>0</v>
      </c>
      <c r="AU378" s="144">
        <f>IF('PV IN'!$F$4="PV Only",0,-BattCalcs!CG378*'PV IN'!$E$8)</f>
        <v>0</v>
      </c>
      <c r="AV378" s="144">
        <f>IF('PV IN'!$F$4="PV Only",PVCalcs!Z378+PVCalcs!AA378,IF('PV IN'!$F$4="Battery Only",SUM(BattCalcs!BC378:BH378),PVCalcs!Z378+PVCalcs!AA378+SUM(BattCalcs!BC378:BH378)))</f>
        <v>0</v>
      </c>
      <c r="AW378" s="144">
        <f>IF('PV IN'!$F$4="PV Only",SUM(PVCalcs!AF378:AI378),IF('PV IN'!$F$4="Battery Only",SUM(BattCalcs!BL378:BY378),SUM(PVCalcs!AF378:AI378)+SUM(BattCalcs!BL378:BY378)))</f>
        <v>-1375</v>
      </c>
      <c r="AX378" s="144">
        <f>IF('PV IN'!$F$4="Battery Only",0,-PVLoan!F406)</f>
        <v>0</v>
      </c>
      <c r="AY378" s="144">
        <f>IF('PV IN'!$F$4="PV Only",0,-BattLoan!F406)</f>
        <v>0</v>
      </c>
      <c r="AZ378" s="144">
        <f>IF('PV IN'!$F$4="Battery Only",0,-PVLoan!H406)</f>
        <v>0</v>
      </c>
      <c r="BA378" s="144">
        <f>IF('PV IN'!$F$4="PV Only",0,-BattLoan!H406)</f>
        <v>0</v>
      </c>
    </row>
    <row r="379" spans="1:88" x14ac:dyDescent="0.25">
      <c r="A379" t="str">
        <f>IF(C379&lt;='PV IN'!$O$22*12,C379,"")</f>
        <v/>
      </c>
      <c r="C379">
        <v>375</v>
      </c>
      <c r="D379" s="2">
        <f>BattCalcs!CK379+PVCalcs!AT379</f>
        <v>8289.5321386703763</v>
      </c>
      <c r="E379" s="20">
        <f>PVCalcs!AV379</f>
        <v>2588144.4089282164</v>
      </c>
      <c r="F379" s="20">
        <f>PVCalcs!AW379</f>
        <v>1804.5313179611749</v>
      </c>
      <c r="G379" s="20" t="e">
        <f>PVCalcs!AX379</f>
        <v>#N/A</v>
      </c>
      <c r="H379" s="20">
        <f>BattCalcs!CM379</f>
        <v>0</v>
      </c>
      <c r="I379" s="20">
        <f>BattCalcs!CN379</f>
        <v>0</v>
      </c>
      <c r="J379" s="20" t="e">
        <f>IF(C379&lt;='Batt IN'!H$43*12,BattCalcs!CO379,NA())</f>
        <v>#N/A</v>
      </c>
      <c r="L379" s="20">
        <f t="shared" si="997"/>
        <v>1804.5313179611749</v>
      </c>
      <c r="M379" s="20" t="e">
        <f>G379+BattCalcs!CO379</f>
        <v>#N/A</v>
      </c>
      <c r="O379" s="10" t="str">
        <f>PVLoan!G407</f>
        <v>-</v>
      </c>
      <c r="P379" s="10" t="str">
        <f>PVLoan!J407</f>
        <v>-</v>
      </c>
      <c r="Q379" s="2" t="str">
        <f>BattLoan!G407</f>
        <v>-</v>
      </c>
      <c r="R379" s="10" t="str">
        <f>BattLoan!J407</f>
        <v>-</v>
      </c>
      <c r="T379" s="33">
        <f>IF('PV IN'!$F$4="Battery Only",0,PVCalcs!G379)</f>
        <v>118836.44246517139</v>
      </c>
      <c r="U379" s="33">
        <f>IF('PV IN'!$F$4="Battery Only",0,PVCalcs!M379)</f>
        <v>118836.44246517139</v>
      </c>
      <c r="V379" s="33">
        <f>PVCalcs!L379</f>
        <v>25811.765833333331</v>
      </c>
      <c r="W379" s="158">
        <f>PVCalcs!F379</f>
        <v>7.8896523189157505E-2</v>
      </c>
      <c r="X379" s="144">
        <f>IF('PV IN'!$F$4="Battery Only",0,PVCalcs!Y379+PVCalcs!Z379)</f>
        <v>0</v>
      </c>
      <c r="Y379" s="144">
        <f>IF('PV IN'!$F$4="PV Only",0,BattCalcs!AX379+BattCalcs!BC379)</f>
        <v>0</v>
      </c>
      <c r="Z379" s="144">
        <f>IF('PV IN'!$F$4="PV Only",0,BattCalcs!AY379+BattCalcs!BD379)</f>
        <v>0</v>
      </c>
      <c r="AA379" s="144">
        <f>IF('PV IN'!$F$4="PV Only",0,BattCalcs!AZ379+BattCalcs!BE379)</f>
        <v>0</v>
      </c>
      <c r="AB379" s="144">
        <f>IF('PV IN'!$F$4="PV Only",0,BattCalcs!BA379+BattCalcs!BF379)</f>
        <v>0</v>
      </c>
      <c r="AC379" s="144">
        <f>IF('PV IN'!$F$4="PV Only",0,BattCalcs!BB379+BattCalcs!BG379)</f>
        <v>0</v>
      </c>
      <c r="AD379" s="144">
        <f>IF('PV IN'!$F$4="PV Only",0,BattCalcs!BU379)</f>
        <v>0</v>
      </c>
      <c r="AE379" s="144">
        <f>IF('PV IN'!$F$4="PV Only",PVCalcs!W379+PVCalcs!AA379,IF('PV IN'!$F$4="Battery Only",BattCalcs!AV379+BattCalcs!BH379,PVCalcs!W379+PVCalcs!AA379+BattCalcs!AV379+BattCalcs!BH379))</f>
        <v>0</v>
      </c>
      <c r="AF379" s="10">
        <f>PVCalcs!AC379+BattCalcs!BJ379</f>
        <v>0</v>
      </c>
      <c r="AG379" s="144">
        <f>IF('PV IN'!$F$4="Battery Only",0,PVCalcs!AG379)</f>
        <v>-750</v>
      </c>
      <c r="AH379" s="144">
        <f>IF('PV IN'!$F$4="Battery Only",0,PVCalcs!AI379)</f>
        <v>0</v>
      </c>
      <c r="AI379" s="144">
        <f>IF('PV IN'!$F$4="PV Only",0,BattCalcs!BM379)</f>
        <v>0</v>
      </c>
      <c r="AJ379" s="144">
        <f>IF('PV IN'!$F$4="PV Only",0,SUM(BattCalcs!BO379:BT379))</f>
        <v>0</v>
      </c>
      <c r="AK379" s="144">
        <f>IF('PV IN'!$F$4="PV Only",PVCalcs!AH379,IF('PV IN'!$F$4="Battery Only",BattCalcs!BN379,PVCalcs!AH379+BattCalcs!BN379))</f>
        <v>-625</v>
      </c>
      <c r="AL379" s="144">
        <f>IF('PV IN'!$F$4="PV Only",0,BattCalcs!BV379)</f>
        <v>0</v>
      </c>
      <c r="AM379" s="144">
        <f>IF('PV IN'!$F$4="PV Only",0,SUM(BattCalcs!BW379:BX379))</f>
        <v>0</v>
      </c>
      <c r="AN379" s="144">
        <f>IF('PV IN'!$F$4="PV Only",0,BattCalcs!BY379)</f>
        <v>0</v>
      </c>
      <c r="AO379" s="144">
        <f>IF('PV IN'!$F$4="Battery Only",0,PVCalcs!U379)</f>
        <v>9375.7821386703763</v>
      </c>
      <c r="AP379" s="10">
        <f>IF('PV IN'!$F$4="PV Only",0,BattCalcs!AS379)</f>
        <v>0</v>
      </c>
      <c r="AQ379" s="10">
        <f>IF('PV IN'!$F$4="PV Only",0,BattCalcs!AT379)</f>
        <v>0</v>
      </c>
      <c r="AR379" s="10">
        <f>IF('PV IN'!$F$4="PV Only",0,BattCalcs!AU379)</f>
        <v>0</v>
      </c>
      <c r="AS379" s="144">
        <f>IF('PV IN'!$F$4="PV Only",PVCalcs!X379,IF('PV IN'!$F$4="Battery Only",BattCalcs!AW379,PVCalcs!X379+BattCalcs!AW379))</f>
        <v>0</v>
      </c>
      <c r="AT379" s="144">
        <f>IF('PV IN'!$F$4="Battery Only",0,-PVCalcs!AQ379*'PV IN'!$E$8)</f>
        <v>0</v>
      </c>
      <c r="AU379" s="144">
        <f>IF('PV IN'!$F$4="PV Only",0,-BattCalcs!CG379*'PV IN'!$E$8)</f>
        <v>0</v>
      </c>
      <c r="AV379" s="144">
        <f>IF('PV IN'!$F$4="PV Only",PVCalcs!Z379+PVCalcs!AA379,IF('PV IN'!$F$4="Battery Only",SUM(BattCalcs!BC379:BH379),PVCalcs!Z379+PVCalcs!AA379+SUM(BattCalcs!BC379:BH379)))</f>
        <v>0</v>
      </c>
      <c r="AW379" s="144">
        <f>IF('PV IN'!$F$4="PV Only",SUM(PVCalcs!AF379:AI379),IF('PV IN'!$F$4="Battery Only",SUM(BattCalcs!BL379:BY379),SUM(PVCalcs!AF379:AI379)+SUM(BattCalcs!BL379:BY379)))</f>
        <v>-1375</v>
      </c>
      <c r="AX379" s="144">
        <f>IF('PV IN'!$F$4="Battery Only",0,-PVLoan!F407)</f>
        <v>0</v>
      </c>
      <c r="AY379" s="144">
        <f>IF('PV IN'!$F$4="PV Only",0,-BattLoan!F407)</f>
        <v>0</v>
      </c>
      <c r="AZ379" s="144">
        <f>IF('PV IN'!$F$4="Battery Only",0,-PVLoan!H407)</f>
        <v>0</v>
      </c>
      <c r="BA379" s="144">
        <f>IF('PV IN'!$F$4="PV Only",0,-BattLoan!H407)</f>
        <v>0</v>
      </c>
    </row>
    <row r="380" spans="1:88" x14ac:dyDescent="0.25">
      <c r="A380" t="str">
        <f>IF(C380&lt;='PV IN'!$O$22*12,C380,"")</f>
        <v/>
      </c>
      <c r="C380">
        <v>376</v>
      </c>
      <c r="D380" s="2">
        <f>BattCalcs!CK380+PVCalcs!AT380</f>
        <v>8283.2816172445964</v>
      </c>
      <c r="E380" s="20">
        <f>PVCalcs!AV380</f>
        <v>2596427.6905454611</v>
      </c>
      <c r="F380" s="20">
        <f>PVCalcs!AW380</f>
        <v>1795.8541227267824</v>
      </c>
      <c r="G380" s="20" t="e">
        <f>PVCalcs!AX380</f>
        <v>#N/A</v>
      </c>
      <c r="H380" s="20">
        <f>BattCalcs!CM380</f>
        <v>0</v>
      </c>
      <c r="I380" s="20">
        <f>BattCalcs!CN380</f>
        <v>0</v>
      </c>
      <c r="J380" s="20" t="e">
        <f>IF(C380&lt;='Batt IN'!H$43*12,BattCalcs!CO380,NA())</f>
        <v>#N/A</v>
      </c>
      <c r="L380" s="20">
        <f t="shared" si="997"/>
        <v>1795.8541227267824</v>
      </c>
      <c r="M380" s="20" t="e">
        <f>G380+BattCalcs!CO380</f>
        <v>#N/A</v>
      </c>
      <c r="O380" s="10" t="str">
        <f>PVLoan!G408</f>
        <v>-</v>
      </c>
      <c r="P380" s="10" t="str">
        <f>PVLoan!J408</f>
        <v>-</v>
      </c>
      <c r="Q380" s="2" t="str">
        <f>BattLoan!G408</f>
        <v>-</v>
      </c>
      <c r="R380" s="10" t="str">
        <f>BattLoan!J408</f>
        <v>-</v>
      </c>
      <c r="T380" s="33">
        <f>IF('PV IN'!$F$4="Battery Only",0,PVCalcs!G380)</f>
        <v>118757.21817019462</v>
      </c>
      <c r="U380" s="33">
        <f>IF('PV IN'!$F$4="Battery Only",0,PVCalcs!M380)</f>
        <v>118757.21817019462</v>
      </c>
      <c r="V380" s="33">
        <f>PVCalcs!L380</f>
        <v>25811.765833333331</v>
      </c>
      <c r="W380" s="158">
        <f>PVCalcs!F380</f>
        <v>7.8896523189157505E-2</v>
      </c>
      <c r="X380" s="144">
        <f>IF('PV IN'!$F$4="Battery Only",0,PVCalcs!Y380+PVCalcs!Z380)</f>
        <v>0</v>
      </c>
      <c r="Y380" s="144">
        <f>IF('PV IN'!$F$4="PV Only",0,BattCalcs!AX380+BattCalcs!BC380)</f>
        <v>0</v>
      </c>
      <c r="Z380" s="144">
        <f>IF('PV IN'!$F$4="PV Only",0,BattCalcs!AY380+BattCalcs!BD380)</f>
        <v>0</v>
      </c>
      <c r="AA380" s="144">
        <f>IF('PV IN'!$F$4="PV Only",0,BattCalcs!AZ380+BattCalcs!BE380)</f>
        <v>0</v>
      </c>
      <c r="AB380" s="144">
        <f>IF('PV IN'!$F$4="PV Only",0,BattCalcs!BA380+BattCalcs!BF380)</f>
        <v>0</v>
      </c>
      <c r="AC380" s="144">
        <f>IF('PV IN'!$F$4="PV Only",0,BattCalcs!BB380+BattCalcs!BG380)</f>
        <v>0</v>
      </c>
      <c r="AD380" s="144">
        <f>IF('PV IN'!$F$4="PV Only",0,BattCalcs!BU380)</f>
        <v>0</v>
      </c>
      <c r="AE380" s="144">
        <f>IF('PV IN'!$F$4="PV Only",PVCalcs!W380+PVCalcs!AA380,IF('PV IN'!$F$4="Battery Only",BattCalcs!AV380+BattCalcs!BH380,PVCalcs!W380+PVCalcs!AA380+BattCalcs!AV380+BattCalcs!BH380))</f>
        <v>0</v>
      </c>
      <c r="AF380" s="10">
        <f>PVCalcs!AC380+BattCalcs!BJ380</f>
        <v>0</v>
      </c>
      <c r="AG380" s="144">
        <f>IF('PV IN'!$F$4="Battery Only",0,PVCalcs!AG380)</f>
        <v>-750</v>
      </c>
      <c r="AH380" s="144">
        <f>IF('PV IN'!$F$4="Battery Only",0,PVCalcs!AI380)</f>
        <v>0</v>
      </c>
      <c r="AI380" s="144">
        <f>IF('PV IN'!$F$4="PV Only",0,BattCalcs!BM380)</f>
        <v>0</v>
      </c>
      <c r="AJ380" s="144">
        <f>IF('PV IN'!$F$4="PV Only",0,SUM(BattCalcs!BO380:BT380))</f>
        <v>0</v>
      </c>
      <c r="AK380" s="144">
        <f>IF('PV IN'!$F$4="PV Only",PVCalcs!AH380,IF('PV IN'!$F$4="Battery Only",BattCalcs!BN380,PVCalcs!AH380+BattCalcs!BN380))</f>
        <v>-625</v>
      </c>
      <c r="AL380" s="144">
        <f>IF('PV IN'!$F$4="PV Only",0,BattCalcs!BV380)</f>
        <v>0</v>
      </c>
      <c r="AM380" s="144">
        <f>IF('PV IN'!$F$4="PV Only",0,SUM(BattCalcs!BW380:BX380))</f>
        <v>0</v>
      </c>
      <c r="AN380" s="144">
        <f>IF('PV IN'!$F$4="PV Only",0,BattCalcs!BY380)</f>
        <v>0</v>
      </c>
      <c r="AO380" s="144">
        <f>IF('PV IN'!$F$4="Battery Only",0,PVCalcs!U380)</f>
        <v>9369.5316172445964</v>
      </c>
      <c r="AP380" s="10">
        <f>IF('PV IN'!$F$4="PV Only",0,BattCalcs!AS380)</f>
        <v>0</v>
      </c>
      <c r="AQ380" s="10">
        <f>IF('PV IN'!$F$4="PV Only",0,BattCalcs!AT380)</f>
        <v>0</v>
      </c>
      <c r="AR380" s="10">
        <f>IF('PV IN'!$F$4="PV Only",0,BattCalcs!AU380)</f>
        <v>0</v>
      </c>
      <c r="AS380" s="144">
        <f>IF('PV IN'!$F$4="PV Only",PVCalcs!X380,IF('PV IN'!$F$4="Battery Only",BattCalcs!AW380,PVCalcs!X380+BattCalcs!AW380))</f>
        <v>0</v>
      </c>
      <c r="AT380" s="144">
        <f>IF('PV IN'!$F$4="Battery Only",0,-PVCalcs!AQ380*'PV IN'!$E$8)</f>
        <v>0</v>
      </c>
      <c r="AU380" s="144">
        <f>IF('PV IN'!$F$4="PV Only",0,-BattCalcs!CG380*'PV IN'!$E$8)</f>
        <v>0</v>
      </c>
      <c r="AV380" s="144">
        <f>IF('PV IN'!$F$4="PV Only",PVCalcs!Z380+PVCalcs!AA380,IF('PV IN'!$F$4="Battery Only",SUM(BattCalcs!BC380:BH380),PVCalcs!Z380+PVCalcs!AA380+SUM(BattCalcs!BC380:BH380)))</f>
        <v>0</v>
      </c>
      <c r="AW380" s="144">
        <f>IF('PV IN'!$F$4="PV Only",SUM(PVCalcs!AF380:AI380),IF('PV IN'!$F$4="Battery Only",SUM(BattCalcs!BL380:BY380),SUM(PVCalcs!AF380:AI380)+SUM(BattCalcs!BL380:BY380)))</f>
        <v>-1375</v>
      </c>
      <c r="AX380" s="144">
        <f>IF('PV IN'!$F$4="Battery Only",0,-PVLoan!F408)</f>
        <v>0</v>
      </c>
      <c r="AY380" s="144">
        <f>IF('PV IN'!$F$4="PV Only",0,-BattLoan!F408)</f>
        <v>0</v>
      </c>
      <c r="AZ380" s="144">
        <f>IF('PV IN'!$F$4="Battery Only",0,-PVLoan!H408)</f>
        <v>0</v>
      </c>
      <c r="BA380" s="144">
        <f>IF('PV IN'!$F$4="PV Only",0,-BattLoan!H408)</f>
        <v>0</v>
      </c>
    </row>
    <row r="381" spans="1:88" x14ac:dyDescent="0.25">
      <c r="A381" t="str">
        <f>IF(C381&lt;='PV IN'!$O$22*12,C381,"")</f>
        <v/>
      </c>
      <c r="C381">
        <v>377</v>
      </c>
      <c r="D381" s="2">
        <f>BattCalcs!CK381+PVCalcs!AT381</f>
        <v>8277.0352628331002</v>
      </c>
      <c r="E381" s="20">
        <f>PVCalcs!AV381</f>
        <v>2604704.725808294</v>
      </c>
      <c r="F381" s="20">
        <f>PVCalcs!AW381</f>
        <v>1787.2185343935184</v>
      </c>
      <c r="G381" s="20" t="e">
        <f>PVCalcs!AX381</f>
        <v>#N/A</v>
      </c>
      <c r="H381" s="20">
        <f>BattCalcs!CM381</f>
        <v>0</v>
      </c>
      <c r="I381" s="20">
        <f>BattCalcs!CN381</f>
        <v>0</v>
      </c>
      <c r="J381" s="20" t="e">
        <f>IF(C381&lt;='Batt IN'!H$43*12,BattCalcs!CO381,NA())</f>
        <v>#N/A</v>
      </c>
      <c r="L381" s="20">
        <f t="shared" si="997"/>
        <v>1787.2185343935184</v>
      </c>
      <c r="M381" s="20" t="e">
        <f>G381+BattCalcs!CO381</f>
        <v>#N/A</v>
      </c>
      <c r="O381" s="10" t="str">
        <f>PVLoan!G409</f>
        <v>-</v>
      </c>
      <c r="P381" s="10" t="str">
        <f>PVLoan!J409</f>
        <v>-</v>
      </c>
      <c r="Q381" s="2" t="str">
        <f>BattLoan!G409</f>
        <v>-</v>
      </c>
      <c r="R381" s="10" t="str">
        <f>BattLoan!J409</f>
        <v>-</v>
      </c>
      <c r="T381" s="33">
        <f>IF('PV IN'!$F$4="Battery Only",0,PVCalcs!G381)</f>
        <v>118678.04669141449</v>
      </c>
      <c r="U381" s="33">
        <f>IF('PV IN'!$F$4="Battery Only",0,PVCalcs!M381)</f>
        <v>118678.04669141449</v>
      </c>
      <c r="V381" s="33">
        <f>PVCalcs!L381</f>
        <v>25811.765833333331</v>
      </c>
      <c r="W381" s="158">
        <f>PVCalcs!F381</f>
        <v>7.8896523189157505E-2</v>
      </c>
      <c r="X381" s="144">
        <f>IF('PV IN'!$F$4="Battery Only",0,PVCalcs!Y381+PVCalcs!Z381)</f>
        <v>0</v>
      </c>
      <c r="Y381" s="144">
        <f>IF('PV IN'!$F$4="PV Only",0,BattCalcs!AX381+BattCalcs!BC381)</f>
        <v>0</v>
      </c>
      <c r="Z381" s="144">
        <f>IF('PV IN'!$F$4="PV Only",0,BattCalcs!AY381+BattCalcs!BD381)</f>
        <v>0</v>
      </c>
      <c r="AA381" s="144">
        <f>IF('PV IN'!$F$4="PV Only",0,BattCalcs!AZ381+BattCalcs!BE381)</f>
        <v>0</v>
      </c>
      <c r="AB381" s="144">
        <f>IF('PV IN'!$F$4="PV Only",0,BattCalcs!BA381+BattCalcs!BF381)</f>
        <v>0</v>
      </c>
      <c r="AC381" s="144">
        <f>IF('PV IN'!$F$4="PV Only",0,BattCalcs!BB381+BattCalcs!BG381)</f>
        <v>0</v>
      </c>
      <c r="AD381" s="144">
        <f>IF('PV IN'!$F$4="PV Only",0,BattCalcs!BU381)</f>
        <v>0</v>
      </c>
      <c r="AE381" s="144">
        <f>IF('PV IN'!$F$4="PV Only",PVCalcs!W381+PVCalcs!AA381,IF('PV IN'!$F$4="Battery Only",BattCalcs!AV381+BattCalcs!BH381,PVCalcs!W381+PVCalcs!AA381+BattCalcs!AV381+BattCalcs!BH381))</f>
        <v>0</v>
      </c>
      <c r="AF381" s="10">
        <f>PVCalcs!AC381+BattCalcs!BJ381</f>
        <v>0</v>
      </c>
      <c r="AG381" s="144">
        <f>IF('PV IN'!$F$4="Battery Only",0,PVCalcs!AG381)</f>
        <v>-750</v>
      </c>
      <c r="AH381" s="144">
        <f>IF('PV IN'!$F$4="Battery Only",0,PVCalcs!AI381)</f>
        <v>0</v>
      </c>
      <c r="AI381" s="144">
        <f>IF('PV IN'!$F$4="PV Only",0,BattCalcs!BM381)</f>
        <v>0</v>
      </c>
      <c r="AJ381" s="144">
        <f>IF('PV IN'!$F$4="PV Only",0,SUM(BattCalcs!BO381:BT381))</f>
        <v>0</v>
      </c>
      <c r="AK381" s="144">
        <f>IF('PV IN'!$F$4="PV Only",PVCalcs!AH381,IF('PV IN'!$F$4="Battery Only",BattCalcs!BN381,PVCalcs!AH381+BattCalcs!BN381))</f>
        <v>-625</v>
      </c>
      <c r="AL381" s="144">
        <f>IF('PV IN'!$F$4="PV Only",0,BattCalcs!BV381)</f>
        <v>0</v>
      </c>
      <c r="AM381" s="144">
        <f>IF('PV IN'!$F$4="PV Only",0,SUM(BattCalcs!BW381:BX381))</f>
        <v>0</v>
      </c>
      <c r="AN381" s="144">
        <f>IF('PV IN'!$F$4="PV Only",0,BattCalcs!BY381)</f>
        <v>0</v>
      </c>
      <c r="AO381" s="144">
        <f>IF('PV IN'!$F$4="Battery Only",0,PVCalcs!U381)</f>
        <v>9363.2852628331002</v>
      </c>
      <c r="AP381" s="10">
        <f>IF('PV IN'!$F$4="PV Only",0,BattCalcs!AS381)</f>
        <v>0</v>
      </c>
      <c r="AQ381" s="10">
        <f>IF('PV IN'!$F$4="PV Only",0,BattCalcs!AT381)</f>
        <v>0</v>
      </c>
      <c r="AR381" s="10">
        <f>IF('PV IN'!$F$4="PV Only",0,BattCalcs!AU381)</f>
        <v>0</v>
      </c>
      <c r="AS381" s="144">
        <f>IF('PV IN'!$F$4="PV Only",PVCalcs!X381,IF('PV IN'!$F$4="Battery Only",BattCalcs!AW381,PVCalcs!X381+BattCalcs!AW381))</f>
        <v>0</v>
      </c>
      <c r="AT381" s="144">
        <f>IF('PV IN'!$F$4="Battery Only",0,-PVCalcs!AQ381*'PV IN'!$E$8)</f>
        <v>0</v>
      </c>
      <c r="AU381" s="144">
        <f>IF('PV IN'!$F$4="PV Only",0,-BattCalcs!CG381*'PV IN'!$E$8)</f>
        <v>0</v>
      </c>
      <c r="AV381" s="144">
        <f>IF('PV IN'!$F$4="PV Only",PVCalcs!Z381+PVCalcs!AA381,IF('PV IN'!$F$4="Battery Only",SUM(BattCalcs!BC381:BH381),PVCalcs!Z381+PVCalcs!AA381+SUM(BattCalcs!BC381:BH381)))</f>
        <v>0</v>
      </c>
      <c r="AW381" s="144">
        <f>IF('PV IN'!$F$4="PV Only",SUM(PVCalcs!AF381:AI381),IF('PV IN'!$F$4="Battery Only",SUM(BattCalcs!BL381:BY381),SUM(PVCalcs!AF381:AI381)+SUM(BattCalcs!BL381:BY381)))</f>
        <v>-1375</v>
      </c>
      <c r="AX381" s="144">
        <f>IF('PV IN'!$F$4="Battery Only",0,-PVLoan!F409)</f>
        <v>0</v>
      </c>
      <c r="AY381" s="144">
        <f>IF('PV IN'!$F$4="PV Only",0,-BattLoan!F409)</f>
        <v>0</v>
      </c>
      <c r="AZ381" s="144">
        <f>IF('PV IN'!$F$4="Battery Only",0,-PVLoan!H409)</f>
        <v>0</v>
      </c>
      <c r="BA381" s="144">
        <f>IF('PV IN'!$F$4="PV Only",0,-BattLoan!H409)</f>
        <v>0</v>
      </c>
    </row>
    <row r="382" spans="1:88" x14ac:dyDescent="0.25">
      <c r="A382" t="str">
        <f>IF(C382&lt;='PV IN'!$O$22*12,C382,"")</f>
        <v/>
      </c>
      <c r="C382">
        <v>378</v>
      </c>
      <c r="D382" s="2">
        <f>BattCalcs!CK382+PVCalcs!AT382</f>
        <v>8270.7930726578797</v>
      </c>
      <c r="E382" s="20">
        <f>PVCalcs!AV382</f>
        <v>2612975.5188809517</v>
      </c>
      <c r="F382" s="20">
        <f>PVCalcs!AW382</f>
        <v>1778.6243539272405</v>
      </c>
      <c r="G382" s="20" t="e">
        <f>PVCalcs!AX382</f>
        <v>#N/A</v>
      </c>
      <c r="H382" s="20">
        <f>BattCalcs!CM382</f>
        <v>0</v>
      </c>
      <c r="I382" s="20">
        <f>BattCalcs!CN382</f>
        <v>0</v>
      </c>
      <c r="J382" s="20" t="e">
        <f>IF(C382&lt;='Batt IN'!H$43*12,BattCalcs!CO382,NA())</f>
        <v>#N/A</v>
      </c>
      <c r="L382" s="20">
        <f t="shared" si="997"/>
        <v>1778.6243539272405</v>
      </c>
      <c r="M382" s="20" t="e">
        <f>G382+BattCalcs!CO382</f>
        <v>#N/A</v>
      </c>
      <c r="O382" s="10" t="str">
        <f>PVLoan!G410</f>
        <v>-</v>
      </c>
      <c r="P382" s="10" t="str">
        <f>PVLoan!J410</f>
        <v>-</v>
      </c>
      <c r="Q382" s="2" t="str">
        <f>BattLoan!G410</f>
        <v>-</v>
      </c>
      <c r="R382" s="10" t="str">
        <f>BattLoan!J410</f>
        <v>-</v>
      </c>
      <c r="T382" s="33">
        <f>IF('PV IN'!$F$4="Battery Only",0,PVCalcs!G382)</f>
        <v>118598.92799362022</v>
      </c>
      <c r="U382" s="33">
        <f>IF('PV IN'!$F$4="Battery Only",0,PVCalcs!M382)</f>
        <v>118598.92799362022</v>
      </c>
      <c r="V382" s="33">
        <f>PVCalcs!L382</f>
        <v>25811.765833333331</v>
      </c>
      <c r="W382" s="158">
        <f>PVCalcs!F382</f>
        <v>7.8896523189157505E-2</v>
      </c>
      <c r="X382" s="144">
        <f>IF('PV IN'!$F$4="Battery Only",0,PVCalcs!Y382+PVCalcs!Z382)</f>
        <v>0</v>
      </c>
      <c r="Y382" s="144">
        <f>IF('PV IN'!$F$4="PV Only",0,BattCalcs!AX382+BattCalcs!BC382)</f>
        <v>0</v>
      </c>
      <c r="Z382" s="144">
        <f>IF('PV IN'!$F$4="PV Only",0,BattCalcs!AY382+BattCalcs!BD382)</f>
        <v>0</v>
      </c>
      <c r="AA382" s="144">
        <f>IF('PV IN'!$F$4="PV Only",0,BattCalcs!AZ382+BattCalcs!BE382)</f>
        <v>0</v>
      </c>
      <c r="AB382" s="144">
        <f>IF('PV IN'!$F$4="PV Only",0,BattCalcs!BA382+BattCalcs!BF382)</f>
        <v>0</v>
      </c>
      <c r="AC382" s="144">
        <f>IF('PV IN'!$F$4="PV Only",0,BattCalcs!BB382+BattCalcs!BG382)</f>
        <v>0</v>
      </c>
      <c r="AD382" s="144">
        <f>IF('PV IN'!$F$4="PV Only",0,BattCalcs!BU382)</f>
        <v>0</v>
      </c>
      <c r="AE382" s="144">
        <f>IF('PV IN'!$F$4="PV Only",PVCalcs!W382+PVCalcs!AA382,IF('PV IN'!$F$4="Battery Only",BattCalcs!AV382+BattCalcs!BH382,PVCalcs!W382+PVCalcs!AA382+BattCalcs!AV382+BattCalcs!BH382))</f>
        <v>0</v>
      </c>
      <c r="AF382" s="10">
        <f>PVCalcs!AC382+BattCalcs!BJ382</f>
        <v>0</v>
      </c>
      <c r="AG382" s="144">
        <f>IF('PV IN'!$F$4="Battery Only",0,PVCalcs!AG382)</f>
        <v>-750</v>
      </c>
      <c r="AH382" s="144">
        <f>IF('PV IN'!$F$4="Battery Only",0,PVCalcs!AI382)</f>
        <v>0</v>
      </c>
      <c r="AI382" s="144">
        <f>IF('PV IN'!$F$4="PV Only",0,BattCalcs!BM382)</f>
        <v>0</v>
      </c>
      <c r="AJ382" s="144">
        <f>IF('PV IN'!$F$4="PV Only",0,SUM(BattCalcs!BO382:BT382))</f>
        <v>0</v>
      </c>
      <c r="AK382" s="144">
        <f>IF('PV IN'!$F$4="PV Only",PVCalcs!AH382,IF('PV IN'!$F$4="Battery Only",BattCalcs!BN382,PVCalcs!AH382+BattCalcs!BN382))</f>
        <v>-625</v>
      </c>
      <c r="AL382" s="144">
        <f>IF('PV IN'!$F$4="PV Only",0,BattCalcs!BV382)</f>
        <v>0</v>
      </c>
      <c r="AM382" s="144">
        <f>IF('PV IN'!$F$4="PV Only",0,SUM(BattCalcs!BW382:BX382))</f>
        <v>0</v>
      </c>
      <c r="AN382" s="144">
        <f>IF('PV IN'!$F$4="PV Only",0,BattCalcs!BY382)</f>
        <v>0</v>
      </c>
      <c r="AO382" s="144">
        <f>IF('PV IN'!$F$4="Battery Only",0,PVCalcs!U382)</f>
        <v>9357.0430726578797</v>
      </c>
      <c r="AP382" s="10">
        <f>IF('PV IN'!$F$4="PV Only",0,BattCalcs!AS382)</f>
        <v>0</v>
      </c>
      <c r="AQ382" s="10">
        <f>IF('PV IN'!$F$4="PV Only",0,BattCalcs!AT382)</f>
        <v>0</v>
      </c>
      <c r="AR382" s="10">
        <f>IF('PV IN'!$F$4="PV Only",0,BattCalcs!AU382)</f>
        <v>0</v>
      </c>
      <c r="AS382" s="144">
        <f>IF('PV IN'!$F$4="PV Only",PVCalcs!X382,IF('PV IN'!$F$4="Battery Only",BattCalcs!AW382,PVCalcs!X382+BattCalcs!AW382))</f>
        <v>0</v>
      </c>
      <c r="AT382" s="144">
        <f>IF('PV IN'!$F$4="Battery Only",0,-PVCalcs!AQ382*'PV IN'!$E$8)</f>
        <v>0</v>
      </c>
      <c r="AU382" s="144">
        <f>IF('PV IN'!$F$4="PV Only",0,-BattCalcs!CG382*'PV IN'!$E$8)</f>
        <v>0</v>
      </c>
      <c r="AV382" s="144">
        <f>IF('PV IN'!$F$4="PV Only",PVCalcs!Z382+PVCalcs!AA382,IF('PV IN'!$F$4="Battery Only",SUM(BattCalcs!BC382:BH382),PVCalcs!Z382+PVCalcs!AA382+SUM(BattCalcs!BC382:BH382)))</f>
        <v>0</v>
      </c>
      <c r="AW382" s="144">
        <f>IF('PV IN'!$F$4="PV Only",SUM(PVCalcs!AF382:AI382),IF('PV IN'!$F$4="Battery Only",SUM(BattCalcs!BL382:BY382),SUM(PVCalcs!AF382:AI382)+SUM(BattCalcs!BL382:BY382)))</f>
        <v>-1375</v>
      </c>
      <c r="AX382" s="144">
        <f>IF('PV IN'!$F$4="Battery Only",0,-PVLoan!F410)</f>
        <v>0</v>
      </c>
      <c r="AY382" s="144">
        <f>IF('PV IN'!$F$4="PV Only",0,-BattLoan!F410)</f>
        <v>0</v>
      </c>
      <c r="AZ382" s="144">
        <f>IF('PV IN'!$F$4="Battery Only",0,-PVLoan!H410)</f>
        <v>0</v>
      </c>
      <c r="BA382" s="144">
        <f>IF('PV IN'!$F$4="PV Only",0,-BattLoan!H410)</f>
        <v>0</v>
      </c>
    </row>
    <row r="383" spans="1:88" x14ac:dyDescent="0.25">
      <c r="A383" t="str">
        <f>IF(C383&lt;='PV IN'!$O$22*12,C383,"")</f>
        <v/>
      </c>
      <c r="C383">
        <v>379</v>
      </c>
      <c r="D383" s="2">
        <f>BattCalcs!CK383+PVCalcs!AT383</f>
        <v>8264.5550439427716</v>
      </c>
      <c r="E383" s="20">
        <f>PVCalcs!AV383</f>
        <v>2621240.0739248944</v>
      </c>
      <c r="F383" s="20">
        <f>PVCalcs!AW383</f>
        <v>1770.0713832440424</v>
      </c>
      <c r="G383" s="20" t="e">
        <f>PVCalcs!AX383</f>
        <v>#N/A</v>
      </c>
      <c r="H383" s="20">
        <f>BattCalcs!CM383</f>
        <v>0</v>
      </c>
      <c r="I383" s="20">
        <f>BattCalcs!CN383</f>
        <v>0</v>
      </c>
      <c r="J383" s="20" t="e">
        <f>IF(C383&lt;='Batt IN'!H$43*12,BattCalcs!CO383,NA())</f>
        <v>#N/A</v>
      </c>
      <c r="L383" s="20">
        <f t="shared" si="997"/>
        <v>1770.0713832440424</v>
      </c>
      <c r="M383" s="20" t="e">
        <f>G383+BattCalcs!CO383</f>
        <v>#N/A</v>
      </c>
      <c r="O383" s="10" t="str">
        <f>PVLoan!G411</f>
        <v>-</v>
      </c>
      <c r="P383" s="10" t="str">
        <f>PVLoan!J411</f>
        <v>-</v>
      </c>
      <c r="Q383" s="2" t="str">
        <f>BattLoan!G411</f>
        <v>-</v>
      </c>
      <c r="R383" s="10" t="str">
        <f>BattLoan!J411</f>
        <v>-</v>
      </c>
      <c r="T383" s="33">
        <f>IF('PV IN'!$F$4="Battery Only",0,PVCalcs!G383)</f>
        <v>118519.86204162445</v>
      </c>
      <c r="U383" s="33">
        <f>IF('PV IN'!$F$4="Battery Only",0,PVCalcs!M383)</f>
        <v>118519.86204162445</v>
      </c>
      <c r="V383" s="33">
        <f>PVCalcs!L383</f>
        <v>25811.765833333331</v>
      </c>
      <c r="W383" s="158">
        <f>PVCalcs!F383</f>
        <v>7.8896523189157505E-2</v>
      </c>
      <c r="X383" s="144">
        <f>IF('PV IN'!$F$4="Battery Only",0,PVCalcs!Y383+PVCalcs!Z383)</f>
        <v>0</v>
      </c>
      <c r="Y383" s="144">
        <f>IF('PV IN'!$F$4="PV Only",0,BattCalcs!AX383+BattCalcs!BC383)</f>
        <v>0</v>
      </c>
      <c r="Z383" s="144">
        <f>IF('PV IN'!$F$4="PV Only",0,BattCalcs!AY383+BattCalcs!BD383)</f>
        <v>0</v>
      </c>
      <c r="AA383" s="144">
        <f>IF('PV IN'!$F$4="PV Only",0,BattCalcs!AZ383+BattCalcs!BE383)</f>
        <v>0</v>
      </c>
      <c r="AB383" s="144">
        <f>IF('PV IN'!$F$4="PV Only",0,BattCalcs!BA383+BattCalcs!BF383)</f>
        <v>0</v>
      </c>
      <c r="AC383" s="144">
        <f>IF('PV IN'!$F$4="PV Only",0,BattCalcs!BB383+BattCalcs!BG383)</f>
        <v>0</v>
      </c>
      <c r="AD383" s="144">
        <f>IF('PV IN'!$F$4="PV Only",0,BattCalcs!BU383)</f>
        <v>0</v>
      </c>
      <c r="AE383" s="144">
        <f>IF('PV IN'!$F$4="PV Only",PVCalcs!W383+PVCalcs!AA383,IF('PV IN'!$F$4="Battery Only",BattCalcs!AV383+BattCalcs!BH383,PVCalcs!W383+PVCalcs!AA383+BattCalcs!AV383+BattCalcs!BH383))</f>
        <v>0</v>
      </c>
      <c r="AF383" s="10">
        <f>PVCalcs!AC383+BattCalcs!BJ383</f>
        <v>0</v>
      </c>
      <c r="AG383" s="144">
        <f>IF('PV IN'!$F$4="Battery Only",0,PVCalcs!AG383)</f>
        <v>-750</v>
      </c>
      <c r="AH383" s="144">
        <f>IF('PV IN'!$F$4="Battery Only",0,PVCalcs!AI383)</f>
        <v>0</v>
      </c>
      <c r="AI383" s="144">
        <f>IF('PV IN'!$F$4="PV Only",0,BattCalcs!BM383)</f>
        <v>0</v>
      </c>
      <c r="AJ383" s="144">
        <f>IF('PV IN'!$F$4="PV Only",0,SUM(BattCalcs!BO383:BT383))</f>
        <v>0</v>
      </c>
      <c r="AK383" s="144">
        <f>IF('PV IN'!$F$4="PV Only",PVCalcs!AH383,IF('PV IN'!$F$4="Battery Only",BattCalcs!BN383,PVCalcs!AH383+BattCalcs!BN383))</f>
        <v>-625</v>
      </c>
      <c r="AL383" s="144">
        <f>IF('PV IN'!$F$4="PV Only",0,BattCalcs!BV383)</f>
        <v>0</v>
      </c>
      <c r="AM383" s="144">
        <f>IF('PV IN'!$F$4="PV Only",0,SUM(BattCalcs!BW383:BX383))</f>
        <v>0</v>
      </c>
      <c r="AN383" s="144">
        <f>IF('PV IN'!$F$4="PV Only",0,BattCalcs!BY383)</f>
        <v>0</v>
      </c>
      <c r="AO383" s="144">
        <f>IF('PV IN'!$F$4="Battery Only",0,PVCalcs!U383)</f>
        <v>9350.8050439427716</v>
      </c>
      <c r="AP383" s="10">
        <f>IF('PV IN'!$F$4="PV Only",0,BattCalcs!AS383)</f>
        <v>0</v>
      </c>
      <c r="AQ383" s="10">
        <f>IF('PV IN'!$F$4="PV Only",0,BattCalcs!AT383)</f>
        <v>0</v>
      </c>
      <c r="AR383" s="10">
        <f>IF('PV IN'!$F$4="PV Only",0,BattCalcs!AU383)</f>
        <v>0</v>
      </c>
      <c r="AS383" s="144">
        <f>IF('PV IN'!$F$4="PV Only",PVCalcs!X383,IF('PV IN'!$F$4="Battery Only",BattCalcs!AW383,PVCalcs!X383+BattCalcs!AW383))</f>
        <v>0</v>
      </c>
      <c r="AT383" s="144">
        <f>IF('PV IN'!$F$4="Battery Only",0,-PVCalcs!AQ383*'PV IN'!$E$8)</f>
        <v>0</v>
      </c>
      <c r="AU383" s="144">
        <f>IF('PV IN'!$F$4="PV Only",0,-BattCalcs!CG383*'PV IN'!$E$8)</f>
        <v>0</v>
      </c>
      <c r="AV383" s="144">
        <f>IF('PV IN'!$F$4="PV Only",PVCalcs!Z383+PVCalcs!AA383,IF('PV IN'!$F$4="Battery Only",SUM(BattCalcs!BC383:BH383),PVCalcs!Z383+PVCalcs!AA383+SUM(BattCalcs!BC383:BH383)))</f>
        <v>0</v>
      </c>
      <c r="AW383" s="144">
        <f>IF('PV IN'!$F$4="PV Only",SUM(PVCalcs!AF383:AI383),IF('PV IN'!$F$4="Battery Only",SUM(BattCalcs!BL383:BY383),SUM(PVCalcs!AF383:AI383)+SUM(BattCalcs!BL383:BY383)))</f>
        <v>-1375</v>
      </c>
      <c r="AX383" s="144">
        <f>IF('PV IN'!$F$4="Battery Only",0,-PVLoan!F411)</f>
        <v>0</v>
      </c>
      <c r="AY383" s="144">
        <f>IF('PV IN'!$F$4="PV Only",0,-BattLoan!F411)</f>
        <v>0</v>
      </c>
      <c r="AZ383" s="144">
        <f>IF('PV IN'!$F$4="Battery Only",0,-PVLoan!H411)</f>
        <v>0</v>
      </c>
      <c r="BA383" s="144">
        <f>IF('PV IN'!$F$4="PV Only",0,-BattLoan!H411)</f>
        <v>0</v>
      </c>
    </row>
    <row r="384" spans="1:88" x14ac:dyDescent="0.25">
      <c r="A384" t="str">
        <f>IF(C384&lt;='PV IN'!$O$22*12,C384,"")</f>
        <v/>
      </c>
      <c r="C384">
        <v>380</v>
      </c>
      <c r="D384" s="2">
        <f>BattCalcs!CK384+PVCalcs!AT384</f>
        <v>8258.3211739134767</v>
      </c>
      <c r="E384" s="20">
        <f>PVCalcs!AV384</f>
        <v>2629498.3950988078</v>
      </c>
      <c r="F384" s="20">
        <f>PVCalcs!AW384</f>
        <v>1761.5594252057326</v>
      </c>
      <c r="G384" s="20" t="e">
        <f>PVCalcs!AX384</f>
        <v>#N/A</v>
      </c>
      <c r="H384" s="20">
        <f>BattCalcs!CM384</f>
        <v>0</v>
      </c>
      <c r="I384" s="20">
        <f>BattCalcs!CN384</f>
        <v>0</v>
      </c>
      <c r="J384" s="20" t="e">
        <f>IF(C384&lt;='Batt IN'!H$43*12,BattCalcs!CO384,NA())</f>
        <v>#N/A</v>
      </c>
      <c r="L384" s="20">
        <f t="shared" si="997"/>
        <v>1761.5594252057326</v>
      </c>
      <c r="M384" s="20" t="e">
        <f>G384+BattCalcs!CO384</f>
        <v>#N/A</v>
      </c>
      <c r="O384" s="10" t="str">
        <f>PVLoan!G412</f>
        <v>-</v>
      </c>
      <c r="P384" s="10" t="str">
        <f>PVLoan!J412</f>
        <v>-</v>
      </c>
      <c r="Q384" s="2" t="str">
        <f>BattLoan!G412</f>
        <v>-</v>
      </c>
      <c r="R384" s="10" t="str">
        <f>BattLoan!J412</f>
        <v>-</v>
      </c>
      <c r="T384" s="33">
        <f>IF('PV IN'!$F$4="Battery Only",0,PVCalcs!G384)</f>
        <v>118440.84880026337</v>
      </c>
      <c r="U384" s="33">
        <f>IF('PV IN'!$F$4="Battery Only",0,PVCalcs!M384)</f>
        <v>118440.84880026337</v>
      </c>
      <c r="V384" s="33">
        <f>PVCalcs!L384</f>
        <v>25811.765833333331</v>
      </c>
      <c r="W384" s="158">
        <f>PVCalcs!F384</f>
        <v>7.8896523189157505E-2</v>
      </c>
      <c r="X384" s="144">
        <f>IF('PV IN'!$F$4="Battery Only",0,PVCalcs!Y384+PVCalcs!Z384)</f>
        <v>0</v>
      </c>
      <c r="Y384" s="144">
        <f>IF('PV IN'!$F$4="PV Only",0,BattCalcs!AX384+BattCalcs!BC384)</f>
        <v>0</v>
      </c>
      <c r="Z384" s="144">
        <f>IF('PV IN'!$F$4="PV Only",0,BattCalcs!AY384+BattCalcs!BD384)</f>
        <v>0</v>
      </c>
      <c r="AA384" s="144">
        <f>IF('PV IN'!$F$4="PV Only",0,BattCalcs!AZ384+BattCalcs!BE384)</f>
        <v>0</v>
      </c>
      <c r="AB384" s="144">
        <f>IF('PV IN'!$F$4="PV Only",0,BattCalcs!BA384+BattCalcs!BF384)</f>
        <v>0</v>
      </c>
      <c r="AC384" s="144">
        <f>IF('PV IN'!$F$4="PV Only",0,BattCalcs!BB384+BattCalcs!BG384)</f>
        <v>0</v>
      </c>
      <c r="AD384" s="144">
        <f>IF('PV IN'!$F$4="PV Only",0,BattCalcs!BU384)</f>
        <v>0</v>
      </c>
      <c r="AE384" s="144">
        <f>IF('PV IN'!$F$4="PV Only",PVCalcs!W384+PVCalcs!AA384,IF('PV IN'!$F$4="Battery Only",BattCalcs!AV384+BattCalcs!BH384,PVCalcs!W384+PVCalcs!AA384+BattCalcs!AV384+BattCalcs!BH384))</f>
        <v>0</v>
      </c>
      <c r="AF384" s="10">
        <f>PVCalcs!AC384+BattCalcs!BJ384</f>
        <v>0</v>
      </c>
      <c r="AG384" s="144">
        <f>IF('PV IN'!$F$4="Battery Only",0,PVCalcs!AG384)</f>
        <v>-750</v>
      </c>
      <c r="AH384" s="144">
        <f>IF('PV IN'!$F$4="Battery Only",0,PVCalcs!AI384)</f>
        <v>0</v>
      </c>
      <c r="AI384" s="144">
        <f>IF('PV IN'!$F$4="PV Only",0,BattCalcs!BM384)</f>
        <v>0</v>
      </c>
      <c r="AJ384" s="144">
        <f>IF('PV IN'!$F$4="PV Only",0,SUM(BattCalcs!BO384:BT384))</f>
        <v>0</v>
      </c>
      <c r="AK384" s="144">
        <f>IF('PV IN'!$F$4="PV Only",PVCalcs!AH384,IF('PV IN'!$F$4="Battery Only",BattCalcs!BN384,PVCalcs!AH384+BattCalcs!BN384))</f>
        <v>-625</v>
      </c>
      <c r="AL384" s="144">
        <f>IF('PV IN'!$F$4="PV Only",0,BattCalcs!BV384)</f>
        <v>0</v>
      </c>
      <c r="AM384" s="144">
        <f>IF('PV IN'!$F$4="PV Only",0,SUM(BattCalcs!BW384:BX384))</f>
        <v>0</v>
      </c>
      <c r="AN384" s="144">
        <f>IF('PV IN'!$F$4="PV Only",0,BattCalcs!BY384)</f>
        <v>0</v>
      </c>
      <c r="AO384" s="144">
        <f>IF('PV IN'!$F$4="Battery Only",0,PVCalcs!U384)</f>
        <v>9344.5711739134767</v>
      </c>
      <c r="AP384" s="10">
        <f>IF('PV IN'!$F$4="PV Only",0,BattCalcs!AS384)</f>
        <v>0</v>
      </c>
      <c r="AQ384" s="10">
        <f>IF('PV IN'!$F$4="PV Only",0,BattCalcs!AT384)</f>
        <v>0</v>
      </c>
      <c r="AR384" s="10">
        <f>IF('PV IN'!$F$4="PV Only",0,BattCalcs!AU384)</f>
        <v>0</v>
      </c>
      <c r="AS384" s="144">
        <f>IF('PV IN'!$F$4="PV Only",PVCalcs!X384,IF('PV IN'!$F$4="Battery Only",BattCalcs!AW384,PVCalcs!X384+BattCalcs!AW384))</f>
        <v>0</v>
      </c>
      <c r="AT384" s="144">
        <f>IF('PV IN'!$F$4="Battery Only",0,-PVCalcs!AQ384*'PV IN'!$E$8)</f>
        <v>0</v>
      </c>
      <c r="AU384" s="144">
        <f>IF('PV IN'!$F$4="PV Only",0,-BattCalcs!CG384*'PV IN'!$E$8)</f>
        <v>0</v>
      </c>
      <c r="AV384" s="144">
        <f>IF('PV IN'!$F$4="PV Only",PVCalcs!Z384+PVCalcs!AA384,IF('PV IN'!$F$4="Battery Only",SUM(BattCalcs!BC384:BH384),PVCalcs!Z384+PVCalcs!AA384+SUM(BattCalcs!BC384:BH384)))</f>
        <v>0</v>
      </c>
      <c r="AW384" s="144">
        <f>IF('PV IN'!$F$4="PV Only",SUM(PVCalcs!AF384:AI384),IF('PV IN'!$F$4="Battery Only",SUM(BattCalcs!BL384:BY384),SUM(PVCalcs!AF384:AI384)+SUM(BattCalcs!BL384:BY384)))</f>
        <v>-1375</v>
      </c>
      <c r="AX384" s="144">
        <f>IF('PV IN'!$F$4="Battery Only",0,-PVLoan!F412)</f>
        <v>0</v>
      </c>
      <c r="AY384" s="144">
        <f>IF('PV IN'!$F$4="PV Only",0,-BattLoan!F412)</f>
        <v>0</v>
      </c>
      <c r="AZ384" s="144">
        <f>IF('PV IN'!$F$4="Battery Only",0,-PVLoan!H412)</f>
        <v>0</v>
      </c>
      <c r="BA384" s="144">
        <f>IF('PV IN'!$F$4="PV Only",0,-BattLoan!H412)</f>
        <v>0</v>
      </c>
    </row>
    <row r="385" spans="1:88" x14ac:dyDescent="0.25">
      <c r="A385" t="str">
        <f>IF(C385&lt;='PV IN'!$O$22*12,C385,"")</f>
        <v/>
      </c>
      <c r="C385">
        <v>381</v>
      </c>
      <c r="D385" s="2">
        <f>BattCalcs!CK385+PVCalcs!AT385</f>
        <v>8252.0914597975334</v>
      </c>
      <c r="E385" s="20">
        <f>PVCalcs!AV385</f>
        <v>2637750.4865586055</v>
      </c>
      <c r="F385" s="20">
        <f>PVCalcs!AW385</f>
        <v>1753.088283615318</v>
      </c>
      <c r="G385" s="20" t="e">
        <f>PVCalcs!AX385</f>
        <v>#N/A</v>
      </c>
      <c r="H385" s="20">
        <f>BattCalcs!CM385</f>
        <v>0</v>
      </c>
      <c r="I385" s="20">
        <f>BattCalcs!CN385</f>
        <v>0</v>
      </c>
      <c r="J385" s="20" t="e">
        <f>IF(C385&lt;='Batt IN'!H$43*12,BattCalcs!CO385,NA())</f>
        <v>#N/A</v>
      </c>
      <c r="L385" s="20">
        <f t="shared" si="997"/>
        <v>1753.088283615318</v>
      </c>
      <c r="M385" s="20" t="e">
        <f>G385+BattCalcs!CO385</f>
        <v>#N/A</v>
      </c>
      <c r="O385" s="10" t="str">
        <f>PVLoan!G413</f>
        <v>-</v>
      </c>
      <c r="P385" s="10" t="str">
        <f>PVLoan!J413</f>
        <v>-</v>
      </c>
      <c r="Q385" s="2" t="str">
        <f>BattLoan!G413</f>
        <v>-</v>
      </c>
      <c r="R385" s="10" t="str">
        <f>BattLoan!J413</f>
        <v>-</v>
      </c>
      <c r="T385" s="33">
        <f>IF('PV IN'!$F$4="Battery Only",0,PVCalcs!G385)</f>
        <v>118361.88823439652</v>
      </c>
      <c r="U385" s="33">
        <f>IF('PV IN'!$F$4="Battery Only",0,PVCalcs!M385)</f>
        <v>118361.88823439652</v>
      </c>
      <c r="V385" s="33">
        <f>PVCalcs!L385</f>
        <v>25811.765833333331</v>
      </c>
      <c r="W385" s="158">
        <f>PVCalcs!F385</f>
        <v>7.8896523189157505E-2</v>
      </c>
      <c r="X385" s="144">
        <f>IF('PV IN'!$F$4="Battery Only",0,PVCalcs!Y385+PVCalcs!Z385)</f>
        <v>0</v>
      </c>
      <c r="Y385" s="144">
        <f>IF('PV IN'!$F$4="PV Only",0,BattCalcs!AX385+BattCalcs!BC385)</f>
        <v>0</v>
      </c>
      <c r="Z385" s="144">
        <f>IF('PV IN'!$F$4="PV Only",0,BattCalcs!AY385+BattCalcs!BD385)</f>
        <v>0</v>
      </c>
      <c r="AA385" s="144">
        <f>IF('PV IN'!$F$4="PV Only",0,BattCalcs!AZ385+BattCalcs!BE385)</f>
        <v>0</v>
      </c>
      <c r="AB385" s="144">
        <f>IF('PV IN'!$F$4="PV Only",0,BattCalcs!BA385+BattCalcs!BF385)</f>
        <v>0</v>
      </c>
      <c r="AC385" s="144">
        <f>IF('PV IN'!$F$4="PV Only",0,BattCalcs!BB385+BattCalcs!BG385)</f>
        <v>0</v>
      </c>
      <c r="AD385" s="144">
        <f>IF('PV IN'!$F$4="PV Only",0,BattCalcs!BU385)</f>
        <v>0</v>
      </c>
      <c r="AE385" s="144">
        <f>IF('PV IN'!$F$4="PV Only",PVCalcs!W385+PVCalcs!AA385,IF('PV IN'!$F$4="Battery Only",BattCalcs!AV385+BattCalcs!BH385,PVCalcs!W385+PVCalcs!AA385+BattCalcs!AV385+BattCalcs!BH385))</f>
        <v>0</v>
      </c>
      <c r="AF385" s="10">
        <f>PVCalcs!AC385+BattCalcs!BJ385</f>
        <v>0</v>
      </c>
      <c r="AG385" s="144">
        <f>IF('PV IN'!$F$4="Battery Only",0,PVCalcs!AG385)</f>
        <v>-750</v>
      </c>
      <c r="AH385" s="144">
        <f>IF('PV IN'!$F$4="Battery Only",0,PVCalcs!AI385)</f>
        <v>0</v>
      </c>
      <c r="AI385" s="144">
        <f>IF('PV IN'!$F$4="PV Only",0,BattCalcs!BM385)</f>
        <v>0</v>
      </c>
      <c r="AJ385" s="144">
        <f>IF('PV IN'!$F$4="PV Only",0,SUM(BattCalcs!BO385:BT385))</f>
        <v>0</v>
      </c>
      <c r="AK385" s="144">
        <f>IF('PV IN'!$F$4="PV Only",PVCalcs!AH385,IF('PV IN'!$F$4="Battery Only",BattCalcs!BN385,PVCalcs!AH385+BattCalcs!BN385))</f>
        <v>-625</v>
      </c>
      <c r="AL385" s="144">
        <f>IF('PV IN'!$F$4="PV Only",0,BattCalcs!BV385)</f>
        <v>0</v>
      </c>
      <c r="AM385" s="144">
        <f>IF('PV IN'!$F$4="PV Only",0,SUM(BattCalcs!BW385:BX385))</f>
        <v>0</v>
      </c>
      <c r="AN385" s="144">
        <f>IF('PV IN'!$F$4="PV Only",0,BattCalcs!BY385)</f>
        <v>0</v>
      </c>
      <c r="AO385" s="144">
        <f>IF('PV IN'!$F$4="Battery Only",0,PVCalcs!U385)</f>
        <v>9338.3414597975334</v>
      </c>
      <c r="AP385" s="10">
        <f>IF('PV IN'!$F$4="PV Only",0,BattCalcs!AS385)</f>
        <v>0</v>
      </c>
      <c r="AQ385" s="10">
        <f>IF('PV IN'!$F$4="PV Only",0,BattCalcs!AT385)</f>
        <v>0</v>
      </c>
      <c r="AR385" s="10">
        <f>IF('PV IN'!$F$4="PV Only",0,BattCalcs!AU385)</f>
        <v>0</v>
      </c>
      <c r="AS385" s="144">
        <f>IF('PV IN'!$F$4="PV Only",PVCalcs!X385,IF('PV IN'!$F$4="Battery Only",BattCalcs!AW385,PVCalcs!X385+BattCalcs!AW385))</f>
        <v>0</v>
      </c>
      <c r="AT385" s="144">
        <f>IF('PV IN'!$F$4="Battery Only",0,-PVCalcs!AQ385*'PV IN'!$E$8)</f>
        <v>0</v>
      </c>
      <c r="AU385" s="144">
        <f>IF('PV IN'!$F$4="PV Only",0,-BattCalcs!CG385*'PV IN'!$E$8)</f>
        <v>0</v>
      </c>
      <c r="AV385" s="144">
        <f>IF('PV IN'!$F$4="PV Only",PVCalcs!Z385+PVCalcs!AA385,IF('PV IN'!$F$4="Battery Only",SUM(BattCalcs!BC385:BH385),PVCalcs!Z385+PVCalcs!AA385+SUM(BattCalcs!BC385:BH385)))</f>
        <v>0</v>
      </c>
      <c r="AW385" s="144">
        <f>IF('PV IN'!$F$4="PV Only",SUM(PVCalcs!AF385:AI385),IF('PV IN'!$F$4="Battery Only",SUM(BattCalcs!BL385:BY385),SUM(PVCalcs!AF385:AI385)+SUM(BattCalcs!BL385:BY385)))</f>
        <v>-1375</v>
      </c>
      <c r="AX385" s="144">
        <f>IF('PV IN'!$F$4="Battery Only",0,-PVLoan!F413)</f>
        <v>0</v>
      </c>
      <c r="AY385" s="144">
        <f>IF('PV IN'!$F$4="PV Only",0,-BattLoan!F413)</f>
        <v>0</v>
      </c>
      <c r="AZ385" s="144">
        <f>IF('PV IN'!$F$4="Battery Only",0,-PVLoan!H413)</f>
        <v>0</v>
      </c>
      <c r="BA385" s="144">
        <f>IF('PV IN'!$F$4="PV Only",0,-BattLoan!H413)</f>
        <v>0</v>
      </c>
    </row>
    <row r="386" spans="1:88" x14ac:dyDescent="0.25">
      <c r="A386" t="str">
        <f>IF(C386&lt;='PV IN'!$O$22*12,C386,"")</f>
        <v/>
      </c>
      <c r="C386">
        <v>382</v>
      </c>
      <c r="D386" s="2">
        <f>BattCalcs!CK386+PVCalcs!AT386</f>
        <v>8245.8658988243369</v>
      </c>
      <c r="E386" s="20">
        <f>PVCalcs!AV386</f>
        <v>2645996.3524574297</v>
      </c>
      <c r="F386" s="20">
        <f>PVCalcs!AW386</f>
        <v>1744.6577632125241</v>
      </c>
      <c r="G386" s="20" t="e">
        <f>PVCalcs!AX386</f>
        <v>#N/A</v>
      </c>
      <c r="H386" s="20">
        <f>BattCalcs!CM386</f>
        <v>0</v>
      </c>
      <c r="I386" s="20">
        <f>BattCalcs!CN386</f>
        <v>0</v>
      </c>
      <c r="J386" s="20" t="e">
        <f>IF(C386&lt;='Batt IN'!H$43*12,BattCalcs!CO386,NA())</f>
        <v>#N/A</v>
      </c>
      <c r="L386" s="20">
        <f t="shared" si="997"/>
        <v>1744.6577632125241</v>
      </c>
      <c r="M386" s="20" t="e">
        <f>G386+BattCalcs!CO386</f>
        <v>#N/A</v>
      </c>
      <c r="O386" s="10" t="str">
        <f>PVLoan!G414</f>
        <v>-</v>
      </c>
      <c r="P386" s="10" t="str">
        <f>PVLoan!J414</f>
        <v>-</v>
      </c>
      <c r="Q386" s="2" t="str">
        <f>BattLoan!G414</f>
        <v>-</v>
      </c>
      <c r="R386" s="10" t="str">
        <f>BattLoan!J414</f>
        <v>-</v>
      </c>
      <c r="T386" s="33">
        <f>IF('PV IN'!$F$4="Battery Only",0,PVCalcs!G386)</f>
        <v>118282.98030890693</v>
      </c>
      <c r="U386" s="33">
        <f>IF('PV IN'!$F$4="Battery Only",0,PVCalcs!M386)</f>
        <v>118282.98030890693</v>
      </c>
      <c r="V386" s="33">
        <f>PVCalcs!L386</f>
        <v>25811.765833333331</v>
      </c>
      <c r="W386" s="158">
        <f>PVCalcs!F386</f>
        <v>7.8896523189157505E-2</v>
      </c>
      <c r="X386" s="144">
        <f>IF('PV IN'!$F$4="Battery Only",0,PVCalcs!Y386+PVCalcs!Z386)</f>
        <v>0</v>
      </c>
      <c r="Y386" s="144">
        <f>IF('PV IN'!$F$4="PV Only",0,BattCalcs!AX386+BattCalcs!BC386)</f>
        <v>0</v>
      </c>
      <c r="Z386" s="144">
        <f>IF('PV IN'!$F$4="PV Only",0,BattCalcs!AY386+BattCalcs!BD386)</f>
        <v>0</v>
      </c>
      <c r="AA386" s="144">
        <f>IF('PV IN'!$F$4="PV Only",0,BattCalcs!AZ386+BattCalcs!BE386)</f>
        <v>0</v>
      </c>
      <c r="AB386" s="144">
        <f>IF('PV IN'!$F$4="PV Only",0,BattCalcs!BA386+BattCalcs!BF386)</f>
        <v>0</v>
      </c>
      <c r="AC386" s="144">
        <f>IF('PV IN'!$F$4="PV Only",0,BattCalcs!BB386+BattCalcs!BG386)</f>
        <v>0</v>
      </c>
      <c r="AD386" s="144">
        <f>IF('PV IN'!$F$4="PV Only",0,BattCalcs!BU386)</f>
        <v>0</v>
      </c>
      <c r="AE386" s="144">
        <f>IF('PV IN'!$F$4="PV Only",PVCalcs!W386+PVCalcs!AA386,IF('PV IN'!$F$4="Battery Only",BattCalcs!AV386+BattCalcs!BH386,PVCalcs!W386+PVCalcs!AA386+BattCalcs!AV386+BattCalcs!BH386))</f>
        <v>0</v>
      </c>
      <c r="AF386" s="10">
        <f>PVCalcs!AC386+BattCalcs!BJ386</f>
        <v>0</v>
      </c>
      <c r="AG386" s="144">
        <f>IF('PV IN'!$F$4="Battery Only",0,PVCalcs!AG386)</f>
        <v>-750</v>
      </c>
      <c r="AH386" s="144">
        <f>IF('PV IN'!$F$4="Battery Only",0,PVCalcs!AI386)</f>
        <v>0</v>
      </c>
      <c r="AI386" s="144">
        <f>IF('PV IN'!$F$4="PV Only",0,BattCalcs!BM386)</f>
        <v>0</v>
      </c>
      <c r="AJ386" s="144">
        <f>IF('PV IN'!$F$4="PV Only",0,SUM(BattCalcs!BO386:BT386))</f>
        <v>0</v>
      </c>
      <c r="AK386" s="144">
        <f>IF('PV IN'!$F$4="PV Only",PVCalcs!AH386,IF('PV IN'!$F$4="Battery Only",BattCalcs!BN386,PVCalcs!AH386+BattCalcs!BN386))</f>
        <v>-625</v>
      </c>
      <c r="AL386" s="144">
        <f>IF('PV IN'!$F$4="PV Only",0,BattCalcs!BV386)</f>
        <v>0</v>
      </c>
      <c r="AM386" s="144">
        <f>IF('PV IN'!$F$4="PV Only",0,SUM(BattCalcs!BW386:BX386))</f>
        <v>0</v>
      </c>
      <c r="AN386" s="144">
        <f>IF('PV IN'!$F$4="PV Only",0,BattCalcs!BY386)</f>
        <v>0</v>
      </c>
      <c r="AO386" s="144">
        <f>IF('PV IN'!$F$4="Battery Only",0,PVCalcs!U386)</f>
        <v>9332.1158988243369</v>
      </c>
      <c r="AP386" s="10">
        <f>IF('PV IN'!$F$4="PV Only",0,BattCalcs!AS386)</f>
        <v>0</v>
      </c>
      <c r="AQ386" s="10">
        <f>IF('PV IN'!$F$4="PV Only",0,BattCalcs!AT386)</f>
        <v>0</v>
      </c>
      <c r="AR386" s="10">
        <f>IF('PV IN'!$F$4="PV Only",0,BattCalcs!AU386)</f>
        <v>0</v>
      </c>
      <c r="AS386" s="144">
        <f>IF('PV IN'!$F$4="PV Only",PVCalcs!X386,IF('PV IN'!$F$4="Battery Only",BattCalcs!AW386,PVCalcs!X386+BattCalcs!AW386))</f>
        <v>0</v>
      </c>
      <c r="AT386" s="144">
        <f>IF('PV IN'!$F$4="Battery Only",0,-PVCalcs!AQ386*'PV IN'!$E$8)</f>
        <v>0</v>
      </c>
      <c r="AU386" s="144">
        <f>IF('PV IN'!$F$4="PV Only",0,-BattCalcs!CG386*'PV IN'!$E$8)</f>
        <v>0</v>
      </c>
      <c r="AV386" s="144">
        <f>IF('PV IN'!$F$4="PV Only",PVCalcs!Z386+PVCalcs!AA386,IF('PV IN'!$F$4="Battery Only",SUM(BattCalcs!BC386:BH386),PVCalcs!Z386+PVCalcs!AA386+SUM(BattCalcs!BC386:BH386)))</f>
        <v>0</v>
      </c>
      <c r="AW386" s="144">
        <f>IF('PV IN'!$F$4="PV Only",SUM(PVCalcs!AF386:AI386),IF('PV IN'!$F$4="Battery Only",SUM(BattCalcs!BL386:BY386),SUM(PVCalcs!AF386:AI386)+SUM(BattCalcs!BL386:BY386)))</f>
        <v>-1375</v>
      </c>
      <c r="AX386" s="144">
        <f>IF('PV IN'!$F$4="Battery Only",0,-PVLoan!F414)</f>
        <v>0</v>
      </c>
      <c r="AY386" s="144">
        <f>IF('PV IN'!$F$4="PV Only",0,-BattLoan!F414)</f>
        <v>0</v>
      </c>
      <c r="AZ386" s="144">
        <f>IF('PV IN'!$F$4="Battery Only",0,-PVLoan!H414)</f>
        <v>0</v>
      </c>
      <c r="BA386" s="144">
        <f>IF('PV IN'!$F$4="PV Only",0,-BattLoan!H414)</f>
        <v>0</v>
      </c>
    </row>
    <row r="387" spans="1:88" x14ac:dyDescent="0.25">
      <c r="A387" t="str">
        <f>IF(C387&lt;='PV IN'!$O$22*12,C387,"")</f>
        <v/>
      </c>
      <c r="C387">
        <v>383</v>
      </c>
      <c r="D387" s="2">
        <f>BattCalcs!CK387+PVCalcs!AT387</f>
        <v>8239.644488225118</v>
      </c>
      <c r="E387" s="20">
        <f>PVCalcs!AV387</f>
        <v>2654235.996945655</v>
      </c>
      <c r="F387" s="20">
        <f>PVCalcs!AW387</f>
        <v>1736.2676696693243</v>
      </c>
      <c r="G387" s="20" t="e">
        <f>PVCalcs!AX387</f>
        <v>#N/A</v>
      </c>
      <c r="H387" s="20">
        <f>BattCalcs!CM387</f>
        <v>0</v>
      </c>
      <c r="I387" s="20">
        <f>BattCalcs!CN387</f>
        <v>0</v>
      </c>
      <c r="J387" s="20" t="e">
        <f>IF(C387&lt;='Batt IN'!H$43*12,BattCalcs!CO387,NA())</f>
        <v>#N/A</v>
      </c>
      <c r="L387" s="20">
        <f t="shared" si="997"/>
        <v>1736.2676696693243</v>
      </c>
      <c r="M387" s="20" t="e">
        <f>G387+BattCalcs!CO387</f>
        <v>#N/A</v>
      </c>
      <c r="O387" s="10" t="str">
        <f>PVLoan!G415</f>
        <v>-</v>
      </c>
      <c r="P387" s="10" t="str">
        <f>PVLoan!J415</f>
        <v>-</v>
      </c>
      <c r="Q387" s="2" t="str">
        <f>BattLoan!G415</f>
        <v>-</v>
      </c>
      <c r="R387" s="10" t="str">
        <f>BattLoan!J415</f>
        <v>-</v>
      </c>
      <c r="T387" s="33">
        <f>IF('PV IN'!$F$4="Battery Only",0,PVCalcs!G387)</f>
        <v>118204.12498870096</v>
      </c>
      <c r="U387" s="33">
        <f>IF('PV IN'!$F$4="Battery Only",0,PVCalcs!M387)</f>
        <v>118204.12498870096</v>
      </c>
      <c r="V387" s="33">
        <f>PVCalcs!L387</f>
        <v>25811.765833333331</v>
      </c>
      <c r="W387" s="158">
        <f>PVCalcs!F387</f>
        <v>7.8896523189157505E-2</v>
      </c>
      <c r="X387" s="144">
        <f>IF('PV IN'!$F$4="Battery Only",0,PVCalcs!Y387+PVCalcs!Z387)</f>
        <v>0</v>
      </c>
      <c r="Y387" s="144">
        <f>IF('PV IN'!$F$4="PV Only",0,BattCalcs!AX387+BattCalcs!BC387)</f>
        <v>0</v>
      </c>
      <c r="Z387" s="144">
        <f>IF('PV IN'!$F$4="PV Only",0,BattCalcs!AY387+BattCalcs!BD387)</f>
        <v>0</v>
      </c>
      <c r="AA387" s="144">
        <f>IF('PV IN'!$F$4="PV Only",0,BattCalcs!AZ387+BattCalcs!BE387)</f>
        <v>0</v>
      </c>
      <c r="AB387" s="144">
        <f>IF('PV IN'!$F$4="PV Only",0,BattCalcs!BA387+BattCalcs!BF387)</f>
        <v>0</v>
      </c>
      <c r="AC387" s="144">
        <f>IF('PV IN'!$F$4="PV Only",0,BattCalcs!BB387+BattCalcs!BG387)</f>
        <v>0</v>
      </c>
      <c r="AD387" s="144">
        <f>IF('PV IN'!$F$4="PV Only",0,BattCalcs!BU387)</f>
        <v>0</v>
      </c>
      <c r="AE387" s="144">
        <f>IF('PV IN'!$F$4="PV Only",PVCalcs!W387+PVCalcs!AA387,IF('PV IN'!$F$4="Battery Only",BattCalcs!AV387+BattCalcs!BH387,PVCalcs!W387+PVCalcs!AA387+BattCalcs!AV387+BattCalcs!BH387))</f>
        <v>0</v>
      </c>
      <c r="AF387" s="10">
        <f>PVCalcs!AC387+BattCalcs!BJ387</f>
        <v>0</v>
      </c>
      <c r="AG387" s="144">
        <f>IF('PV IN'!$F$4="Battery Only",0,PVCalcs!AG387)</f>
        <v>-750</v>
      </c>
      <c r="AH387" s="144">
        <f>IF('PV IN'!$F$4="Battery Only",0,PVCalcs!AI387)</f>
        <v>0</v>
      </c>
      <c r="AI387" s="144">
        <f>IF('PV IN'!$F$4="PV Only",0,BattCalcs!BM387)</f>
        <v>0</v>
      </c>
      <c r="AJ387" s="144">
        <f>IF('PV IN'!$F$4="PV Only",0,SUM(BattCalcs!BO387:BT387))</f>
        <v>0</v>
      </c>
      <c r="AK387" s="144">
        <f>IF('PV IN'!$F$4="PV Only",PVCalcs!AH387,IF('PV IN'!$F$4="Battery Only",BattCalcs!BN387,PVCalcs!AH387+BattCalcs!BN387))</f>
        <v>-625</v>
      </c>
      <c r="AL387" s="144">
        <f>IF('PV IN'!$F$4="PV Only",0,BattCalcs!BV387)</f>
        <v>0</v>
      </c>
      <c r="AM387" s="144">
        <f>IF('PV IN'!$F$4="PV Only",0,SUM(BattCalcs!BW387:BX387))</f>
        <v>0</v>
      </c>
      <c r="AN387" s="144">
        <f>IF('PV IN'!$F$4="PV Only",0,BattCalcs!BY387)</f>
        <v>0</v>
      </c>
      <c r="AO387" s="144">
        <f>IF('PV IN'!$F$4="Battery Only",0,PVCalcs!U387)</f>
        <v>9325.894488225118</v>
      </c>
      <c r="AP387" s="10">
        <f>IF('PV IN'!$F$4="PV Only",0,BattCalcs!AS387)</f>
        <v>0</v>
      </c>
      <c r="AQ387" s="10">
        <f>IF('PV IN'!$F$4="PV Only",0,BattCalcs!AT387)</f>
        <v>0</v>
      </c>
      <c r="AR387" s="10">
        <f>IF('PV IN'!$F$4="PV Only",0,BattCalcs!AU387)</f>
        <v>0</v>
      </c>
      <c r="AS387" s="144">
        <f>IF('PV IN'!$F$4="PV Only",PVCalcs!X387,IF('PV IN'!$F$4="Battery Only",BattCalcs!AW387,PVCalcs!X387+BattCalcs!AW387))</f>
        <v>0</v>
      </c>
      <c r="AT387" s="144">
        <f>IF('PV IN'!$F$4="Battery Only",0,-PVCalcs!AQ387*'PV IN'!$E$8)</f>
        <v>0</v>
      </c>
      <c r="AU387" s="144">
        <f>IF('PV IN'!$F$4="PV Only",0,-BattCalcs!CG387*'PV IN'!$E$8)</f>
        <v>0</v>
      </c>
      <c r="AV387" s="144">
        <f>IF('PV IN'!$F$4="PV Only",PVCalcs!Z387+PVCalcs!AA387,IF('PV IN'!$F$4="Battery Only",SUM(BattCalcs!BC387:BH387),PVCalcs!Z387+PVCalcs!AA387+SUM(BattCalcs!BC387:BH387)))</f>
        <v>0</v>
      </c>
      <c r="AW387" s="144">
        <f>IF('PV IN'!$F$4="PV Only",SUM(PVCalcs!AF387:AI387),IF('PV IN'!$F$4="Battery Only",SUM(BattCalcs!BL387:BY387),SUM(PVCalcs!AF387:AI387)+SUM(BattCalcs!BL387:BY387)))</f>
        <v>-1375</v>
      </c>
      <c r="AX387" s="144">
        <f>IF('PV IN'!$F$4="Battery Only",0,-PVLoan!F415)</f>
        <v>0</v>
      </c>
      <c r="AY387" s="144">
        <f>IF('PV IN'!$F$4="PV Only",0,-BattLoan!F415)</f>
        <v>0</v>
      </c>
      <c r="AZ387" s="144">
        <f>IF('PV IN'!$F$4="Battery Only",0,-PVLoan!H415)</f>
        <v>0</v>
      </c>
      <c r="BA387" s="144">
        <f>IF('PV IN'!$F$4="PV Only",0,-BattLoan!H415)</f>
        <v>0</v>
      </c>
    </row>
    <row r="388" spans="1:88" x14ac:dyDescent="0.25">
      <c r="A388" t="str">
        <f>IF(C388&lt;='PV IN'!$O$22*12,C388,"")</f>
        <v/>
      </c>
      <c r="B388">
        <f t="shared" ref="B388" si="1033">B376+1</f>
        <v>2057</v>
      </c>
      <c r="C388">
        <v>384</v>
      </c>
      <c r="D388" s="2">
        <f>BattCalcs!CK388+PVCalcs!AT388</f>
        <v>8233.4272252329683</v>
      </c>
      <c r="E388" s="20">
        <f>PVCalcs!AV388</f>
        <v>2662469.424170888</v>
      </c>
      <c r="F388" s="20">
        <f>PVCalcs!AW388</f>
        <v>1727.9178095855038</v>
      </c>
      <c r="G388" s="20" t="e">
        <f>PVCalcs!AX388</f>
        <v>#N/A</v>
      </c>
      <c r="H388" s="20">
        <f>BattCalcs!CM388</f>
        <v>0</v>
      </c>
      <c r="I388" s="20">
        <f>BattCalcs!CN388</f>
        <v>0</v>
      </c>
      <c r="J388" s="20" t="e">
        <f>IF(C388&lt;='Batt IN'!H$43*12,BattCalcs!CO388,NA())</f>
        <v>#N/A</v>
      </c>
      <c r="L388" s="20">
        <f t="shared" si="997"/>
        <v>1727.9178095855038</v>
      </c>
      <c r="M388" s="20" t="e">
        <f>G388+BattCalcs!CO388</f>
        <v>#N/A</v>
      </c>
      <c r="O388" s="10" t="str">
        <f>PVLoan!G416</f>
        <v>-</v>
      </c>
      <c r="P388" s="10" t="str">
        <f>PVLoan!J416</f>
        <v>-</v>
      </c>
      <c r="Q388" s="2" t="str">
        <f>BattLoan!G416</f>
        <v>-</v>
      </c>
      <c r="R388" s="10" t="str">
        <f>BattLoan!J416</f>
        <v>-</v>
      </c>
      <c r="T388" s="33">
        <f>IF('PV IN'!$F$4="Battery Only",0,PVCalcs!G388)</f>
        <v>118125.32223870851</v>
      </c>
      <c r="U388" s="33">
        <f>IF('PV IN'!$F$4="Battery Only",0,PVCalcs!M388)</f>
        <v>118125.32223870851</v>
      </c>
      <c r="V388" s="33">
        <f>PVCalcs!L388</f>
        <v>25811.765833333331</v>
      </c>
      <c r="W388" s="158">
        <f>PVCalcs!F388</f>
        <v>7.8896523189157505E-2</v>
      </c>
      <c r="X388" s="144">
        <f>IF('PV IN'!$F$4="Battery Only",0,PVCalcs!Y388+PVCalcs!Z388)</f>
        <v>0</v>
      </c>
      <c r="Y388" s="144">
        <f>IF('PV IN'!$F$4="PV Only",0,BattCalcs!AX388+BattCalcs!BC388)</f>
        <v>0</v>
      </c>
      <c r="Z388" s="144">
        <f>IF('PV IN'!$F$4="PV Only",0,BattCalcs!AY388+BattCalcs!BD388)</f>
        <v>0</v>
      </c>
      <c r="AA388" s="144">
        <f>IF('PV IN'!$F$4="PV Only",0,BattCalcs!AZ388+BattCalcs!BE388)</f>
        <v>0</v>
      </c>
      <c r="AB388" s="144">
        <f>IF('PV IN'!$F$4="PV Only",0,BattCalcs!BA388+BattCalcs!BF388)</f>
        <v>0</v>
      </c>
      <c r="AC388" s="144">
        <f>IF('PV IN'!$F$4="PV Only",0,BattCalcs!BB388+BattCalcs!BG388)</f>
        <v>0</v>
      </c>
      <c r="AD388" s="144">
        <f>IF('PV IN'!$F$4="PV Only",0,BattCalcs!BU388)</f>
        <v>0</v>
      </c>
      <c r="AE388" s="144">
        <f>IF('PV IN'!$F$4="PV Only",PVCalcs!W388+PVCalcs!AA388,IF('PV IN'!$F$4="Battery Only",BattCalcs!AV388+BattCalcs!BH388,PVCalcs!W388+PVCalcs!AA388+BattCalcs!AV388+BattCalcs!BH388))</f>
        <v>0</v>
      </c>
      <c r="AF388" s="10">
        <f>PVCalcs!AC388+BattCalcs!BJ388</f>
        <v>0</v>
      </c>
      <c r="AG388" s="144">
        <f>IF('PV IN'!$F$4="Battery Only",0,PVCalcs!AG388)</f>
        <v>-750</v>
      </c>
      <c r="AH388" s="144">
        <f>IF('PV IN'!$F$4="Battery Only",0,PVCalcs!AI388)</f>
        <v>0</v>
      </c>
      <c r="AI388" s="144">
        <f>IF('PV IN'!$F$4="PV Only",0,BattCalcs!BM388)</f>
        <v>0</v>
      </c>
      <c r="AJ388" s="144">
        <f>IF('PV IN'!$F$4="PV Only",0,SUM(BattCalcs!BO388:BT388))</f>
        <v>0</v>
      </c>
      <c r="AK388" s="144">
        <f>IF('PV IN'!$F$4="PV Only",PVCalcs!AH388,IF('PV IN'!$F$4="Battery Only",BattCalcs!BN388,PVCalcs!AH388+BattCalcs!BN388))</f>
        <v>-625</v>
      </c>
      <c r="AL388" s="144">
        <f>IF('PV IN'!$F$4="PV Only",0,BattCalcs!BV388)</f>
        <v>0</v>
      </c>
      <c r="AM388" s="144">
        <f>IF('PV IN'!$F$4="PV Only",0,SUM(BattCalcs!BW388:BX388))</f>
        <v>0</v>
      </c>
      <c r="AN388" s="144">
        <f>IF('PV IN'!$F$4="PV Only",0,BattCalcs!BY388)</f>
        <v>0</v>
      </c>
      <c r="AO388" s="144">
        <f>IF('PV IN'!$F$4="Battery Only",0,PVCalcs!U388)</f>
        <v>9319.6772252329683</v>
      </c>
      <c r="AP388" s="10">
        <f>IF('PV IN'!$F$4="PV Only",0,BattCalcs!AS388)</f>
        <v>0</v>
      </c>
      <c r="AQ388" s="10">
        <f>IF('PV IN'!$F$4="PV Only",0,BattCalcs!AT388)</f>
        <v>0</v>
      </c>
      <c r="AR388" s="10">
        <f>IF('PV IN'!$F$4="PV Only",0,BattCalcs!AU388)</f>
        <v>0</v>
      </c>
      <c r="AS388" s="144">
        <f>IF('PV IN'!$F$4="PV Only",PVCalcs!X388,IF('PV IN'!$F$4="Battery Only",BattCalcs!AW388,PVCalcs!X388+BattCalcs!AW388))</f>
        <v>0</v>
      </c>
      <c r="AT388" s="144">
        <f>IF('PV IN'!$F$4="Battery Only",0,-PVCalcs!AQ388*'PV IN'!$E$8)</f>
        <v>0</v>
      </c>
      <c r="AU388" s="144">
        <f>IF('PV IN'!$F$4="PV Only",0,-BattCalcs!CG388*'PV IN'!$E$8)</f>
        <v>0</v>
      </c>
      <c r="AV388" s="144">
        <f>IF('PV IN'!$F$4="PV Only",PVCalcs!Z388+PVCalcs!AA388,IF('PV IN'!$F$4="Battery Only",SUM(BattCalcs!BC388:BH388),PVCalcs!Z388+PVCalcs!AA388+SUM(BattCalcs!BC388:BH388)))</f>
        <v>0</v>
      </c>
      <c r="AW388" s="144">
        <f>IF('PV IN'!$F$4="PV Only",SUM(PVCalcs!AF388:AI388),IF('PV IN'!$F$4="Battery Only",SUM(BattCalcs!BL388:BY388),SUM(PVCalcs!AF388:AI388)+SUM(BattCalcs!BL388:BY388)))</f>
        <v>-1375</v>
      </c>
      <c r="AX388" s="144">
        <f>IF('PV IN'!$F$4="Battery Only",0,-PVLoan!F416)</f>
        <v>0</v>
      </c>
      <c r="AY388" s="144">
        <f>IF('PV IN'!$F$4="PV Only",0,-BattLoan!F416)</f>
        <v>0</v>
      </c>
      <c r="AZ388" s="144">
        <f>IF('PV IN'!$F$4="Battery Only",0,-PVLoan!H416)</f>
        <v>0</v>
      </c>
      <c r="BA388" s="144">
        <f>IF('PV IN'!$F$4="PV Only",0,-BattLoan!H416)</f>
        <v>0</v>
      </c>
      <c r="BC388" s="33">
        <f t="shared" ref="BC388" si="1034">SUM(T377:T388)</f>
        <v>1422716.4311892563</v>
      </c>
      <c r="BD388" s="33">
        <f t="shared" ref="BD388" si="1035">SUM(U377:U388)</f>
        <v>1422716.4311892563</v>
      </c>
      <c r="BE388" s="33">
        <f t="shared" ref="BE388" si="1036">SUM(V377:V388)</f>
        <v>309741.19</v>
      </c>
      <c r="BF388" s="50">
        <f t="shared" ref="BF388" si="1037">W388</f>
        <v>7.8896523189157505E-2</v>
      </c>
      <c r="BG388" s="2">
        <f t="shared" ref="BG388" si="1038">SUM(X377:X388)</f>
        <v>0</v>
      </c>
      <c r="BH388" s="2">
        <f t="shared" ref="BH388" si="1039">SUM(Y377:Y388)</f>
        <v>0</v>
      </c>
      <c r="BI388" s="2">
        <f t="shared" ref="BI388" si="1040">SUM(Z377:Z388)</f>
        <v>0</v>
      </c>
      <c r="BJ388" s="2">
        <f t="shared" ref="BJ388" si="1041">SUM(AA377:AA388)</f>
        <v>0</v>
      </c>
      <c r="BK388" s="2">
        <f t="shared" ref="BK388" si="1042">SUM(AB377:AB388)</f>
        <v>0</v>
      </c>
      <c r="BL388" s="2">
        <f t="shared" ref="BL388" si="1043">SUM(AC377:AC388)</f>
        <v>0</v>
      </c>
      <c r="BM388" s="2">
        <f t="shared" ref="BM388" si="1044">SUM(AD377:AD388)</f>
        <v>0</v>
      </c>
      <c r="BN388" s="2">
        <f t="shared" ref="BN388" si="1045">SUM(AE377:AE388)</f>
        <v>0</v>
      </c>
      <c r="BO388" s="2">
        <f t="shared" ref="BO388" si="1046">SUM(AF377:AF388)</f>
        <v>0</v>
      </c>
      <c r="BP388" s="2">
        <f t="shared" ref="BP388" si="1047">SUM(AG377:AG388)</f>
        <v>-9000</v>
      </c>
      <c r="BQ388" s="2">
        <f t="shared" ref="BQ388" si="1048">SUM(AH377:AH388)</f>
        <v>0</v>
      </c>
      <c r="BR388" s="2">
        <f t="shared" ref="BR388" si="1049">SUM(AI377:AI388)</f>
        <v>0</v>
      </c>
      <c r="BS388" s="2">
        <f t="shared" ref="BS388" si="1050">SUM(AJ377:AJ388)</f>
        <v>0</v>
      </c>
      <c r="BT388" s="2">
        <f t="shared" ref="BT388" si="1051">SUM(AK377:AK388)</f>
        <v>-7500</v>
      </c>
      <c r="BU388" s="2">
        <f t="shared" ref="BU388" si="1052">SUM(AL377:AL388)</f>
        <v>0</v>
      </c>
      <c r="BV388" s="2">
        <f t="shared" ref="BV388" si="1053">SUM(AM377:AM388)</f>
        <v>0</v>
      </c>
      <c r="BW388" s="2">
        <f t="shared" ref="BW388" si="1054">SUM(AN377:AN388)</f>
        <v>0</v>
      </c>
      <c r="BX388" s="2">
        <f t="shared" ref="BX388" si="1055">SUM(AO377:AO388)</f>
        <v>112247.37990491856</v>
      </c>
      <c r="BY388" s="2">
        <f t="shared" ref="BY388" si="1056">SUM(AP377:AP388)</f>
        <v>0</v>
      </c>
      <c r="BZ388" s="2">
        <f t="shared" ref="BZ388" si="1057">SUM(AQ377:AQ388)</f>
        <v>0</v>
      </c>
      <c r="CA388" s="2">
        <f t="shared" ref="CA388" si="1058">SUM(AR377:AR388)</f>
        <v>0</v>
      </c>
      <c r="CB388" s="2">
        <f t="shared" ref="CB388" si="1059">SUM(AS377:AS388)</f>
        <v>0</v>
      </c>
      <c r="CC388" s="2">
        <f t="shared" ref="CC388" si="1060">SUM(AT377:AT388)</f>
        <v>0</v>
      </c>
      <c r="CD388" s="2">
        <f t="shared" ref="CD388" si="1061">SUM(AU377:AU388)</f>
        <v>0</v>
      </c>
      <c r="CE388" s="2">
        <f t="shared" ref="CE388" si="1062">SUM(AV377:AV388)</f>
        <v>0</v>
      </c>
      <c r="CF388" s="2">
        <f t="shared" ref="CF388" si="1063">SUM(AW377:AW388)</f>
        <v>-16500</v>
      </c>
      <c r="CG388" s="2">
        <f t="shared" ref="CG388" si="1064">SUM(AX377:AX388)</f>
        <v>0</v>
      </c>
      <c r="CH388" s="2">
        <f t="shared" ref="CH388" si="1065">SUM(AY377:AY388)</f>
        <v>0</v>
      </c>
      <c r="CI388" s="2">
        <f t="shared" ref="CI388" si="1066">SUM(AZ377:AZ388)</f>
        <v>0</v>
      </c>
      <c r="CJ388" s="2">
        <f t="shared" ref="CJ388" si="1067">SUM(BA377:BA388)</f>
        <v>0</v>
      </c>
    </row>
    <row r="389" spans="1:88" x14ac:dyDescent="0.25">
      <c r="A389" t="str">
        <f>IF(C389&lt;='PV IN'!$O$22*12,C389,"")</f>
        <v/>
      </c>
      <c r="C389">
        <v>385</v>
      </c>
      <c r="D389" s="2">
        <f>BattCalcs!CK389+PVCalcs!AT389</f>
        <v>8227.2141070828129</v>
      </c>
      <c r="E389" s="20">
        <f>PVCalcs!AV389</f>
        <v>2670696.6382779707</v>
      </c>
      <c r="F389" s="20">
        <f>PVCalcs!AW389</f>
        <v>1719.6079904842306</v>
      </c>
      <c r="G389" s="20" t="e">
        <f>PVCalcs!AX389</f>
        <v>#N/A</v>
      </c>
      <c r="H389" s="20">
        <f>BattCalcs!CM389</f>
        <v>0</v>
      </c>
      <c r="I389" s="20">
        <f>BattCalcs!CN389</f>
        <v>0</v>
      </c>
      <c r="J389" s="20" t="e">
        <f>IF(C389&lt;='Batt IN'!H$43*12,BattCalcs!CO389,NA())</f>
        <v>#N/A</v>
      </c>
      <c r="L389" s="20">
        <f t="shared" si="997"/>
        <v>1719.6079904842306</v>
      </c>
      <c r="M389" s="20" t="e">
        <f>G389+BattCalcs!CO389</f>
        <v>#N/A</v>
      </c>
      <c r="O389" s="10" t="str">
        <f>PVLoan!G417</f>
        <v>-</v>
      </c>
      <c r="P389" s="10" t="str">
        <f>PVLoan!J417</f>
        <v>-</v>
      </c>
      <c r="Q389" s="2" t="str">
        <f>BattLoan!G417</f>
        <v>-</v>
      </c>
      <c r="R389" s="10" t="str">
        <f>BattLoan!J417</f>
        <v>-</v>
      </c>
      <c r="T389" s="33">
        <f>IF('PV IN'!$F$4="Battery Only",0,PVCalcs!G389)</f>
        <v>118046.57202388269</v>
      </c>
      <c r="U389" s="33">
        <f>IF('PV IN'!$F$4="Battery Only",0,PVCalcs!M389)</f>
        <v>118046.57202388269</v>
      </c>
      <c r="V389" s="33">
        <f>PVCalcs!L389</f>
        <v>25811.765833333331</v>
      </c>
      <c r="W389" s="158">
        <f>PVCalcs!F389</f>
        <v>7.8896523189157505E-2</v>
      </c>
      <c r="X389" s="144">
        <f>IF('PV IN'!$F$4="Battery Only",0,PVCalcs!Y389+PVCalcs!Z389)</f>
        <v>0</v>
      </c>
      <c r="Y389" s="144">
        <f>IF('PV IN'!$F$4="PV Only",0,BattCalcs!AX389+BattCalcs!BC389)</f>
        <v>0</v>
      </c>
      <c r="Z389" s="144">
        <f>IF('PV IN'!$F$4="PV Only",0,BattCalcs!AY389+BattCalcs!BD389)</f>
        <v>0</v>
      </c>
      <c r="AA389" s="144">
        <f>IF('PV IN'!$F$4="PV Only",0,BattCalcs!AZ389+BattCalcs!BE389)</f>
        <v>0</v>
      </c>
      <c r="AB389" s="144">
        <f>IF('PV IN'!$F$4="PV Only",0,BattCalcs!BA389+BattCalcs!BF389)</f>
        <v>0</v>
      </c>
      <c r="AC389" s="144">
        <f>IF('PV IN'!$F$4="PV Only",0,BattCalcs!BB389+BattCalcs!BG389)</f>
        <v>0</v>
      </c>
      <c r="AD389" s="144">
        <f>IF('PV IN'!$F$4="PV Only",0,BattCalcs!BU389)</f>
        <v>0</v>
      </c>
      <c r="AE389" s="144">
        <f>IF('PV IN'!$F$4="PV Only",PVCalcs!W389+PVCalcs!AA389,IF('PV IN'!$F$4="Battery Only",BattCalcs!AV389+BattCalcs!BH389,PVCalcs!W389+PVCalcs!AA389+BattCalcs!AV389+BattCalcs!BH389))</f>
        <v>0</v>
      </c>
      <c r="AF389" s="10">
        <f>PVCalcs!AC389+BattCalcs!BJ389</f>
        <v>0</v>
      </c>
      <c r="AG389" s="144">
        <f>IF('PV IN'!$F$4="Battery Only",0,PVCalcs!AG389)</f>
        <v>-750</v>
      </c>
      <c r="AH389" s="144">
        <f>IF('PV IN'!$F$4="Battery Only",0,PVCalcs!AI389)</f>
        <v>0</v>
      </c>
      <c r="AI389" s="144">
        <f>IF('PV IN'!$F$4="PV Only",0,BattCalcs!BM389)</f>
        <v>0</v>
      </c>
      <c r="AJ389" s="144">
        <f>IF('PV IN'!$F$4="PV Only",0,SUM(BattCalcs!BO389:BT389))</f>
        <v>0</v>
      </c>
      <c r="AK389" s="144">
        <f>IF('PV IN'!$F$4="PV Only",PVCalcs!AH389,IF('PV IN'!$F$4="Battery Only",BattCalcs!BN389,PVCalcs!AH389+BattCalcs!BN389))</f>
        <v>-625</v>
      </c>
      <c r="AL389" s="144">
        <f>IF('PV IN'!$F$4="PV Only",0,BattCalcs!BV389)</f>
        <v>0</v>
      </c>
      <c r="AM389" s="144">
        <f>IF('PV IN'!$F$4="PV Only",0,SUM(BattCalcs!BW389:BX389))</f>
        <v>0</v>
      </c>
      <c r="AN389" s="144">
        <f>IF('PV IN'!$F$4="PV Only",0,BattCalcs!BY389)</f>
        <v>0</v>
      </c>
      <c r="AO389" s="144">
        <f>IF('PV IN'!$F$4="Battery Only",0,PVCalcs!U389)</f>
        <v>9313.4641070828129</v>
      </c>
      <c r="AP389" s="10">
        <f>IF('PV IN'!$F$4="PV Only",0,BattCalcs!AS389)</f>
        <v>0</v>
      </c>
      <c r="AQ389" s="10">
        <f>IF('PV IN'!$F$4="PV Only",0,BattCalcs!AT389)</f>
        <v>0</v>
      </c>
      <c r="AR389" s="10">
        <f>IF('PV IN'!$F$4="PV Only",0,BattCalcs!AU389)</f>
        <v>0</v>
      </c>
      <c r="AS389" s="144">
        <f>IF('PV IN'!$F$4="PV Only",PVCalcs!X389,IF('PV IN'!$F$4="Battery Only",BattCalcs!AW389,PVCalcs!X389+BattCalcs!AW389))</f>
        <v>0</v>
      </c>
      <c r="AT389" s="144">
        <f>IF('PV IN'!$F$4="Battery Only",0,-PVCalcs!AQ389*'PV IN'!$E$8)</f>
        <v>0</v>
      </c>
      <c r="AU389" s="144">
        <f>IF('PV IN'!$F$4="PV Only",0,-BattCalcs!CG389*'PV IN'!$E$8)</f>
        <v>0</v>
      </c>
      <c r="AV389" s="144">
        <f>IF('PV IN'!$F$4="PV Only",PVCalcs!Z389+PVCalcs!AA389,IF('PV IN'!$F$4="Battery Only",SUM(BattCalcs!BC389:BH389),PVCalcs!Z389+PVCalcs!AA389+SUM(BattCalcs!BC389:BH389)))</f>
        <v>0</v>
      </c>
      <c r="AW389" s="144">
        <f>IF('PV IN'!$F$4="PV Only",SUM(PVCalcs!AF389:AI389),IF('PV IN'!$F$4="Battery Only",SUM(BattCalcs!BL389:BY389),SUM(PVCalcs!AF389:AI389)+SUM(BattCalcs!BL389:BY389)))</f>
        <v>-1375</v>
      </c>
      <c r="AX389" s="144">
        <f>IF('PV IN'!$F$4="Battery Only",0,-PVLoan!F417)</f>
        <v>0</v>
      </c>
      <c r="AY389" s="144">
        <f>IF('PV IN'!$F$4="PV Only",0,-BattLoan!F417)</f>
        <v>0</v>
      </c>
      <c r="AZ389" s="144">
        <f>IF('PV IN'!$F$4="Battery Only",0,-PVLoan!H417)</f>
        <v>0</v>
      </c>
      <c r="BA389" s="144">
        <f>IF('PV IN'!$F$4="PV Only",0,-BattLoan!H417)</f>
        <v>0</v>
      </c>
    </row>
    <row r="390" spans="1:88" x14ac:dyDescent="0.25">
      <c r="A390" t="str">
        <f>IF(C390&lt;='PV IN'!$O$22*12,C390,"")</f>
        <v/>
      </c>
      <c r="C390">
        <v>386</v>
      </c>
      <c r="D390" s="2">
        <f>BattCalcs!CK390+PVCalcs!AT390</f>
        <v>8221.0051310114231</v>
      </c>
      <c r="E390" s="20">
        <f>PVCalcs!AV390</f>
        <v>2678917.6434089821</v>
      </c>
      <c r="F390" s="20">
        <f>PVCalcs!AW390</f>
        <v>1711.3380208076567</v>
      </c>
      <c r="G390" s="20" t="e">
        <f>PVCalcs!AX390</f>
        <v>#N/A</v>
      </c>
      <c r="H390" s="20">
        <f>BattCalcs!CM390</f>
        <v>0</v>
      </c>
      <c r="I390" s="20">
        <f>BattCalcs!CN390</f>
        <v>0</v>
      </c>
      <c r="J390" s="20" t="e">
        <f>IF(C390&lt;='Batt IN'!H$43*12,BattCalcs!CO390,NA())</f>
        <v>#N/A</v>
      </c>
      <c r="L390" s="20">
        <f t="shared" si="997"/>
        <v>1711.3380208076567</v>
      </c>
      <c r="M390" s="20" t="e">
        <f>G390+BattCalcs!CO390</f>
        <v>#N/A</v>
      </c>
      <c r="O390" s="10" t="str">
        <f>PVLoan!G418</f>
        <v>-</v>
      </c>
      <c r="P390" s="10" t="str">
        <f>PVLoan!J418</f>
        <v>-</v>
      </c>
      <c r="Q390" s="2" t="str">
        <f>BattLoan!G418</f>
        <v>-</v>
      </c>
      <c r="R390" s="10" t="str">
        <f>BattLoan!J418</f>
        <v>-</v>
      </c>
      <c r="T390" s="33">
        <f>IF('PV IN'!$F$4="Battery Only",0,PVCalcs!G390)</f>
        <v>117967.8743092001</v>
      </c>
      <c r="U390" s="33">
        <f>IF('PV IN'!$F$4="Battery Only",0,PVCalcs!M390)</f>
        <v>117967.8743092001</v>
      </c>
      <c r="V390" s="33">
        <f>PVCalcs!L390</f>
        <v>25811.765833333331</v>
      </c>
      <c r="W390" s="158">
        <f>PVCalcs!F390</f>
        <v>7.8896523189157505E-2</v>
      </c>
      <c r="X390" s="144">
        <f>IF('PV IN'!$F$4="Battery Only",0,PVCalcs!Y390+PVCalcs!Z390)</f>
        <v>0</v>
      </c>
      <c r="Y390" s="144">
        <f>IF('PV IN'!$F$4="PV Only",0,BattCalcs!AX390+BattCalcs!BC390)</f>
        <v>0</v>
      </c>
      <c r="Z390" s="144">
        <f>IF('PV IN'!$F$4="PV Only",0,BattCalcs!AY390+BattCalcs!BD390)</f>
        <v>0</v>
      </c>
      <c r="AA390" s="144">
        <f>IF('PV IN'!$F$4="PV Only",0,BattCalcs!AZ390+BattCalcs!BE390)</f>
        <v>0</v>
      </c>
      <c r="AB390" s="144">
        <f>IF('PV IN'!$F$4="PV Only",0,BattCalcs!BA390+BattCalcs!BF390)</f>
        <v>0</v>
      </c>
      <c r="AC390" s="144">
        <f>IF('PV IN'!$F$4="PV Only",0,BattCalcs!BB390+BattCalcs!BG390)</f>
        <v>0</v>
      </c>
      <c r="AD390" s="144">
        <f>IF('PV IN'!$F$4="PV Only",0,BattCalcs!BU390)</f>
        <v>0</v>
      </c>
      <c r="AE390" s="144">
        <f>IF('PV IN'!$F$4="PV Only",PVCalcs!W390+PVCalcs!AA390,IF('PV IN'!$F$4="Battery Only",BattCalcs!AV390+BattCalcs!BH390,PVCalcs!W390+PVCalcs!AA390+BattCalcs!AV390+BattCalcs!BH390))</f>
        <v>0</v>
      </c>
      <c r="AF390" s="10">
        <f>PVCalcs!AC390+BattCalcs!BJ390</f>
        <v>0</v>
      </c>
      <c r="AG390" s="144">
        <f>IF('PV IN'!$F$4="Battery Only",0,PVCalcs!AG390)</f>
        <v>-750</v>
      </c>
      <c r="AH390" s="144">
        <f>IF('PV IN'!$F$4="Battery Only",0,PVCalcs!AI390)</f>
        <v>0</v>
      </c>
      <c r="AI390" s="144">
        <f>IF('PV IN'!$F$4="PV Only",0,BattCalcs!BM390)</f>
        <v>0</v>
      </c>
      <c r="AJ390" s="144">
        <f>IF('PV IN'!$F$4="PV Only",0,SUM(BattCalcs!BO390:BT390))</f>
        <v>0</v>
      </c>
      <c r="AK390" s="144">
        <f>IF('PV IN'!$F$4="PV Only",PVCalcs!AH390,IF('PV IN'!$F$4="Battery Only",BattCalcs!BN390,PVCalcs!AH390+BattCalcs!BN390))</f>
        <v>-625</v>
      </c>
      <c r="AL390" s="144">
        <f>IF('PV IN'!$F$4="PV Only",0,BattCalcs!BV390)</f>
        <v>0</v>
      </c>
      <c r="AM390" s="144">
        <f>IF('PV IN'!$F$4="PV Only",0,SUM(BattCalcs!BW390:BX390))</f>
        <v>0</v>
      </c>
      <c r="AN390" s="144">
        <f>IF('PV IN'!$F$4="PV Only",0,BattCalcs!BY390)</f>
        <v>0</v>
      </c>
      <c r="AO390" s="144">
        <f>IF('PV IN'!$F$4="Battery Only",0,PVCalcs!U390)</f>
        <v>9307.2551310114231</v>
      </c>
      <c r="AP390" s="10">
        <f>IF('PV IN'!$F$4="PV Only",0,BattCalcs!AS390)</f>
        <v>0</v>
      </c>
      <c r="AQ390" s="10">
        <f>IF('PV IN'!$F$4="PV Only",0,BattCalcs!AT390)</f>
        <v>0</v>
      </c>
      <c r="AR390" s="10">
        <f>IF('PV IN'!$F$4="PV Only",0,BattCalcs!AU390)</f>
        <v>0</v>
      </c>
      <c r="AS390" s="144">
        <f>IF('PV IN'!$F$4="PV Only",PVCalcs!X390,IF('PV IN'!$F$4="Battery Only",BattCalcs!AW390,PVCalcs!X390+BattCalcs!AW390))</f>
        <v>0</v>
      </c>
      <c r="AT390" s="144">
        <f>IF('PV IN'!$F$4="Battery Only",0,-PVCalcs!AQ390*'PV IN'!$E$8)</f>
        <v>0</v>
      </c>
      <c r="AU390" s="144">
        <f>IF('PV IN'!$F$4="PV Only",0,-BattCalcs!CG390*'PV IN'!$E$8)</f>
        <v>0</v>
      </c>
      <c r="AV390" s="144">
        <f>IF('PV IN'!$F$4="PV Only",PVCalcs!Z390+PVCalcs!AA390,IF('PV IN'!$F$4="Battery Only",SUM(BattCalcs!BC390:BH390),PVCalcs!Z390+PVCalcs!AA390+SUM(BattCalcs!BC390:BH390)))</f>
        <v>0</v>
      </c>
      <c r="AW390" s="144">
        <f>IF('PV IN'!$F$4="PV Only",SUM(PVCalcs!AF390:AI390),IF('PV IN'!$F$4="Battery Only",SUM(BattCalcs!BL390:BY390),SUM(PVCalcs!AF390:AI390)+SUM(BattCalcs!BL390:BY390)))</f>
        <v>-1375</v>
      </c>
      <c r="AX390" s="144">
        <f>IF('PV IN'!$F$4="Battery Only",0,-PVLoan!F418)</f>
        <v>0</v>
      </c>
      <c r="AY390" s="144">
        <f>IF('PV IN'!$F$4="PV Only",0,-BattLoan!F418)</f>
        <v>0</v>
      </c>
      <c r="AZ390" s="144">
        <f>IF('PV IN'!$F$4="Battery Only",0,-PVLoan!H418)</f>
        <v>0</v>
      </c>
      <c r="BA390" s="144">
        <f>IF('PV IN'!$F$4="PV Only",0,-BattLoan!H418)</f>
        <v>0</v>
      </c>
    </row>
    <row r="391" spans="1:88" x14ac:dyDescent="0.25">
      <c r="A391" t="str">
        <f>IF(C391&lt;='PV IN'!$O$22*12,C391,"")</f>
        <v/>
      </c>
      <c r="C391">
        <v>387</v>
      </c>
      <c r="D391" s="2">
        <f>BattCalcs!CK391+PVCalcs!AT391</f>
        <v>8214.8002942574167</v>
      </c>
      <c r="E391" s="20">
        <f>PVCalcs!AV391</f>
        <v>2687132.4437032393</v>
      </c>
      <c r="F391" s="20">
        <f>PVCalcs!AW391</f>
        <v>1703.1077099125396</v>
      </c>
      <c r="G391" s="20" t="e">
        <f>PVCalcs!AX391</f>
        <v>#N/A</v>
      </c>
      <c r="H391" s="20">
        <f>BattCalcs!CM391</f>
        <v>0</v>
      </c>
      <c r="I391" s="20">
        <f>BattCalcs!CN391</f>
        <v>0</v>
      </c>
      <c r="J391" s="20" t="e">
        <f>IF(C391&lt;='Batt IN'!H$43*12,BattCalcs!CO391,NA())</f>
        <v>#N/A</v>
      </c>
      <c r="L391" s="20">
        <f t="shared" si="997"/>
        <v>1703.1077099125396</v>
      </c>
      <c r="M391" s="20" t="e">
        <f>G391+BattCalcs!CO391</f>
        <v>#N/A</v>
      </c>
      <c r="O391" s="10" t="str">
        <f>PVLoan!G419</f>
        <v>-</v>
      </c>
      <c r="P391" s="10" t="str">
        <f>PVLoan!J419</f>
        <v>-</v>
      </c>
      <c r="Q391" s="2" t="str">
        <f>BattLoan!G419</f>
        <v>-</v>
      </c>
      <c r="R391" s="10" t="str">
        <f>BattLoan!J419</f>
        <v>-</v>
      </c>
      <c r="T391" s="33">
        <f>IF('PV IN'!$F$4="Battery Only",0,PVCalcs!G391)</f>
        <v>117889.22905966063</v>
      </c>
      <c r="U391" s="33">
        <f>IF('PV IN'!$F$4="Battery Only",0,PVCalcs!M391)</f>
        <v>117889.22905966063</v>
      </c>
      <c r="V391" s="33">
        <f>PVCalcs!L391</f>
        <v>25811.765833333331</v>
      </c>
      <c r="W391" s="158">
        <f>PVCalcs!F391</f>
        <v>7.8896523189157505E-2</v>
      </c>
      <c r="X391" s="144">
        <f>IF('PV IN'!$F$4="Battery Only",0,PVCalcs!Y391+PVCalcs!Z391)</f>
        <v>0</v>
      </c>
      <c r="Y391" s="144">
        <f>IF('PV IN'!$F$4="PV Only",0,BattCalcs!AX391+BattCalcs!BC391)</f>
        <v>0</v>
      </c>
      <c r="Z391" s="144">
        <f>IF('PV IN'!$F$4="PV Only",0,BattCalcs!AY391+BattCalcs!BD391)</f>
        <v>0</v>
      </c>
      <c r="AA391" s="144">
        <f>IF('PV IN'!$F$4="PV Only",0,BattCalcs!AZ391+BattCalcs!BE391)</f>
        <v>0</v>
      </c>
      <c r="AB391" s="144">
        <f>IF('PV IN'!$F$4="PV Only",0,BattCalcs!BA391+BattCalcs!BF391)</f>
        <v>0</v>
      </c>
      <c r="AC391" s="144">
        <f>IF('PV IN'!$F$4="PV Only",0,BattCalcs!BB391+BattCalcs!BG391)</f>
        <v>0</v>
      </c>
      <c r="AD391" s="144">
        <f>IF('PV IN'!$F$4="PV Only",0,BattCalcs!BU391)</f>
        <v>0</v>
      </c>
      <c r="AE391" s="144">
        <f>IF('PV IN'!$F$4="PV Only",PVCalcs!W391+PVCalcs!AA391,IF('PV IN'!$F$4="Battery Only",BattCalcs!AV391+BattCalcs!BH391,PVCalcs!W391+PVCalcs!AA391+BattCalcs!AV391+BattCalcs!BH391))</f>
        <v>0</v>
      </c>
      <c r="AF391" s="10">
        <f>PVCalcs!AC391+BattCalcs!BJ391</f>
        <v>0</v>
      </c>
      <c r="AG391" s="144">
        <f>IF('PV IN'!$F$4="Battery Only",0,PVCalcs!AG391)</f>
        <v>-750</v>
      </c>
      <c r="AH391" s="144">
        <f>IF('PV IN'!$F$4="Battery Only",0,PVCalcs!AI391)</f>
        <v>0</v>
      </c>
      <c r="AI391" s="144">
        <f>IF('PV IN'!$F$4="PV Only",0,BattCalcs!BM391)</f>
        <v>0</v>
      </c>
      <c r="AJ391" s="144">
        <f>IF('PV IN'!$F$4="PV Only",0,SUM(BattCalcs!BO391:BT391))</f>
        <v>0</v>
      </c>
      <c r="AK391" s="144">
        <f>IF('PV IN'!$F$4="PV Only",PVCalcs!AH391,IF('PV IN'!$F$4="Battery Only",BattCalcs!BN391,PVCalcs!AH391+BattCalcs!BN391))</f>
        <v>-625</v>
      </c>
      <c r="AL391" s="144">
        <f>IF('PV IN'!$F$4="PV Only",0,BattCalcs!BV391)</f>
        <v>0</v>
      </c>
      <c r="AM391" s="144">
        <f>IF('PV IN'!$F$4="PV Only",0,SUM(BattCalcs!BW391:BX391))</f>
        <v>0</v>
      </c>
      <c r="AN391" s="144">
        <f>IF('PV IN'!$F$4="PV Only",0,BattCalcs!BY391)</f>
        <v>0</v>
      </c>
      <c r="AO391" s="144">
        <f>IF('PV IN'!$F$4="Battery Only",0,PVCalcs!U391)</f>
        <v>9301.0502942574167</v>
      </c>
      <c r="AP391" s="10">
        <f>IF('PV IN'!$F$4="PV Only",0,BattCalcs!AS391)</f>
        <v>0</v>
      </c>
      <c r="AQ391" s="10">
        <f>IF('PV IN'!$F$4="PV Only",0,BattCalcs!AT391)</f>
        <v>0</v>
      </c>
      <c r="AR391" s="10">
        <f>IF('PV IN'!$F$4="PV Only",0,BattCalcs!AU391)</f>
        <v>0</v>
      </c>
      <c r="AS391" s="144">
        <f>IF('PV IN'!$F$4="PV Only",PVCalcs!X391,IF('PV IN'!$F$4="Battery Only",BattCalcs!AW391,PVCalcs!X391+BattCalcs!AW391))</f>
        <v>0</v>
      </c>
      <c r="AT391" s="144">
        <f>IF('PV IN'!$F$4="Battery Only",0,-PVCalcs!AQ391*'PV IN'!$E$8)</f>
        <v>0</v>
      </c>
      <c r="AU391" s="144">
        <f>IF('PV IN'!$F$4="PV Only",0,-BattCalcs!CG391*'PV IN'!$E$8)</f>
        <v>0</v>
      </c>
      <c r="AV391" s="144">
        <f>IF('PV IN'!$F$4="PV Only",PVCalcs!Z391+PVCalcs!AA391,IF('PV IN'!$F$4="Battery Only",SUM(BattCalcs!BC391:BH391),PVCalcs!Z391+PVCalcs!AA391+SUM(BattCalcs!BC391:BH391)))</f>
        <v>0</v>
      </c>
      <c r="AW391" s="144">
        <f>IF('PV IN'!$F$4="PV Only",SUM(PVCalcs!AF391:AI391),IF('PV IN'!$F$4="Battery Only",SUM(BattCalcs!BL391:BY391),SUM(PVCalcs!AF391:AI391)+SUM(BattCalcs!BL391:BY391)))</f>
        <v>-1375</v>
      </c>
      <c r="AX391" s="144">
        <f>IF('PV IN'!$F$4="Battery Only",0,-PVLoan!F419)</f>
        <v>0</v>
      </c>
      <c r="AY391" s="144">
        <f>IF('PV IN'!$F$4="PV Only",0,-BattLoan!F419)</f>
        <v>0</v>
      </c>
      <c r="AZ391" s="144">
        <f>IF('PV IN'!$F$4="Battery Only",0,-PVLoan!H419)</f>
        <v>0</v>
      </c>
      <c r="BA391" s="144">
        <f>IF('PV IN'!$F$4="PV Only",0,-BattLoan!H419)</f>
        <v>0</v>
      </c>
    </row>
    <row r="392" spans="1:88" x14ac:dyDescent="0.25">
      <c r="A392" t="str">
        <f>IF(C392&lt;='PV IN'!$O$22*12,C392,"")</f>
        <v/>
      </c>
      <c r="C392">
        <v>388</v>
      </c>
      <c r="D392" s="2">
        <f>BattCalcs!CK392+PVCalcs!AT392</f>
        <v>8208.5995940612429</v>
      </c>
      <c r="E392" s="20">
        <f>PVCalcs!AV392</f>
        <v>2695341.0432973006</v>
      </c>
      <c r="F392" s="20">
        <f>PVCalcs!AW392</f>
        <v>1694.9168680658777</v>
      </c>
      <c r="G392" s="20" t="e">
        <f>PVCalcs!AX392</f>
        <v>#N/A</v>
      </c>
      <c r="H392" s="20">
        <f>BattCalcs!CM392</f>
        <v>0</v>
      </c>
      <c r="I392" s="20">
        <f>BattCalcs!CN392</f>
        <v>0</v>
      </c>
      <c r="J392" s="20" t="e">
        <f>IF(C392&lt;='Batt IN'!H$43*12,BattCalcs!CO392,NA())</f>
        <v>#N/A</v>
      </c>
      <c r="L392" s="20">
        <f t="shared" si="997"/>
        <v>1694.9168680658777</v>
      </c>
      <c r="M392" s="20" t="e">
        <f>G392+BattCalcs!CO392</f>
        <v>#N/A</v>
      </c>
      <c r="O392" s="10" t="str">
        <f>PVLoan!G420</f>
        <v>-</v>
      </c>
      <c r="P392" s="10" t="str">
        <f>PVLoan!J420</f>
        <v>-</v>
      </c>
      <c r="Q392" s="2" t="str">
        <f>BattLoan!G420</f>
        <v>-</v>
      </c>
      <c r="R392" s="10" t="str">
        <f>BattLoan!J420</f>
        <v>-</v>
      </c>
      <c r="T392" s="33">
        <f>IF('PV IN'!$F$4="Battery Only",0,PVCalcs!G392)</f>
        <v>117810.63624028751</v>
      </c>
      <c r="U392" s="33">
        <f>IF('PV IN'!$F$4="Battery Only",0,PVCalcs!M392)</f>
        <v>117810.63624028751</v>
      </c>
      <c r="V392" s="33">
        <f>PVCalcs!L392</f>
        <v>25811.765833333331</v>
      </c>
      <c r="W392" s="158">
        <f>PVCalcs!F392</f>
        <v>7.8896523189157505E-2</v>
      </c>
      <c r="X392" s="144">
        <f>IF('PV IN'!$F$4="Battery Only",0,PVCalcs!Y392+PVCalcs!Z392)</f>
        <v>0</v>
      </c>
      <c r="Y392" s="144">
        <f>IF('PV IN'!$F$4="PV Only",0,BattCalcs!AX392+BattCalcs!BC392)</f>
        <v>0</v>
      </c>
      <c r="Z392" s="144">
        <f>IF('PV IN'!$F$4="PV Only",0,BattCalcs!AY392+BattCalcs!BD392)</f>
        <v>0</v>
      </c>
      <c r="AA392" s="144">
        <f>IF('PV IN'!$F$4="PV Only",0,BattCalcs!AZ392+BattCalcs!BE392)</f>
        <v>0</v>
      </c>
      <c r="AB392" s="144">
        <f>IF('PV IN'!$F$4="PV Only",0,BattCalcs!BA392+BattCalcs!BF392)</f>
        <v>0</v>
      </c>
      <c r="AC392" s="144">
        <f>IF('PV IN'!$F$4="PV Only",0,BattCalcs!BB392+BattCalcs!BG392)</f>
        <v>0</v>
      </c>
      <c r="AD392" s="144">
        <f>IF('PV IN'!$F$4="PV Only",0,BattCalcs!BU392)</f>
        <v>0</v>
      </c>
      <c r="AE392" s="144">
        <f>IF('PV IN'!$F$4="PV Only",PVCalcs!W392+PVCalcs!AA392,IF('PV IN'!$F$4="Battery Only",BattCalcs!AV392+BattCalcs!BH392,PVCalcs!W392+PVCalcs!AA392+BattCalcs!AV392+BattCalcs!BH392))</f>
        <v>0</v>
      </c>
      <c r="AF392" s="10">
        <f>PVCalcs!AC392+BattCalcs!BJ392</f>
        <v>0</v>
      </c>
      <c r="AG392" s="144">
        <f>IF('PV IN'!$F$4="Battery Only",0,PVCalcs!AG392)</f>
        <v>-750</v>
      </c>
      <c r="AH392" s="144">
        <f>IF('PV IN'!$F$4="Battery Only",0,PVCalcs!AI392)</f>
        <v>0</v>
      </c>
      <c r="AI392" s="144">
        <f>IF('PV IN'!$F$4="PV Only",0,BattCalcs!BM392)</f>
        <v>0</v>
      </c>
      <c r="AJ392" s="144">
        <f>IF('PV IN'!$F$4="PV Only",0,SUM(BattCalcs!BO392:BT392))</f>
        <v>0</v>
      </c>
      <c r="AK392" s="144">
        <f>IF('PV IN'!$F$4="PV Only",PVCalcs!AH392,IF('PV IN'!$F$4="Battery Only",BattCalcs!BN392,PVCalcs!AH392+BattCalcs!BN392))</f>
        <v>-625</v>
      </c>
      <c r="AL392" s="144">
        <f>IF('PV IN'!$F$4="PV Only",0,BattCalcs!BV392)</f>
        <v>0</v>
      </c>
      <c r="AM392" s="144">
        <f>IF('PV IN'!$F$4="PV Only",0,SUM(BattCalcs!BW392:BX392))</f>
        <v>0</v>
      </c>
      <c r="AN392" s="144">
        <f>IF('PV IN'!$F$4="PV Only",0,BattCalcs!BY392)</f>
        <v>0</v>
      </c>
      <c r="AO392" s="144">
        <f>IF('PV IN'!$F$4="Battery Only",0,PVCalcs!U392)</f>
        <v>9294.8495940612429</v>
      </c>
      <c r="AP392" s="10">
        <f>IF('PV IN'!$F$4="PV Only",0,BattCalcs!AS392)</f>
        <v>0</v>
      </c>
      <c r="AQ392" s="10">
        <f>IF('PV IN'!$F$4="PV Only",0,BattCalcs!AT392)</f>
        <v>0</v>
      </c>
      <c r="AR392" s="10">
        <f>IF('PV IN'!$F$4="PV Only",0,BattCalcs!AU392)</f>
        <v>0</v>
      </c>
      <c r="AS392" s="144">
        <f>IF('PV IN'!$F$4="PV Only",PVCalcs!X392,IF('PV IN'!$F$4="Battery Only",BattCalcs!AW392,PVCalcs!X392+BattCalcs!AW392))</f>
        <v>0</v>
      </c>
      <c r="AT392" s="144">
        <f>IF('PV IN'!$F$4="Battery Only",0,-PVCalcs!AQ392*'PV IN'!$E$8)</f>
        <v>0</v>
      </c>
      <c r="AU392" s="144">
        <f>IF('PV IN'!$F$4="PV Only",0,-BattCalcs!CG392*'PV IN'!$E$8)</f>
        <v>0</v>
      </c>
      <c r="AV392" s="144">
        <f>IF('PV IN'!$F$4="PV Only",PVCalcs!Z392+PVCalcs!AA392,IF('PV IN'!$F$4="Battery Only",SUM(BattCalcs!BC392:BH392),PVCalcs!Z392+PVCalcs!AA392+SUM(BattCalcs!BC392:BH392)))</f>
        <v>0</v>
      </c>
      <c r="AW392" s="144">
        <f>IF('PV IN'!$F$4="PV Only",SUM(PVCalcs!AF392:AI392),IF('PV IN'!$F$4="Battery Only",SUM(BattCalcs!BL392:BY392),SUM(PVCalcs!AF392:AI392)+SUM(BattCalcs!BL392:BY392)))</f>
        <v>-1375</v>
      </c>
      <c r="AX392" s="144">
        <f>IF('PV IN'!$F$4="Battery Only",0,-PVLoan!F420)</f>
        <v>0</v>
      </c>
      <c r="AY392" s="144">
        <f>IF('PV IN'!$F$4="PV Only",0,-BattLoan!F420)</f>
        <v>0</v>
      </c>
      <c r="AZ392" s="144">
        <f>IF('PV IN'!$F$4="Battery Only",0,-PVLoan!H420)</f>
        <v>0</v>
      </c>
      <c r="BA392" s="144">
        <f>IF('PV IN'!$F$4="PV Only",0,-BattLoan!H420)</f>
        <v>0</v>
      </c>
    </row>
    <row r="393" spans="1:88" x14ac:dyDescent="0.25">
      <c r="A393" t="str">
        <f>IF(C393&lt;='PV IN'!$O$22*12,C393,"")</f>
        <v/>
      </c>
      <c r="C393">
        <v>389</v>
      </c>
      <c r="D393" s="2">
        <f>BattCalcs!CK393+PVCalcs!AT393</f>
        <v>8202.4030276652029</v>
      </c>
      <c r="E393" s="20">
        <f>PVCalcs!AV393</f>
        <v>2703543.4463249659</v>
      </c>
      <c r="F393" s="20">
        <f>PVCalcs!AW393</f>
        <v>1686.7653064405777</v>
      </c>
      <c r="G393" s="20" t="e">
        <f>PVCalcs!AX393</f>
        <v>#N/A</v>
      </c>
      <c r="H393" s="20">
        <f>BattCalcs!CM393</f>
        <v>0</v>
      </c>
      <c r="I393" s="20">
        <f>BattCalcs!CN393</f>
        <v>0</v>
      </c>
      <c r="J393" s="20" t="e">
        <f>IF(C393&lt;='Batt IN'!H$43*12,BattCalcs!CO393,NA())</f>
        <v>#N/A</v>
      </c>
      <c r="L393" s="20">
        <f t="shared" si="997"/>
        <v>1686.7653064405777</v>
      </c>
      <c r="M393" s="20" t="e">
        <f>G393+BattCalcs!CO393</f>
        <v>#N/A</v>
      </c>
      <c r="O393" s="10" t="str">
        <f>PVLoan!G421</f>
        <v>-</v>
      </c>
      <c r="P393" s="10" t="str">
        <f>PVLoan!J421</f>
        <v>-</v>
      </c>
      <c r="Q393" s="2" t="str">
        <f>BattLoan!G421</f>
        <v>-</v>
      </c>
      <c r="R393" s="10" t="str">
        <f>BattLoan!J421</f>
        <v>-</v>
      </c>
      <c r="T393" s="33">
        <f>IF('PV IN'!$F$4="Battery Only",0,PVCalcs!G393)</f>
        <v>117732.09581612733</v>
      </c>
      <c r="U393" s="33">
        <f>IF('PV IN'!$F$4="Battery Only",0,PVCalcs!M393)</f>
        <v>117732.09581612733</v>
      </c>
      <c r="V393" s="33">
        <f>PVCalcs!L393</f>
        <v>25811.765833333331</v>
      </c>
      <c r="W393" s="158">
        <f>PVCalcs!F393</f>
        <v>7.8896523189157505E-2</v>
      </c>
      <c r="X393" s="144">
        <f>IF('PV IN'!$F$4="Battery Only",0,PVCalcs!Y393+PVCalcs!Z393)</f>
        <v>0</v>
      </c>
      <c r="Y393" s="144">
        <f>IF('PV IN'!$F$4="PV Only",0,BattCalcs!AX393+BattCalcs!BC393)</f>
        <v>0</v>
      </c>
      <c r="Z393" s="144">
        <f>IF('PV IN'!$F$4="PV Only",0,BattCalcs!AY393+BattCalcs!BD393)</f>
        <v>0</v>
      </c>
      <c r="AA393" s="144">
        <f>IF('PV IN'!$F$4="PV Only",0,BattCalcs!AZ393+BattCalcs!BE393)</f>
        <v>0</v>
      </c>
      <c r="AB393" s="144">
        <f>IF('PV IN'!$F$4="PV Only",0,BattCalcs!BA393+BattCalcs!BF393)</f>
        <v>0</v>
      </c>
      <c r="AC393" s="144">
        <f>IF('PV IN'!$F$4="PV Only",0,BattCalcs!BB393+BattCalcs!BG393)</f>
        <v>0</v>
      </c>
      <c r="AD393" s="144">
        <f>IF('PV IN'!$F$4="PV Only",0,BattCalcs!BU393)</f>
        <v>0</v>
      </c>
      <c r="AE393" s="144">
        <f>IF('PV IN'!$F$4="PV Only",PVCalcs!W393+PVCalcs!AA393,IF('PV IN'!$F$4="Battery Only",BattCalcs!AV393+BattCalcs!BH393,PVCalcs!W393+PVCalcs!AA393+BattCalcs!AV393+BattCalcs!BH393))</f>
        <v>0</v>
      </c>
      <c r="AF393" s="10">
        <f>PVCalcs!AC393+BattCalcs!BJ393</f>
        <v>0</v>
      </c>
      <c r="AG393" s="144">
        <f>IF('PV IN'!$F$4="Battery Only",0,PVCalcs!AG393)</f>
        <v>-750</v>
      </c>
      <c r="AH393" s="144">
        <f>IF('PV IN'!$F$4="Battery Only",0,PVCalcs!AI393)</f>
        <v>0</v>
      </c>
      <c r="AI393" s="144">
        <f>IF('PV IN'!$F$4="PV Only",0,BattCalcs!BM393)</f>
        <v>0</v>
      </c>
      <c r="AJ393" s="144">
        <f>IF('PV IN'!$F$4="PV Only",0,SUM(BattCalcs!BO393:BT393))</f>
        <v>0</v>
      </c>
      <c r="AK393" s="144">
        <f>IF('PV IN'!$F$4="PV Only",PVCalcs!AH393,IF('PV IN'!$F$4="Battery Only",BattCalcs!BN393,PVCalcs!AH393+BattCalcs!BN393))</f>
        <v>-625</v>
      </c>
      <c r="AL393" s="144">
        <f>IF('PV IN'!$F$4="PV Only",0,BattCalcs!BV393)</f>
        <v>0</v>
      </c>
      <c r="AM393" s="144">
        <f>IF('PV IN'!$F$4="PV Only",0,SUM(BattCalcs!BW393:BX393))</f>
        <v>0</v>
      </c>
      <c r="AN393" s="144">
        <f>IF('PV IN'!$F$4="PV Only",0,BattCalcs!BY393)</f>
        <v>0</v>
      </c>
      <c r="AO393" s="144">
        <f>IF('PV IN'!$F$4="Battery Only",0,PVCalcs!U393)</f>
        <v>9288.6530276652029</v>
      </c>
      <c r="AP393" s="10">
        <f>IF('PV IN'!$F$4="PV Only",0,BattCalcs!AS393)</f>
        <v>0</v>
      </c>
      <c r="AQ393" s="10">
        <f>IF('PV IN'!$F$4="PV Only",0,BattCalcs!AT393)</f>
        <v>0</v>
      </c>
      <c r="AR393" s="10">
        <f>IF('PV IN'!$F$4="PV Only",0,BattCalcs!AU393)</f>
        <v>0</v>
      </c>
      <c r="AS393" s="144">
        <f>IF('PV IN'!$F$4="PV Only",PVCalcs!X393,IF('PV IN'!$F$4="Battery Only",BattCalcs!AW393,PVCalcs!X393+BattCalcs!AW393))</f>
        <v>0</v>
      </c>
      <c r="AT393" s="144">
        <f>IF('PV IN'!$F$4="Battery Only",0,-PVCalcs!AQ393*'PV IN'!$E$8)</f>
        <v>0</v>
      </c>
      <c r="AU393" s="144">
        <f>IF('PV IN'!$F$4="PV Only",0,-BattCalcs!CG393*'PV IN'!$E$8)</f>
        <v>0</v>
      </c>
      <c r="AV393" s="144">
        <f>IF('PV IN'!$F$4="PV Only",PVCalcs!Z393+PVCalcs!AA393,IF('PV IN'!$F$4="Battery Only",SUM(BattCalcs!BC393:BH393),PVCalcs!Z393+PVCalcs!AA393+SUM(BattCalcs!BC393:BH393)))</f>
        <v>0</v>
      </c>
      <c r="AW393" s="144">
        <f>IF('PV IN'!$F$4="PV Only",SUM(PVCalcs!AF393:AI393),IF('PV IN'!$F$4="Battery Only",SUM(BattCalcs!BL393:BY393),SUM(PVCalcs!AF393:AI393)+SUM(BattCalcs!BL393:BY393)))</f>
        <v>-1375</v>
      </c>
      <c r="AX393" s="144">
        <f>IF('PV IN'!$F$4="Battery Only",0,-PVLoan!F421)</f>
        <v>0</v>
      </c>
      <c r="AY393" s="144">
        <f>IF('PV IN'!$F$4="PV Only",0,-BattLoan!F421)</f>
        <v>0</v>
      </c>
      <c r="AZ393" s="144">
        <f>IF('PV IN'!$F$4="Battery Only",0,-PVLoan!H421)</f>
        <v>0</v>
      </c>
      <c r="BA393" s="144">
        <f>IF('PV IN'!$F$4="PV Only",0,-BattLoan!H421)</f>
        <v>0</v>
      </c>
    </row>
    <row r="394" spans="1:88" x14ac:dyDescent="0.25">
      <c r="A394" t="str">
        <f>IF(C394&lt;='PV IN'!$O$22*12,C394,"")</f>
        <v/>
      </c>
      <c r="C394">
        <v>390</v>
      </c>
      <c r="D394" s="2">
        <f>BattCalcs!CK394+PVCalcs!AT394</f>
        <v>8196.2105923134259</v>
      </c>
      <c r="E394" s="20">
        <f>PVCalcs!AV394</f>
        <v>2711739.6569172791</v>
      </c>
      <c r="F394" s="20">
        <f>PVCalcs!AW394</f>
        <v>1678.6528371111317</v>
      </c>
      <c r="G394" s="20" t="e">
        <f>PVCalcs!AX394</f>
        <v>#N/A</v>
      </c>
      <c r="H394" s="20">
        <f>BattCalcs!CM394</f>
        <v>0</v>
      </c>
      <c r="I394" s="20">
        <f>BattCalcs!CN394</f>
        <v>0</v>
      </c>
      <c r="J394" s="20" t="e">
        <f>IF(C394&lt;='Batt IN'!H$43*12,BattCalcs!CO394,NA())</f>
        <v>#N/A</v>
      </c>
      <c r="L394" s="20">
        <f t="shared" si="997"/>
        <v>1678.6528371111317</v>
      </c>
      <c r="M394" s="20" t="e">
        <f>G394+BattCalcs!CO394</f>
        <v>#N/A</v>
      </c>
      <c r="O394" s="10" t="str">
        <f>PVLoan!G422</f>
        <v>-</v>
      </c>
      <c r="P394" s="10" t="str">
        <f>PVLoan!J422</f>
        <v>-</v>
      </c>
      <c r="Q394" s="2" t="str">
        <f>BattLoan!G422</f>
        <v>-</v>
      </c>
      <c r="R394" s="10" t="str">
        <f>BattLoan!J422</f>
        <v>-</v>
      </c>
      <c r="T394" s="33">
        <f>IF('PV IN'!$F$4="Battery Only",0,PVCalcs!G394)</f>
        <v>117653.6077522499</v>
      </c>
      <c r="U394" s="33">
        <f>IF('PV IN'!$F$4="Battery Only",0,PVCalcs!M394)</f>
        <v>117653.6077522499</v>
      </c>
      <c r="V394" s="33">
        <f>PVCalcs!L394</f>
        <v>25811.765833333331</v>
      </c>
      <c r="W394" s="158">
        <f>PVCalcs!F394</f>
        <v>7.8896523189157505E-2</v>
      </c>
      <c r="X394" s="144">
        <f>IF('PV IN'!$F$4="Battery Only",0,PVCalcs!Y394+PVCalcs!Z394)</f>
        <v>0</v>
      </c>
      <c r="Y394" s="144">
        <f>IF('PV IN'!$F$4="PV Only",0,BattCalcs!AX394+BattCalcs!BC394)</f>
        <v>0</v>
      </c>
      <c r="Z394" s="144">
        <f>IF('PV IN'!$F$4="PV Only",0,BattCalcs!AY394+BattCalcs!BD394)</f>
        <v>0</v>
      </c>
      <c r="AA394" s="144">
        <f>IF('PV IN'!$F$4="PV Only",0,BattCalcs!AZ394+BattCalcs!BE394)</f>
        <v>0</v>
      </c>
      <c r="AB394" s="144">
        <f>IF('PV IN'!$F$4="PV Only",0,BattCalcs!BA394+BattCalcs!BF394)</f>
        <v>0</v>
      </c>
      <c r="AC394" s="144">
        <f>IF('PV IN'!$F$4="PV Only",0,BattCalcs!BB394+BattCalcs!BG394)</f>
        <v>0</v>
      </c>
      <c r="AD394" s="144">
        <f>IF('PV IN'!$F$4="PV Only",0,BattCalcs!BU394)</f>
        <v>0</v>
      </c>
      <c r="AE394" s="144">
        <f>IF('PV IN'!$F$4="PV Only",PVCalcs!W394+PVCalcs!AA394,IF('PV IN'!$F$4="Battery Only",BattCalcs!AV394+BattCalcs!BH394,PVCalcs!W394+PVCalcs!AA394+BattCalcs!AV394+BattCalcs!BH394))</f>
        <v>0</v>
      </c>
      <c r="AF394" s="10">
        <f>PVCalcs!AC394+BattCalcs!BJ394</f>
        <v>0</v>
      </c>
      <c r="AG394" s="144">
        <f>IF('PV IN'!$F$4="Battery Only",0,PVCalcs!AG394)</f>
        <v>-750</v>
      </c>
      <c r="AH394" s="144">
        <f>IF('PV IN'!$F$4="Battery Only",0,PVCalcs!AI394)</f>
        <v>0</v>
      </c>
      <c r="AI394" s="144">
        <f>IF('PV IN'!$F$4="PV Only",0,BattCalcs!BM394)</f>
        <v>0</v>
      </c>
      <c r="AJ394" s="144">
        <f>IF('PV IN'!$F$4="PV Only",0,SUM(BattCalcs!BO394:BT394))</f>
        <v>0</v>
      </c>
      <c r="AK394" s="144">
        <f>IF('PV IN'!$F$4="PV Only",PVCalcs!AH394,IF('PV IN'!$F$4="Battery Only",BattCalcs!BN394,PVCalcs!AH394+BattCalcs!BN394))</f>
        <v>-625</v>
      </c>
      <c r="AL394" s="144">
        <f>IF('PV IN'!$F$4="PV Only",0,BattCalcs!BV394)</f>
        <v>0</v>
      </c>
      <c r="AM394" s="144">
        <f>IF('PV IN'!$F$4="PV Only",0,SUM(BattCalcs!BW394:BX394))</f>
        <v>0</v>
      </c>
      <c r="AN394" s="144">
        <f>IF('PV IN'!$F$4="PV Only",0,BattCalcs!BY394)</f>
        <v>0</v>
      </c>
      <c r="AO394" s="144">
        <f>IF('PV IN'!$F$4="Battery Only",0,PVCalcs!U394)</f>
        <v>9282.4605923134259</v>
      </c>
      <c r="AP394" s="10">
        <f>IF('PV IN'!$F$4="PV Only",0,BattCalcs!AS394)</f>
        <v>0</v>
      </c>
      <c r="AQ394" s="10">
        <f>IF('PV IN'!$F$4="PV Only",0,BattCalcs!AT394)</f>
        <v>0</v>
      </c>
      <c r="AR394" s="10">
        <f>IF('PV IN'!$F$4="PV Only",0,BattCalcs!AU394)</f>
        <v>0</v>
      </c>
      <c r="AS394" s="144">
        <f>IF('PV IN'!$F$4="PV Only",PVCalcs!X394,IF('PV IN'!$F$4="Battery Only",BattCalcs!AW394,PVCalcs!X394+BattCalcs!AW394))</f>
        <v>0</v>
      </c>
      <c r="AT394" s="144">
        <f>IF('PV IN'!$F$4="Battery Only",0,-PVCalcs!AQ394*'PV IN'!$E$8)</f>
        <v>0</v>
      </c>
      <c r="AU394" s="144">
        <f>IF('PV IN'!$F$4="PV Only",0,-BattCalcs!CG394*'PV IN'!$E$8)</f>
        <v>0</v>
      </c>
      <c r="AV394" s="144">
        <f>IF('PV IN'!$F$4="PV Only",PVCalcs!Z394+PVCalcs!AA394,IF('PV IN'!$F$4="Battery Only",SUM(BattCalcs!BC394:BH394),PVCalcs!Z394+PVCalcs!AA394+SUM(BattCalcs!BC394:BH394)))</f>
        <v>0</v>
      </c>
      <c r="AW394" s="144">
        <f>IF('PV IN'!$F$4="PV Only",SUM(PVCalcs!AF394:AI394),IF('PV IN'!$F$4="Battery Only",SUM(BattCalcs!BL394:BY394),SUM(PVCalcs!AF394:AI394)+SUM(BattCalcs!BL394:BY394)))</f>
        <v>-1375</v>
      </c>
      <c r="AX394" s="144">
        <f>IF('PV IN'!$F$4="Battery Only",0,-PVLoan!F422)</f>
        <v>0</v>
      </c>
      <c r="AY394" s="144">
        <f>IF('PV IN'!$F$4="PV Only",0,-BattLoan!F422)</f>
        <v>0</v>
      </c>
      <c r="AZ394" s="144">
        <f>IF('PV IN'!$F$4="Battery Only",0,-PVLoan!H422)</f>
        <v>0</v>
      </c>
      <c r="BA394" s="144">
        <f>IF('PV IN'!$F$4="PV Only",0,-BattLoan!H422)</f>
        <v>0</v>
      </c>
    </row>
    <row r="395" spans="1:88" x14ac:dyDescent="0.25">
      <c r="A395" t="str">
        <f>IF(C395&lt;='PV IN'!$O$22*12,C395,"")</f>
        <v/>
      </c>
      <c r="C395">
        <v>391</v>
      </c>
      <c r="D395" s="2">
        <f>BattCalcs!CK395+PVCalcs!AT395</f>
        <v>8190.0222852518818</v>
      </c>
      <c r="E395" s="20">
        <f>PVCalcs!AV395</f>
        <v>2719929.679202531</v>
      </c>
      <c r="F395" s="20">
        <f>PVCalcs!AW395</f>
        <v>1670.579273049321</v>
      </c>
      <c r="G395" s="20" t="e">
        <f>PVCalcs!AX395</f>
        <v>#N/A</v>
      </c>
      <c r="H395" s="20">
        <f>BattCalcs!CM395</f>
        <v>0</v>
      </c>
      <c r="I395" s="20">
        <f>BattCalcs!CN395</f>
        <v>0</v>
      </c>
      <c r="J395" s="20" t="e">
        <f>IF(C395&lt;='Batt IN'!H$43*12,BattCalcs!CO395,NA())</f>
        <v>#N/A</v>
      </c>
      <c r="L395" s="20">
        <f t="shared" si="997"/>
        <v>1670.579273049321</v>
      </c>
      <c r="M395" s="20" t="e">
        <f>G395+BattCalcs!CO395</f>
        <v>#N/A</v>
      </c>
      <c r="O395" s="10" t="str">
        <f>PVLoan!G423</f>
        <v>-</v>
      </c>
      <c r="P395" s="10" t="str">
        <f>PVLoan!J423</f>
        <v>-</v>
      </c>
      <c r="Q395" s="2" t="str">
        <f>BattLoan!G423</f>
        <v>-</v>
      </c>
      <c r="R395" s="10" t="str">
        <f>BattLoan!J423</f>
        <v>-</v>
      </c>
      <c r="T395" s="33">
        <f>IF('PV IN'!$F$4="Battery Only",0,PVCalcs!G395)</f>
        <v>117575.17201374839</v>
      </c>
      <c r="U395" s="33">
        <f>IF('PV IN'!$F$4="Battery Only",0,PVCalcs!M395)</f>
        <v>117575.17201374839</v>
      </c>
      <c r="V395" s="33">
        <f>PVCalcs!L395</f>
        <v>25811.765833333331</v>
      </c>
      <c r="W395" s="158">
        <f>PVCalcs!F395</f>
        <v>7.8896523189157505E-2</v>
      </c>
      <c r="X395" s="144">
        <f>IF('PV IN'!$F$4="Battery Only",0,PVCalcs!Y395+PVCalcs!Z395)</f>
        <v>0</v>
      </c>
      <c r="Y395" s="144">
        <f>IF('PV IN'!$F$4="PV Only",0,BattCalcs!AX395+BattCalcs!BC395)</f>
        <v>0</v>
      </c>
      <c r="Z395" s="144">
        <f>IF('PV IN'!$F$4="PV Only",0,BattCalcs!AY395+BattCalcs!BD395)</f>
        <v>0</v>
      </c>
      <c r="AA395" s="144">
        <f>IF('PV IN'!$F$4="PV Only",0,BattCalcs!AZ395+BattCalcs!BE395)</f>
        <v>0</v>
      </c>
      <c r="AB395" s="144">
        <f>IF('PV IN'!$F$4="PV Only",0,BattCalcs!BA395+BattCalcs!BF395)</f>
        <v>0</v>
      </c>
      <c r="AC395" s="144">
        <f>IF('PV IN'!$F$4="PV Only",0,BattCalcs!BB395+BattCalcs!BG395)</f>
        <v>0</v>
      </c>
      <c r="AD395" s="144">
        <f>IF('PV IN'!$F$4="PV Only",0,BattCalcs!BU395)</f>
        <v>0</v>
      </c>
      <c r="AE395" s="144">
        <f>IF('PV IN'!$F$4="PV Only",PVCalcs!W395+PVCalcs!AA395,IF('PV IN'!$F$4="Battery Only",BattCalcs!AV395+BattCalcs!BH395,PVCalcs!W395+PVCalcs!AA395+BattCalcs!AV395+BattCalcs!BH395))</f>
        <v>0</v>
      </c>
      <c r="AF395" s="10">
        <f>PVCalcs!AC395+BattCalcs!BJ395</f>
        <v>0</v>
      </c>
      <c r="AG395" s="144">
        <f>IF('PV IN'!$F$4="Battery Only",0,PVCalcs!AG395)</f>
        <v>-750</v>
      </c>
      <c r="AH395" s="144">
        <f>IF('PV IN'!$F$4="Battery Only",0,PVCalcs!AI395)</f>
        <v>0</v>
      </c>
      <c r="AI395" s="144">
        <f>IF('PV IN'!$F$4="PV Only",0,BattCalcs!BM395)</f>
        <v>0</v>
      </c>
      <c r="AJ395" s="144">
        <f>IF('PV IN'!$F$4="PV Only",0,SUM(BattCalcs!BO395:BT395))</f>
        <v>0</v>
      </c>
      <c r="AK395" s="144">
        <f>IF('PV IN'!$F$4="PV Only",PVCalcs!AH395,IF('PV IN'!$F$4="Battery Only",BattCalcs!BN395,PVCalcs!AH395+BattCalcs!BN395))</f>
        <v>-625</v>
      </c>
      <c r="AL395" s="144">
        <f>IF('PV IN'!$F$4="PV Only",0,BattCalcs!BV395)</f>
        <v>0</v>
      </c>
      <c r="AM395" s="144">
        <f>IF('PV IN'!$F$4="PV Only",0,SUM(BattCalcs!BW395:BX395))</f>
        <v>0</v>
      </c>
      <c r="AN395" s="144">
        <f>IF('PV IN'!$F$4="PV Only",0,BattCalcs!BY395)</f>
        <v>0</v>
      </c>
      <c r="AO395" s="144">
        <f>IF('PV IN'!$F$4="Battery Only",0,PVCalcs!U395)</f>
        <v>9276.2722852518818</v>
      </c>
      <c r="AP395" s="10">
        <f>IF('PV IN'!$F$4="PV Only",0,BattCalcs!AS395)</f>
        <v>0</v>
      </c>
      <c r="AQ395" s="10">
        <f>IF('PV IN'!$F$4="PV Only",0,BattCalcs!AT395)</f>
        <v>0</v>
      </c>
      <c r="AR395" s="10">
        <f>IF('PV IN'!$F$4="PV Only",0,BattCalcs!AU395)</f>
        <v>0</v>
      </c>
      <c r="AS395" s="144">
        <f>IF('PV IN'!$F$4="PV Only",PVCalcs!X395,IF('PV IN'!$F$4="Battery Only",BattCalcs!AW395,PVCalcs!X395+BattCalcs!AW395))</f>
        <v>0</v>
      </c>
      <c r="AT395" s="144">
        <f>IF('PV IN'!$F$4="Battery Only",0,-PVCalcs!AQ395*'PV IN'!$E$8)</f>
        <v>0</v>
      </c>
      <c r="AU395" s="144">
        <f>IF('PV IN'!$F$4="PV Only",0,-BattCalcs!CG395*'PV IN'!$E$8)</f>
        <v>0</v>
      </c>
      <c r="AV395" s="144">
        <f>IF('PV IN'!$F$4="PV Only",PVCalcs!Z395+PVCalcs!AA395,IF('PV IN'!$F$4="Battery Only",SUM(BattCalcs!BC395:BH395),PVCalcs!Z395+PVCalcs!AA395+SUM(BattCalcs!BC395:BH395)))</f>
        <v>0</v>
      </c>
      <c r="AW395" s="144">
        <f>IF('PV IN'!$F$4="PV Only",SUM(PVCalcs!AF395:AI395),IF('PV IN'!$F$4="Battery Only",SUM(BattCalcs!BL395:BY395),SUM(PVCalcs!AF395:AI395)+SUM(BattCalcs!BL395:BY395)))</f>
        <v>-1375</v>
      </c>
      <c r="AX395" s="144">
        <f>IF('PV IN'!$F$4="Battery Only",0,-PVLoan!F423)</f>
        <v>0</v>
      </c>
      <c r="AY395" s="144">
        <f>IF('PV IN'!$F$4="PV Only",0,-BattLoan!F423)</f>
        <v>0</v>
      </c>
      <c r="AZ395" s="144">
        <f>IF('PV IN'!$F$4="Battery Only",0,-PVLoan!H423)</f>
        <v>0</v>
      </c>
      <c r="BA395" s="144">
        <f>IF('PV IN'!$F$4="PV Only",0,-BattLoan!H423)</f>
        <v>0</v>
      </c>
    </row>
    <row r="396" spans="1:88" x14ac:dyDescent="0.25">
      <c r="A396" t="str">
        <f>IF(C396&lt;='PV IN'!$O$22*12,C396,"")</f>
        <v/>
      </c>
      <c r="C396">
        <v>392</v>
      </c>
      <c r="D396" s="2">
        <f>BattCalcs!CK396+PVCalcs!AT396</f>
        <v>8183.8381037283834</v>
      </c>
      <c r="E396" s="20">
        <f>PVCalcs!AV396</f>
        <v>2728113.5173062594</v>
      </c>
      <c r="F396" s="20">
        <f>PVCalcs!AW396</f>
        <v>1662.544428119942</v>
      </c>
      <c r="G396" s="20" t="e">
        <f>PVCalcs!AX396</f>
        <v>#N/A</v>
      </c>
      <c r="H396" s="20">
        <f>BattCalcs!CM396</f>
        <v>0</v>
      </c>
      <c r="I396" s="20">
        <f>BattCalcs!CN396</f>
        <v>0</v>
      </c>
      <c r="J396" s="20" t="e">
        <f>IF(C396&lt;='Batt IN'!H$43*12,BattCalcs!CO396,NA())</f>
        <v>#N/A</v>
      </c>
      <c r="L396" s="20">
        <f t="shared" si="997"/>
        <v>1662.544428119942</v>
      </c>
      <c r="M396" s="20" t="e">
        <f>G396+BattCalcs!CO396</f>
        <v>#N/A</v>
      </c>
      <c r="O396" s="10" t="str">
        <f>PVLoan!G424</f>
        <v>-</v>
      </c>
      <c r="P396" s="10" t="str">
        <f>PVLoan!J424</f>
        <v>-</v>
      </c>
      <c r="Q396" s="2" t="str">
        <f>BattLoan!G424</f>
        <v>-</v>
      </c>
      <c r="R396" s="10" t="str">
        <f>BattLoan!J424</f>
        <v>-</v>
      </c>
      <c r="T396" s="33">
        <f>IF('PV IN'!$F$4="Battery Only",0,PVCalcs!G396)</f>
        <v>117496.78856573925</v>
      </c>
      <c r="U396" s="33">
        <f>IF('PV IN'!$F$4="Battery Only",0,PVCalcs!M396)</f>
        <v>117496.78856573925</v>
      </c>
      <c r="V396" s="33">
        <f>PVCalcs!L396</f>
        <v>25811.765833333331</v>
      </c>
      <c r="W396" s="158">
        <f>PVCalcs!F396</f>
        <v>7.8896523189157505E-2</v>
      </c>
      <c r="X396" s="144">
        <f>IF('PV IN'!$F$4="Battery Only",0,PVCalcs!Y396+PVCalcs!Z396)</f>
        <v>0</v>
      </c>
      <c r="Y396" s="144">
        <f>IF('PV IN'!$F$4="PV Only",0,BattCalcs!AX396+BattCalcs!BC396)</f>
        <v>0</v>
      </c>
      <c r="Z396" s="144">
        <f>IF('PV IN'!$F$4="PV Only",0,BattCalcs!AY396+BattCalcs!BD396)</f>
        <v>0</v>
      </c>
      <c r="AA396" s="144">
        <f>IF('PV IN'!$F$4="PV Only",0,BattCalcs!AZ396+BattCalcs!BE396)</f>
        <v>0</v>
      </c>
      <c r="AB396" s="144">
        <f>IF('PV IN'!$F$4="PV Only",0,BattCalcs!BA396+BattCalcs!BF396)</f>
        <v>0</v>
      </c>
      <c r="AC396" s="144">
        <f>IF('PV IN'!$F$4="PV Only",0,BattCalcs!BB396+BattCalcs!BG396)</f>
        <v>0</v>
      </c>
      <c r="AD396" s="144">
        <f>IF('PV IN'!$F$4="PV Only",0,BattCalcs!BU396)</f>
        <v>0</v>
      </c>
      <c r="AE396" s="144">
        <f>IF('PV IN'!$F$4="PV Only",PVCalcs!W396+PVCalcs!AA396,IF('PV IN'!$F$4="Battery Only",BattCalcs!AV396+BattCalcs!BH396,PVCalcs!W396+PVCalcs!AA396+BattCalcs!AV396+BattCalcs!BH396))</f>
        <v>0</v>
      </c>
      <c r="AF396" s="10">
        <f>PVCalcs!AC396+BattCalcs!BJ396</f>
        <v>0</v>
      </c>
      <c r="AG396" s="144">
        <f>IF('PV IN'!$F$4="Battery Only",0,PVCalcs!AG396)</f>
        <v>-750</v>
      </c>
      <c r="AH396" s="144">
        <f>IF('PV IN'!$F$4="Battery Only",0,PVCalcs!AI396)</f>
        <v>0</v>
      </c>
      <c r="AI396" s="144">
        <f>IF('PV IN'!$F$4="PV Only",0,BattCalcs!BM396)</f>
        <v>0</v>
      </c>
      <c r="AJ396" s="144">
        <f>IF('PV IN'!$F$4="PV Only",0,SUM(BattCalcs!BO396:BT396))</f>
        <v>0</v>
      </c>
      <c r="AK396" s="144">
        <f>IF('PV IN'!$F$4="PV Only",PVCalcs!AH396,IF('PV IN'!$F$4="Battery Only",BattCalcs!BN396,PVCalcs!AH396+BattCalcs!BN396))</f>
        <v>-625</v>
      </c>
      <c r="AL396" s="144">
        <f>IF('PV IN'!$F$4="PV Only",0,BattCalcs!BV396)</f>
        <v>0</v>
      </c>
      <c r="AM396" s="144">
        <f>IF('PV IN'!$F$4="PV Only",0,SUM(BattCalcs!BW396:BX396))</f>
        <v>0</v>
      </c>
      <c r="AN396" s="144">
        <f>IF('PV IN'!$F$4="PV Only",0,BattCalcs!BY396)</f>
        <v>0</v>
      </c>
      <c r="AO396" s="144">
        <f>IF('PV IN'!$F$4="Battery Only",0,PVCalcs!U396)</f>
        <v>9270.0881037283834</v>
      </c>
      <c r="AP396" s="10">
        <f>IF('PV IN'!$F$4="PV Only",0,BattCalcs!AS396)</f>
        <v>0</v>
      </c>
      <c r="AQ396" s="10">
        <f>IF('PV IN'!$F$4="PV Only",0,BattCalcs!AT396)</f>
        <v>0</v>
      </c>
      <c r="AR396" s="10">
        <f>IF('PV IN'!$F$4="PV Only",0,BattCalcs!AU396)</f>
        <v>0</v>
      </c>
      <c r="AS396" s="144">
        <f>IF('PV IN'!$F$4="PV Only",PVCalcs!X396,IF('PV IN'!$F$4="Battery Only",BattCalcs!AW396,PVCalcs!X396+BattCalcs!AW396))</f>
        <v>0</v>
      </c>
      <c r="AT396" s="144">
        <f>IF('PV IN'!$F$4="Battery Only",0,-PVCalcs!AQ396*'PV IN'!$E$8)</f>
        <v>0</v>
      </c>
      <c r="AU396" s="144">
        <f>IF('PV IN'!$F$4="PV Only",0,-BattCalcs!CG396*'PV IN'!$E$8)</f>
        <v>0</v>
      </c>
      <c r="AV396" s="144">
        <f>IF('PV IN'!$F$4="PV Only",PVCalcs!Z396+PVCalcs!AA396,IF('PV IN'!$F$4="Battery Only",SUM(BattCalcs!BC396:BH396),PVCalcs!Z396+PVCalcs!AA396+SUM(BattCalcs!BC396:BH396)))</f>
        <v>0</v>
      </c>
      <c r="AW396" s="144">
        <f>IF('PV IN'!$F$4="PV Only",SUM(PVCalcs!AF396:AI396),IF('PV IN'!$F$4="Battery Only",SUM(BattCalcs!BL396:BY396),SUM(PVCalcs!AF396:AI396)+SUM(BattCalcs!BL396:BY396)))</f>
        <v>-1375</v>
      </c>
      <c r="AX396" s="144">
        <f>IF('PV IN'!$F$4="Battery Only",0,-PVLoan!F424)</f>
        <v>0</v>
      </c>
      <c r="AY396" s="144">
        <f>IF('PV IN'!$F$4="PV Only",0,-BattLoan!F424)</f>
        <v>0</v>
      </c>
      <c r="AZ396" s="144">
        <f>IF('PV IN'!$F$4="Battery Only",0,-PVLoan!H424)</f>
        <v>0</v>
      </c>
      <c r="BA396" s="144">
        <f>IF('PV IN'!$F$4="PV Only",0,-BattLoan!H424)</f>
        <v>0</v>
      </c>
    </row>
    <row r="397" spans="1:88" x14ac:dyDescent="0.25">
      <c r="A397" t="str">
        <f>IF(C397&lt;='PV IN'!$O$22*12,C397,"")</f>
        <v/>
      </c>
      <c r="C397">
        <v>393</v>
      </c>
      <c r="D397" s="2">
        <f>BattCalcs!CK397+PVCalcs!AT397</f>
        <v>8177.6580449925641</v>
      </c>
      <c r="E397" s="20">
        <f>PVCalcs!AV397</f>
        <v>2736291.1753512518</v>
      </c>
      <c r="F397" s="20">
        <f>PVCalcs!AW397</f>
        <v>1654.548117076542</v>
      </c>
      <c r="G397" s="20" t="e">
        <f>PVCalcs!AX397</f>
        <v>#N/A</v>
      </c>
      <c r="H397" s="20">
        <f>BattCalcs!CM397</f>
        <v>0</v>
      </c>
      <c r="I397" s="20">
        <f>BattCalcs!CN397</f>
        <v>0</v>
      </c>
      <c r="J397" s="20" t="e">
        <f>IF(C397&lt;='Batt IN'!H$43*12,BattCalcs!CO397,NA())</f>
        <v>#N/A</v>
      </c>
      <c r="L397" s="20">
        <f t="shared" si="997"/>
        <v>1654.548117076542</v>
      </c>
      <c r="M397" s="20" t="e">
        <f>G397+BattCalcs!CO397</f>
        <v>#N/A</v>
      </c>
      <c r="O397" s="10" t="str">
        <f>PVLoan!G425</f>
        <v>-</v>
      </c>
      <c r="P397" s="10" t="str">
        <f>PVLoan!J425</f>
        <v>-</v>
      </c>
      <c r="Q397" s="2" t="str">
        <f>BattLoan!G425</f>
        <v>-</v>
      </c>
      <c r="R397" s="10" t="str">
        <f>BattLoan!J425</f>
        <v>-</v>
      </c>
      <c r="T397" s="33">
        <f>IF('PV IN'!$F$4="Battery Only",0,PVCalcs!G397)</f>
        <v>117418.45737336208</v>
      </c>
      <c r="U397" s="33">
        <f>IF('PV IN'!$F$4="Battery Only",0,PVCalcs!M397)</f>
        <v>117418.45737336208</v>
      </c>
      <c r="V397" s="33">
        <f>PVCalcs!L397</f>
        <v>25811.765833333331</v>
      </c>
      <c r="W397" s="158">
        <f>PVCalcs!F397</f>
        <v>7.8896523189157505E-2</v>
      </c>
      <c r="X397" s="144">
        <f>IF('PV IN'!$F$4="Battery Only",0,PVCalcs!Y397+PVCalcs!Z397)</f>
        <v>0</v>
      </c>
      <c r="Y397" s="144">
        <f>IF('PV IN'!$F$4="PV Only",0,BattCalcs!AX397+BattCalcs!BC397)</f>
        <v>0</v>
      </c>
      <c r="Z397" s="144">
        <f>IF('PV IN'!$F$4="PV Only",0,BattCalcs!AY397+BattCalcs!BD397)</f>
        <v>0</v>
      </c>
      <c r="AA397" s="144">
        <f>IF('PV IN'!$F$4="PV Only",0,BattCalcs!AZ397+BattCalcs!BE397)</f>
        <v>0</v>
      </c>
      <c r="AB397" s="144">
        <f>IF('PV IN'!$F$4="PV Only",0,BattCalcs!BA397+BattCalcs!BF397)</f>
        <v>0</v>
      </c>
      <c r="AC397" s="144">
        <f>IF('PV IN'!$F$4="PV Only",0,BattCalcs!BB397+BattCalcs!BG397)</f>
        <v>0</v>
      </c>
      <c r="AD397" s="144">
        <f>IF('PV IN'!$F$4="PV Only",0,BattCalcs!BU397)</f>
        <v>0</v>
      </c>
      <c r="AE397" s="144">
        <f>IF('PV IN'!$F$4="PV Only",PVCalcs!W397+PVCalcs!AA397,IF('PV IN'!$F$4="Battery Only",BattCalcs!AV397+BattCalcs!BH397,PVCalcs!W397+PVCalcs!AA397+BattCalcs!AV397+BattCalcs!BH397))</f>
        <v>0</v>
      </c>
      <c r="AF397" s="10">
        <f>PVCalcs!AC397+BattCalcs!BJ397</f>
        <v>0</v>
      </c>
      <c r="AG397" s="144">
        <f>IF('PV IN'!$F$4="Battery Only",0,PVCalcs!AG397)</f>
        <v>-750</v>
      </c>
      <c r="AH397" s="144">
        <f>IF('PV IN'!$F$4="Battery Only",0,PVCalcs!AI397)</f>
        <v>0</v>
      </c>
      <c r="AI397" s="144">
        <f>IF('PV IN'!$F$4="PV Only",0,BattCalcs!BM397)</f>
        <v>0</v>
      </c>
      <c r="AJ397" s="144">
        <f>IF('PV IN'!$F$4="PV Only",0,SUM(BattCalcs!BO397:BT397))</f>
        <v>0</v>
      </c>
      <c r="AK397" s="144">
        <f>IF('PV IN'!$F$4="PV Only",PVCalcs!AH397,IF('PV IN'!$F$4="Battery Only",BattCalcs!BN397,PVCalcs!AH397+BattCalcs!BN397))</f>
        <v>-625</v>
      </c>
      <c r="AL397" s="144">
        <f>IF('PV IN'!$F$4="PV Only",0,BattCalcs!BV397)</f>
        <v>0</v>
      </c>
      <c r="AM397" s="144">
        <f>IF('PV IN'!$F$4="PV Only",0,SUM(BattCalcs!BW397:BX397))</f>
        <v>0</v>
      </c>
      <c r="AN397" s="144">
        <f>IF('PV IN'!$F$4="PV Only",0,BattCalcs!BY397)</f>
        <v>0</v>
      </c>
      <c r="AO397" s="144">
        <f>IF('PV IN'!$F$4="Battery Only",0,PVCalcs!U397)</f>
        <v>9263.9080449925641</v>
      </c>
      <c r="AP397" s="10">
        <f>IF('PV IN'!$F$4="PV Only",0,BattCalcs!AS397)</f>
        <v>0</v>
      </c>
      <c r="AQ397" s="10">
        <f>IF('PV IN'!$F$4="PV Only",0,BattCalcs!AT397)</f>
        <v>0</v>
      </c>
      <c r="AR397" s="10">
        <f>IF('PV IN'!$F$4="PV Only",0,BattCalcs!AU397)</f>
        <v>0</v>
      </c>
      <c r="AS397" s="144">
        <f>IF('PV IN'!$F$4="PV Only",PVCalcs!X397,IF('PV IN'!$F$4="Battery Only",BattCalcs!AW397,PVCalcs!X397+BattCalcs!AW397))</f>
        <v>0</v>
      </c>
      <c r="AT397" s="144">
        <f>IF('PV IN'!$F$4="Battery Only",0,-PVCalcs!AQ397*'PV IN'!$E$8)</f>
        <v>0</v>
      </c>
      <c r="AU397" s="144">
        <f>IF('PV IN'!$F$4="PV Only",0,-BattCalcs!CG397*'PV IN'!$E$8)</f>
        <v>0</v>
      </c>
      <c r="AV397" s="144">
        <f>IF('PV IN'!$F$4="PV Only",PVCalcs!Z397+PVCalcs!AA397,IF('PV IN'!$F$4="Battery Only",SUM(BattCalcs!BC397:BH397),PVCalcs!Z397+PVCalcs!AA397+SUM(BattCalcs!BC397:BH397)))</f>
        <v>0</v>
      </c>
      <c r="AW397" s="144">
        <f>IF('PV IN'!$F$4="PV Only",SUM(PVCalcs!AF397:AI397),IF('PV IN'!$F$4="Battery Only",SUM(BattCalcs!BL397:BY397),SUM(PVCalcs!AF397:AI397)+SUM(BattCalcs!BL397:BY397)))</f>
        <v>-1375</v>
      </c>
      <c r="AX397" s="144">
        <f>IF('PV IN'!$F$4="Battery Only",0,-PVLoan!F425)</f>
        <v>0</v>
      </c>
      <c r="AY397" s="144">
        <f>IF('PV IN'!$F$4="PV Only",0,-BattLoan!F425)</f>
        <v>0</v>
      </c>
      <c r="AZ397" s="144">
        <f>IF('PV IN'!$F$4="Battery Only",0,-PVLoan!H425)</f>
        <v>0</v>
      </c>
      <c r="BA397" s="144">
        <f>IF('PV IN'!$F$4="PV Only",0,-BattLoan!H425)</f>
        <v>0</v>
      </c>
    </row>
    <row r="398" spans="1:88" x14ac:dyDescent="0.25">
      <c r="A398" t="str">
        <f>IF(C398&lt;='PV IN'!$O$22*12,C398,"")</f>
        <v/>
      </c>
      <c r="C398">
        <v>394</v>
      </c>
      <c r="D398" s="2">
        <f>BattCalcs!CK398+PVCalcs!AT398</f>
        <v>8171.4821062958999</v>
      </c>
      <c r="E398" s="20">
        <f>PVCalcs!AV398</f>
        <v>2744462.6574575477</v>
      </c>
      <c r="F398" s="20">
        <f>PVCalcs!AW398</f>
        <v>1646.5901555571916</v>
      </c>
      <c r="G398" s="20" t="e">
        <f>PVCalcs!AX398</f>
        <v>#N/A</v>
      </c>
      <c r="H398" s="20">
        <f>BattCalcs!CM398</f>
        <v>0</v>
      </c>
      <c r="I398" s="20">
        <f>BattCalcs!CN398</f>
        <v>0</v>
      </c>
      <c r="J398" s="20" t="e">
        <f>IF(C398&lt;='Batt IN'!H$43*12,BattCalcs!CO398,NA())</f>
        <v>#N/A</v>
      </c>
      <c r="L398" s="20">
        <f t="shared" si="997"/>
        <v>1646.5901555571916</v>
      </c>
      <c r="M398" s="20" t="e">
        <f>G398+BattCalcs!CO398</f>
        <v>#N/A</v>
      </c>
      <c r="O398" s="10" t="str">
        <f>PVLoan!G426</f>
        <v>-</v>
      </c>
      <c r="P398" s="10" t="str">
        <f>PVLoan!J426</f>
        <v>-</v>
      </c>
      <c r="Q398" s="2" t="str">
        <f>BattLoan!G426</f>
        <v>-</v>
      </c>
      <c r="R398" s="10" t="str">
        <f>BattLoan!J426</f>
        <v>-</v>
      </c>
      <c r="T398" s="33">
        <f>IF('PV IN'!$F$4="Battery Only",0,PVCalcs!G398)</f>
        <v>117340.17840177982</v>
      </c>
      <c r="U398" s="33">
        <f>IF('PV IN'!$F$4="Battery Only",0,PVCalcs!M398)</f>
        <v>117340.17840177982</v>
      </c>
      <c r="V398" s="33">
        <f>PVCalcs!L398</f>
        <v>25811.765833333331</v>
      </c>
      <c r="W398" s="158">
        <f>PVCalcs!F398</f>
        <v>7.8896523189157505E-2</v>
      </c>
      <c r="X398" s="144">
        <f>IF('PV IN'!$F$4="Battery Only",0,PVCalcs!Y398+PVCalcs!Z398)</f>
        <v>0</v>
      </c>
      <c r="Y398" s="144">
        <f>IF('PV IN'!$F$4="PV Only",0,BattCalcs!AX398+BattCalcs!BC398)</f>
        <v>0</v>
      </c>
      <c r="Z398" s="144">
        <f>IF('PV IN'!$F$4="PV Only",0,BattCalcs!AY398+BattCalcs!BD398)</f>
        <v>0</v>
      </c>
      <c r="AA398" s="144">
        <f>IF('PV IN'!$F$4="PV Only",0,BattCalcs!AZ398+BattCalcs!BE398)</f>
        <v>0</v>
      </c>
      <c r="AB398" s="144">
        <f>IF('PV IN'!$F$4="PV Only",0,BattCalcs!BA398+BattCalcs!BF398)</f>
        <v>0</v>
      </c>
      <c r="AC398" s="144">
        <f>IF('PV IN'!$F$4="PV Only",0,BattCalcs!BB398+BattCalcs!BG398)</f>
        <v>0</v>
      </c>
      <c r="AD398" s="144">
        <f>IF('PV IN'!$F$4="PV Only",0,BattCalcs!BU398)</f>
        <v>0</v>
      </c>
      <c r="AE398" s="144">
        <f>IF('PV IN'!$F$4="PV Only",PVCalcs!W398+PVCalcs!AA398,IF('PV IN'!$F$4="Battery Only",BattCalcs!AV398+BattCalcs!BH398,PVCalcs!W398+PVCalcs!AA398+BattCalcs!AV398+BattCalcs!BH398))</f>
        <v>0</v>
      </c>
      <c r="AF398" s="10">
        <f>PVCalcs!AC398+BattCalcs!BJ398</f>
        <v>0</v>
      </c>
      <c r="AG398" s="144">
        <f>IF('PV IN'!$F$4="Battery Only",0,PVCalcs!AG398)</f>
        <v>-750</v>
      </c>
      <c r="AH398" s="144">
        <f>IF('PV IN'!$F$4="Battery Only",0,PVCalcs!AI398)</f>
        <v>0</v>
      </c>
      <c r="AI398" s="144">
        <f>IF('PV IN'!$F$4="PV Only",0,BattCalcs!BM398)</f>
        <v>0</v>
      </c>
      <c r="AJ398" s="144">
        <f>IF('PV IN'!$F$4="PV Only",0,SUM(BattCalcs!BO398:BT398))</f>
        <v>0</v>
      </c>
      <c r="AK398" s="144">
        <f>IF('PV IN'!$F$4="PV Only",PVCalcs!AH398,IF('PV IN'!$F$4="Battery Only",BattCalcs!BN398,PVCalcs!AH398+BattCalcs!BN398))</f>
        <v>-625</v>
      </c>
      <c r="AL398" s="144">
        <f>IF('PV IN'!$F$4="PV Only",0,BattCalcs!BV398)</f>
        <v>0</v>
      </c>
      <c r="AM398" s="144">
        <f>IF('PV IN'!$F$4="PV Only",0,SUM(BattCalcs!BW398:BX398))</f>
        <v>0</v>
      </c>
      <c r="AN398" s="144">
        <f>IF('PV IN'!$F$4="PV Only",0,BattCalcs!BY398)</f>
        <v>0</v>
      </c>
      <c r="AO398" s="144">
        <f>IF('PV IN'!$F$4="Battery Only",0,PVCalcs!U398)</f>
        <v>9257.7321062958999</v>
      </c>
      <c r="AP398" s="10">
        <f>IF('PV IN'!$F$4="PV Only",0,BattCalcs!AS398)</f>
        <v>0</v>
      </c>
      <c r="AQ398" s="10">
        <f>IF('PV IN'!$F$4="PV Only",0,BattCalcs!AT398)</f>
        <v>0</v>
      </c>
      <c r="AR398" s="10">
        <f>IF('PV IN'!$F$4="PV Only",0,BattCalcs!AU398)</f>
        <v>0</v>
      </c>
      <c r="AS398" s="144">
        <f>IF('PV IN'!$F$4="PV Only",PVCalcs!X398,IF('PV IN'!$F$4="Battery Only",BattCalcs!AW398,PVCalcs!X398+BattCalcs!AW398))</f>
        <v>0</v>
      </c>
      <c r="AT398" s="144">
        <f>IF('PV IN'!$F$4="Battery Only",0,-PVCalcs!AQ398*'PV IN'!$E$8)</f>
        <v>0</v>
      </c>
      <c r="AU398" s="144">
        <f>IF('PV IN'!$F$4="PV Only",0,-BattCalcs!CG398*'PV IN'!$E$8)</f>
        <v>0</v>
      </c>
      <c r="AV398" s="144">
        <f>IF('PV IN'!$F$4="PV Only",PVCalcs!Z398+PVCalcs!AA398,IF('PV IN'!$F$4="Battery Only",SUM(BattCalcs!BC398:BH398),PVCalcs!Z398+PVCalcs!AA398+SUM(BattCalcs!BC398:BH398)))</f>
        <v>0</v>
      </c>
      <c r="AW398" s="144">
        <f>IF('PV IN'!$F$4="PV Only",SUM(PVCalcs!AF398:AI398),IF('PV IN'!$F$4="Battery Only",SUM(BattCalcs!BL398:BY398),SUM(PVCalcs!AF398:AI398)+SUM(BattCalcs!BL398:BY398)))</f>
        <v>-1375</v>
      </c>
      <c r="AX398" s="144">
        <f>IF('PV IN'!$F$4="Battery Only",0,-PVLoan!F426)</f>
        <v>0</v>
      </c>
      <c r="AY398" s="144">
        <f>IF('PV IN'!$F$4="PV Only",0,-BattLoan!F426)</f>
        <v>0</v>
      </c>
      <c r="AZ398" s="144">
        <f>IF('PV IN'!$F$4="Battery Only",0,-PVLoan!H426)</f>
        <v>0</v>
      </c>
      <c r="BA398" s="144">
        <f>IF('PV IN'!$F$4="PV Only",0,-BattLoan!H426)</f>
        <v>0</v>
      </c>
    </row>
    <row r="399" spans="1:88" x14ac:dyDescent="0.25">
      <c r="A399" t="str">
        <f>IF(C399&lt;='PV IN'!$O$22*12,C399,"")</f>
        <v/>
      </c>
      <c r="C399">
        <v>395</v>
      </c>
      <c r="D399" s="2">
        <f>BattCalcs!CK399+PVCalcs!AT399</f>
        <v>8165.3102848917024</v>
      </c>
      <c r="E399" s="20">
        <f>PVCalcs!AV399</f>
        <v>2752627.9677424394</v>
      </c>
      <c r="F399" s="20">
        <f>PVCalcs!AW399</f>
        <v>1638.6703600802628</v>
      </c>
      <c r="G399" s="20" t="e">
        <f>PVCalcs!AX399</f>
        <v>#N/A</v>
      </c>
      <c r="H399" s="20">
        <f>BattCalcs!CM399</f>
        <v>0</v>
      </c>
      <c r="I399" s="20">
        <f>BattCalcs!CN399</f>
        <v>0</v>
      </c>
      <c r="J399" s="20" t="e">
        <f>IF(C399&lt;='Batt IN'!H$43*12,BattCalcs!CO399,NA())</f>
        <v>#N/A</v>
      </c>
      <c r="L399" s="20">
        <f t="shared" si="997"/>
        <v>1638.6703600802628</v>
      </c>
      <c r="M399" s="20" t="e">
        <f>G399+BattCalcs!CO399</f>
        <v>#N/A</v>
      </c>
      <c r="O399" s="10" t="str">
        <f>PVLoan!G427</f>
        <v>-</v>
      </c>
      <c r="P399" s="10" t="str">
        <f>PVLoan!J427</f>
        <v>-</v>
      </c>
      <c r="Q399" s="2" t="str">
        <f>BattLoan!G427</f>
        <v>-</v>
      </c>
      <c r="R399" s="10" t="str">
        <f>BattLoan!J427</f>
        <v>-</v>
      </c>
      <c r="T399" s="33">
        <f>IF('PV IN'!$F$4="Battery Only",0,PVCalcs!G399)</f>
        <v>117261.95161617863</v>
      </c>
      <c r="U399" s="33">
        <f>IF('PV IN'!$F$4="Battery Only",0,PVCalcs!M399)</f>
        <v>117261.95161617863</v>
      </c>
      <c r="V399" s="33">
        <f>PVCalcs!L399</f>
        <v>25811.765833333331</v>
      </c>
      <c r="W399" s="158">
        <f>PVCalcs!F399</f>
        <v>7.8896523189157505E-2</v>
      </c>
      <c r="X399" s="144">
        <f>IF('PV IN'!$F$4="Battery Only",0,PVCalcs!Y399+PVCalcs!Z399)</f>
        <v>0</v>
      </c>
      <c r="Y399" s="144">
        <f>IF('PV IN'!$F$4="PV Only",0,BattCalcs!AX399+BattCalcs!BC399)</f>
        <v>0</v>
      </c>
      <c r="Z399" s="144">
        <f>IF('PV IN'!$F$4="PV Only",0,BattCalcs!AY399+BattCalcs!BD399)</f>
        <v>0</v>
      </c>
      <c r="AA399" s="144">
        <f>IF('PV IN'!$F$4="PV Only",0,BattCalcs!AZ399+BattCalcs!BE399)</f>
        <v>0</v>
      </c>
      <c r="AB399" s="144">
        <f>IF('PV IN'!$F$4="PV Only",0,BattCalcs!BA399+BattCalcs!BF399)</f>
        <v>0</v>
      </c>
      <c r="AC399" s="144">
        <f>IF('PV IN'!$F$4="PV Only",0,BattCalcs!BB399+BattCalcs!BG399)</f>
        <v>0</v>
      </c>
      <c r="AD399" s="144">
        <f>IF('PV IN'!$F$4="PV Only",0,BattCalcs!BU399)</f>
        <v>0</v>
      </c>
      <c r="AE399" s="144">
        <f>IF('PV IN'!$F$4="PV Only",PVCalcs!W399+PVCalcs!AA399,IF('PV IN'!$F$4="Battery Only",BattCalcs!AV399+BattCalcs!BH399,PVCalcs!W399+PVCalcs!AA399+BattCalcs!AV399+BattCalcs!BH399))</f>
        <v>0</v>
      </c>
      <c r="AF399" s="10">
        <f>PVCalcs!AC399+BattCalcs!BJ399</f>
        <v>0</v>
      </c>
      <c r="AG399" s="144">
        <f>IF('PV IN'!$F$4="Battery Only",0,PVCalcs!AG399)</f>
        <v>-750</v>
      </c>
      <c r="AH399" s="144">
        <f>IF('PV IN'!$F$4="Battery Only",0,PVCalcs!AI399)</f>
        <v>0</v>
      </c>
      <c r="AI399" s="144">
        <f>IF('PV IN'!$F$4="PV Only",0,BattCalcs!BM399)</f>
        <v>0</v>
      </c>
      <c r="AJ399" s="144">
        <f>IF('PV IN'!$F$4="PV Only",0,SUM(BattCalcs!BO399:BT399))</f>
        <v>0</v>
      </c>
      <c r="AK399" s="144">
        <f>IF('PV IN'!$F$4="PV Only",PVCalcs!AH399,IF('PV IN'!$F$4="Battery Only",BattCalcs!BN399,PVCalcs!AH399+BattCalcs!BN399))</f>
        <v>-625</v>
      </c>
      <c r="AL399" s="144">
        <f>IF('PV IN'!$F$4="PV Only",0,BattCalcs!BV399)</f>
        <v>0</v>
      </c>
      <c r="AM399" s="144">
        <f>IF('PV IN'!$F$4="PV Only",0,SUM(BattCalcs!BW399:BX399))</f>
        <v>0</v>
      </c>
      <c r="AN399" s="144">
        <f>IF('PV IN'!$F$4="PV Only",0,BattCalcs!BY399)</f>
        <v>0</v>
      </c>
      <c r="AO399" s="144">
        <f>IF('PV IN'!$F$4="Battery Only",0,PVCalcs!U399)</f>
        <v>9251.5602848917024</v>
      </c>
      <c r="AP399" s="10">
        <f>IF('PV IN'!$F$4="PV Only",0,BattCalcs!AS399)</f>
        <v>0</v>
      </c>
      <c r="AQ399" s="10">
        <f>IF('PV IN'!$F$4="PV Only",0,BattCalcs!AT399)</f>
        <v>0</v>
      </c>
      <c r="AR399" s="10">
        <f>IF('PV IN'!$F$4="PV Only",0,BattCalcs!AU399)</f>
        <v>0</v>
      </c>
      <c r="AS399" s="144">
        <f>IF('PV IN'!$F$4="PV Only",PVCalcs!X399,IF('PV IN'!$F$4="Battery Only",BattCalcs!AW399,PVCalcs!X399+BattCalcs!AW399))</f>
        <v>0</v>
      </c>
      <c r="AT399" s="144">
        <f>IF('PV IN'!$F$4="Battery Only",0,-PVCalcs!AQ399*'PV IN'!$E$8)</f>
        <v>0</v>
      </c>
      <c r="AU399" s="144">
        <f>IF('PV IN'!$F$4="PV Only",0,-BattCalcs!CG399*'PV IN'!$E$8)</f>
        <v>0</v>
      </c>
      <c r="AV399" s="144">
        <f>IF('PV IN'!$F$4="PV Only",PVCalcs!Z399+PVCalcs!AA399,IF('PV IN'!$F$4="Battery Only",SUM(BattCalcs!BC399:BH399),PVCalcs!Z399+PVCalcs!AA399+SUM(BattCalcs!BC399:BH399)))</f>
        <v>0</v>
      </c>
      <c r="AW399" s="144">
        <f>IF('PV IN'!$F$4="PV Only",SUM(PVCalcs!AF399:AI399),IF('PV IN'!$F$4="Battery Only",SUM(BattCalcs!BL399:BY399),SUM(PVCalcs!AF399:AI399)+SUM(BattCalcs!BL399:BY399)))</f>
        <v>-1375</v>
      </c>
      <c r="AX399" s="144">
        <f>IF('PV IN'!$F$4="Battery Only",0,-PVLoan!F427)</f>
        <v>0</v>
      </c>
      <c r="AY399" s="144">
        <f>IF('PV IN'!$F$4="PV Only",0,-BattLoan!F427)</f>
        <v>0</v>
      </c>
      <c r="AZ399" s="144">
        <f>IF('PV IN'!$F$4="Battery Only",0,-PVLoan!H427)</f>
        <v>0</v>
      </c>
      <c r="BA399" s="144">
        <f>IF('PV IN'!$F$4="PV Only",0,-BattLoan!H427)</f>
        <v>0</v>
      </c>
    </row>
    <row r="400" spans="1:88" x14ac:dyDescent="0.25">
      <c r="A400" t="str">
        <f>IF(C400&lt;='PV IN'!$O$22*12,C400,"")</f>
        <v/>
      </c>
      <c r="B400">
        <f t="shared" ref="B400" si="1068">B388+1</f>
        <v>2058</v>
      </c>
      <c r="C400">
        <v>396</v>
      </c>
      <c r="D400" s="2">
        <f>BattCalcs!CK400+PVCalcs!AT400</f>
        <v>8159.1425780351074</v>
      </c>
      <c r="E400" s="20">
        <f>PVCalcs!AV400</f>
        <v>2760787.1103204745</v>
      </c>
      <c r="F400" s="20">
        <f>PVCalcs!AW400</f>
        <v>1630.7885480402331</v>
      </c>
      <c r="G400" s="20" t="e">
        <f>PVCalcs!AX400</f>
        <v>#N/A</v>
      </c>
      <c r="H400" s="20">
        <f>BattCalcs!CM400</f>
        <v>0</v>
      </c>
      <c r="I400" s="20">
        <f>BattCalcs!CN400</f>
        <v>0</v>
      </c>
      <c r="J400" s="20" t="e">
        <f>IF(C400&lt;='Batt IN'!H$43*12,BattCalcs!CO400,NA())</f>
        <v>#N/A</v>
      </c>
      <c r="L400" s="20">
        <f t="shared" si="997"/>
        <v>1630.7885480402331</v>
      </c>
      <c r="M400" s="20" t="e">
        <f>G400+BattCalcs!CO400</f>
        <v>#N/A</v>
      </c>
      <c r="O400" s="10" t="str">
        <f>PVLoan!G428</f>
        <v>-</v>
      </c>
      <c r="P400" s="10" t="str">
        <f>PVLoan!J428</f>
        <v>-</v>
      </c>
      <c r="Q400" s="2" t="str">
        <f>BattLoan!G428</f>
        <v>-</v>
      </c>
      <c r="R400" s="10" t="str">
        <f>BattLoan!J428</f>
        <v>-</v>
      </c>
      <c r="T400" s="33">
        <f>IF('PV IN'!$F$4="Battery Only",0,PVCalcs!G400)</f>
        <v>117183.77698176783</v>
      </c>
      <c r="U400" s="33">
        <f>IF('PV IN'!$F$4="Battery Only",0,PVCalcs!M400)</f>
        <v>117183.77698176783</v>
      </c>
      <c r="V400" s="33">
        <f>PVCalcs!L400</f>
        <v>25811.765833333331</v>
      </c>
      <c r="W400" s="158">
        <f>PVCalcs!F400</f>
        <v>7.8896523189157505E-2</v>
      </c>
      <c r="X400" s="144">
        <f>IF('PV IN'!$F$4="Battery Only",0,PVCalcs!Y400+PVCalcs!Z400)</f>
        <v>0</v>
      </c>
      <c r="Y400" s="144">
        <f>IF('PV IN'!$F$4="PV Only",0,BattCalcs!AX400+BattCalcs!BC400)</f>
        <v>0</v>
      </c>
      <c r="Z400" s="144">
        <f>IF('PV IN'!$F$4="PV Only",0,BattCalcs!AY400+BattCalcs!BD400)</f>
        <v>0</v>
      </c>
      <c r="AA400" s="144">
        <f>IF('PV IN'!$F$4="PV Only",0,BattCalcs!AZ400+BattCalcs!BE400)</f>
        <v>0</v>
      </c>
      <c r="AB400" s="144">
        <f>IF('PV IN'!$F$4="PV Only",0,BattCalcs!BA400+BattCalcs!BF400)</f>
        <v>0</v>
      </c>
      <c r="AC400" s="144">
        <f>IF('PV IN'!$F$4="PV Only",0,BattCalcs!BB400+BattCalcs!BG400)</f>
        <v>0</v>
      </c>
      <c r="AD400" s="144">
        <f>IF('PV IN'!$F$4="PV Only",0,BattCalcs!BU400)</f>
        <v>0</v>
      </c>
      <c r="AE400" s="144">
        <f>IF('PV IN'!$F$4="PV Only",PVCalcs!W400+PVCalcs!AA400,IF('PV IN'!$F$4="Battery Only",BattCalcs!AV400+BattCalcs!BH400,PVCalcs!W400+PVCalcs!AA400+BattCalcs!AV400+BattCalcs!BH400))</f>
        <v>0</v>
      </c>
      <c r="AF400" s="10">
        <f>PVCalcs!AC400+BattCalcs!BJ400</f>
        <v>0</v>
      </c>
      <c r="AG400" s="144">
        <f>IF('PV IN'!$F$4="Battery Only",0,PVCalcs!AG400)</f>
        <v>-750</v>
      </c>
      <c r="AH400" s="144">
        <f>IF('PV IN'!$F$4="Battery Only",0,PVCalcs!AI400)</f>
        <v>0</v>
      </c>
      <c r="AI400" s="144">
        <f>IF('PV IN'!$F$4="PV Only",0,BattCalcs!BM400)</f>
        <v>0</v>
      </c>
      <c r="AJ400" s="144">
        <f>IF('PV IN'!$F$4="PV Only",0,SUM(BattCalcs!BO400:BT400))</f>
        <v>0</v>
      </c>
      <c r="AK400" s="144">
        <f>IF('PV IN'!$F$4="PV Only",PVCalcs!AH400,IF('PV IN'!$F$4="Battery Only",BattCalcs!BN400,PVCalcs!AH400+BattCalcs!BN400))</f>
        <v>-625</v>
      </c>
      <c r="AL400" s="144">
        <f>IF('PV IN'!$F$4="PV Only",0,BattCalcs!BV400)</f>
        <v>0</v>
      </c>
      <c r="AM400" s="144">
        <f>IF('PV IN'!$F$4="PV Only",0,SUM(BattCalcs!BW400:BX400))</f>
        <v>0</v>
      </c>
      <c r="AN400" s="144">
        <f>IF('PV IN'!$F$4="PV Only",0,BattCalcs!BY400)</f>
        <v>0</v>
      </c>
      <c r="AO400" s="144">
        <f>IF('PV IN'!$F$4="Battery Only",0,PVCalcs!U400)</f>
        <v>9245.3925780351074</v>
      </c>
      <c r="AP400" s="10">
        <f>IF('PV IN'!$F$4="PV Only",0,BattCalcs!AS400)</f>
        <v>0</v>
      </c>
      <c r="AQ400" s="10">
        <f>IF('PV IN'!$F$4="PV Only",0,BattCalcs!AT400)</f>
        <v>0</v>
      </c>
      <c r="AR400" s="10">
        <f>IF('PV IN'!$F$4="PV Only",0,BattCalcs!AU400)</f>
        <v>0</v>
      </c>
      <c r="AS400" s="144">
        <f>IF('PV IN'!$F$4="PV Only",PVCalcs!X400,IF('PV IN'!$F$4="Battery Only",BattCalcs!AW400,PVCalcs!X400+BattCalcs!AW400))</f>
        <v>0</v>
      </c>
      <c r="AT400" s="144">
        <f>IF('PV IN'!$F$4="Battery Only",0,-PVCalcs!AQ400*'PV IN'!$E$8)</f>
        <v>0</v>
      </c>
      <c r="AU400" s="144">
        <f>IF('PV IN'!$F$4="PV Only",0,-BattCalcs!CG400*'PV IN'!$E$8)</f>
        <v>0</v>
      </c>
      <c r="AV400" s="144">
        <f>IF('PV IN'!$F$4="PV Only",PVCalcs!Z400+PVCalcs!AA400,IF('PV IN'!$F$4="Battery Only",SUM(BattCalcs!BC400:BH400),PVCalcs!Z400+PVCalcs!AA400+SUM(BattCalcs!BC400:BH400)))</f>
        <v>0</v>
      </c>
      <c r="AW400" s="144">
        <f>IF('PV IN'!$F$4="PV Only",SUM(PVCalcs!AF400:AI400),IF('PV IN'!$F$4="Battery Only",SUM(BattCalcs!BL400:BY400),SUM(PVCalcs!AF400:AI400)+SUM(BattCalcs!BL400:BY400)))</f>
        <v>-1375</v>
      </c>
      <c r="AX400" s="144">
        <f>IF('PV IN'!$F$4="Battery Only",0,-PVLoan!F428)</f>
        <v>0</v>
      </c>
      <c r="AY400" s="144">
        <f>IF('PV IN'!$F$4="PV Only",0,-BattLoan!F428)</f>
        <v>0</v>
      </c>
      <c r="AZ400" s="144">
        <f>IF('PV IN'!$F$4="Battery Only",0,-PVLoan!H428)</f>
        <v>0</v>
      </c>
      <c r="BA400" s="144">
        <f>IF('PV IN'!$F$4="PV Only",0,-BattLoan!H428)</f>
        <v>0</v>
      </c>
      <c r="BC400" s="33">
        <f t="shared" ref="BC400" si="1069">SUM(T389:T400)</f>
        <v>1411376.3401539843</v>
      </c>
      <c r="BD400" s="33">
        <f t="shared" ref="BD400" si="1070">SUM(U389:U400)</f>
        <v>1411376.3401539843</v>
      </c>
      <c r="BE400" s="33">
        <f t="shared" ref="BE400" si="1071">SUM(V389:V400)</f>
        <v>309741.19</v>
      </c>
      <c r="BF400" s="50">
        <f t="shared" ref="BF400" si="1072">W400</f>
        <v>7.8896523189157505E-2</v>
      </c>
      <c r="BG400" s="2">
        <f t="shared" ref="BG400" si="1073">SUM(X389:X400)</f>
        <v>0</v>
      </c>
      <c r="BH400" s="2">
        <f t="shared" ref="BH400" si="1074">SUM(Y389:Y400)</f>
        <v>0</v>
      </c>
      <c r="BI400" s="2">
        <f t="shared" ref="BI400" si="1075">SUM(Z389:Z400)</f>
        <v>0</v>
      </c>
      <c r="BJ400" s="2">
        <f t="shared" ref="BJ400" si="1076">SUM(AA389:AA400)</f>
        <v>0</v>
      </c>
      <c r="BK400" s="2">
        <f t="shared" ref="BK400" si="1077">SUM(AB389:AB400)</f>
        <v>0</v>
      </c>
      <c r="BL400" s="2">
        <f t="shared" ref="BL400" si="1078">SUM(AC389:AC400)</f>
        <v>0</v>
      </c>
      <c r="BM400" s="2">
        <f t="shared" ref="BM400" si="1079">SUM(AD389:AD400)</f>
        <v>0</v>
      </c>
      <c r="BN400" s="2">
        <f t="shared" ref="BN400" si="1080">SUM(AE389:AE400)</f>
        <v>0</v>
      </c>
      <c r="BO400" s="2">
        <f t="shared" ref="BO400" si="1081">SUM(AF389:AF400)</f>
        <v>0</v>
      </c>
      <c r="BP400" s="2">
        <f t="shared" ref="BP400" si="1082">SUM(AG389:AG400)</f>
        <v>-9000</v>
      </c>
      <c r="BQ400" s="2">
        <f t="shared" ref="BQ400" si="1083">SUM(AH389:AH400)</f>
        <v>0</v>
      </c>
      <c r="BR400" s="2">
        <f t="shared" ref="BR400" si="1084">SUM(AI389:AI400)</f>
        <v>0</v>
      </c>
      <c r="BS400" s="2">
        <f t="shared" ref="BS400" si="1085">SUM(AJ389:AJ400)</f>
        <v>0</v>
      </c>
      <c r="BT400" s="2">
        <f t="shared" ref="BT400" si="1086">SUM(AK389:AK400)</f>
        <v>-7500</v>
      </c>
      <c r="BU400" s="2">
        <f t="shared" ref="BU400" si="1087">SUM(AL389:AL400)</f>
        <v>0</v>
      </c>
      <c r="BV400" s="2">
        <f t="shared" ref="BV400" si="1088">SUM(AM389:AM400)</f>
        <v>0</v>
      </c>
      <c r="BW400" s="2">
        <f t="shared" ref="BW400" si="1089">SUM(AN389:AN400)</f>
        <v>0</v>
      </c>
      <c r="BX400" s="2">
        <f t="shared" ref="BX400" si="1090">SUM(AO389:AO400)</f>
        <v>111352.68614958707</v>
      </c>
      <c r="BY400" s="2">
        <f t="shared" ref="BY400" si="1091">SUM(AP389:AP400)</f>
        <v>0</v>
      </c>
      <c r="BZ400" s="2">
        <f t="shared" ref="BZ400" si="1092">SUM(AQ389:AQ400)</f>
        <v>0</v>
      </c>
      <c r="CA400" s="2">
        <f t="shared" ref="CA400" si="1093">SUM(AR389:AR400)</f>
        <v>0</v>
      </c>
      <c r="CB400" s="2">
        <f t="shared" ref="CB400" si="1094">SUM(AS389:AS400)</f>
        <v>0</v>
      </c>
      <c r="CC400" s="2">
        <f t="shared" ref="CC400" si="1095">SUM(AT389:AT400)</f>
        <v>0</v>
      </c>
      <c r="CD400" s="2">
        <f t="shared" ref="CD400" si="1096">SUM(AU389:AU400)</f>
        <v>0</v>
      </c>
      <c r="CE400" s="2">
        <f t="shared" ref="CE400" si="1097">SUM(AV389:AV400)</f>
        <v>0</v>
      </c>
      <c r="CF400" s="2">
        <f t="shared" ref="CF400" si="1098">SUM(AW389:AW400)</f>
        <v>-16500</v>
      </c>
      <c r="CG400" s="2">
        <f t="shared" ref="CG400" si="1099">SUM(AX389:AX400)</f>
        <v>0</v>
      </c>
      <c r="CH400" s="2">
        <f t="shared" ref="CH400" si="1100">SUM(AY389:AY400)</f>
        <v>0</v>
      </c>
      <c r="CI400" s="2">
        <f t="shared" ref="CI400" si="1101">SUM(AZ389:AZ400)</f>
        <v>0</v>
      </c>
      <c r="CJ400" s="2">
        <f t="shared" ref="CJ400" si="1102">SUM(BA389:BA400)</f>
        <v>0</v>
      </c>
    </row>
    <row r="401" spans="1:88" x14ac:dyDescent="0.25">
      <c r="A401" t="str">
        <f>IF(C401&lt;='PV IN'!$O$22*12,C401,"")</f>
        <v/>
      </c>
      <c r="C401">
        <v>397</v>
      </c>
      <c r="D401" s="2">
        <f>BattCalcs!CK401+PVCalcs!AT401</f>
        <v>8152.9789829830843</v>
      </c>
      <c r="E401" s="20">
        <f>PVCalcs!AV401</f>
        <v>2768940.0893034576</v>
      </c>
      <c r="F401" s="20">
        <f>PVCalcs!AW401</f>
        <v>1622.9445377035117</v>
      </c>
      <c r="G401" s="20" t="e">
        <f>PVCalcs!AX401</f>
        <v>#N/A</v>
      </c>
      <c r="H401" s="20">
        <f>BattCalcs!CM401</f>
        <v>0</v>
      </c>
      <c r="I401" s="20">
        <f>BattCalcs!CN401</f>
        <v>0</v>
      </c>
      <c r="J401" s="20" t="e">
        <f>IF(C401&lt;='Batt IN'!H$43*12,BattCalcs!CO401,NA())</f>
        <v>#N/A</v>
      </c>
      <c r="L401" s="20">
        <f t="shared" si="997"/>
        <v>1622.9445377035117</v>
      </c>
      <c r="M401" s="20" t="e">
        <f>G401+BattCalcs!CO401</f>
        <v>#N/A</v>
      </c>
      <c r="O401" s="10" t="str">
        <f>PVLoan!G429</f>
        <v>-</v>
      </c>
      <c r="P401" s="10" t="str">
        <f>PVLoan!J429</f>
        <v>-</v>
      </c>
      <c r="Q401" s="2" t="str">
        <f>BattLoan!G429</f>
        <v>-</v>
      </c>
      <c r="R401" s="10" t="str">
        <f>BattLoan!J429</f>
        <v>-</v>
      </c>
      <c r="T401" s="33">
        <f>IF('PV IN'!$F$4="Battery Only",0,PVCalcs!G401)</f>
        <v>117105.65446378</v>
      </c>
      <c r="U401" s="33">
        <f>IF('PV IN'!$F$4="Battery Only",0,PVCalcs!M401)</f>
        <v>117105.65446378</v>
      </c>
      <c r="V401" s="33">
        <f>PVCalcs!L401</f>
        <v>25811.765833333331</v>
      </c>
      <c r="W401" s="158">
        <f>PVCalcs!F401</f>
        <v>7.8896523189157505E-2</v>
      </c>
      <c r="X401" s="144">
        <f>IF('PV IN'!$F$4="Battery Only",0,PVCalcs!Y401+PVCalcs!Z401)</f>
        <v>0</v>
      </c>
      <c r="Y401" s="144">
        <f>IF('PV IN'!$F$4="PV Only",0,BattCalcs!AX401+BattCalcs!BC401)</f>
        <v>0</v>
      </c>
      <c r="Z401" s="144">
        <f>IF('PV IN'!$F$4="PV Only",0,BattCalcs!AY401+BattCalcs!BD401)</f>
        <v>0</v>
      </c>
      <c r="AA401" s="144">
        <f>IF('PV IN'!$F$4="PV Only",0,BattCalcs!AZ401+BattCalcs!BE401)</f>
        <v>0</v>
      </c>
      <c r="AB401" s="144">
        <f>IF('PV IN'!$F$4="PV Only",0,BattCalcs!BA401+BattCalcs!BF401)</f>
        <v>0</v>
      </c>
      <c r="AC401" s="144">
        <f>IF('PV IN'!$F$4="PV Only",0,BattCalcs!BB401+BattCalcs!BG401)</f>
        <v>0</v>
      </c>
      <c r="AD401" s="144">
        <f>IF('PV IN'!$F$4="PV Only",0,BattCalcs!BU401)</f>
        <v>0</v>
      </c>
      <c r="AE401" s="144">
        <f>IF('PV IN'!$F$4="PV Only",PVCalcs!W401+PVCalcs!AA401,IF('PV IN'!$F$4="Battery Only",BattCalcs!AV401+BattCalcs!BH401,PVCalcs!W401+PVCalcs!AA401+BattCalcs!AV401+BattCalcs!BH401))</f>
        <v>0</v>
      </c>
      <c r="AF401" s="10">
        <f>PVCalcs!AC401+BattCalcs!BJ401</f>
        <v>0</v>
      </c>
      <c r="AG401" s="144">
        <f>IF('PV IN'!$F$4="Battery Only",0,PVCalcs!AG401)</f>
        <v>-750</v>
      </c>
      <c r="AH401" s="144">
        <f>IF('PV IN'!$F$4="Battery Only",0,PVCalcs!AI401)</f>
        <v>0</v>
      </c>
      <c r="AI401" s="144">
        <f>IF('PV IN'!$F$4="PV Only",0,BattCalcs!BM401)</f>
        <v>0</v>
      </c>
      <c r="AJ401" s="144">
        <f>IF('PV IN'!$F$4="PV Only",0,SUM(BattCalcs!BO401:BT401))</f>
        <v>0</v>
      </c>
      <c r="AK401" s="144">
        <f>IF('PV IN'!$F$4="PV Only",PVCalcs!AH401,IF('PV IN'!$F$4="Battery Only",BattCalcs!BN401,PVCalcs!AH401+BattCalcs!BN401))</f>
        <v>-625</v>
      </c>
      <c r="AL401" s="144">
        <f>IF('PV IN'!$F$4="PV Only",0,BattCalcs!BV401)</f>
        <v>0</v>
      </c>
      <c r="AM401" s="144">
        <f>IF('PV IN'!$F$4="PV Only",0,SUM(BattCalcs!BW401:BX401))</f>
        <v>0</v>
      </c>
      <c r="AN401" s="144">
        <f>IF('PV IN'!$F$4="PV Only",0,BattCalcs!BY401)</f>
        <v>0</v>
      </c>
      <c r="AO401" s="144">
        <f>IF('PV IN'!$F$4="Battery Only",0,PVCalcs!U401)</f>
        <v>9239.2289829830843</v>
      </c>
      <c r="AP401" s="10">
        <f>IF('PV IN'!$F$4="PV Only",0,BattCalcs!AS401)</f>
        <v>0</v>
      </c>
      <c r="AQ401" s="10">
        <f>IF('PV IN'!$F$4="PV Only",0,BattCalcs!AT401)</f>
        <v>0</v>
      </c>
      <c r="AR401" s="10">
        <f>IF('PV IN'!$F$4="PV Only",0,BattCalcs!AU401)</f>
        <v>0</v>
      </c>
      <c r="AS401" s="144">
        <f>IF('PV IN'!$F$4="PV Only",PVCalcs!X401,IF('PV IN'!$F$4="Battery Only",BattCalcs!AW401,PVCalcs!X401+BattCalcs!AW401))</f>
        <v>0</v>
      </c>
      <c r="AT401" s="144">
        <f>IF('PV IN'!$F$4="Battery Only",0,-PVCalcs!AQ401*'PV IN'!$E$8)</f>
        <v>0</v>
      </c>
      <c r="AU401" s="144">
        <f>IF('PV IN'!$F$4="PV Only",0,-BattCalcs!CG401*'PV IN'!$E$8)</f>
        <v>0</v>
      </c>
      <c r="AV401" s="144">
        <f>IF('PV IN'!$F$4="PV Only",PVCalcs!Z401+PVCalcs!AA401,IF('PV IN'!$F$4="Battery Only",SUM(BattCalcs!BC401:BH401),PVCalcs!Z401+PVCalcs!AA401+SUM(BattCalcs!BC401:BH401)))</f>
        <v>0</v>
      </c>
      <c r="AW401" s="144">
        <f>IF('PV IN'!$F$4="PV Only",SUM(PVCalcs!AF401:AI401),IF('PV IN'!$F$4="Battery Only",SUM(BattCalcs!BL401:BY401),SUM(PVCalcs!AF401:AI401)+SUM(BattCalcs!BL401:BY401)))</f>
        <v>-1375</v>
      </c>
      <c r="AX401" s="144">
        <f>IF('PV IN'!$F$4="Battery Only",0,-PVLoan!F429)</f>
        <v>0</v>
      </c>
      <c r="AY401" s="144">
        <f>IF('PV IN'!$F$4="PV Only",0,-BattLoan!F429)</f>
        <v>0</v>
      </c>
      <c r="AZ401" s="144">
        <f>IF('PV IN'!$F$4="Battery Only",0,-PVLoan!H429)</f>
        <v>0</v>
      </c>
      <c r="BA401" s="144">
        <f>IF('PV IN'!$F$4="PV Only",0,-BattLoan!H429)</f>
        <v>0</v>
      </c>
    </row>
    <row r="402" spans="1:88" x14ac:dyDescent="0.25">
      <c r="A402" t="str">
        <f>IF(C402&lt;='PV IN'!$O$22*12,C402,"")</f>
        <v/>
      </c>
      <c r="C402">
        <v>398</v>
      </c>
      <c r="D402" s="2">
        <f>BattCalcs!CK402+PVCalcs!AT402</f>
        <v>8146.819496994427</v>
      </c>
      <c r="E402" s="20">
        <f>PVCalcs!AV402</f>
        <v>2777086.908800452</v>
      </c>
      <c r="F402" s="20">
        <f>PVCalcs!AW402</f>
        <v>1615.13814820428</v>
      </c>
      <c r="G402" s="20" t="e">
        <f>PVCalcs!AX402</f>
        <v>#N/A</v>
      </c>
      <c r="H402" s="20">
        <f>BattCalcs!CM402</f>
        <v>0</v>
      </c>
      <c r="I402" s="20">
        <f>BattCalcs!CN402</f>
        <v>0</v>
      </c>
      <c r="J402" s="20" t="e">
        <f>IF(C402&lt;='Batt IN'!H$43*12,BattCalcs!CO402,NA())</f>
        <v>#N/A</v>
      </c>
      <c r="L402" s="20">
        <f t="shared" si="997"/>
        <v>1615.13814820428</v>
      </c>
      <c r="M402" s="20" t="e">
        <f>G402+BattCalcs!CO402</f>
        <v>#N/A</v>
      </c>
      <c r="O402" s="10" t="str">
        <f>PVLoan!G430</f>
        <v>-</v>
      </c>
      <c r="P402" s="10" t="str">
        <f>PVLoan!J430</f>
        <v>-</v>
      </c>
      <c r="Q402" s="2" t="str">
        <f>BattLoan!G430</f>
        <v>-</v>
      </c>
      <c r="R402" s="10" t="str">
        <f>BattLoan!J430</f>
        <v>-</v>
      </c>
      <c r="T402" s="33">
        <f>IF('PV IN'!$F$4="Battery Only",0,PVCalcs!G402)</f>
        <v>117027.58402747079</v>
      </c>
      <c r="U402" s="33">
        <f>IF('PV IN'!$F$4="Battery Only",0,PVCalcs!M402)</f>
        <v>117027.58402747079</v>
      </c>
      <c r="V402" s="33">
        <f>PVCalcs!L402</f>
        <v>25811.765833333331</v>
      </c>
      <c r="W402" s="158">
        <f>PVCalcs!F402</f>
        <v>7.8896523189157505E-2</v>
      </c>
      <c r="X402" s="144">
        <f>IF('PV IN'!$F$4="Battery Only",0,PVCalcs!Y402+PVCalcs!Z402)</f>
        <v>0</v>
      </c>
      <c r="Y402" s="144">
        <f>IF('PV IN'!$F$4="PV Only",0,BattCalcs!AX402+BattCalcs!BC402)</f>
        <v>0</v>
      </c>
      <c r="Z402" s="144">
        <f>IF('PV IN'!$F$4="PV Only",0,BattCalcs!AY402+BattCalcs!BD402)</f>
        <v>0</v>
      </c>
      <c r="AA402" s="144">
        <f>IF('PV IN'!$F$4="PV Only",0,BattCalcs!AZ402+BattCalcs!BE402)</f>
        <v>0</v>
      </c>
      <c r="AB402" s="144">
        <f>IF('PV IN'!$F$4="PV Only",0,BattCalcs!BA402+BattCalcs!BF402)</f>
        <v>0</v>
      </c>
      <c r="AC402" s="144">
        <f>IF('PV IN'!$F$4="PV Only",0,BattCalcs!BB402+BattCalcs!BG402)</f>
        <v>0</v>
      </c>
      <c r="AD402" s="144">
        <f>IF('PV IN'!$F$4="PV Only",0,BattCalcs!BU402)</f>
        <v>0</v>
      </c>
      <c r="AE402" s="144">
        <f>IF('PV IN'!$F$4="PV Only",PVCalcs!W402+PVCalcs!AA402,IF('PV IN'!$F$4="Battery Only",BattCalcs!AV402+BattCalcs!BH402,PVCalcs!W402+PVCalcs!AA402+BattCalcs!AV402+BattCalcs!BH402))</f>
        <v>0</v>
      </c>
      <c r="AF402" s="10">
        <f>PVCalcs!AC402+BattCalcs!BJ402</f>
        <v>0</v>
      </c>
      <c r="AG402" s="144">
        <f>IF('PV IN'!$F$4="Battery Only",0,PVCalcs!AG402)</f>
        <v>-750</v>
      </c>
      <c r="AH402" s="144">
        <f>IF('PV IN'!$F$4="Battery Only",0,PVCalcs!AI402)</f>
        <v>0</v>
      </c>
      <c r="AI402" s="144">
        <f>IF('PV IN'!$F$4="PV Only",0,BattCalcs!BM402)</f>
        <v>0</v>
      </c>
      <c r="AJ402" s="144">
        <f>IF('PV IN'!$F$4="PV Only",0,SUM(BattCalcs!BO402:BT402))</f>
        <v>0</v>
      </c>
      <c r="AK402" s="144">
        <f>IF('PV IN'!$F$4="PV Only",PVCalcs!AH402,IF('PV IN'!$F$4="Battery Only",BattCalcs!BN402,PVCalcs!AH402+BattCalcs!BN402))</f>
        <v>-625</v>
      </c>
      <c r="AL402" s="144">
        <f>IF('PV IN'!$F$4="PV Only",0,BattCalcs!BV402)</f>
        <v>0</v>
      </c>
      <c r="AM402" s="144">
        <f>IF('PV IN'!$F$4="PV Only",0,SUM(BattCalcs!BW402:BX402))</f>
        <v>0</v>
      </c>
      <c r="AN402" s="144">
        <f>IF('PV IN'!$F$4="PV Only",0,BattCalcs!BY402)</f>
        <v>0</v>
      </c>
      <c r="AO402" s="144">
        <f>IF('PV IN'!$F$4="Battery Only",0,PVCalcs!U402)</f>
        <v>9233.069496994427</v>
      </c>
      <c r="AP402" s="10">
        <f>IF('PV IN'!$F$4="PV Only",0,BattCalcs!AS402)</f>
        <v>0</v>
      </c>
      <c r="AQ402" s="10">
        <f>IF('PV IN'!$F$4="PV Only",0,BattCalcs!AT402)</f>
        <v>0</v>
      </c>
      <c r="AR402" s="10">
        <f>IF('PV IN'!$F$4="PV Only",0,BattCalcs!AU402)</f>
        <v>0</v>
      </c>
      <c r="AS402" s="144">
        <f>IF('PV IN'!$F$4="PV Only",PVCalcs!X402,IF('PV IN'!$F$4="Battery Only",BattCalcs!AW402,PVCalcs!X402+BattCalcs!AW402))</f>
        <v>0</v>
      </c>
      <c r="AT402" s="144">
        <f>IF('PV IN'!$F$4="Battery Only",0,-PVCalcs!AQ402*'PV IN'!$E$8)</f>
        <v>0</v>
      </c>
      <c r="AU402" s="144">
        <f>IF('PV IN'!$F$4="PV Only",0,-BattCalcs!CG402*'PV IN'!$E$8)</f>
        <v>0</v>
      </c>
      <c r="AV402" s="144">
        <f>IF('PV IN'!$F$4="PV Only",PVCalcs!Z402+PVCalcs!AA402,IF('PV IN'!$F$4="Battery Only",SUM(BattCalcs!BC402:BH402),PVCalcs!Z402+PVCalcs!AA402+SUM(BattCalcs!BC402:BH402)))</f>
        <v>0</v>
      </c>
      <c r="AW402" s="144">
        <f>IF('PV IN'!$F$4="PV Only",SUM(PVCalcs!AF402:AI402),IF('PV IN'!$F$4="Battery Only",SUM(BattCalcs!BL402:BY402),SUM(PVCalcs!AF402:AI402)+SUM(BattCalcs!BL402:BY402)))</f>
        <v>-1375</v>
      </c>
      <c r="AX402" s="144">
        <f>IF('PV IN'!$F$4="Battery Only",0,-PVLoan!F430)</f>
        <v>0</v>
      </c>
      <c r="AY402" s="144">
        <f>IF('PV IN'!$F$4="PV Only",0,-BattLoan!F430)</f>
        <v>0</v>
      </c>
      <c r="AZ402" s="144">
        <f>IF('PV IN'!$F$4="Battery Only",0,-PVLoan!H430)</f>
        <v>0</v>
      </c>
      <c r="BA402" s="144">
        <f>IF('PV IN'!$F$4="PV Only",0,-BattLoan!H430)</f>
        <v>0</v>
      </c>
    </row>
    <row r="403" spans="1:88" x14ac:dyDescent="0.25">
      <c r="A403" t="str">
        <f>IF(C403&lt;='PV IN'!$O$22*12,C403,"")</f>
        <v/>
      </c>
      <c r="C403">
        <v>399</v>
      </c>
      <c r="D403" s="2">
        <f>BattCalcs!CK403+PVCalcs!AT403</f>
        <v>8140.6641173297648</v>
      </c>
      <c r="E403" s="20">
        <f>PVCalcs!AV403</f>
        <v>2785227.5729177818</v>
      </c>
      <c r="F403" s="20">
        <f>PVCalcs!AW403</f>
        <v>1607.3691995403583</v>
      </c>
      <c r="G403" s="20" t="e">
        <f>PVCalcs!AX403</f>
        <v>#N/A</v>
      </c>
      <c r="H403" s="20">
        <f>BattCalcs!CM403</f>
        <v>0</v>
      </c>
      <c r="I403" s="20">
        <f>BattCalcs!CN403</f>
        <v>0</v>
      </c>
      <c r="J403" s="20" t="e">
        <f>IF(C403&lt;='Batt IN'!H$43*12,BattCalcs!CO403,NA())</f>
        <v>#N/A</v>
      </c>
      <c r="L403" s="20">
        <f t="shared" si="997"/>
        <v>1607.3691995403583</v>
      </c>
      <c r="M403" s="20" t="e">
        <f>G403+BattCalcs!CO403</f>
        <v>#N/A</v>
      </c>
      <c r="O403" s="10" t="str">
        <f>PVLoan!G431</f>
        <v>-</v>
      </c>
      <c r="P403" s="10" t="str">
        <f>PVLoan!J431</f>
        <v>-</v>
      </c>
      <c r="Q403" s="2" t="str">
        <f>BattLoan!G431</f>
        <v>-</v>
      </c>
      <c r="R403" s="10" t="str">
        <f>BattLoan!J431</f>
        <v>-</v>
      </c>
      <c r="T403" s="33">
        <f>IF('PV IN'!$F$4="Battery Only",0,PVCalcs!G403)</f>
        <v>116949.56563811915</v>
      </c>
      <c r="U403" s="33">
        <f>IF('PV IN'!$F$4="Battery Only",0,PVCalcs!M403)</f>
        <v>116949.56563811915</v>
      </c>
      <c r="V403" s="33">
        <f>PVCalcs!L403</f>
        <v>25811.765833333331</v>
      </c>
      <c r="W403" s="158">
        <f>PVCalcs!F403</f>
        <v>7.8896523189157505E-2</v>
      </c>
      <c r="X403" s="144">
        <f>IF('PV IN'!$F$4="Battery Only",0,PVCalcs!Y403+PVCalcs!Z403)</f>
        <v>0</v>
      </c>
      <c r="Y403" s="144">
        <f>IF('PV IN'!$F$4="PV Only",0,BattCalcs!AX403+BattCalcs!BC403)</f>
        <v>0</v>
      </c>
      <c r="Z403" s="144">
        <f>IF('PV IN'!$F$4="PV Only",0,BattCalcs!AY403+BattCalcs!BD403)</f>
        <v>0</v>
      </c>
      <c r="AA403" s="144">
        <f>IF('PV IN'!$F$4="PV Only",0,BattCalcs!AZ403+BattCalcs!BE403)</f>
        <v>0</v>
      </c>
      <c r="AB403" s="144">
        <f>IF('PV IN'!$F$4="PV Only",0,BattCalcs!BA403+BattCalcs!BF403)</f>
        <v>0</v>
      </c>
      <c r="AC403" s="144">
        <f>IF('PV IN'!$F$4="PV Only",0,BattCalcs!BB403+BattCalcs!BG403)</f>
        <v>0</v>
      </c>
      <c r="AD403" s="144">
        <f>IF('PV IN'!$F$4="PV Only",0,BattCalcs!BU403)</f>
        <v>0</v>
      </c>
      <c r="AE403" s="144">
        <f>IF('PV IN'!$F$4="PV Only",PVCalcs!W403+PVCalcs!AA403,IF('PV IN'!$F$4="Battery Only",BattCalcs!AV403+BattCalcs!BH403,PVCalcs!W403+PVCalcs!AA403+BattCalcs!AV403+BattCalcs!BH403))</f>
        <v>0</v>
      </c>
      <c r="AF403" s="10">
        <f>PVCalcs!AC403+BattCalcs!BJ403</f>
        <v>0</v>
      </c>
      <c r="AG403" s="144">
        <f>IF('PV IN'!$F$4="Battery Only",0,PVCalcs!AG403)</f>
        <v>-750</v>
      </c>
      <c r="AH403" s="144">
        <f>IF('PV IN'!$F$4="Battery Only",0,PVCalcs!AI403)</f>
        <v>0</v>
      </c>
      <c r="AI403" s="144">
        <f>IF('PV IN'!$F$4="PV Only",0,BattCalcs!BM403)</f>
        <v>0</v>
      </c>
      <c r="AJ403" s="144">
        <f>IF('PV IN'!$F$4="PV Only",0,SUM(BattCalcs!BO403:BT403))</f>
        <v>0</v>
      </c>
      <c r="AK403" s="144">
        <f>IF('PV IN'!$F$4="PV Only",PVCalcs!AH403,IF('PV IN'!$F$4="Battery Only",BattCalcs!BN403,PVCalcs!AH403+BattCalcs!BN403))</f>
        <v>-625</v>
      </c>
      <c r="AL403" s="144">
        <f>IF('PV IN'!$F$4="PV Only",0,BattCalcs!BV403)</f>
        <v>0</v>
      </c>
      <c r="AM403" s="144">
        <f>IF('PV IN'!$F$4="PV Only",0,SUM(BattCalcs!BW403:BX403))</f>
        <v>0</v>
      </c>
      <c r="AN403" s="144">
        <f>IF('PV IN'!$F$4="PV Only",0,BattCalcs!BY403)</f>
        <v>0</v>
      </c>
      <c r="AO403" s="144">
        <f>IF('PV IN'!$F$4="Battery Only",0,PVCalcs!U403)</f>
        <v>9226.9141173297648</v>
      </c>
      <c r="AP403" s="10">
        <f>IF('PV IN'!$F$4="PV Only",0,BattCalcs!AS403)</f>
        <v>0</v>
      </c>
      <c r="AQ403" s="10">
        <f>IF('PV IN'!$F$4="PV Only",0,BattCalcs!AT403)</f>
        <v>0</v>
      </c>
      <c r="AR403" s="10">
        <f>IF('PV IN'!$F$4="PV Only",0,BattCalcs!AU403)</f>
        <v>0</v>
      </c>
      <c r="AS403" s="144">
        <f>IF('PV IN'!$F$4="PV Only",PVCalcs!X403,IF('PV IN'!$F$4="Battery Only",BattCalcs!AW403,PVCalcs!X403+BattCalcs!AW403))</f>
        <v>0</v>
      </c>
      <c r="AT403" s="144">
        <f>IF('PV IN'!$F$4="Battery Only",0,-PVCalcs!AQ403*'PV IN'!$E$8)</f>
        <v>0</v>
      </c>
      <c r="AU403" s="144">
        <f>IF('PV IN'!$F$4="PV Only",0,-BattCalcs!CG403*'PV IN'!$E$8)</f>
        <v>0</v>
      </c>
      <c r="AV403" s="144">
        <f>IF('PV IN'!$F$4="PV Only",PVCalcs!Z403+PVCalcs!AA403,IF('PV IN'!$F$4="Battery Only",SUM(BattCalcs!BC403:BH403),PVCalcs!Z403+PVCalcs!AA403+SUM(BattCalcs!BC403:BH403)))</f>
        <v>0</v>
      </c>
      <c r="AW403" s="144">
        <f>IF('PV IN'!$F$4="PV Only",SUM(PVCalcs!AF403:AI403),IF('PV IN'!$F$4="Battery Only",SUM(BattCalcs!BL403:BY403),SUM(PVCalcs!AF403:AI403)+SUM(BattCalcs!BL403:BY403)))</f>
        <v>-1375</v>
      </c>
      <c r="AX403" s="144">
        <f>IF('PV IN'!$F$4="Battery Only",0,-PVLoan!F431)</f>
        <v>0</v>
      </c>
      <c r="AY403" s="144">
        <f>IF('PV IN'!$F$4="PV Only",0,-BattLoan!F431)</f>
        <v>0</v>
      </c>
      <c r="AZ403" s="144">
        <f>IF('PV IN'!$F$4="Battery Only",0,-PVLoan!H431)</f>
        <v>0</v>
      </c>
      <c r="BA403" s="144">
        <f>IF('PV IN'!$F$4="PV Only",0,-BattLoan!H431)</f>
        <v>0</v>
      </c>
    </row>
    <row r="404" spans="1:88" x14ac:dyDescent="0.25">
      <c r="A404" t="str">
        <f>IF(C404&lt;='PV IN'!$O$22*12,C404,"")</f>
        <v/>
      </c>
      <c r="C404">
        <v>400</v>
      </c>
      <c r="D404" s="2">
        <f>BattCalcs!CK404+PVCalcs!AT404</f>
        <v>8134.512841251546</v>
      </c>
      <c r="E404" s="20">
        <f>PVCalcs!AV404</f>
        <v>2793362.0857590334</v>
      </c>
      <c r="F404" s="20">
        <f>PVCalcs!AW404</f>
        <v>1599.6375125690856</v>
      </c>
      <c r="G404" s="20" t="e">
        <f>PVCalcs!AX404</f>
        <v>#N/A</v>
      </c>
      <c r="H404" s="20">
        <f>BattCalcs!CM404</f>
        <v>0</v>
      </c>
      <c r="I404" s="20">
        <f>BattCalcs!CN404</f>
        <v>0</v>
      </c>
      <c r="J404" s="20" t="e">
        <f>IF(C404&lt;='Batt IN'!H$43*12,BattCalcs!CO404,NA())</f>
        <v>#N/A</v>
      </c>
      <c r="L404" s="20">
        <f t="shared" si="997"/>
        <v>1599.6375125690856</v>
      </c>
      <c r="M404" s="20" t="e">
        <f>G404+BattCalcs!CO404</f>
        <v>#N/A</v>
      </c>
      <c r="O404" s="10" t="str">
        <f>PVLoan!G432</f>
        <v>-</v>
      </c>
      <c r="P404" s="10" t="str">
        <f>PVLoan!J432</f>
        <v>-</v>
      </c>
      <c r="Q404" s="2" t="str">
        <f>BattLoan!G432</f>
        <v>-</v>
      </c>
      <c r="R404" s="10" t="str">
        <f>BattLoan!J432</f>
        <v>-</v>
      </c>
      <c r="T404" s="33">
        <f>IF('PV IN'!$F$4="Battery Only",0,PVCalcs!G404)</f>
        <v>116871.59926102708</v>
      </c>
      <c r="U404" s="33">
        <f>IF('PV IN'!$F$4="Battery Only",0,PVCalcs!M404)</f>
        <v>116871.59926102708</v>
      </c>
      <c r="V404" s="33">
        <f>PVCalcs!L404</f>
        <v>25811.765833333331</v>
      </c>
      <c r="W404" s="158">
        <f>PVCalcs!F404</f>
        <v>7.8896523189157505E-2</v>
      </c>
      <c r="X404" s="144">
        <f>IF('PV IN'!$F$4="Battery Only",0,PVCalcs!Y404+PVCalcs!Z404)</f>
        <v>0</v>
      </c>
      <c r="Y404" s="144">
        <f>IF('PV IN'!$F$4="PV Only",0,BattCalcs!AX404+BattCalcs!BC404)</f>
        <v>0</v>
      </c>
      <c r="Z404" s="144">
        <f>IF('PV IN'!$F$4="PV Only",0,BattCalcs!AY404+BattCalcs!BD404)</f>
        <v>0</v>
      </c>
      <c r="AA404" s="144">
        <f>IF('PV IN'!$F$4="PV Only",0,BattCalcs!AZ404+BattCalcs!BE404)</f>
        <v>0</v>
      </c>
      <c r="AB404" s="144">
        <f>IF('PV IN'!$F$4="PV Only",0,BattCalcs!BA404+BattCalcs!BF404)</f>
        <v>0</v>
      </c>
      <c r="AC404" s="144">
        <f>IF('PV IN'!$F$4="PV Only",0,BattCalcs!BB404+BattCalcs!BG404)</f>
        <v>0</v>
      </c>
      <c r="AD404" s="144">
        <f>IF('PV IN'!$F$4="PV Only",0,BattCalcs!BU404)</f>
        <v>0</v>
      </c>
      <c r="AE404" s="144">
        <f>IF('PV IN'!$F$4="PV Only",PVCalcs!W404+PVCalcs!AA404,IF('PV IN'!$F$4="Battery Only",BattCalcs!AV404+BattCalcs!BH404,PVCalcs!W404+PVCalcs!AA404+BattCalcs!AV404+BattCalcs!BH404))</f>
        <v>0</v>
      </c>
      <c r="AF404" s="10">
        <f>PVCalcs!AC404+BattCalcs!BJ404</f>
        <v>0</v>
      </c>
      <c r="AG404" s="144">
        <f>IF('PV IN'!$F$4="Battery Only",0,PVCalcs!AG404)</f>
        <v>-750</v>
      </c>
      <c r="AH404" s="144">
        <f>IF('PV IN'!$F$4="Battery Only",0,PVCalcs!AI404)</f>
        <v>0</v>
      </c>
      <c r="AI404" s="144">
        <f>IF('PV IN'!$F$4="PV Only",0,BattCalcs!BM404)</f>
        <v>0</v>
      </c>
      <c r="AJ404" s="144">
        <f>IF('PV IN'!$F$4="PV Only",0,SUM(BattCalcs!BO404:BT404))</f>
        <v>0</v>
      </c>
      <c r="AK404" s="144">
        <f>IF('PV IN'!$F$4="PV Only",PVCalcs!AH404,IF('PV IN'!$F$4="Battery Only",BattCalcs!BN404,PVCalcs!AH404+BattCalcs!BN404))</f>
        <v>-625</v>
      </c>
      <c r="AL404" s="144">
        <f>IF('PV IN'!$F$4="PV Only",0,BattCalcs!BV404)</f>
        <v>0</v>
      </c>
      <c r="AM404" s="144">
        <f>IF('PV IN'!$F$4="PV Only",0,SUM(BattCalcs!BW404:BX404))</f>
        <v>0</v>
      </c>
      <c r="AN404" s="144">
        <f>IF('PV IN'!$F$4="PV Only",0,BattCalcs!BY404)</f>
        <v>0</v>
      </c>
      <c r="AO404" s="144">
        <f>IF('PV IN'!$F$4="Battery Only",0,PVCalcs!U404)</f>
        <v>9220.762841251546</v>
      </c>
      <c r="AP404" s="10">
        <f>IF('PV IN'!$F$4="PV Only",0,BattCalcs!AS404)</f>
        <v>0</v>
      </c>
      <c r="AQ404" s="10">
        <f>IF('PV IN'!$F$4="PV Only",0,BattCalcs!AT404)</f>
        <v>0</v>
      </c>
      <c r="AR404" s="10">
        <f>IF('PV IN'!$F$4="PV Only",0,BattCalcs!AU404)</f>
        <v>0</v>
      </c>
      <c r="AS404" s="144">
        <f>IF('PV IN'!$F$4="PV Only",PVCalcs!X404,IF('PV IN'!$F$4="Battery Only",BattCalcs!AW404,PVCalcs!X404+BattCalcs!AW404))</f>
        <v>0</v>
      </c>
      <c r="AT404" s="144">
        <f>IF('PV IN'!$F$4="Battery Only",0,-PVCalcs!AQ404*'PV IN'!$E$8)</f>
        <v>0</v>
      </c>
      <c r="AU404" s="144">
        <f>IF('PV IN'!$F$4="PV Only",0,-BattCalcs!CG404*'PV IN'!$E$8)</f>
        <v>0</v>
      </c>
      <c r="AV404" s="144">
        <f>IF('PV IN'!$F$4="PV Only",PVCalcs!Z404+PVCalcs!AA404,IF('PV IN'!$F$4="Battery Only",SUM(BattCalcs!BC404:BH404),PVCalcs!Z404+PVCalcs!AA404+SUM(BattCalcs!BC404:BH404)))</f>
        <v>0</v>
      </c>
      <c r="AW404" s="144">
        <f>IF('PV IN'!$F$4="PV Only",SUM(PVCalcs!AF404:AI404),IF('PV IN'!$F$4="Battery Only",SUM(BattCalcs!BL404:BY404),SUM(PVCalcs!AF404:AI404)+SUM(BattCalcs!BL404:BY404)))</f>
        <v>-1375</v>
      </c>
      <c r="AX404" s="144">
        <f>IF('PV IN'!$F$4="Battery Only",0,-PVLoan!F432)</f>
        <v>0</v>
      </c>
      <c r="AY404" s="144">
        <f>IF('PV IN'!$F$4="PV Only",0,-BattLoan!F432)</f>
        <v>0</v>
      </c>
      <c r="AZ404" s="144">
        <f>IF('PV IN'!$F$4="Battery Only",0,-PVLoan!H432)</f>
        <v>0</v>
      </c>
      <c r="BA404" s="144">
        <f>IF('PV IN'!$F$4="PV Only",0,-BattLoan!H432)</f>
        <v>0</v>
      </c>
    </row>
    <row r="405" spans="1:88" x14ac:dyDescent="0.25">
      <c r="A405" t="str">
        <f>IF(C405&lt;='PV IN'!$O$22*12,C405,"")</f>
        <v/>
      </c>
      <c r="C405">
        <v>401</v>
      </c>
      <c r="D405" s="2">
        <f>BattCalcs!CK405+PVCalcs!AT405</f>
        <v>8128.3656660240431</v>
      </c>
      <c r="E405" s="20">
        <f>PVCalcs!AV405</f>
        <v>2801490.4514250574</v>
      </c>
      <c r="F405" s="20">
        <f>PVCalcs!AW405</f>
        <v>1591.9429090032236</v>
      </c>
      <c r="G405" s="20" t="e">
        <f>PVCalcs!AX405</f>
        <v>#N/A</v>
      </c>
      <c r="H405" s="20">
        <f>BattCalcs!CM405</f>
        <v>0</v>
      </c>
      <c r="I405" s="20">
        <f>BattCalcs!CN405</f>
        <v>0</v>
      </c>
      <c r="J405" s="20" t="e">
        <f>IF(C405&lt;='Batt IN'!H$43*12,BattCalcs!CO405,NA())</f>
        <v>#N/A</v>
      </c>
      <c r="L405" s="20">
        <f t="shared" si="997"/>
        <v>1591.9429090032236</v>
      </c>
      <c r="M405" s="20" t="e">
        <f>G405+BattCalcs!CO405</f>
        <v>#N/A</v>
      </c>
      <c r="O405" s="10" t="str">
        <f>PVLoan!G433</f>
        <v>-</v>
      </c>
      <c r="P405" s="10" t="str">
        <f>PVLoan!J433</f>
        <v>-</v>
      </c>
      <c r="Q405" s="2" t="str">
        <f>BattLoan!G433</f>
        <v>-</v>
      </c>
      <c r="R405" s="10" t="str">
        <f>BattLoan!J433</f>
        <v>-</v>
      </c>
      <c r="T405" s="33">
        <f>IF('PV IN'!$F$4="Battery Only",0,PVCalcs!G405)</f>
        <v>116793.68486151971</v>
      </c>
      <c r="U405" s="33">
        <f>IF('PV IN'!$F$4="Battery Only",0,PVCalcs!M405)</f>
        <v>116793.68486151971</v>
      </c>
      <c r="V405" s="33">
        <f>PVCalcs!L405</f>
        <v>25811.765833333331</v>
      </c>
      <c r="W405" s="158">
        <f>PVCalcs!F405</f>
        <v>7.8896523189157505E-2</v>
      </c>
      <c r="X405" s="144">
        <f>IF('PV IN'!$F$4="Battery Only",0,PVCalcs!Y405+PVCalcs!Z405)</f>
        <v>0</v>
      </c>
      <c r="Y405" s="144">
        <f>IF('PV IN'!$F$4="PV Only",0,BattCalcs!AX405+BattCalcs!BC405)</f>
        <v>0</v>
      </c>
      <c r="Z405" s="144">
        <f>IF('PV IN'!$F$4="PV Only",0,BattCalcs!AY405+BattCalcs!BD405)</f>
        <v>0</v>
      </c>
      <c r="AA405" s="144">
        <f>IF('PV IN'!$F$4="PV Only",0,BattCalcs!AZ405+BattCalcs!BE405)</f>
        <v>0</v>
      </c>
      <c r="AB405" s="144">
        <f>IF('PV IN'!$F$4="PV Only",0,BattCalcs!BA405+BattCalcs!BF405)</f>
        <v>0</v>
      </c>
      <c r="AC405" s="144">
        <f>IF('PV IN'!$F$4="PV Only",0,BattCalcs!BB405+BattCalcs!BG405)</f>
        <v>0</v>
      </c>
      <c r="AD405" s="144">
        <f>IF('PV IN'!$F$4="PV Only",0,BattCalcs!BU405)</f>
        <v>0</v>
      </c>
      <c r="AE405" s="144">
        <f>IF('PV IN'!$F$4="PV Only",PVCalcs!W405+PVCalcs!AA405,IF('PV IN'!$F$4="Battery Only",BattCalcs!AV405+BattCalcs!BH405,PVCalcs!W405+PVCalcs!AA405+BattCalcs!AV405+BattCalcs!BH405))</f>
        <v>0</v>
      </c>
      <c r="AF405" s="10">
        <f>PVCalcs!AC405+BattCalcs!BJ405</f>
        <v>0</v>
      </c>
      <c r="AG405" s="144">
        <f>IF('PV IN'!$F$4="Battery Only",0,PVCalcs!AG405)</f>
        <v>-750</v>
      </c>
      <c r="AH405" s="144">
        <f>IF('PV IN'!$F$4="Battery Only",0,PVCalcs!AI405)</f>
        <v>0</v>
      </c>
      <c r="AI405" s="144">
        <f>IF('PV IN'!$F$4="PV Only",0,BattCalcs!BM405)</f>
        <v>0</v>
      </c>
      <c r="AJ405" s="144">
        <f>IF('PV IN'!$F$4="PV Only",0,SUM(BattCalcs!BO405:BT405))</f>
        <v>0</v>
      </c>
      <c r="AK405" s="144">
        <f>IF('PV IN'!$F$4="PV Only",PVCalcs!AH405,IF('PV IN'!$F$4="Battery Only",BattCalcs!BN405,PVCalcs!AH405+BattCalcs!BN405))</f>
        <v>-625</v>
      </c>
      <c r="AL405" s="144">
        <f>IF('PV IN'!$F$4="PV Only",0,BattCalcs!BV405)</f>
        <v>0</v>
      </c>
      <c r="AM405" s="144">
        <f>IF('PV IN'!$F$4="PV Only",0,SUM(BattCalcs!BW405:BX405))</f>
        <v>0</v>
      </c>
      <c r="AN405" s="144">
        <f>IF('PV IN'!$F$4="PV Only",0,BattCalcs!BY405)</f>
        <v>0</v>
      </c>
      <c r="AO405" s="144">
        <f>IF('PV IN'!$F$4="Battery Only",0,PVCalcs!U405)</f>
        <v>9214.6156660240431</v>
      </c>
      <c r="AP405" s="10">
        <f>IF('PV IN'!$F$4="PV Only",0,BattCalcs!AS405)</f>
        <v>0</v>
      </c>
      <c r="AQ405" s="10">
        <f>IF('PV IN'!$F$4="PV Only",0,BattCalcs!AT405)</f>
        <v>0</v>
      </c>
      <c r="AR405" s="10">
        <f>IF('PV IN'!$F$4="PV Only",0,BattCalcs!AU405)</f>
        <v>0</v>
      </c>
      <c r="AS405" s="144">
        <f>IF('PV IN'!$F$4="PV Only",PVCalcs!X405,IF('PV IN'!$F$4="Battery Only",BattCalcs!AW405,PVCalcs!X405+BattCalcs!AW405))</f>
        <v>0</v>
      </c>
      <c r="AT405" s="144">
        <f>IF('PV IN'!$F$4="Battery Only",0,-PVCalcs!AQ405*'PV IN'!$E$8)</f>
        <v>0</v>
      </c>
      <c r="AU405" s="144">
        <f>IF('PV IN'!$F$4="PV Only",0,-BattCalcs!CG405*'PV IN'!$E$8)</f>
        <v>0</v>
      </c>
      <c r="AV405" s="144">
        <f>IF('PV IN'!$F$4="PV Only",PVCalcs!Z405+PVCalcs!AA405,IF('PV IN'!$F$4="Battery Only",SUM(BattCalcs!BC405:BH405),PVCalcs!Z405+PVCalcs!AA405+SUM(BattCalcs!BC405:BH405)))</f>
        <v>0</v>
      </c>
      <c r="AW405" s="144">
        <f>IF('PV IN'!$F$4="PV Only",SUM(PVCalcs!AF405:AI405),IF('PV IN'!$F$4="Battery Only",SUM(BattCalcs!BL405:BY405),SUM(PVCalcs!AF405:AI405)+SUM(BattCalcs!BL405:BY405)))</f>
        <v>-1375</v>
      </c>
      <c r="AX405" s="144">
        <f>IF('PV IN'!$F$4="Battery Only",0,-PVLoan!F433)</f>
        <v>0</v>
      </c>
      <c r="AY405" s="144">
        <f>IF('PV IN'!$F$4="PV Only",0,-BattLoan!F433)</f>
        <v>0</v>
      </c>
      <c r="AZ405" s="144">
        <f>IF('PV IN'!$F$4="Battery Only",0,-PVLoan!H433)</f>
        <v>0</v>
      </c>
      <c r="BA405" s="144">
        <f>IF('PV IN'!$F$4="PV Only",0,-BattLoan!H433)</f>
        <v>0</v>
      </c>
    </row>
    <row r="406" spans="1:88" x14ac:dyDescent="0.25">
      <c r="A406" t="str">
        <f>IF(C406&lt;='PV IN'!$O$22*12,C406,"")</f>
        <v/>
      </c>
      <c r="C406">
        <v>402</v>
      </c>
      <c r="D406" s="2">
        <f>BattCalcs!CK406+PVCalcs!AT406</f>
        <v>8122.2225889133606</v>
      </c>
      <c r="E406" s="20">
        <f>PVCalcs!AV406</f>
        <v>2809612.6740139709</v>
      </c>
      <c r="F406" s="20">
        <f>PVCalcs!AW406</f>
        <v>1584.2852114068803</v>
      </c>
      <c r="G406" s="20" t="e">
        <f>PVCalcs!AX406</f>
        <v>#N/A</v>
      </c>
      <c r="H406" s="20">
        <f>BattCalcs!CM406</f>
        <v>0</v>
      </c>
      <c r="I406" s="20">
        <f>BattCalcs!CN406</f>
        <v>0</v>
      </c>
      <c r="J406" s="20" t="e">
        <f>IF(C406&lt;='Batt IN'!H$43*12,BattCalcs!CO406,NA())</f>
        <v>#N/A</v>
      </c>
      <c r="L406" s="20">
        <f t="shared" si="997"/>
        <v>1584.2852114068803</v>
      </c>
      <c r="M406" s="20" t="e">
        <f>G406+BattCalcs!CO406</f>
        <v>#N/A</v>
      </c>
      <c r="O406" s="10" t="str">
        <f>PVLoan!G434</f>
        <v>-</v>
      </c>
      <c r="P406" s="10" t="str">
        <f>PVLoan!J434</f>
        <v>-</v>
      </c>
      <c r="Q406" s="2" t="str">
        <f>BattLoan!G434</f>
        <v>-</v>
      </c>
      <c r="R406" s="10" t="str">
        <f>BattLoan!J434</f>
        <v>-</v>
      </c>
      <c r="T406" s="33">
        <f>IF('PV IN'!$F$4="Battery Only",0,PVCalcs!G406)</f>
        <v>116715.82240494536</v>
      </c>
      <c r="U406" s="33">
        <f>IF('PV IN'!$F$4="Battery Only",0,PVCalcs!M406)</f>
        <v>116715.82240494536</v>
      </c>
      <c r="V406" s="33">
        <f>PVCalcs!L406</f>
        <v>25811.765833333331</v>
      </c>
      <c r="W406" s="158">
        <f>PVCalcs!F406</f>
        <v>7.8896523189157505E-2</v>
      </c>
      <c r="X406" s="144">
        <f>IF('PV IN'!$F$4="Battery Only",0,PVCalcs!Y406+PVCalcs!Z406)</f>
        <v>0</v>
      </c>
      <c r="Y406" s="144">
        <f>IF('PV IN'!$F$4="PV Only",0,BattCalcs!AX406+BattCalcs!BC406)</f>
        <v>0</v>
      </c>
      <c r="Z406" s="144">
        <f>IF('PV IN'!$F$4="PV Only",0,BattCalcs!AY406+BattCalcs!BD406)</f>
        <v>0</v>
      </c>
      <c r="AA406" s="144">
        <f>IF('PV IN'!$F$4="PV Only",0,BattCalcs!AZ406+BattCalcs!BE406)</f>
        <v>0</v>
      </c>
      <c r="AB406" s="144">
        <f>IF('PV IN'!$F$4="PV Only",0,BattCalcs!BA406+BattCalcs!BF406)</f>
        <v>0</v>
      </c>
      <c r="AC406" s="144">
        <f>IF('PV IN'!$F$4="PV Only",0,BattCalcs!BB406+BattCalcs!BG406)</f>
        <v>0</v>
      </c>
      <c r="AD406" s="144">
        <f>IF('PV IN'!$F$4="PV Only",0,BattCalcs!BU406)</f>
        <v>0</v>
      </c>
      <c r="AE406" s="144">
        <f>IF('PV IN'!$F$4="PV Only",PVCalcs!W406+PVCalcs!AA406,IF('PV IN'!$F$4="Battery Only",BattCalcs!AV406+BattCalcs!BH406,PVCalcs!W406+PVCalcs!AA406+BattCalcs!AV406+BattCalcs!BH406))</f>
        <v>0</v>
      </c>
      <c r="AF406" s="10">
        <f>PVCalcs!AC406+BattCalcs!BJ406</f>
        <v>0</v>
      </c>
      <c r="AG406" s="144">
        <f>IF('PV IN'!$F$4="Battery Only",0,PVCalcs!AG406)</f>
        <v>-750</v>
      </c>
      <c r="AH406" s="144">
        <f>IF('PV IN'!$F$4="Battery Only",0,PVCalcs!AI406)</f>
        <v>0</v>
      </c>
      <c r="AI406" s="144">
        <f>IF('PV IN'!$F$4="PV Only",0,BattCalcs!BM406)</f>
        <v>0</v>
      </c>
      <c r="AJ406" s="144">
        <f>IF('PV IN'!$F$4="PV Only",0,SUM(BattCalcs!BO406:BT406))</f>
        <v>0</v>
      </c>
      <c r="AK406" s="144">
        <f>IF('PV IN'!$F$4="PV Only",PVCalcs!AH406,IF('PV IN'!$F$4="Battery Only",BattCalcs!BN406,PVCalcs!AH406+BattCalcs!BN406))</f>
        <v>-625</v>
      </c>
      <c r="AL406" s="144">
        <f>IF('PV IN'!$F$4="PV Only",0,BattCalcs!BV406)</f>
        <v>0</v>
      </c>
      <c r="AM406" s="144">
        <f>IF('PV IN'!$F$4="PV Only",0,SUM(BattCalcs!BW406:BX406))</f>
        <v>0</v>
      </c>
      <c r="AN406" s="144">
        <f>IF('PV IN'!$F$4="PV Only",0,BattCalcs!BY406)</f>
        <v>0</v>
      </c>
      <c r="AO406" s="144">
        <f>IF('PV IN'!$F$4="Battery Only",0,PVCalcs!U406)</f>
        <v>9208.4725889133606</v>
      </c>
      <c r="AP406" s="10">
        <f>IF('PV IN'!$F$4="PV Only",0,BattCalcs!AS406)</f>
        <v>0</v>
      </c>
      <c r="AQ406" s="10">
        <f>IF('PV IN'!$F$4="PV Only",0,BattCalcs!AT406)</f>
        <v>0</v>
      </c>
      <c r="AR406" s="10">
        <f>IF('PV IN'!$F$4="PV Only",0,BattCalcs!AU406)</f>
        <v>0</v>
      </c>
      <c r="AS406" s="144">
        <f>IF('PV IN'!$F$4="PV Only",PVCalcs!X406,IF('PV IN'!$F$4="Battery Only",BattCalcs!AW406,PVCalcs!X406+BattCalcs!AW406))</f>
        <v>0</v>
      </c>
      <c r="AT406" s="144">
        <f>IF('PV IN'!$F$4="Battery Only",0,-PVCalcs!AQ406*'PV IN'!$E$8)</f>
        <v>0</v>
      </c>
      <c r="AU406" s="144">
        <f>IF('PV IN'!$F$4="PV Only",0,-BattCalcs!CG406*'PV IN'!$E$8)</f>
        <v>0</v>
      </c>
      <c r="AV406" s="144">
        <f>IF('PV IN'!$F$4="PV Only",PVCalcs!Z406+PVCalcs!AA406,IF('PV IN'!$F$4="Battery Only",SUM(BattCalcs!BC406:BH406),PVCalcs!Z406+PVCalcs!AA406+SUM(BattCalcs!BC406:BH406)))</f>
        <v>0</v>
      </c>
      <c r="AW406" s="144">
        <f>IF('PV IN'!$F$4="PV Only",SUM(PVCalcs!AF406:AI406),IF('PV IN'!$F$4="Battery Only",SUM(BattCalcs!BL406:BY406),SUM(PVCalcs!AF406:AI406)+SUM(BattCalcs!BL406:BY406)))</f>
        <v>-1375</v>
      </c>
      <c r="AX406" s="144">
        <f>IF('PV IN'!$F$4="Battery Only",0,-PVLoan!F434)</f>
        <v>0</v>
      </c>
      <c r="AY406" s="144">
        <f>IF('PV IN'!$F$4="PV Only",0,-BattLoan!F434)</f>
        <v>0</v>
      </c>
      <c r="AZ406" s="144">
        <f>IF('PV IN'!$F$4="Battery Only",0,-PVLoan!H434)</f>
        <v>0</v>
      </c>
      <c r="BA406" s="144">
        <f>IF('PV IN'!$F$4="PV Only",0,-BattLoan!H434)</f>
        <v>0</v>
      </c>
    </row>
    <row r="407" spans="1:88" x14ac:dyDescent="0.25">
      <c r="A407" t="str">
        <f>IF(C407&lt;='PV IN'!$O$22*12,C407,"")</f>
        <v/>
      </c>
      <c r="C407">
        <v>403</v>
      </c>
      <c r="D407" s="2">
        <f>BattCalcs!CK407+PVCalcs!AT407</f>
        <v>8116.0836071874182</v>
      </c>
      <c r="E407" s="20">
        <f>PVCalcs!AV407</f>
        <v>2817728.7576211584</v>
      </c>
      <c r="F407" s="20">
        <f>PVCalcs!AW407</f>
        <v>1576.6642431914495</v>
      </c>
      <c r="G407" s="20" t="e">
        <f>PVCalcs!AX407</f>
        <v>#N/A</v>
      </c>
      <c r="H407" s="20">
        <f>BattCalcs!CM407</f>
        <v>0</v>
      </c>
      <c r="I407" s="20">
        <f>BattCalcs!CN407</f>
        <v>0</v>
      </c>
      <c r="J407" s="20" t="e">
        <f>IF(C407&lt;='Batt IN'!H$43*12,BattCalcs!CO407,NA())</f>
        <v>#N/A</v>
      </c>
      <c r="L407" s="20">
        <f t="shared" si="997"/>
        <v>1576.6642431914495</v>
      </c>
      <c r="M407" s="20" t="e">
        <f>G407+BattCalcs!CO407</f>
        <v>#N/A</v>
      </c>
      <c r="O407" s="10" t="str">
        <f>PVLoan!G435</f>
        <v>-</v>
      </c>
      <c r="P407" s="10" t="str">
        <f>PVLoan!J435</f>
        <v>-</v>
      </c>
      <c r="Q407" s="2" t="str">
        <f>BattLoan!G435</f>
        <v>-</v>
      </c>
      <c r="R407" s="10" t="str">
        <f>BattLoan!J435</f>
        <v>-</v>
      </c>
      <c r="T407" s="33">
        <f>IF('PV IN'!$F$4="Battery Only",0,PVCalcs!G407)</f>
        <v>116638.0118566754</v>
      </c>
      <c r="U407" s="33">
        <f>IF('PV IN'!$F$4="Battery Only",0,PVCalcs!M407)</f>
        <v>116638.0118566754</v>
      </c>
      <c r="V407" s="33">
        <f>PVCalcs!L407</f>
        <v>25811.765833333331</v>
      </c>
      <c r="W407" s="158">
        <f>PVCalcs!F407</f>
        <v>7.8896523189157505E-2</v>
      </c>
      <c r="X407" s="144">
        <f>IF('PV IN'!$F$4="Battery Only",0,PVCalcs!Y407+PVCalcs!Z407)</f>
        <v>0</v>
      </c>
      <c r="Y407" s="144">
        <f>IF('PV IN'!$F$4="PV Only",0,BattCalcs!AX407+BattCalcs!BC407)</f>
        <v>0</v>
      </c>
      <c r="Z407" s="144">
        <f>IF('PV IN'!$F$4="PV Only",0,BattCalcs!AY407+BattCalcs!BD407)</f>
        <v>0</v>
      </c>
      <c r="AA407" s="144">
        <f>IF('PV IN'!$F$4="PV Only",0,BattCalcs!AZ407+BattCalcs!BE407)</f>
        <v>0</v>
      </c>
      <c r="AB407" s="144">
        <f>IF('PV IN'!$F$4="PV Only",0,BattCalcs!BA407+BattCalcs!BF407)</f>
        <v>0</v>
      </c>
      <c r="AC407" s="144">
        <f>IF('PV IN'!$F$4="PV Only",0,BattCalcs!BB407+BattCalcs!BG407)</f>
        <v>0</v>
      </c>
      <c r="AD407" s="144">
        <f>IF('PV IN'!$F$4="PV Only",0,BattCalcs!BU407)</f>
        <v>0</v>
      </c>
      <c r="AE407" s="144">
        <f>IF('PV IN'!$F$4="PV Only",PVCalcs!W407+PVCalcs!AA407,IF('PV IN'!$F$4="Battery Only",BattCalcs!AV407+BattCalcs!BH407,PVCalcs!W407+PVCalcs!AA407+BattCalcs!AV407+BattCalcs!BH407))</f>
        <v>0</v>
      </c>
      <c r="AF407" s="10">
        <f>PVCalcs!AC407+BattCalcs!BJ407</f>
        <v>0</v>
      </c>
      <c r="AG407" s="144">
        <f>IF('PV IN'!$F$4="Battery Only",0,PVCalcs!AG407)</f>
        <v>-750</v>
      </c>
      <c r="AH407" s="144">
        <f>IF('PV IN'!$F$4="Battery Only",0,PVCalcs!AI407)</f>
        <v>0</v>
      </c>
      <c r="AI407" s="144">
        <f>IF('PV IN'!$F$4="PV Only",0,BattCalcs!BM407)</f>
        <v>0</v>
      </c>
      <c r="AJ407" s="144">
        <f>IF('PV IN'!$F$4="PV Only",0,SUM(BattCalcs!BO407:BT407))</f>
        <v>0</v>
      </c>
      <c r="AK407" s="144">
        <f>IF('PV IN'!$F$4="PV Only",PVCalcs!AH407,IF('PV IN'!$F$4="Battery Only",BattCalcs!BN407,PVCalcs!AH407+BattCalcs!BN407))</f>
        <v>-625</v>
      </c>
      <c r="AL407" s="144">
        <f>IF('PV IN'!$F$4="PV Only",0,BattCalcs!BV407)</f>
        <v>0</v>
      </c>
      <c r="AM407" s="144">
        <f>IF('PV IN'!$F$4="PV Only",0,SUM(BattCalcs!BW407:BX407))</f>
        <v>0</v>
      </c>
      <c r="AN407" s="144">
        <f>IF('PV IN'!$F$4="PV Only",0,BattCalcs!BY407)</f>
        <v>0</v>
      </c>
      <c r="AO407" s="144">
        <f>IF('PV IN'!$F$4="Battery Only",0,PVCalcs!U407)</f>
        <v>9202.3336071874182</v>
      </c>
      <c r="AP407" s="10">
        <f>IF('PV IN'!$F$4="PV Only",0,BattCalcs!AS407)</f>
        <v>0</v>
      </c>
      <c r="AQ407" s="10">
        <f>IF('PV IN'!$F$4="PV Only",0,BattCalcs!AT407)</f>
        <v>0</v>
      </c>
      <c r="AR407" s="10">
        <f>IF('PV IN'!$F$4="PV Only",0,BattCalcs!AU407)</f>
        <v>0</v>
      </c>
      <c r="AS407" s="144">
        <f>IF('PV IN'!$F$4="PV Only",PVCalcs!X407,IF('PV IN'!$F$4="Battery Only",BattCalcs!AW407,PVCalcs!X407+BattCalcs!AW407))</f>
        <v>0</v>
      </c>
      <c r="AT407" s="144">
        <f>IF('PV IN'!$F$4="Battery Only",0,-PVCalcs!AQ407*'PV IN'!$E$8)</f>
        <v>0</v>
      </c>
      <c r="AU407" s="144">
        <f>IF('PV IN'!$F$4="PV Only",0,-BattCalcs!CG407*'PV IN'!$E$8)</f>
        <v>0</v>
      </c>
      <c r="AV407" s="144">
        <f>IF('PV IN'!$F$4="PV Only",PVCalcs!Z407+PVCalcs!AA407,IF('PV IN'!$F$4="Battery Only",SUM(BattCalcs!BC407:BH407),PVCalcs!Z407+PVCalcs!AA407+SUM(BattCalcs!BC407:BH407)))</f>
        <v>0</v>
      </c>
      <c r="AW407" s="144">
        <f>IF('PV IN'!$F$4="PV Only",SUM(PVCalcs!AF407:AI407),IF('PV IN'!$F$4="Battery Only",SUM(BattCalcs!BL407:BY407),SUM(PVCalcs!AF407:AI407)+SUM(BattCalcs!BL407:BY407)))</f>
        <v>-1375</v>
      </c>
      <c r="AX407" s="144">
        <f>IF('PV IN'!$F$4="Battery Only",0,-PVLoan!F435)</f>
        <v>0</v>
      </c>
      <c r="AY407" s="144">
        <f>IF('PV IN'!$F$4="PV Only",0,-BattLoan!F435)</f>
        <v>0</v>
      </c>
      <c r="AZ407" s="144">
        <f>IF('PV IN'!$F$4="Battery Only",0,-PVLoan!H435)</f>
        <v>0</v>
      </c>
      <c r="BA407" s="144">
        <f>IF('PV IN'!$F$4="PV Only",0,-BattLoan!H435)</f>
        <v>0</v>
      </c>
    </row>
    <row r="408" spans="1:88" x14ac:dyDescent="0.25">
      <c r="A408" t="str">
        <f>IF(C408&lt;='PV IN'!$O$22*12,C408,"")</f>
        <v/>
      </c>
      <c r="C408">
        <v>404</v>
      </c>
      <c r="D408" s="2">
        <f>BattCalcs!CK408+PVCalcs!AT408</f>
        <v>8109.9487181159584</v>
      </c>
      <c r="E408" s="20">
        <f>PVCalcs!AV408</f>
        <v>2825838.7063392745</v>
      </c>
      <c r="F408" s="20">
        <f>PVCalcs!AW408</f>
        <v>1569.0798286115726</v>
      </c>
      <c r="G408" s="20" t="e">
        <f>PVCalcs!AX408</f>
        <v>#N/A</v>
      </c>
      <c r="H408" s="20">
        <f>BattCalcs!CM408</f>
        <v>0</v>
      </c>
      <c r="I408" s="20">
        <f>BattCalcs!CN408</f>
        <v>0</v>
      </c>
      <c r="J408" s="20" t="e">
        <f>IF(C408&lt;='Batt IN'!H$43*12,BattCalcs!CO408,NA())</f>
        <v>#N/A</v>
      </c>
      <c r="L408" s="20">
        <f t="shared" si="997"/>
        <v>1569.0798286115726</v>
      </c>
      <c r="M408" s="20" t="e">
        <f>G408+BattCalcs!CO408</f>
        <v>#N/A</v>
      </c>
      <c r="O408" s="10" t="str">
        <f>PVLoan!G436</f>
        <v>-</v>
      </c>
      <c r="P408" s="10" t="str">
        <f>PVLoan!J436</f>
        <v>-</v>
      </c>
      <c r="Q408" s="2" t="str">
        <f>BattLoan!G436</f>
        <v>-</v>
      </c>
      <c r="R408" s="10" t="str">
        <f>BattLoan!J436</f>
        <v>-</v>
      </c>
      <c r="T408" s="33">
        <f>IF('PV IN'!$F$4="Battery Only",0,PVCalcs!G408)</f>
        <v>116560.25318210426</v>
      </c>
      <c r="U408" s="33">
        <f>IF('PV IN'!$F$4="Battery Only",0,PVCalcs!M408)</f>
        <v>116560.25318210426</v>
      </c>
      <c r="V408" s="33">
        <f>PVCalcs!L408</f>
        <v>25811.765833333331</v>
      </c>
      <c r="W408" s="158">
        <f>PVCalcs!F408</f>
        <v>7.8896523189157505E-2</v>
      </c>
      <c r="X408" s="144">
        <f>IF('PV IN'!$F$4="Battery Only",0,PVCalcs!Y408+PVCalcs!Z408)</f>
        <v>0</v>
      </c>
      <c r="Y408" s="144">
        <f>IF('PV IN'!$F$4="PV Only",0,BattCalcs!AX408+BattCalcs!BC408)</f>
        <v>0</v>
      </c>
      <c r="Z408" s="144">
        <f>IF('PV IN'!$F$4="PV Only",0,BattCalcs!AY408+BattCalcs!BD408)</f>
        <v>0</v>
      </c>
      <c r="AA408" s="144">
        <f>IF('PV IN'!$F$4="PV Only",0,BattCalcs!AZ408+BattCalcs!BE408)</f>
        <v>0</v>
      </c>
      <c r="AB408" s="144">
        <f>IF('PV IN'!$F$4="PV Only",0,BattCalcs!BA408+BattCalcs!BF408)</f>
        <v>0</v>
      </c>
      <c r="AC408" s="144">
        <f>IF('PV IN'!$F$4="PV Only",0,BattCalcs!BB408+BattCalcs!BG408)</f>
        <v>0</v>
      </c>
      <c r="AD408" s="144">
        <f>IF('PV IN'!$F$4="PV Only",0,BattCalcs!BU408)</f>
        <v>0</v>
      </c>
      <c r="AE408" s="144">
        <f>IF('PV IN'!$F$4="PV Only",PVCalcs!W408+PVCalcs!AA408,IF('PV IN'!$F$4="Battery Only",BattCalcs!AV408+BattCalcs!BH408,PVCalcs!W408+PVCalcs!AA408+BattCalcs!AV408+BattCalcs!BH408))</f>
        <v>0</v>
      </c>
      <c r="AF408" s="10">
        <f>PVCalcs!AC408+BattCalcs!BJ408</f>
        <v>0</v>
      </c>
      <c r="AG408" s="144">
        <f>IF('PV IN'!$F$4="Battery Only",0,PVCalcs!AG408)</f>
        <v>-750</v>
      </c>
      <c r="AH408" s="144">
        <f>IF('PV IN'!$F$4="Battery Only",0,PVCalcs!AI408)</f>
        <v>0</v>
      </c>
      <c r="AI408" s="144">
        <f>IF('PV IN'!$F$4="PV Only",0,BattCalcs!BM408)</f>
        <v>0</v>
      </c>
      <c r="AJ408" s="144">
        <f>IF('PV IN'!$F$4="PV Only",0,SUM(BattCalcs!BO408:BT408))</f>
        <v>0</v>
      </c>
      <c r="AK408" s="144">
        <f>IF('PV IN'!$F$4="PV Only",PVCalcs!AH408,IF('PV IN'!$F$4="Battery Only",BattCalcs!BN408,PVCalcs!AH408+BattCalcs!BN408))</f>
        <v>-625</v>
      </c>
      <c r="AL408" s="144">
        <f>IF('PV IN'!$F$4="PV Only",0,BattCalcs!BV408)</f>
        <v>0</v>
      </c>
      <c r="AM408" s="144">
        <f>IF('PV IN'!$F$4="PV Only",0,SUM(BattCalcs!BW408:BX408))</f>
        <v>0</v>
      </c>
      <c r="AN408" s="144">
        <f>IF('PV IN'!$F$4="PV Only",0,BattCalcs!BY408)</f>
        <v>0</v>
      </c>
      <c r="AO408" s="144">
        <f>IF('PV IN'!$F$4="Battery Only",0,PVCalcs!U408)</f>
        <v>9196.1987181159584</v>
      </c>
      <c r="AP408" s="10">
        <f>IF('PV IN'!$F$4="PV Only",0,BattCalcs!AS408)</f>
        <v>0</v>
      </c>
      <c r="AQ408" s="10">
        <f>IF('PV IN'!$F$4="PV Only",0,BattCalcs!AT408)</f>
        <v>0</v>
      </c>
      <c r="AR408" s="10">
        <f>IF('PV IN'!$F$4="PV Only",0,BattCalcs!AU408)</f>
        <v>0</v>
      </c>
      <c r="AS408" s="144">
        <f>IF('PV IN'!$F$4="PV Only",PVCalcs!X408,IF('PV IN'!$F$4="Battery Only",BattCalcs!AW408,PVCalcs!X408+BattCalcs!AW408))</f>
        <v>0</v>
      </c>
      <c r="AT408" s="144">
        <f>IF('PV IN'!$F$4="Battery Only",0,-PVCalcs!AQ408*'PV IN'!$E$8)</f>
        <v>0</v>
      </c>
      <c r="AU408" s="144">
        <f>IF('PV IN'!$F$4="PV Only",0,-BattCalcs!CG408*'PV IN'!$E$8)</f>
        <v>0</v>
      </c>
      <c r="AV408" s="144">
        <f>IF('PV IN'!$F$4="PV Only",PVCalcs!Z408+PVCalcs!AA408,IF('PV IN'!$F$4="Battery Only",SUM(BattCalcs!BC408:BH408),PVCalcs!Z408+PVCalcs!AA408+SUM(BattCalcs!BC408:BH408)))</f>
        <v>0</v>
      </c>
      <c r="AW408" s="144">
        <f>IF('PV IN'!$F$4="PV Only",SUM(PVCalcs!AF408:AI408),IF('PV IN'!$F$4="Battery Only",SUM(BattCalcs!BL408:BY408),SUM(PVCalcs!AF408:AI408)+SUM(BattCalcs!BL408:BY408)))</f>
        <v>-1375</v>
      </c>
      <c r="AX408" s="144">
        <f>IF('PV IN'!$F$4="Battery Only",0,-PVLoan!F436)</f>
        <v>0</v>
      </c>
      <c r="AY408" s="144">
        <f>IF('PV IN'!$F$4="PV Only",0,-BattLoan!F436)</f>
        <v>0</v>
      </c>
      <c r="AZ408" s="144">
        <f>IF('PV IN'!$F$4="Battery Only",0,-PVLoan!H436)</f>
        <v>0</v>
      </c>
      <c r="BA408" s="144">
        <f>IF('PV IN'!$F$4="PV Only",0,-BattLoan!H436)</f>
        <v>0</v>
      </c>
    </row>
    <row r="409" spans="1:88" x14ac:dyDescent="0.25">
      <c r="A409" t="str">
        <f>IF(C409&lt;='PV IN'!$O$22*12,C409,"")</f>
        <v/>
      </c>
      <c r="C409">
        <v>405</v>
      </c>
      <c r="D409" s="2">
        <f>BattCalcs!CK409+PVCalcs!AT409</f>
        <v>8103.8179189705497</v>
      </c>
      <c r="E409" s="20">
        <f>PVCalcs!AV409</f>
        <v>2833942.5242582452</v>
      </c>
      <c r="F409" s="20">
        <f>PVCalcs!AW409</f>
        <v>1561.5317927611184</v>
      </c>
      <c r="G409" s="20" t="e">
        <f>PVCalcs!AX409</f>
        <v>#N/A</v>
      </c>
      <c r="H409" s="20">
        <f>BattCalcs!CM409</f>
        <v>0</v>
      </c>
      <c r="I409" s="20">
        <f>BattCalcs!CN409</f>
        <v>0</v>
      </c>
      <c r="J409" s="20" t="e">
        <f>IF(C409&lt;='Batt IN'!H$43*12,BattCalcs!CO409,NA())</f>
        <v>#N/A</v>
      </c>
      <c r="L409" s="20">
        <f t="shared" si="997"/>
        <v>1561.5317927611184</v>
      </c>
      <c r="M409" s="20" t="e">
        <f>G409+BattCalcs!CO409</f>
        <v>#N/A</v>
      </c>
      <c r="O409" s="10" t="str">
        <f>PVLoan!G437</f>
        <v>-</v>
      </c>
      <c r="P409" s="10" t="str">
        <f>PVLoan!J437</f>
        <v>-</v>
      </c>
      <c r="Q409" s="2" t="str">
        <f>BattLoan!G437</f>
        <v>-</v>
      </c>
      <c r="R409" s="10" t="str">
        <f>BattLoan!J437</f>
        <v>-</v>
      </c>
      <c r="T409" s="33">
        <f>IF('PV IN'!$F$4="Battery Only",0,PVCalcs!G409)</f>
        <v>116482.54634664954</v>
      </c>
      <c r="U409" s="33">
        <f>IF('PV IN'!$F$4="Battery Only",0,PVCalcs!M409)</f>
        <v>116482.54634664954</v>
      </c>
      <c r="V409" s="33">
        <f>PVCalcs!L409</f>
        <v>25811.765833333331</v>
      </c>
      <c r="W409" s="158">
        <f>PVCalcs!F409</f>
        <v>7.8896523189157505E-2</v>
      </c>
      <c r="X409" s="144">
        <f>IF('PV IN'!$F$4="Battery Only",0,PVCalcs!Y409+PVCalcs!Z409)</f>
        <v>0</v>
      </c>
      <c r="Y409" s="144">
        <f>IF('PV IN'!$F$4="PV Only",0,BattCalcs!AX409+BattCalcs!BC409)</f>
        <v>0</v>
      </c>
      <c r="Z409" s="144">
        <f>IF('PV IN'!$F$4="PV Only",0,BattCalcs!AY409+BattCalcs!BD409)</f>
        <v>0</v>
      </c>
      <c r="AA409" s="144">
        <f>IF('PV IN'!$F$4="PV Only",0,BattCalcs!AZ409+BattCalcs!BE409)</f>
        <v>0</v>
      </c>
      <c r="AB409" s="144">
        <f>IF('PV IN'!$F$4="PV Only",0,BattCalcs!BA409+BattCalcs!BF409)</f>
        <v>0</v>
      </c>
      <c r="AC409" s="144">
        <f>IF('PV IN'!$F$4="PV Only",0,BattCalcs!BB409+BattCalcs!BG409)</f>
        <v>0</v>
      </c>
      <c r="AD409" s="144">
        <f>IF('PV IN'!$F$4="PV Only",0,BattCalcs!BU409)</f>
        <v>0</v>
      </c>
      <c r="AE409" s="144">
        <f>IF('PV IN'!$F$4="PV Only",PVCalcs!W409+PVCalcs!AA409,IF('PV IN'!$F$4="Battery Only",BattCalcs!AV409+BattCalcs!BH409,PVCalcs!W409+PVCalcs!AA409+BattCalcs!AV409+BattCalcs!BH409))</f>
        <v>0</v>
      </c>
      <c r="AF409" s="10">
        <f>PVCalcs!AC409+BattCalcs!BJ409</f>
        <v>0</v>
      </c>
      <c r="AG409" s="144">
        <f>IF('PV IN'!$F$4="Battery Only",0,PVCalcs!AG409)</f>
        <v>-750</v>
      </c>
      <c r="AH409" s="144">
        <f>IF('PV IN'!$F$4="Battery Only",0,PVCalcs!AI409)</f>
        <v>0</v>
      </c>
      <c r="AI409" s="144">
        <f>IF('PV IN'!$F$4="PV Only",0,BattCalcs!BM409)</f>
        <v>0</v>
      </c>
      <c r="AJ409" s="144">
        <f>IF('PV IN'!$F$4="PV Only",0,SUM(BattCalcs!BO409:BT409))</f>
        <v>0</v>
      </c>
      <c r="AK409" s="144">
        <f>IF('PV IN'!$F$4="PV Only",PVCalcs!AH409,IF('PV IN'!$F$4="Battery Only",BattCalcs!BN409,PVCalcs!AH409+BattCalcs!BN409))</f>
        <v>-625</v>
      </c>
      <c r="AL409" s="144">
        <f>IF('PV IN'!$F$4="PV Only",0,BattCalcs!BV409)</f>
        <v>0</v>
      </c>
      <c r="AM409" s="144">
        <f>IF('PV IN'!$F$4="PV Only",0,SUM(BattCalcs!BW409:BX409))</f>
        <v>0</v>
      </c>
      <c r="AN409" s="144">
        <f>IF('PV IN'!$F$4="PV Only",0,BattCalcs!BY409)</f>
        <v>0</v>
      </c>
      <c r="AO409" s="144">
        <f>IF('PV IN'!$F$4="Battery Only",0,PVCalcs!U409)</f>
        <v>9190.0679189705497</v>
      </c>
      <c r="AP409" s="10">
        <f>IF('PV IN'!$F$4="PV Only",0,BattCalcs!AS409)</f>
        <v>0</v>
      </c>
      <c r="AQ409" s="10">
        <f>IF('PV IN'!$F$4="PV Only",0,BattCalcs!AT409)</f>
        <v>0</v>
      </c>
      <c r="AR409" s="10">
        <f>IF('PV IN'!$F$4="PV Only",0,BattCalcs!AU409)</f>
        <v>0</v>
      </c>
      <c r="AS409" s="144">
        <f>IF('PV IN'!$F$4="PV Only",PVCalcs!X409,IF('PV IN'!$F$4="Battery Only",BattCalcs!AW409,PVCalcs!X409+BattCalcs!AW409))</f>
        <v>0</v>
      </c>
      <c r="AT409" s="144">
        <f>IF('PV IN'!$F$4="Battery Only",0,-PVCalcs!AQ409*'PV IN'!$E$8)</f>
        <v>0</v>
      </c>
      <c r="AU409" s="144">
        <f>IF('PV IN'!$F$4="PV Only",0,-BattCalcs!CG409*'PV IN'!$E$8)</f>
        <v>0</v>
      </c>
      <c r="AV409" s="144">
        <f>IF('PV IN'!$F$4="PV Only",PVCalcs!Z409+PVCalcs!AA409,IF('PV IN'!$F$4="Battery Only",SUM(BattCalcs!BC409:BH409),PVCalcs!Z409+PVCalcs!AA409+SUM(BattCalcs!BC409:BH409)))</f>
        <v>0</v>
      </c>
      <c r="AW409" s="144">
        <f>IF('PV IN'!$F$4="PV Only",SUM(PVCalcs!AF409:AI409),IF('PV IN'!$F$4="Battery Only",SUM(BattCalcs!BL409:BY409),SUM(PVCalcs!AF409:AI409)+SUM(BattCalcs!BL409:BY409)))</f>
        <v>-1375</v>
      </c>
      <c r="AX409" s="144">
        <f>IF('PV IN'!$F$4="Battery Only",0,-PVLoan!F437)</f>
        <v>0</v>
      </c>
      <c r="AY409" s="144">
        <f>IF('PV IN'!$F$4="PV Only",0,-BattLoan!F437)</f>
        <v>0</v>
      </c>
      <c r="AZ409" s="144">
        <f>IF('PV IN'!$F$4="Battery Only",0,-PVLoan!H437)</f>
        <v>0</v>
      </c>
      <c r="BA409" s="144">
        <f>IF('PV IN'!$F$4="PV Only",0,-BattLoan!H437)</f>
        <v>0</v>
      </c>
    </row>
    <row r="410" spans="1:88" x14ac:dyDescent="0.25">
      <c r="A410" t="str">
        <f>IF(C410&lt;='PV IN'!$O$22*12,C410,"")</f>
        <v/>
      </c>
      <c r="C410">
        <v>406</v>
      </c>
      <c r="D410" s="2">
        <f>BattCalcs!CK410+PVCalcs!AT410</f>
        <v>8097.6912070245689</v>
      </c>
      <c r="E410" s="20">
        <f>PVCalcs!AV410</f>
        <v>2842040.21546527</v>
      </c>
      <c r="F410" s="20">
        <f>PVCalcs!AW410</f>
        <v>1554.019961569182</v>
      </c>
      <c r="G410" s="20" t="e">
        <f>PVCalcs!AX410</f>
        <v>#N/A</v>
      </c>
      <c r="H410" s="20">
        <f>BattCalcs!CM410</f>
        <v>0</v>
      </c>
      <c r="I410" s="20">
        <f>BattCalcs!CN410</f>
        <v>0</v>
      </c>
      <c r="J410" s="20" t="e">
        <f>IF(C410&lt;='Batt IN'!H$43*12,BattCalcs!CO410,NA())</f>
        <v>#N/A</v>
      </c>
      <c r="L410" s="20">
        <f t="shared" si="997"/>
        <v>1554.019961569182</v>
      </c>
      <c r="M410" s="20" t="e">
        <f>G410+BattCalcs!CO410</f>
        <v>#N/A</v>
      </c>
      <c r="O410" s="10" t="str">
        <f>PVLoan!G438</f>
        <v>-</v>
      </c>
      <c r="P410" s="10" t="str">
        <f>PVLoan!J438</f>
        <v>-</v>
      </c>
      <c r="Q410" s="2" t="str">
        <f>BattLoan!G438</f>
        <v>-</v>
      </c>
      <c r="R410" s="10" t="str">
        <f>BattLoan!J438</f>
        <v>-</v>
      </c>
      <c r="T410" s="33">
        <f>IF('PV IN'!$F$4="Battery Only",0,PVCalcs!G410)</f>
        <v>116404.89131575177</v>
      </c>
      <c r="U410" s="33">
        <f>IF('PV IN'!$F$4="Battery Only",0,PVCalcs!M410)</f>
        <v>116404.89131575177</v>
      </c>
      <c r="V410" s="33">
        <f>PVCalcs!L410</f>
        <v>25811.765833333331</v>
      </c>
      <c r="W410" s="158">
        <f>PVCalcs!F410</f>
        <v>7.8896523189157505E-2</v>
      </c>
      <c r="X410" s="144">
        <f>IF('PV IN'!$F$4="Battery Only",0,PVCalcs!Y410+PVCalcs!Z410)</f>
        <v>0</v>
      </c>
      <c r="Y410" s="144">
        <f>IF('PV IN'!$F$4="PV Only",0,BattCalcs!AX410+BattCalcs!BC410)</f>
        <v>0</v>
      </c>
      <c r="Z410" s="144">
        <f>IF('PV IN'!$F$4="PV Only",0,BattCalcs!AY410+BattCalcs!BD410)</f>
        <v>0</v>
      </c>
      <c r="AA410" s="144">
        <f>IF('PV IN'!$F$4="PV Only",0,BattCalcs!AZ410+BattCalcs!BE410)</f>
        <v>0</v>
      </c>
      <c r="AB410" s="144">
        <f>IF('PV IN'!$F$4="PV Only",0,BattCalcs!BA410+BattCalcs!BF410)</f>
        <v>0</v>
      </c>
      <c r="AC410" s="144">
        <f>IF('PV IN'!$F$4="PV Only",0,BattCalcs!BB410+BattCalcs!BG410)</f>
        <v>0</v>
      </c>
      <c r="AD410" s="144">
        <f>IF('PV IN'!$F$4="PV Only",0,BattCalcs!BU410)</f>
        <v>0</v>
      </c>
      <c r="AE410" s="144">
        <f>IF('PV IN'!$F$4="PV Only",PVCalcs!W410+PVCalcs!AA410,IF('PV IN'!$F$4="Battery Only",BattCalcs!AV410+BattCalcs!BH410,PVCalcs!W410+PVCalcs!AA410+BattCalcs!AV410+BattCalcs!BH410))</f>
        <v>0</v>
      </c>
      <c r="AF410" s="10">
        <f>PVCalcs!AC410+BattCalcs!BJ410</f>
        <v>0</v>
      </c>
      <c r="AG410" s="144">
        <f>IF('PV IN'!$F$4="Battery Only",0,PVCalcs!AG410)</f>
        <v>-750</v>
      </c>
      <c r="AH410" s="144">
        <f>IF('PV IN'!$F$4="Battery Only",0,PVCalcs!AI410)</f>
        <v>0</v>
      </c>
      <c r="AI410" s="144">
        <f>IF('PV IN'!$F$4="PV Only",0,BattCalcs!BM410)</f>
        <v>0</v>
      </c>
      <c r="AJ410" s="144">
        <f>IF('PV IN'!$F$4="PV Only",0,SUM(BattCalcs!BO410:BT410))</f>
        <v>0</v>
      </c>
      <c r="AK410" s="144">
        <f>IF('PV IN'!$F$4="PV Only",PVCalcs!AH410,IF('PV IN'!$F$4="Battery Only",BattCalcs!BN410,PVCalcs!AH410+BattCalcs!BN410))</f>
        <v>-625</v>
      </c>
      <c r="AL410" s="144">
        <f>IF('PV IN'!$F$4="PV Only",0,BattCalcs!BV410)</f>
        <v>0</v>
      </c>
      <c r="AM410" s="144">
        <f>IF('PV IN'!$F$4="PV Only",0,SUM(BattCalcs!BW410:BX410))</f>
        <v>0</v>
      </c>
      <c r="AN410" s="144">
        <f>IF('PV IN'!$F$4="PV Only",0,BattCalcs!BY410)</f>
        <v>0</v>
      </c>
      <c r="AO410" s="144">
        <f>IF('PV IN'!$F$4="Battery Only",0,PVCalcs!U410)</f>
        <v>9183.9412070245689</v>
      </c>
      <c r="AP410" s="10">
        <f>IF('PV IN'!$F$4="PV Only",0,BattCalcs!AS410)</f>
        <v>0</v>
      </c>
      <c r="AQ410" s="10">
        <f>IF('PV IN'!$F$4="PV Only",0,BattCalcs!AT410)</f>
        <v>0</v>
      </c>
      <c r="AR410" s="10">
        <f>IF('PV IN'!$F$4="PV Only",0,BattCalcs!AU410)</f>
        <v>0</v>
      </c>
      <c r="AS410" s="144">
        <f>IF('PV IN'!$F$4="PV Only",PVCalcs!X410,IF('PV IN'!$F$4="Battery Only",BattCalcs!AW410,PVCalcs!X410+BattCalcs!AW410))</f>
        <v>0</v>
      </c>
      <c r="AT410" s="144">
        <f>IF('PV IN'!$F$4="Battery Only",0,-PVCalcs!AQ410*'PV IN'!$E$8)</f>
        <v>0</v>
      </c>
      <c r="AU410" s="144">
        <f>IF('PV IN'!$F$4="PV Only",0,-BattCalcs!CG410*'PV IN'!$E$8)</f>
        <v>0</v>
      </c>
      <c r="AV410" s="144">
        <f>IF('PV IN'!$F$4="PV Only",PVCalcs!Z410+PVCalcs!AA410,IF('PV IN'!$F$4="Battery Only",SUM(BattCalcs!BC410:BH410),PVCalcs!Z410+PVCalcs!AA410+SUM(BattCalcs!BC410:BH410)))</f>
        <v>0</v>
      </c>
      <c r="AW410" s="144">
        <f>IF('PV IN'!$F$4="PV Only",SUM(PVCalcs!AF410:AI410),IF('PV IN'!$F$4="Battery Only",SUM(BattCalcs!BL410:BY410),SUM(PVCalcs!AF410:AI410)+SUM(BattCalcs!BL410:BY410)))</f>
        <v>-1375</v>
      </c>
      <c r="AX410" s="144">
        <f>IF('PV IN'!$F$4="Battery Only",0,-PVLoan!F438)</f>
        <v>0</v>
      </c>
      <c r="AY410" s="144">
        <f>IF('PV IN'!$F$4="PV Only",0,-BattLoan!F438)</f>
        <v>0</v>
      </c>
      <c r="AZ410" s="144">
        <f>IF('PV IN'!$F$4="Battery Only",0,-PVLoan!H438)</f>
        <v>0</v>
      </c>
      <c r="BA410" s="144">
        <f>IF('PV IN'!$F$4="PV Only",0,-BattLoan!H438)</f>
        <v>0</v>
      </c>
    </row>
    <row r="411" spans="1:88" x14ac:dyDescent="0.25">
      <c r="A411" t="str">
        <f>IF(C411&lt;='PV IN'!$O$22*12,C411,"")</f>
        <v/>
      </c>
      <c r="C411">
        <v>407</v>
      </c>
      <c r="D411" s="2">
        <f>BattCalcs!CK411+PVCalcs!AT411</f>
        <v>8091.5685795532172</v>
      </c>
      <c r="E411" s="20">
        <f>PVCalcs!AV411</f>
        <v>2850131.7840448231</v>
      </c>
      <c r="F411" s="20">
        <f>PVCalcs!AW411</f>
        <v>1546.5441617961046</v>
      </c>
      <c r="G411" s="20" t="e">
        <f>PVCalcs!AX411</f>
        <v>#N/A</v>
      </c>
      <c r="H411" s="20">
        <f>BattCalcs!CM411</f>
        <v>0</v>
      </c>
      <c r="I411" s="20">
        <f>BattCalcs!CN411</f>
        <v>0</v>
      </c>
      <c r="J411" s="20" t="e">
        <f>IF(C411&lt;='Batt IN'!H$43*12,BattCalcs!CO411,NA())</f>
        <v>#N/A</v>
      </c>
      <c r="L411" s="20">
        <f t="shared" si="997"/>
        <v>1546.5441617961046</v>
      </c>
      <c r="M411" s="20" t="e">
        <f>G411+BattCalcs!CO411</f>
        <v>#N/A</v>
      </c>
      <c r="O411" s="10" t="str">
        <f>PVLoan!G439</f>
        <v>-</v>
      </c>
      <c r="P411" s="10" t="str">
        <f>PVLoan!J439</f>
        <v>-</v>
      </c>
      <c r="Q411" s="2" t="str">
        <f>BattLoan!G439</f>
        <v>-</v>
      </c>
      <c r="R411" s="10" t="str">
        <f>BattLoan!J439</f>
        <v>-</v>
      </c>
      <c r="T411" s="33">
        <f>IF('PV IN'!$F$4="Battery Only",0,PVCalcs!G411)</f>
        <v>116327.28805487459</v>
      </c>
      <c r="U411" s="33">
        <f>IF('PV IN'!$F$4="Battery Only",0,PVCalcs!M411)</f>
        <v>116327.28805487459</v>
      </c>
      <c r="V411" s="33">
        <f>PVCalcs!L411</f>
        <v>25811.765833333331</v>
      </c>
      <c r="W411" s="158">
        <f>PVCalcs!F411</f>
        <v>7.8896523189157505E-2</v>
      </c>
      <c r="X411" s="144">
        <f>IF('PV IN'!$F$4="Battery Only",0,PVCalcs!Y411+PVCalcs!Z411)</f>
        <v>0</v>
      </c>
      <c r="Y411" s="144">
        <f>IF('PV IN'!$F$4="PV Only",0,BattCalcs!AX411+BattCalcs!BC411)</f>
        <v>0</v>
      </c>
      <c r="Z411" s="144">
        <f>IF('PV IN'!$F$4="PV Only",0,BattCalcs!AY411+BattCalcs!BD411)</f>
        <v>0</v>
      </c>
      <c r="AA411" s="144">
        <f>IF('PV IN'!$F$4="PV Only",0,BattCalcs!AZ411+BattCalcs!BE411)</f>
        <v>0</v>
      </c>
      <c r="AB411" s="144">
        <f>IF('PV IN'!$F$4="PV Only",0,BattCalcs!BA411+BattCalcs!BF411)</f>
        <v>0</v>
      </c>
      <c r="AC411" s="144">
        <f>IF('PV IN'!$F$4="PV Only",0,BattCalcs!BB411+BattCalcs!BG411)</f>
        <v>0</v>
      </c>
      <c r="AD411" s="144">
        <f>IF('PV IN'!$F$4="PV Only",0,BattCalcs!BU411)</f>
        <v>0</v>
      </c>
      <c r="AE411" s="144">
        <f>IF('PV IN'!$F$4="PV Only",PVCalcs!W411+PVCalcs!AA411,IF('PV IN'!$F$4="Battery Only",BattCalcs!AV411+BattCalcs!BH411,PVCalcs!W411+PVCalcs!AA411+BattCalcs!AV411+BattCalcs!BH411))</f>
        <v>0</v>
      </c>
      <c r="AF411" s="10">
        <f>PVCalcs!AC411+BattCalcs!BJ411</f>
        <v>0</v>
      </c>
      <c r="AG411" s="144">
        <f>IF('PV IN'!$F$4="Battery Only",0,PVCalcs!AG411)</f>
        <v>-750</v>
      </c>
      <c r="AH411" s="144">
        <f>IF('PV IN'!$F$4="Battery Only",0,PVCalcs!AI411)</f>
        <v>0</v>
      </c>
      <c r="AI411" s="144">
        <f>IF('PV IN'!$F$4="PV Only",0,BattCalcs!BM411)</f>
        <v>0</v>
      </c>
      <c r="AJ411" s="144">
        <f>IF('PV IN'!$F$4="PV Only",0,SUM(BattCalcs!BO411:BT411))</f>
        <v>0</v>
      </c>
      <c r="AK411" s="144">
        <f>IF('PV IN'!$F$4="PV Only",PVCalcs!AH411,IF('PV IN'!$F$4="Battery Only",BattCalcs!BN411,PVCalcs!AH411+BattCalcs!BN411))</f>
        <v>-625</v>
      </c>
      <c r="AL411" s="144">
        <f>IF('PV IN'!$F$4="PV Only",0,BattCalcs!BV411)</f>
        <v>0</v>
      </c>
      <c r="AM411" s="144">
        <f>IF('PV IN'!$F$4="PV Only",0,SUM(BattCalcs!BW411:BX411))</f>
        <v>0</v>
      </c>
      <c r="AN411" s="144">
        <f>IF('PV IN'!$F$4="PV Only",0,BattCalcs!BY411)</f>
        <v>0</v>
      </c>
      <c r="AO411" s="144">
        <f>IF('PV IN'!$F$4="Battery Only",0,PVCalcs!U411)</f>
        <v>9177.8185795532172</v>
      </c>
      <c r="AP411" s="10">
        <f>IF('PV IN'!$F$4="PV Only",0,BattCalcs!AS411)</f>
        <v>0</v>
      </c>
      <c r="AQ411" s="10">
        <f>IF('PV IN'!$F$4="PV Only",0,BattCalcs!AT411)</f>
        <v>0</v>
      </c>
      <c r="AR411" s="10">
        <f>IF('PV IN'!$F$4="PV Only",0,BattCalcs!AU411)</f>
        <v>0</v>
      </c>
      <c r="AS411" s="144">
        <f>IF('PV IN'!$F$4="PV Only",PVCalcs!X411,IF('PV IN'!$F$4="Battery Only",BattCalcs!AW411,PVCalcs!X411+BattCalcs!AW411))</f>
        <v>0</v>
      </c>
      <c r="AT411" s="144">
        <f>IF('PV IN'!$F$4="Battery Only",0,-PVCalcs!AQ411*'PV IN'!$E$8)</f>
        <v>0</v>
      </c>
      <c r="AU411" s="144">
        <f>IF('PV IN'!$F$4="PV Only",0,-BattCalcs!CG411*'PV IN'!$E$8)</f>
        <v>0</v>
      </c>
      <c r="AV411" s="144">
        <f>IF('PV IN'!$F$4="PV Only",PVCalcs!Z411+PVCalcs!AA411,IF('PV IN'!$F$4="Battery Only",SUM(BattCalcs!BC411:BH411),PVCalcs!Z411+PVCalcs!AA411+SUM(BattCalcs!BC411:BH411)))</f>
        <v>0</v>
      </c>
      <c r="AW411" s="144">
        <f>IF('PV IN'!$F$4="PV Only",SUM(PVCalcs!AF411:AI411),IF('PV IN'!$F$4="Battery Only",SUM(BattCalcs!BL411:BY411),SUM(PVCalcs!AF411:AI411)+SUM(BattCalcs!BL411:BY411)))</f>
        <v>-1375</v>
      </c>
      <c r="AX411" s="144">
        <f>IF('PV IN'!$F$4="Battery Only",0,-PVLoan!F439)</f>
        <v>0</v>
      </c>
      <c r="AY411" s="144">
        <f>IF('PV IN'!$F$4="PV Only",0,-BattLoan!F439)</f>
        <v>0</v>
      </c>
      <c r="AZ411" s="144">
        <f>IF('PV IN'!$F$4="Battery Only",0,-PVLoan!H439)</f>
        <v>0</v>
      </c>
      <c r="BA411" s="144">
        <f>IF('PV IN'!$F$4="PV Only",0,-BattLoan!H439)</f>
        <v>0</v>
      </c>
    </row>
    <row r="412" spans="1:88" x14ac:dyDescent="0.25">
      <c r="A412" t="str">
        <f>IF(C412&lt;='PV IN'!$O$22*12,C412,"")</f>
        <v/>
      </c>
      <c r="B412">
        <f t="shared" ref="B412" si="1103">B400+1</f>
        <v>2059</v>
      </c>
      <c r="C412">
        <v>408</v>
      </c>
      <c r="D412" s="2">
        <f>BattCalcs!CK412+PVCalcs!AT412</f>
        <v>8085.4500338335147</v>
      </c>
      <c r="E412" s="20">
        <f>PVCalcs!AV412</f>
        <v>2858217.2340786569</v>
      </c>
      <c r="F412" s="20">
        <f>PVCalcs!AW412</f>
        <v>1539.1042210295091</v>
      </c>
      <c r="G412" s="20" t="e">
        <f>PVCalcs!AX412</f>
        <v>#N/A</v>
      </c>
      <c r="H412" s="20">
        <f>BattCalcs!CM412</f>
        <v>0</v>
      </c>
      <c r="I412" s="20">
        <f>BattCalcs!CN412</f>
        <v>0</v>
      </c>
      <c r="J412" s="20" t="e">
        <f>IF(C412&lt;='Batt IN'!H$43*12,BattCalcs!CO412,NA())</f>
        <v>#N/A</v>
      </c>
      <c r="L412" s="20">
        <f t="shared" si="997"/>
        <v>1539.1042210295091</v>
      </c>
      <c r="M412" s="20" t="e">
        <f>G412+BattCalcs!CO412</f>
        <v>#N/A</v>
      </c>
      <c r="O412" s="10" t="str">
        <f>PVLoan!G440</f>
        <v>-</v>
      </c>
      <c r="P412" s="10" t="str">
        <f>PVLoan!J440</f>
        <v>-</v>
      </c>
      <c r="Q412" s="2" t="str">
        <f>BattLoan!G440</f>
        <v>-</v>
      </c>
      <c r="R412" s="10" t="str">
        <f>BattLoan!J440</f>
        <v>-</v>
      </c>
      <c r="T412" s="33">
        <f>IF('PV IN'!$F$4="Battery Only",0,PVCalcs!G412)</f>
        <v>116249.73652950466</v>
      </c>
      <c r="U412" s="33">
        <f>IF('PV IN'!$F$4="Battery Only",0,PVCalcs!M412)</f>
        <v>116249.73652950466</v>
      </c>
      <c r="V412" s="33">
        <f>PVCalcs!L412</f>
        <v>25811.765833333331</v>
      </c>
      <c r="W412" s="158">
        <f>PVCalcs!F412</f>
        <v>7.8896523189157505E-2</v>
      </c>
      <c r="X412" s="144">
        <f>IF('PV IN'!$F$4="Battery Only",0,PVCalcs!Y412+PVCalcs!Z412)</f>
        <v>0</v>
      </c>
      <c r="Y412" s="144">
        <f>IF('PV IN'!$F$4="PV Only",0,BattCalcs!AX412+BattCalcs!BC412)</f>
        <v>0</v>
      </c>
      <c r="Z412" s="144">
        <f>IF('PV IN'!$F$4="PV Only",0,BattCalcs!AY412+BattCalcs!BD412)</f>
        <v>0</v>
      </c>
      <c r="AA412" s="144">
        <f>IF('PV IN'!$F$4="PV Only",0,BattCalcs!AZ412+BattCalcs!BE412)</f>
        <v>0</v>
      </c>
      <c r="AB412" s="144">
        <f>IF('PV IN'!$F$4="PV Only",0,BattCalcs!BA412+BattCalcs!BF412)</f>
        <v>0</v>
      </c>
      <c r="AC412" s="144">
        <f>IF('PV IN'!$F$4="PV Only",0,BattCalcs!BB412+BattCalcs!BG412)</f>
        <v>0</v>
      </c>
      <c r="AD412" s="144">
        <f>IF('PV IN'!$F$4="PV Only",0,BattCalcs!BU412)</f>
        <v>0</v>
      </c>
      <c r="AE412" s="144">
        <f>IF('PV IN'!$F$4="PV Only",PVCalcs!W412+PVCalcs!AA412,IF('PV IN'!$F$4="Battery Only",BattCalcs!AV412+BattCalcs!BH412,PVCalcs!W412+PVCalcs!AA412+BattCalcs!AV412+BattCalcs!BH412))</f>
        <v>0</v>
      </c>
      <c r="AF412" s="10">
        <f>PVCalcs!AC412+BattCalcs!BJ412</f>
        <v>0</v>
      </c>
      <c r="AG412" s="144">
        <f>IF('PV IN'!$F$4="Battery Only",0,PVCalcs!AG412)</f>
        <v>-750</v>
      </c>
      <c r="AH412" s="144">
        <f>IF('PV IN'!$F$4="Battery Only",0,PVCalcs!AI412)</f>
        <v>0</v>
      </c>
      <c r="AI412" s="144">
        <f>IF('PV IN'!$F$4="PV Only",0,BattCalcs!BM412)</f>
        <v>0</v>
      </c>
      <c r="AJ412" s="144">
        <f>IF('PV IN'!$F$4="PV Only",0,SUM(BattCalcs!BO412:BT412))</f>
        <v>0</v>
      </c>
      <c r="AK412" s="144">
        <f>IF('PV IN'!$F$4="PV Only",PVCalcs!AH412,IF('PV IN'!$F$4="Battery Only",BattCalcs!BN412,PVCalcs!AH412+BattCalcs!BN412))</f>
        <v>-625</v>
      </c>
      <c r="AL412" s="144">
        <f>IF('PV IN'!$F$4="PV Only",0,BattCalcs!BV412)</f>
        <v>0</v>
      </c>
      <c r="AM412" s="144">
        <f>IF('PV IN'!$F$4="PV Only",0,SUM(BattCalcs!BW412:BX412))</f>
        <v>0</v>
      </c>
      <c r="AN412" s="144">
        <f>IF('PV IN'!$F$4="PV Only",0,BattCalcs!BY412)</f>
        <v>0</v>
      </c>
      <c r="AO412" s="144">
        <f>IF('PV IN'!$F$4="Battery Only",0,PVCalcs!U412)</f>
        <v>9171.7000338335147</v>
      </c>
      <c r="AP412" s="10">
        <f>IF('PV IN'!$F$4="PV Only",0,BattCalcs!AS412)</f>
        <v>0</v>
      </c>
      <c r="AQ412" s="10">
        <f>IF('PV IN'!$F$4="PV Only",0,BattCalcs!AT412)</f>
        <v>0</v>
      </c>
      <c r="AR412" s="10">
        <f>IF('PV IN'!$F$4="PV Only",0,BattCalcs!AU412)</f>
        <v>0</v>
      </c>
      <c r="AS412" s="144">
        <f>IF('PV IN'!$F$4="PV Only",PVCalcs!X412,IF('PV IN'!$F$4="Battery Only",BattCalcs!AW412,PVCalcs!X412+BattCalcs!AW412))</f>
        <v>0</v>
      </c>
      <c r="AT412" s="144">
        <f>IF('PV IN'!$F$4="Battery Only",0,-PVCalcs!AQ412*'PV IN'!$E$8)</f>
        <v>0</v>
      </c>
      <c r="AU412" s="144">
        <f>IF('PV IN'!$F$4="PV Only",0,-BattCalcs!CG412*'PV IN'!$E$8)</f>
        <v>0</v>
      </c>
      <c r="AV412" s="144">
        <f>IF('PV IN'!$F$4="PV Only",PVCalcs!Z412+PVCalcs!AA412,IF('PV IN'!$F$4="Battery Only",SUM(BattCalcs!BC412:BH412),PVCalcs!Z412+PVCalcs!AA412+SUM(BattCalcs!BC412:BH412)))</f>
        <v>0</v>
      </c>
      <c r="AW412" s="144">
        <f>IF('PV IN'!$F$4="PV Only",SUM(PVCalcs!AF412:AI412),IF('PV IN'!$F$4="Battery Only",SUM(BattCalcs!BL412:BY412),SUM(PVCalcs!AF412:AI412)+SUM(BattCalcs!BL412:BY412)))</f>
        <v>-1375</v>
      </c>
      <c r="AX412" s="144">
        <f>IF('PV IN'!$F$4="Battery Only",0,-PVLoan!F440)</f>
        <v>0</v>
      </c>
      <c r="AY412" s="144">
        <f>IF('PV IN'!$F$4="PV Only",0,-BattLoan!F440)</f>
        <v>0</v>
      </c>
      <c r="AZ412" s="144">
        <f>IF('PV IN'!$F$4="Battery Only",0,-PVLoan!H440)</f>
        <v>0</v>
      </c>
      <c r="BA412" s="144">
        <f>IF('PV IN'!$F$4="PV Only",0,-BattLoan!H440)</f>
        <v>0</v>
      </c>
      <c r="BC412" s="33">
        <f t="shared" ref="BC412" si="1104">SUM(T401:T412)</f>
        <v>1400126.6379424222</v>
      </c>
      <c r="BD412" s="33">
        <f t="shared" ref="BD412" si="1105">SUM(U401:U412)</f>
        <v>1400126.6379424222</v>
      </c>
      <c r="BE412" s="33">
        <f t="shared" ref="BE412" si="1106">SUM(V401:V412)</f>
        <v>309741.19</v>
      </c>
      <c r="BF412" s="50">
        <f t="shared" ref="BF412" si="1107">W412</f>
        <v>7.8896523189157505E-2</v>
      </c>
      <c r="BG412" s="2">
        <f t="shared" ref="BG412" si="1108">SUM(X401:X412)</f>
        <v>0</v>
      </c>
      <c r="BH412" s="2">
        <f t="shared" ref="BH412" si="1109">SUM(Y401:Y412)</f>
        <v>0</v>
      </c>
      <c r="BI412" s="2">
        <f t="shared" ref="BI412" si="1110">SUM(Z401:Z412)</f>
        <v>0</v>
      </c>
      <c r="BJ412" s="2">
        <f t="shared" ref="BJ412" si="1111">SUM(AA401:AA412)</f>
        <v>0</v>
      </c>
      <c r="BK412" s="2">
        <f t="shared" ref="BK412" si="1112">SUM(AB401:AB412)</f>
        <v>0</v>
      </c>
      <c r="BL412" s="2">
        <f t="shared" ref="BL412" si="1113">SUM(AC401:AC412)</f>
        <v>0</v>
      </c>
      <c r="BM412" s="2">
        <f t="shared" ref="BM412" si="1114">SUM(AD401:AD412)</f>
        <v>0</v>
      </c>
      <c r="BN412" s="2">
        <f t="shared" ref="BN412" si="1115">SUM(AE401:AE412)</f>
        <v>0</v>
      </c>
      <c r="BO412" s="2">
        <f t="shared" ref="BO412" si="1116">SUM(AF401:AF412)</f>
        <v>0</v>
      </c>
      <c r="BP412" s="2">
        <f t="shared" ref="BP412" si="1117">SUM(AG401:AG412)</f>
        <v>-9000</v>
      </c>
      <c r="BQ412" s="2">
        <f t="shared" ref="BQ412" si="1118">SUM(AH401:AH412)</f>
        <v>0</v>
      </c>
      <c r="BR412" s="2">
        <f t="shared" ref="BR412" si="1119">SUM(AI401:AI412)</f>
        <v>0</v>
      </c>
      <c r="BS412" s="2">
        <f t="shared" ref="BS412" si="1120">SUM(AJ401:AJ412)</f>
        <v>0</v>
      </c>
      <c r="BT412" s="2">
        <f t="shared" ref="BT412" si="1121">SUM(AK401:AK412)</f>
        <v>-7500</v>
      </c>
      <c r="BU412" s="2">
        <f t="shared" ref="BU412" si="1122">SUM(AL401:AL412)</f>
        <v>0</v>
      </c>
      <c r="BV412" s="2">
        <f t="shared" ref="BV412" si="1123">SUM(AM401:AM412)</f>
        <v>0</v>
      </c>
      <c r="BW412" s="2">
        <f t="shared" ref="BW412" si="1124">SUM(AN401:AN412)</f>
        <v>0</v>
      </c>
      <c r="BX412" s="2">
        <f t="shared" ref="BX412" si="1125">SUM(AO401:AO412)</f>
        <v>110465.12375818148</v>
      </c>
      <c r="BY412" s="2">
        <f t="shared" ref="BY412" si="1126">SUM(AP401:AP412)</f>
        <v>0</v>
      </c>
      <c r="BZ412" s="2">
        <f t="shared" ref="BZ412" si="1127">SUM(AQ401:AQ412)</f>
        <v>0</v>
      </c>
      <c r="CA412" s="2">
        <f t="shared" ref="CA412" si="1128">SUM(AR401:AR412)</f>
        <v>0</v>
      </c>
      <c r="CB412" s="2">
        <f t="shared" ref="CB412" si="1129">SUM(AS401:AS412)</f>
        <v>0</v>
      </c>
      <c r="CC412" s="2">
        <f t="shared" ref="CC412" si="1130">SUM(AT401:AT412)</f>
        <v>0</v>
      </c>
      <c r="CD412" s="2">
        <f t="shared" ref="CD412" si="1131">SUM(AU401:AU412)</f>
        <v>0</v>
      </c>
      <c r="CE412" s="2">
        <f t="shared" ref="CE412" si="1132">SUM(AV401:AV412)</f>
        <v>0</v>
      </c>
      <c r="CF412" s="2">
        <f t="shared" ref="CF412" si="1133">SUM(AW401:AW412)</f>
        <v>-16500</v>
      </c>
      <c r="CG412" s="2">
        <f t="shared" ref="CG412" si="1134">SUM(AX401:AX412)</f>
        <v>0</v>
      </c>
      <c r="CH412" s="2">
        <f t="shared" ref="CH412" si="1135">SUM(AY401:AY412)</f>
        <v>0</v>
      </c>
      <c r="CI412" s="2">
        <f t="shared" ref="CI412" si="1136">SUM(AZ401:AZ412)</f>
        <v>0</v>
      </c>
      <c r="CJ412" s="2">
        <f t="shared" ref="CJ412" si="1137">SUM(BA401:BA412)</f>
        <v>0</v>
      </c>
    </row>
    <row r="413" spans="1:88" x14ac:dyDescent="0.25">
      <c r="A413" t="str">
        <f>IF(C413&lt;='PV IN'!$O$22*12,C413,"")</f>
        <v/>
      </c>
      <c r="C413">
        <v>409</v>
      </c>
      <c r="D413" s="2">
        <f>BattCalcs!CK413+PVCalcs!AT413</f>
        <v>8079.3355671442932</v>
      </c>
      <c r="E413" s="20">
        <f>PVCalcs!AV413</f>
        <v>2866296.5696458011</v>
      </c>
      <c r="F413" s="20">
        <f>PVCalcs!AW413</f>
        <v>1531.699967680358</v>
      </c>
      <c r="G413" s="20" t="e">
        <f>PVCalcs!AX413</f>
        <v>#N/A</v>
      </c>
      <c r="H413" s="20">
        <f>BattCalcs!CM413</f>
        <v>0</v>
      </c>
      <c r="I413" s="20">
        <f>BattCalcs!CN413</f>
        <v>0</v>
      </c>
      <c r="J413" s="20" t="e">
        <f>IF(C413&lt;='Batt IN'!H$43*12,BattCalcs!CO413,NA())</f>
        <v>#N/A</v>
      </c>
      <c r="L413" s="20">
        <f t="shared" si="997"/>
        <v>1531.699967680358</v>
      </c>
      <c r="M413" s="20" t="e">
        <f>G413+BattCalcs!CO413</f>
        <v>#N/A</v>
      </c>
      <c r="O413" s="10" t="str">
        <f>PVLoan!G441</f>
        <v>-</v>
      </c>
      <c r="P413" s="10" t="str">
        <f>PVLoan!J441</f>
        <v>-</v>
      </c>
      <c r="Q413" s="2" t="str">
        <f>BattLoan!G441</f>
        <v>-</v>
      </c>
      <c r="R413" s="10" t="str">
        <f>BattLoan!J441</f>
        <v>-</v>
      </c>
      <c r="T413" s="33">
        <f>IF('PV IN'!$F$4="Battery Only",0,PVCalcs!G413)</f>
        <v>116172.23670515166</v>
      </c>
      <c r="U413" s="33">
        <f>IF('PV IN'!$F$4="Battery Only",0,PVCalcs!M413)</f>
        <v>116172.23670515166</v>
      </c>
      <c r="V413" s="33">
        <f>PVCalcs!L413</f>
        <v>25811.765833333331</v>
      </c>
      <c r="W413" s="158">
        <f>PVCalcs!F413</f>
        <v>7.8896523189157505E-2</v>
      </c>
      <c r="X413" s="144">
        <f>IF('PV IN'!$F$4="Battery Only",0,PVCalcs!Y413+PVCalcs!Z413)</f>
        <v>0</v>
      </c>
      <c r="Y413" s="144">
        <f>IF('PV IN'!$F$4="PV Only",0,BattCalcs!AX413+BattCalcs!BC413)</f>
        <v>0</v>
      </c>
      <c r="Z413" s="144">
        <f>IF('PV IN'!$F$4="PV Only",0,BattCalcs!AY413+BattCalcs!BD413)</f>
        <v>0</v>
      </c>
      <c r="AA413" s="144">
        <f>IF('PV IN'!$F$4="PV Only",0,BattCalcs!AZ413+BattCalcs!BE413)</f>
        <v>0</v>
      </c>
      <c r="AB413" s="144">
        <f>IF('PV IN'!$F$4="PV Only",0,BattCalcs!BA413+BattCalcs!BF413)</f>
        <v>0</v>
      </c>
      <c r="AC413" s="144">
        <f>IF('PV IN'!$F$4="PV Only",0,BattCalcs!BB413+BattCalcs!BG413)</f>
        <v>0</v>
      </c>
      <c r="AD413" s="144">
        <f>IF('PV IN'!$F$4="PV Only",0,BattCalcs!BU413)</f>
        <v>0</v>
      </c>
      <c r="AE413" s="144">
        <f>IF('PV IN'!$F$4="PV Only",PVCalcs!W413+PVCalcs!AA413,IF('PV IN'!$F$4="Battery Only",BattCalcs!AV413+BattCalcs!BH413,PVCalcs!W413+PVCalcs!AA413+BattCalcs!AV413+BattCalcs!BH413))</f>
        <v>0</v>
      </c>
      <c r="AF413" s="10">
        <f>PVCalcs!AC413+BattCalcs!BJ413</f>
        <v>0</v>
      </c>
      <c r="AG413" s="144">
        <f>IF('PV IN'!$F$4="Battery Only",0,PVCalcs!AG413)</f>
        <v>-750</v>
      </c>
      <c r="AH413" s="144">
        <f>IF('PV IN'!$F$4="Battery Only",0,PVCalcs!AI413)</f>
        <v>0</v>
      </c>
      <c r="AI413" s="144">
        <f>IF('PV IN'!$F$4="PV Only",0,BattCalcs!BM413)</f>
        <v>0</v>
      </c>
      <c r="AJ413" s="144">
        <f>IF('PV IN'!$F$4="PV Only",0,SUM(BattCalcs!BO413:BT413))</f>
        <v>0</v>
      </c>
      <c r="AK413" s="144">
        <f>IF('PV IN'!$F$4="PV Only",PVCalcs!AH413,IF('PV IN'!$F$4="Battery Only",BattCalcs!BN413,PVCalcs!AH413+BattCalcs!BN413))</f>
        <v>-625</v>
      </c>
      <c r="AL413" s="144">
        <f>IF('PV IN'!$F$4="PV Only",0,BattCalcs!BV413)</f>
        <v>0</v>
      </c>
      <c r="AM413" s="144">
        <f>IF('PV IN'!$F$4="PV Only",0,SUM(BattCalcs!BW413:BX413))</f>
        <v>0</v>
      </c>
      <c r="AN413" s="144">
        <f>IF('PV IN'!$F$4="PV Only",0,BattCalcs!BY413)</f>
        <v>0</v>
      </c>
      <c r="AO413" s="144">
        <f>IF('PV IN'!$F$4="Battery Only",0,PVCalcs!U413)</f>
        <v>9165.5855671442932</v>
      </c>
      <c r="AP413" s="10">
        <f>IF('PV IN'!$F$4="PV Only",0,BattCalcs!AS413)</f>
        <v>0</v>
      </c>
      <c r="AQ413" s="10">
        <f>IF('PV IN'!$F$4="PV Only",0,BattCalcs!AT413)</f>
        <v>0</v>
      </c>
      <c r="AR413" s="10">
        <f>IF('PV IN'!$F$4="PV Only",0,BattCalcs!AU413)</f>
        <v>0</v>
      </c>
      <c r="AS413" s="144">
        <f>IF('PV IN'!$F$4="PV Only",PVCalcs!X413,IF('PV IN'!$F$4="Battery Only",BattCalcs!AW413,PVCalcs!X413+BattCalcs!AW413))</f>
        <v>0</v>
      </c>
      <c r="AT413" s="144">
        <f>IF('PV IN'!$F$4="Battery Only",0,-PVCalcs!AQ413*'PV IN'!$E$8)</f>
        <v>0</v>
      </c>
      <c r="AU413" s="144">
        <f>IF('PV IN'!$F$4="PV Only",0,-BattCalcs!CG413*'PV IN'!$E$8)</f>
        <v>0</v>
      </c>
      <c r="AV413" s="144">
        <f>IF('PV IN'!$F$4="PV Only",PVCalcs!Z413+PVCalcs!AA413,IF('PV IN'!$F$4="Battery Only",SUM(BattCalcs!BC413:BH413),PVCalcs!Z413+PVCalcs!AA413+SUM(BattCalcs!BC413:BH413)))</f>
        <v>0</v>
      </c>
      <c r="AW413" s="144">
        <f>IF('PV IN'!$F$4="PV Only",SUM(PVCalcs!AF413:AI413),IF('PV IN'!$F$4="Battery Only",SUM(BattCalcs!BL413:BY413),SUM(PVCalcs!AF413:AI413)+SUM(BattCalcs!BL413:BY413)))</f>
        <v>-1375</v>
      </c>
      <c r="AX413" s="144">
        <f>IF('PV IN'!$F$4="Battery Only",0,-PVLoan!F441)</f>
        <v>0</v>
      </c>
      <c r="AY413" s="144">
        <f>IF('PV IN'!$F$4="PV Only",0,-BattLoan!F441)</f>
        <v>0</v>
      </c>
      <c r="AZ413" s="144">
        <f>IF('PV IN'!$F$4="Battery Only",0,-PVLoan!H441)</f>
        <v>0</v>
      </c>
      <c r="BA413" s="144">
        <f>IF('PV IN'!$F$4="PV Only",0,-BattLoan!H441)</f>
        <v>0</v>
      </c>
    </row>
    <row r="414" spans="1:88" x14ac:dyDescent="0.25">
      <c r="A414" t="str">
        <f>IF(C414&lt;='PV IN'!$O$22*12,C414,"")</f>
        <v/>
      </c>
      <c r="C414">
        <v>410</v>
      </c>
      <c r="D414" s="2">
        <f>BattCalcs!CK414+PVCalcs!AT414</f>
        <v>8073.2251767661965</v>
      </c>
      <c r="E414" s="20">
        <f>PVCalcs!AV414</f>
        <v>2874369.7948225671</v>
      </c>
      <c r="F414" s="20">
        <f>PVCalcs!AW414</f>
        <v>1524.3312309790253</v>
      </c>
      <c r="G414" s="20" t="e">
        <f>PVCalcs!AX414</f>
        <v>#N/A</v>
      </c>
      <c r="H414" s="20">
        <f>BattCalcs!CM414</f>
        <v>0</v>
      </c>
      <c r="I414" s="20">
        <f>BattCalcs!CN414</f>
        <v>0</v>
      </c>
      <c r="J414" s="20" t="e">
        <f>IF(C414&lt;='Batt IN'!H$43*12,BattCalcs!CO414,NA())</f>
        <v>#N/A</v>
      </c>
      <c r="L414" s="20">
        <f t="shared" si="997"/>
        <v>1524.3312309790253</v>
      </c>
      <c r="M414" s="20" t="e">
        <f>G414+BattCalcs!CO414</f>
        <v>#N/A</v>
      </c>
      <c r="O414" s="10" t="str">
        <f>PVLoan!G442</f>
        <v>-</v>
      </c>
      <c r="P414" s="10" t="str">
        <f>PVLoan!J442</f>
        <v>-</v>
      </c>
      <c r="Q414" s="2" t="str">
        <f>BattLoan!G442</f>
        <v>-</v>
      </c>
      <c r="R414" s="10" t="str">
        <f>BattLoan!J442</f>
        <v>-</v>
      </c>
      <c r="T414" s="33">
        <f>IF('PV IN'!$F$4="Battery Only",0,PVCalcs!G414)</f>
        <v>116094.78854734823</v>
      </c>
      <c r="U414" s="33">
        <f>IF('PV IN'!$F$4="Battery Only",0,PVCalcs!M414)</f>
        <v>116094.78854734823</v>
      </c>
      <c r="V414" s="33">
        <f>PVCalcs!L414</f>
        <v>25811.765833333331</v>
      </c>
      <c r="W414" s="158">
        <f>PVCalcs!F414</f>
        <v>7.8896523189157505E-2</v>
      </c>
      <c r="X414" s="144">
        <f>IF('PV IN'!$F$4="Battery Only",0,PVCalcs!Y414+PVCalcs!Z414)</f>
        <v>0</v>
      </c>
      <c r="Y414" s="144">
        <f>IF('PV IN'!$F$4="PV Only",0,BattCalcs!AX414+BattCalcs!BC414)</f>
        <v>0</v>
      </c>
      <c r="Z414" s="144">
        <f>IF('PV IN'!$F$4="PV Only",0,BattCalcs!AY414+BattCalcs!BD414)</f>
        <v>0</v>
      </c>
      <c r="AA414" s="144">
        <f>IF('PV IN'!$F$4="PV Only",0,BattCalcs!AZ414+BattCalcs!BE414)</f>
        <v>0</v>
      </c>
      <c r="AB414" s="144">
        <f>IF('PV IN'!$F$4="PV Only",0,BattCalcs!BA414+BattCalcs!BF414)</f>
        <v>0</v>
      </c>
      <c r="AC414" s="144">
        <f>IF('PV IN'!$F$4="PV Only",0,BattCalcs!BB414+BattCalcs!BG414)</f>
        <v>0</v>
      </c>
      <c r="AD414" s="144">
        <f>IF('PV IN'!$F$4="PV Only",0,BattCalcs!BU414)</f>
        <v>0</v>
      </c>
      <c r="AE414" s="144">
        <f>IF('PV IN'!$F$4="PV Only",PVCalcs!W414+PVCalcs!AA414,IF('PV IN'!$F$4="Battery Only",BattCalcs!AV414+BattCalcs!BH414,PVCalcs!W414+PVCalcs!AA414+BattCalcs!AV414+BattCalcs!BH414))</f>
        <v>0</v>
      </c>
      <c r="AF414" s="10">
        <f>PVCalcs!AC414+BattCalcs!BJ414</f>
        <v>0</v>
      </c>
      <c r="AG414" s="144">
        <f>IF('PV IN'!$F$4="Battery Only",0,PVCalcs!AG414)</f>
        <v>-750</v>
      </c>
      <c r="AH414" s="144">
        <f>IF('PV IN'!$F$4="Battery Only",0,PVCalcs!AI414)</f>
        <v>0</v>
      </c>
      <c r="AI414" s="144">
        <f>IF('PV IN'!$F$4="PV Only",0,BattCalcs!BM414)</f>
        <v>0</v>
      </c>
      <c r="AJ414" s="144">
        <f>IF('PV IN'!$F$4="PV Only",0,SUM(BattCalcs!BO414:BT414))</f>
        <v>0</v>
      </c>
      <c r="AK414" s="144">
        <f>IF('PV IN'!$F$4="PV Only",PVCalcs!AH414,IF('PV IN'!$F$4="Battery Only",BattCalcs!BN414,PVCalcs!AH414+BattCalcs!BN414))</f>
        <v>-625</v>
      </c>
      <c r="AL414" s="144">
        <f>IF('PV IN'!$F$4="PV Only",0,BattCalcs!BV414)</f>
        <v>0</v>
      </c>
      <c r="AM414" s="144">
        <f>IF('PV IN'!$F$4="PV Only",0,SUM(BattCalcs!BW414:BX414))</f>
        <v>0</v>
      </c>
      <c r="AN414" s="144">
        <f>IF('PV IN'!$F$4="PV Only",0,BattCalcs!BY414)</f>
        <v>0</v>
      </c>
      <c r="AO414" s="144">
        <f>IF('PV IN'!$F$4="Battery Only",0,PVCalcs!U414)</f>
        <v>9159.4751767661965</v>
      </c>
      <c r="AP414" s="10">
        <f>IF('PV IN'!$F$4="PV Only",0,BattCalcs!AS414)</f>
        <v>0</v>
      </c>
      <c r="AQ414" s="10">
        <f>IF('PV IN'!$F$4="PV Only",0,BattCalcs!AT414)</f>
        <v>0</v>
      </c>
      <c r="AR414" s="10">
        <f>IF('PV IN'!$F$4="PV Only",0,BattCalcs!AU414)</f>
        <v>0</v>
      </c>
      <c r="AS414" s="144">
        <f>IF('PV IN'!$F$4="PV Only",PVCalcs!X414,IF('PV IN'!$F$4="Battery Only",BattCalcs!AW414,PVCalcs!X414+BattCalcs!AW414))</f>
        <v>0</v>
      </c>
      <c r="AT414" s="144">
        <f>IF('PV IN'!$F$4="Battery Only",0,-PVCalcs!AQ414*'PV IN'!$E$8)</f>
        <v>0</v>
      </c>
      <c r="AU414" s="144">
        <f>IF('PV IN'!$F$4="PV Only",0,-BattCalcs!CG414*'PV IN'!$E$8)</f>
        <v>0</v>
      </c>
      <c r="AV414" s="144">
        <f>IF('PV IN'!$F$4="PV Only",PVCalcs!Z414+PVCalcs!AA414,IF('PV IN'!$F$4="Battery Only",SUM(BattCalcs!BC414:BH414),PVCalcs!Z414+PVCalcs!AA414+SUM(BattCalcs!BC414:BH414)))</f>
        <v>0</v>
      </c>
      <c r="AW414" s="144">
        <f>IF('PV IN'!$F$4="PV Only",SUM(PVCalcs!AF414:AI414),IF('PV IN'!$F$4="Battery Only",SUM(BattCalcs!BL414:BY414),SUM(PVCalcs!AF414:AI414)+SUM(BattCalcs!BL414:BY414)))</f>
        <v>-1375</v>
      </c>
      <c r="AX414" s="144">
        <f>IF('PV IN'!$F$4="Battery Only",0,-PVLoan!F442)</f>
        <v>0</v>
      </c>
      <c r="AY414" s="144">
        <f>IF('PV IN'!$F$4="PV Only",0,-BattLoan!F442)</f>
        <v>0</v>
      </c>
      <c r="AZ414" s="144">
        <f>IF('PV IN'!$F$4="Battery Only",0,-PVLoan!H442)</f>
        <v>0</v>
      </c>
      <c r="BA414" s="144">
        <f>IF('PV IN'!$F$4="PV Only",0,-BattLoan!H442)</f>
        <v>0</v>
      </c>
    </row>
    <row r="415" spans="1:88" x14ac:dyDescent="0.25">
      <c r="A415" t="str">
        <f>IF(C415&lt;='PV IN'!$O$22*12,C415,"")</f>
        <v/>
      </c>
      <c r="C415">
        <v>411</v>
      </c>
      <c r="D415" s="2">
        <f>BattCalcs!CK415+PVCalcs!AT415</f>
        <v>8067.1188599816851</v>
      </c>
      <c r="E415" s="20">
        <f>PVCalcs!AV415</f>
        <v>2882436.9136825488</v>
      </c>
      <c r="F415" s="20">
        <f>PVCalcs!AW415</f>
        <v>1516.9978409713935</v>
      </c>
      <c r="G415" s="20" t="e">
        <f>PVCalcs!AX415</f>
        <v>#N/A</v>
      </c>
      <c r="H415" s="20">
        <f>BattCalcs!CM415</f>
        <v>0</v>
      </c>
      <c r="I415" s="20">
        <f>BattCalcs!CN415</f>
        <v>0</v>
      </c>
      <c r="J415" s="20" t="e">
        <f>IF(C415&lt;='Batt IN'!H$43*12,BattCalcs!CO415,NA())</f>
        <v>#N/A</v>
      </c>
      <c r="L415" s="20">
        <f t="shared" si="997"/>
        <v>1516.9978409713935</v>
      </c>
      <c r="M415" s="20" t="e">
        <f>G415+BattCalcs!CO415</f>
        <v>#N/A</v>
      </c>
      <c r="O415" s="10" t="str">
        <f>PVLoan!G443</f>
        <v>-</v>
      </c>
      <c r="P415" s="10" t="str">
        <f>PVLoan!J443</f>
        <v>-</v>
      </c>
      <c r="Q415" s="2" t="str">
        <f>BattLoan!G443</f>
        <v>-</v>
      </c>
      <c r="R415" s="10" t="str">
        <f>BattLoan!J443</f>
        <v>-</v>
      </c>
      <c r="T415" s="33">
        <f>IF('PV IN'!$F$4="Battery Only",0,PVCalcs!G415)</f>
        <v>116017.39202164998</v>
      </c>
      <c r="U415" s="33">
        <f>IF('PV IN'!$F$4="Battery Only",0,PVCalcs!M415)</f>
        <v>116017.39202164998</v>
      </c>
      <c r="V415" s="33">
        <f>PVCalcs!L415</f>
        <v>25811.765833333331</v>
      </c>
      <c r="W415" s="158">
        <f>PVCalcs!F415</f>
        <v>7.8896523189157505E-2</v>
      </c>
      <c r="X415" s="144">
        <f>IF('PV IN'!$F$4="Battery Only",0,PVCalcs!Y415+PVCalcs!Z415)</f>
        <v>0</v>
      </c>
      <c r="Y415" s="144">
        <f>IF('PV IN'!$F$4="PV Only",0,BattCalcs!AX415+BattCalcs!BC415)</f>
        <v>0</v>
      </c>
      <c r="Z415" s="144">
        <f>IF('PV IN'!$F$4="PV Only",0,BattCalcs!AY415+BattCalcs!BD415)</f>
        <v>0</v>
      </c>
      <c r="AA415" s="144">
        <f>IF('PV IN'!$F$4="PV Only",0,BattCalcs!AZ415+BattCalcs!BE415)</f>
        <v>0</v>
      </c>
      <c r="AB415" s="144">
        <f>IF('PV IN'!$F$4="PV Only",0,BattCalcs!BA415+BattCalcs!BF415)</f>
        <v>0</v>
      </c>
      <c r="AC415" s="144">
        <f>IF('PV IN'!$F$4="PV Only",0,BattCalcs!BB415+BattCalcs!BG415)</f>
        <v>0</v>
      </c>
      <c r="AD415" s="144">
        <f>IF('PV IN'!$F$4="PV Only",0,BattCalcs!BU415)</f>
        <v>0</v>
      </c>
      <c r="AE415" s="144">
        <f>IF('PV IN'!$F$4="PV Only",PVCalcs!W415+PVCalcs!AA415,IF('PV IN'!$F$4="Battery Only",BattCalcs!AV415+BattCalcs!BH415,PVCalcs!W415+PVCalcs!AA415+BattCalcs!AV415+BattCalcs!BH415))</f>
        <v>0</v>
      </c>
      <c r="AF415" s="10">
        <f>PVCalcs!AC415+BattCalcs!BJ415</f>
        <v>0</v>
      </c>
      <c r="AG415" s="144">
        <f>IF('PV IN'!$F$4="Battery Only",0,PVCalcs!AG415)</f>
        <v>-750</v>
      </c>
      <c r="AH415" s="144">
        <f>IF('PV IN'!$F$4="Battery Only",0,PVCalcs!AI415)</f>
        <v>0</v>
      </c>
      <c r="AI415" s="144">
        <f>IF('PV IN'!$F$4="PV Only",0,BattCalcs!BM415)</f>
        <v>0</v>
      </c>
      <c r="AJ415" s="144">
        <f>IF('PV IN'!$F$4="PV Only",0,SUM(BattCalcs!BO415:BT415))</f>
        <v>0</v>
      </c>
      <c r="AK415" s="144">
        <f>IF('PV IN'!$F$4="PV Only",PVCalcs!AH415,IF('PV IN'!$F$4="Battery Only",BattCalcs!BN415,PVCalcs!AH415+BattCalcs!BN415))</f>
        <v>-625</v>
      </c>
      <c r="AL415" s="144">
        <f>IF('PV IN'!$F$4="PV Only",0,BattCalcs!BV415)</f>
        <v>0</v>
      </c>
      <c r="AM415" s="144">
        <f>IF('PV IN'!$F$4="PV Only",0,SUM(BattCalcs!BW415:BX415))</f>
        <v>0</v>
      </c>
      <c r="AN415" s="144">
        <f>IF('PV IN'!$F$4="PV Only",0,BattCalcs!BY415)</f>
        <v>0</v>
      </c>
      <c r="AO415" s="144">
        <f>IF('PV IN'!$F$4="Battery Only",0,PVCalcs!U415)</f>
        <v>9153.3688599816851</v>
      </c>
      <c r="AP415" s="10">
        <f>IF('PV IN'!$F$4="PV Only",0,BattCalcs!AS415)</f>
        <v>0</v>
      </c>
      <c r="AQ415" s="10">
        <f>IF('PV IN'!$F$4="PV Only",0,BattCalcs!AT415)</f>
        <v>0</v>
      </c>
      <c r="AR415" s="10">
        <f>IF('PV IN'!$F$4="PV Only",0,BattCalcs!AU415)</f>
        <v>0</v>
      </c>
      <c r="AS415" s="144">
        <f>IF('PV IN'!$F$4="PV Only",PVCalcs!X415,IF('PV IN'!$F$4="Battery Only",BattCalcs!AW415,PVCalcs!X415+BattCalcs!AW415))</f>
        <v>0</v>
      </c>
      <c r="AT415" s="144">
        <f>IF('PV IN'!$F$4="Battery Only",0,-PVCalcs!AQ415*'PV IN'!$E$8)</f>
        <v>0</v>
      </c>
      <c r="AU415" s="144">
        <f>IF('PV IN'!$F$4="PV Only",0,-BattCalcs!CG415*'PV IN'!$E$8)</f>
        <v>0</v>
      </c>
      <c r="AV415" s="144">
        <f>IF('PV IN'!$F$4="PV Only",PVCalcs!Z415+PVCalcs!AA415,IF('PV IN'!$F$4="Battery Only",SUM(BattCalcs!BC415:BH415),PVCalcs!Z415+PVCalcs!AA415+SUM(BattCalcs!BC415:BH415)))</f>
        <v>0</v>
      </c>
      <c r="AW415" s="144">
        <f>IF('PV IN'!$F$4="PV Only",SUM(PVCalcs!AF415:AI415),IF('PV IN'!$F$4="Battery Only",SUM(BattCalcs!BL415:BY415),SUM(PVCalcs!AF415:AI415)+SUM(BattCalcs!BL415:BY415)))</f>
        <v>-1375</v>
      </c>
      <c r="AX415" s="144">
        <f>IF('PV IN'!$F$4="Battery Only",0,-PVLoan!F443)</f>
        <v>0</v>
      </c>
      <c r="AY415" s="144">
        <f>IF('PV IN'!$F$4="PV Only",0,-BattLoan!F443)</f>
        <v>0</v>
      </c>
      <c r="AZ415" s="144">
        <f>IF('PV IN'!$F$4="Battery Only",0,-PVLoan!H443)</f>
        <v>0</v>
      </c>
      <c r="BA415" s="144">
        <f>IF('PV IN'!$F$4="PV Only",0,-BattLoan!H443)</f>
        <v>0</v>
      </c>
    </row>
    <row r="416" spans="1:88" x14ac:dyDescent="0.25">
      <c r="A416" t="str">
        <f>IF(C416&lt;='PV IN'!$O$22*12,C416,"")</f>
        <v/>
      </c>
      <c r="C416">
        <v>412</v>
      </c>
      <c r="D416" s="2">
        <f>BattCalcs!CK416+PVCalcs!AT416</f>
        <v>8061.0166140750316</v>
      </c>
      <c r="E416" s="20">
        <f>PVCalcs!AV416</f>
        <v>2890497.9302966236</v>
      </c>
      <c r="F416" s="20">
        <f>PVCalcs!AW416</f>
        <v>1509.6996285149633</v>
      </c>
      <c r="G416" s="20" t="e">
        <f>PVCalcs!AX416</f>
        <v>#N/A</v>
      </c>
      <c r="H416" s="20">
        <f>BattCalcs!CM416</f>
        <v>0</v>
      </c>
      <c r="I416" s="20">
        <f>BattCalcs!CN416</f>
        <v>0</v>
      </c>
      <c r="J416" s="20" t="e">
        <f>IF(C416&lt;='Batt IN'!H$43*12,BattCalcs!CO416,NA())</f>
        <v>#N/A</v>
      </c>
      <c r="L416" s="20">
        <f t="shared" si="997"/>
        <v>1509.6996285149633</v>
      </c>
      <c r="M416" s="20" t="e">
        <f>G416+BattCalcs!CO416</f>
        <v>#N/A</v>
      </c>
      <c r="O416" s="10" t="str">
        <f>PVLoan!G444</f>
        <v>-</v>
      </c>
      <c r="P416" s="10" t="str">
        <f>PVLoan!J444</f>
        <v>-</v>
      </c>
      <c r="Q416" s="2" t="str">
        <f>BattLoan!G444</f>
        <v>-</v>
      </c>
      <c r="R416" s="10" t="str">
        <f>BattLoan!J444</f>
        <v>-</v>
      </c>
      <c r="T416" s="33">
        <f>IF('PV IN'!$F$4="Battery Only",0,PVCalcs!G416)</f>
        <v>115940.04709363556</v>
      </c>
      <c r="U416" s="33">
        <f>IF('PV IN'!$F$4="Battery Only",0,PVCalcs!M416)</f>
        <v>115940.04709363556</v>
      </c>
      <c r="V416" s="33">
        <f>PVCalcs!L416</f>
        <v>25811.765833333331</v>
      </c>
      <c r="W416" s="158">
        <f>PVCalcs!F416</f>
        <v>7.8896523189157505E-2</v>
      </c>
      <c r="X416" s="144">
        <f>IF('PV IN'!$F$4="Battery Only",0,PVCalcs!Y416+PVCalcs!Z416)</f>
        <v>0</v>
      </c>
      <c r="Y416" s="144">
        <f>IF('PV IN'!$F$4="PV Only",0,BattCalcs!AX416+BattCalcs!BC416)</f>
        <v>0</v>
      </c>
      <c r="Z416" s="144">
        <f>IF('PV IN'!$F$4="PV Only",0,BattCalcs!AY416+BattCalcs!BD416)</f>
        <v>0</v>
      </c>
      <c r="AA416" s="144">
        <f>IF('PV IN'!$F$4="PV Only",0,BattCalcs!AZ416+BattCalcs!BE416)</f>
        <v>0</v>
      </c>
      <c r="AB416" s="144">
        <f>IF('PV IN'!$F$4="PV Only",0,BattCalcs!BA416+BattCalcs!BF416)</f>
        <v>0</v>
      </c>
      <c r="AC416" s="144">
        <f>IF('PV IN'!$F$4="PV Only",0,BattCalcs!BB416+BattCalcs!BG416)</f>
        <v>0</v>
      </c>
      <c r="AD416" s="144">
        <f>IF('PV IN'!$F$4="PV Only",0,BattCalcs!BU416)</f>
        <v>0</v>
      </c>
      <c r="AE416" s="144">
        <f>IF('PV IN'!$F$4="PV Only",PVCalcs!W416+PVCalcs!AA416,IF('PV IN'!$F$4="Battery Only",BattCalcs!AV416+BattCalcs!BH416,PVCalcs!W416+PVCalcs!AA416+BattCalcs!AV416+BattCalcs!BH416))</f>
        <v>0</v>
      </c>
      <c r="AF416" s="10">
        <f>PVCalcs!AC416+BattCalcs!BJ416</f>
        <v>0</v>
      </c>
      <c r="AG416" s="144">
        <f>IF('PV IN'!$F$4="Battery Only",0,PVCalcs!AG416)</f>
        <v>-750</v>
      </c>
      <c r="AH416" s="144">
        <f>IF('PV IN'!$F$4="Battery Only",0,PVCalcs!AI416)</f>
        <v>0</v>
      </c>
      <c r="AI416" s="144">
        <f>IF('PV IN'!$F$4="PV Only",0,BattCalcs!BM416)</f>
        <v>0</v>
      </c>
      <c r="AJ416" s="144">
        <f>IF('PV IN'!$F$4="PV Only",0,SUM(BattCalcs!BO416:BT416))</f>
        <v>0</v>
      </c>
      <c r="AK416" s="144">
        <f>IF('PV IN'!$F$4="PV Only",PVCalcs!AH416,IF('PV IN'!$F$4="Battery Only",BattCalcs!BN416,PVCalcs!AH416+BattCalcs!BN416))</f>
        <v>-625</v>
      </c>
      <c r="AL416" s="144">
        <f>IF('PV IN'!$F$4="PV Only",0,BattCalcs!BV416)</f>
        <v>0</v>
      </c>
      <c r="AM416" s="144">
        <f>IF('PV IN'!$F$4="PV Only",0,SUM(BattCalcs!BW416:BX416))</f>
        <v>0</v>
      </c>
      <c r="AN416" s="144">
        <f>IF('PV IN'!$F$4="PV Only",0,BattCalcs!BY416)</f>
        <v>0</v>
      </c>
      <c r="AO416" s="144">
        <f>IF('PV IN'!$F$4="Battery Only",0,PVCalcs!U416)</f>
        <v>9147.2666140750316</v>
      </c>
      <c r="AP416" s="10">
        <f>IF('PV IN'!$F$4="PV Only",0,BattCalcs!AS416)</f>
        <v>0</v>
      </c>
      <c r="AQ416" s="10">
        <f>IF('PV IN'!$F$4="PV Only",0,BattCalcs!AT416)</f>
        <v>0</v>
      </c>
      <c r="AR416" s="10">
        <f>IF('PV IN'!$F$4="PV Only",0,BattCalcs!AU416)</f>
        <v>0</v>
      </c>
      <c r="AS416" s="144">
        <f>IF('PV IN'!$F$4="PV Only",PVCalcs!X416,IF('PV IN'!$F$4="Battery Only",BattCalcs!AW416,PVCalcs!X416+BattCalcs!AW416))</f>
        <v>0</v>
      </c>
      <c r="AT416" s="144">
        <f>IF('PV IN'!$F$4="Battery Only",0,-PVCalcs!AQ416*'PV IN'!$E$8)</f>
        <v>0</v>
      </c>
      <c r="AU416" s="144">
        <f>IF('PV IN'!$F$4="PV Only",0,-BattCalcs!CG416*'PV IN'!$E$8)</f>
        <v>0</v>
      </c>
      <c r="AV416" s="144">
        <f>IF('PV IN'!$F$4="PV Only",PVCalcs!Z416+PVCalcs!AA416,IF('PV IN'!$F$4="Battery Only",SUM(BattCalcs!BC416:BH416),PVCalcs!Z416+PVCalcs!AA416+SUM(BattCalcs!BC416:BH416)))</f>
        <v>0</v>
      </c>
      <c r="AW416" s="144">
        <f>IF('PV IN'!$F$4="PV Only",SUM(PVCalcs!AF416:AI416),IF('PV IN'!$F$4="Battery Only",SUM(BattCalcs!BL416:BY416),SUM(PVCalcs!AF416:AI416)+SUM(BattCalcs!BL416:BY416)))</f>
        <v>-1375</v>
      </c>
      <c r="AX416" s="144">
        <f>IF('PV IN'!$F$4="Battery Only",0,-PVLoan!F444)</f>
        <v>0</v>
      </c>
      <c r="AY416" s="144">
        <f>IF('PV IN'!$F$4="PV Only",0,-BattLoan!F444)</f>
        <v>0</v>
      </c>
      <c r="AZ416" s="144">
        <f>IF('PV IN'!$F$4="Battery Only",0,-PVLoan!H444)</f>
        <v>0</v>
      </c>
      <c r="BA416" s="144">
        <f>IF('PV IN'!$F$4="PV Only",0,-BattLoan!H444)</f>
        <v>0</v>
      </c>
    </row>
    <row r="417" spans="1:88" x14ac:dyDescent="0.25">
      <c r="A417" t="str">
        <f>IF(C417&lt;='PV IN'!$O$22*12,C417,"")</f>
        <v/>
      </c>
      <c r="C417">
        <v>413</v>
      </c>
      <c r="D417" s="2">
        <f>BattCalcs!CK417+PVCalcs!AT417</f>
        <v>8054.9184363323147</v>
      </c>
      <c r="E417" s="20">
        <f>PVCalcs!AV417</f>
        <v>2898552.8487329558</v>
      </c>
      <c r="F417" s="20">
        <f>PVCalcs!AW417</f>
        <v>1502.4364252749856</v>
      </c>
      <c r="G417" s="20" t="e">
        <f>PVCalcs!AX417</f>
        <v>#N/A</v>
      </c>
      <c r="H417" s="20">
        <f>BattCalcs!CM417</f>
        <v>0</v>
      </c>
      <c r="I417" s="20">
        <f>BattCalcs!CN417</f>
        <v>0</v>
      </c>
      <c r="J417" s="20" t="e">
        <f>IF(C417&lt;='Batt IN'!H$43*12,BattCalcs!CO417,NA())</f>
        <v>#N/A</v>
      </c>
      <c r="L417" s="20">
        <f t="shared" si="997"/>
        <v>1502.4364252749856</v>
      </c>
      <c r="M417" s="20" t="e">
        <f>G417+BattCalcs!CO417</f>
        <v>#N/A</v>
      </c>
      <c r="O417" s="10" t="str">
        <f>PVLoan!G445</f>
        <v>-</v>
      </c>
      <c r="P417" s="10" t="str">
        <f>PVLoan!J445</f>
        <v>-</v>
      </c>
      <c r="Q417" s="2" t="str">
        <f>BattLoan!G445</f>
        <v>-</v>
      </c>
      <c r="R417" s="10" t="str">
        <f>BattLoan!J445</f>
        <v>-</v>
      </c>
      <c r="T417" s="33">
        <f>IF('PV IN'!$F$4="Battery Only",0,PVCalcs!G417)</f>
        <v>115862.75372890646</v>
      </c>
      <c r="U417" s="33">
        <f>IF('PV IN'!$F$4="Battery Only",0,PVCalcs!M417)</f>
        <v>115862.75372890646</v>
      </c>
      <c r="V417" s="33">
        <f>PVCalcs!L417</f>
        <v>25811.765833333331</v>
      </c>
      <c r="W417" s="158">
        <f>PVCalcs!F417</f>
        <v>7.8896523189157505E-2</v>
      </c>
      <c r="X417" s="144">
        <f>IF('PV IN'!$F$4="Battery Only",0,PVCalcs!Y417+PVCalcs!Z417)</f>
        <v>0</v>
      </c>
      <c r="Y417" s="144">
        <f>IF('PV IN'!$F$4="PV Only",0,BattCalcs!AX417+BattCalcs!BC417)</f>
        <v>0</v>
      </c>
      <c r="Z417" s="144">
        <f>IF('PV IN'!$F$4="PV Only",0,BattCalcs!AY417+BattCalcs!BD417)</f>
        <v>0</v>
      </c>
      <c r="AA417" s="144">
        <f>IF('PV IN'!$F$4="PV Only",0,BattCalcs!AZ417+BattCalcs!BE417)</f>
        <v>0</v>
      </c>
      <c r="AB417" s="144">
        <f>IF('PV IN'!$F$4="PV Only",0,BattCalcs!BA417+BattCalcs!BF417)</f>
        <v>0</v>
      </c>
      <c r="AC417" s="144">
        <f>IF('PV IN'!$F$4="PV Only",0,BattCalcs!BB417+BattCalcs!BG417)</f>
        <v>0</v>
      </c>
      <c r="AD417" s="144">
        <f>IF('PV IN'!$F$4="PV Only",0,BattCalcs!BU417)</f>
        <v>0</v>
      </c>
      <c r="AE417" s="144">
        <f>IF('PV IN'!$F$4="PV Only",PVCalcs!W417+PVCalcs!AA417,IF('PV IN'!$F$4="Battery Only",BattCalcs!AV417+BattCalcs!BH417,PVCalcs!W417+PVCalcs!AA417+BattCalcs!AV417+BattCalcs!BH417))</f>
        <v>0</v>
      </c>
      <c r="AF417" s="10">
        <f>PVCalcs!AC417+BattCalcs!BJ417</f>
        <v>0</v>
      </c>
      <c r="AG417" s="144">
        <f>IF('PV IN'!$F$4="Battery Only",0,PVCalcs!AG417)</f>
        <v>-750</v>
      </c>
      <c r="AH417" s="144">
        <f>IF('PV IN'!$F$4="Battery Only",0,PVCalcs!AI417)</f>
        <v>0</v>
      </c>
      <c r="AI417" s="144">
        <f>IF('PV IN'!$F$4="PV Only",0,BattCalcs!BM417)</f>
        <v>0</v>
      </c>
      <c r="AJ417" s="144">
        <f>IF('PV IN'!$F$4="PV Only",0,SUM(BattCalcs!BO417:BT417))</f>
        <v>0</v>
      </c>
      <c r="AK417" s="144">
        <f>IF('PV IN'!$F$4="PV Only",PVCalcs!AH417,IF('PV IN'!$F$4="Battery Only",BattCalcs!BN417,PVCalcs!AH417+BattCalcs!BN417))</f>
        <v>-625</v>
      </c>
      <c r="AL417" s="144">
        <f>IF('PV IN'!$F$4="PV Only",0,BattCalcs!BV417)</f>
        <v>0</v>
      </c>
      <c r="AM417" s="144">
        <f>IF('PV IN'!$F$4="PV Only",0,SUM(BattCalcs!BW417:BX417))</f>
        <v>0</v>
      </c>
      <c r="AN417" s="144">
        <f>IF('PV IN'!$F$4="PV Only",0,BattCalcs!BY417)</f>
        <v>0</v>
      </c>
      <c r="AO417" s="144">
        <f>IF('PV IN'!$F$4="Battery Only",0,PVCalcs!U417)</f>
        <v>9141.1684363323147</v>
      </c>
      <c r="AP417" s="10">
        <f>IF('PV IN'!$F$4="PV Only",0,BattCalcs!AS417)</f>
        <v>0</v>
      </c>
      <c r="AQ417" s="10">
        <f>IF('PV IN'!$F$4="PV Only",0,BattCalcs!AT417)</f>
        <v>0</v>
      </c>
      <c r="AR417" s="10">
        <f>IF('PV IN'!$F$4="PV Only",0,BattCalcs!AU417)</f>
        <v>0</v>
      </c>
      <c r="AS417" s="144">
        <f>IF('PV IN'!$F$4="PV Only",PVCalcs!X417,IF('PV IN'!$F$4="Battery Only",BattCalcs!AW417,PVCalcs!X417+BattCalcs!AW417))</f>
        <v>0</v>
      </c>
      <c r="AT417" s="144">
        <f>IF('PV IN'!$F$4="Battery Only",0,-PVCalcs!AQ417*'PV IN'!$E$8)</f>
        <v>0</v>
      </c>
      <c r="AU417" s="144">
        <f>IF('PV IN'!$F$4="PV Only",0,-BattCalcs!CG417*'PV IN'!$E$8)</f>
        <v>0</v>
      </c>
      <c r="AV417" s="144">
        <f>IF('PV IN'!$F$4="PV Only",PVCalcs!Z417+PVCalcs!AA417,IF('PV IN'!$F$4="Battery Only",SUM(BattCalcs!BC417:BH417),PVCalcs!Z417+PVCalcs!AA417+SUM(BattCalcs!BC417:BH417)))</f>
        <v>0</v>
      </c>
      <c r="AW417" s="144">
        <f>IF('PV IN'!$F$4="PV Only",SUM(PVCalcs!AF417:AI417),IF('PV IN'!$F$4="Battery Only",SUM(BattCalcs!BL417:BY417),SUM(PVCalcs!AF417:AI417)+SUM(BattCalcs!BL417:BY417)))</f>
        <v>-1375</v>
      </c>
      <c r="AX417" s="144">
        <f>IF('PV IN'!$F$4="Battery Only",0,-PVLoan!F445)</f>
        <v>0</v>
      </c>
      <c r="AY417" s="144">
        <f>IF('PV IN'!$F$4="PV Only",0,-BattLoan!F445)</f>
        <v>0</v>
      </c>
      <c r="AZ417" s="144">
        <f>IF('PV IN'!$F$4="Battery Only",0,-PVLoan!H445)</f>
        <v>0</v>
      </c>
      <c r="BA417" s="144">
        <f>IF('PV IN'!$F$4="PV Only",0,-BattLoan!H445)</f>
        <v>0</v>
      </c>
    </row>
    <row r="418" spans="1:88" x14ac:dyDescent="0.25">
      <c r="A418" t="str">
        <f>IF(C418&lt;='PV IN'!$O$22*12,C418,"")</f>
        <v/>
      </c>
      <c r="C418">
        <v>414</v>
      </c>
      <c r="D418" s="2">
        <f>BattCalcs!CK418+PVCalcs!AT418</f>
        <v>8048.8243240414267</v>
      </c>
      <c r="E418" s="20">
        <f>PVCalcs!AV418</f>
        <v>2906601.6730569974</v>
      </c>
      <c r="F418" s="20">
        <f>PVCalcs!AW418</f>
        <v>1495.2080637206107</v>
      </c>
      <c r="G418" s="20" t="e">
        <f>PVCalcs!AX418</f>
        <v>#N/A</v>
      </c>
      <c r="H418" s="20">
        <f>BattCalcs!CM418</f>
        <v>0</v>
      </c>
      <c r="I418" s="20">
        <f>BattCalcs!CN418</f>
        <v>0</v>
      </c>
      <c r="J418" s="20" t="e">
        <f>IF(C418&lt;='Batt IN'!H$43*12,BattCalcs!CO418,NA())</f>
        <v>#N/A</v>
      </c>
      <c r="L418" s="20">
        <f t="shared" si="997"/>
        <v>1495.2080637206107</v>
      </c>
      <c r="M418" s="20" t="e">
        <f>G418+BattCalcs!CO418</f>
        <v>#N/A</v>
      </c>
      <c r="O418" s="10" t="str">
        <f>PVLoan!G446</f>
        <v>-</v>
      </c>
      <c r="P418" s="10" t="str">
        <f>PVLoan!J446</f>
        <v>-</v>
      </c>
      <c r="Q418" s="2" t="str">
        <f>BattLoan!G446</f>
        <v>-</v>
      </c>
      <c r="R418" s="10" t="str">
        <f>BattLoan!J446</f>
        <v>-</v>
      </c>
      <c r="T418" s="33">
        <f>IF('PV IN'!$F$4="Battery Only",0,PVCalcs!G418)</f>
        <v>115785.5118930872</v>
      </c>
      <c r="U418" s="33">
        <f>IF('PV IN'!$F$4="Battery Only",0,PVCalcs!M418)</f>
        <v>115785.5118930872</v>
      </c>
      <c r="V418" s="33">
        <f>PVCalcs!L418</f>
        <v>25811.765833333331</v>
      </c>
      <c r="W418" s="158">
        <f>PVCalcs!F418</f>
        <v>7.8896523189157505E-2</v>
      </c>
      <c r="X418" s="144">
        <f>IF('PV IN'!$F$4="Battery Only",0,PVCalcs!Y418+PVCalcs!Z418)</f>
        <v>0</v>
      </c>
      <c r="Y418" s="144">
        <f>IF('PV IN'!$F$4="PV Only",0,BattCalcs!AX418+BattCalcs!BC418)</f>
        <v>0</v>
      </c>
      <c r="Z418" s="144">
        <f>IF('PV IN'!$F$4="PV Only",0,BattCalcs!AY418+BattCalcs!BD418)</f>
        <v>0</v>
      </c>
      <c r="AA418" s="144">
        <f>IF('PV IN'!$F$4="PV Only",0,BattCalcs!AZ418+BattCalcs!BE418)</f>
        <v>0</v>
      </c>
      <c r="AB418" s="144">
        <f>IF('PV IN'!$F$4="PV Only",0,BattCalcs!BA418+BattCalcs!BF418)</f>
        <v>0</v>
      </c>
      <c r="AC418" s="144">
        <f>IF('PV IN'!$F$4="PV Only",0,BattCalcs!BB418+BattCalcs!BG418)</f>
        <v>0</v>
      </c>
      <c r="AD418" s="144">
        <f>IF('PV IN'!$F$4="PV Only",0,BattCalcs!BU418)</f>
        <v>0</v>
      </c>
      <c r="AE418" s="144">
        <f>IF('PV IN'!$F$4="PV Only",PVCalcs!W418+PVCalcs!AA418,IF('PV IN'!$F$4="Battery Only",BattCalcs!AV418+BattCalcs!BH418,PVCalcs!W418+PVCalcs!AA418+BattCalcs!AV418+BattCalcs!BH418))</f>
        <v>0</v>
      </c>
      <c r="AF418" s="10">
        <f>PVCalcs!AC418+BattCalcs!BJ418</f>
        <v>0</v>
      </c>
      <c r="AG418" s="144">
        <f>IF('PV IN'!$F$4="Battery Only",0,PVCalcs!AG418)</f>
        <v>-750</v>
      </c>
      <c r="AH418" s="144">
        <f>IF('PV IN'!$F$4="Battery Only",0,PVCalcs!AI418)</f>
        <v>0</v>
      </c>
      <c r="AI418" s="144">
        <f>IF('PV IN'!$F$4="PV Only",0,BattCalcs!BM418)</f>
        <v>0</v>
      </c>
      <c r="AJ418" s="144">
        <f>IF('PV IN'!$F$4="PV Only",0,SUM(BattCalcs!BO418:BT418))</f>
        <v>0</v>
      </c>
      <c r="AK418" s="144">
        <f>IF('PV IN'!$F$4="PV Only",PVCalcs!AH418,IF('PV IN'!$F$4="Battery Only",BattCalcs!BN418,PVCalcs!AH418+BattCalcs!BN418))</f>
        <v>-625</v>
      </c>
      <c r="AL418" s="144">
        <f>IF('PV IN'!$F$4="PV Only",0,BattCalcs!BV418)</f>
        <v>0</v>
      </c>
      <c r="AM418" s="144">
        <f>IF('PV IN'!$F$4="PV Only",0,SUM(BattCalcs!BW418:BX418))</f>
        <v>0</v>
      </c>
      <c r="AN418" s="144">
        <f>IF('PV IN'!$F$4="PV Only",0,BattCalcs!BY418)</f>
        <v>0</v>
      </c>
      <c r="AO418" s="144">
        <f>IF('PV IN'!$F$4="Battery Only",0,PVCalcs!U418)</f>
        <v>9135.0743240414267</v>
      </c>
      <c r="AP418" s="10">
        <f>IF('PV IN'!$F$4="PV Only",0,BattCalcs!AS418)</f>
        <v>0</v>
      </c>
      <c r="AQ418" s="10">
        <f>IF('PV IN'!$F$4="PV Only",0,BattCalcs!AT418)</f>
        <v>0</v>
      </c>
      <c r="AR418" s="10">
        <f>IF('PV IN'!$F$4="PV Only",0,BattCalcs!AU418)</f>
        <v>0</v>
      </c>
      <c r="AS418" s="144">
        <f>IF('PV IN'!$F$4="PV Only",PVCalcs!X418,IF('PV IN'!$F$4="Battery Only",BattCalcs!AW418,PVCalcs!X418+BattCalcs!AW418))</f>
        <v>0</v>
      </c>
      <c r="AT418" s="144">
        <f>IF('PV IN'!$F$4="Battery Only",0,-PVCalcs!AQ418*'PV IN'!$E$8)</f>
        <v>0</v>
      </c>
      <c r="AU418" s="144">
        <f>IF('PV IN'!$F$4="PV Only",0,-BattCalcs!CG418*'PV IN'!$E$8)</f>
        <v>0</v>
      </c>
      <c r="AV418" s="144">
        <f>IF('PV IN'!$F$4="PV Only",PVCalcs!Z418+PVCalcs!AA418,IF('PV IN'!$F$4="Battery Only",SUM(BattCalcs!BC418:BH418),PVCalcs!Z418+PVCalcs!AA418+SUM(BattCalcs!BC418:BH418)))</f>
        <v>0</v>
      </c>
      <c r="AW418" s="144">
        <f>IF('PV IN'!$F$4="PV Only",SUM(PVCalcs!AF418:AI418),IF('PV IN'!$F$4="Battery Only",SUM(BattCalcs!BL418:BY418),SUM(PVCalcs!AF418:AI418)+SUM(BattCalcs!BL418:BY418)))</f>
        <v>-1375</v>
      </c>
      <c r="AX418" s="144">
        <f>IF('PV IN'!$F$4="Battery Only",0,-PVLoan!F446)</f>
        <v>0</v>
      </c>
      <c r="AY418" s="144">
        <f>IF('PV IN'!$F$4="PV Only",0,-BattLoan!F446)</f>
        <v>0</v>
      </c>
      <c r="AZ418" s="144">
        <f>IF('PV IN'!$F$4="Battery Only",0,-PVLoan!H446)</f>
        <v>0</v>
      </c>
      <c r="BA418" s="144">
        <f>IF('PV IN'!$F$4="PV Only",0,-BattLoan!H446)</f>
        <v>0</v>
      </c>
    </row>
    <row r="419" spans="1:88" x14ac:dyDescent="0.25">
      <c r="A419" t="str">
        <f>IF(C419&lt;='PV IN'!$O$22*12,C419,"")</f>
        <v/>
      </c>
      <c r="C419">
        <v>415</v>
      </c>
      <c r="D419" s="2">
        <f>BattCalcs!CK419+PVCalcs!AT419</f>
        <v>8042.7342744920625</v>
      </c>
      <c r="E419" s="20">
        <f>PVCalcs!AV419</f>
        <v>2914644.4073314895</v>
      </c>
      <c r="F419" s="20">
        <f>PVCalcs!AW419</f>
        <v>1488.0143771210535</v>
      </c>
      <c r="G419" s="20" t="e">
        <f>PVCalcs!AX419</f>
        <v>#N/A</v>
      </c>
      <c r="H419" s="20">
        <f>BattCalcs!CM419</f>
        <v>0</v>
      </c>
      <c r="I419" s="20">
        <f>BattCalcs!CN419</f>
        <v>0</v>
      </c>
      <c r="J419" s="20" t="e">
        <f>IF(C419&lt;='Batt IN'!H$43*12,BattCalcs!CO419,NA())</f>
        <v>#N/A</v>
      </c>
      <c r="L419" s="20">
        <f t="shared" si="997"/>
        <v>1488.0143771210535</v>
      </c>
      <c r="M419" s="20" t="e">
        <f>G419+BattCalcs!CO419</f>
        <v>#N/A</v>
      </c>
      <c r="O419" s="10" t="str">
        <f>PVLoan!G447</f>
        <v>-</v>
      </c>
      <c r="P419" s="10" t="str">
        <f>PVLoan!J447</f>
        <v>-</v>
      </c>
      <c r="Q419" s="2" t="str">
        <f>BattLoan!G447</f>
        <v>-</v>
      </c>
      <c r="R419" s="10" t="str">
        <f>BattLoan!J447</f>
        <v>-</v>
      </c>
      <c r="T419" s="33">
        <f>IF('PV IN'!$F$4="Battery Only",0,PVCalcs!G419)</f>
        <v>115708.32155182509</v>
      </c>
      <c r="U419" s="33">
        <f>IF('PV IN'!$F$4="Battery Only",0,PVCalcs!M419)</f>
        <v>115708.32155182509</v>
      </c>
      <c r="V419" s="33">
        <f>PVCalcs!L419</f>
        <v>25811.765833333331</v>
      </c>
      <c r="W419" s="158">
        <f>PVCalcs!F419</f>
        <v>7.8896523189157505E-2</v>
      </c>
      <c r="X419" s="144">
        <f>IF('PV IN'!$F$4="Battery Only",0,PVCalcs!Y419+PVCalcs!Z419)</f>
        <v>0</v>
      </c>
      <c r="Y419" s="144">
        <f>IF('PV IN'!$F$4="PV Only",0,BattCalcs!AX419+BattCalcs!BC419)</f>
        <v>0</v>
      </c>
      <c r="Z419" s="144">
        <f>IF('PV IN'!$F$4="PV Only",0,BattCalcs!AY419+BattCalcs!BD419)</f>
        <v>0</v>
      </c>
      <c r="AA419" s="144">
        <f>IF('PV IN'!$F$4="PV Only",0,BattCalcs!AZ419+BattCalcs!BE419)</f>
        <v>0</v>
      </c>
      <c r="AB419" s="144">
        <f>IF('PV IN'!$F$4="PV Only",0,BattCalcs!BA419+BattCalcs!BF419)</f>
        <v>0</v>
      </c>
      <c r="AC419" s="144">
        <f>IF('PV IN'!$F$4="PV Only",0,BattCalcs!BB419+BattCalcs!BG419)</f>
        <v>0</v>
      </c>
      <c r="AD419" s="144">
        <f>IF('PV IN'!$F$4="PV Only",0,BattCalcs!BU419)</f>
        <v>0</v>
      </c>
      <c r="AE419" s="144">
        <f>IF('PV IN'!$F$4="PV Only",PVCalcs!W419+PVCalcs!AA419,IF('PV IN'!$F$4="Battery Only",BattCalcs!AV419+BattCalcs!BH419,PVCalcs!W419+PVCalcs!AA419+BattCalcs!AV419+BattCalcs!BH419))</f>
        <v>0</v>
      </c>
      <c r="AF419" s="10">
        <f>PVCalcs!AC419+BattCalcs!BJ419</f>
        <v>0</v>
      </c>
      <c r="AG419" s="144">
        <f>IF('PV IN'!$F$4="Battery Only",0,PVCalcs!AG419)</f>
        <v>-750</v>
      </c>
      <c r="AH419" s="144">
        <f>IF('PV IN'!$F$4="Battery Only",0,PVCalcs!AI419)</f>
        <v>0</v>
      </c>
      <c r="AI419" s="144">
        <f>IF('PV IN'!$F$4="PV Only",0,BattCalcs!BM419)</f>
        <v>0</v>
      </c>
      <c r="AJ419" s="144">
        <f>IF('PV IN'!$F$4="PV Only",0,SUM(BattCalcs!BO419:BT419))</f>
        <v>0</v>
      </c>
      <c r="AK419" s="144">
        <f>IF('PV IN'!$F$4="PV Only",PVCalcs!AH419,IF('PV IN'!$F$4="Battery Only",BattCalcs!BN419,PVCalcs!AH419+BattCalcs!BN419))</f>
        <v>-625</v>
      </c>
      <c r="AL419" s="144">
        <f>IF('PV IN'!$F$4="PV Only",0,BattCalcs!BV419)</f>
        <v>0</v>
      </c>
      <c r="AM419" s="144">
        <f>IF('PV IN'!$F$4="PV Only",0,SUM(BattCalcs!BW419:BX419))</f>
        <v>0</v>
      </c>
      <c r="AN419" s="144">
        <f>IF('PV IN'!$F$4="PV Only",0,BattCalcs!BY419)</f>
        <v>0</v>
      </c>
      <c r="AO419" s="144">
        <f>IF('PV IN'!$F$4="Battery Only",0,PVCalcs!U419)</f>
        <v>9128.9842744920625</v>
      </c>
      <c r="AP419" s="10">
        <f>IF('PV IN'!$F$4="PV Only",0,BattCalcs!AS419)</f>
        <v>0</v>
      </c>
      <c r="AQ419" s="10">
        <f>IF('PV IN'!$F$4="PV Only",0,BattCalcs!AT419)</f>
        <v>0</v>
      </c>
      <c r="AR419" s="10">
        <f>IF('PV IN'!$F$4="PV Only",0,BattCalcs!AU419)</f>
        <v>0</v>
      </c>
      <c r="AS419" s="144">
        <f>IF('PV IN'!$F$4="PV Only",PVCalcs!X419,IF('PV IN'!$F$4="Battery Only",BattCalcs!AW419,PVCalcs!X419+BattCalcs!AW419))</f>
        <v>0</v>
      </c>
      <c r="AT419" s="144">
        <f>IF('PV IN'!$F$4="Battery Only",0,-PVCalcs!AQ419*'PV IN'!$E$8)</f>
        <v>0</v>
      </c>
      <c r="AU419" s="144">
        <f>IF('PV IN'!$F$4="PV Only",0,-BattCalcs!CG419*'PV IN'!$E$8)</f>
        <v>0</v>
      </c>
      <c r="AV419" s="144">
        <f>IF('PV IN'!$F$4="PV Only",PVCalcs!Z419+PVCalcs!AA419,IF('PV IN'!$F$4="Battery Only",SUM(BattCalcs!BC419:BH419),PVCalcs!Z419+PVCalcs!AA419+SUM(BattCalcs!BC419:BH419)))</f>
        <v>0</v>
      </c>
      <c r="AW419" s="144">
        <f>IF('PV IN'!$F$4="PV Only",SUM(PVCalcs!AF419:AI419),IF('PV IN'!$F$4="Battery Only",SUM(BattCalcs!BL419:BY419),SUM(PVCalcs!AF419:AI419)+SUM(BattCalcs!BL419:BY419)))</f>
        <v>-1375</v>
      </c>
      <c r="AX419" s="144">
        <f>IF('PV IN'!$F$4="Battery Only",0,-PVLoan!F447)</f>
        <v>0</v>
      </c>
      <c r="AY419" s="144">
        <f>IF('PV IN'!$F$4="PV Only",0,-BattLoan!F447)</f>
        <v>0</v>
      </c>
      <c r="AZ419" s="144">
        <f>IF('PV IN'!$F$4="Battery Only",0,-PVLoan!H447)</f>
        <v>0</v>
      </c>
      <c r="BA419" s="144">
        <f>IF('PV IN'!$F$4="PV Only",0,-BattLoan!H447)</f>
        <v>0</v>
      </c>
    </row>
    <row r="420" spans="1:88" x14ac:dyDescent="0.25">
      <c r="A420" t="str">
        <f>IF(C420&lt;='PV IN'!$O$22*12,C420,"")</f>
        <v/>
      </c>
      <c r="C420">
        <v>416</v>
      </c>
      <c r="D420" s="2">
        <f>BattCalcs!CK420+PVCalcs!AT420</f>
        <v>8036.6482849757358</v>
      </c>
      <c r="E420" s="20">
        <f>PVCalcs!AV420</f>
        <v>2922681.0556164654</v>
      </c>
      <c r="F420" s="20">
        <f>PVCalcs!AW420</f>
        <v>1480.8551995417833</v>
      </c>
      <c r="G420" s="20" t="e">
        <f>PVCalcs!AX420</f>
        <v>#N/A</v>
      </c>
      <c r="H420" s="20">
        <f>BattCalcs!CM420</f>
        <v>0</v>
      </c>
      <c r="I420" s="20">
        <f>BattCalcs!CN420</f>
        <v>0</v>
      </c>
      <c r="J420" s="20" t="e">
        <f>IF(C420&lt;='Batt IN'!H$43*12,BattCalcs!CO420,NA())</f>
        <v>#N/A</v>
      </c>
      <c r="L420" s="20">
        <f t="shared" si="997"/>
        <v>1480.8551995417833</v>
      </c>
      <c r="M420" s="20" t="e">
        <f>G420+BattCalcs!CO420</f>
        <v>#N/A</v>
      </c>
      <c r="O420" s="10" t="str">
        <f>PVLoan!G448</f>
        <v>-</v>
      </c>
      <c r="P420" s="10" t="str">
        <f>PVLoan!J448</f>
        <v>-</v>
      </c>
      <c r="Q420" s="2" t="str">
        <f>BattLoan!G448</f>
        <v>-</v>
      </c>
      <c r="R420" s="10" t="str">
        <f>BattLoan!J448</f>
        <v>-</v>
      </c>
      <c r="T420" s="33">
        <f>IF('PV IN'!$F$4="Battery Only",0,PVCalcs!G420)</f>
        <v>115631.18267079057</v>
      </c>
      <c r="U420" s="33">
        <f>IF('PV IN'!$F$4="Battery Only",0,PVCalcs!M420)</f>
        <v>115631.18267079057</v>
      </c>
      <c r="V420" s="33">
        <f>PVCalcs!L420</f>
        <v>25811.765833333331</v>
      </c>
      <c r="W420" s="158">
        <f>PVCalcs!F420</f>
        <v>7.8896523189157505E-2</v>
      </c>
      <c r="X420" s="144">
        <f>IF('PV IN'!$F$4="Battery Only",0,PVCalcs!Y420+PVCalcs!Z420)</f>
        <v>0</v>
      </c>
      <c r="Y420" s="144">
        <f>IF('PV IN'!$F$4="PV Only",0,BattCalcs!AX420+BattCalcs!BC420)</f>
        <v>0</v>
      </c>
      <c r="Z420" s="144">
        <f>IF('PV IN'!$F$4="PV Only",0,BattCalcs!AY420+BattCalcs!BD420)</f>
        <v>0</v>
      </c>
      <c r="AA420" s="144">
        <f>IF('PV IN'!$F$4="PV Only",0,BattCalcs!AZ420+BattCalcs!BE420)</f>
        <v>0</v>
      </c>
      <c r="AB420" s="144">
        <f>IF('PV IN'!$F$4="PV Only",0,BattCalcs!BA420+BattCalcs!BF420)</f>
        <v>0</v>
      </c>
      <c r="AC420" s="144">
        <f>IF('PV IN'!$F$4="PV Only",0,BattCalcs!BB420+BattCalcs!BG420)</f>
        <v>0</v>
      </c>
      <c r="AD420" s="144">
        <f>IF('PV IN'!$F$4="PV Only",0,BattCalcs!BU420)</f>
        <v>0</v>
      </c>
      <c r="AE420" s="144">
        <f>IF('PV IN'!$F$4="PV Only",PVCalcs!W420+PVCalcs!AA420,IF('PV IN'!$F$4="Battery Only",BattCalcs!AV420+BattCalcs!BH420,PVCalcs!W420+PVCalcs!AA420+BattCalcs!AV420+BattCalcs!BH420))</f>
        <v>0</v>
      </c>
      <c r="AF420" s="10">
        <f>PVCalcs!AC420+BattCalcs!BJ420</f>
        <v>0</v>
      </c>
      <c r="AG420" s="144">
        <f>IF('PV IN'!$F$4="Battery Only",0,PVCalcs!AG420)</f>
        <v>-750</v>
      </c>
      <c r="AH420" s="144">
        <f>IF('PV IN'!$F$4="Battery Only",0,PVCalcs!AI420)</f>
        <v>0</v>
      </c>
      <c r="AI420" s="144">
        <f>IF('PV IN'!$F$4="PV Only",0,BattCalcs!BM420)</f>
        <v>0</v>
      </c>
      <c r="AJ420" s="144">
        <f>IF('PV IN'!$F$4="PV Only",0,SUM(BattCalcs!BO420:BT420))</f>
        <v>0</v>
      </c>
      <c r="AK420" s="144">
        <f>IF('PV IN'!$F$4="PV Only",PVCalcs!AH420,IF('PV IN'!$F$4="Battery Only",BattCalcs!BN420,PVCalcs!AH420+BattCalcs!BN420))</f>
        <v>-625</v>
      </c>
      <c r="AL420" s="144">
        <f>IF('PV IN'!$F$4="PV Only",0,BattCalcs!BV420)</f>
        <v>0</v>
      </c>
      <c r="AM420" s="144">
        <f>IF('PV IN'!$F$4="PV Only",0,SUM(BattCalcs!BW420:BX420))</f>
        <v>0</v>
      </c>
      <c r="AN420" s="144">
        <f>IF('PV IN'!$F$4="PV Only",0,BattCalcs!BY420)</f>
        <v>0</v>
      </c>
      <c r="AO420" s="144">
        <f>IF('PV IN'!$F$4="Battery Only",0,PVCalcs!U420)</f>
        <v>9122.8982849757358</v>
      </c>
      <c r="AP420" s="10">
        <f>IF('PV IN'!$F$4="PV Only",0,BattCalcs!AS420)</f>
        <v>0</v>
      </c>
      <c r="AQ420" s="10">
        <f>IF('PV IN'!$F$4="PV Only",0,BattCalcs!AT420)</f>
        <v>0</v>
      </c>
      <c r="AR420" s="10">
        <f>IF('PV IN'!$F$4="PV Only",0,BattCalcs!AU420)</f>
        <v>0</v>
      </c>
      <c r="AS420" s="144">
        <f>IF('PV IN'!$F$4="PV Only",PVCalcs!X420,IF('PV IN'!$F$4="Battery Only",BattCalcs!AW420,PVCalcs!X420+BattCalcs!AW420))</f>
        <v>0</v>
      </c>
      <c r="AT420" s="144">
        <f>IF('PV IN'!$F$4="Battery Only",0,-PVCalcs!AQ420*'PV IN'!$E$8)</f>
        <v>0</v>
      </c>
      <c r="AU420" s="144">
        <f>IF('PV IN'!$F$4="PV Only",0,-BattCalcs!CG420*'PV IN'!$E$8)</f>
        <v>0</v>
      </c>
      <c r="AV420" s="144">
        <f>IF('PV IN'!$F$4="PV Only",PVCalcs!Z420+PVCalcs!AA420,IF('PV IN'!$F$4="Battery Only",SUM(BattCalcs!BC420:BH420),PVCalcs!Z420+PVCalcs!AA420+SUM(BattCalcs!BC420:BH420)))</f>
        <v>0</v>
      </c>
      <c r="AW420" s="144">
        <f>IF('PV IN'!$F$4="PV Only",SUM(PVCalcs!AF420:AI420),IF('PV IN'!$F$4="Battery Only",SUM(BattCalcs!BL420:BY420),SUM(PVCalcs!AF420:AI420)+SUM(BattCalcs!BL420:BY420)))</f>
        <v>-1375</v>
      </c>
      <c r="AX420" s="144">
        <f>IF('PV IN'!$F$4="Battery Only",0,-PVLoan!F448)</f>
        <v>0</v>
      </c>
      <c r="AY420" s="144">
        <f>IF('PV IN'!$F$4="PV Only",0,-BattLoan!F448)</f>
        <v>0</v>
      </c>
      <c r="AZ420" s="144">
        <f>IF('PV IN'!$F$4="Battery Only",0,-PVLoan!H448)</f>
        <v>0</v>
      </c>
      <c r="BA420" s="144">
        <f>IF('PV IN'!$F$4="PV Only",0,-BattLoan!H448)</f>
        <v>0</v>
      </c>
    </row>
    <row r="421" spans="1:88" x14ac:dyDescent="0.25">
      <c r="A421" t="str">
        <f>IF(C421&lt;='PV IN'!$O$22*12,C421,"")</f>
        <v/>
      </c>
      <c r="C421">
        <v>417</v>
      </c>
      <c r="D421" s="2">
        <f>BattCalcs!CK421+PVCalcs!AT421</f>
        <v>8030.5663527857505</v>
      </c>
      <c r="E421" s="20">
        <f>PVCalcs!AV421</f>
        <v>2930711.621969251</v>
      </c>
      <c r="F421" s="20">
        <f>PVCalcs!AW421</f>
        <v>1473.7303658407236</v>
      </c>
      <c r="G421" s="20" t="e">
        <f>PVCalcs!AX421</f>
        <v>#N/A</v>
      </c>
      <c r="H421" s="20">
        <f>BattCalcs!CM421</f>
        <v>0</v>
      </c>
      <c r="I421" s="20">
        <f>BattCalcs!CN421</f>
        <v>0</v>
      </c>
      <c r="J421" s="20" t="e">
        <f>IF(C421&lt;='Batt IN'!H$43*12,BattCalcs!CO421,NA())</f>
        <v>#N/A</v>
      </c>
      <c r="L421" s="20">
        <f t="shared" si="997"/>
        <v>1473.7303658407236</v>
      </c>
      <c r="M421" s="20" t="e">
        <f>G421+BattCalcs!CO421</f>
        <v>#N/A</v>
      </c>
      <c r="O421" s="10" t="str">
        <f>PVLoan!G449</f>
        <v>-</v>
      </c>
      <c r="P421" s="10" t="str">
        <f>PVLoan!J449</f>
        <v>-</v>
      </c>
      <c r="Q421" s="2" t="str">
        <f>BattLoan!G449</f>
        <v>-</v>
      </c>
      <c r="R421" s="10" t="str">
        <f>BattLoan!J449</f>
        <v>-</v>
      </c>
      <c r="T421" s="33">
        <f>IF('PV IN'!$F$4="Battery Only",0,PVCalcs!G421)</f>
        <v>115554.0952156767</v>
      </c>
      <c r="U421" s="33">
        <f>IF('PV IN'!$F$4="Battery Only",0,PVCalcs!M421)</f>
        <v>115554.0952156767</v>
      </c>
      <c r="V421" s="33">
        <f>PVCalcs!L421</f>
        <v>25811.765833333331</v>
      </c>
      <c r="W421" s="158">
        <f>PVCalcs!F421</f>
        <v>7.8896523189157505E-2</v>
      </c>
      <c r="X421" s="144">
        <f>IF('PV IN'!$F$4="Battery Only",0,PVCalcs!Y421+PVCalcs!Z421)</f>
        <v>0</v>
      </c>
      <c r="Y421" s="144">
        <f>IF('PV IN'!$F$4="PV Only",0,BattCalcs!AX421+BattCalcs!BC421)</f>
        <v>0</v>
      </c>
      <c r="Z421" s="144">
        <f>IF('PV IN'!$F$4="PV Only",0,BattCalcs!AY421+BattCalcs!BD421)</f>
        <v>0</v>
      </c>
      <c r="AA421" s="144">
        <f>IF('PV IN'!$F$4="PV Only",0,BattCalcs!AZ421+BattCalcs!BE421)</f>
        <v>0</v>
      </c>
      <c r="AB421" s="144">
        <f>IF('PV IN'!$F$4="PV Only",0,BattCalcs!BA421+BattCalcs!BF421)</f>
        <v>0</v>
      </c>
      <c r="AC421" s="144">
        <f>IF('PV IN'!$F$4="PV Only",0,BattCalcs!BB421+BattCalcs!BG421)</f>
        <v>0</v>
      </c>
      <c r="AD421" s="144">
        <f>IF('PV IN'!$F$4="PV Only",0,BattCalcs!BU421)</f>
        <v>0</v>
      </c>
      <c r="AE421" s="144">
        <f>IF('PV IN'!$F$4="PV Only",PVCalcs!W421+PVCalcs!AA421,IF('PV IN'!$F$4="Battery Only",BattCalcs!AV421+BattCalcs!BH421,PVCalcs!W421+PVCalcs!AA421+BattCalcs!AV421+BattCalcs!BH421))</f>
        <v>0</v>
      </c>
      <c r="AF421" s="10">
        <f>PVCalcs!AC421+BattCalcs!BJ421</f>
        <v>0</v>
      </c>
      <c r="AG421" s="144">
        <f>IF('PV IN'!$F$4="Battery Only",0,PVCalcs!AG421)</f>
        <v>-750</v>
      </c>
      <c r="AH421" s="144">
        <f>IF('PV IN'!$F$4="Battery Only",0,PVCalcs!AI421)</f>
        <v>0</v>
      </c>
      <c r="AI421" s="144">
        <f>IF('PV IN'!$F$4="PV Only",0,BattCalcs!BM421)</f>
        <v>0</v>
      </c>
      <c r="AJ421" s="144">
        <f>IF('PV IN'!$F$4="PV Only",0,SUM(BattCalcs!BO421:BT421))</f>
        <v>0</v>
      </c>
      <c r="AK421" s="144">
        <f>IF('PV IN'!$F$4="PV Only",PVCalcs!AH421,IF('PV IN'!$F$4="Battery Only",BattCalcs!BN421,PVCalcs!AH421+BattCalcs!BN421))</f>
        <v>-625</v>
      </c>
      <c r="AL421" s="144">
        <f>IF('PV IN'!$F$4="PV Only",0,BattCalcs!BV421)</f>
        <v>0</v>
      </c>
      <c r="AM421" s="144">
        <f>IF('PV IN'!$F$4="PV Only",0,SUM(BattCalcs!BW421:BX421))</f>
        <v>0</v>
      </c>
      <c r="AN421" s="144">
        <f>IF('PV IN'!$F$4="PV Only",0,BattCalcs!BY421)</f>
        <v>0</v>
      </c>
      <c r="AO421" s="144">
        <f>IF('PV IN'!$F$4="Battery Only",0,PVCalcs!U421)</f>
        <v>9116.8163527857505</v>
      </c>
      <c r="AP421" s="10">
        <f>IF('PV IN'!$F$4="PV Only",0,BattCalcs!AS421)</f>
        <v>0</v>
      </c>
      <c r="AQ421" s="10">
        <f>IF('PV IN'!$F$4="PV Only",0,BattCalcs!AT421)</f>
        <v>0</v>
      </c>
      <c r="AR421" s="10">
        <f>IF('PV IN'!$F$4="PV Only",0,BattCalcs!AU421)</f>
        <v>0</v>
      </c>
      <c r="AS421" s="144">
        <f>IF('PV IN'!$F$4="PV Only",PVCalcs!X421,IF('PV IN'!$F$4="Battery Only",BattCalcs!AW421,PVCalcs!X421+BattCalcs!AW421))</f>
        <v>0</v>
      </c>
      <c r="AT421" s="144">
        <f>IF('PV IN'!$F$4="Battery Only",0,-PVCalcs!AQ421*'PV IN'!$E$8)</f>
        <v>0</v>
      </c>
      <c r="AU421" s="144">
        <f>IF('PV IN'!$F$4="PV Only",0,-BattCalcs!CG421*'PV IN'!$E$8)</f>
        <v>0</v>
      </c>
      <c r="AV421" s="144">
        <f>IF('PV IN'!$F$4="PV Only",PVCalcs!Z421+PVCalcs!AA421,IF('PV IN'!$F$4="Battery Only",SUM(BattCalcs!BC421:BH421),PVCalcs!Z421+PVCalcs!AA421+SUM(BattCalcs!BC421:BH421)))</f>
        <v>0</v>
      </c>
      <c r="AW421" s="144">
        <f>IF('PV IN'!$F$4="PV Only",SUM(PVCalcs!AF421:AI421),IF('PV IN'!$F$4="Battery Only",SUM(BattCalcs!BL421:BY421),SUM(PVCalcs!AF421:AI421)+SUM(BattCalcs!BL421:BY421)))</f>
        <v>-1375</v>
      </c>
      <c r="AX421" s="144">
        <f>IF('PV IN'!$F$4="Battery Only",0,-PVLoan!F449)</f>
        <v>0</v>
      </c>
      <c r="AY421" s="144">
        <f>IF('PV IN'!$F$4="PV Only",0,-BattLoan!F449)</f>
        <v>0</v>
      </c>
      <c r="AZ421" s="144">
        <f>IF('PV IN'!$F$4="Battery Only",0,-PVLoan!H449)</f>
        <v>0</v>
      </c>
      <c r="BA421" s="144">
        <f>IF('PV IN'!$F$4="PV Only",0,-BattLoan!H449)</f>
        <v>0</v>
      </c>
    </row>
    <row r="422" spans="1:88" x14ac:dyDescent="0.25">
      <c r="A422" t="str">
        <f>IF(C422&lt;='PV IN'!$O$22*12,C422,"")</f>
        <v/>
      </c>
      <c r="C422">
        <v>418</v>
      </c>
      <c r="D422" s="2">
        <f>BattCalcs!CK422+PVCalcs!AT422</f>
        <v>8024.4884752172275</v>
      </c>
      <c r="E422" s="20">
        <f>PVCalcs!AV422</f>
        <v>2938736.110444468</v>
      </c>
      <c r="F422" s="20">
        <f>PVCalcs!AW422</f>
        <v>1466.6397116644764</v>
      </c>
      <c r="G422" s="20" t="e">
        <f>PVCalcs!AX422</f>
        <v>#N/A</v>
      </c>
      <c r="H422" s="20">
        <f>BattCalcs!CM422</f>
        <v>0</v>
      </c>
      <c r="I422" s="20">
        <f>BattCalcs!CN422</f>
        <v>0</v>
      </c>
      <c r="J422" s="20" t="e">
        <f>IF(C422&lt;='Batt IN'!H$43*12,BattCalcs!CO422,NA())</f>
        <v>#N/A</v>
      </c>
      <c r="L422" s="20">
        <f t="shared" si="997"/>
        <v>1466.6397116644764</v>
      </c>
      <c r="M422" s="20" t="e">
        <f>G422+BattCalcs!CO422</f>
        <v>#N/A</v>
      </c>
      <c r="O422" s="10" t="str">
        <f>PVLoan!G450</f>
        <v>-</v>
      </c>
      <c r="P422" s="10" t="str">
        <f>PVLoan!J450</f>
        <v>-</v>
      </c>
      <c r="Q422" s="2" t="str">
        <f>BattLoan!G450</f>
        <v>-</v>
      </c>
      <c r="R422" s="10" t="str">
        <f>BattLoan!J450</f>
        <v>-</v>
      </c>
      <c r="T422" s="33">
        <f>IF('PV IN'!$F$4="Battery Only",0,PVCalcs!G422)</f>
        <v>115477.05915219958</v>
      </c>
      <c r="U422" s="33">
        <f>IF('PV IN'!$F$4="Battery Only",0,PVCalcs!M422)</f>
        <v>115477.05915219958</v>
      </c>
      <c r="V422" s="33">
        <f>PVCalcs!L422</f>
        <v>25811.765833333331</v>
      </c>
      <c r="W422" s="158">
        <f>PVCalcs!F422</f>
        <v>7.8896523189157505E-2</v>
      </c>
      <c r="X422" s="144">
        <f>IF('PV IN'!$F$4="Battery Only",0,PVCalcs!Y422+PVCalcs!Z422)</f>
        <v>0</v>
      </c>
      <c r="Y422" s="144">
        <f>IF('PV IN'!$F$4="PV Only",0,BattCalcs!AX422+BattCalcs!BC422)</f>
        <v>0</v>
      </c>
      <c r="Z422" s="144">
        <f>IF('PV IN'!$F$4="PV Only",0,BattCalcs!AY422+BattCalcs!BD422)</f>
        <v>0</v>
      </c>
      <c r="AA422" s="144">
        <f>IF('PV IN'!$F$4="PV Only",0,BattCalcs!AZ422+BattCalcs!BE422)</f>
        <v>0</v>
      </c>
      <c r="AB422" s="144">
        <f>IF('PV IN'!$F$4="PV Only",0,BattCalcs!BA422+BattCalcs!BF422)</f>
        <v>0</v>
      </c>
      <c r="AC422" s="144">
        <f>IF('PV IN'!$F$4="PV Only",0,BattCalcs!BB422+BattCalcs!BG422)</f>
        <v>0</v>
      </c>
      <c r="AD422" s="144">
        <f>IF('PV IN'!$F$4="PV Only",0,BattCalcs!BU422)</f>
        <v>0</v>
      </c>
      <c r="AE422" s="144">
        <f>IF('PV IN'!$F$4="PV Only",PVCalcs!W422+PVCalcs!AA422,IF('PV IN'!$F$4="Battery Only",BattCalcs!AV422+BattCalcs!BH422,PVCalcs!W422+PVCalcs!AA422+BattCalcs!AV422+BattCalcs!BH422))</f>
        <v>0</v>
      </c>
      <c r="AF422" s="10">
        <f>PVCalcs!AC422+BattCalcs!BJ422</f>
        <v>0</v>
      </c>
      <c r="AG422" s="144">
        <f>IF('PV IN'!$F$4="Battery Only",0,PVCalcs!AG422)</f>
        <v>-750</v>
      </c>
      <c r="AH422" s="144">
        <f>IF('PV IN'!$F$4="Battery Only",0,PVCalcs!AI422)</f>
        <v>0</v>
      </c>
      <c r="AI422" s="144">
        <f>IF('PV IN'!$F$4="PV Only",0,BattCalcs!BM422)</f>
        <v>0</v>
      </c>
      <c r="AJ422" s="144">
        <f>IF('PV IN'!$F$4="PV Only",0,SUM(BattCalcs!BO422:BT422))</f>
        <v>0</v>
      </c>
      <c r="AK422" s="144">
        <f>IF('PV IN'!$F$4="PV Only",PVCalcs!AH422,IF('PV IN'!$F$4="Battery Only",BattCalcs!BN422,PVCalcs!AH422+BattCalcs!BN422))</f>
        <v>-625</v>
      </c>
      <c r="AL422" s="144">
        <f>IF('PV IN'!$F$4="PV Only",0,BattCalcs!BV422)</f>
        <v>0</v>
      </c>
      <c r="AM422" s="144">
        <f>IF('PV IN'!$F$4="PV Only",0,SUM(BattCalcs!BW422:BX422))</f>
        <v>0</v>
      </c>
      <c r="AN422" s="144">
        <f>IF('PV IN'!$F$4="PV Only",0,BattCalcs!BY422)</f>
        <v>0</v>
      </c>
      <c r="AO422" s="144">
        <f>IF('PV IN'!$F$4="Battery Only",0,PVCalcs!U422)</f>
        <v>9110.7384752172275</v>
      </c>
      <c r="AP422" s="10">
        <f>IF('PV IN'!$F$4="PV Only",0,BattCalcs!AS422)</f>
        <v>0</v>
      </c>
      <c r="AQ422" s="10">
        <f>IF('PV IN'!$F$4="PV Only",0,BattCalcs!AT422)</f>
        <v>0</v>
      </c>
      <c r="AR422" s="10">
        <f>IF('PV IN'!$F$4="PV Only",0,BattCalcs!AU422)</f>
        <v>0</v>
      </c>
      <c r="AS422" s="144">
        <f>IF('PV IN'!$F$4="PV Only",PVCalcs!X422,IF('PV IN'!$F$4="Battery Only",BattCalcs!AW422,PVCalcs!X422+BattCalcs!AW422))</f>
        <v>0</v>
      </c>
      <c r="AT422" s="144">
        <f>IF('PV IN'!$F$4="Battery Only",0,-PVCalcs!AQ422*'PV IN'!$E$8)</f>
        <v>0</v>
      </c>
      <c r="AU422" s="144">
        <f>IF('PV IN'!$F$4="PV Only",0,-BattCalcs!CG422*'PV IN'!$E$8)</f>
        <v>0</v>
      </c>
      <c r="AV422" s="144">
        <f>IF('PV IN'!$F$4="PV Only",PVCalcs!Z422+PVCalcs!AA422,IF('PV IN'!$F$4="Battery Only",SUM(BattCalcs!BC422:BH422),PVCalcs!Z422+PVCalcs!AA422+SUM(BattCalcs!BC422:BH422)))</f>
        <v>0</v>
      </c>
      <c r="AW422" s="144">
        <f>IF('PV IN'!$F$4="PV Only",SUM(PVCalcs!AF422:AI422),IF('PV IN'!$F$4="Battery Only",SUM(BattCalcs!BL422:BY422),SUM(PVCalcs!AF422:AI422)+SUM(BattCalcs!BL422:BY422)))</f>
        <v>-1375</v>
      </c>
      <c r="AX422" s="144">
        <f>IF('PV IN'!$F$4="Battery Only",0,-PVLoan!F450)</f>
        <v>0</v>
      </c>
      <c r="AY422" s="144">
        <f>IF('PV IN'!$F$4="PV Only",0,-BattLoan!F450)</f>
        <v>0</v>
      </c>
      <c r="AZ422" s="144">
        <f>IF('PV IN'!$F$4="Battery Only",0,-PVLoan!H450)</f>
        <v>0</v>
      </c>
      <c r="BA422" s="144">
        <f>IF('PV IN'!$F$4="PV Only",0,-BattLoan!H450)</f>
        <v>0</v>
      </c>
    </row>
    <row r="423" spans="1:88" x14ac:dyDescent="0.25">
      <c r="A423" t="str">
        <f>IF(C423&lt;='PV IN'!$O$22*12,C423,"")</f>
        <v/>
      </c>
      <c r="C423">
        <v>419</v>
      </c>
      <c r="D423" s="2">
        <f>BattCalcs!CK423+PVCalcs!AT423</f>
        <v>8018.4146495670811</v>
      </c>
      <c r="E423" s="20">
        <f>PVCalcs!AV423</f>
        <v>2946754.5250940351</v>
      </c>
      <c r="F423" s="20">
        <f>PVCalcs!AW423</f>
        <v>1459.5830734445608</v>
      </c>
      <c r="G423" s="20" t="e">
        <f>PVCalcs!AX423</f>
        <v>#N/A</v>
      </c>
      <c r="H423" s="20">
        <f>BattCalcs!CM423</f>
        <v>0</v>
      </c>
      <c r="I423" s="20">
        <f>BattCalcs!CN423</f>
        <v>0</v>
      </c>
      <c r="J423" s="20" t="e">
        <f>IF(C423&lt;='Batt IN'!H$43*12,BattCalcs!CO423,NA())</f>
        <v>#N/A</v>
      </c>
      <c r="L423" s="20">
        <f t="shared" si="997"/>
        <v>1459.5830734445608</v>
      </c>
      <c r="M423" s="20" t="e">
        <f>G423+BattCalcs!CO423</f>
        <v>#N/A</v>
      </c>
      <c r="O423" s="10" t="str">
        <f>PVLoan!G451</f>
        <v>-</v>
      </c>
      <c r="P423" s="10" t="str">
        <f>PVLoan!J451</f>
        <v>-</v>
      </c>
      <c r="Q423" s="2" t="str">
        <f>BattLoan!G451</f>
        <v>-</v>
      </c>
      <c r="R423" s="10" t="str">
        <f>BattLoan!J451</f>
        <v>-</v>
      </c>
      <c r="T423" s="33">
        <f>IF('PV IN'!$F$4="Battery Only",0,PVCalcs!G423)</f>
        <v>115400.07444609811</v>
      </c>
      <c r="U423" s="33">
        <f>IF('PV IN'!$F$4="Battery Only",0,PVCalcs!M423)</f>
        <v>115400.07444609811</v>
      </c>
      <c r="V423" s="33">
        <f>PVCalcs!L423</f>
        <v>25811.765833333331</v>
      </c>
      <c r="W423" s="158">
        <f>PVCalcs!F423</f>
        <v>7.8896523189157505E-2</v>
      </c>
      <c r="X423" s="144">
        <f>IF('PV IN'!$F$4="Battery Only",0,PVCalcs!Y423+PVCalcs!Z423)</f>
        <v>0</v>
      </c>
      <c r="Y423" s="144">
        <f>IF('PV IN'!$F$4="PV Only",0,BattCalcs!AX423+BattCalcs!BC423)</f>
        <v>0</v>
      </c>
      <c r="Z423" s="144">
        <f>IF('PV IN'!$F$4="PV Only",0,BattCalcs!AY423+BattCalcs!BD423)</f>
        <v>0</v>
      </c>
      <c r="AA423" s="144">
        <f>IF('PV IN'!$F$4="PV Only",0,BattCalcs!AZ423+BattCalcs!BE423)</f>
        <v>0</v>
      </c>
      <c r="AB423" s="144">
        <f>IF('PV IN'!$F$4="PV Only",0,BattCalcs!BA423+BattCalcs!BF423)</f>
        <v>0</v>
      </c>
      <c r="AC423" s="144">
        <f>IF('PV IN'!$F$4="PV Only",0,BattCalcs!BB423+BattCalcs!BG423)</f>
        <v>0</v>
      </c>
      <c r="AD423" s="144">
        <f>IF('PV IN'!$F$4="PV Only",0,BattCalcs!BU423)</f>
        <v>0</v>
      </c>
      <c r="AE423" s="144">
        <f>IF('PV IN'!$F$4="PV Only",PVCalcs!W423+PVCalcs!AA423,IF('PV IN'!$F$4="Battery Only",BattCalcs!AV423+BattCalcs!BH423,PVCalcs!W423+PVCalcs!AA423+BattCalcs!AV423+BattCalcs!BH423))</f>
        <v>0</v>
      </c>
      <c r="AF423" s="10">
        <f>PVCalcs!AC423+BattCalcs!BJ423</f>
        <v>0</v>
      </c>
      <c r="AG423" s="144">
        <f>IF('PV IN'!$F$4="Battery Only",0,PVCalcs!AG423)</f>
        <v>-750</v>
      </c>
      <c r="AH423" s="144">
        <f>IF('PV IN'!$F$4="Battery Only",0,PVCalcs!AI423)</f>
        <v>0</v>
      </c>
      <c r="AI423" s="144">
        <f>IF('PV IN'!$F$4="PV Only",0,BattCalcs!BM423)</f>
        <v>0</v>
      </c>
      <c r="AJ423" s="144">
        <f>IF('PV IN'!$F$4="PV Only",0,SUM(BattCalcs!BO423:BT423))</f>
        <v>0</v>
      </c>
      <c r="AK423" s="144">
        <f>IF('PV IN'!$F$4="PV Only",PVCalcs!AH423,IF('PV IN'!$F$4="Battery Only",BattCalcs!BN423,PVCalcs!AH423+BattCalcs!BN423))</f>
        <v>-625</v>
      </c>
      <c r="AL423" s="144">
        <f>IF('PV IN'!$F$4="PV Only",0,BattCalcs!BV423)</f>
        <v>0</v>
      </c>
      <c r="AM423" s="144">
        <f>IF('PV IN'!$F$4="PV Only",0,SUM(BattCalcs!BW423:BX423))</f>
        <v>0</v>
      </c>
      <c r="AN423" s="144">
        <f>IF('PV IN'!$F$4="PV Only",0,BattCalcs!BY423)</f>
        <v>0</v>
      </c>
      <c r="AO423" s="144">
        <f>IF('PV IN'!$F$4="Battery Only",0,PVCalcs!U423)</f>
        <v>9104.6646495670811</v>
      </c>
      <c r="AP423" s="10">
        <f>IF('PV IN'!$F$4="PV Only",0,BattCalcs!AS423)</f>
        <v>0</v>
      </c>
      <c r="AQ423" s="10">
        <f>IF('PV IN'!$F$4="PV Only",0,BattCalcs!AT423)</f>
        <v>0</v>
      </c>
      <c r="AR423" s="10">
        <f>IF('PV IN'!$F$4="PV Only",0,BattCalcs!AU423)</f>
        <v>0</v>
      </c>
      <c r="AS423" s="144">
        <f>IF('PV IN'!$F$4="PV Only",PVCalcs!X423,IF('PV IN'!$F$4="Battery Only",BattCalcs!AW423,PVCalcs!X423+BattCalcs!AW423))</f>
        <v>0</v>
      </c>
      <c r="AT423" s="144">
        <f>IF('PV IN'!$F$4="Battery Only",0,-PVCalcs!AQ423*'PV IN'!$E$8)</f>
        <v>0</v>
      </c>
      <c r="AU423" s="144">
        <f>IF('PV IN'!$F$4="PV Only",0,-BattCalcs!CG423*'PV IN'!$E$8)</f>
        <v>0</v>
      </c>
      <c r="AV423" s="144">
        <f>IF('PV IN'!$F$4="PV Only",PVCalcs!Z423+PVCalcs!AA423,IF('PV IN'!$F$4="Battery Only",SUM(BattCalcs!BC423:BH423),PVCalcs!Z423+PVCalcs!AA423+SUM(BattCalcs!BC423:BH423)))</f>
        <v>0</v>
      </c>
      <c r="AW423" s="144">
        <f>IF('PV IN'!$F$4="PV Only",SUM(PVCalcs!AF423:AI423),IF('PV IN'!$F$4="Battery Only",SUM(BattCalcs!BL423:BY423),SUM(PVCalcs!AF423:AI423)+SUM(BattCalcs!BL423:BY423)))</f>
        <v>-1375</v>
      </c>
      <c r="AX423" s="144">
        <f>IF('PV IN'!$F$4="Battery Only",0,-PVLoan!F451)</f>
        <v>0</v>
      </c>
      <c r="AY423" s="144">
        <f>IF('PV IN'!$F$4="PV Only",0,-BattLoan!F451)</f>
        <v>0</v>
      </c>
      <c r="AZ423" s="144">
        <f>IF('PV IN'!$F$4="Battery Only",0,-PVLoan!H451)</f>
        <v>0</v>
      </c>
      <c r="BA423" s="144">
        <f>IF('PV IN'!$F$4="PV Only",0,-BattLoan!H451)</f>
        <v>0</v>
      </c>
    </row>
    <row r="424" spans="1:88" x14ac:dyDescent="0.25">
      <c r="A424" t="str">
        <f>IF(C424&lt;='PV IN'!$O$22*12,C424,"")</f>
        <v/>
      </c>
      <c r="B424">
        <f t="shared" ref="B424" si="1138">B412+1</f>
        <v>2060</v>
      </c>
      <c r="C424">
        <v>420</v>
      </c>
      <c r="D424" s="2">
        <f>BattCalcs!CK424+PVCalcs!AT424</f>
        <v>8012.3448731340377</v>
      </c>
      <c r="E424" s="20">
        <f>PVCalcs!AV424</f>
        <v>2954766.8699671691</v>
      </c>
      <c r="F424" s="20">
        <f>PVCalcs!AW424</f>
        <v>1452.5602883936724</v>
      </c>
      <c r="G424" s="20" t="e">
        <f>PVCalcs!AX424</f>
        <v>#N/A</v>
      </c>
      <c r="H424" s="20">
        <f>BattCalcs!CM424</f>
        <v>0</v>
      </c>
      <c r="I424" s="20">
        <f>BattCalcs!CN424</f>
        <v>0</v>
      </c>
      <c r="J424" s="20" t="e">
        <f>IF(C424&lt;='Batt IN'!H$43*12,BattCalcs!CO424,NA())</f>
        <v>#N/A</v>
      </c>
      <c r="L424" s="20">
        <f t="shared" si="997"/>
        <v>1452.5602883936724</v>
      </c>
      <c r="M424" s="20" t="e">
        <f>G424+BattCalcs!CO424</f>
        <v>#N/A</v>
      </c>
      <c r="O424" s="10" t="str">
        <f>PVLoan!G452</f>
        <v>-</v>
      </c>
      <c r="P424" s="10" t="str">
        <f>PVLoan!J452</f>
        <v>-</v>
      </c>
      <c r="Q424" s="2" t="str">
        <f>BattLoan!G452</f>
        <v>-</v>
      </c>
      <c r="R424" s="10" t="str">
        <f>BattLoan!J452</f>
        <v>-</v>
      </c>
      <c r="T424" s="33">
        <f>IF('PV IN'!$F$4="Battery Only",0,PVCalcs!G424)</f>
        <v>115323.14106313404</v>
      </c>
      <c r="U424" s="33">
        <f>IF('PV IN'!$F$4="Battery Only",0,PVCalcs!M424)</f>
        <v>115323.14106313404</v>
      </c>
      <c r="V424" s="33">
        <f>PVCalcs!L424</f>
        <v>25811.765833333331</v>
      </c>
      <c r="W424" s="158">
        <f>PVCalcs!F424</f>
        <v>7.8896523189157505E-2</v>
      </c>
      <c r="X424" s="144">
        <f>IF('PV IN'!$F$4="Battery Only",0,PVCalcs!Y424+PVCalcs!Z424)</f>
        <v>0</v>
      </c>
      <c r="Y424" s="144">
        <f>IF('PV IN'!$F$4="PV Only",0,BattCalcs!AX424+BattCalcs!BC424)</f>
        <v>0</v>
      </c>
      <c r="Z424" s="144">
        <f>IF('PV IN'!$F$4="PV Only",0,BattCalcs!AY424+BattCalcs!BD424)</f>
        <v>0</v>
      </c>
      <c r="AA424" s="144">
        <f>IF('PV IN'!$F$4="PV Only",0,BattCalcs!AZ424+BattCalcs!BE424)</f>
        <v>0</v>
      </c>
      <c r="AB424" s="144">
        <f>IF('PV IN'!$F$4="PV Only",0,BattCalcs!BA424+BattCalcs!BF424)</f>
        <v>0</v>
      </c>
      <c r="AC424" s="144">
        <f>IF('PV IN'!$F$4="PV Only",0,BattCalcs!BB424+BattCalcs!BG424)</f>
        <v>0</v>
      </c>
      <c r="AD424" s="144">
        <f>IF('PV IN'!$F$4="PV Only",0,BattCalcs!BU424)</f>
        <v>0</v>
      </c>
      <c r="AE424" s="144">
        <f>IF('PV IN'!$F$4="PV Only",PVCalcs!W424+PVCalcs!AA424,IF('PV IN'!$F$4="Battery Only",BattCalcs!AV424+BattCalcs!BH424,PVCalcs!W424+PVCalcs!AA424+BattCalcs!AV424+BattCalcs!BH424))</f>
        <v>0</v>
      </c>
      <c r="AF424" s="10">
        <f>PVCalcs!AC424+BattCalcs!BJ424</f>
        <v>0</v>
      </c>
      <c r="AG424" s="144">
        <f>IF('PV IN'!$F$4="Battery Only",0,PVCalcs!AG424)</f>
        <v>-750</v>
      </c>
      <c r="AH424" s="144">
        <f>IF('PV IN'!$F$4="Battery Only",0,PVCalcs!AI424)</f>
        <v>0</v>
      </c>
      <c r="AI424" s="144">
        <f>IF('PV IN'!$F$4="PV Only",0,BattCalcs!BM424)</f>
        <v>0</v>
      </c>
      <c r="AJ424" s="144">
        <f>IF('PV IN'!$F$4="PV Only",0,SUM(BattCalcs!BO424:BT424))</f>
        <v>0</v>
      </c>
      <c r="AK424" s="144">
        <f>IF('PV IN'!$F$4="PV Only",PVCalcs!AH424,IF('PV IN'!$F$4="Battery Only",BattCalcs!BN424,PVCalcs!AH424+BattCalcs!BN424))</f>
        <v>-625</v>
      </c>
      <c r="AL424" s="144">
        <f>IF('PV IN'!$F$4="PV Only",0,BattCalcs!BV424)</f>
        <v>0</v>
      </c>
      <c r="AM424" s="144">
        <f>IF('PV IN'!$F$4="PV Only",0,SUM(BattCalcs!BW424:BX424))</f>
        <v>0</v>
      </c>
      <c r="AN424" s="144">
        <f>IF('PV IN'!$F$4="PV Only",0,BattCalcs!BY424)</f>
        <v>0</v>
      </c>
      <c r="AO424" s="144">
        <f>IF('PV IN'!$F$4="Battery Only",0,PVCalcs!U424)</f>
        <v>9098.5948731340377</v>
      </c>
      <c r="AP424" s="10">
        <f>IF('PV IN'!$F$4="PV Only",0,BattCalcs!AS424)</f>
        <v>0</v>
      </c>
      <c r="AQ424" s="10">
        <f>IF('PV IN'!$F$4="PV Only",0,BattCalcs!AT424)</f>
        <v>0</v>
      </c>
      <c r="AR424" s="10">
        <f>IF('PV IN'!$F$4="PV Only",0,BattCalcs!AU424)</f>
        <v>0</v>
      </c>
      <c r="AS424" s="144">
        <f>IF('PV IN'!$F$4="PV Only",PVCalcs!X424,IF('PV IN'!$F$4="Battery Only",BattCalcs!AW424,PVCalcs!X424+BattCalcs!AW424))</f>
        <v>0</v>
      </c>
      <c r="AT424" s="144">
        <f>IF('PV IN'!$F$4="Battery Only",0,-PVCalcs!AQ424*'PV IN'!$E$8)</f>
        <v>0</v>
      </c>
      <c r="AU424" s="144">
        <f>IF('PV IN'!$F$4="PV Only",0,-BattCalcs!CG424*'PV IN'!$E$8)</f>
        <v>0</v>
      </c>
      <c r="AV424" s="144">
        <f>IF('PV IN'!$F$4="PV Only",PVCalcs!Z424+PVCalcs!AA424,IF('PV IN'!$F$4="Battery Only",SUM(BattCalcs!BC424:BH424),PVCalcs!Z424+PVCalcs!AA424+SUM(BattCalcs!BC424:BH424)))</f>
        <v>0</v>
      </c>
      <c r="AW424" s="144">
        <f>IF('PV IN'!$F$4="PV Only",SUM(PVCalcs!AF424:AI424),IF('PV IN'!$F$4="Battery Only",SUM(BattCalcs!BL424:BY424),SUM(PVCalcs!AF424:AI424)+SUM(BattCalcs!BL424:BY424)))</f>
        <v>-1375</v>
      </c>
      <c r="AX424" s="144">
        <f>IF('PV IN'!$F$4="Battery Only",0,-PVLoan!F452)</f>
        <v>0</v>
      </c>
      <c r="AY424" s="144">
        <f>IF('PV IN'!$F$4="PV Only",0,-BattLoan!F452)</f>
        <v>0</v>
      </c>
      <c r="AZ424" s="144">
        <f>IF('PV IN'!$F$4="Battery Only",0,-PVLoan!H452)</f>
        <v>0</v>
      </c>
      <c r="BA424" s="144">
        <f>IF('PV IN'!$F$4="PV Only",0,-BattLoan!H452)</f>
        <v>0</v>
      </c>
      <c r="BC424" s="33">
        <f t="shared" ref="BC424" si="1139">SUM(T413:T424)</f>
        <v>1388966.6040895032</v>
      </c>
      <c r="BD424" s="33">
        <f t="shared" ref="BD424" si="1140">SUM(U413:U424)</f>
        <v>1388966.6040895032</v>
      </c>
      <c r="BE424" s="33">
        <f t="shared" ref="BE424" si="1141">SUM(V413:V424)</f>
        <v>309741.19</v>
      </c>
      <c r="BF424" s="50">
        <f t="shared" ref="BF424" si="1142">W424</f>
        <v>7.8896523189157505E-2</v>
      </c>
      <c r="BG424" s="2">
        <f t="shared" ref="BG424" si="1143">SUM(X413:X424)</f>
        <v>0</v>
      </c>
      <c r="BH424" s="2">
        <f t="shared" ref="BH424" si="1144">SUM(Y413:Y424)</f>
        <v>0</v>
      </c>
      <c r="BI424" s="2">
        <f t="shared" ref="BI424" si="1145">SUM(Z413:Z424)</f>
        <v>0</v>
      </c>
      <c r="BJ424" s="2">
        <f t="shared" ref="BJ424" si="1146">SUM(AA413:AA424)</f>
        <v>0</v>
      </c>
      <c r="BK424" s="2">
        <f t="shared" ref="BK424" si="1147">SUM(AB413:AB424)</f>
        <v>0</v>
      </c>
      <c r="BL424" s="2">
        <f t="shared" ref="BL424" si="1148">SUM(AC413:AC424)</f>
        <v>0</v>
      </c>
      <c r="BM424" s="2">
        <f t="shared" ref="BM424" si="1149">SUM(AD413:AD424)</f>
        <v>0</v>
      </c>
      <c r="BN424" s="2">
        <f t="shared" ref="BN424" si="1150">SUM(AE413:AE424)</f>
        <v>0</v>
      </c>
      <c r="BO424" s="2">
        <f t="shared" ref="BO424" si="1151">SUM(AF413:AF424)</f>
        <v>0</v>
      </c>
      <c r="BP424" s="2">
        <f t="shared" ref="BP424" si="1152">SUM(AG413:AG424)</f>
        <v>-9000</v>
      </c>
      <c r="BQ424" s="2">
        <f t="shared" ref="BQ424" si="1153">SUM(AH413:AH424)</f>
        <v>0</v>
      </c>
      <c r="BR424" s="2">
        <f t="shared" ref="BR424" si="1154">SUM(AI413:AI424)</f>
        <v>0</v>
      </c>
      <c r="BS424" s="2">
        <f t="shared" ref="BS424" si="1155">SUM(AJ413:AJ424)</f>
        <v>0</v>
      </c>
      <c r="BT424" s="2">
        <f t="shared" ref="BT424" si="1156">SUM(AK413:AK424)</f>
        <v>-7500</v>
      </c>
      <c r="BU424" s="2">
        <f t="shared" ref="BU424" si="1157">SUM(AL413:AL424)</f>
        <v>0</v>
      </c>
      <c r="BV424" s="2">
        <f t="shared" ref="BV424" si="1158">SUM(AM413:AM424)</f>
        <v>0</v>
      </c>
      <c r="BW424" s="2">
        <f t="shared" ref="BW424" si="1159">SUM(AN413:AN424)</f>
        <v>0</v>
      </c>
      <c r="BX424" s="2">
        <f t="shared" ref="BX424" si="1160">SUM(AO413:AO424)</f>
        <v>109584.63588851283</v>
      </c>
      <c r="BY424" s="2">
        <f t="shared" ref="BY424" si="1161">SUM(AP413:AP424)</f>
        <v>0</v>
      </c>
      <c r="BZ424" s="2">
        <f t="shared" ref="BZ424" si="1162">SUM(AQ413:AQ424)</f>
        <v>0</v>
      </c>
      <c r="CA424" s="2">
        <f t="shared" ref="CA424" si="1163">SUM(AR413:AR424)</f>
        <v>0</v>
      </c>
      <c r="CB424" s="2">
        <f t="shared" ref="CB424" si="1164">SUM(AS413:AS424)</f>
        <v>0</v>
      </c>
      <c r="CC424" s="2">
        <f t="shared" ref="CC424" si="1165">SUM(AT413:AT424)</f>
        <v>0</v>
      </c>
      <c r="CD424" s="2">
        <f t="shared" ref="CD424" si="1166">SUM(AU413:AU424)</f>
        <v>0</v>
      </c>
      <c r="CE424" s="2">
        <f t="shared" ref="CE424" si="1167">SUM(AV413:AV424)</f>
        <v>0</v>
      </c>
      <c r="CF424" s="2">
        <f t="shared" ref="CF424" si="1168">SUM(AW413:AW424)</f>
        <v>-16500</v>
      </c>
      <c r="CG424" s="2">
        <f t="shared" ref="CG424" si="1169">SUM(AX413:AX424)</f>
        <v>0</v>
      </c>
      <c r="CH424" s="2">
        <f t="shared" ref="CH424" si="1170">SUM(AY413:AY424)</f>
        <v>0</v>
      </c>
      <c r="CI424" s="2">
        <f t="shared" ref="CI424" si="1171">SUM(AZ413:AZ424)</f>
        <v>0</v>
      </c>
      <c r="CJ424" s="2">
        <f t="shared" ref="CJ424" si="1172">SUM(BA413:BA424)</f>
        <v>0</v>
      </c>
    </row>
    <row r="425" spans="1:88" x14ac:dyDescent="0.25">
      <c r="A425" t="str">
        <f>IF(C425&lt;='PV IN'!$O$22*12,C425,"")</f>
        <v/>
      </c>
      <c r="C425">
        <v>421</v>
      </c>
      <c r="D425" s="2">
        <f>BattCalcs!CK425+PVCalcs!AT425</f>
        <v>8006.279143218615</v>
      </c>
      <c r="E425" s="20">
        <f>PVCalcs!AV425</f>
        <v>2962773.1491103875</v>
      </c>
      <c r="F425" s="20">
        <f>PVCalcs!AW425</f>
        <v>1445.5711945019566</v>
      </c>
      <c r="G425" s="20" t="e">
        <f>PVCalcs!AX425</f>
        <v>#N/A</v>
      </c>
      <c r="H425" s="20">
        <f>BattCalcs!CM425</f>
        <v>0</v>
      </c>
      <c r="I425" s="20">
        <f>BattCalcs!CN425</f>
        <v>0</v>
      </c>
      <c r="J425" s="20" t="e">
        <f>IF(C425&lt;='Batt IN'!H$43*12,BattCalcs!CO425,NA())</f>
        <v>#N/A</v>
      </c>
      <c r="L425" s="20">
        <f t="shared" si="997"/>
        <v>1445.5711945019566</v>
      </c>
      <c r="M425" s="20" t="e">
        <f>G425+BattCalcs!CO425</f>
        <v>#N/A</v>
      </c>
      <c r="O425" s="10" t="str">
        <f>PVLoan!G453</f>
        <v>-</v>
      </c>
      <c r="P425" s="10" t="str">
        <f>PVLoan!J453</f>
        <v>-</v>
      </c>
      <c r="Q425" s="2" t="str">
        <f>BattLoan!G453</f>
        <v>-</v>
      </c>
      <c r="R425" s="10" t="str">
        <f>BattLoan!J453</f>
        <v>-</v>
      </c>
      <c r="T425" s="33">
        <f>IF('PV IN'!$F$4="Battery Only",0,PVCalcs!G425)</f>
        <v>115246.25896909196</v>
      </c>
      <c r="U425" s="33">
        <f>IF('PV IN'!$F$4="Battery Only",0,PVCalcs!M425)</f>
        <v>115246.25896909196</v>
      </c>
      <c r="V425" s="33">
        <f>PVCalcs!L425</f>
        <v>25811.765833333331</v>
      </c>
      <c r="W425" s="158">
        <f>PVCalcs!F425</f>
        <v>7.8896523189157505E-2</v>
      </c>
      <c r="X425" s="144">
        <f>IF('PV IN'!$F$4="Battery Only",0,PVCalcs!Y425+PVCalcs!Z425)</f>
        <v>0</v>
      </c>
      <c r="Y425" s="144">
        <f>IF('PV IN'!$F$4="PV Only",0,BattCalcs!AX425+BattCalcs!BC425)</f>
        <v>0</v>
      </c>
      <c r="Z425" s="144">
        <f>IF('PV IN'!$F$4="PV Only",0,BattCalcs!AY425+BattCalcs!BD425)</f>
        <v>0</v>
      </c>
      <c r="AA425" s="144">
        <f>IF('PV IN'!$F$4="PV Only",0,BattCalcs!AZ425+BattCalcs!BE425)</f>
        <v>0</v>
      </c>
      <c r="AB425" s="144">
        <f>IF('PV IN'!$F$4="PV Only",0,BattCalcs!BA425+BattCalcs!BF425)</f>
        <v>0</v>
      </c>
      <c r="AC425" s="144">
        <f>IF('PV IN'!$F$4="PV Only",0,BattCalcs!BB425+BattCalcs!BG425)</f>
        <v>0</v>
      </c>
      <c r="AD425" s="144">
        <f>IF('PV IN'!$F$4="PV Only",0,BattCalcs!BU425)</f>
        <v>0</v>
      </c>
      <c r="AE425" s="144">
        <f>IF('PV IN'!$F$4="PV Only",PVCalcs!W425+PVCalcs!AA425,IF('PV IN'!$F$4="Battery Only",BattCalcs!AV425+BattCalcs!BH425,PVCalcs!W425+PVCalcs!AA425+BattCalcs!AV425+BattCalcs!BH425))</f>
        <v>0</v>
      </c>
      <c r="AF425" s="10">
        <f>PVCalcs!AC425+BattCalcs!BJ425</f>
        <v>0</v>
      </c>
      <c r="AG425" s="144">
        <f>IF('PV IN'!$F$4="Battery Only",0,PVCalcs!AG425)</f>
        <v>-750</v>
      </c>
      <c r="AH425" s="144">
        <f>IF('PV IN'!$F$4="Battery Only",0,PVCalcs!AI425)</f>
        <v>0</v>
      </c>
      <c r="AI425" s="144">
        <f>IF('PV IN'!$F$4="PV Only",0,BattCalcs!BM425)</f>
        <v>0</v>
      </c>
      <c r="AJ425" s="144">
        <f>IF('PV IN'!$F$4="PV Only",0,SUM(BattCalcs!BO425:BT425))</f>
        <v>0</v>
      </c>
      <c r="AK425" s="144">
        <f>IF('PV IN'!$F$4="PV Only",PVCalcs!AH425,IF('PV IN'!$F$4="Battery Only",BattCalcs!BN425,PVCalcs!AH425+BattCalcs!BN425))</f>
        <v>-625</v>
      </c>
      <c r="AL425" s="144">
        <f>IF('PV IN'!$F$4="PV Only",0,BattCalcs!BV425)</f>
        <v>0</v>
      </c>
      <c r="AM425" s="144">
        <f>IF('PV IN'!$F$4="PV Only",0,SUM(BattCalcs!BW425:BX425))</f>
        <v>0</v>
      </c>
      <c r="AN425" s="144">
        <f>IF('PV IN'!$F$4="PV Only",0,BattCalcs!BY425)</f>
        <v>0</v>
      </c>
      <c r="AO425" s="144">
        <f>IF('PV IN'!$F$4="Battery Only",0,PVCalcs!U425)</f>
        <v>9092.529143218615</v>
      </c>
      <c r="AP425" s="10">
        <f>IF('PV IN'!$F$4="PV Only",0,BattCalcs!AS425)</f>
        <v>0</v>
      </c>
      <c r="AQ425" s="10">
        <f>IF('PV IN'!$F$4="PV Only",0,BattCalcs!AT425)</f>
        <v>0</v>
      </c>
      <c r="AR425" s="10">
        <f>IF('PV IN'!$F$4="PV Only",0,BattCalcs!AU425)</f>
        <v>0</v>
      </c>
      <c r="AS425" s="144">
        <f>IF('PV IN'!$F$4="PV Only",PVCalcs!X425,IF('PV IN'!$F$4="Battery Only",BattCalcs!AW425,PVCalcs!X425+BattCalcs!AW425))</f>
        <v>0</v>
      </c>
      <c r="AT425" s="144">
        <f>IF('PV IN'!$F$4="Battery Only",0,-PVCalcs!AQ425*'PV IN'!$E$8)</f>
        <v>0</v>
      </c>
      <c r="AU425" s="144">
        <f>IF('PV IN'!$F$4="PV Only",0,-BattCalcs!CG425*'PV IN'!$E$8)</f>
        <v>0</v>
      </c>
      <c r="AV425" s="144">
        <f>IF('PV IN'!$F$4="PV Only",PVCalcs!Z425+PVCalcs!AA425,IF('PV IN'!$F$4="Battery Only",SUM(BattCalcs!BC425:BH425),PVCalcs!Z425+PVCalcs!AA425+SUM(BattCalcs!BC425:BH425)))</f>
        <v>0</v>
      </c>
      <c r="AW425" s="144">
        <f>IF('PV IN'!$F$4="PV Only",SUM(PVCalcs!AF425:AI425),IF('PV IN'!$F$4="Battery Only",SUM(BattCalcs!BL425:BY425),SUM(PVCalcs!AF425:AI425)+SUM(BattCalcs!BL425:BY425)))</f>
        <v>-1375</v>
      </c>
      <c r="AX425" s="144">
        <f>IF('PV IN'!$F$4="Battery Only",0,-PVLoan!F453)</f>
        <v>0</v>
      </c>
      <c r="AY425" s="144">
        <f>IF('PV IN'!$F$4="PV Only",0,-BattLoan!F453)</f>
        <v>0</v>
      </c>
      <c r="AZ425" s="144">
        <f>IF('PV IN'!$F$4="Battery Only",0,-PVLoan!H453)</f>
        <v>0</v>
      </c>
      <c r="BA425" s="144">
        <f>IF('PV IN'!$F$4="PV Only",0,-BattLoan!H453)</f>
        <v>0</v>
      </c>
    </row>
    <row r="426" spans="1:88" x14ac:dyDescent="0.25">
      <c r="A426" t="str">
        <f>IF(C426&lt;='PV IN'!$O$22*12,C426,"")</f>
        <v/>
      </c>
      <c r="C426">
        <v>422</v>
      </c>
      <c r="D426" s="2">
        <f>BattCalcs!CK426+PVCalcs!AT426</f>
        <v>8000.2174571231353</v>
      </c>
      <c r="E426" s="20">
        <f>PVCalcs!AV426</f>
        <v>2970773.3665675106</v>
      </c>
      <c r="F426" s="20">
        <f>PVCalcs!AW426</f>
        <v>1438.6156305333034</v>
      </c>
      <c r="G426" s="20" t="e">
        <f>PVCalcs!AX426</f>
        <v>#N/A</v>
      </c>
      <c r="H426" s="20">
        <f>BattCalcs!CM426</f>
        <v>0</v>
      </c>
      <c r="I426" s="20">
        <f>BattCalcs!CN426</f>
        <v>0</v>
      </c>
      <c r="J426" s="20" t="e">
        <f>IF(C426&lt;='Batt IN'!H$43*12,BattCalcs!CO426,NA())</f>
        <v>#N/A</v>
      </c>
      <c r="L426" s="20">
        <f t="shared" si="997"/>
        <v>1438.6156305333034</v>
      </c>
      <c r="M426" s="20" t="e">
        <f>G426+BattCalcs!CO426</f>
        <v>#N/A</v>
      </c>
      <c r="O426" s="10" t="str">
        <f>PVLoan!G454</f>
        <v>-</v>
      </c>
      <c r="P426" s="10" t="str">
        <f>PVLoan!J454</f>
        <v>-</v>
      </c>
      <c r="Q426" s="2" t="str">
        <f>BattLoan!G454</f>
        <v>-</v>
      </c>
      <c r="R426" s="10" t="str">
        <f>BattLoan!J454</f>
        <v>-</v>
      </c>
      <c r="T426" s="33">
        <f>IF('PV IN'!$F$4="Battery Only",0,PVCalcs!G426)</f>
        <v>115169.42812977922</v>
      </c>
      <c r="U426" s="33">
        <f>IF('PV IN'!$F$4="Battery Only",0,PVCalcs!M426)</f>
        <v>115169.42812977922</v>
      </c>
      <c r="V426" s="33">
        <f>PVCalcs!L426</f>
        <v>25811.765833333331</v>
      </c>
      <c r="W426" s="158">
        <f>PVCalcs!F426</f>
        <v>7.8896523189157505E-2</v>
      </c>
      <c r="X426" s="144">
        <f>IF('PV IN'!$F$4="Battery Only",0,PVCalcs!Y426+PVCalcs!Z426)</f>
        <v>0</v>
      </c>
      <c r="Y426" s="144">
        <f>IF('PV IN'!$F$4="PV Only",0,BattCalcs!AX426+BattCalcs!BC426)</f>
        <v>0</v>
      </c>
      <c r="Z426" s="144">
        <f>IF('PV IN'!$F$4="PV Only",0,BattCalcs!AY426+BattCalcs!BD426)</f>
        <v>0</v>
      </c>
      <c r="AA426" s="144">
        <f>IF('PV IN'!$F$4="PV Only",0,BattCalcs!AZ426+BattCalcs!BE426)</f>
        <v>0</v>
      </c>
      <c r="AB426" s="144">
        <f>IF('PV IN'!$F$4="PV Only",0,BattCalcs!BA426+BattCalcs!BF426)</f>
        <v>0</v>
      </c>
      <c r="AC426" s="144">
        <f>IF('PV IN'!$F$4="PV Only",0,BattCalcs!BB426+BattCalcs!BG426)</f>
        <v>0</v>
      </c>
      <c r="AD426" s="144">
        <f>IF('PV IN'!$F$4="PV Only",0,BattCalcs!BU426)</f>
        <v>0</v>
      </c>
      <c r="AE426" s="144">
        <f>IF('PV IN'!$F$4="PV Only",PVCalcs!W426+PVCalcs!AA426,IF('PV IN'!$F$4="Battery Only",BattCalcs!AV426+BattCalcs!BH426,PVCalcs!W426+PVCalcs!AA426+BattCalcs!AV426+BattCalcs!BH426))</f>
        <v>0</v>
      </c>
      <c r="AF426" s="10">
        <f>PVCalcs!AC426+BattCalcs!BJ426</f>
        <v>0</v>
      </c>
      <c r="AG426" s="144">
        <f>IF('PV IN'!$F$4="Battery Only",0,PVCalcs!AG426)</f>
        <v>-750</v>
      </c>
      <c r="AH426" s="144">
        <f>IF('PV IN'!$F$4="Battery Only",0,PVCalcs!AI426)</f>
        <v>0</v>
      </c>
      <c r="AI426" s="144">
        <f>IF('PV IN'!$F$4="PV Only",0,BattCalcs!BM426)</f>
        <v>0</v>
      </c>
      <c r="AJ426" s="144">
        <f>IF('PV IN'!$F$4="PV Only",0,SUM(BattCalcs!BO426:BT426))</f>
        <v>0</v>
      </c>
      <c r="AK426" s="144">
        <f>IF('PV IN'!$F$4="PV Only",PVCalcs!AH426,IF('PV IN'!$F$4="Battery Only",BattCalcs!BN426,PVCalcs!AH426+BattCalcs!BN426))</f>
        <v>-625</v>
      </c>
      <c r="AL426" s="144">
        <f>IF('PV IN'!$F$4="PV Only",0,BattCalcs!BV426)</f>
        <v>0</v>
      </c>
      <c r="AM426" s="144">
        <f>IF('PV IN'!$F$4="PV Only",0,SUM(BattCalcs!BW426:BX426))</f>
        <v>0</v>
      </c>
      <c r="AN426" s="144">
        <f>IF('PV IN'!$F$4="PV Only",0,BattCalcs!BY426)</f>
        <v>0</v>
      </c>
      <c r="AO426" s="144">
        <f>IF('PV IN'!$F$4="Battery Only",0,PVCalcs!U426)</f>
        <v>9086.4674571231353</v>
      </c>
      <c r="AP426" s="10">
        <f>IF('PV IN'!$F$4="PV Only",0,BattCalcs!AS426)</f>
        <v>0</v>
      </c>
      <c r="AQ426" s="10">
        <f>IF('PV IN'!$F$4="PV Only",0,BattCalcs!AT426)</f>
        <v>0</v>
      </c>
      <c r="AR426" s="10">
        <f>IF('PV IN'!$F$4="PV Only",0,BattCalcs!AU426)</f>
        <v>0</v>
      </c>
      <c r="AS426" s="144">
        <f>IF('PV IN'!$F$4="PV Only",PVCalcs!X426,IF('PV IN'!$F$4="Battery Only",BattCalcs!AW426,PVCalcs!X426+BattCalcs!AW426))</f>
        <v>0</v>
      </c>
      <c r="AT426" s="144">
        <f>IF('PV IN'!$F$4="Battery Only",0,-PVCalcs!AQ426*'PV IN'!$E$8)</f>
        <v>0</v>
      </c>
      <c r="AU426" s="144">
        <f>IF('PV IN'!$F$4="PV Only",0,-BattCalcs!CG426*'PV IN'!$E$8)</f>
        <v>0</v>
      </c>
      <c r="AV426" s="144">
        <f>IF('PV IN'!$F$4="PV Only",PVCalcs!Z426+PVCalcs!AA426,IF('PV IN'!$F$4="Battery Only",SUM(BattCalcs!BC426:BH426),PVCalcs!Z426+PVCalcs!AA426+SUM(BattCalcs!BC426:BH426)))</f>
        <v>0</v>
      </c>
      <c r="AW426" s="144">
        <f>IF('PV IN'!$F$4="PV Only",SUM(PVCalcs!AF426:AI426),IF('PV IN'!$F$4="Battery Only",SUM(BattCalcs!BL426:BY426),SUM(PVCalcs!AF426:AI426)+SUM(BattCalcs!BL426:BY426)))</f>
        <v>-1375</v>
      </c>
      <c r="AX426" s="144">
        <f>IF('PV IN'!$F$4="Battery Only",0,-PVLoan!F454)</f>
        <v>0</v>
      </c>
      <c r="AY426" s="144">
        <f>IF('PV IN'!$F$4="PV Only",0,-BattLoan!F454)</f>
        <v>0</v>
      </c>
      <c r="AZ426" s="144">
        <f>IF('PV IN'!$F$4="Battery Only",0,-PVLoan!H454)</f>
        <v>0</v>
      </c>
      <c r="BA426" s="144">
        <f>IF('PV IN'!$F$4="PV Only",0,-BattLoan!H454)</f>
        <v>0</v>
      </c>
    </row>
    <row r="427" spans="1:88" x14ac:dyDescent="0.25">
      <c r="A427" t="str">
        <f>IF(C427&lt;='PV IN'!$O$22*12,C427,"")</f>
        <v/>
      </c>
      <c r="C427">
        <v>423</v>
      </c>
      <c r="D427" s="2">
        <f>BattCalcs!CK427+PVCalcs!AT427</f>
        <v>7994.1598121517181</v>
      </c>
      <c r="E427" s="20">
        <f>PVCalcs!AV427</f>
        <v>2978767.5263796626</v>
      </c>
      <c r="F427" s="20">
        <f>PVCalcs!AW427</f>
        <v>1431.693436021659</v>
      </c>
      <c r="G427" s="20" t="e">
        <f>PVCalcs!AX427</f>
        <v>#N/A</v>
      </c>
      <c r="H427" s="20">
        <f>BattCalcs!CM427</f>
        <v>0</v>
      </c>
      <c r="I427" s="20">
        <f>BattCalcs!CN427</f>
        <v>0</v>
      </c>
      <c r="J427" s="20" t="e">
        <f>IF(C427&lt;='Batt IN'!H$43*12,BattCalcs!CO427,NA())</f>
        <v>#N/A</v>
      </c>
      <c r="L427" s="20">
        <f t="shared" si="997"/>
        <v>1431.693436021659</v>
      </c>
      <c r="M427" s="20" t="e">
        <f>G427+BattCalcs!CO427</f>
        <v>#N/A</v>
      </c>
      <c r="O427" s="10" t="str">
        <f>PVLoan!G455</f>
        <v>-</v>
      </c>
      <c r="P427" s="10" t="str">
        <f>PVLoan!J455</f>
        <v>-</v>
      </c>
      <c r="Q427" s="2" t="str">
        <f>BattLoan!G455</f>
        <v>-</v>
      </c>
      <c r="R427" s="10" t="str">
        <f>BattLoan!J455</f>
        <v>-</v>
      </c>
      <c r="T427" s="33">
        <f>IF('PV IN'!$F$4="Battery Only",0,PVCalcs!G427)</f>
        <v>115092.64851102603</v>
      </c>
      <c r="U427" s="33">
        <f>IF('PV IN'!$F$4="Battery Only",0,PVCalcs!M427)</f>
        <v>115092.64851102603</v>
      </c>
      <c r="V427" s="33">
        <f>PVCalcs!L427</f>
        <v>25811.765833333331</v>
      </c>
      <c r="W427" s="158">
        <f>PVCalcs!F427</f>
        <v>7.8896523189157505E-2</v>
      </c>
      <c r="X427" s="144">
        <f>IF('PV IN'!$F$4="Battery Only",0,PVCalcs!Y427+PVCalcs!Z427)</f>
        <v>0</v>
      </c>
      <c r="Y427" s="144">
        <f>IF('PV IN'!$F$4="PV Only",0,BattCalcs!AX427+BattCalcs!BC427)</f>
        <v>0</v>
      </c>
      <c r="Z427" s="144">
        <f>IF('PV IN'!$F$4="PV Only",0,BattCalcs!AY427+BattCalcs!BD427)</f>
        <v>0</v>
      </c>
      <c r="AA427" s="144">
        <f>IF('PV IN'!$F$4="PV Only",0,BattCalcs!AZ427+BattCalcs!BE427)</f>
        <v>0</v>
      </c>
      <c r="AB427" s="144">
        <f>IF('PV IN'!$F$4="PV Only",0,BattCalcs!BA427+BattCalcs!BF427)</f>
        <v>0</v>
      </c>
      <c r="AC427" s="144">
        <f>IF('PV IN'!$F$4="PV Only",0,BattCalcs!BB427+BattCalcs!BG427)</f>
        <v>0</v>
      </c>
      <c r="AD427" s="144">
        <f>IF('PV IN'!$F$4="PV Only",0,BattCalcs!BU427)</f>
        <v>0</v>
      </c>
      <c r="AE427" s="144">
        <f>IF('PV IN'!$F$4="PV Only",PVCalcs!W427+PVCalcs!AA427,IF('PV IN'!$F$4="Battery Only",BattCalcs!AV427+BattCalcs!BH427,PVCalcs!W427+PVCalcs!AA427+BattCalcs!AV427+BattCalcs!BH427))</f>
        <v>0</v>
      </c>
      <c r="AF427" s="10">
        <f>PVCalcs!AC427+BattCalcs!BJ427</f>
        <v>0</v>
      </c>
      <c r="AG427" s="144">
        <f>IF('PV IN'!$F$4="Battery Only",0,PVCalcs!AG427)</f>
        <v>-750</v>
      </c>
      <c r="AH427" s="144">
        <f>IF('PV IN'!$F$4="Battery Only",0,PVCalcs!AI427)</f>
        <v>0</v>
      </c>
      <c r="AI427" s="144">
        <f>IF('PV IN'!$F$4="PV Only",0,BattCalcs!BM427)</f>
        <v>0</v>
      </c>
      <c r="AJ427" s="144">
        <f>IF('PV IN'!$F$4="PV Only",0,SUM(BattCalcs!BO427:BT427))</f>
        <v>0</v>
      </c>
      <c r="AK427" s="144">
        <f>IF('PV IN'!$F$4="PV Only",PVCalcs!AH427,IF('PV IN'!$F$4="Battery Only",BattCalcs!BN427,PVCalcs!AH427+BattCalcs!BN427))</f>
        <v>-625</v>
      </c>
      <c r="AL427" s="144">
        <f>IF('PV IN'!$F$4="PV Only",0,BattCalcs!BV427)</f>
        <v>0</v>
      </c>
      <c r="AM427" s="144">
        <f>IF('PV IN'!$F$4="PV Only",0,SUM(BattCalcs!BW427:BX427))</f>
        <v>0</v>
      </c>
      <c r="AN427" s="144">
        <f>IF('PV IN'!$F$4="PV Only",0,BattCalcs!BY427)</f>
        <v>0</v>
      </c>
      <c r="AO427" s="144">
        <f>IF('PV IN'!$F$4="Battery Only",0,PVCalcs!U427)</f>
        <v>9080.4098121517181</v>
      </c>
      <c r="AP427" s="10">
        <f>IF('PV IN'!$F$4="PV Only",0,BattCalcs!AS427)</f>
        <v>0</v>
      </c>
      <c r="AQ427" s="10">
        <f>IF('PV IN'!$F$4="PV Only",0,BattCalcs!AT427)</f>
        <v>0</v>
      </c>
      <c r="AR427" s="10">
        <f>IF('PV IN'!$F$4="PV Only",0,BattCalcs!AU427)</f>
        <v>0</v>
      </c>
      <c r="AS427" s="144">
        <f>IF('PV IN'!$F$4="PV Only",PVCalcs!X427,IF('PV IN'!$F$4="Battery Only",BattCalcs!AW427,PVCalcs!X427+BattCalcs!AW427))</f>
        <v>0</v>
      </c>
      <c r="AT427" s="144">
        <f>IF('PV IN'!$F$4="Battery Only",0,-PVCalcs!AQ427*'PV IN'!$E$8)</f>
        <v>0</v>
      </c>
      <c r="AU427" s="144">
        <f>IF('PV IN'!$F$4="PV Only",0,-BattCalcs!CG427*'PV IN'!$E$8)</f>
        <v>0</v>
      </c>
      <c r="AV427" s="144">
        <f>IF('PV IN'!$F$4="PV Only",PVCalcs!Z427+PVCalcs!AA427,IF('PV IN'!$F$4="Battery Only",SUM(BattCalcs!BC427:BH427),PVCalcs!Z427+PVCalcs!AA427+SUM(BattCalcs!BC427:BH427)))</f>
        <v>0</v>
      </c>
      <c r="AW427" s="144">
        <f>IF('PV IN'!$F$4="PV Only",SUM(PVCalcs!AF427:AI427),IF('PV IN'!$F$4="Battery Only",SUM(BattCalcs!BL427:BY427),SUM(PVCalcs!AF427:AI427)+SUM(BattCalcs!BL427:BY427)))</f>
        <v>-1375</v>
      </c>
      <c r="AX427" s="144">
        <f>IF('PV IN'!$F$4="Battery Only",0,-PVLoan!F455)</f>
        <v>0</v>
      </c>
      <c r="AY427" s="144">
        <f>IF('PV IN'!$F$4="PV Only",0,-BattLoan!F455)</f>
        <v>0</v>
      </c>
      <c r="AZ427" s="144">
        <f>IF('PV IN'!$F$4="Battery Only",0,-PVLoan!H455)</f>
        <v>0</v>
      </c>
      <c r="BA427" s="144">
        <f>IF('PV IN'!$F$4="PV Only",0,-BattLoan!H455)</f>
        <v>0</v>
      </c>
    </row>
    <row r="428" spans="1:88" x14ac:dyDescent="0.25">
      <c r="A428" t="str">
        <f>IF(C428&lt;='PV IN'!$O$22*12,C428,"")</f>
        <v/>
      </c>
      <c r="C428">
        <v>424</v>
      </c>
      <c r="D428" s="2">
        <f>BattCalcs!CK428+PVCalcs!AT428</f>
        <v>7988.1062056102837</v>
      </c>
      <c r="E428" s="20">
        <f>PVCalcs!AV428</f>
        <v>2986755.6325852727</v>
      </c>
      <c r="F428" s="20">
        <f>PVCalcs!AW428</f>
        <v>1424.8044512673537</v>
      </c>
      <c r="G428" s="20" t="e">
        <f>PVCalcs!AX428</f>
        <v>#N/A</v>
      </c>
      <c r="H428" s="20">
        <f>BattCalcs!CM428</f>
        <v>0</v>
      </c>
      <c r="I428" s="20">
        <f>BattCalcs!CN428</f>
        <v>0</v>
      </c>
      <c r="J428" s="20" t="e">
        <f>IF(C428&lt;='Batt IN'!H$43*12,BattCalcs!CO428,NA())</f>
        <v>#N/A</v>
      </c>
      <c r="L428" s="20">
        <f t="shared" si="997"/>
        <v>1424.8044512673537</v>
      </c>
      <c r="M428" s="20" t="e">
        <f>G428+BattCalcs!CO428</f>
        <v>#N/A</v>
      </c>
      <c r="O428" s="10" t="str">
        <f>PVLoan!G456</f>
        <v>-</v>
      </c>
      <c r="P428" s="10" t="str">
        <f>PVLoan!J456</f>
        <v>-</v>
      </c>
      <c r="Q428" s="2" t="str">
        <f>BattLoan!G456</f>
        <v>-</v>
      </c>
      <c r="R428" s="10" t="str">
        <f>BattLoan!J456</f>
        <v>-</v>
      </c>
      <c r="T428" s="33">
        <f>IF('PV IN'!$F$4="Battery Only",0,PVCalcs!G428)</f>
        <v>115015.92007868533</v>
      </c>
      <c r="U428" s="33">
        <f>IF('PV IN'!$F$4="Battery Only",0,PVCalcs!M428)</f>
        <v>115015.92007868533</v>
      </c>
      <c r="V428" s="33">
        <f>PVCalcs!L428</f>
        <v>25811.765833333331</v>
      </c>
      <c r="W428" s="158">
        <f>PVCalcs!F428</f>
        <v>7.8896523189157505E-2</v>
      </c>
      <c r="X428" s="144">
        <f>IF('PV IN'!$F$4="Battery Only",0,PVCalcs!Y428+PVCalcs!Z428)</f>
        <v>0</v>
      </c>
      <c r="Y428" s="144">
        <f>IF('PV IN'!$F$4="PV Only",0,BattCalcs!AX428+BattCalcs!BC428)</f>
        <v>0</v>
      </c>
      <c r="Z428" s="144">
        <f>IF('PV IN'!$F$4="PV Only",0,BattCalcs!AY428+BattCalcs!BD428)</f>
        <v>0</v>
      </c>
      <c r="AA428" s="144">
        <f>IF('PV IN'!$F$4="PV Only",0,BattCalcs!AZ428+BattCalcs!BE428)</f>
        <v>0</v>
      </c>
      <c r="AB428" s="144">
        <f>IF('PV IN'!$F$4="PV Only",0,BattCalcs!BA428+BattCalcs!BF428)</f>
        <v>0</v>
      </c>
      <c r="AC428" s="144">
        <f>IF('PV IN'!$F$4="PV Only",0,BattCalcs!BB428+BattCalcs!BG428)</f>
        <v>0</v>
      </c>
      <c r="AD428" s="144">
        <f>IF('PV IN'!$F$4="PV Only",0,BattCalcs!BU428)</f>
        <v>0</v>
      </c>
      <c r="AE428" s="144">
        <f>IF('PV IN'!$F$4="PV Only",PVCalcs!W428+PVCalcs!AA428,IF('PV IN'!$F$4="Battery Only",BattCalcs!AV428+BattCalcs!BH428,PVCalcs!W428+PVCalcs!AA428+BattCalcs!AV428+BattCalcs!BH428))</f>
        <v>0</v>
      </c>
      <c r="AF428" s="10">
        <f>PVCalcs!AC428+BattCalcs!BJ428</f>
        <v>0</v>
      </c>
      <c r="AG428" s="144">
        <f>IF('PV IN'!$F$4="Battery Only",0,PVCalcs!AG428)</f>
        <v>-750</v>
      </c>
      <c r="AH428" s="144">
        <f>IF('PV IN'!$F$4="Battery Only",0,PVCalcs!AI428)</f>
        <v>0</v>
      </c>
      <c r="AI428" s="144">
        <f>IF('PV IN'!$F$4="PV Only",0,BattCalcs!BM428)</f>
        <v>0</v>
      </c>
      <c r="AJ428" s="144">
        <f>IF('PV IN'!$F$4="PV Only",0,SUM(BattCalcs!BO428:BT428))</f>
        <v>0</v>
      </c>
      <c r="AK428" s="144">
        <f>IF('PV IN'!$F$4="PV Only",PVCalcs!AH428,IF('PV IN'!$F$4="Battery Only",BattCalcs!BN428,PVCalcs!AH428+BattCalcs!BN428))</f>
        <v>-625</v>
      </c>
      <c r="AL428" s="144">
        <f>IF('PV IN'!$F$4="PV Only",0,BattCalcs!BV428)</f>
        <v>0</v>
      </c>
      <c r="AM428" s="144">
        <f>IF('PV IN'!$F$4="PV Only",0,SUM(BattCalcs!BW428:BX428))</f>
        <v>0</v>
      </c>
      <c r="AN428" s="144">
        <f>IF('PV IN'!$F$4="PV Only",0,BattCalcs!BY428)</f>
        <v>0</v>
      </c>
      <c r="AO428" s="144">
        <f>IF('PV IN'!$F$4="Battery Only",0,PVCalcs!U428)</f>
        <v>9074.3562056102837</v>
      </c>
      <c r="AP428" s="10">
        <f>IF('PV IN'!$F$4="PV Only",0,BattCalcs!AS428)</f>
        <v>0</v>
      </c>
      <c r="AQ428" s="10">
        <f>IF('PV IN'!$F$4="PV Only",0,BattCalcs!AT428)</f>
        <v>0</v>
      </c>
      <c r="AR428" s="10">
        <f>IF('PV IN'!$F$4="PV Only",0,BattCalcs!AU428)</f>
        <v>0</v>
      </c>
      <c r="AS428" s="144">
        <f>IF('PV IN'!$F$4="PV Only",PVCalcs!X428,IF('PV IN'!$F$4="Battery Only",BattCalcs!AW428,PVCalcs!X428+BattCalcs!AW428))</f>
        <v>0</v>
      </c>
      <c r="AT428" s="144">
        <f>IF('PV IN'!$F$4="Battery Only",0,-PVCalcs!AQ428*'PV IN'!$E$8)</f>
        <v>0</v>
      </c>
      <c r="AU428" s="144">
        <f>IF('PV IN'!$F$4="PV Only",0,-BattCalcs!CG428*'PV IN'!$E$8)</f>
        <v>0</v>
      </c>
      <c r="AV428" s="144">
        <f>IF('PV IN'!$F$4="PV Only",PVCalcs!Z428+PVCalcs!AA428,IF('PV IN'!$F$4="Battery Only",SUM(BattCalcs!BC428:BH428),PVCalcs!Z428+PVCalcs!AA428+SUM(BattCalcs!BC428:BH428)))</f>
        <v>0</v>
      </c>
      <c r="AW428" s="144">
        <f>IF('PV IN'!$F$4="PV Only",SUM(PVCalcs!AF428:AI428),IF('PV IN'!$F$4="Battery Only",SUM(BattCalcs!BL428:BY428),SUM(PVCalcs!AF428:AI428)+SUM(BattCalcs!BL428:BY428)))</f>
        <v>-1375</v>
      </c>
      <c r="AX428" s="144">
        <f>IF('PV IN'!$F$4="Battery Only",0,-PVLoan!F456)</f>
        <v>0</v>
      </c>
      <c r="AY428" s="144">
        <f>IF('PV IN'!$F$4="PV Only",0,-BattLoan!F456)</f>
        <v>0</v>
      </c>
      <c r="AZ428" s="144">
        <f>IF('PV IN'!$F$4="Battery Only",0,-PVLoan!H456)</f>
        <v>0</v>
      </c>
      <c r="BA428" s="144">
        <f>IF('PV IN'!$F$4="PV Only",0,-BattLoan!H456)</f>
        <v>0</v>
      </c>
    </row>
    <row r="429" spans="1:88" x14ac:dyDescent="0.25">
      <c r="A429" t="str">
        <f>IF(C429&lt;='PV IN'!$O$22*12,C429,"")</f>
        <v/>
      </c>
      <c r="C429">
        <v>425</v>
      </c>
      <c r="D429" s="2">
        <f>BattCalcs!CK429+PVCalcs!AT429</f>
        <v>7982.0566348065422</v>
      </c>
      <c r="E429" s="20">
        <f>PVCalcs!AV429</f>
        <v>2994737.6892200792</v>
      </c>
      <c r="F429" s="20">
        <f>PVCalcs!AW429</f>
        <v>1417.9485173334463</v>
      </c>
      <c r="G429" s="20" t="e">
        <f>PVCalcs!AX429</f>
        <v>#N/A</v>
      </c>
      <c r="H429" s="20">
        <f>BattCalcs!CM429</f>
        <v>0</v>
      </c>
      <c r="I429" s="20">
        <f>BattCalcs!CN429</f>
        <v>0</v>
      </c>
      <c r="J429" s="20" t="e">
        <f>IF(C429&lt;='Batt IN'!H$43*12,BattCalcs!CO429,NA())</f>
        <v>#N/A</v>
      </c>
      <c r="L429" s="20">
        <f t="shared" ref="L429:L484" si="1173">F429+I429</f>
        <v>1417.9485173334463</v>
      </c>
      <c r="M429" s="20" t="e">
        <f>G429+BattCalcs!CO429</f>
        <v>#N/A</v>
      </c>
      <c r="O429" s="10" t="str">
        <f>PVLoan!G457</f>
        <v>-</v>
      </c>
      <c r="P429" s="10" t="str">
        <f>PVLoan!J457</f>
        <v>-</v>
      </c>
      <c r="Q429" s="2" t="str">
        <f>BattLoan!G457</f>
        <v>-</v>
      </c>
      <c r="R429" s="10" t="str">
        <f>BattLoan!J457</f>
        <v>-</v>
      </c>
      <c r="T429" s="33">
        <f>IF('PV IN'!$F$4="Battery Only",0,PVCalcs!G429)</f>
        <v>114939.24279863287</v>
      </c>
      <c r="U429" s="33">
        <f>IF('PV IN'!$F$4="Battery Only",0,PVCalcs!M429)</f>
        <v>114939.24279863287</v>
      </c>
      <c r="V429" s="33">
        <f>PVCalcs!L429</f>
        <v>25811.765833333331</v>
      </c>
      <c r="W429" s="158">
        <f>PVCalcs!F429</f>
        <v>7.8896523189157505E-2</v>
      </c>
      <c r="X429" s="144">
        <f>IF('PV IN'!$F$4="Battery Only",0,PVCalcs!Y429+PVCalcs!Z429)</f>
        <v>0</v>
      </c>
      <c r="Y429" s="144">
        <f>IF('PV IN'!$F$4="PV Only",0,BattCalcs!AX429+BattCalcs!BC429)</f>
        <v>0</v>
      </c>
      <c r="Z429" s="144">
        <f>IF('PV IN'!$F$4="PV Only",0,BattCalcs!AY429+BattCalcs!BD429)</f>
        <v>0</v>
      </c>
      <c r="AA429" s="144">
        <f>IF('PV IN'!$F$4="PV Only",0,BattCalcs!AZ429+BattCalcs!BE429)</f>
        <v>0</v>
      </c>
      <c r="AB429" s="144">
        <f>IF('PV IN'!$F$4="PV Only",0,BattCalcs!BA429+BattCalcs!BF429)</f>
        <v>0</v>
      </c>
      <c r="AC429" s="144">
        <f>IF('PV IN'!$F$4="PV Only",0,BattCalcs!BB429+BattCalcs!BG429)</f>
        <v>0</v>
      </c>
      <c r="AD429" s="144">
        <f>IF('PV IN'!$F$4="PV Only",0,BattCalcs!BU429)</f>
        <v>0</v>
      </c>
      <c r="AE429" s="144">
        <f>IF('PV IN'!$F$4="PV Only",PVCalcs!W429+PVCalcs!AA429,IF('PV IN'!$F$4="Battery Only",BattCalcs!AV429+BattCalcs!BH429,PVCalcs!W429+PVCalcs!AA429+BattCalcs!AV429+BattCalcs!BH429))</f>
        <v>0</v>
      </c>
      <c r="AF429" s="10">
        <f>PVCalcs!AC429+BattCalcs!BJ429</f>
        <v>0</v>
      </c>
      <c r="AG429" s="144">
        <f>IF('PV IN'!$F$4="Battery Only",0,PVCalcs!AG429)</f>
        <v>-750</v>
      </c>
      <c r="AH429" s="144">
        <f>IF('PV IN'!$F$4="Battery Only",0,PVCalcs!AI429)</f>
        <v>0</v>
      </c>
      <c r="AI429" s="144">
        <f>IF('PV IN'!$F$4="PV Only",0,BattCalcs!BM429)</f>
        <v>0</v>
      </c>
      <c r="AJ429" s="144">
        <f>IF('PV IN'!$F$4="PV Only",0,SUM(BattCalcs!BO429:BT429))</f>
        <v>0</v>
      </c>
      <c r="AK429" s="144">
        <f>IF('PV IN'!$F$4="PV Only",PVCalcs!AH429,IF('PV IN'!$F$4="Battery Only",BattCalcs!BN429,PVCalcs!AH429+BattCalcs!BN429))</f>
        <v>-625</v>
      </c>
      <c r="AL429" s="144">
        <f>IF('PV IN'!$F$4="PV Only",0,BattCalcs!BV429)</f>
        <v>0</v>
      </c>
      <c r="AM429" s="144">
        <f>IF('PV IN'!$F$4="PV Only",0,SUM(BattCalcs!BW429:BX429))</f>
        <v>0</v>
      </c>
      <c r="AN429" s="144">
        <f>IF('PV IN'!$F$4="PV Only",0,BattCalcs!BY429)</f>
        <v>0</v>
      </c>
      <c r="AO429" s="144">
        <f>IF('PV IN'!$F$4="Battery Only",0,PVCalcs!U429)</f>
        <v>9068.3066348065422</v>
      </c>
      <c r="AP429" s="10">
        <f>IF('PV IN'!$F$4="PV Only",0,BattCalcs!AS429)</f>
        <v>0</v>
      </c>
      <c r="AQ429" s="10">
        <f>IF('PV IN'!$F$4="PV Only",0,BattCalcs!AT429)</f>
        <v>0</v>
      </c>
      <c r="AR429" s="10">
        <f>IF('PV IN'!$F$4="PV Only",0,BattCalcs!AU429)</f>
        <v>0</v>
      </c>
      <c r="AS429" s="144">
        <f>IF('PV IN'!$F$4="PV Only",PVCalcs!X429,IF('PV IN'!$F$4="Battery Only",BattCalcs!AW429,PVCalcs!X429+BattCalcs!AW429))</f>
        <v>0</v>
      </c>
      <c r="AT429" s="144">
        <f>IF('PV IN'!$F$4="Battery Only",0,-PVCalcs!AQ429*'PV IN'!$E$8)</f>
        <v>0</v>
      </c>
      <c r="AU429" s="144">
        <f>IF('PV IN'!$F$4="PV Only",0,-BattCalcs!CG429*'PV IN'!$E$8)</f>
        <v>0</v>
      </c>
      <c r="AV429" s="144">
        <f>IF('PV IN'!$F$4="PV Only",PVCalcs!Z429+PVCalcs!AA429,IF('PV IN'!$F$4="Battery Only",SUM(BattCalcs!BC429:BH429),PVCalcs!Z429+PVCalcs!AA429+SUM(BattCalcs!BC429:BH429)))</f>
        <v>0</v>
      </c>
      <c r="AW429" s="144">
        <f>IF('PV IN'!$F$4="PV Only",SUM(PVCalcs!AF429:AI429),IF('PV IN'!$F$4="Battery Only",SUM(BattCalcs!BL429:BY429),SUM(PVCalcs!AF429:AI429)+SUM(BattCalcs!BL429:BY429)))</f>
        <v>-1375</v>
      </c>
      <c r="AX429" s="144">
        <f>IF('PV IN'!$F$4="Battery Only",0,-PVLoan!F457)</f>
        <v>0</v>
      </c>
      <c r="AY429" s="144">
        <f>IF('PV IN'!$F$4="PV Only",0,-BattLoan!F457)</f>
        <v>0</v>
      </c>
      <c r="AZ429" s="144">
        <f>IF('PV IN'!$F$4="Battery Only",0,-PVLoan!H457)</f>
        <v>0</v>
      </c>
      <c r="BA429" s="144">
        <f>IF('PV IN'!$F$4="PV Only",0,-BattLoan!H457)</f>
        <v>0</v>
      </c>
    </row>
    <row r="430" spans="1:88" x14ac:dyDescent="0.25">
      <c r="A430" t="str">
        <f>IF(C430&lt;='PV IN'!$O$22*12,C430,"")</f>
        <v/>
      </c>
      <c r="C430">
        <v>426</v>
      </c>
      <c r="D430" s="2">
        <f>BattCalcs!CK430+PVCalcs!AT430</f>
        <v>7976.0110970500045</v>
      </c>
      <c r="E430" s="20">
        <f>PVCalcs!AV430</f>
        <v>3002713.700317129</v>
      </c>
      <c r="F430" s="20">
        <f>PVCalcs!AW430</f>
        <v>1411.1254760420911</v>
      </c>
      <c r="G430" s="20" t="e">
        <f>PVCalcs!AX430</f>
        <v>#N/A</v>
      </c>
      <c r="H430" s="20">
        <f>BattCalcs!CM430</f>
        <v>0</v>
      </c>
      <c r="I430" s="20">
        <f>BattCalcs!CN430</f>
        <v>0</v>
      </c>
      <c r="J430" s="20" t="e">
        <f>IF(C430&lt;='Batt IN'!H$43*12,BattCalcs!CO430,NA())</f>
        <v>#N/A</v>
      </c>
      <c r="L430" s="20">
        <f t="shared" si="1173"/>
        <v>1411.1254760420911</v>
      </c>
      <c r="M430" s="20" t="e">
        <f>G430+BattCalcs!CO430</f>
        <v>#N/A</v>
      </c>
      <c r="O430" s="10" t="str">
        <f>PVLoan!G458</f>
        <v>-</v>
      </c>
      <c r="P430" s="10" t="str">
        <f>PVLoan!J458</f>
        <v>-</v>
      </c>
      <c r="Q430" s="2" t="str">
        <f>BattLoan!G458</f>
        <v>-</v>
      </c>
      <c r="R430" s="10" t="str">
        <f>BattLoan!J458</f>
        <v>-</v>
      </c>
      <c r="T430" s="33">
        <f>IF('PV IN'!$F$4="Battery Only",0,PVCalcs!G430)</f>
        <v>114862.61663676711</v>
      </c>
      <c r="U430" s="33">
        <f>IF('PV IN'!$F$4="Battery Only",0,PVCalcs!M430)</f>
        <v>114862.61663676711</v>
      </c>
      <c r="V430" s="33">
        <f>PVCalcs!L430</f>
        <v>25811.765833333331</v>
      </c>
      <c r="W430" s="158">
        <f>PVCalcs!F430</f>
        <v>7.8896523189157505E-2</v>
      </c>
      <c r="X430" s="144">
        <f>IF('PV IN'!$F$4="Battery Only",0,PVCalcs!Y430+PVCalcs!Z430)</f>
        <v>0</v>
      </c>
      <c r="Y430" s="144">
        <f>IF('PV IN'!$F$4="PV Only",0,BattCalcs!AX430+BattCalcs!BC430)</f>
        <v>0</v>
      </c>
      <c r="Z430" s="144">
        <f>IF('PV IN'!$F$4="PV Only",0,BattCalcs!AY430+BattCalcs!BD430)</f>
        <v>0</v>
      </c>
      <c r="AA430" s="144">
        <f>IF('PV IN'!$F$4="PV Only",0,BattCalcs!AZ430+BattCalcs!BE430)</f>
        <v>0</v>
      </c>
      <c r="AB430" s="144">
        <f>IF('PV IN'!$F$4="PV Only",0,BattCalcs!BA430+BattCalcs!BF430)</f>
        <v>0</v>
      </c>
      <c r="AC430" s="144">
        <f>IF('PV IN'!$F$4="PV Only",0,BattCalcs!BB430+BattCalcs!BG430)</f>
        <v>0</v>
      </c>
      <c r="AD430" s="144">
        <f>IF('PV IN'!$F$4="PV Only",0,BattCalcs!BU430)</f>
        <v>0</v>
      </c>
      <c r="AE430" s="144">
        <f>IF('PV IN'!$F$4="PV Only",PVCalcs!W430+PVCalcs!AA430,IF('PV IN'!$F$4="Battery Only",BattCalcs!AV430+BattCalcs!BH430,PVCalcs!W430+PVCalcs!AA430+BattCalcs!AV430+BattCalcs!BH430))</f>
        <v>0</v>
      </c>
      <c r="AF430" s="10">
        <f>PVCalcs!AC430+BattCalcs!BJ430</f>
        <v>0</v>
      </c>
      <c r="AG430" s="144">
        <f>IF('PV IN'!$F$4="Battery Only",0,PVCalcs!AG430)</f>
        <v>-750</v>
      </c>
      <c r="AH430" s="144">
        <f>IF('PV IN'!$F$4="Battery Only",0,PVCalcs!AI430)</f>
        <v>0</v>
      </c>
      <c r="AI430" s="144">
        <f>IF('PV IN'!$F$4="PV Only",0,BattCalcs!BM430)</f>
        <v>0</v>
      </c>
      <c r="AJ430" s="144">
        <f>IF('PV IN'!$F$4="PV Only",0,SUM(BattCalcs!BO430:BT430))</f>
        <v>0</v>
      </c>
      <c r="AK430" s="144">
        <f>IF('PV IN'!$F$4="PV Only",PVCalcs!AH430,IF('PV IN'!$F$4="Battery Only",BattCalcs!BN430,PVCalcs!AH430+BattCalcs!BN430))</f>
        <v>-625</v>
      </c>
      <c r="AL430" s="144">
        <f>IF('PV IN'!$F$4="PV Only",0,BattCalcs!BV430)</f>
        <v>0</v>
      </c>
      <c r="AM430" s="144">
        <f>IF('PV IN'!$F$4="PV Only",0,SUM(BattCalcs!BW430:BX430))</f>
        <v>0</v>
      </c>
      <c r="AN430" s="144">
        <f>IF('PV IN'!$F$4="PV Only",0,BattCalcs!BY430)</f>
        <v>0</v>
      </c>
      <c r="AO430" s="144">
        <f>IF('PV IN'!$F$4="Battery Only",0,PVCalcs!U430)</f>
        <v>9062.2610970500045</v>
      </c>
      <c r="AP430" s="10">
        <f>IF('PV IN'!$F$4="PV Only",0,BattCalcs!AS430)</f>
        <v>0</v>
      </c>
      <c r="AQ430" s="10">
        <f>IF('PV IN'!$F$4="PV Only",0,BattCalcs!AT430)</f>
        <v>0</v>
      </c>
      <c r="AR430" s="10">
        <f>IF('PV IN'!$F$4="PV Only",0,BattCalcs!AU430)</f>
        <v>0</v>
      </c>
      <c r="AS430" s="144">
        <f>IF('PV IN'!$F$4="PV Only",PVCalcs!X430,IF('PV IN'!$F$4="Battery Only",BattCalcs!AW430,PVCalcs!X430+BattCalcs!AW430))</f>
        <v>0</v>
      </c>
      <c r="AT430" s="144">
        <f>IF('PV IN'!$F$4="Battery Only",0,-PVCalcs!AQ430*'PV IN'!$E$8)</f>
        <v>0</v>
      </c>
      <c r="AU430" s="144">
        <f>IF('PV IN'!$F$4="PV Only",0,-BattCalcs!CG430*'PV IN'!$E$8)</f>
        <v>0</v>
      </c>
      <c r="AV430" s="144">
        <f>IF('PV IN'!$F$4="PV Only",PVCalcs!Z430+PVCalcs!AA430,IF('PV IN'!$F$4="Battery Only",SUM(BattCalcs!BC430:BH430),PVCalcs!Z430+PVCalcs!AA430+SUM(BattCalcs!BC430:BH430)))</f>
        <v>0</v>
      </c>
      <c r="AW430" s="144">
        <f>IF('PV IN'!$F$4="PV Only",SUM(PVCalcs!AF430:AI430),IF('PV IN'!$F$4="Battery Only",SUM(BattCalcs!BL430:BY430),SUM(PVCalcs!AF430:AI430)+SUM(BattCalcs!BL430:BY430)))</f>
        <v>-1375</v>
      </c>
      <c r="AX430" s="144">
        <f>IF('PV IN'!$F$4="Battery Only",0,-PVLoan!F458)</f>
        <v>0</v>
      </c>
      <c r="AY430" s="144">
        <f>IF('PV IN'!$F$4="PV Only",0,-BattLoan!F458)</f>
        <v>0</v>
      </c>
      <c r="AZ430" s="144">
        <f>IF('PV IN'!$F$4="Battery Only",0,-PVLoan!H458)</f>
        <v>0</v>
      </c>
      <c r="BA430" s="144">
        <f>IF('PV IN'!$F$4="PV Only",0,-BattLoan!H458)</f>
        <v>0</v>
      </c>
    </row>
    <row r="431" spans="1:88" x14ac:dyDescent="0.25">
      <c r="A431" t="str">
        <f>IF(C431&lt;='PV IN'!$O$22*12,C431,"")</f>
        <v/>
      </c>
      <c r="C431">
        <v>427</v>
      </c>
      <c r="D431" s="2">
        <f>BattCalcs!CK431+PVCalcs!AT431</f>
        <v>7969.9695896519715</v>
      </c>
      <c r="E431" s="20">
        <f>PVCalcs!AV431</f>
        <v>3010683.6699067811</v>
      </c>
      <c r="F431" s="20">
        <f>PVCalcs!AW431</f>
        <v>1404.3351699709151</v>
      </c>
      <c r="G431" s="20" t="e">
        <f>PVCalcs!AX431</f>
        <v>#N/A</v>
      </c>
      <c r="H431" s="20">
        <f>BattCalcs!CM431</f>
        <v>0</v>
      </c>
      <c r="I431" s="20">
        <f>BattCalcs!CN431</f>
        <v>0</v>
      </c>
      <c r="J431" s="20" t="e">
        <f>IF(C431&lt;='Batt IN'!H$43*12,BattCalcs!CO431,NA())</f>
        <v>#N/A</v>
      </c>
      <c r="L431" s="20">
        <f t="shared" si="1173"/>
        <v>1404.3351699709151</v>
      </c>
      <c r="M431" s="20" t="e">
        <f>G431+BattCalcs!CO431</f>
        <v>#N/A</v>
      </c>
      <c r="O431" s="10" t="str">
        <f>PVLoan!G459</f>
        <v>-</v>
      </c>
      <c r="P431" s="10" t="str">
        <f>PVLoan!J459</f>
        <v>-</v>
      </c>
      <c r="Q431" s="2" t="str">
        <f>BattLoan!G459</f>
        <v>-</v>
      </c>
      <c r="R431" s="10" t="str">
        <f>BattLoan!J459</f>
        <v>-</v>
      </c>
      <c r="T431" s="33">
        <f>IF('PV IN'!$F$4="Battery Only",0,PVCalcs!G431)</f>
        <v>114786.04155900926</v>
      </c>
      <c r="U431" s="33">
        <f>IF('PV IN'!$F$4="Battery Only",0,PVCalcs!M431)</f>
        <v>114786.04155900926</v>
      </c>
      <c r="V431" s="33">
        <f>PVCalcs!L431</f>
        <v>25811.765833333331</v>
      </c>
      <c r="W431" s="158">
        <f>PVCalcs!F431</f>
        <v>7.8896523189157505E-2</v>
      </c>
      <c r="X431" s="144">
        <f>IF('PV IN'!$F$4="Battery Only",0,PVCalcs!Y431+PVCalcs!Z431)</f>
        <v>0</v>
      </c>
      <c r="Y431" s="144">
        <f>IF('PV IN'!$F$4="PV Only",0,BattCalcs!AX431+BattCalcs!BC431)</f>
        <v>0</v>
      </c>
      <c r="Z431" s="144">
        <f>IF('PV IN'!$F$4="PV Only",0,BattCalcs!AY431+BattCalcs!BD431)</f>
        <v>0</v>
      </c>
      <c r="AA431" s="144">
        <f>IF('PV IN'!$F$4="PV Only",0,BattCalcs!AZ431+BattCalcs!BE431)</f>
        <v>0</v>
      </c>
      <c r="AB431" s="144">
        <f>IF('PV IN'!$F$4="PV Only",0,BattCalcs!BA431+BattCalcs!BF431)</f>
        <v>0</v>
      </c>
      <c r="AC431" s="144">
        <f>IF('PV IN'!$F$4="PV Only",0,BattCalcs!BB431+BattCalcs!BG431)</f>
        <v>0</v>
      </c>
      <c r="AD431" s="144">
        <f>IF('PV IN'!$F$4="PV Only",0,BattCalcs!BU431)</f>
        <v>0</v>
      </c>
      <c r="AE431" s="144">
        <f>IF('PV IN'!$F$4="PV Only",PVCalcs!W431+PVCalcs!AA431,IF('PV IN'!$F$4="Battery Only",BattCalcs!AV431+BattCalcs!BH431,PVCalcs!W431+PVCalcs!AA431+BattCalcs!AV431+BattCalcs!BH431))</f>
        <v>0</v>
      </c>
      <c r="AF431" s="10">
        <f>PVCalcs!AC431+BattCalcs!BJ431</f>
        <v>0</v>
      </c>
      <c r="AG431" s="144">
        <f>IF('PV IN'!$F$4="Battery Only",0,PVCalcs!AG431)</f>
        <v>-750</v>
      </c>
      <c r="AH431" s="144">
        <f>IF('PV IN'!$F$4="Battery Only",0,PVCalcs!AI431)</f>
        <v>0</v>
      </c>
      <c r="AI431" s="144">
        <f>IF('PV IN'!$F$4="PV Only",0,BattCalcs!BM431)</f>
        <v>0</v>
      </c>
      <c r="AJ431" s="144">
        <f>IF('PV IN'!$F$4="PV Only",0,SUM(BattCalcs!BO431:BT431))</f>
        <v>0</v>
      </c>
      <c r="AK431" s="144">
        <f>IF('PV IN'!$F$4="PV Only",PVCalcs!AH431,IF('PV IN'!$F$4="Battery Only",BattCalcs!BN431,PVCalcs!AH431+BattCalcs!BN431))</f>
        <v>-625</v>
      </c>
      <c r="AL431" s="144">
        <f>IF('PV IN'!$F$4="PV Only",0,BattCalcs!BV431)</f>
        <v>0</v>
      </c>
      <c r="AM431" s="144">
        <f>IF('PV IN'!$F$4="PV Only",0,SUM(BattCalcs!BW431:BX431))</f>
        <v>0</v>
      </c>
      <c r="AN431" s="144">
        <f>IF('PV IN'!$F$4="PV Only",0,BattCalcs!BY431)</f>
        <v>0</v>
      </c>
      <c r="AO431" s="144">
        <f>IF('PV IN'!$F$4="Battery Only",0,PVCalcs!U431)</f>
        <v>9056.2195896519715</v>
      </c>
      <c r="AP431" s="10">
        <f>IF('PV IN'!$F$4="PV Only",0,BattCalcs!AS431)</f>
        <v>0</v>
      </c>
      <c r="AQ431" s="10">
        <f>IF('PV IN'!$F$4="PV Only",0,BattCalcs!AT431)</f>
        <v>0</v>
      </c>
      <c r="AR431" s="10">
        <f>IF('PV IN'!$F$4="PV Only",0,BattCalcs!AU431)</f>
        <v>0</v>
      </c>
      <c r="AS431" s="144">
        <f>IF('PV IN'!$F$4="PV Only",PVCalcs!X431,IF('PV IN'!$F$4="Battery Only",BattCalcs!AW431,PVCalcs!X431+BattCalcs!AW431))</f>
        <v>0</v>
      </c>
      <c r="AT431" s="144">
        <f>IF('PV IN'!$F$4="Battery Only",0,-PVCalcs!AQ431*'PV IN'!$E$8)</f>
        <v>0</v>
      </c>
      <c r="AU431" s="144">
        <f>IF('PV IN'!$F$4="PV Only",0,-BattCalcs!CG431*'PV IN'!$E$8)</f>
        <v>0</v>
      </c>
      <c r="AV431" s="144">
        <f>IF('PV IN'!$F$4="PV Only",PVCalcs!Z431+PVCalcs!AA431,IF('PV IN'!$F$4="Battery Only",SUM(BattCalcs!BC431:BH431),PVCalcs!Z431+PVCalcs!AA431+SUM(BattCalcs!BC431:BH431)))</f>
        <v>0</v>
      </c>
      <c r="AW431" s="144">
        <f>IF('PV IN'!$F$4="PV Only",SUM(PVCalcs!AF431:AI431),IF('PV IN'!$F$4="Battery Only",SUM(BattCalcs!BL431:BY431),SUM(PVCalcs!AF431:AI431)+SUM(BattCalcs!BL431:BY431)))</f>
        <v>-1375</v>
      </c>
      <c r="AX431" s="144">
        <f>IF('PV IN'!$F$4="Battery Only",0,-PVLoan!F459)</f>
        <v>0</v>
      </c>
      <c r="AY431" s="144">
        <f>IF('PV IN'!$F$4="PV Only",0,-BattLoan!F459)</f>
        <v>0</v>
      </c>
      <c r="AZ431" s="144">
        <f>IF('PV IN'!$F$4="Battery Only",0,-PVLoan!H459)</f>
        <v>0</v>
      </c>
      <c r="BA431" s="144">
        <f>IF('PV IN'!$F$4="PV Only",0,-BattLoan!H459)</f>
        <v>0</v>
      </c>
    </row>
    <row r="432" spans="1:88" x14ac:dyDescent="0.25">
      <c r="A432" t="str">
        <f>IF(C432&lt;='PV IN'!$O$22*12,C432,"")</f>
        <v/>
      </c>
      <c r="C432">
        <v>428</v>
      </c>
      <c r="D432" s="2">
        <f>BattCalcs!CK432+PVCalcs!AT432</f>
        <v>7963.9321099255358</v>
      </c>
      <c r="E432" s="20">
        <f>PVCalcs!AV432</f>
        <v>3018647.6020167065</v>
      </c>
      <c r="F432" s="20">
        <f>PVCalcs!AW432</f>
        <v>1397.577442449418</v>
      </c>
      <c r="G432" s="20" t="e">
        <f>PVCalcs!AX432</f>
        <v>#N/A</v>
      </c>
      <c r="H432" s="20">
        <f>BattCalcs!CM432</f>
        <v>0</v>
      </c>
      <c r="I432" s="20">
        <f>BattCalcs!CN432</f>
        <v>0</v>
      </c>
      <c r="J432" s="20" t="e">
        <f>IF(C432&lt;='Batt IN'!H$43*12,BattCalcs!CO432,NA())</f>
        <v>#N/A</v>
      </c>
      <c r="L432" s="20">
        <f t="shared" si="1173"/>
        <v>1397.577442449418</v>
      </c>
      <c r="M432" s="20" t="e">
        <f>G432+BattCalcs!CO432</f>
        <v>#N/A</v>
      </c>
      <c r="O432" s="10" t="str">
        <f>PVLoan!G460</f>
        <v>-</v>
      </c>
      <c r="P432" s="10" t="str">
        <f>PVLoan!J460</f>
        <v>-</v>
      </c>
      <c r="Q432" s="2" t="str">
        <f>BattLoan!G460</f>
        <v>-</v>
      </c>
      <c r="R432" s="10" t="str">
        <f>BattLoan!J460</f>
        <v>-</v>
      </c>
      <c r="T432" s="33">
        <f>IF('PV IN'!$F$4="Battery Only",0,PVCalcs!G432)</f>
        <v>114709.51753130325</v>
      </c>
      <c r="U432" s="33">
        <f>IF('PV IN'!$F$4="Battery Only",0,PVCalcs!M432)</f>
        <v>114709.51753130325</v>
      </c>
      <c r="V432" s="33">
        <f>PVCalcs!L432</f>
        <v>25811.765833333331</v>
      </c>
      <c r="W432" s="158">
        <f>PVCalcs!F432</f>
        <v>7.8896523189157505E-2</v>
      </c>
      <c r="X432" s="144">
        <f>IF('PV IN'!$F$4="Battery Only",0,PVCalcs!Y432+PVCalcs!Z432)</f>
        <v>0</v>
      </c>
      <c r="Y432" s="144">
        <f>IF('PV IN'!$F$4="PV Only",0,BattCalcs!AX432+BattCalcs!BC432)</f>
        <v>0</v>
      </c>
      <c r="Z432" s="144">
        <f>IF('PV IN'!$F$4="PV Only",0,BattCalcs!AY432+BattCalcs!BD432)</f>
        <v>0</v>
      </c>
      <c r="AA432" s="144">
        <f>IF('PV IN'!$F$4="PV Only",0,BattCalcs!AZ432+BattCalcs!BE432)</f>
        <v>0</v>
      </c>
      <c r="AB432" s="144">
        <f>IF('PV IN'!$F$4="PV Only",0,BattCalcs!BA432+BattCalcs!BF432)</f>
        <v>0</v>
      </c>
      <c r="AC432" s="144">
        <f>IF('PV IN'!$F$4="PV Only",0,BattCalcs!BB432+BattCalcs!BG432)</f>
        <v>0</v>
      </c>
      <c r="AD432" s="144">
        <f>IF('PV IN'!$F$4="PV Only",0,BattCalcs!BU432)</f>
        <v>0</v>
      </c>
      <c r="AE432" s="144">
        <f>IF('PV IN'!$F$4="PV Only",PVCalcs!W432+PVCalcs!AA432,IF('PV IN'!$F$4="Battery Only",BattCalcs!AV432+BattCalcs!BH432,PVCalcs!W432+PVCalcs!AA432+BattCalcs!AV432+BattCalcs!BH432))</f>
        <v>0</v>
      </c>
      <c r="AF432" s="10">
        <f>PVCalcs!AC432+BattCalcs!BJ432</f>
        <v>0</v>
      </c>
      <c r="AG432" s="144">
        <f>IF('PV IN'!$F$4="Battery Only",0,PVCalcs!AG432)</f>
        <v>-750</v>
      </c>
      <c r="AH432" s="144">
        <f>IF('PV IN'!$F$4="Battery Only",0,PVCalcs!AI432)</f>
        <v>0</v>
      </c>
      <c r="AI432" s="144">
        <f>IF('PV IN'!$F$4="PV Only",0,BattCalcs!BM432)</f>
        <v>0</v>
      </c>
      <c r="AJ432" s="144">
        <f>IF('PV IN'!$F$4="PV Only",0,SUM(BattCalcs!BO432:BT432))</f>
        <v>0</v>
      </c>
      <c r="AK432" s="144">
        <f>IF('PV IN'!$F$4="PV Only",PVCalcs!AH432,IF('PV IN'!$F$4="Battery Only",BattCalcs!BN432,PVCalcs!AH432+BattCalcs!BN432))</f>
        <v>-625</v>
      </c>
      <c r="AL432" s="144">
        <f>IF('PV IN'!$F$4="PV Only",0,BattCalcs!BV432)</f>
        <v>0</v>
      </c>
      <c r="AM432" s="144">
        <f>IF('PV IN'!$F$4="PV Only",0,SUM(BattCalcs!BW432:BX432))</f>
        <v>0</v>
      </c>
      <c r="AN432" s="144">
        <f>IF('PV IN'!$F$4="PV Only",0,BattCalcs!BY432)</f>
        <v>0</v>
      </c>
      <c r="AO432" s="144">
        <f>IF('PV IN'!$F$4="Battery Only",0,PVCalcs!U432)</f>
        <v>9050.1821099255358</v>
      </c>
      <c r="AP432" s="10">
        <f>IF('PV IN'!$F$4="PV Only",0,BattCalcs!AS432)</f>
        <v>0</v>
      </c>
      <c r="AQ432" s="10">
        <f>IF('PV IN'!$F$4="PV Only",0,BattCalcs!AT432)</f>
        <v>0</v>
      </c>
      <c r="AR432" s="10">
        <f>IF('PV IN'!$F$4="PV Only",0,BattCalcs!AU432)</f>
        <v>0</v>
      </c>
      <c r="AS432" s="144">
        <f>IF('PV IN'!$F$4="PV Only",PVCalcs!X432,IF('PV IN'!$F$4="Battery Only",BattCalcs!AW432,PVCalcs!X432+BattCalcs!AW432))</f>
        <v>0</v>
      </c>
      <c r="AT432" s="144">
        <f>IF('PV IN'!$F$4="Battery Only",0,-PVCalcs!AQ432*'PV IN'!$E$8)</f>
        <v>0</v>
      </c>
      <c r="AU432" s="144">
        <f>IF('PV IN'!$F$4="PV Only",0,-BattCalcs!CG432*'PV IN'!$E$8)</f>
        <v>0</v>
      </c>
      <c r="AV432" s="144">
        <f>IF('PV IN'!$F$4="PV Only",PVCalcs!Z432+PVCalcs!AA432,IF('PV IN'!$F$4="Battery Only",SUM(BattCalcs!BC432:BH432),PVCalcs!Z432+PVCalcs!AA432+SUM(BattCalcs!BC432:BH432)))</f>
        <v>0</v>
      </c>
      <c r="AW432" s="144">
        <f>IF('PV IN'!$F$4="PV Only",SUM(PVCalcs!AF432:AI432),IF('PV IN'!$F$4="Battery Only",SUM(BattCalcs!BL432:BY432),SUM(PVCalcs!AF432:AI432)+SUM(BattCalcs!BL432:BY432)))</f>
        <v>-1375</v>
      </c>
      <c r="AX432" s="144">
        <f>IF('PV IN'!$F$4="Battery Only",0,-PVLoan!F460)</f>
        <v>0</v>
      </c>
      <c r="AY432" s="144">
        <f>IF('PV IN'!$F$4="PV Only",0,-BattLoan!F460)</f>
        <v>0</v>
      </c>
      <c r="AZ432" s="144">
        <f>IF('PV IN'!$F$4="Battery Only",0,-PVLoan!H460)</f>
        <v>0</v>
      </c>
      <c r="BA432" s="144">
        <f>IF('PV IN'!$F$4="PV Only",0,-BattLoan!H460)</f>
        <v>0</v>
      </c>
    </row>
    <row r="433" spans="1:88" x14ac:dyDescent="0.25">
      <c r="A433" t="str">
        <f>IF(C433&lt;='PV IN'!$O$22*12,C433,"")</f>
        <v/>
      </c>
      <c r="C433">
        <v>429</v>
      </c>
      <c r="D433" s="2">
        <f>BattCalcs!CK433+PVCalcs!AT433</f>
        <v>7957.8986551855869</v>
      </c>
      <c r="E433" s="20">
        <f>PVCalcs!AV433</f>
        <v>3026605.500671892</v>
      </c>
      <c r="F433" s="20">
        <f>PVCalcs!AW433</f>
        <v>1390.8521375553862</v>
      </c>
      <c r="G433" s="20" t="e">
        <f>PVCalcs!AX433</f>
        <v>#N/A</v>
      </c>
      <c r="H433" s="20">
        <f>BattCalcs!CM433</f>
        <v>0</v>
      </c>
      <c r="I433" s="20">
        <f>BattCalcs!CN433</f>
        <v>0</v>
      </c>
      <c r="J433" s="20" t="e">
        <f>IF(C433&lt;='Batt IN'!H$43*12,BattCalcs!CO433,NA())</f>
        <v>#N/A</v>
      </c>
      <c r="L433" s="20">
        <f t="shared" si="1173"/>
        <v>1390.8521375553862</v>
      </c>
      <c r="M433" s="20" t="e">
        <f>G433+BattCalcs!CO433</f>
        <v>#N/A</v>
      </c>
      <c r="O433" s="10" t="str">
        <f>PVLoan!G461</f>
        <v>-</v>
      </c>
      <c r="P433" s="10" t="str">
        <f>PVLoan!J461</f>
        <v>-</v>
      </c>
      <c r="Q433" s="2" t="str">
        <f>BattLoan!G461</f>
        <v>-</v>
      </c>
      <c r="R433" s="10" t="str">
        <f>BattLoan!J461</f>
        <v>-</v>
      </c>
      <c r="T433" s="33">
        <f>IF('PV IN'!$F$4="Battery Only",0,PVCalcs!G433)</f>
        <v>114633.04451961574</v>
      </c>
      <c r="U433" s="33">
        <f>IF('PV IN'!$F$4="Battery Only",0,PVCalcs!M433)</f>
        <v>114633.04451961574</v>
      </c>
      <c r="V433" s="33">
        <f>PVCalcs!L433</f>
        <v>25811.765833333331</v>
      </c>
      <c r="W433" s="158">
        <f>PVCalcs!F433</f>
        <v>7.8896523189157505E-2</v>
      </c>
      <c r="X433" s="144">
        <f>IF('PV IN'!$F$4="Battery Only",0,PVCalcs!Y433+PVCalcs!Z433)</f>
        <v>0</v>
      </c>
      <c r="Y433" s="144">
        <f>IF('PV IN'!$F$4="PV Only",0,BattCalcs!AX433+BattCalcs!BC433)</f>
        <v>0</v>
      </c>
      <c r="Z433" s="144">
        <f>IF('PV IN'!$F$4="PV Only",0,BattCalcs!AY433+BattCalcs!BD433)</f>
        <v>0</v>
      </c>
      <c r="AA433" s="144">
        <f>IF('PV IN'!$F$4="PV Only",0,BattCalcs!AZ433+BattCalcs!BE433)</f>
        <v>0</v>
      </c>
      <c r="AB433" s="144">
        <f>IF('PV IN'!$F$4="PV Only",0,BattCalcs!BA433+BattCalcs!BF433)</f>
        <v>0</v>
      </c>
      <c r="AC433" s="144">
        <f>IF('PV IN'!$F$4="PV Only",0,BattCalcs!BB433+BattCalcs!BG433)</f>
        <v>0</v>
      </c>
      <c r="AD433" s="144">
        <f>IF('PV IN'!$F$4="PV Only",0,BattCalcs!BU433)</f>
        <v>0</v>
      </c>
      <c r="AE433" s="144">
        <f>IF('PV IN'!$F$4="PV Only",PVCalcs!W433+PVCalcs!AA433,IF('PV IN'!$F$4="Battery Only",BattCalcs!AV433+BattCalcs!BH433,PVCalcs!W433+PVCalcs!AA433+BattCalcs!AV433+BattCalcs!BH433))</f>
        <v>0</v>
      </c>
      <c r="AF433" s="10">
        <f>PVCalcs!AC433+BattCalcs!BJ433</f>
        <v>0</v>
      </c>
      <c r="AG433" s="144">
        <f>IF('PV IN'!$F$4="Battery Only",0,PVCalcs!AG433)</f>
        <v>-750</v>
      </c>
      <c r="AH433" s="144">
        <f>IF('PV IN'!$F$4="Battery Only",0,PVCalcs!AI433)</f>
        <v>0</v>
      </c>
      <c r="AI433" s="144">
        <f>IF('PV IN'!$F$4="PV Only",0,BattCalcs!BM433)</f>
        <v>0</v>
      </c>
      <c r="AJ433" s="144">
        <f>IF('PV IN'!$F$4="PV Only",0,SUM(BattCalcs!BO433:BT433))</f>
        <v>0</v>
      </c>
      <c r="AK433" s="144">
        <f>IF('PV IN'!$F$4="PV Only",PVCalcs!AH433,IF('PV IN'!$F$4="Battery Only",BattCalcs!BN433,PVCalcs!AH433+BattCalcs!BN433))</f>
        <v>-625</v>
      </c>
      <c r="AL433" s="144">
        <f>IF('PV IN'!$F$4="PV Only",0,BattCalcs!BV433)</f>
        <v>0</v>
      </c>
      <c r="AM433" s="144">
        <f>IF('PV IN'!$F$4="PV Only",0,SUM(BattCalcs!BW433:BX433))</f>
        <v>0</v>
      </c>
      <c r="AN433" s="144">
        <f>IF('PV IN'!$F$4="PV Only",0,BattCalcs!BY433)</f>
        <v>0</v>
      </c>
      <c r="AO433" s="144">
        <f>IF('PV IN'!$F$4="Battery Only",0,PVCalcs!U433)</f>
        <v>9044.1486551855869</v>
      </c>
      <c r="AP433" s="10">
        <f>IF('PV IN'!$F$4="PV Only",0,BattCalcs!AS433)</f>
        <v>0</v>
      </c>
      <c r="AQ433" s="10">
        <f>IF('PV IN'!$F$4="PV Only",0,BattCalcs!AT433)</f>
        <v>0</v>
      </c>
      <c r="AR433" s="10">
        <f>IF('PV IN'!$F$4="PV Only",0,BattCalcs!AU433)</f>
        <v>0</v>
      </c>
      <c r="AS433" s="144">
        <f>IF('PV IN'!$F$4="PV Only",PVCalcs!X433,IF('PV IN'!$F$4="Battery Only",BattCalcs!AW433,PVCalcs!X433+BattCalcs!AW433))</f>
        <v>0</v>
      </c>
      <c r="AT433" s="144">
        <f>IF('PV IN'!$F$4="Battery Only",0,-PVCalcs!AQ433*'PV IN'!$E$8)</f>
        <v>0</v>
      </c>
      <c r="AU433" s="144">
        <f>IF('PV IN'!$F$4="PV Only",0,-BattCalcs!CG433*'PV IN'!$E$8)</f>
        <v>0</v>
      </c>
      <c r="AV433" s="144">
        <f>IF('PV IN'!$F$4="PV Only",PVCalcs!Z433+PVCalcs!AA433,IF('PV IN'!$F$4="Battery Only",SUM(BattCalcs!BC433:BH433),PVCalcs!Z433+PVCalcs!AA433+SUM(BattCalcs!BC433:BH433)))</f>
        <v>0</v>
      </c>
      <c r="AW433" s="144">
        <f>IF('PV IN'!$F$4="PV Only",SUM(PVCalcs!AF433:AI433),IF('PV IN'!$F$4="Battery Only",SUM(BattCalcs!BL433:BY433),SUM(PVCalcs!AF433:AI433)+SUM(BattCalcs!BL433:BY433)))</f>
        <v>-1375</v>
      </c>
      <c r="AX433" s="144">
        <f>IF('PV IN'!$F$4="Battery Only",0,-PVLoan!F461)</f>
        <v>0</v>
      </c>
      <c r="AY433" s="144">
        <f>IF('PV IN'!$F$4="PV Only",0,-BattLoan!F461)</f>
        <v>0</v>
      </c>
      <c r="AZ433" s="144">
        <f>IF('PV IN'!$F$4="Battery Only",0,-PVLoan!H461)</f>
        <v>0</v>
      </c>
      <c r="BA433" s="144">
        <f>IF('PV IN'!$F$4="PV Only",0,-BattLoan!H461)</f>
        <v>0</v>
      </c>
    </row>
    <row r="434" spans="1:88" x14ac:dyDescent="0.25">
      <c r="A434" t="str">
        <f>IF(C434&lt;='PV IN'!$O$22*12,C434,"")</f>
        <v/>
      </c>
      <c r="C434">
        <v>430</v>
      </c>
      <c r="D434" s="2">
        <f>BattCalcs!CK434+PVCalcs!AT434</f>
        <v>7951.8692227487954</v>
      </c>
      <c r="E434" s="20">
        <f>PVCalcs!AV434</f>
        <v>3034557.369894641</v>
      </c>
      <c r="F434" s="20">
        <f>PVCalcs!AW434</f>
        <v>1384.1591001113266</v>
      </c>
      <c r="G434" s="20" t="e">
        <f>PVCalcs!AX434</f>
        <v>#N/A</v>
      </c>
      <c r="H434" s="20">
        <f>BattCalcs!CM434</f>
        <v>0</v>
      </c>
      <c r="I434" s="20">
        <f>BattCalcs!CN434</f>
        <v>0</v>
      </c>
      <c r="J434" s="20" t="e">
        <f>IF(C434&lt;='Batt IN'!H$43*12,BattCalcs!CO434,NA())</f>
        <v>#N/A</v>
      </c>
      <c r="L434" s="20">
        <f t="shared" si="1173"/>
        <v>1384.1591001113266</v>
      </c>
      <c r="M434" s="20" t="e">
        <f>G434+BattCalcs!CO434</f>
        <v>#N/A</v>
      </c>
      <c r="O434" s="10" t="str">
        <f>PVLoan!G462</f>
        <v>-</v>
      </c>
      <c r="P434" s="10" t="str">
        <f>PVLoan!J462</f>
        <v>-</v>
      </c>
      <c r="Q434" s="2" t="str">
        <f>BattLoan!G462</f>
        <v>-</v>
      </c>
      <c r="R434" s="10" t="str">
        <f>BattLoan!J462</f>
        <v>-</v>
      </c>
      <c r="T434" s="33">
        <f>IF('PV IN'!$F$4="Battery Only",0,PVCalcs!G434)</f>
        <v>114556.62248993598</v>
      </c>
      <c r="U434" s="33">
        <f>IF('PV IN'!$F$4="Battery Only",0,PVCalcs!M434)</f>
        <v>114556.62248993598</v>
      </c>
      <c r="V434" s="33">
        <f>PVCalcs!L434</f>
        <v>25811.765833333331</v>
      </c>
      <c r="W434" s="158">
        <f>PVCalcs!F434</f>
        <v>7.8896523189157505E-2</v>
      </c>
      <c r="X434" s="144">
        <f>IF('PV IN'!$F$4="Battery Only",0,PVCalcs!Y434+PVCalcs!Z434)</f>
        <v>0</v>
      </c>
      <c r="Y434" s="144">
        <f>IF('PV IN'!$F$4="PV Only",0,BattCalcs!AX434+BattCalcs!BC434)</f>
        <v>0</v>
      </c>
      <c r="Z434" s="144">
        <f>IF('PV IN'!$F$4="PV Only",0,BattCalcs!AY434+BattCalcs!BD434)</f>
        <v>0</v>
      </c>
      <c r="AA434" s="144">
        <f>IF('PV IN'!$F$4="PV Only",0,BattCalcs!AZ434+BattCalcs!BE434)</f>
        <v>0</v>
      </c>
      <c r="AB434" s="144">
        <f>IF('PV IN'!$F$4="PV Only",0,BattCalcs!BA434+BattCalcs!BF434)</f>
        <v>0</v>
      </c>
      <c r="AC434" s="144">
        <f>IF('PV IN'!$F$4="PV Only",0,BattCalcs!BB434+BattCalcs!BG434)</f>
        <v>0</v>
      </c>
      <c r="AD434" s="144">
        <f>IF('PV IN'!$F$4="PV Only",0,BattCalcs!BU434)</f>
        <v>0</v>
      </c>
      <c r="AE434" s="144">
        <f>IF('PV IN'!$F$4="PV Only",PVCalcs!W434+PVCalcs!AA434,IF('PV IN'!$F$4="Battery Only",BattCalcs!AV434+BattCalcs!BH434,PVCalcs!W434+PVCalcs!AA434+BattCalcs!AV434+BattCalcs!BH434))</f>
        <v>0</v>
      </c>
      <c r="AF434" s="10">
        <f>PVCalcs!AC434+BattCalcs!BJ434</f>
        <v>0</v>
      </c>
      <c r="AG434" s="144">
        <f>IF('PV IN'!$F$4="Battery Only",0,PVCalcs!AG434)</f>
        <v>-750</v>
      </c>
      <c r="AH434" s="144">
        <f>IF('PV IN'!$F$4="Battery Only",0,PVCalcs!AI434)</f>
        <v>0</v>
      </c>
      <c r="AI434" s="144">
        <f>IF('PV IN'!$F$4="PV Only",0,BattCalcs!BM434)</f>
        <v>0</v>
      </c>
      <c r="AJ434" s="144">
        <f>IF('PV IN'!$F$4="PV Only",0,SUM(BattCalcs!BO434:BT434))</f>
        <v>0</v>
      </c>
      <c r="AK434" s="144">
        <f>IF('PV IN'!$F$4="PV Only",PVCalcs!AH434,IF('PV IN'!$F$4="Battery Only",BattCalcs!BN434,PVCalcs!AH434+BattCalcs!BN434))</f>
        <v>-625</v>
      </c>
      <c r="AL434" s="144">
        <f>IF('PV IN'!$F$4="PV Only",0,BattCalcs!BV434)</f>
        <v>0</v>
      </c>
      <c r="AM434" s="144">
        <f>IF('PV IN'!$F$4="PV Only",0,SUM(BattCalcs!BW434:BX434))</f>
        <v>0</v>
      </c>
      <c r="AN434" s="144">
        <f>IF('PV IN'!$F$4="PV Only",0,BattCalcs!BY434)</f>
        <v>0</v>
      </c>
      <c r="AO434" s="144">
        <f>IF('PV IN'!$F$4="Battery Only",0,PVCalcs!U434)</f>
        <v>9038.1192227487954</v>
      </c>
      <c r="AP434" s="10">
        <f>IF('PV IN'!$F$4="PV Only",0,BattCalcs!AS434)</f>
        <v>0</v>
      </c>
      <c r="AQ434" s="10">
        <f>IF('PV IN'!$F$4="PV Only",0,BattCalcs!AT434)</f>
        <v>0</v>
      </c>
      <c r="AR434" s="10">
        <f>IF('PV IN'!$F$4="PV Only",0,BattCalcs!AU434)</f>
        <v>0</v>
      </c>
      <c r="AS434" s="144">
        <f>IF('PV IN'!$F$4="PV Only",PVCalcs!X434,IF('PV IN'!$F$4="Battery Only",BattCalcs!AW434,PVCalcs!X434+BattCalcs!AW434))</f>
        <v>0</v>
      </c>
      <c r="AT434" s="144">
        <f>IF('PV IN'!$F$4="Battery Only",0,-PVCalcs!AQ434*'PV IN'!$E$8)</f>
        <v>0</v>
      </c>
      <c r="AU434" s="144">
        <f>IF('PV IN'!$F$4="PV Only",0,-BattCalcs!CG434*'PV IN'!$E$8)</f>
        <v>0</v>
      </c>
      <c r="AV434" s="144">
        <f>IF('PV IN'!$F$4="PV Only",PVCalcs!Z434+PVCalcs!AA434,IF('PV IN'!$F$4="Battery Only",SUM(BattCalcs!BC434:BH434),PVCalcs!Z434+PVCalcs!AA434+SUM(BattCalcs!BC434:BH434)))</f>
        <v>0</v>
      </c>
      <c r="AW434" s="144">
        <f>IF('PV IN'!$F$4="PV Only",SUM(PVCalcs!AF434:AI434),IF('PV IN'!$F$4="Battery Only",SUM(BattCalcs!BL434:BY434),SUM(PVCalcs!AF434:AI434)+SUM(BattCalcs!BL434:BY434)))</f>
        <v>-1375</v>
      </c>
      <c r="AX434" s="144">
        <f>IF('PV IN'!$F$4="Battery Only",0,-PVLoan!F462)</f>
        <v>0</v>
      </c>
      <c r="AY434" s="144">
        <f>IF('PV IN'!$F$4="PV Only",0,-BattLoan!F462)</f>
        <v>0</v>
      </c>
      <c r="AZ434" s="144">
        <f>IF('PV IN'!$F$4="Battery Only",0,-PVLoan!H462)</f>
        <v>0</v>
      </c>
      <c r="BA434" s="144">
        <f>IF('PV IN'!$F$4="PV Only",0,-BattLoan!H462)</f>
        <v>0</v>
      </c>
    </row>
    <row r="435" spans="1:88" x14ac:dyDescent="0.25">
      <c r="A435" t="str">
        <f>IF(C435&lt;='PV IN'!$O$22*12,C435,"")</f>
        <v/>
      </c>
      <c r="C435">
        <v>431</v>
      </c>
      <c r="D435" s="2">
        <f>BattCalcs!CK435+PVCalcs!AT435</f>
        <v>7945.843809933629</v>
      </c>
      <c r="E435" s="20">
        <f>PVCalcs!AV435</f>
        <v>3042503.2137045744</v>
      </c>
      <c r="F435" s="20">
        <f>PVCalcs!AW435</f>
        <v>1377.4981756809134</v>
      </c>
      <c r="G435" s="20" t="e">
        <f>PVCalcs!AX435</f>
        <v>#N/A</v>
      </c>
      <c r="H435" s="20">
        <f>BattCalcs!CM435</f>
        <v>0</v>
      </c>
      <c r="I435" s="20">
        <f>BattCalcs!CN435</f>
        <v>0</v>
      </c>
      <c r="J435" s="20" t="e">
        <f>IF(C435&lt;='Batt IN'!H$43*12,BattCalcs!CO435,NA())</f>
        <v>#N/A</v>
      </c>
      <c r="L435" s="20">
        <f t="shared" si="1173"/>
        <v>1377.4981756809134</v>
      </c>
      <c r="M435" s="20" t="e">
        <f>G435+BattCalcs!CO435</f>
        <v>#N/A</v>
      </c>
      <c r="O435" s="10" t="str">
        <f>PVLoan!G463</f>
        <v>-</v>
      </c>
      <c r="P435" s="10" t="str">
        <f>PVLoan!J463</f>
        <v>-</v>
      </c>
      <c r="Q435" s="2" t="str">
        <f>BattLoan!G463</f>
        <v>-</v>
      </c>
      <c r="R435" s="10" t="str">
        <f>BattLoan!J463</f>
        <v>-</v>
      </c>
      <c r="T435" s="33">
        <f>IF('PV IN'!$F$4="Battery Only",0,PVCalcs!G435)</f>
        <v>114480.251408276</v>
      </c>
      <c r="U435" s="33">
        <f>IF('PV IN'!$F$4="Battery Only",0,PVCalcs!M435)</f>
        <v>114480.251408276</v>
      </c>
      <c r="V435" s="33">
        <f>PVCalcs!L435</f>
        <v>25811.765833333331</v>
      </c>
      <c r="W435" s="158">
        <f>PVCalcs!F435</f>
        <v>7.8896523189157505E-2</v>
      </c>
      <c r="X435" s="144">
        <f>IF('PV IN'!$F$4="Battery Only",0,PVCalcs!Y435+PVCalcs!Z435)</f>
        <v>0</v>
      </c>
      <c r="Y435" s="144">
        <f>IF('PV IN'!$F$4="PV Only",0,BattCalcs!AX435+BattCalcs!BC435)</f>
        <v>0</v>
      </c>
      <c r="Z435" s="144">
        <f>IF('PV IN'!$F$4="PV Only",0,BattCalcs!AY435+BattCalcs!BD435)</f>
        <v>0</v>
      </c>
      <c r="AA435" s="144">
        <f>IF('PV IN'!$F$4="PV Only",0,BattCalcs!AZ435+BattCalcs!BE435)</f>
        <v>0</v>
      </c>
      <c r="AB435" s="144">
        <f>IF('PV IN'!$F$4="PV Only",0,BattCalcs!BA435+BattCalcs!BF435)</f>
        <v>0</v>
      </c>
      <c r="AC435" s="144">
        <f>IF('PV IN'!$F$4="PV Only",0,BattCalcs!BB435+BattCalcs!BG435)</f>
        <v>0</v>
      </c>
      <c r="AD435" s="144">
        <f>IF('PV IN'!$F$4="PV Only",0,BattCalcs!BU435)</f>
        <v>0</v>
      </c>
      <c r="AE435" s="144">
        <f>IF('PV IN'!$F$4="PV Only",PVCalcs!W435+PVCalcs!AA435,IF('PV IN'!$F$4="Battery Only",BattCalcs!AV435+BattCalcs!BH435,PVCalcs!W435+PVCalcs!AA435+BattCalcs!AV435+BattCalcs!BH435))</f>
        <v>0</v>
      </c>
      <c r="AF435" s="10">
        <f>PVCalcs!AC435+BattCalcs!BJ435</f>
        <v>0</v>
      </c>
      <c r="AG435" s="144">
        <f>IF('PV IN'!$F$4="Battery Only",0,PVCalcs!AG435)</f>
        <v>-750</v>
      </c>
      <c r="AH435" s="144">
        <f>IF('PV IN'!$F$4="Battery Only",0,PVCalcs!AI435)</f>
        <v>0</v>
      </c>
      <c r="AI435" s="144">
        <f>IF('PV IN'!$F$4="PV Only",0,BattCalcs!BM435)</f>
        <v>0</v>
      </c>
      <c r="AJ435" s="144">
        <f>IF('PV IN'!$F$4="PV Only",0,SUM(BattCalcs!BO435:BT435))</f>
        <v>0</v>
      </c>
      <c r="AK435" s="144">
        <f>IF('PV IN'!$F$4="PV Only",PVCalcs!AH435,IF('PV IN'!$F$4="Battery Only",BattCalcs!BN435,PVCalcs!AH435+BattCalcs!BN435))</f>
        <v>-625</v>
      </c>
      <c r="AL435" s="144">
        <f>IF('PV IN'!$F$4="PV Only",0,BattCalcs!BV435)</f>
        <v>0</v>
      </c>
      <c r="AM435" s="144">
        <f>IF('PV IN'!$F$4="PV Only",0,SUM(BattCalcs!BW435:BX435))</f>
        <v>0</v>
      </c>
      <c r="AN435" s="144">
        <f>IF('PV IN'!$F$4="PV Only",0,BattCalcs!BY435)</f>
        <v>0</v>
      </c>
      <c r="AO435" s="144">
        <f>IF('PV IN'!$F$4="Battery Only",0,PVCalcs!U435)</f>
        <v>9032.093809933629</v>
      </c>
      <c r="AP435" s="10">
        <f>IF('PV IN'!$F$4="PV Only",0,BattCalcs!AS435)</f>
        <v>0</v>
      </c>
      <c r="AQ435" s="10">
        <f>IF('PV IN'!$F$4="PV Only",0,BattCalcs!AT435)</f>
        <v>0</v>
      </c>
      <c r="AR435" s="10">
        <f>IF('PV IN'!$F$4="PV Only",0,BattCalcs!AU435)</f>
        <v>0</v>
      </c>
      <c r="AS435" s="144">
        <f>IF('PV IN'!$F$4="PV Only",PVCalcs!X435,IF('PV IN'!$F$4="Battery Only",BattCalcs!AW435,PVCalcs!X435+BattCalcs!AW435))</f>
        <v>0</v>
      </c>
      <c r="AT435" s="144">
        <f>IF('PV IN'!$F$4="Battery Only",0,-PVCalcs!AQ435*'PV IN'!$E$8)</f>
        <v>0</v>
      </c>
      <c r="AU435" s="144">
        <f>IF('PV IN'!$F$4="PV Only",0,-BattCalcs!CG435*'PV IN'!$E$8)</f>
        <v>0</v>
      </c>
      <c r="AV435" s="144">
        <f>IF('PV IN'!$F$4="PV Only",PVCalcs!Z435+PVCalcs!AA435,IF('PV IN'!$F$4="Battery Only",SUM(BattCalcs!BC435:BH435),PVCalcs!Z435+PVCalcs!AA435+SUM(BattCalcs!BC435:BH435)))</f>
        <v>0</v>
      </c>
      <c r="AW435" s="144">
        <f>IF('PV IN'!$F$4="PV Only",SUM(PVCalcs!AF435:AI435),IF('PV IN'!$F$4="Battery Only",SUM(BattCalcs!BL435:BY435),SUM(PVCalcs!AF435:AI435)+SUM(BattCalcs!BL435:BY435)))</f>
        <v>-1375</v>
      </c>
      <c r="AX435" s="144">
        <f>IF('PV IN'!$F$4="Battery Only",0,-PVLoan!F463)</f>
        <v>0</v>
      </c>
      <c r="AY435" s="144">
        <f>IF('PV IN'!$F$4="PV Only",0,-BattLoan!F463)</f>
        <v>0</v>
      </c>
      <c r="AZ435" s="144">
        <f>IF('PV IN'!$F$4="Battery Only",0,-PVLoan!H463)</f>
        <v>0</v>
      </c>
      <c r="BA435" s="144">
        <f>IF('PV IN'!$F$4="PV Only",0,-BattLoan!H463)</f>
        <v>0</v>
      </c>
    </row>
    <row r="436" spans="1:88" x14ac:dyDescent="0.25">
      <c r="A436" t="str">
        <f>IF(C436&lt;='PV IN'!$O$22*12,C436,"")</f>
        <v/>
      </c>
      <c r="B436">
        <f t="shared" ref="B436" si="1174">B424+1</f>
        <v>2061</v>
      </c>
      <c r="C436">
        <v>432</v>
      </c>
      <c r="D436" s="2">
        <f>BattCalcs!CK436+PVCalcs!AT436</f>
        <v>7939.8224140603397</v>
      </c>
      <c r="E436" s="20">
        <f>PVCalcs!AV436</f>
        <v>3050443.0361186345</v>
      </c>
      <c r="F436" s="20">
        <f>PVCalcs!AW436</f>
        <v>1370.869210565457</v>
      </c>
      <c r="G436" s="20" t="e">
        <f>PVCalcs!AX436</f>
        <v>#N/A</v>
      </c>
      <c r="H436" s="20">
        <f>BattCalcs!CM436</f>
        <v>0</v>
      </c>
      <c r="I436" s="20">
        <f>BattCalcs!CN436</f>
        <v>0</v>
      </c>
      <c r="J436" s="20" t="e">
        <f>IF(C436&lt;='Batt IN'!H$43*12,BattCalcs!CO436,NA())</f>
        <v>#N/A</v>
      </c>
      <c r="L436" s="20">
        <f t="shared" si="1173"/>
        <v>1370.869210565457</v>
      </c>
      <c r="M436" s="20" t="e">
        <f>G436+BattCalcs!CO436</f>
        <v>#N/A</v>
      </c>
      <c r="O436" s="10" t="str">
        <f>PVLoan!G464</f>
        <v>-</v>
      </c>
      <c r="P436" s="10" t="str">
        <f>PVLoan!J464</f>
        <v>-</v>
      </c>
      <c r="Q436" s="2" t="str">
        <f>BattLoan!G464</f>
        <v>-</v>
      </c>
      <c r="R436" s="10" t="str">
        <f>BattLoan!J464</f>
        <v>-</v>
      </c>
      <c r="T436" s="33">
        <f>IF('PV IN'!$F$4="Battery Only",0,PVCalcs!G436)</f>
        <v>114403.93124067048</v>
      </c>
      <c r="U436" s="33">
        <f>IF('PV IN'!$F$4="Battery Only",0,PVCalcs!M436)</f>
        <v>114403.93124067048</v>
      </c>
      <c r="V436" s="33">
        <f>PVCalcs!L436</f>
        <v>25811.765833333331</v>
      </c>
      <c r="W436" s="158">
        <f>PVCalcs!F436</f>
        <v>7.8896523189157505E-2</v>
      </c>
      <c r="X436" s="144">
        <f>IF('PV IN'!$F$4="Battery Only",0,PVCalcs!Y436+PVCalcs!Z436)</f>
        <v>0</v>
      </c>
      <c r="Y436" s="144">
        <f>IF('PV IN'!$F$4="PV Only",0,BattCalcs!AX436+BattCalcs!BC436)</f>
        <v>0</v>
      </c>
      <c r="Z436" s="144">
        <f>IF('PV IN'!$F$4="PV Only",0,BattCalcs!AY436+BattCalcs!BD436)</f>
        <v>0</v>
      </c>
      <c r="AA436" s="144">
        <f>IF('PV IN'!$F$4="PV Only",0,BattCalcs!AZ436+BattCalcs!BE436)</f>
        <v>0</v>
      </c>
      <c r="AB436" s="144">
        <f>IF('PV IN'!$F$4="PV Only",0,BattCalcs!BA436+BattCalcs!BF436)</f>
        <v>0</v>
      </c>
      <c r="AC436" s="144">
        <f>IF('PV IN'!$F$4="PV Only",0,BattCalcs!BB436+BattCalcs!BG436)</f>
        <v>0</v>
      </c>
      <c r="AD436" s="144">
        <f>IF('PV IN'!$F$4="PV Only",0,BattCalcs!BU436)</f>
        <v>0</v>
      </c>
      <c r="AE436" s="144">
        <f>IF('PV IN'!$F$4="PV Only",PVCalcs!W436+PVCalcs!AA436,IF('PV IN'!$F$4="Battery Only",BattCalcs!AV436+BattCalcs!BH436,PVCalcs!W436+PVCalcs!AA436+BattCalcs!AV436+BattCalcs!BH436))</f>
        <v>0</v>
      </c>
      <c r="AF436" s="10">
        <f>PVCalcs!AC436+BattCalcs!BJ436</f>
        <v>0</v>
      </c>
      <c r="AG436" s="144">
        <f>IF('PV IN'!$F$4="Battery Only",0,PVCalcs!AG436)</f>
        <v>-750</v>
      </c>
      <c r="AH436" s="144">
        <f>IF('PV IN'!$F$4="Battery Only",0,PVCalcs!AI436)</f>
        <v>0</v>
      </c>
      <c r="AI436" s="144">
        <f>IF('PV IN'!$F$4="PV Only",0,BattCalcs!BM436)</f>
        <v>0</v>
      </c>
      <c r="AJ436" s="144">
        <f>IF('PV IN'!$F$4="PV Only",0,SUM(BattCalcs!BO436:BT436))</f>
        <v>0</v>
      </c>
      <c r="AK436" s="144">
        <f>IF('PV IN'!$F$4="PV Only",PVCalcs!AH436,IF('PV IN'!$F$4="Battery Only",BattCalcs!BN436,PVCalcs!AH436+BattCalcs!BN436))</f>
        <v>-625</v>
      </c>
      <c r="AL436" s="144">
        <f>IF('PV IN'!$F$4="PV Only",0,BattCalcs!BV436)</f>
        <v>0</v>
      </c>
      <c r="AM436" s="144">
        <f>IF('PV IN'!$F$4="PV Only",0,SUM(BattCalcs!BW436:BX436))</f>
        <v>0</v>
      </c>
      <c r="AN436" s="144">
        <f>IF('PV IN'!$F$4="PV Only",0,BattCalcs!BY436)</f>
        <v>0</v>
      </c>
      <c r="AO436" s="144">
        <f>IF('PV IN'!$F$4="Battery Only",0,PVCalcs!U436)</f>
        <v>9026.0724140603397</v>
      </c>
      <c r="AP436" s="10">
        <f>IF('PV IN'!$F$4="PV Only",0,BattCalcs!AS436)</f>
        <v>0</v>
      </c>
      <c r="AQ436" s="10">
        <f>IF('PV IN'!$F$4="PV Only",0,BattCalcs!AT436)</f>
        <v>0</v>
      </c>
      <c r="AR436" s="10">
        <f>IF('PV IN'!$F$4="PV Only",0,BattCalcs!AU436)</f>
        <v>0</v>
      </c>
      <c r="AS436" s="144">
        <f>IF('PV IN'!$F$4="PV Only",PVCalcs!X436,IF('PV IN'!$F$4="Battery Only",BattCalcs!AW436,PVCalcs!X436+BattCalcs!AW436))</f>
        <v>0</v>
      </c>
      <c r="AT436" s="144">
        <f>IF('PV IN'!$F$4="Battery Only",0,-PVCalcs!AQ436*'PV IN'!$E$8)</f>
        <v>0</v>
      </c>
      <c r="AU436" s="144">
        <f>IF('PV IN'!$F$4="PV Only",0,-BattCalcs!CG436*'PV IN'!$E$8)</f>
        <v>0</v>
      </c>
      <c r="AV436" s="144">
        <f>IF('PV IN'!$F$4="PV Only",PVCalcs!Z436+PVCalcs!AA436,IF('PV IN'!$F$4="Battery Only",SUM(BattCalcs!BC436:BH436),PVCalcs!Z436+PVCalcs!AA436+SUM(BattCalcs!BC436:BH436)))</f>
        <v>0</v>
      </c>
      <c r="AW436" s="144">
        <f>IF('PV IN'!$F$4="PV Only",SUM(PVCalcs!AF436:AI436),IF('PV IN'!$F$4="Battery Only",SUM(BattCalcs!BL436:BY436),SUM(PVCalcs!AF436:AI436)+SUM(BattCalcs!BL436:BY436)))</f>
        <v>-1375</v>
      </c>
      <c r="AX436" s="144">
        <f>IF('PV IN'!$F$4="Battery Only",0,-PVLoan!F464)</f>
        <v>0</v>
      </c>
      <c r="AY436" s="144">
        <f>IF('PV IN'!$F$4="PV Only",0,-BattLoan!F464)</f>
        <v>0</v>
      </c>
      <c r="AZ436" s="144">
        <f>IF('PV IN'!$F$4="Battery Only",0,-PVLoan!H464)</f>
        <v>0</v>
      </c>
      <c r="BA436" s="144">
        <f>IF('PV IN'!$F$4="PV Only",0,-BattLoan!H464)</f>
        <v>0</v>
      </c>
      <c r="BC436" s="33">
        <f t="shared" ref="BC436" si="1175">SUM(T425:T436)</f>
        <v>1377895.523872793</v>
      </c>
      <c r="BD436" s="33">
        <f t="shared" ref="BD436" si="1176">SUM(U425:U436)</f>
        <v>1377895.523872793</v>
      </c>
      <c r="BE436" s="33">
        <f t="shared" ref="BE436" si="1177">SUM(V425:V436)</f>
        <v>309741.19</v>
      </c>
      <c r="BF436" s="50">
        <f t="shared" ref="BF436" si="1178">W436</f>
        <v>7.8896523189157505E-2</v>
      </c>
      <c r="BG436" s="2">
        <f t="shared" ref="BG436" si="1179">SUM(X425:X436)</f>
        <v>0</v>
      </c>
      <c r="BH436" s="2">
        <f t="shared" ref="BH436" si="1180">SUM(Y425:Y436)</f>
        <v>0</v>
      </c>
      <c r="BI436" s="2">
        <f t="shared" ref="BI436" si="1181">SUM(Z425:Z436)</f>
        <v>0</v>
      </c>
      <c r="BJ436" s="2">
        <f t="shared" ref="BJ436" si="1182">SUM(AA425:AA436)</f>
        <v>0</v>
      </c>
      <c r="BK436" s="2">
        <f t="shared" ref="BK436" si="1183">SUM(AB425:AB436)</f>
        <v>0</v>
      </c>
      <c r="BL436" s="2">
        <f t="shared" ref="BL436" si="1184">SUM(AC425:AC436)</f>
        <v>0</v>
      </c>
      <c r="BM436" s="2">
        <f t="shared" ref="BM436" si="1185">SUM(AD425:AD436)</f>
        <v>0</v>
      </c>
      <c r="BN436" s="2">
        <f t="shared" ref="BN436" si="1186">SUM(AE425:AE436)</f>
        <v>0</v>
      </c>
      <c r="BO436" s="2">
        <f t="shared" ref="BO436" si="1187">SUM(AF425:AF436)</f>
        <v>0</v>
      </c>
      <c r="BP436" s="2">
        <f t="shared" ref="BP436" si="1188">SUM(AG425:AG436)</f>
        <v>-9000</v>
      </c>
      <c r="BQ436" s="2">
        <f t="shared" ref="BQ436" si="1189">SUM(AH425:AH436)</f>
        <v>0</v>
      </c>
      <c r="BR436" s="2">
        <f t="shared" ref="BR436" si="1190">SUM(AI425:AI436)</f>
        <v>0</v>
      </c>
      <c r="BS436" s="2">
        <f t="shared" ref="BS436" si="1191">SUM(AJ425:AJ436)</f>
        <v>0</v>
      </c>
      <c r="BT436" s="2">
        <f t="shared" ref="BT436" si="1192">SUM(AK425:AK436)</f>
        <v>-7500</v>
      </c>
      <c r="BU436" s="2">
        <f t="shared" ref="BU436" si="1193">SUM(AL425:AL436)</f>
        <v>0</v>
      </c>
      <c r="BV436" s="2">
        <f t="shared" ref="BV436" si="1194">SUM(AM425:AM436)</f>
        <v>0</v>
      </c>
      <c r="BW436" s="2">
        <f t="shared" ref="BW436" si="1195">SUM(AN425:AN436)</f>
        <v>0</v>
      </c>
      <c r="BX436" s="2">
        <f t="shared" ref="BX436" si="1196">SUM(AO425:AO436)</f>
        <v>108711.16615146615</v>
      </c>
      <c r="BY436" s="2">
        <f t="shared" ref="BY436" si="1197">SUM(AP425:AP436)</f>
        <v>0</v>
      </c>
      <c r="BZ436" s="2">
        <f t="shared" ref="BZ436" si="1198">SUM(AQ425:AQ436)</f>
        <v>0</v>
      </c>
      <c r="CA436" s="2">
        <f t="shared" ref="CA436" si="1199">SUM(AR425:AR436)</f>
        <v>0</v>
      </c>
      <c r="CB436" s="2">
        <f t="shared" ref="CB436" si="1200">SUM(AS425:AS436)</f>
        <v>0</v>
      </c>
      <c r="CC436" s="2">
        <f t="shared" ref="CC436" si="1201">SUM(AT425:AT436)</f>
        <v>0</v>
      </c>
      <c r="CD436" s="2">
        <f t="shared" ref="CD436" si="1202">SUM(AU425:AU436)</f>
        <v>0</v>
      </c>
      <c r="CE436" s="2">
        <f t="shared" ref="CE436" si="1203">SUM(AV425:AV436)</f>
        <v>0</v>
      </c>
      <c r="CF436" s="2">
        <f t="shared" ref="CF436" si="1204">SUM(AW425:AW436)</f>
        <v>-16500</v>
      </c>
      <c r="CG436" s="2">
        <f t="shared" ref="CG436" si="1205">SUM(AX425:AX436)</f>
        <v>0</v>
      </c>
      <c r="CH436" s="2">
        <f t="shared" ref="CH436" si="1206">SUM(AY425:AY436)</f>
        <v>0</v>
      </c>
      <c r="CI436" s="2">
        <f t="shared" ref="CI436" si="1207">SUM(AZ425:AZ436)</f>
        <v>0</v>
      </c>
      <c r="CJ436" s="2">
        <f t="shared" ref="CJ436" si="1208">SUM(BA425:BA436)</f>
        <v>0</v>
      </c>
    </row>
    <row r="437" spans="1:88" x14ac:dyDescent="0.25">
      <c r="A437" t="str">
        <f>IF(C437&lt;='PV IN'!$O$22*12,C437,"")</f>
        <v/>
      </c>
      <c r="C437">
        <v>433</v>
      </c>
      <c r="D437" s="2">
        <f>BattCalcs!CK437+PVCalcs!AT437</f>
        <v>7933.8050324509659</v>
      </c>
      <c r="E437" s="20">
        <f>PVCalcs!AV437</f>
        <v>3058376.8411510857</v>
      </c>
      <c r="F437" s="20">
        <f>PVCalcs!AW437</f>
        <v>1364.2720518003853</v>
      </c>
      <c r="G437" s="20" t="e">
        <f>PVCalcs!AX437</f>
        <v>#N/A</v>
      </c>
      <c r="H437" s="20">
        <f>BattCalcs!CM437</f>
        <v>0</v>
      </c>
      <c r="I437" s="20">
        <f>BattCalcs!CN437</f>
        <v>0</v>
      </c>
      <c r="J437" s="20" t="e">
        <f>IF(C437&lt;='Batt IN'!H$43*12,BattCalcs!CO437,NA())</f>
        <v>#N/A</v>
      </c>
      <c r="L437" s="20">
        <f t="shared" si="1173"/>
        <v>1364.2720518003853</v>
      </c>
      <c r="M437" s="20" t="e">
        <f>G437+BattCalcs!CO437</f>
        <v>#N/A</v>
      </c>
      <c r="O437" s="10" t="str">
        <f>PVLoan!G465</f>
        <v>-</v>
      </c>
      <c r="P437" s="10" t="str">
        <f>PVLoan!J465</f>
        <v>-</v>
      </c>
      <c r="Q437" s="2" t="str">
        <f>BattLoan!G465</f>
        <v>-</v>
      </c>
      <c r="R437" s="10" t="str">
        <f>BattLoan!J465</f>
        <v>-</v>
      </c>
      <c r="T437" s="33">
        <f>IF('PV IN'!$F$4="Battery Only",0,PVCalcs!G437)</f>
        <v>114327.66195317671</v>
      </c>
      <c r="U437" s="33">
        <f>IF('PV IN'!$F$4="Battery Only",0,PVCalcs!M437)</f>
        <v>114327.66195317671</v>
      </c>
      <c r="V437" s="33">
        <f>PVCalcs!L437</f>
        <v>25811.765833333331</v>
      </c>
      <c r="W437" s="158">
        <f>PVCalcs!F437</f>
        <v>7.8896523189157505E-2</v>
      </c>
      <c r="X437" s="144">
        <f>IF('PV IN'!$F$4="Battery Only",0,PVCalcs!Y437+PVCalcs!Z437)</f>
        <v>0</v>
      </c>
      <c r="Y437" s="144">
        <f>IF('PV IN'!$F$4="PV Only",0,BattCalcs!AX437+BattCalcs!BC437)</f>
        <v>0</v>
      </c>
      <c r="Z437" s="144">
        <f>IF('PV IN'!$F$4="PV Only",0,BattCalcs!AY437+BattCalcs!BD437)</f>
        <v>0</v>
      </c>
      <c r="AA437" s="144">
        <f>IF('PV IN'!$F$4="PV Only",0,BattCalcs!AZ437+BattCalcs!BE437)</f>
        <v>0</v>
      </c>
      <c r="AB437" s="144">
        <f>IF('PV IN'!$F$4="PV Only",0,BattCalcs!BA437+BattCalcs!BF437)</f>
        <v>0</v>
      </c>
      <c r="AC437" s="144">
        <f>IF('PV IN'!$F$4="PV Only",0,BattCalcs!BB437+BattCalcs!BG437)</f>
        <v>0</v>
      </c>
      <c r="AD437" s="144">
        <f>IF('PV IN'!$F$4="PV Only",0,BattCalcs!BU437)</f>
        <v>0</v>
      </c>
      <c r="AE437" s="144">
        <f>IF('PV IN'!$F$4="PV Only",PVCalcs!W437+PVCalcs!AA437,IF('PV IN'!$F$4="Battery Only",BattCalcs!AV437+BattCalcs!BH437,PVCalcs!W437+PVCalcs!AA437+BattCalcs!AV437+BattCalcs!BH437))</f>
        <v>0</v>
      </c>
      <c r="AF437" s="10">
        <f>PVCalcs!AC437+BattCalcs!BJ437</f>
        <v>0</v>
      </c>
      <c r="AG437" s="144">
        <f>IF('PV IN'!$F$4="Battery Only",0,PVCalcs!AG437)</f>
        <v>-750</v>
      </c>
      <c r="AH437" s="144">
        <f>IF('PV IN'!$F$4="Battery Only",0,PVCalcs!AI437)</f>
        <v>0</v>
      </c>
      <c r="AI437" s="144">
        <f>IF('PV IN'!$F$4="PV Only",0,BattCalcs!BM437)</f>
        <v>0</v>
      </c>
      <c r="AJ437" s="144">
        <f>IF('PV IN'!$F$4="PV Only",0,SUM(BattCalcs!BO437:BT437))</f>
        <v>0</v>
      </c>
      <c r="AK437" s="144">
        <f>IF('PV IN'!$F$4="PV Only",PVCalcs!AH437,IF('PV IN'!$F$4="Battery Only",BattCalcs!BN437,PVCalcs!AH437+BattCalcs!BN437))</f>
        <v>-625</v>
      </c>
      <c r="AL437" s="144">
        <f>IF('PV IN'!$F$4="PV Only",0,BattCalcs!BV437)</f>
        <v>0</v>
      </c>
      <c r="AM437" s="144">
        <f>IF('PV IN'!$F$4="PV Only",0,SUM(BattCalcs!BW437:BX437))</f>
        <v>0</v>
      </c>
      <c r="AN437" s="144">
        <f>IF('PV IN'!$F$4="PV Only",0,BattCalcs!BY437)</f>
        <v>0</v>
      </c>
      <c r="AO437" s="144">
        <f>IF('PV IN'!$F$4="Battery Only",0,PVCalcs!U437)</f>
        <v>9020.0550324509659</v>
      </c>
      <c r="AP437" s="10">
        <f>IF('PV IN'!$F$4="PV Only",0,BattCalcs!AS437)</f>
        <v>0</v>
      </c>
      <c r="AQ437" s="10">
        <f>IF('PV IN'!$F$4="PV Only",0,BattCalcs!AT437)</f>
        <v>0</v>
      </c>
      <c r="AR437" s="10">
        <f>IF('PV IN'!$F$4="PV Only",0,BattCalcs!AU437)</f>
        <v>0</v>
      </c>
      <c r="AS437" s="144">
        <f>IF('PV IN'!$F$4="PV Only",PVCalcs!X437,IF('PV IN'!$F$4="Battery Only",BattCalcs!AW437,PVCalcs!X437+BattCalcs!AW437))</f>
        <v>0</v>
      </c>
      <c r="AT437" s="144">
        <f>IF('PV IN'!$F$4="Battery Only",0,-PVCalcs!AQ437*'PV IN'!$E$8)</f>
        <v>0</v>
      </c>
      <c r="AU437" s="144">
        <f>IF('PV IN'!$F$4="PV Only",0,-BattCalcs!CG437*'PV IN'!$E$8)</f>
        <v>0</v>
      </c>
      <c r="AV437" s="144">
        <f>IF('PV IN'!$F$4="PV Only",PVCalcs!Z437+PVCalcs!AA437,IF('PV IN'!$F$4="Battery Only",SUM(BattCalcs!BC437:BH437),PVCalcs!Z437+PVCalcs!AA437+SUM(BattCalcs!BC437:BH437)))</f>
        <v>0</v>
      </c>
      <c r="AW437" s="144">
        <f>IF('PV IN'!$F$4="PV Only",SUM(PVCalcs!AF437:AI437),IF('PV IN'!$F$4="Battery Only",SUM(BattCalcs!BL437:BY437),SUM(PVCalcs!AF437:AI437)+SUM(BattCalcs!BL437:BY437)))</f>
        <v>-1375</v>
      </c>
      <c r="AX437" s="144">
        <f>IF('PV IN'!$F$4="Battery Only",0,-PVLoan!F465)</f>
        <v>0</v>
      </c>
      <c r="AY437" s="144">
        <f>IF('PV IN'!$F$4="PV Only",0,-BattLoan!F465)</f>
        <v>0</v>
      </c>
      <c r="AZ437" s="144">
        <f>IF('PV IN'!$F$4="Battery Only",0,-PVLoan!H465)</f>
        <v>0</v>
      </c>
      <c r="BA437" s="144">
        <f>IF('PV IN'!$F$4="PV Only",0,-BattLoan!H465)</f>
        <v>0</v>
      </c>
    </row>
    <row r="438" spans="1:88" x14ac:dyDescent="0.25">
      <c r="A438" t="str">
        <f>IF(C438&lt;='PV IN'!$O$22*12,C438,"")</f>
        <v/>
      </c>
      <c r="C438">
        <v>434</v>
      </c>
      <c r="D438" s="2">
        <f>BattCalcs!CK438+PVCalcs!AT438</f>
        <v>7927.7916624293321</v>
      </c>
      <c r="E438" s="20">
        <f>PVCalcs!AV438</f>
        <v>3066304.6328135151</v>
      </c>
      <c r="F438" s="20">
        <f>PVCalcs!AW438</f>
        <v>1357.7065471517417</v>
      </c>
      <c r="G438" s="20" t="e">
        <f>PVCalcs!AX438</f>
        <v>#N/A</v>
      </c>
      <c r="H438" s="20">
        <f>BattCalcs!CM438</f>
        <v>0</v>
      </c>
      <c r="I438" s="20">
        <f>BattCalcs!CN438</f>
        <v>0</v>
      </c>
      <c r="J438" s="20" t="e">
        <f>IF(C438&lt;='Batt IN'!H$43*12,BattCalcs!CO438,NA())</f>
        <v>#N/A</v>
      </c>
      <c r="L438" s="20">
        <f t="shared" si="1173"/>
        <v>1357.7065471517417</v>
      </c>
      <c r="M438" s="20" t="e">
        <f>G438+BattCalcs!CO438</f>
        <v>#N/A</v>
      </c>
      <c r="O438" s="10" t="str">
        <f>PVLoan!G466</f>
        <v>-</v>
      </c>
      <c r="P438" s="10" t="str">
        <f>PVLoan!J466</f>
        <v>-</v>
      </c>
      <c r="Q438" s="2" t="str">
        <f>BattLoan!G466</f>
        <v>-</v>
      </c>
      <c r="R438" s="10" t="str">
        <f>BattLoan!J466</f>
        <v>-</v>
      </c>
      <c r="T438" s="33">
        <f>IF('PV IN'!$F$4="Battery Only",0,PVCalcs!G438)</f>
        <v>114251.44351187458</v>
      </c>
      <c r="U438" s="33">
        <f>IF('PV IN'!$F$4="Battery Only",0,PVCalcs!M438)</f>
        <v>114251.44351187458</v>
      </c>
      <c r="V438" s="33">
        <f>PVCalcs!L438</f>
        <v>25811.765833333331</v>
      </c>
      <c r="W438" s="158">
        <f>PVCalcs!F438</f>
        <v>7.8896523189157505E-2</v>
      </c>
      <c r="X438" s="144">
        <f>IF('PV IN'!$F$4="Battery Only",0,PVCalcs!Y438+PVCalcs!Z438)</f>
        <v>0</v>
      </c>
      <c r="Y438" s="144">
        <f>IF('PV IN'!$F$4="PV Only",0,BattCalcs!AX438+BattCalcs!BC438)</f>
        <v>0</v>
      </c>
      <c r="Z438" s="144">
        <f>IF('PV IN'!$F$4="PV Only",0,BattCalcs!AY438+BattCalcs!BD438)</f>
        <v>0</v>
      </c>
      <c r="AA438" s="144">
        <f>IF('PV IN'!$F$4="PV Only",0,BattCalcs!AZ438+BattCalcs!BE438)</f>
        <v>0</v>
      </c>
      <c r="AB438" s="144">
        <f>IF('PV IN'!$F$4="PV Only",0,BattCalcs!BA438+BattCalcs!BF438)</f>
        <v>0</v>
      </c>
      <c r="AC438" s="144">
        <f>IF('PV IN'!$F$4="PV Only",0,BattCalcs!BB438+BattCalcs!BG438)</f>
        <v>0</v>
      </c>
      <c r="AD438" s="144">
        <f>IF('PV IN'!$F$4="PV Only",0,BattCalcs!BU438)</f>
        <v>0</v>
      </c>
      <c r="AE438" s="144">
        <f>IF('PV IN'!$F$4="PV Only",PVCalcs!W438+PVCalcs!AA438,IF('PV IN'!$F$4="Battery Only",BattCalcs!AV438+BattCalcs!BH438,PVCalcs!W438+PVCalcs!AA438+BattCalcs!AV438+BattCalcs!BH438))</f>
        <v>0</v>
      </c>
      <c r="AF438" s="10">
        <f>PVCalcs!AC438+BattCalcs!BJ438</f>
        <v>0</v>
      </c>
      <c r="AG438" s="144">
        <f>IF('PV IN'!$F$4="Battery Only",0,PVCalcs!AG438)</f>
        <v>-750</v>
      </c>
      <c r="AH438" s="144">
        <f>IF('PV IN'!$F$4="Battery Only",0,PVCalcs!AI438)</f>
        <v>0</v>
      </c>
      <c r="AI438" s="144">
        <f>IF('PV IN'!$F$4="PV Only",0,BattCalcs!BM438)</f>
        <v>0</v>
      </c>
      <c r="AJ438" s="144">
        <f>IF('PV IN'!$F$4="PV Only",0,SUM(BattCalcs!BO438:BT438))</f>
        <v>0</v>
      </c>
      <c r="AK438" s="144">
        <f>IF('PV IN'!$F$4="PV Only",PVCalcs!AH438,IF('PV IN'!$F$4="Battery Only",BattCalcs!BN438,PVCalcs!AH438+BattCalcs!BN438))</f>
        <v>-625</v>
      </c>
      <c r="AL438" s="144">
        <f>IF('PV IN'!$F$4="PV Only",0,BattCalcs!BV438)</f>
        <v>0</v>
      </c>
      <c r="AM438" s="144">
        <f>IF('PV IN'!$F$4="PV Only",0,SUM(BattCalcs!BW438:BX438))</f>
        <v>0</v>
      </c>
      <c r="AN438" s="144">
        <f>IF('PV IN'!$F$4="PV Only",0,BattCalcs!BY438)</f>
        <v>0</v>
      </c>
      <c r="AO438" s="144">
        <f>IF('PV IN'!$F$4="Battery Only",0,PVCalcs!U438)</f>
        <v>9014.0416624293321</v>
      </c>
      <c r="AP438" s="10">
        <f>IF('PV IN'!$F$4="PV Only",0,BattCalcs!AS438)</f>
        <v>0</v>
      </c>
      <c r="AQ438" s="10">
        <f>IF('PV IN'!$F$4="PV Only",0,BattCalcs!AT438)</f>
        <v>0</v>
      </c>
      <c r="AR438" s="10">
        <f>IF('PV IN'!$F$4="PV Only",0,BattCalcs!AU438)</f>
        <v>0</v>
      </c>
      <c r="AS438" s="144">
        <f>IF('PV IN'!$F$4="PV Only",PVCalcs!X438,IF('PV IN'!$F$4="Battery Only",BattCalcs!AW438,PVCalcs!X438+BattCalcs!AW438))</f>
        <v>0</v>
      </c>
      <c r="AT438" s="144">
        <f>IF('PV IN'!$F$4="Battery Only",0,-PVCalcs!AQ438*'PV IN'!$E$8)</f>
        <v>0</v>
      </c>
      <c r="AU438" s="144">
        <f>IF('PV IN'!$F$4="PV Only",0,-BattCalcs!CG438*'PV IN'!$E$8)</f>
        <v>0</v>
      </c>
      <c r="AV438" s="144">
        <f>IF('PV IN'!$F$4="PV Only",PVCalcs!Z438+PVCalcs!AA438,IF('PV IN'!$F$4="Battery Only",SUM(BattCalcs!BC438:BH438),PVCalcs!Z438+PVCalcs!AA438+SUM(BattCalcs!BC438:BH438)))</f>
        <v>0</v>
      </c>
      <c r="AW438" s="144">
        <f>IF('PV IN'!$F$4="PV Only",SUM(PVCalcs!AF438:AI438),IF('PV IN'!$F$4="Battery Only",SUM(BattCalcs!BL438:BY438),SUM(PVCalcs!AF438:AI438)+SUM(BattCalcs!BL438:BY438)))</f>
        <v>-1375</v>
      </c>
      <c r="AX438" s="144">
        <f>IF('PV IN'!$F$4="Battery Only",0,-PVLoan!F466)</f>
        <v>0</v>
      </c>
      <c r="AY438" s="144">
        <f>IF('PV IN'!$F$4="PV Only",0,-BattLoan!F466)</f>
        <v>0</v>
      </c>
      <c r="AZ438" s="144">
        <f>IF('PV IN'!$F$4="Battery Only",0,-PVLoan!H466)</f>
        <v>0</v>
      </c>
      <c r="BA438" s="144">
        <f>IF('PV IN'!$F$4="PV Only",0,-BattLoan!H466)</f>
        <v>0</v>
      </c>
    </row>
    <row r="439" spans="1:88" x14ac:dyDescent="0.25">
      <c r="A439" t="str">
        <f>IF(C439&lt;='PV IN'!$O$22*12,C439,"")</f>
        <v/>
      </c>
      <c r="C439">
        <v>435</v>
      </c>
      <c r="D439" s="2">
        <f>BattCalcs!CK439+PVCalcs!AT439</f>
        <v>7921.7823013210455</v>
      </c>
      <c r="E439" s="20">
        <f>PVCalcs!AV439</f>
        <v>3074226.4151148363</v>
      </c>
      <c r="F439" s="20">
        <f>PVCalcs!AW439</f>
        <v>1351.1725451127049</v>
      </c>
      <c r="G439" s="20" t="e">
        <f>PVCalcs!AX439</f>
        <v>#N/A</v>
      </c>
      <c r="H439" s="20">
        <f>BattCalcs!CM439</f>
        <v>0</v>
      </c>
      <c r="I439" s="20">
        <f>BattCalcs!CN439</f>
        <v>0</v>
      </c>
      <c r="J439" s="20" t="e">
        <f>IF(C439&lt;='Batt IN'!H$43*12,BattCalcs!CO439,NA())</f>
        <v>#N/A</v>
      </c>
      <c r="L439" s="20">
        <f t="shared" si="1173"/>
        <v>1351.1725451127049</v>
      </c>
      <c r="M439" s="20" t="e">
        <f>G439+BattCalcs!CO439</f>
        <v>#N/A</v>
      </c>
      <c r="O439" s="10" t="str">
        <f>PVLoan!G467</f>
        <v>-</v>
      </c>
      <c r="P439" s="10" t="str">
        <f>PVLoan!J467</f>
        <v>-</v>
      </c>
      <c r="Q439" s="2" t="str">
        <f>BattLoan!G467</f>
        <v>-</v>
      </c>
      <c r="R439" s="10" t="str">
        <f>BattLoan!J467</f>
        <v>-</v>
      </c>
      <c r="T439" s="33">
        <f>IF('PV IN'!$F$4="Battery Only",0,PVCalcs!G439)</f>
        <v>114175.27588286666</v>
      </c>
      <c r="U439" s="33">
        <f>IF('PV IN'!$F$4="Battery Only",0,PVCalcs!M439)</f>
        <v>114175.27588286666</v>
      </c>
      <c r="V439" s="33">
        <f>PVCalcs!L439</f>
        <v>25811.765833333331</v>
      </c>
      <c r="W439" s="158">
        <f>PVCalcs!F439</f>
        <v>7.8896523189157505E-2</v>
      </c>
      <c r="X439" s="144">
        <f>IF('PV IN'!$F$4="Battery Only",0,PVCalcs!Y439+PVCalcs!Z439)</f>
        <v>0</v>
      </c>
      <c r="Y439" s="144">
        <f>IF('PV IN'!$F$4="PV Only",0,BattCalcs!AX439+BattCalcs!BC439)</f>
        <v>0</v>
      </c>
      <c r="Z439" s="144">
        <f>IF('PV IN'!$F$4="PV Only",0,BattCalcs!AY439+BattCalcs!BD439)</f>
        <v>0</v>
      </c>
      <c r="AA439" s="144">
        <f>IF('PV IN'!$F$4="PV Only",0,BattCalcs!AZ439+BattCalcs!BE439)</f>
        <v>0</v>
      </c>
      <c r="AB439" s="144">
        <f>IF('PV IN'!$F$4="PV Only",0,BattCalcs!BA439+BattCalcs!BF439)</f>
        <v>0</v>
      </c>
      <c r="AC439" s="144">
        <f>IF('PV IN'!$F$4="PV Only",0,BattCalcs!BB439+BattCalcs!BG439)</f>
        <v>0</v>
      </c>
      <c r="AD439" s="144">
        <f>IF('PV IN'!$F$4="PV Only",0,BattCalcs!BU439)</f>
        <v>0</v>
      </c>
      <c r="AE439" s="144">
        <f>IF('PV IN'!$F$4="PV Only",PVCalcs!W439+PVCalcs!AA439,IF('PV IN'!$F$4="Battery Only",BattCalcs!AV439+BattCalcs!BH439,PVCalcs!W439+PVCalcs!AA439+BattCalcs!AV439+BattCalcs!BH439))</f>
        <v>0</v>
      </c>
      <c r="AF439" s="10">
        <f>PVCalcs!AC439+BattCalcs!BJ439</f>
        <v>0</v>
      </c>
      <c r="AG439" s="144">
        <f>IF('PV IN'!$F$4="Battery Only",0,PVCalcs!AG439)</f>
        <v>-750</v>
      </c>
      <c r="AH439" s="144">
        <f>IF('PV IN'!$F$4="Battery Only",0,PVCalcs!AI439)</f>
        <v>0</v>
      </c>
      <c r="AI439" s="144">
        <f>IF('PV IN'!$F$4="PV Only",0,BattCalcs!BM439)</f>
        <v>0</v>
      </c>
      <c r="AJ439" s="144">
        <f>IF('PV IN'!$F$4="PV Only",0,SUM(BattCalcs!BO439:BT439))</f>
        <v>0</v>
      </c>
      <c r="AK439" s="144">
        <f>IF('PV IN'!$F$4="PV Only",PVCalcs!AH439,IF('PV IN'!$F$4="Battery Only",BattCalcs!BN439,PVCalcs!AH439+BattCalcs!BN439))</f>
        <v>-625</v>
      </c>
      <c r="AL439" s="144">
        <f>IF('PV IN'!$F$4="PV Only",0,BattCalcs!BV439)</f>
        <v>0</v>
      </c>
      <c r="AM439" s="144">
        <f>IF('PV IN'!$F$4="PV Only",0,SUM(BattCalcs!BW439:BX439))</f>
        <v>0</v>
      </c>
      <c r="AN439" s="144">
        <f>IF('PV IN'!$F$4="PV Only",0,BattCalcs!BY439)</f>
        <v>0</v>
      </c>
      <c r="AO439" s="144">
        <f>IF('PV IN'!$F$4="Battery Only",0,PVCalcs!U439)</f>
        <v>9008.0323013210455</v>
      </c>
      <c r="AP439" s="10">
        <f>IF('PV IN'!$F$4="PV Only",0,BattCalcs!AS439)</f>
        <v>0</v>
      </c>
      <c r="AQ439" s="10">
        <f>IF('PV IN'!$F$4="PV Only",0,BattCalcs!AT439)</f>
        <v>0</v>
      </c>
      <c r="AR439" s="10">
        <f>IF('PV IN'!$F$4="PV Only",0,BattCalcs!AU439)</f>
        <v>0</v>
      </c>
      <c r="AS439" s="144">
        <f>IF('PV IN'!$F$4="PV Only",PVCalcs!X439,IF('PV IN'!$F$4="Battery Only",BattCalcs!AW439,PVCalcs!X439+BattCalcs!AW439))</f>
        <v>0</v>
      </c>
      <c r="AT439" s="144">
        <f>IF('PV IN'!$F$4="Battery Only",0,-PVCalcs!AQ439*'PV IN'!$E$8)</f>
        <v>0</v>
      </c>
      <c r="AU439" s="144">
        <f>IF('PV IN'!$F$4="PV Only",0,-BattCalcs!CG439*'PV IN'!$E$8)</f>
        <v>0</v>
      </c>
      <c r="AV439" s="144">
        <f>IF('PV IN'!$F$4="PV Only",PVCalcs!Z439+PVCalcs!AA439,IF('PV IN'!$F$4="Battery Only",SUM(BattCalcs!BC439:BH439),PVCalcs!Z439+PVCalcs!AA439+SUM(BattCalcs!BC439:BH439)))</f>
        <v>0</v>
      </c>
      <c r="AW439" s="144">
        <f>IF('PV IN'!$F$4="PV Only",SUM(PVCalcs!AF439:AI439),IF('PV IN'!$F$4="Battery Only",SUM(BattCalcs!BL439:BY439),SUM(PVCalcs!AF439:AI439)+SUM(BattCalcs!BL439:BY439)))</f>
        <v>-1375</v>
      </c>
      <c r="AX439" s="144">
        <f>IF('PV IN'!$F$4="Battery Only",0,-PVLoan!F467)</f>
        <v>0</v>
      </c>
      <c r="AY439" s="144">
        <f>IF('PV IN'!$F$4="PV Only",0,-BattLoan!F467)</f>
        <v>0</v>
      </c>
      <c r="AZ439" s="144">
        <f>IF('PV IN'!$F$4="Battery Only",0,-PVLoan!H467)</f>
        <v>0</v>
      </c>
      <c r="BA439" s="144">
        <f>IF('PV IN'!$F$4="PV Only",0,-BattLoan!H467)</f>
        <v>0</v>
      </c>
    </row>
    <row r="440" spans="1:88" x14ac:dyDescent="0.25">
      <c r="A440" t="str">
        <f>IF(C440&lt;='PV IN'!$O$22*12,C440,"")</f>
        <v/>
      </c>
      <c r="C440">
        <v>436</v>
      </c>
      <c r="D440" s="2">
        <f>BattCalcs!CK440+PVCalcs!AT440</f>
        <v>7915.7769464534977</v>
      </c>
      <c r="E440" s="20">
        <f>PVCalcs!AV440</f>
        <v>3082142.1920612897</v>
      </c>
      <c r="F440" s="20">
        <f>PVCalcs!AW440</f>
        <v>1344.6698949001207</v>
      </c>
      <c r="G440" s="20" t="e">
        <f>PVCalcs!AX440</f>
        <v>#N/A</v>
      </c>
      <c r="H440" s="20">
        <f>BattCalcs!CM440</f>
        <v>0</v>
      </c>
      <c r="I440" s="20">
        <f>BattCalcs!CN440</f>
        <v>0</v>
      </c>
      <c r="J440" s="20" t="e">
        <f>IF(C440&lt;='Batt IN'!H$43*12,BattCalcs!CO440,NA())</f>
        <v>#N/A</v>
      </c>
      <c r="L440" s="20">
        <f t="shared" si="1173"/>
        <v>1344.6698949001207</v>
      </c>
      <c r="M440" s="20" t="e">
        <f>G440+BattCalcs!CO440</f>
        <v>#N/A</v>
      </c>
      <c r="O440" s="10" t="str">
        <f>PVLoan!G468</f>
        <v>-</v>
      </c>
      <c r="P440" s="10" t="str">
        <f>PVLoan!J468</f>
        <v>-</v>
      </c>
      <c r="Q440" s="2" t="str">
        <f>BattLoan!G468</f>
        <v>-</v>
      </c>
      <c r="R440" s="10" t="str">
        <f>BattLoan!J468</f>
        <v>-</v>
      </c>
      <c r="T440" s="33">
        <f>IF('PV IN'!$F$4="Battery Only",0,PVCalcs!G440)</f>
        <v>114099.15903227808</v>
      </c>
      <c r="U440" s="33">
        <f>IF('PV IN'!$F$4="Battery Only",0,PVCalcs!M440)</f>
        <v>114099.15903227808</v>
      </c>
      <c r="V440" s="33">
        <f>PVCalcs!L440</f>
        <v>25811.765833333331</v>
      </c>
      <c r="W440" s="158">
        <f>PVCalcs!F440</f>
        <v>7.8896523189157505E-2</v>
      </c>
      <c r="X440" s="144">
        <f>IF('PV IN'!$F$4="Battery Only",0,PVCalcs!Y440+PVCalcs!Z440)</f>
        <v>0</v>
      </c>
      <c r="Y440" s="144">
        <f>IF('PV IN'!$F$4="PV Only",0,BattCalcs!AX440+BattCalcs!BC440)</f>
        <v>0</v>
      </c>
      <c r="Z440" s="144">
        <f>IF('PV IN'!$F$4="PV Only",0,BattCalcs!AY440+BattCalcs!BD440)</f>
        <v>0</v>
      </c>
      <c r="AA440" s="144">
        <f>IF('PV IN'!$F$4="PV Only",0,BattCalcs!AZ440+BattCalcs!BE440)</f>
        <v>0</v>
      </c>
      <c r="AB440" s="144">
        <f>IF('PV IN'!$F$4="PV Only",0,BattCalcs!BA440+BattCalcs!BF440)</f>
        <v>0</v>
      </c>
      <c r="AC440" s="144">
        <f>IF('PV IN'!$F$4="PV Only",0,BattCalcs!BB440+BattCalcs!BG440)</f>
        <v>0</v>
      </c>
      <c r="AD440" s="144">
        <f>IF('PV IN'!$F$4="PV Only",0,BattCalcs!BU440)</f>
        <v>0</v>
      </c>
      <c r="AE440" s="144">
        <f>IF('PV IN'!$F$4="PV Only",PVCalcs!W440+PVCalcs!AA440,IF('PV IN'!$F$4="Battery Only",BattCalcs!AV440+BattCalcs!BH440,PVCalcs!W440+PVCalcs!AA440+BattCalcs!AV440+BattCalcs!BH440))</f>
        <v>0</v>
      </c>
      <c r="AF440" s="10">
        <f>PVCalcs!AC440+BattCalcs!BJ440</f>
        <v>0</v>
      </c>
      <c r="AG440" s="144">
        <f>IF('PV IN'!$F$4="Battery Only",0,PVCalcs!AG440)</f>
        <v>-750</v>
      </c>
      <c r="AH440" s="144">
        <f>IF('PV IN'!$F$4="Battery Only",0,PVCalcs!AI440)</f>
        <v>0</v>
      </c>
      <c r="AI440" s="144">
        <f>IF('PV IN'!$F$4="PV Only",0,BattCalcs!BM440)</f>
        <v>0</v>
      </c>
      <c r="AJ440" s="144">
        <f>IF('PV IN'!$F$4="PV Only",0,SUM(BattCalcs!BO440:BT440))</f>
        <v>0</v>
      </c>
      <c r="AK440" s="144">
        <f>IF('PV IN'!$F$4="PV Only",PVCalcs!AH440,IF('PV IN'!$F$4="Battery Only",BattCalcs!BN440,PVCalcs!AH440+BattCalcs!BN440))</f>
        <v>-625</v>
      </c>
      <c r="AL440" s="144">
        <f>IF('PV IN'!$F$4="PV Only",0,BattCalcs!BV440)</f>
        <v>0</v>
      </c>
      <c r="AM440" s="144">
        <f>IF('PV IN'!$F$4="PV Only",0,SUM(BattCalcs!BW440:BX440))</f>
        <v>0</v>
      </c>
      <c r="AN440" s="144">
        <f>IF('PV IN'!$F$4="PV Only",0,BattCalcs!BY440)</f>
        <v>0</v>
      </c>
      <c r="AO440" s="144">
        <f>IF('PV IN'!$F$4="Battery Only",0,PVCalcs!U440)</f>
        <v>9002.0269464534977</v>
      </c>
      <c r="AP440" s="10">
        <f>IF('PV IN'!$F$4="PV Only",0,BattCalcs!AS440)</f>
        <v>0</v>
      </c>
      <c r="AQ440" s="10">
        <f>IF('PV IN'!$F$4="PV Only",0,BattCalcs!AT440)</f>
        <v>0</v>
      </c>
      <c r="AR440" s="10">
        <f>IF('PV IN'!$F$4="PV Only",0,BattCalcs!AU440)</f>
        <v>0</v>
      </c>
      <c r="AS440" s="144">
        <f>IF('PV IN'!$F$4="PV Only",PVCalcs!X440,IF('PV IN'!$F$4="Battery Only",BattCalcs!AW440,PVCalcs!X440+BattCalcs!AW440))</f>
        <v>0</v>
      </c>
      <c r="AT440" s="144">
        <f>IF('PV IN'!$F$4="Battery Only",0,-PVCalcs!AQ440*'PV IN'!$E$8)</f>
        <v>0</v>
      </c>
      <c r="AU440" s="144">
        <f>IF('PV IN'!$F$4="PV Only",0,-BattCalcs!CG440*'PV IN'!$E$8)</f>
        <v>0</v>
      </c>
      <c r="AV440" s="144">
        <f>IF('PV IN'!$F$4="PV Only",PVCalcs!Z440+PVCalcs!AA440,IF('PV IN'!$F$4="Battery Only",SUM(BattCalcs!BC440:BH440),PVCalcs!Z440+PVCalcs!AA440+SUM(BattCalcs!BC440:BH440)))</f>
        <v>0</v>
      </c>
      <c r="AW440" s="144">
        <f>IF('PV IN'!$F$4="PV Only",SUM(PVCalcs!AF440:AI440),IF('PV IN'!$F$4="Battery Only",SUM(BattCalcs!BL440:BY440),SUM(PVCalcs!AF440:AI440)+SUM(BattCalcs!BL440:BY440)))</f>
        <v>-1375</v>
      </c>
      <c r="AX440" s="144">
        <f>IF('PV IN'!$F$4="Battery Only",0,-PVLoan!F468)</f>
        <v>0</v>
      </c>
      <c r="AY440" s="144">
        <f>IF('PV IN'!$F$4="PV Only",0,-BattLoan!F468)</f>
        <v>0</v>
      </c>
      <c r="AZ440" s="144">
        <f>IF('PV IN'!$F$4="Battery Only",0,-PVLoan!H468)</f>
        <v>0</v>
      </c>
      <c r="BA440" s="144">
        <f>IF('PV IN'!$F$4="PV Only",0,-BattLoan!H468)</f>
        <v>0</v>
      </c>
    </row>
    <row r="441" spans="1:88" x14ac:dyDescent="0.25">
      <c r="A441" t="str">
        <f>IF(C441&lt;='PV IN'!$O$22*12,C441,"")</f>
        <v/>
      </c>
      <c r="C441">
        <v>437</v>
      </c>
      <c r="D441" s="2">
        <f>BattCalcs!CK441+PVCalcs!AT441</f>
        <v>7909.7755951558611</v>
      </c>
      <c r="E441" s="20">
        <f>PVCalcs!AV441</f>
        <v>3090051.9676564457</v>
      </c>
      <c r="F441" s="20">
        <f>PVCalcs!AW441</f>
        <v>1338.1984464510485</v>
      </c>
      <c r="G441" s="20" t="e">
        <f>PVCalcs!AX441</f>
        <v>#N/A</v>
      </c>
      <c r="H441" s="20">
        <f>BattCalcs!CM441</f>
        <v>0</v>
      </c>
      <c r="I441" s="20">
        <f>BattCalcs!CN441</f>
        <v>0</v>
      </c>
      <c r="J441" s="20" t="e">
        <f>IF(C441&lt;='Batt IN'!H$43*12,BattCalcs!CO441,NA())</f>
        <v>#N/A</v>
      </c>
      <c r="L441" s="20">
        <f t="shared" si="1173"/>
        <v>1338.1984464510485</v>
      </c>
      <c r="M441" s="20" t="e">
        <f>G441+BattCalcs!CO441</f>
        <v>#N/A</v>
      </c>
      <c r="O441" s="10" t="str">
        <f>PVLoan!G469</f>
        <v>-</v>
      </c>
      <c r="P441" s="10" t="str">
        <f>PVLoan!J469</f>
        <v>-</v>
      </c>
      <c r="Q441" s="2" t="str">
        <f>BattLoan!G469</f>
        <v>-</v>
      </c>
      <c r="R441" s="10" t="str">
        <f>BattLoan!J469</f>
        <v>-</v>
      </c>
      <c r="T441" s="33">
        <f>IF('PV IN'!$F$4="Battery Only",0,PVCalcs!G441)</f>
        <v>114023.09292625655</v>
      </c>
      <c r="U441" s="33">
        <f>IF('PV IN'!$F$4="Battery Only",0,PVCalcs!M441)</f>
        <v>114023.09292625655</v>
      </c>
      <c r="V441" s="33">
        <f>PVCalcs!L441</f>
        <v>25811.765833333331</v>
      </c>
      <c r="W441" s="158">
        <f>PVCalcs!F441</f>
        <v>7.8896523189157505E-2</v>
      </c>
      <c r="X441" s="144">
        <f>IF('PV IN'!$F$4="Battery Only",0,PVCalcs!Y441+PVCalcs!Z441)</f>
        <v>0</v>
      </c>
      <c r="Y441" s="144">
        <f>IF('PV IN'!$F$4="PV Only",0,BattCalcs!AX441+BattCalcs!BC441)</f>
        <v>0</v>
      </c>
      <c r="Z441" s="144">
        <f>IF('PV IN'!$F$4="PV Only",0,BattCalcs!AY441+BattCalcs!BD441)</f>
        <v>0</v>
      </c>
      <c r="AA441" s="144">
        <f>IF('PV IN'!$F$4="PV Only",0,BattCalcs!AZ441+BattCalcs!BE441)</f>
        <v>0</v>
      </c>
      <c r="AB441" s="144">
        <f>IF('PV IN'!$F$4="PV Only",0,BattCalcs!BA441+BattCalcs!BF441)</f>
        <v>0</v>
      </c>
      <c r="AC441" s="144">
        <f>IF('PV IN'!$F$4="PV Only",0,BattCalcs!BB441+BattCalcs!BG441)</f>
        <v>0</v>
      </c>
      <c r="AD441" s="144">
        <f>IF('PV IN'!$F$4="PV Only",0,BattCalcs!BU441)</f>
        <v>0</v>
      </c>
      <c r="AE441" s="144">
        <f>IF('PV IN'!$F$4="PV Only",PVCalcs!W441+PVCalcs!AA441,IF('PV IN'!$F$4="Battery Only",BattCalcs!AV441+BattCalcs!BH441,PVCalcs!W441+PVCalcs!AA441+BattCalcs!AV441+BattCalcs!BH441))</f>
        <v>0</v>
      </c>
      <c r="AF441" s="10">
        <f>PVCalcs!AC441+BattCalcs!BJ441</f>
        <v>0</v>
      </c>
      <c r="AG441" s="144">
        <f>IF('PV IN'!$F$4="Battery Only",0,PVCalcs!AG441)</f>
        <v>-750</v>
      </c>
      <c r="AH441" s="144">
        <f>IF('PV IN'!$F$4="Battery Only",0,PVCalcs!AI441)</f>
        <v>0</v>
      </c>
      <c r="AI441" s="144">
        <f>IF('PV IN'!$F$4="PV Only",0,BattCalcs!BM441)</f>
        <v>0</v>
      </c>
      <c r="AJ441" s="144">
        <f>IF('PV IN'!$F$4="PV Only",0,SUM(BattCalcs!BO441:BT441))</f>
        <v>0</v>
      </c>
      <c r="AK441" s="144">
        <f>IF('PV IN'!$F$4="PV Only",PVCalcs!AH441,IF('PV IN'!$F$4="Battery Only",BattCalcs!BN441,PVCalcs!AH441+BattCalcs!BN441))</f>
        <v>-625</v>
      </c>
      <c r="AL441" s="144">
        <f>IF('PV IN'!$F$4="PV Only",0,BattCalcs!BV441)</f>
        <v>0</v>
      </c>
      <c r="AM441" s="144">
        <f>IF('PV IN'!$F$4="PV Only",0,SUM(BattCalcs!BW441:BX441))</f>
        <v>0</v>
      </c>
      <c r="AN441" s="144">
        <f>IF('PV IN'!$F$4="PV Only",0,BattCalcs!BY441)</f>
        <v>0</v>
      </c>
      <c r="AO441" s="144">
        <f>IF('PV IN'!$F$4="Battery Only",0,PVCalcs!U441)</f>
        <v>8996.0255951558611</v>
      </c>
      <c r="AP441" s="10">
        <f>IF('PV IN'!$F$4="PV Only",0,BattCalcs!AS441)</f>
        <v>0</v>
      </c>
      <c r="AQ441" s="10">
        <f>IF('PV IN'!$F$4="PV Only",0,BattCalcs!AT441)</f>
        <v>0</v>
      </c>
      <c r="AR441" s="10">
        <f>IF('PV IN'!$F$4="PV Only",0,BattCalcs!AU441)</f>
        <v>0</v>
      </c>
      <c r="AS441" s="144">
        <f>IF('PV IN'!$F$4="PV Only",PVCalcs!X441,IF('PV IN'!$F$4="Battery Only",BattCalcs!AW441,PVCalcs!X441+BattCalcs!AW441))</f>
        <v>0</v>
      </c>
      <c r="AT441" s="144">
        <f>IF('PV IN'!$F$4="Battery Only",0,-PVCalcs!AQ441*'PV IN'!$E$8)</f>
        <v>0</v>
      </c>
      <c r="AU441" s="144">
        <f>IF('PV IN'!$F$4="PV Only",0,-BattCalcs!CG441*'PV IN'!$E$8)</f>
        <v>0</v>
      </c>
      <c r="AV441" s="144">
        <f>IF('PV IN'!$F$4="PV Only",PVCalcs!Z441+PVCalcs!AA441,IF('PV IN'!$F$4="Battery Only",SUM(BattCalcs!BC441:BH441),PVCalcs!Z441+PVCalcs!AA441+SUM(BattCalcs!BC441:BH441)))</f>
        <v>0</v>
      </c>
      <c r="AW441" s="144">
        <f>IF('PV IN'!$F$4="PV Only",SUM(PVCalcs!AF441:AI441),IF('PV IN'!$F$4="Battery Only",SUM(BattCalcs!BL441:BY441),SUM(PVCalcs!AF441:AI441)+SUM(BattCalcs!BL441:BY441)))</f>
        <v>-1375</v>
      </c>
      <c r="AX441" s="144">
        <f>IF('PV IN'!$F$4="Battery Only",0,-PVLoan!F469)</f>
        <v>0</v>
      </c>
      <c r="AY441" s="144">
        <f>IF('PV IN'!$F$4="PV Only",0,-BattLoan!F469)</f>
        <v>0</v>
      </c>
      <c r="AZ441" s="144">
        <f>IF('PV IN'!$F$4="Battery Only",0,-PVLoan!H469)</f>
        <v>0</v>
      </c>
      <c r="BA441" s="144">
        <f>IF('PV IN'!$F$4="PV Only",0,-BattLoan!H469)</f>
        <v>0</v>
      </c>
    </row>
    <row r="442" spans="1:88" x14ac:dyDescent="0.25">
      <c r="A442" t="str">
        <f>IF(C442&lt;='PV IN'!$O$22*12,C442,"")</f>
        <v/>
      </c>
      <c r="C442">
        <v>438</v>
      </c>
      <c r="D442" s="2">
        <f>BattCalcs!CK442+PVCalcs!AT442</f>
        <v>7903.7782447590889</v>
      </c>
      <c r="E442" s="20">
        <f>PVCalcs!AV442</f>
        <v>3097955.7459012046</v>
      </c>
      <c r="F442" s="20">
        <f>PVCalcs!AW442</f>
        <v>1331.7580504193313</v>
      </c>
      <c r="G442" s="20" t="e">
        <f>PVCalcs!AX442</f>
        <v>#N/A</v>
      </c>
      <c r="H442" s="20">
        <f>BattCalcs!CM442</f>
        <v>0</v>
      </c>
      <c r="I442" s="20">
        <f>BattCalcs!CN442</f>
        <v>0</v>
      </c>
      <c r="J442" s="20" t="e">
        <f>IF(C442&lt;='Batt IN'!H$43*12,BattCalcs!CO442,NA())</f>
        <v>#N/A</v>
      </c>
      <c r="L442" s="20">
        <f t="shared" si="1173"/>
        <v>1331.7580504193313</v>
      </c>
      <c r="M442" s="20" t="e">
        <f>G442+BattCalcs!CO442</f>
        <v>#N/A</v>
      </c>
      <c r="O442" s="10" t="str">
        <f>PVLoan!G470</f>
        <v>-</v>
      </c>
      <c r="P442" s="10" t="str">
        <f>PVLoan!J470</f>
        <v>-</v>
      </c>
      <c r="Q442" s="2" t="str">
        <f>BattLoan!G470</f>
        <v>-</v>
      </c>
      <c r="R442" s="10" t="str">
        <f>BattLoan!J470</f>
        <v>-</v>
      </c>
      <c r="T442" s="33">
        <f>IF('PV IN'!$F$4="Battery Only",0,PVCalcs!G442)</f>
        <v>113947.07753097237</v>
      </c>
      <c r="U442" s="33">
        <f>IF('PV IN'!$F$4="Battery Only",0,PVCalcs!M442)</f>
        <v>113947.07753097237</v>
      </c>
      <c r="V442" s="33">
        <f>PVCalcs!L442</f>
        <v>25811.765833333331</v>
      </c>
      <c r="W442" s="158">
        <f>PVCalcs!F442</f>
        <v>7.8896523189157505E-2</v>
      </c>
      <c r="X442" s="144">
        <f>IF('PV IN'!$F$4="Battery Only",0,PVCalcs!Y442+PVCalcs!Z442)</f>
        <v>0</v>
      </c>
      <c r="Y442" s="144">
        <f>IF('PV IN'!$F$4="PV Only",0,BattCalcs!AX442+BattCalcs!BC442)</f>
        <v>0</v>
      </c>
      <c r="Z442" s="144">
        <f>IF('PV IN'!$F$4="PV Only",0,BattCalcs!AY442+BattCalcs!BD442)</f>
        <v>0</v>
      </c>
      <c r="AA442" s="144">
        <f>IF('PV IN'!$F$4="PV Only",0,BattCalcs!AZ442+BattCalcs!BE442)</f>
        <v>0</v>
      </c>
      <c r="AB442" s="144">
        <f>IF('PV IN'!$F$4="PV Only",0,BattCalcs!BA442+BattCalcs!BF442)</f>
        <v>0</v>
      </c>
      <c r="AC442" s="144">
        <f>IF('PV IN'!$F$4="PV Only",0,BattCalcs!BB442+BattCalcs!BG442)</f>
        <v>0</v>
      </c>
      <c r="AD442" s="144">
        <f>IF('PV IN'!$F$4="PV Only",0,BattCalcs!BU442)</f>
        <v>0</v>
      </c>
      <c r="AE442" s="144">
        <f>IF('PV IN'!$F$4="PV Only",PVCalcs!W442+PVCalcs!AA442,IF('PV IN'!$F$4="Battery Only",BattCalcs!AV442+BattCalcs!BH442,PVCalcs!W442+PVCalcs!AA442+BattCalcs!AV442+BattCalcs!BH442))</f>
        <v>0</v>
      </c>
      <c r="AF442" s="10">
        <f>PVCalcs!AC442+BattCalcs!BJ442</f>
        <v>0</v>
      </c>
      <c r="AG442" s="144">
        <f>IF('PV IN'!$F$4="Battery Only",0,PVCalcs!AG442)</f>
        <v>-750</v>
      </c>
      <c r="AH442" s="144">
        <f>IF('PV IN'!$F$4="Battery Only",0,PVCalcs!AI442)</f>
        <v>0</v>
      </c>
      <c r="AI442" s="144">
        <f>IF('PV IN'!$F$4="PV Only",0,BattCalcs!BM442)</f>
        <v>0</v>
      </c>
      <c r="AJ442" s="144">
        <f>IF('PV IN'!$F$4="PV Only",0,SUM(BattCalcs!BO442:BT442))</f>
        <v>0</v>
      </c>
      <c r="AK442" s="144">
        <f>IF('PV IN'!$F$4="PV Only",PVCalcs!AH442,IF('PV IN'!$F$4="Battery Only",BattCalcs!BN442,PVCalcs!AH442+BattCalcs!BN442))</f>
        <v>-625</v>
      </c>
      <c r="AL442" s="144">
        <f>IF('PV IN'!$F$4="PV Only",0,BattCalcs!BV442)</f>
        <v>0</v>
      </c>
      <c r="AM442" s="144">
        <f>IF('PV IN'!$F$4="PV Only",0,SUM(BattCalcs!BW442:BX442))</f>
        <v>0</v>
      </c>
      <c r="AN442" s="144">
        <f>IF('PV IN'!$F$4="PV Only",0,BattCalcs!BY442)</f>
        <v>0</v>
      </c>
      <c r="AO442" s="144">
        <f>IF('PV IN'!$F$4="Battery Only",0,PVCalcs!U442)</f>
        <v>8990.0282447590889</v>
      </c>
      <c r="AP442" s="10">
        <f>IF('PV IN'!$F$4="PV Only",0,BattCalcs!AS442)</f>
        <v>0</v>
      </c>
      <c r="AQ442" s="10">
        <f>IF('PV IN'!$F$4="PV Only",0,BattCalcs!AT442)</f>
        <v>0</v>
      </c>
      <c r="AR442" s="10">
        <f>IF('PV IN'!$F$4="PV Only",0,BattCalcs!AU442)</f>
        <v>0</v>
      </c>
      <c r="AS442" s="144">
        <f>IF('PV IN'!$F$4="PV Only",PVCalcs!X442,IF('PV IN'!$F$4="Battery Only",BattCalcs!AW442,PVCalcs!X442+BattCalcs!AW442))</f>
        <v>0</v>
      </c>
      <c r="AT442" s="144">
        <f>IF('PV IN'!$F$4="Battery Only",0,-PVCalcs!AQ442*'PV IN'!$E$8)</f>
        <v>0</v>
      </c>
      <c r="AU442" s="144">
        <f>IF('PV IN'!$F$4="PV Only",0,-BattCalcs!CG442*'PV IN'!$E$8)</f>
        <v>0</v>
      </c>
      <c r="AV442" s="144">
        <f>IF('PV IN'!$F$4="PV Only",PVCalcs!Z442+PVCalcs!AA442,IF('PV IN'!$F$4="Battery Only",SUM(BattCalcs!BC442:BH442),PVCalcs!Z442+PVCalcs!AA442+SUM(BattCalcs!BC442:BH442)))</f>
        <v>0</v>
      </c>
      <c r="AW442" s="144">
        <f>IF('PV IN'!$F$4="PV Only",SUM(PVCalcs!AF442:AI442),IF('PV IN'!$F$4="Battery Only",SUM(BattCalcs!BL442:BY442),SUM(PVCalcs!AF442:AI442)+SUM(BattCalcs!BL442:BY442)))</f>
        <v>-1375</v>
      </c>
      <c r="AX442" s="144">
        <f>IF('PV IN'!$F$4="Battery Only",0,-PVLoan!F470)</f>
        <v>0</v>
      </c>
      <c r="AY442" s="144">
        <f>IF('PV IN'!$F$4="PV Only",0,-BattLoan!F470)</f>
        <v>0</v>
      </c>
      <c r="AZ442" s="144">
        <f>IF('PV IN'!$F$4="Battery Only",0,-PVLoan!H470)</f>
        <v>0</v>
      </c>
      <c r="BA442" s="144">
        <f>IF('PV IN'!$F$4="PV Only",0,-BattLoan!H470)</f>
        <v>0</v>
      </c>
    </row>
    <row r="443" spans="1:88" x14ac:dyDescent="0.25">
      <c r="A443" t="str">
        <f>IF(C443&lt;='PV IN'!$O$22*12,C443,"")</f>
        <v/>
      </c>
      <c r="C443">
        <v>439</v>
      </c>
      <c r="D443" s="2">
        <f>BattCalcs!CK443+PVCalcs!AT443</f>
        <v>7897.784892595917</v>
      </c>
      <c r="E443" s="20">
        <f>PVCalcs!AV443</f>
        <v>3105853.5307938005</v>
      </c>
      <c r="F443" s="20">
        <f>PVCalcs!AW443</f>
        <v>1325.3485581721766</v>
      </c>
      <c r="G443" s="20" t="e">
        <f>PVCalcs!AX443</f>
        <v>#N/A</v>
      </c>
      <c r="H443" s="20">
        <f>BattCalcs!CM443</f>
        <v>0</v>
      </c>
      <c r="I443" s="20">
        <f>BattCalcs!CN443</f>
        <v>0</v>
      </c>
      <c r="J443" s="20" t="e">
        <f>IF(C443&lt;='Batt IN'!H$43*12,BattCalcs!CO443,NA())</f>
        <v>#N/A</v>
      </c>
      <c r="L443" s="20">
        <f t="shared" si="1173"/>
        <v>1325.3485581721766</v>
      </c>
      <c r="M443" s="20" t="e">
        <f>G443+BattCalcs!CO443</f>
        <v>#N/A</v>
      </c>
      <c r="O443" s="10" t="str">
        <f>PVLoan!G471</f>
        <v>-</v>
      </c>
      <c r="P443" s="10" t="str">
        <f>PVLoan!J471</f>
        <v>-</v>
      </c>
      <c r="Q443" s="2" t="str">
        <f>BattLoan!G471</f>
        <v>-</v>
      </c>
      <c r="R443" s="10" t="str">
        <f>BattLoan!J471</f>
        <v>-</v>
      </c>
      <c r="T443" s="33">
        <f>IF('PV IN'!$F$4="Battery Only",0,PVCalcs!G443)</f>
        <v>113871.11281261839</v>
      </c>
      <c r="U443" s="33">
        <f>IF('PV IN'!$F$4="Battery Only",0,PVCalcs!M443)</f>
        <v>113871.11281261839</v>
      </c>
      <c r="V443" s="33">
        <f>PVCalcs!L443</f>
        <v>25811.765833333331</v>
      </c>
      <c r="W443" s="158">
        <f>PVCalcs!F443</f>
        <v>7.8896523189157505E-2</v>
      </c>
      <c r="X443" s="144">
        <f>IF('PV IN'!$F$4="Battery Only",0,PVCalcs!Y443+PVCalcs!Z443)</f>
        <v>0</v>
      </c>
      <c r="Y443" s="144">
        <f>IF('PV IN'!$F$4="PV Only",0,BattCalcs!AX443+BattCalcs!BC443)</f>
        <v>0</v>
      </c>
      <c r="Z443" s="144">
        <f>IF('PV IN'!$F$4="PV Only",0,BattCalcs!AY443+BattCalcs!BD443)</f>
        <v>0</v>
      </c>
      <c r="AA443" s="144">
        <f>IF('PV IN'!$F$4="PV Only",0,BattCalcs!AZ443+BattCalcs!BE443)</f>
        <v>0</v>
      </c>
      <c r="AB443" s="144">
        <f>IF('PV IN'!$F$4="PV Only",0,BattCalcs!BA443+BattCalcs!BF443)</f>
        <v>0</v>
      </c>
      <c r="AC443" s="144">
        <f>IF('PV IN'!$F$4="PV Only",0,BattCalcs!BB443+BattCalcs!BG443)</f>
        <v>0</v>
      </c>
      <c r="AD443" s="144">
        <f>IF('PV IN'!$F$4="PV Only",0,BattCalcs!BU443)</f>
        <v>0</v>
      </c>
      <c r="AE443" s="144">
        <f>IF('PV IN'!$F$4="PV Only",PVCalcs!W443+PVCalcs!AA443,IF('PV IN'!$F$4="Battery Only",BattCalcs!AV443+BattCalcs!BH443,PVCalcs!W443+PVCalcs!AA443+BattCalcs!AV443+BattCalcs!BH443))</f>
        <v>0</v>
      </c>
      <c r="AF443" s="10">
        <f>PVCalcs!AC443+BattCalcs!BJ443</f>
        <v>0</v>
      </c>
      <c r="AG443" s="144">
        <f>IF('PV IN'!$F$4="Battery Only",0,PVCalcs!AG443)</f>
        <v>-750</v>
      </c>
      <c r="AH443" s="144">
        <f>IF('PV IN'!$F$4="Battery Only",0,PVCalcs!AI443)</f>
        <v>0</v>
      </c>
      <c r="AI443" s="144">
        <f>IF('PV IN'!$F$4="PV Only",0,BattCalcs!BM443)</f>
        <v>0</v>
      </c>
      <c r="AJ443" s="144">
        <f>IF('PV IN'!$F$4="PV Only",0,SUM(BattCalcs!BO443:BT443))</f>
        <v>0</v>
      </c>
      <c r="AK443" s="144">
        <f>IF('PV IN'!$F$4="PV Only",PVCalcs!AH443,IF('PV IN'!$F$4="Battery Only",BattCalcs!BN443,PVCalcs!AH443+BattCalcs!BN443))</f>
        <v>-625</v>
      </c>
      <c r="AL443" s="144">
        <f>IF('PV IN'!$F$4="PV Only",0,BattCalcs!BV443)</f>
        <v>0</v>
      </c>
      <c r="AM443" s="144">
        <f>IF('PV IN'!$F$4="PV Only",0,SUM(BattCalcs!BW443:BX443))</f>
        <v>0</v>
      </c>
      <c r="AN443" s="144">
        <f>IF('PV IN'!$F$4="PV Only",0,BattCalcs!BY443)</f>
        <v>0</v>
      </c>
      <c r="AO443" s="144">
        <f>IF('PV IN'!$F$4="Battery Only",0,PVCalcs!U443)</f>
        <v>8984.034892595917</v>
      </c>
      <c r="AP443" s="10">
        <f>IF('PV IN'!$F$4="PV Only",0,BattCalcs!AS443)</f>
        <v>0</v>
      </c>
      <c r="AQ443" s="10">
        <f>IF('PV IN'!$F$4="PV Only",0,BattCalcs!AT443)</f>
        <v>0</v>
      </c>
      <c r="AR443" s="10">
        <f>IF('PV IN'!$F$4="PV Only",0,BattCalcs!AU443)</f>
        <v>0</v>
      </c>
      <c r="AS443" s="144">
        <f>IF('PV IN'!$F$4="PV Only",PVCalcs!X443,IF('PV IN'!$F$4="Battery Only",BattCalcs!AW443,PVCalcs!X443+BattCalcs!AW443))</f>
        <v>0</v>
      </c>
      <c r="AT443" s="144">
        <f>IF('PV IN'!$F$4="Battery Only",0,-PVCalcs!AQ443*'PV IN'!$E$8)</f>
        <v>0</v>
      </c>
      <c r="AU443" s="144">
        <f>IF('PV IN'!$F$4="PV Only",0,-BattCalcs!CG443*'PV IN'!$E$8)</f>
        <v>0</v>
      </c>
      <c r="AV443" s="144">
        <f>IF('PV IN'!$F$4="PV Only",PVCalcs!Z443+PVCalcs!AA443,IF('PV IN'!$F$4="Battery Only",SUM(BattCalcs!BC443:BH443),PVCalcs!Z443+PVCalcs!AA443+SUM(BattCalcs!BC443:BH443)))</f>
        <v>0</v>
      </c>
      <c r="AW443" s="144">
        <f>IF('PV IN'!$F$4="PV Only",SUM(PVCalcs!AF443:AI443),IF('PV IN'!$F$4="Battery Only",SUM(BattCalcs!BL443:BY443),SUM(PVCalcs!AF443:AI443)+SUM(BattCalcs!BL443:BY443)))</f>
        <v>-1375</v>
      </c>
      <c r="AX443" s="144">
        <f>IF('PV IN'!$F$4="Battery Only",0,-PVLoan!F471)</f>
        <v>0</v>
      </c>
      <c r="AY443" s="144">
        <f>IF('PV IN'!$F$4="PV Only",0,-BattLoan!F471)</f>
        <v>0</v>
      </c>
      <c r="AZ443" s="144">
        <f>IF('PV IN'!$F$4="Battery Only",0,-PVLoan!H471)</f>
        <v>0</v>
      </c>
      <c r="BA443" s="144">
        <f>IF('PV IN'!$F$4="PV Only",0,-BattLoan!H471)</f>
        <v>0</v>
      </c>
    </row>
    <row r="444" spans="1:88" x14ac:dyDescent="0.25">
      <c r="A444" t="str">
        <f>IF(C444&lt;='PV IN'!$O$22*12,C444,"")</f>
        <v/>
      </c>
      <c r="C444">
        <v>440</v>
      </c>
      <c r="D444" s="2">
        <f>BattCalcs!CK444+PVCalcs!AT444</f>
        <v>7891.7955360008546</v>
      </c>
      <c r="E444" s="20">
        <f>PVCalcs!AV444</f>
        <v>3113745.3263298012</v>
      </c>
      <c r="F444" s="20">
        <f>PVCalcs!AW444</f>
        <v>1318.9698217867522</v>
      </c>
      <c r="G444" s="20" t="e">
        <f>PVCalcs!AX444</f>
        <v>#N/A</v>
      </c>
      <c r="H444" s="20">
        <f>BattCalcs!CM444</f>
        <v>0</v>
      </c>
      <c r="I444" s="20">
        <f>BattCalcs!CN444</f>
        <v>0</v>
      </c>
      <c r="J444" s="20" t="e">
        <f>IF(C444&lt;='Batt IN'!H$43*12,BattCalcs!CO444,NA())</f>
        <v>#N/A</v>
      </c>
      <c r="L444" s="20">
        <f t="shared" si="1173"/>
        <v>1318.9698217867522</v>
      </c>
      <c r="M444" s="20" t="e">
        <f>G444+BattCalcs!CO444</f>
        <v>#N/A</v>
      </c>
      <c r="O444" s="10" t="str">
        <f>PVLoan!G472</f>
        <v>-</v>
      </c>
      <c r="P444" s="10" t="str">
        <f>PVLoan!J472</f>
        <v>-</v>
      </c>
      <c r="Q444" s="2" t="str">
        <f>BattLoan!G472</f>
        <v>-</v>
      </c>
      <c r="R444" s="10" t="str">
        <f>BattLoan!J472</f>
        <v>-</v>
      </c>
      <c r="T444" s="33">
        <f>IF('PV IN'!$F$4="Battery Only",0,PVCalcs!G444)</f>
        <v>113795.19873741</v>
      </c>
      <c r="U444" s="33">
        <f>IF('PV IN'!$F$4="Battery Only",0,PVCalcs!M444)</f>
        <v>113795.19873741</v>
      </c>
      <c r="V444" s="33">
        <f>PVCalcs!L444</f>
        <v>25811.765833333331</v>
      </c>
      <c r="W444" s="158">
        <f>PVCalcs!F444</f>
        <v>7.8896523189157505E-2</v>
      </c>
      <c r="X444" s="144">
        <f>IF('PV IN'!$F$4="Battery Only",0,PVCalcs!Y444+PVCalcs!Z444)</f>
        <v>0</v>
      </c>
      <c r="Y444" s="144">
        <f>IF('PV IN'!$F$4="PV Only",0,BattCalcs!AX444+BattCalcs!BC444)</f>
        <v>0</v>
      </c>
      <c r="Z444" s="144">
        <f>IF('PV IN'!$F$4="PV Only",0,BattCalcs!AY444+BattCalcs!BD444)</f>
        <v>0</v>
      </c>
      <c r="AA444" s="144">
        <f>IF('PV IN'!$F$4="PV Only",0,BattCalcs!AZ444+BattCalcs!BE444)</f>
        <v>0</v>
      </c>
      <c r="AB444" s="144">
        <f>IF('PV IN'!$F$4="PV Only",0,BattCalcs!BA444+BattCalcs!BF444)</f>
        <v>0</v>
      </c>
      <c r="AC444" s="144">
        <f>IF('PV IN'!$F$4="PV Only",0,BattCalcs!BB444+BattCalcs!BG444)</f>
        <v>0</v>
      </c>
      <c r="AD444" s="144">
        <f>IF('PV IN'!$F$4="PV Only",0,BattCalcs!BU444)</f>
        <v>0</v>
      </c>
      <c r="AE444" s="144">
        <f>IF('PV IN'!$F$4="PV Only",PVCalcs!W444+PVCalcs!AA444,IF('PV IN'!$F$4="Battery Only",BattCalcs!AV444+BattCalcs!BH444,PVCalcs!W444+PVCalcs!AA444+BattCalcs!AV444+BattCalcs!BH444))</f>
        <v>0</v>
      </c>
      <c r="AF444" s="10">
        <f>PVCalcs!AC444+BattCalcs!BJ444</f>
        <v>0</v>
      </c>
      <c r="AG444" s="144">
        <f>IF('PV IN'!$F$4="Battery Only",0,PVCalcs!AG444)</f>
        <v>-750</v>
      </c>
      <c r="AH444" s="144">
        <f>IF('PV IN'!$F$4="Battery Only",0,PVCalcs!AI444)</f>
        <v>0</v>
      </c>
      <c r="AI444" s="144">
        <f>IF('PV IN'!$F$4="PV Only",0,BattCalcs!BM444)</f>
        <v>0</v>
      </c>
      <c r="AJ444" s="144">
        <f>IF('PV IN'!$F$4="PV Only",0,SUM(BattCalcs!BO444:BT444))</f>
        <v>0</v>
      </c>
      <c r="AK444" s="144">
        <f>IF('PV IN'!$F$4="PV Only",PVCalcs!AH444,IF('PV IN'!$F$4="Battery Only",BattCalcs!BN444,PVCalcs!AH444+BattCalcs!BN444))</f>
        <v>-625</v>
      </c>
      <c r="AL444" s="144">
        <f>IF('PV IN'!$F$4="PV Only",0,BattCalcs!BV444)</f>
        <v>0</v>
      </c>
      <c r="AM444" s="144">
        <f>IF('PV IN'!$F$4="PV Only",0,SUM(BattCalcs!BW444:BX444))</f>
        <v>0</v>
      </c>
      <c r="AN444" s="144">
        <f>IF('PV IN'!$F$4="PV Only",0,BattCalcs!BY444)</f>
        <v>0</v>
      </c>
      <c r="AO444" s="144">
        <f>IF('PV IN'!$F$4="Battery Only",0,PVCalcs!U444)</f>
        <v>8978.0455360008546</v>
      </c>
      <c r="AP444" s="10">
        <f>IF('PV IN'!$F$4="PV Only",0,BattCalcs!AS444)</f>
        <v>0</v>
      </c>
      <c r="AQ444" s="10">
        <f>IF('PV IN'!$F$4="PV Only",0,BattCalcs!AT444)</f>
        <v>0</v>
      </c>
      <c r="AR444" s="10">
        <f>IF('PV IN'!$F$4="PV Only",0,BattCalcs!AU444)</f>
        <v>0</v>
      </c>
      <c r="AS444" s="144">
        <f>IF('PV IN'!$F$4="PV Only",PVCalcs!X444,IF('PV IN'!$F$4="Battery Only",BattCalcs!AW444,PVCalcs!X444+BattCalcs!AW444))</f>
        <v>0</v>
      </c>
      <c r="AT444" s="144">
        <f>IF('PV IN'!$F$4="Battery Only",0,-PVCalcs!AQ444*'PV IN'!$E$8)</f>
        <v>0</v>
      </c>
      <c r="AU444" s="144">
        <f>IF('PV IN'!$F$4="PV Only",0,-BattCalcs!CG444*'PV IN'!$E$8)</f>
        <v>0</v>
      </c>
      <c r="AV444" s="144">
        <f>IF('PV IN'!$F$4="PV Only",PVCalcs!Z444+PVCalcs!AA444,IF('PV IN'!$F$4="Battery Only",SUM(BattCalcs!BC444:BH444),PVCalcs!Z444+PVCalcs!AA444+SUM(BattCalcs!BC444:BH444)))</f>
        <v>0</v>
      </c>
      <c r="AW444" s="144">
        <f>IF('PV IN'!$F$4="PV Only",SUM(PVCalcs!AF444:AI444),IF('PV IN'!$F$4="Battery Only",SUM(BattCalcs!BL444:BY444),SUM(PVCalcs!AF444:AI444)+SUM(BattCalcs!BL444:BY444)))</f>
        <v>-1375</v>
      </c>
      <c r="AX444" s="144">
        <f>IF('PV IN'!$F$4="Battery Only",0,-PVLoan!F472)</f>
        <v>0</v>
      </c>
      <c r="AY444" s="144">
        <f>IF('PV IN'!$F$4="PV Only",0,-BattLoan!F472)</f>
        <v>0</v>
      </c>
      <c r="AZ444" s="144">
        <f>IF('PV IN'!$F$4="Battery Only",0,-PVLoan!H472)</f>
        <v>0</v>
      </c>
      <c r="BA444" s="144">
        <f>IF('PV IN'!$F$4="PV Only",0,-BattLoan!H472)</f>
        <v>0</v>
      </c>
    </row>
    <row r="445" spans="1:88" x14ac:dyDescent="0.25">
      <c r="A445" t="str">
        <f>IF(C445&lt;='PV IN'!$O$22*12,C445,"")</f>
        <v/>
      </c>
      <c r="C445">
        <v>441</v>
      </c>
      <c r="D445" s="2">
        <f>BattCalcs!CK445+PVCalcs!AT445</f>
        <v>7885.8101723101863</v>
      </c>
      <c r="E445" s="20">
        <f>PVCalcs!AV445</f>
        <v>3121631.1365021113</v>
      </c>
      <c r="F445" s="20">
        <f>PVCalcs!AW445</f>
        <v>1312.6216940468046</v>
      </c>
      <c r="G445" s="20" t="e">
        <f>PVCalcs!AX445</f>
        <v>#N/A</v>
      </c>
      <c r="H445" s="20">
        <f>BattCalcs!CM445</f>
        <v>0</v>
      </c>
      <c r="I445" s="20">
        <f>BattCalcs!CN445</f>
        <v>0</v>
      </c>
      <c r="J445" s="20" t="e">
        <f>IF(C445&lt;='Batt IN'!H$43*12,BattCalcs!CO445,NA())</f>
        <v>#N/A</v>
      </c>
      <c r="L445" s="20">
        <f t="shared" si="1173"/>
        <v>1312.6216940468046</v>
      </c>
      <c r="M445" s="20" t="e">
        <f>G445+BattCalcs!CO445</f>
        <v>#N/A</v>
      </c>
      <c r="O445" s="10" t="str">
        <f>PVLoan!G473</f>
        <v>-</v>
      </c>
      <c r="P445" s="10" t="str">
        <f>PVLoan!J473</f>
        <v>-</v>
      </c>
      <c r="Q445" s="2" t="str">
        <f>BattLoan!G473</f>
        <v>-</v>
      </c>
      <c r="R445" s="10" t="str">
        <f>BattLoan!J473</f>
        <v>-</v>
      </c>
      <c r="T445" s="33">
        <f>IF('PV IN'!$F$4="Battery Only",0,PVCalcs!G445)</f>
        <v>113719.33527158503</v>
      </c>
      <c r="U445" s="33">
        <f>IF('PV IN'!$F$4="Battery Only",0,PVCalcs!M445)</f>
        <v>113719.33527158503</v>
      </c>
      <c r="V445" s="33">
        <f>PVCalcs!L445</f>
        <v>25811.765833333331</v>
      </c>
      <c r="W445" s="158">
        <f>PVCalcs!F445</f>
        <v>7.8896523189157505E-2</v>
      </c>
      <c r="X445" s="144">
        <f>IF('PV IN'!$F$4="Battery Only",0,PVCalcs!Y445+PVCalcs!Z445)</f>
        <v>0</v>
      </c>
      <c r="Y445" s="144">
        <f>IF('PV IN'!$F$4="PV Only",0,BattCalcs!AX445+BattCalcs!BC445)</f>
        <v>0</v>
      </c>
      <c r="Z445" s="144">
        <f>IF('PV IN'!$F$4="PV Only",0,BattCalcs!AY445+BattCalcs!BD445)</f>
        <v>0</v>
      </c>
      <c r="AA445" s="144">
        <f>IF('PV IN'!$F$4="PV Only",0,BattCalcs!AZ445+BattCalcs!BE445)</f>
        <v>0</v>
      </c>
      <c r="AB445" s="144">
        <f>IF('PV IN'!$F$4="PV Only",0,BattCalcs!BA445+BattCalcs!BF445)</f>
        <v>0</v>
      </c>
      <c r="AC445" s="144">
        <f>IF('PV IN'!$F$4="PV Only",0,BattCalcs!BB445+BattCalcs!BG445)</f>
        <v>0</v>
      </c>
      <c r="AD445" s="144">
        <f>IF('PV IN'!$F$4="PV Only",0,BattCalcs!BU445)</f>
        <v>0</v>
      </c>
      <c r="AE445" s="144">
        <f>IF('PV IN'!$F$4="PV Only",PVCalcs!W445+PVCalcs!AA445,IF('PV IN'!$F$4="Battery Only",BattCalcs!AV445+BattCalcs!BH445,PVCalcs!W445+PVCalcs!AA445+BattCalcs!AV445+BattCalcs!BH445))</f>
        <v>0</v>
      </c>
      <c r="AF445" s="10">
        <f>PVCalcs!AC445+BattCalcs!BJ445</f>
        <v>0</v>
      </c>
      <c r="AG445" s="144">
        <f>IF('PV IN'!$F$4="Battery Only",0,PVCalcs!AG445)</f>
        <v>-750</v>
      </c>
      <c r="AH445" s="144">
        <f>IF('PV IN'!$F$4="Battery Only",0,PVCalcs!AI445)</f>
        <v>0</v>
      </c>
      <c r="AI445" s="144">
        <f>IF('PV IN'!$F$4="PV Only",0,BattCalcs!BM445)</f>
        <v>0</v>
      </c>
      <c r="AJ445" s="144">
        <f>IF('PV IN'!$F$4="PV Only",0,SUM(BattCalcs!BO445:BT445))</f>
        <v>0</v>
      </c>
      <c r="AK445" s="144">
        <f>IF('PV IN'!$F$4="PV Only",PVCalcs!AH445,IF('PV IN'!$F$4="Battery Only",BattCalcs!BN445,PVCalcs!AH445+BattCalcs!BN445))</f>
        <v>-625</v>
      </c>
      <c r="AL445" s="144">
        <f>IF('PV IN'!$F$4="PV Only",0,BattCalcs!BV445)</f>
        <v>0</v>
      </c>
      <c r="AM445" s="144">
        <f>IF('PV IN'!$F$4="PV Only",0,SUM(BattCalcs!BW445:BX445))</f>
        <v>0</v>
      </c>
      <c r="AN445" s="144">
        <f>IF('PV IN'!$F$4="PV Only",0,BattCalcs!BY445)</f>
        <v>0</v>
      </c>
      <c r="AO445" s="144">
        <f>IF('PV IN'!$F$4="Battery Only",0,PVCalcs!U445)</f>
        <v>8972.0601723101863</v>
      </c>
      <c r="AP445" s="10">
        <f>IF('PV IN'!$F$4="PV Only",0,BattCalcs!AS445)</f>
        <v>0</v>
      </c>
      <c r="AQ445" s="10">
        <f>IF('PV IN'!$F$4="PV Only",0,BattCalcs!AT445)</f>
        <v>0</v>
      </c>
      <c r="AR445" s="10">
        <f>IF('PV IN'!$F$4="PV Only",0,BattCalcs!AU445)</f>
        <v>0</v>
      </c>
      <c r="AS445" s="144">
        <f>IF('PV IN'!$F$4="PV Only",PVCalcs!X445,IF('PV IN'!$F$4="Battery Only",BattCalcs!AW445,PVCalcs!X445+BattCalcs!AW445))</f>
        <v>0</v>
      </c>
      <c r="AT445" s="144">
        <f>IF('PV IN'!$F$4="Battery Only",0,-PVCalcs!AQ445*'PV IN'!$E$8)</f>
        <v>0</v>
      </c>
      <c r="AU445" s="144">
        <f>IF('PV IN'!$F$4="PV Only",0,-BattCalcs!CG445*'PV IN'!$E$8)</f>
        <v>0</v>
      </c>
      <c r="AV445" s="144">
        <f>IF('PV IN'!$F$4="PV Only",PVCalcs!Z445+PVCalcs!AA445,IF('PV IN'!$F$4="Battery Only",SUM(BattCalcs!BC445:BH445),PVCalcs!Z445+PVCalcs!AA445+SUM(BattCalcs!BC445:BH445)))</f>
        <v>0</v>
      </c>
      <c r="AW445" s="144">
        <f>IF('PV IN'!$F$4="PV Only",SUM(PVCalcs!AF445:AI445),IF('PV IN'!$F$4="Battery Only",SUM(BattCalcs!BL445:BY445),SUM(PVCalcs!AF445:AI445)+SUM(BattCalcs!BL445:BY445)))</f>
        <v>-1375</v>
      </c>
      <c r="AX445" s="144">
        <f>IF('PV IN'!$F$4="Battery Only",0,-PVLoan!F473)</f>
        <v>0</v>
      </c>
      <c r="AY445" s="144">
        <f>IF('PV IN'!$F$4="PV Only",0,-BattLoan!F473)</f>
        <v>0</v>
      </c>
      <c r="AZ445" s="144">
        <f>IF('PV IN'!$F$4="Battery Only",0,-PVLoan!H473)</f>
        <v>0</v>
      </c>
      <c r="BA445" s="144">
        <f>IF('PV IN'!$F$4="PV Only",0,-BattLoan!H473)</f>
        <v>0</v>
      </c>
    </row>
    <row r="446" spans="1:88" x14ac:dyDescent="0.25">
      <c r="A446" t="str">
        <f>IF(C446&lt;='PV IN'!$O$22*12,C446,"")</f>
        <v/>
      </c>
      <c r="C446">
        <v>442</v>
      </c>
      <c r="D446" s="2">
        <f>BattCalcs!CK446+PVCalcs!AT446</f>
        <v>7879.8287988619795</v>
      </c>
      <c r="E446" s="20">
        <f>PVCalcs!AV446</f>
        <v>3129510.9653009735</v>
      </c>
      <c r="F446" s="20">
        <f>PVCalcs!AW446</f>
        <v>1306.304028439288</v>
      </c>
      <c r="G446" s="20" t="e">
        <f>PVCalcs!AX446</f>
        <v>#N/A</v>
      </c>
      <c r="H446" s="20">
        <f>BattCalcs!CM446</f>
        <v>0</v>
      </c>
      <c r="I446" s="20">
        <f>BattCalcs!CN446</f>
        <v>0</v>
      </c>
      <c r="J446" s="20" t="e">
        <f>IF(C446&lt;='Batt IN'!H$43*12,BattCalcs!CO446,NA())</f>
        <v>#N/A</v>
      </c>
      <c r="L446" s="20">
        <f t="shared" si="1173"/>
        <v>1306.304028439288</v>
      </c>
      <c r="M446" s="20" t="e">
        <f>G446+BattCalcs!CO446</f>
        <v>#N/A</v>
      </c>
      <c r="O446" s="10" t="str">
        <f>PVLoan!G474</f>
        <v>-</v>
      </c>
      <c r="P446" s="10" t="str">
        <f>PVLoan!J474</f>
        <v>-</v>
      </c>
      <c r="Q446" s="2" t="str">
        <f>BattLoan!G474</f>
        <v>-</v>
      </c>
      <c r="R446" s="10" t="str">
        <f>BattLoan!J474</f>
        <v>-</v>
      </c>
      <c r="T446" s="33">
        <f>IF('PV IN'!$F$4="Battery Only",0,PVCalcs!G446)</f>
        <v>113643.52238140398</v>
      </c>
      <c r="U446" s="33">
        <f>IF('PV IN'!$F$4="Battery Only",0,PVCalcs!M446)</f>
        <v>113643.52238140398</v>
      </c>
      <c r="V446" s="33">
        <f>PVCalcs!L446</f>
        <v>25811.765833333331</v>
      </c>
      <c r="W446" s="158">
        <f>PVCalcs!F446</f>
        <v>7.8896523189157505E-2</v>
      </c>
      <c r="X446" s="144">
        <f>IF('PV IN'!$F$4="Battery Only",0,PVCalcs!Y446+PVCalcs!Z446)</f>
        <v>0</v>
      </c>
      <c r="Y446" s="144">
        <f>IF('PV IN'!$F$4="PV Only",0,BattCalcs!AX446+BattCalcs!BC446)</f>
        <v>0</v>
      </c>
      <c r="Z446" s="144">
        <f>IF('PV IN'!$F$4="PV Only",0,BattCalcs!AY446+BattCalcs!BD446)</f>
        <v>0</v>
      </c>
      <c r="AA446" s="144">
        <f>IF('PV IN'!$F$4="PV Only",0,BattCalcs!AZ446+BattCalcs!BE446)</f>
        <v>0</v>
      </c>
      <c r="AB446" s="144">
        <f>IF('PV IN'!$F$4="PV Only",0,BattCalcs!BA446+BattCalcs!BF446)</f>
        <v>0</v>
      </c>
      <c r="AC446" s="144">
        <f>IF('PV IN'!$F$4="PV Only",0,BattCalcs!BB446+BattCalcs!BG446)</f>
        <v>0</v>
      </c>
      <c r="AD446" s="144">
        <f>IF('PV IN'!$F$4="PV Only",0,BattCalcs!BU446)</f>
        <v>0</v>
      </c>
      <c r="AE446" s="144">
        <f>IF('PV IN'!$F$4="PV Only",PVCalcs!W446+PVCalcs!AA446,IF('PV IN'!$F$4="Battery Only",BattCalcs!AV446+BattCalcs!BH446,PVCalcs!W446+PVCalcs!AA446+BattCalcs!AV446+BattCalcs!BH446))</f>
        <v>0</v>
      </c>
      <c r="AF446" s="10">
        <f>PVCalcs!AC446+BattCalcs!BJ446</f>
        <v>0</v>
      </c>
      <c r="AG446" s="144">
        <f>IF('PV IN'!$F$4="Battery Only",0,PVCalcs!AG446)</f>
        <v>-750</v>
      </c>
      <c r="AH446" s="144">
        <f>IF('PV IN'!$F$4="Battery Only",0,PVCalcs!AI446)</f>
        <v>0</v>
      </c>
      <c r="AI446" s="144">
        <f>IF('PV IN'!$F$4="PV Only",0,BattCalcs!BM446)</f>
        <v>0</v>
      </c>
      <c r="AJ446" s="144">
        <f>IF('PV IN'!$F$4="PV Only",0,SUM(BattCalcs!BO446:BT446))</f>
        <v>0</v>
      </c>
      <c r="AK446" s="144">
        <f>IF('PV IN'!$F$4="PV Only",PVCalcs!AH446,IF('PV IN'!$F$4="Battery Only",BattCalcs!BN446,PVCalcs!AH446+BattCalcs!BN446))</f>
        <v>-625</v>
      </c>
      <c r="AL446" s="144">
        <f>IF('PV IN'!$F$4="PV Only",0,BattCalcs!BV446)</f>
        <v>0</v>
      </c>
      <c r="AM446" s="144">
        <f>IF('PV IN'!$F$4="PV Only",0,SUM(BattCalcs!BW446:BX446))</f>
        <v>0</v>
      </c>
      <c r="AN446" s="144">
        <f>IF('PV IN'!$F$4="PV Only",0,BattCalcs!BY446)</f>
        <v>0</v>
      </c>
      <c r="AO446" s="144">
        <f>IF('PV IN'!$F$4="Battery Only",0,PVCalcs!U446)</f>
        <v>8966.0787988619795</v>
      </c>
      <c r="AP446" s="10">
        <f>IF('PV IN'!$F$4="PV Only",0,BattCalcs!AS446)</f>
        <v>0</v>
      </c>
      <c r="AQ446" s="10">
        <f>IF('PV IN'!$F$4="PV Only",0,BattCalcs!AT446)</f>
        <v>0</v>
      </c>
      <c r="AR446" s="10">
        <f>IF('PV IN'!$F$4="PV Only",0,BattCalcs!AU446)</f>
        <v>0</v>
      </c>
      <c r="AS446" s="144">
        <f>IF('PV IN'!$F$4="PV Only",PVCalcs!X446,IF('PV IN'!$F$4="Battery Only",BattCalcs!AW446,PVCalcs!X446+BattCalcs!AW446))</f>
        <v>0</v>
      </c>
      <c r="AT446" s="144">
        <f>IF('PV IN'!$F$4="Battery Only",0,-PVCalcs!AQ446*'PV IN'!$E$8)</f>
        <v>0</v>
      </c>
      <c r="AU446" s="144">
        <f>IF('PV IN'!$F$4="PV Only",0,-BattCalcs!CG446*'PV IN'!$E$8)</f>
        <v>0</v>
      </c>
      <c r="AV446" s="144">
        <f>IF('PV IN'!$F$4="PV Only",PVCalcs!Z446+PVCalcs!AA446,IF('PV IN'!$F$4="Battery Only",SUM(BattCalcs!BC446:BH446),PVCalcs!Z446+PVCalcs!AA446+SUM(BattCalcs!BC446:BH446)))</f>
        <v>0</v>
      </c>
      <c r="AW446" s="144">
        <f>IF('PV IN'!$F$4="PV Only",SUM(PVCalcs!AF446:AI446),IF('PV IN'!$F$4="Battery Only",SUM(BattCalcs!BL446:BY446),SUM(PVCalcs!AF446:AI446)+SUM(BattCalcs!BL446:BY446)))</f>
        <v>-1375</v>
      </c>
      <c r="AX446" s="144">
        <f>IF('PV IN'!$F$4="Battery Only",0,-PVLoan!F474)</f>
        <v>0</v>
      </c>
      <c r="AY446" s="144">
        <f>IF('PV IN'!$F$4="PV Only",0,-BattLoan!F474)</f>
        <v>0</v>
      </c>
      <c r="AZ446" s="144">
        <f>IF('PV IN'!$F$4="Battery Only",0,-PVLoan!H474)</f>
        <v>0</v>
      </c>
      <c r="BA446" s="144">
        <f>IF('PV IN'!$F$4="PV Only",0,-BattLoan!H474)</f>
        <v>0</v>
      </c>
    </row>
    <row r="447" spans="1:88" x14ac:dyDescent="0.25">
      <c r="A447" t="str">
        <f>IF(C447&lt;='PV IN'!$O$22*12,C447,"")</f>
        <v/>
      </c>
      <c r="C447">
        <v>443</v>
      </c>
      <c r="D447" s="2">
        <f>BattCalcs!CK447+PVCalcs!AT447</f>
        <v>7873.8514129960695</v>
      </c>
      <c r="E447" s="20">
        <f>PVCalcs!AV447</f>
        <v>3137384.8167139697</v>
      </c>
      <c r="F447" s="20">
        <f>PVCalcs!AW447</f>
        <v>1300.0166791510103</v>
      </c>
      <c r="G447" s="20" t="e">
        <f>PVCalcs!AX447</f>
        <v>#N/A</v>
      </c>
      <c r="H447" s="20">
        <f>BattCalcs!CM447</f>
        <v>0</v>
      </c>
      <c r="I447" s="20">
        <f>BattCalcs!CN447</f>
        <v>0</v>
      </c>
      <c r="J447" s="20" t="e">
        <f>IF(C447&lt;='Batt IN'!H$43*12,BattCalcs!CO447,NA())</f>
        <v>#N/A</v>
      </c>
      <c r="L447" s="20">
        <f t="shared" si="1173"/>
        <v>1300.0166791510103</v>
      </c>
      <c r="M447" s="20" t="e">
        <f>G447+BattCalcs!CO447</f>
        <v>#N/A</v>
      </c>
      <c r="O447" s="10" t="str">
        <f>PVLoan!G475</f>
        <v>-</v>
      </c>
      <c r="P447" s="10" t="str">
        <f>PVLoan!J475</f>
        <v>-</v>
      </c>
      <c r="Q447" s="2" t="str">
        <f>BattLoan!G475</f>
        <v>-</v>
      </c>
      <c r="R447" s="10" t="str">
        <f>BattLoan!J475</f>
        <v>-</v>
      </c>
      <c r="T447" s="33">
        <f>IF('PV IN'!$F$4="Battery Only",0,PVCalcs!G447)</f>
        <v>113567.76003314969</v>
      </c>
      <c r="U447" s="33">
        <f>IF('PV IN'!$F$4="Battery Only",0,PVCalcs!M447)</f>
        <v>113567.76003314969</v>
      </c>
      <c r="V447" s="33">
        <f>PVCalcs!L447</f>
        <v>25811.765833333331</v>
      </c>
      <c r="W447" s="158">
        <f>PVCalcs!F447</f>
        <v>7.8896523189157505E-2</v>
      </c>
      <c r="X447" s="144">
        <f>IF('PV IN'!$F$4="Battery Only",0,PVCalcs!Y447+PVCalcs!Z447)</f>
        <v>0</v>
      </c>
      <c r="Y447" s="144">
        <f>IF('PV IN'!$F$4="PV Only",0,BattCalcs!AX447+BattCalcs!BC447)</f>
        <v>0</v>
      </c>
      <c r="Z447" s="144">
        <f>IF('PV IN'!$F$4="PV Only",0,BattCalcs!AY447+BattCalcs!BD447)</f>
        <v>0</v>
      </c>
      <c r="AA447" s="144">
        <f>IF('PV IN'!$F$4="PV Only",0,BattCalcs!AZ447+BattCalcs!BE447)</f>
        <v>0</v>
      </c>
      <c r="AB447" s="144">
        <f>IF('PV IN'!$F$4="PV Only",0,BattCalcs!BA447+BattCalcs!BF447)</f>
        <v>0</v>
      </c>
      <c r="AC447" s="144">
        <f>IF('PV IN'!$F$4="PV Only",0,BattCalcs!BB447+BattCalcs!BG447)</f>
        <v>0</v>
      </c>
      <c r="AD447" s="144">
        <f>IF('PV IN'!$F$4="PV Only",0,BattCalcs!BU447)</f>
        <v>0</v>
      </c>
      <c r="AE447" s="144">
        <f>IF('PV IN'!$F$4="PV Only",PVCalcs!W447+PVCalcs!AA447,IF('PV IN'!$F$4="Battery Only",BattCalcs!AV447+BattCalcs!BH447,PVCalcs!W447+PVCalcs!AA447+BattCalcs!AV447+BattCalcs!BH447))</f>
        <v>0</v>
      </c>
      <c r="AF447" s="10">
        <f>PVCalcs!AC447+BattCalcs!BJ447</f>
        <v>0</v>
      </c>
      <c r="AG447" s="144">
        <f>IF('PV IN'!$F$4="Battery Only",0,PVCalcs!AG447)</f>
        <v>-750</v>
      </c>
      <c r="AH447" s="144">
        <f>IF('PV IN'!$F$4="Battery Only",0,PVCalcs!AI447)</f>
        <v>0</v>
      </c>
      <c r="AI447" s="144">
        <f>IF('PV IN'!$F$4="PV Only",0,BattCalcs!BM447)</f>
        <v>0</v>
      </c>
      <c r="AJ447" s="144">
        <f>IF('PV IN'!$F$4="PV Only",0,SUM(BattCalcs!BO447:BT447))</f>
        <v>0</v>
      </c>
      <c r="AK447" s="144">
        <f>IF('PV IN'!$F$4="PV Only",PVCalcs!AH447,IF('PV IN'!$F$4="Battery Only",BattCalcs!BN447,PVCalcs!AH447+BattCalcs!BN447))</f>
        <v>-625</v>
      </c>
      <c r="AL447" s="144">
        <f>IF('PV IN'!$F$4="PV Only",0,BattCalcs!BV447)</f>
        <v>0</v>
      </c>
      <c r="AM447" s="144">
        <f>IF('PV IN'!$F$4="PV Only",0,SUM(BattCalcs!BW447:BX447))</f>
        <v>0</v>
      </c>
      <c r="AN447" s="144">
        <f>IF('PV IN'!$F$4="PV Only",0,BattCalcs!BY447)</f>
        <v>0</v>
      </c>
      <c r="AO447" s="144">
        <f>IF('PV IN'!$F$4="Battery Only",0,PVCalcs!U447)</f>
        <v>8960.1014129960695</v>
      </c>
      <c r="AP447" s="10">
        <f>IF('PV IN'!$F$4="PV Only",0,BattCalcs!AS447)</f>
        <v>0</v>
      </c>
      <c r="AQ447" s="10">
        <f>IF('PV IN'!$F$4="PV Only",0,BattCalcs!AT447)</f>
        <v>0</v>
      </c>
      <c r="AR447" s="10">
        <f>IF('PV IN'!$F$4="PV Only",0,BattCalcs!AU447)</f>
        <v>0</v>
      </c>
      <c r="AS447" s="144">
        <f>IF('PV IN'!$F$4="PV Only",PVCalcs!X447,IF('PV IN'!$F$4="Battery Only",BattCalcs!AW447,PVCalcs!X447+BattCalcs!AW447))</f>
        <v>0</v>
      </c>
      <c r="AT447" s="144">
        <f>IF('PV IN'!$F$4="Battery Only",0,-PVCalcs!AQ447*'PV IN'!$E$8)</f>
        <v>0</v>
      </c>
      <c r="AU447" s="144">
        <f>IF('PV IN'!$F$4="PV Only",0,-BattCalcs!CG447*'PV IN'!$E$8)</f>
        <v>0</v>
      </c>
      <c r="AV447" s="144">
        <f>IF('PV IN'!$F$4="PV Only",PVCalcs!Z447+PVCalcs!AA447,IF('PV IN'!$F$4="Battery Only",SUM(BattCalcs!BC447:BH447),PVCalcs!Z447+PVCalcs!AA447+SUM(BattCalcs!BC447:BH447)))</f>
        <v>0</v>
      </c>
      <c r="AW447" s="144">
        <f>IF('PV IN'!$F$4="PV Only",SUM(PVCalcs!AF447:AI447),IF('PV IN'!$F$4="Battery Only",SUM(BattCalcs!BL447:BY447),SUM(PVCalcs!AF447:AI447)+SUM(BattCalcs!BL447:BY447)))</f>
        <v>-1375</v>
      </c>
      <c r="AX447" s="144">
        <f>IF('PV IN'!$F$4="Battery Only",0,-PVLoan!F475)</f>
        <v>0</v>
      </c>
      <c r="AY447" s="144">
        <f>IF('PV IN'!$F$4="PV Only",0,-BattLoan!F475)</f>
        <v>0</v>
      </c>
      <c r="AZ447" s="144">
        <f>IF('PV IN'!$F$4="Battery Only",0,-PVLoan!H475)</f>
        <v>0</v>
      </c>
      <c r="BA447" s="144">
        <f>IF('PV IN'!$F$4="PV Only",0,-BattLoan!H475)</f>
        <v>0</v>
      </c>
    </row>
    <row r="448" spans="1:88" x14ac:dyDescent="0.25">
      <c r="A448" t="str">
        <f>IF(C448&lt;='PV IN'!$O$22*12,C448,"")</f>
        <v/>
      </c>
      <c r="B448">
        <f t="shared" ref="B448" si="1209">B436+1</f>
        <v>2062</v>
      </c>
      <c r="C448">
        <v>444</v>
      </c>
      <c r="D448" s="2">
        <f>BattCalcs!CK448+PVCalcs!AT448</f>
        <v>7867.8780120540723</v>
      </c>
      <c r="E448" s="20">
        <f>PVCalcs!AV448</f>
        <v>3145252.6947260238</v>
      </c>
      <c r="F448" s="20">
        <f>PVCalcs!AW448</f>
        <v>1293.7595010652992</v>
      </c>
      <c r="G448" s="20" t="e">
        <f>PVCalcs!AX448</f>
        <v>#N/A</v>
      </c>
      <c r="H448" s="20">
        <f>BattCalcs!CM448</f>
        <v>0</v>
      </c>
      <c r="I448" s="20">
        <f>BattCalcs!CN448</f>
        <v>0</v>
      </c>
      <c r="J448" s="20" t="e">
        <f>IF(C448&lt;='Batt IN'!H$43*12,BattCalcs!CO448,NA())</f>
        <v>#N/A</v>
      </c>
      <c r="L448" s="20">
        <f t="shared" si="1173"/>
        <v>1293.7595010652992</v>
      </c>
      <c r="M448" s="20" t="e">
        <f>G448+BattCalcs!CO448</f>
        <v>#N/A</v>
      </c>
      <c r="O448" s="10" t="str">
        <f>PVLoan!G476</f>
        <v>-</v>
      </c>
      <c r="P448" s="10" t="str">
        <f>PVLoan!J476</f>
        <v>-</v>
      </c>
      <c r="Q448" s="2" t="str">
        <f>BattLoan!G476</f>
        <v>-</v>
      </c>
      <c r="R448" s="10" t="str">
        <f>BattLoan!J476</f>
        <v>-</v>
      </c>
      <c r="T448" s="33">
        <f>IF('PV IN'!$F$4="Battery Only",0,PVCalcs!G448)</f>
        <v>113492.0481931276</v>
      </c>
      <c r="U448" s="33">
        <f>IF('PV IN'!$F$4="Battery Only",0,PVCalcs!M448)</f>
        <v>113492.0481931276</v>
      </c>
      <c r="V448" s="33">
        <f>PVCalcs!L448</f>
        <v>25811.765833333331</v>
      </c>
      <c r="W448" s="158">
        <f>PVCalcs!F448</f>
        <v>7.8896523189157505E-2</v>
      </c>
      <c r="X448" s="144">
        <f>IF('PV IN'!$F$4="Battery Only",0,PVCalcs!Y448+PVCalcs!Z448)</f>
        <v>0</v>
      </c>
      <c r="Y448" s="144">
        <f>IF('PV IN'!$F$4="PV Only",0,BattCalcs!AX448+BattCalcs!BC448)</f>
        <v>0</v>
      </c>
      <c r="Z448" s="144">
        <f>IF('PV IN'!$F$4="PV Only",0,BattCalcs!AY448+BattCalcs!BD448)</f>
        <v>0</v>
      </c>
      <c r="AA448" s="144">
        <f>IF('PV IN'!$F$4="PV Only",0,BattCalcs!AZ448+BattCalcs!BE448)</f>
        <v>0</v>
      </c>
      <c r="AB448" s="144">
        <f>IF('PV IN'!$F$4="PV Only",0,BattCalcs!BA448+BattCalcs!BF448)</f>
        <v>0</v>
      </c>
      <c r="AC448" s="144">
        <f>IF('PV IN'!$F$4="PV Only",0,BattCalcs!BB448+BattCalcs!BG448)</f>
        <v>0</v>
      </c>
      <c r="AD448" s="144">
        <f>IF('PV IN'!$F$4="PV Only",0,BattCalcs!BU448)</f>
        <v>0</v>
      </c>
      <c r="AE448" s="144">
        <f>IF('PV IN'!$F$4="PV Only",PVCalcs!W448+PVCalcs!AA448,IF('PV IN'!$F$4="Battery Only",BattCalcs!AV448+BattCalcs!BH448,PVCalcs!W448+PVCalcs!AA448+BattCalcs!AV448+BattCalcs!BH448))</f>
        <v>0</v>
      </c>
      <c r="AF448" s="10">
        <f>PVCalcs!AC448+BattCalcs!BJ448</f>
        <v>0</v>
      </c>
      <c r="AG448" s="144">
        <f>IF('PV IN'!$F$4="Battery Only",0,PVCalcs!AG448)</f>
        <v>-750</v>
      </c>
      <c r="AH448" s="144">
        <f>IF('PV IN'!$F$4="Battery Only",0,PVCalcs!AI448)</f>
        <v>0</v>
      </c>
      <c r="AI448" s="144">
        <f>IF('PV IN'!$F$4="PV Only",0,BattCalcs!BM448)</f>
        <v>0</v>
      </c>
      <c r="AJ448" s="144">
        <f>IF('PV IN'!$F$4="PV Only",0,SUM(BattCalcs!BO448:BT448))</f>
        <v>0</v>
      </c>
      <c r="AK448" s="144">
        <f>IF('PV IN'!$F$4="PV Only",PVCalcs!AH448,IF('PV IN'!$F$4="Battery Only",BattCalcs!BN448,PVCalcs!AH448+BattCalcs!BN448))</f>
        <v>-625</v>
      </c>
      <c r="AL448" s="144">
        <f>IF('PV IN'!$F$4="PV Only",0,BattCalcs!BV448)</f>
        <v>0</v>
      </c>
      <c r="AM448" s="144">
        <f>IF('PV IN'!$F$4="PV Only",0,SUM(BattCalcs!BW448:BX448))</f>
        <v>0</v>
      </c>
      <c r="AN448" s="144">
        <f>IF('PV IN'!$F$4="PV Only",0,BattCalcs!BY448)</f>
        <v>0</v>
      </c>
      <c r="AO448" s="144">
        <f>IF('PV IN'!$F$4="Battery Only",0,PVCalcs!U448)</f>
        <v>8954.1280120540723</v>
      </c>
      <c r="AP448" s="10">
        <f>IF('PV IN'!$F$4="PV Only",0,BattCalcs!AS448)</f>
        <v>0</v>
      </c>
      <c r="AQ448" s="10">
        <f>IF('PV IN'!$F$4="PV Only",0,BattCalcs!AT448)</f>
        <v>0</v>
      </c>
      <c r="AR448" s="10">
        <f>IF('PV IN'!$F$4="PV Only",0,BattCalcs!AU448)</f>
        <v>0</v>
      </c>
      <c r="AS448" s="144">
        <f>IF('PV IN'!$F$4="PV Only",PVCalcs!X448,IF('PV IN'!$F$4="Battery Only",BattCalcs!AW448,PVCalcs!X448+BattCalcs!AW448))</f>
        <v>0</v>
      </c>
      <c r="AT448" s="144">
        <f>IF('PV IN'!$F$4="Battery Only",0,-PVCalcs!AQ448*'PV IN'!$E$8)</f>
        <v>0</v>
      </c>
      <c r="AU448" s="144">
        <f>IF('PV IN'!$F$4="PV Only",0,-BattCalcs!CG448*'PV IN'!$E$8)</f>
        <v>0</v>
      </c>
      <c r="AV448" s="144">
        <f>IF('PV IN'!$F$4="PV Only",PVCalcs!Z448+PVCalcs!AA448,IF('PV IN'!$F$4="Battery Only",SUM(BattCalcs!BC448:BH448),PVCalcs!Z448+PVCalcs!AA448+SUM(BattCalcs!BC448:BH448)))</f>
        <v>0</v>
      </c>
      <c r="AW448" s="144">
        <f>IF('PV IN'!$F$4="PV Only",SUM(PVCalcs!AF448:AI448),IF('PV IN'!$F$4="Battery Only",SUM(BattCalcs!BL448:BY448),SUM(PVCalcs!AF448:AI448)+SUM(BattCalcs!BL448:BY448)))</f>
        <v>-1375</v>
      </c>
      <c r="AX448" s="144">
        <f>IF('PV IN'!$F$4="Battery Only",0,-PVLoan!F476)</f>
        <v>0</v>
      </c>
      <c r="AY448" s="144">
        <f>IF('PV IN'!$F$4="PV Only",0,-BattLoan!F476)</f>
        <v>0</v>
      </c>
      <c r="AZ448" s="144">
        <f>IF('PV IN'!$F$4="Battery Only",0,-PVLoan!H476)</f>
        <v>0</v>
      </c>
      <c r="BA448" s="144">
        <f>IF('PV IN'!$F$4="PV Only",0,-BattLoan!H476)</f>
        <v>0</v>
      </c>
      <c r="BC448" s="33">
        <f t="shared" ref="BC448" si="1210">SUM(T437:T448)</f>
        <v>1366912.6882667197</v>
      </c>
      <c r="BD448" s="33">
        <f t="shared" ref="BD448" si="1211">SUM(U437:U448)</f>
        <v>1366912.6882667197</v>
      </c>
      <c r="BE448" s="33">
        <f t="shared" ref="BE448" si="1212">SUM(V437:V448)</f>
        <v>309741.19</v>
      </c>
      <c r="BF448" s="50">
        <f t="shared" ref="BF448" si="1213">W448</f>
        <v>7.8896523189157505E-2</v>
      </c>
      <c r="BG448" s="2">
        <f t="shared" ref="BG448" si="1214">SUM(X437:X448)</f>
        <v>0</v>
      </c>
      <c r="BH448" s="2">
        <f t="shared" ref="BH448" si="1215">SUM(Y437:Y448)</f>
        <v>0</v>
      </c>
      <c r="BI448" s="2">
        <f t="shared" ref="BI448" si="1216">SUM(Z437:Z448)</f>
        <v>0</v>
      </c>
      <c r="BJ448" s="2">
        <f t="shared" ref="BJ448" si="1217">SUM(AA437:AA448)</f>
        <v>0</v>
      </c>
      <c r="BK448" s="2">
        <f t="shared" ref="BK448" si="1218">SUM(AB437:AB448)</f>
        <v>0</v>
      </c>
      <c r="BL448" s="2">
        <f t="shared" ref="BL448" si="1219">SUM(AC437:AC448)</f>
        <v>0</v>
      </c>
      <c r="BM448" s="2">
        <f t="shared" ref="BM448" si="1220">SUM(AD437:AD448)</f>
        <v>0</v>
      </c>
      <c r="BN448" s="2">
        <f t="shared" ref="BN448" si="1221">SUM(AE437:AE448)</f>
        <v>0</v>
      </c>
      <c r="BO448" s="2">
        <f t="shared" ref="BO448" si="1222">SUM(AF437:AF448)</f>
        <v>0</v>
      </c>
      <c r="BP448" s="2">
        <f t="shared" ref="BP448" si="1223">SUM(AG437:AG448)</f>
        <v>-9000</v>
      </c>
      <c r="BQ448" s="2">
        <f t="shared" ref="BQ448" si="1224">SUM(AH437:AH448)</f>
        <v>0</v>
      </c>
      <c r="BR448" s="2">
        <f t="shared" ref="BR448" si="1225">SUM(AI437:AI448)</f>
        <v>0</v>
      </c>
      <c r="BS448" s="2">
        <f t="shared" ref="BS448" si="1226">SUM(AJ437:AJ448)</f>
        <v>0</v>
      </c>
      <c r="BT448" s="2">
        <f t="shared" ref="BT448" si="1227">SUM(AK437:AK448)</f>
        <v>-7500</v>
      </c>
      <c r="BU448" s="2">
        <f t="shared" ref="BU448" si="1228">SUM(AL437:AL448)</f>
        <v>0</v>
      </c>
      <c r="BV448" s="2">
        <f t="shared" ref="BV448" si="1229">SUM(AM437:AM448)</f>
        <v>0</v>
      </c>
      <c r="BW448" s="2">
        <f t="shared" ref="BW448" si="1230">SUM(AN437:AN448)</f>
        <v>0</v>
      </c>
      <c r="BX448" s="2">
        <f t="shared" ref="BX448" si="1231">SUM(AO437:AO448)</f>
        <v>107844.65860738888</v>
      </c>
      <c r="BY448" s="2">
        <f t="shared" ref="BY448" si="1232">SUM(AP437:AP448)</f>
        <v>0</v>
      </c>
      <c r="BZ448" s="2">
        <f t="shared" ref="BZ448" si="1233">SUM(AQ437:AQ448)</f>
        <v>0</v>
      </c>
      <c r="CA448" s="2">
        <f t="shared" ref="CA448" si="1234">SUM(AR437:AR448)</f>
        <v>0</v>
      </c>
      <c r="CB448" s="2">
        <f t="shared" ref="CB448" si="1235">SUM(AS437:AS448)</f>
        <v>0</v>
      </c>
      <c r="CC448" s="2">
        <f t="shared" ref="CC448" si="1236">SUM(AT437:AT448)</f>
        <v>0</v>
      </c>
      <c r="CD448" s="2">
        <f t="shared" ref="CD448" si="1237">SUM(AU437:AU448)</f>
        <v>0</v>
      </c>
      <c r="CE448" s="2">
        <f t="shared" ref="CE448" si="1238">SUM(AV437:AV448)</f>
        <v>0</v>
      </c>
      <c r="CF448" s="2">
        <f t="shared" ref="CF448" si="1239">SUM(AW437:AW448)</f>
        <v>-16500</v>
      </c>
      <c r="CG448" s="2">
        <f t="shared" ref="CG448" si="1240">SUM(AX437:AX448)</f>
        <v>0</v>
      </c>
      <c r="CH448" s="2">
        <f t="shared" ref="CH448" si="1241">SUM(AY437:AY448)</f>
        <v>0</v>
      </c>
      <c r="CI448" s="2">
        <f t="shared" ref="CI448" si="1242">SUM(AZ437:AZ448)</f>
        <v>0</v>
      </c>
      <c r="CJ448" s="2">
        <f t="shared" ref="CJ448" si="1243">SUM(BA437:BA448)</f>
        <v>0</v>
      </c>
    </row>
    <row r="449" spans="1:88" x14ac:dyDescent="0.25">
      <c r="A449" t="str">
        <f>IF(C449&lt;='PV IN'!$O$22*12,C449,"")</f>
        <v/>
      </c>
      <c r="C449">
        <v>445</v>
      </c>
      <c r="D449" s="2">
        <f>BattCalcs!CK449+PVCalcs!AT449</f>
        <v>7861.9085933793704</v>
      </c>
      <c r="E449" s="20">
        <f>PVCalcs!AV449</f>
        <v>3153114.6033194032</v>
      </c>
      <c r="F449" s="20">
        <f>PVCalcs!AW449</f>
        <v>1287.5323497586758</v>
      </c>
      <c r="G449" s="20" t="e">
        <f>PVCalcs!AX449</f>
        <v>#N/A</v>
      </c>
      <c r="H449" s="20">
        <f>BattCalcs!CM449</f>
        <v>0</v>
      </c>
      <c r="I449" s="20">
        <f>BattCalcs!CN449</f>
        <v>0</v>
      </c>
      <c r="J449" s="20" t="e">
        <f>IF(C449&lt;='Batt IN'!H$43*12,BattCalcs!CO449,NA())</f>
        <v>#N/A</v>
      </c>
      <c r="L449" s="20">
        <f t="shared" si="1173"/>
        <v>1287.5323497586758</v>
      </c>
      <c r="M449" s="20" t="e">
        <f>G449+BattCalcs!CO449</f>
        <v>#N/A</v>
      </c>
      <c r="O449" s="10" t="str">
        <f>PVLoan!G477</f>
        <v>-</v>
      </c>
      <c r="P449" s="10" t="str">
        <f>PVLoan!J477</f>
        <v>-</v>
      </c>
      <c r="Q449" s="2" t="str">
        <f>BattLoan!G477</f>
        <v>-</v>
      </c>
      <c r="R449" s="10" t="str">
        <f>BattLoan!J477</f>
        <v>-</v>
      </c>
      <c r="T449" s="33">
        <f>IF('PV IN'!$F$4="Battery Only",0,PVCalcs!G449)</f>
        <v>113416.38682766551</v>
      </c>
      <c r="U449" s="33">
        <f>IF('PV IN'!$F$4="Battery Only",0,PVCalcs!M449)</f>
        <v>113416.38682766551</v>
      </c>
      <c r="V449" s="33">
        <f>PVCalcs!L449</f>
        <v>25811.765833333331</v>
      </c>
      <c r="W449" s="158">
        <f>PVCalcs!F449</f>
        <v>7.8896523189157505E-2</v>
      </c>
      <c r="X449" s="144">
        <f>IF('PV IN'!$F$4="Battery Only",0,PVCalcs!Y449+PVCalcs!Z449)</f>
        <v>0</v>
      </c>
      <c r="Y449" s="144">
        <f>IF('PV IN'!$F$4="PV Only",0,BattCalcs!AX449+BattCalcs!BC449)</f>
        <v>0</v>
      </c>
      <c r="Z449" s="144">
        <f>IF('PV IN'!$F$4="PV Only",0,BattCalcs!AY449+BattCalcs!BD449)</f>
        <v>0</v>
      </c>
      <c r="AA449" s="144">
        <f>IF('PV IN'!$F$4="PV Only",0,BattCalcs!AZ449+BattCalcs!BE449)</f>
        <v>0</v>
      </c>
      <c r="AB449" s="144">
        <f>IF('PV IN'!$F$4="PV Only",0,BattCalcs!BA449+BattCalcs!BF449)</f>
        <v>0</v>
      </c>
      <c r="AC449" s="144">
        <f>IF('PV IN'!$F$4="PV Only",0,BattCalcs!BB449+BattCalcs!BG449)</f>
        <v>0</v>
      </c>
      <c r="AD449" s="144">
        <f>IF('PV IN'!$F$4="PV Only",0,BattCalcs!BU449)</f>
        <v>0</v>
      </c>
      <c r="AE449" s="144">
        <f>IF('PV IN'!$F$4="PV Only",PVCalcs!W449+PVCalcs!AA449,IF('PV IN'!$F$4="Battery Only",BattCalcs!AV449+BattCalcs!BH449,PVCalcs!W449+PVCalcs!AA449+BattCalcs!AV449+BattCalcs!BH449))</f>
        <v>0</v>
      </c>
      <c r="AF449" s="10">
        <f>PVCalcs!AC449+BattCalcs!BJ449</f>
        <v>0</v>
      </c>
      <c r="AG449" s="144">
        <f>IF('PV IN'!$F$4="Battery Only",0,PVCalcs!AG449)</f>
        <v>-750</v>
      </c>
      <c r="AH449" s="144">
        <f>IF('PV IN'!$F$4="Battery Only",0,PVCalcs!AI449)</f>
        <v>0</v>
      </c>
      <c r="AI449" s="144">
        <f>IF('PV IN'!$F$4="PV Only",0,BattCalcs!BM449)</f>
        <v>0</v>
      </c>
      <c r="AJ449" s="144">
        <f>IF('PV IN'!$F$4="PV Only",0,SUM(BattCalcs!BO449:BT449))</f>
        <v>0</v>
      </c>
      <c r="AK449" s="144">
        <f>IF('PV IN'!$F$4="PV Only",PVCalcs!AH449,IF('PV IN'!$F$4="Battery Only",BattCalcs!BN449,PVCalcs!AH449+BattCalcs!BN449))</f>
        <v>-625</v>
      </c>
      <c r="AL449" s="144">
        <f>IF('PV IN'!$F$4="PV Only",0,BattCalcs!BV449)</f>
        <v>0</v>
      </c>
      <c r="AM449" s="144">
        <f>IF('PV IN'!$F$4="PV Only",0,SUM(BattCalcs!BW449:BX449))</f>
        <v>0</v>
      </c>
      <c r="AN449" s="144">
        <f>IF('PV IN'!$F$4="PV Only",0,BattCalcs!BY449)</f>
        <v>0</v>
      </c>
      <c r="AO449" s="144">
        <f>IF('PV IN'!$F$4="Battery Only",0,PVCalcs!U449)</f>
        <v>8948.1585933793704</v>
      </c>
      <c r="AP449" s="10">
        <f>IF('PV IN'!$F$4="PV Only",0,BattCalcs!AS449)</f>
        <v>0</v>
      </c>
      <c r="AQ449" s="10">
        <f>IF('PV IN'!$F$4="PV Only",0,BattCalcs!AT449)</f>
        <v>0</v>
      </c>
      <c r="AR449" s="10">
        <f>IF('PV IN'!$F$4="PV Only",0,BattCalcs!AU449)</f>
        <v>0</v>
      </c>
      <c r="AS449" s="144">
        <f>IF('PV IN'!$F$4="PV Only",PVCalcs!X449,IF('PV IN'!$F$4="Battery Only",BattCalcs!AW449,PVCalcs!X449+BattCalcs!AW449))</f>
        <v>0</v>
      </c>
      <c r="AT449" s="144">
        <f>IF('PV IN'!$F$4="Battery Only",0,-PVCalcs!AQ449*'PV IN'!$E$8)</f>
        <v>0</v>
      </c>
      <c r="AU449" s="144">
        <f>IF('PV IN'!$F$4="PV Only",0,-BattCalcs!CG449*'PV IN'!$E$8)</f>
        <v>0</v>
      </c>
      <c r="AV449" s="144">
        <f>IF('PV IN'!$F$4="PV Only",PVCalcs!Z449+PVCalcs!AA449,IF('PV IN'!$F$4="Battery Only",SUM(BattCalcs!BC449:BH449),PVCalcs!Z449+PVCalcs!AA449+SUM(BattCalcs!BC449:BH449)))</f>
        <v>0</v>
      </c>
      <c r="AW449" s="144">
        <f>IF('PV IN'!$F$4="PV Only",SUM(PVCalcs!AF449:AI449),IF('PV IN'!$F$4="Battery Only",SUM(BattCalcs!BL449:BY449),SUM(PVCalcs!AF449:AI449)+SUM(BattCalcs!BL449:BY449)))</f>
        <v>-1375</v>
      </c>
      <c r="AX449" s="144">
        <f>IF('PV IN'!$F$4="Battery Only",0,-PVLoan!F477)</f>
        <v>0</v>
      </c>
      <c r="AY449" s="144">
        <f>IF('PV IN'!$F$4="PV Only",0,-BattLoan!F477)</f>
        <v>0</v>
      </c>
      <c r="AZ449" s="144">
        <f>IF('PV IN'!$F$4="Battery Only",0,-PVLoan!H477)</f>
        <v>0</v>
      </c>
      <c r="BA449" s="144">
        <f>IF('PV IN'!$F$4="PV Only",0,-BattLoan!H477)</f>
        <v>0</v>
      </c>
    </row>
    <row r="450" spans="1:88" x14ac:dyDescent="0.25">
      <c r="A450" t="str">
        <f>IF(C450&lt;='PV IN'!$O$22*12,C450,"")</f>
        <v/>
      </c>
      <c r="C450">
        <v>446</v>
      </c>
      <c r="D450" s="2">
        <f>BattCalcs!CK450+PVCalcs!AT450</f>
        <v>7855.9431543171177</v>
      </c>
      <c r="E450" s="20">
        <f>PVCalcs!AV450</f>
        <v>3160970.5464737206</v>
      </c>
      <c r="F450" s="20">
        <f>PVCalcs!AW450</f>
        <v>1281.335081497554</v>
      </c>
      <c r="G450" s="20" t="e">
        <f>PVCalcs!AX450</f>
        <v>#N/A</v>
      </c>
      <c r="H450" s="20">
        <f>BattCalcs!CM450</f>
        <v>0</v>
      </c>
      <c r="I450" s="20">
        <f>BattCalcs!CN450</f>
        <v>0</v>
      </c>
      <c r="J450" s="20" t="e">
        <f>IF(C450&lt;='Batt IN'!H$43*12,BattCalcs!CO450,NA())</f>
        <v>#N/A</v>
      </c>
      <c r="L450" s="20">
        <f t="shared" si="1173"/>
        <v>1281.335081497554</v>
      </c>
      <c r="M450" s="20" t="e">
        <f>G450+BattCalcs!CO450</f>
        <v>#N/A</v>
      </c>
      <c r="O450" s="10" t="str">
        <f>PVLoan!G478</f>
        <v>-</v>
      </c>
      <c r="P450" s="10" t="str">
        <f>PVLoan!J478</f>
        <v>-</v>
      </c>
      <c r="Q450" s="2" t="str">
        <f>BattLoan!G478</f>
        <v>-</v>
      </c>
      <c r="R450" s="10" t="str">
        <f>BattLoan!J478</f>
        <v>-</v>
      </c>
      <c r="T450" s="33">
        <f>IF('PV IN'!$F$4="Battery Only",0,PVCalcs!G450)</f>
        <v>113340.77590311374</v>
      </c>
      <c r="U450" s="33">
        <f>IF('PV IN'!$F$4="Battery Only",0,PVCalcs!M450)</f>
        <v>113340.77590311374</v>
      </c>
      <c r="V450" s="33">
        <f>PVCalcs!L450</f>
        <v>25811.765833333331</v>
      </c>
      <c r="W450" s="158">
        <f>PVCalcs!F450</f>
        <v>7.8896523189157505E-2</v>
      </c>
      <c r="X450" s="144">
        <f>IF('PV IN'!$F$4="Battery Only",0,PVCalcs!Y450+PVCalcs!Z450)</f>
        <v>0</v>
      </c>
      <c r="Y450" s="144">
        <f>IF('PV IN'!$F$4="PV Only",0,BattCalcs!AX450+BattCalcs!BC450)</f>
        <v>0</v>
      </c>
      <c r="Z450" s="144">
        <f>IF('PV IN'!$F$4="PV Only",0,BattCalcs!AY450+BattCalcs!BD450)</f>
        <v>0</v>
      </c>
      <c r="AA450" s="144">
        <f>IF('PV IN'!$F$4="PV Only",0,BattCalcs!AZ450+BattCalcs!BE450)</f>
        <v>0</v>
      </c>
      <c r="AB450" s="144">
        <f>IF('PV IN'!$F$4="PV Only",0,BattCalcs!BA450+BattCalcs!BF450)</f>
        <v>0</v>
      </c>
      <c r="AC450" s="144">
        <f>IF('PV IN'!$F$4="PV Only",0,BattCalcs!BB450+BattCalcs!BG450)</f>
        <v>0</v>
      </c>
      <c r="AD450" s="144">
        <f>IF('PV IN'!$F$4="PV Only",0,BattCalcs!BU450)</f>
        <v>0</v>
      </c>
      <c r="AE450" s="144">
        <f>IF('PV IN'!$F$4="PV Only",PVCalcs!W450+PVCalcs!AA450,IF('PV IN'!$F$4="Battery Only",BattCalcs!AV450+BattCalcs!BH450,PVCalcs!W450+PVCalcs!AA450+BattCalcs!AV450+BattCalcs!BH450))</f>
        <v>0</v>
      </c>
      <c r="AF450" s="10">
        <f>PVCalcs!AC450+BattCalcs!BJ450</f>
        <v>0</v>
      </c>
      <c r="AG450" s="144">
        <f>IF('PV IN'!$F$4="Battery Only",0,PVCalcs!AG450)</f>
        <v>-750</v>
      </c>
      <c r="AH450" s="144">
        <f>IF('PV IN'!$F$4="Battery Only",0,PVCalcs!AI450)</f>
        <v>0</v>
      </c>
      <c r="AI450" s="144">
        <f>IF('PV IN'!$F$4="PV Only",0,BattCalcs!BM450)</f>
        <v>0</v>
      </c>
      <c r="AJ450" s="144">
        <f>IF('PV IN'!$F$4="PV Only",0,SUM(BattCalcs!BO450:BT450))</f>
        <v>0</v>
      </c>
      <c r="AK450" s="144">
        <f>IF('PV IN'!$F$4="PV Only",PVCalcs!AH450,IF('PV IN'!$F$4="Battery Only",BattCalcs!BN450,PVCalcs!AH450+BattCalcs!BN450))</f>
        <v>-625</v>
      </c>
      <c r="AL450" s="144">
        <f>IF('PV IN'!$F$4="PV Only",0,BattCalcs!BV450)</f>
        <v>0</v>
      </c>
      <c r="AM450" s="144">
        <f>IF('PV IN'!$F$4="PV Only",0,SUM(BattCalcs!BW450:BX450))</f>
        <v>0</v>
      </c>
      <c r="AN450" s="144">
        <f>IF('PV IN'!$F$4="PV Only",0,BattCalcs!BY450)</f>
        <v>0</v>
      </c>
      <c r="AO450" s="144">
        <f>IF('PV IN'!$F$4="Battery Only",0,PVCalcs!U450)</f>
        <v>8942.1931543171177</v>
      </c>
      <c r="AP450" s="10">
        <f>IF('PV IN'!$F$4="PV Only",0,BattCalcs!AS450)</f>
        <v>0</v>
      </c>
      <c r="AQ450" s="10">
        <f>IF('PV IN'!$F$4="PV Only",0,BattCalcs!AT450)</f>
        <v>0</v>
      </c>
      <c r="AR450" s="10">
        <f>IF('PV IN'!$F$4="PV Only",0,BattCalcs!AU450)</f>
        <v>0</v>
      </c>
      <c r="AS450" s="144">
        <f>IF('PV IN'!$F$4="PV Only",PVCalcs!X450,IF('PV IN'!$F$4="Battery Only",BattCalcs!AW450,PVCalcs!X450+BattCalcs!AW450))</f>
        <v>0</v>
      </c>
      <c r="AT450" s="144">
        <f>IF('PV IN'!$F$4="Battery Only",0,-PVCalcs!AQ450*'PV IN'!$E$8)</f>
        <v>0</v>
      </c>
      <c r="AU450" s="144">
        <f>IF('PV IN'!$F$4="PV Only",0,-BattCalcs!CG450*'PV IN'!$E$8)</f>
        <v>0</v>
      </c>
      <c r="AV450" s="144">
        <f>IF('PV IN'!$F$4="PV Only",PVCalcs!Z450+PVCalcs!AA450,IF('PV IN'!$F$4="Battery Only",SUM(BattCalcs!BC450:BH450),PVCalcs!Z450+PVCalcs!AA450+SUM(BattCalcs!BC450:BH450)))</f>
        <v>0</v>
      </c>
      <c r="AW450" s="144">
        <f>IF('PV IN'!$F$4="PV Only",SUM(PVCalcs!AF450:AI450),IF('PV IN'!$F$4="Battery Only",SUM(BattCalcs!BL450:BY450),SUM(PVCalcs!AF450:AI450)+SUM(BattCalcs!BL450:BY450)))</f>
        <v>-1375</v>
      </c>
      <c r="AX450" s="144">
        <f>IF('PV IN'!$F$4="Battery Only",0,-PVLoan!F478)</f>
        <v>0</v>
      </c>
      <c r="AY450" s="144">
        <f>IF('PV IN'!$F$4="PV Only",0,-BattLoan!F478)</f>
        <v>0</v>
      </c>
      <c r="AZ450" s="144">
        <f>IF('PV IN'!$F$4="Battery Only",0,-PVLoan!H478)</f>
        <v>0</v>
      </c>
      <c r="BA450" s="144">
        <f>IF('PV IN'!$F$4="PV Only",0,-BattLoan!H478)</f>
        <v>0</v>
      </c>
    </row>
    <row r="451" spans="1:88" x14ac:dyDescent="0.25">
      <c r="A451" t="str">
        <f>IF(C451&lt;='PV IN'!$O$22*12,C451,"")</f>
        <v/>
      </c>
      <c r="C451">
        <v>447</v>
      </c>
      <c r="D451" s="2">
        <f>BattCalcs!CK451+PVCalcs!AT451</f>
        <v>7849.9816922142381</v>
      </c>
      <c r="E451" s="20">
        <f>PVCalcs!AV451</f>
        <v>3168820.5281659346</v>
      </c>
      <c r="F451" s="20">
        <f>PVCalcs!AW451</f>
        <v>1275.1675532349473</v>
      </c>
      <c r="G451" s="20" t="e">
        <f>PVCalcs!AX451</f>
        <v>#N/A</v>
      </c>
      <c r="H451" s="20">
        <f>BattCalcs!CM451</f>
        <v>0</v>
      </c>
      <c r="I451" s="20">
        <f>BattCalcs!CN451</f>
        <v>0</v>
      </c>
      <c r="J451" s="20" t="e">
        <f>IF(C451&lt;='Batt IN'!H$43*12,BattCalcs!CO451,NA())</f>
        <v>#N/A</v>
      </c>
      <c r="L451" s="20">
        <f t="shared" si="1173"/>
        <v>1275.1675532349473</v>
      </c>
      <c r="M451" s="20" t="e">
        <f>G451+BattCalcs!CO451</f>
        <v>#N/A</v>
      </c>
      <c r="O451" s="10" t="str">
        <f>PVLoan!G479</f>
        <v>-</v>
      </c>
      <c r="P451" s="10" t="str">
        <f>PVLoan!J479</f>
        <v>-</v>
      </c>
      <c r="Q451" s="2" t="str">
        <f>BattLoan!G479</f>
        <v>-</v>
      </c>
      <c r="R451" s="10" t="str">
        <f>BattLoan!J479</f>
        <v>-</v>
      </c>
      <c r="T451" s="33">
        <f>IF('PV IN'!$F$4="Battery Only",0,PVCalcs!G451)</f>
        <v>113265.21538584497</v>
      </c>
      <c r="U451" s="33">
        <f>IF('PV IN'!$F$4="Battery Only",0,PVCalcs!M451)</f>
        <v>113265.21538584497</v>
      </c>
      <c r="V451" s="33">
        <f>PVCalcs!L451</f>
        <v>25811.765833333331</v>
      </c>
      <c r="W451" s="158">
        <f>PVCalcs!F451</f>
        <v>7.8896523189157505E-2</v>
      </c>
      <c r="X451" s="144">
        <f>IF('PV IN'!$F$4="Battery Only",0,PVCalcs!Y451+PVCalcs!Z451)</f>
        <v>0</v>
      </c>
      <c r="Y451" s="144">
        <f>IF('PV IN'!$F$4="PV Only",0,BattCalcs!AX451+BattCalcs!BC451)</f>
        <v>0</v>
      </c>
      <c r="Z451" s="144">
        <f>IF('PV IN'!$F$4="PV Only",0,BattCalcs!AY451+BattCalcs!BD451)</f>
        <v>0</v>
      </c>
      <c r="AA451" s="144">
        <f>IF('PV IN'!$F$4="PV Only",0,BattCalcs!AZ451+BattCalcs!BE451)</f>
        <v>0</v>
      </c>
      <c r="AB451" s="144">
        <f>IF('PV IN'!$F$4="PV Only",0,BattCalcs!BA451+BattCalcs!BF451)</f>
        <v>0</v>
      </c>
      <c r="AC451" s="144">
        <f>IF('PV IN'!$F$4="PV Only",0,BattCalcs!BB451+BattCalcs!BG451)</f>
        <v>0</v>
      </c>
      <c r="AD451" s="144">
        <f>IF('PV IN'!$F$4="PV Only",0,BattCalcs!BU451)</f>
        <v>0</v>
      </c>
      <c r="AE451" s="144">
        <f>IF('PV IN'!$F$4="PV Only",PVCalcs!W451+PVCalcs!AA451,IF('PV IN'!$F$4="Battery Only",BattCalcs!AV451+BattCalcs!BH451,PVCalcs!W451+PVCalcs!AA451+BattCalcs!AV451+BattCalcs!BH451))</f>
        <v>0</v>
      </c>
      <c r="AF451" s="10">
        <f>PVCalcs!AC451+BattCalcs!BJ451</f>
        <v>0</v>
      </c>
      <c r="AG451" s="144">
        <f>IF('PV IN'!$F$4="Battery Only",0,PVCalcs!AG451)</f>
        <v>-750</v>
      </c>
      <c r="AH451" s="144">
        <f>IF('PV IN'!$F$4="Battery Only",0,PVCalcs!AI451)</f>
        <v>0</v>
      </c>
      <c r="AI451" s="144">
        <f>IF('PV IN'!$F$4="PV Only",0,BattCalcs!BM451)</f>
        <v>0</v>
      </c>
      <c r="AJ451" s="144">
        <f>IF('PV IN'!$F$4="PV Only",0,SUM(BattCalcs!BO451:BT451))</f>
        <v>0</v>
      </c>
      <c r="AK451" s="144">
        <f>IF('PV IN'!$F$4="PV Only",PVCalcs!AH451,IF('PV IN'!$F$4="Battery Only",BattCalcs!BN451,PVCalcs!AH451+BattCalcs!BN451))</f>
        <v>-625</v>
      </c>
      <c r="AL451" s="144">
        <f>IF('PV IN'!$F$4="PV Only",0,BattCalcs!BV451)</f>
        <v>0</v>
      </c>
      <c r="AM451" s="144">
        <f>IF('PV IN'!$F$4="PV Only",0,SUM(BattCalcs!BW451:BX451))</f>
        <v>0</v>
      </c>
      <c r="AN451" s="144">
        <f>IF('PV IN'!$F$4="PV Only",0,BattCalcs!BY451)</f>
        <v>0</v>
      </c>
      <c r="AO451" s="144">
        <f>IF('PV IN'!$F$4="Battery Only",0,PVCalcs!U451)</f>
        <v>8936.2316922142381</v>
      </c>
      <c r="AP451" s="10">
        <f>IF('PV IN'!$F$4="PV Only",0,BattCalcs!AS451)</f>
        <v>0</v>
      </c>
      <c r="AQ451" s="10">
        <f>IF('PV IN'!$F$4="PV Only",0,BattCalcs!AT451)</f>
        <v>0</v>
      </c>
      <c r="AR451" s="10">
        <f>IF('PV IN'!$F$4="PV Only",0,BattCalcs!AU451)</f>
        <v>0</v>
      </c>
      <c r="AS451" s="144">
        <f>IF('PV IN'!$F$4="PV Only",PVCalcs!X451,IF('PV IN'!$F$4="Battery Only",BattCalcs!AW451,PVCalcs!X451+BattCalcs!AW451))</f>
        <v>0</v>
      </c>
      <c r="AT451" s="144">
        <f>IF('PV IN'!$F$4="Battery Only",0,-PVCalcs!AQ451*'PV IN'!$E$8)</f>
        <v>0</v>
      </c>
      <c r="AU451" s="144">
        <f>IF('PV IN'!$F$4="PV Only",0,-BattCalcs!CG451*'PV IN'!$E$8)</f>
        <v>0</v>
      </c>
      <c r="AV451" s="144">
        <f>IF('PV IN'!$F$4="PV Only",PVCalcs!Z451+PVCalcs!AA451,IF('PV IN'!$F$4="Battery Only",SUM(BattCalcs!BC451:BH451),PVCalcs!Z451+PVCalcs!AA451+SUM(BattCalcs!BC451:BH451)))</f>
        <v>0</v>
      </c>
      <c r="AW451" s="144">
        <f>IF('PV IN'!$F$4="PV Only",SUM(PVCalcs!AF451:AI451),IF('PV IN'!$F$4="Battery Only",SUM(BattCalcs!BL451:BY451),SUM(PVCalcs!AF451:AI451)+SUM(BattCalcs!BL451:BY451)))</f>
        <v>-1375</v>
      </c>
      <c r="AX451" s="144">
        <f>IF('PV IN'!$F$4="Battery Only",0,-PVLoan!F479)</f>
        <v>0</v>
      </c>
      <c r="AY451" s="144">
        <f>IF('PV IN'!$F$4="PV Only",0,-BattLoan!F479)</f>
        <v>0</v>
      </c>
      <c r="AZ451" s="144">
        <f>IF('PV IN'!$F$4="Battery Only",0,-PVLoan!H479)</f>
        <v>0</v>
      </c>
      <c r="BA451" s="144">
        <f>IF('PV IN'!$F$4="PV Only",0,-BattLoan!H479)</f>
        <v>0</v>
      </c>
    </row>
    <row r="452" spans="1:88" x14ac:dyDescent="0.25">
      <c r="A452" t="str">
        <f>IF(C452&lt;='PV IN'!$O$22*12,C452,"")</f>
        <v/>
      </c>
      <c r="C452">
        <v>448</v>
      </c>
      <c r="D452" s="2">
        <f>BattCalcs!CK452+PVCalcs!AT452</f>
        <v>7844.0242044194292</v>
      </c>
      <c r="E452" s="20">
        <f>PVCalcs!AV452</f>
        <v>3176664.5523703541</v>
      </c>
      <c r="F452" s="20">
        <f>PVCalcs!AW452</f>
        <v>1269.0296226071969</v>
      </c>
      <c r="G452" s="20" t="e">
        <f>PVCalcs!AX452</f>
        <v>#N/A</v>
      </c>
      <c r="H452" s="20">
        <f>BattCalcs!CM452</f>
        <v>0</v>
      </c>
      <c r="I452" s="20">
        <f>BattCalcs!CN452</f>
        <v>0</v>
      </c>
      <c r="J452" s="20" t="e">
        <f>IF(C452&lt;='Batt IN'!H$43*12,BattCalcs!CO452,NA())</f>
        <v>#N/A</v>
      </c>
      <c r="L452" s="20">
        <f t="shared" si="1173"/>
        <v>1269.0296226071969</v>
      </c>
      <c r="M452" s="20" t="e">
        <f>G452+BattCalcs!CO452</f>
        <v>#N/A</v>
      </c>
      <c r="O452" s="10" t="str">
        <f>PVLoan!G480</f>
        <v>-</v>
      </c>
      <c r="P452" s="10" t="str">
        <f>PVLoan!J480</f>
        <v>-</v>
      </c>
      <c r="Q452" s="2" t="str">
        <f>BattLoan!G480</f>
        <v>-</v>
      </c>
      <c r="R452" s="10" t="str">
        <f>BattLoan!J480</f>
        <v>-</v>
      </c>
      <c r="T452" s="33">
        <f>IF('PV IN'!$F$4="Battery Only",0,PVCalcs!G452)</f>
        <v>113189.70524225444</v>
      </c>
      <c r="U452" s="33">
        <f>IF('PV IN'!$F$4="Battery Only",0,PVCalcs!M452)</f>
        <v>113189.70524225444</v>
      </c>
      <c r="V452" s="33">
        <f>PVCalcs!L452</f>
        <v>25811.765833333331</v>
      </c>
      <c r="W452" s="158">
        <f>PVCalcs!F452</f>
        <v>7.8896523189157505E-2</v>
      </c>
      <c r="X452" s="144">
        <f>IF('PV IN'!$F$4="Battery Only",0,PVCalcs!Y452+PVCalcs!Z452)</f>
        <v>0</v>
      </c>
      <c r="Y452" s="144">
        <f>IF('PV IN'!$F$4="PV Only",0,BattCalcs!AX452+BattCalcs!BC452)</f>
        <v>0</v>
      </c>
      <c r="Z452" s="144">
        <f>IF('PV IN'!$F$4="PV Only",0,BattCalcs!AY452+BattCalcs!BD452)</f>
        <v>0</v>
      </c>
      <c r="AA452" s="144">
        <f>IF('PV IN'!$F$4="PV Only",0,BattCalcs!AZ452+BattCalcs!BE452)</f>
        <v>0</v>
      </c>
      <c r="AB452" s="144">
        <f>IF('PV IN'!$F$4="PV Only",0,BattCalcs!BA452+BattCalcs!BF452)</f>
        <v>0</v>
      </c>
      <c r="AC452" s="144">
        <f>IF('PV IN'!$F$4="PV Only",0,BattCalcs!BB452+BattCalcs!BG452)</f>
        <v>0</v>
      </c>
      <c r="AD452" s="144">
        <f>IF('PV IN'!$F$4="PV Only",0,BattCalcs!BU452)</f>
        <v>0</v>
      </c>
      <c r="AE452" s="144">
        <f>IF('PV IN'!$F$4="PV Only",PVCalcs!W452+PVCalcs!AA452,IF('PV IN'!$F$4="Battery Only",BattCalcs!AV452+BattCalcs!BH452,PVCalcs!W452+PVCalcs!AA452+BattCalcs!AV452+BattCalcs!BH452))</f>
        <v>0</v>
      </c>
      <c r="AF452" s="10">
        <f>PVCalcs!AC452+BattCalcs!BJ452</f>
        <v>0</v>
      </c>
      <c r="AG452" s="144">
        <f>IF('PV IN'!$F$4="Battery Only",0,PVCalcs!AG452)</f>
        <v>-750</v>
      </c>
      <c r="AH452" s="144">
        <f>IF('PV IN'!$F$4="Battery Only",0,PVCalcs!AI452)</f>
        <v>0</v>
      </c>
      <c r="AI452" s="144">
        <f>IF('PV IN'!$F$4="PV Only",0,BattCalcs!BM452)</f>
        <v>0</v>
      </c>
      <c r="AJ452" s="144">
        <f>IF('PV IN'!$F$4="PV Only",0,SUM(BattCalcs!BO452:BT452))</f>
        <v>0</v>
      </c>
      <c r="AK452" s="144">
        <f>IF('PV IN'!$F$4="PV Only",PVCalcs!AH452,IF('PV IN'!$F$4="Battery Only",BattCalcs!BN452,PVCalcs!AH452+BattCalcs!BN452))</f>
        <v>-625</v>
      </c>
      <c r="AL452" s="144">
        <f>IF('PV IN'!$F$4="PV Only",0,BattCalcs!BV452)</f>
        <v>0</v>
      </c>
      <c r="AM452" s="144">
        <f>IF('PV IN'!$F$4="PV Only",0,SUM(BattCalcs!BW452:BX452))</f>
        <v>0</v>
      </c>
      <c r="AN452" s="144">
        <f>IF('PV IN'!$F$4="PV Only",0,BattCalcs!BY452)</f>
        <v>0</v>
      </c>
      <c r="AO452" s="144">
        <f>IF('PV IN'!$F$4="Battery Only",0,PVCalcs!U452)</f>
        <v>8930.2742044194292</v>
      </c>
      <c r="AP452" s="10">
        <f>IF('PV IN'!$F$4="PV Only",0,BattCalcs!AS452)</f>
        <v>0</v>
      </c>
      <c r="AQ452" s="10">
        <f>IF('PV IN'!$F$4="PV Only",0,BattCalcs!AT452)</f>
        <v>0</v>
      </c>
      <c r="AR452" s="10">
        <f>IF('PV IN'!$F$4="PV Only",0,BattCalcs!AU452)</f>
        <v>0</v>
      </c>
      <c r="AS452" s="144">
        <f>IF('PV IN'!$F$4="PV Only",PVCalcs!X452,IF('PV IN'!$F$4="Battery Only",BattCalcs!AW452,PVCalcs!X452+BattCalcs!AW452))</f>
        <v>0</v>
      </c>
      <c r="AT452" s="144">
        <f>IF('PV IN'!$F$4="Battery Only",0,-PVCalcs!AQ452*'PV IN'!$E$8)</f>
        <v>0</v>
      </c>
      <c r="AU452" s="144">
        <f>IF('PV IN'!$F$4="PV Only",0,-BattCalcs!CG452*'PV IN'!$E$8)</f>
        <v>0</v>
      </c>
      <c r="AV452" s="144">
        <f>IF('PV IN'!$F$4="PV Only",PVCalcs!Z452+PVCalcs!AA452,IF('PV IN'!$F$4="Battery Only",SUM(BattCalcs!BC452:BH452),PVCalcs!Z452+PVCalcs!AA452+SUM(BattCalcs!BC452:BH452)))</f>
        <v>0</v>
      </c>
      <c r="AW452" s="144">
        <f>IF('PV IN'!$F$4="PV Only",SUM(PVCalcs!AF452:AI452),IF('PV IN'!$F$4="Battery Only",SUM(BattCalcs!BL452:BY452),SUM(PVCalcs!AF452:AI452)+SUM(BattCalcs!BL452:BY452)))</f>
        <v>-1375</v>
      </c>
      <c r="AX452" s="144">
        <f>IF('PV IN'!$F$4="Battery Only",0,-PVLoan!F480)</f>
        <v>0</v>
      </c>
      <c r="AY452" s="144">
        <f>IF('PV IN'!$F$4="PV Only",0,-BattLoan!F480)</f>
        <v>0</v>
      </c>
      <c r="AZ452" s="144">
        <f>IF('PV IN'!$F$4="Battery Only",0,-PVLoan!H480)</f>
        <v>0</v>
      </c>
      <c r="BA452" s="144">
        <f>IF('PV IN'!$F$4="PV Only",0,-BattLoan!H480)</f>
        <v>0</v>
      </c>
    </row>
    <row r="453" spans="1:88" x14ac:dyDescent="0.25">
      <c r="A453" t="str">
        <f>IF(C453&lt;='PV IN'!$O$22*12,C453,"")</f>
        <v/>
      </c>
      <c r="C453">
        <v>449</v>
      </c>
      <c r="D453" s="2">
        <f>BattCalcs!CK453+PVCalcs!AT453</f>
        <v>7838.0706882831473</v>
      </c>
      <c r="E453" s="20">
        <f>PVCalcs!AV453</f>
        <v>3184502.6230586371</v>
      </c>
      <c r="F453" s="20">
        <f>PVCalcs!AW453</f>
        <v>1262.9211479307119</v>
      </c>
      <c r="G453" s="20" t="e">
        <f>PVCalcs!AX453</f>
        <v>#N/A</v>
      </c>
      <c r="H453" s="20">
        <f>BattCalcs!CM453</f>
        <v>0</v>
      </c>
      <c r="I453" s="20">
        <f>BattCalcs!CN453</f>
        <v>0</v>
      </c>
      <c r="J453" s="20" t="e">
        <f>IF(C453&lt;='Batt IN'!H$43*12,BattCalcs!CO453,NA())</f>
        <v>#N/A</v>
      </c>
      <c r="L453" s="20">
        <f t="shared" si="1173"/>
        <v>1262.9211479307119</v>
      </c>
      <c r="M453" s="20" t="e">
        <f>G453+BattCalcs!CO453</f>
        <v>#N/A</v>
      </c>
      <c r="O453" s="10" t="str">
        <f>PVLoan!G481</f>
        <v>-</v>
      </c>
      <c r="P453" s="10" t="str">
        <f>PVLoan!J481</f>
        <v>-</v>
      </c>
      <c r="Q453" s="2" t="str">
        <f>BattLoan!G481</f>
        <v>-</v>
      </c>
      <c r="R453" s="10" t="str">
        <f>BattLoan!J481</f>
        <v>-</v>
      </c>
      <c r="T453" s="33">
        <f>IF('PV IN'!$F$4="Battery Only",0,PVCalcs!G453)</f>
        <v>113114.24543875956</v>
      </c>
      <c r="U453" s="33">
        <f>IF('PV IN'!$F$4="Battery Only",0,PVCalcs!M453)</f>
        <v>113114.24543875956</v>
      </c>
      <c r="V453" s="33">
        <f>PVCalcs!L453</f>
        <v>25811.765833333331</v>
      </c>
      <c r="W453" s="158">
        <f>PVCalcs!F453</f>
        <v>7.8896523189157505E-2</v>
      </c>
      <c r="X453" s="144">
        <f>IF('PV IN'!$F$4="Battery Only",0,PVCalcs!Y453+PVCalcs!Z453)</f>
        <v>0</v>
      </c>
      <c r="Y453" s="144">
        <f>IF('PV IN'!$F$4="PV Only",0,BattCalcs!AX453+BattCalcs!BC453)</f>
        <v>0</v>
      </c>
      <c r="Z453" s="144">
        <f>IF('PV IN'!$F$4="PV Only",0,BattCalcs!AY453+BattCalcs!BD453)</f>
        <v>0</v>
      </c>
      <c r="AA453" s="144">
        <f>IF('PV IN'!$F$4="PV Only",0,BattCalcs!AZ453+BattCalcs!BE453)</f>
        <v>0</v>
      </c>
      <c r="AB453" s="144">
        <f>IF('PV IN'!$F$4="PV Only",0,BattCalcs!BA453+BattCalcs!BF453)</f>
        <v>0</v>
      </c>
      <c r="AC453" s="144">
        <f>IF('PV IN'!$F$4="PV Only",0,BattCalcs!BB453+BattCalcs!BG453)</f>
        <v>0</v>
      </c>
      <c r="AD453" s="144">
        <f>IF('PV IN'!$F$4="PV Only",0,BattCalcs!BU453)</f>
        <v>0</v>
      </c>
      <c r="AE453" s="144">
        <f>IF('PV IN'!$F$4="PV Only",PVCalcs!W453+PVCalcs!AA453,IF('PV IN'!$F$4="Battery Only",BattCalcs!AV453+BattCalcs!BH453,PVCalcs!W453+PVCalcs!AA453+BattCalcs!AV453+BattCalcs!BH453))</f>
        <v>0</v>
      </c>
      <c r="AF453" s="10">
        <f>PVCalcs!AC453+BattCalcs!BJ453</f>
        <v>0</v>
      </c>
      <c r="AG453" s="144">
        <f>IF('PV IN'!$F$4="Battery Only",0,PVCalcs!AG453)</f>
        <v>-750</v>
      </c>
      <c r="AH453" s="144">
        <f>IF('PV IN'!$F$4="Battery Only",0,PVCalcs!AI453)</f>
        <v>0</v>
      </c>
      <c r="AI453" s="144">
        <f>IF('PV IN'!$F$4="PV Only",0,BattCalcs!BM453)</f>
        <v>0</v>
      </c>
      <c r="AJ453" s="144">
        <f>IF('PV IN'!$F$4="PV Only",0,SUM(BattCalcs!BO453:BT453))</f>
        <v>0</v>
      </c>
      <c r="AK453" s="144">
        <f>IF('PV IN'!$F$4="PV Only",PVCalcs!AH453,IF('PV IN'!$F$4="Battery Only",BattCalcs!BN453,PVCalcs!AH453+BattCalcs!BN453))</f>
        <v>-625</v>
      </c>
      <c r="AL453" s="144">
        <f>IF('PV IN'!$F$4="PV Only",0,BattCalcs!BV453)</f>
        <v>0</v>
      </c>
      <c r="AM453" s="144">
        <f>IF('PV IN'!$F$4="PV Only",0,SUM(BattCalcs!BW453:BX453))</f>
        <v>0</v>
      </c>
      <c r="AN453" s="144">
        <f>IF('PV IN'!$F$4="PV Only",0,BattCalcs!BY453)</f>
        <v>0</v>
      </c>
      <c r="AO453" s="144">
        <f>IF('PV IN'!$F$4="Battery Only",0,PVCalcs!U453)</f>
        <v>8924.3206882831473</v>
      </c>
      <c r="AP453" s="10">
        <f>IF('PV IN'!$F$4="PV Only",0,BattCalcs!AS453)</f>
        <v>0</v>
      </c>
      <c r="AQ453" s="10">
        <f>IF('PV IN'!$F$4="PV Only",0,BattCalcs!AT453)</f>
        <v>0</v>
      </c>
      <c r="AR453" s="10">
        <f>IF('PV IN'!$F$4="PV Only",0,BattCalcs!AU453)</f>
        <v>0</v>
      </c>
      <c r="AS453" s="144">
        <f>IF('PV IN'!$F$4="PV Only",PVCalcs!X453,IF('PV IN'!$F$4="Battery Only",BattCalcs!AW453,PVCalcs!X453+BattCalcs!AW453))</f>
        <v>0</v>
      </c>
      <c r="AT453" s="144">
        <f>IF('PV IN'!$F$4="Battery Only",0,-PVCalcs!AQ453*'PV IN'!$E$8)</f>
        <v>0</v>
      </c>
      <c r="AU453" s="144">
        <f>IF('PV IN'!$F$4="PV Only",0,-BattCalcs!CG453*'PV IN'!$E$8)</f>
        <v>0</v>
      </c>
      <c r="AV453" s="144">
        <f>IF('PV IN'!$F$4="PV Only",PVCalcs!Z453+PVCalcs!AA453,IF('PV IN'!$F$4="Battery Only",SUM(BattCalcs!BC453:BH453),PVCalcs!Z453+PVCalcs!AA453+SUM(BattCalcs!BC453:BH453)))</f>
        <v>0</v>
      </c>
      <c r="AW453" s="144">
        <f>IF('PV IN'!$F$4="PV Only",SUM(PVCalcs!AF453:AI453),IF('PV IN'!$F$4="Battery Only",SUM(BattCalcs!BL453:BY453),SUM(PVCalcs!AF453:AI453)+SUM(BattCalcs!BL453:BY453)))</f>
        <v>-1375</v>
      </c>
      <c r="AX453" s="144">
        <f>IF('PV IN'!$F$4="Battery Only",0,-PVLoan!F481)</f>
        <v>0</v>
      </c>
      <c r="AY453" s="144">
        <f>IF('PV IN'!$F$4="PV Only",0,-BattLoan!F481)</f>
        <v>0</v>
      </c>
      <c r="AZ453" s="144">
        <f>IF('PV IN'!$F$4="Battery Only",0,-PVLoan!H481)</f>
        <v>0</v>
      </c>
      <c r="BA453" s="144">
        <f>IF('PV IN'!$F$4="PV Only",0,-BattLoan!H481)</f>
        <v>0</v>
      </c>
    </row>
    <row r="454" spans="1:88" x14ac:dyDescent="0.25">
      <c r="A454" t="str">
        <f>IF(C454&lt;='PV IN'!$O$22*12,C454,"")</f>
        <v/>
      </c>
      <c r="C454">
        <v>450</v>
      </c>
      <c r="D454" s="2">
        <f>BattCalcs!CK454+PVCalcs!AT454</f>
        <v>7832.121141157626</v>
      </c>
      <c r="E454" s="20">
        <f>PVCalcs!AV454</f>
        <v>3192334.7441997947</v>
      </c>
      <c r="F454" s="20">
        <f>PVCalcs!AW454</f>
        <v>1256.8419881987268</v>
      </c>
      <c r="G454" s="20" t="e">
        <f>PVCalcs!AX454</f>
        <v>#N/A</v>
      </c>
      <c r="H454" s="20">
        <f>BattCalcs!CM454</f>
        <v>0</v>
      </c>
      <c r="I454" s="20">
        <f>BattCalcs!CN454</f>
        <v>0</v>
      </c>
      <c r="J454" s="20" t="e">
        <f>IF(C454&lt;='Batt IN'!H$43*12,BattCalcs!CO454,NA())</f>
        <v>#N/A</v>
      </c>
      <c r="L454" s="20">
        <f t="shared" si="1173"/>
        <v>1256.8419881987268</v>
      </c>
      <c r="M454" s="20" t="e">
        <f>G454+BattCalcs!CO454</f>
        <v>#N/A</v>
      </c>
      <c r="O454" s="10" t="str">
        <f>PVLoan!G482</f>
        <v>-</v>
      </c>
      <c r="P454" s="10" t="str">
        <f>PVLoan!J482</f>
        <v>-</v>
      </c>
      <c r="Q454" s="2" t="str">
        <f>BattLoan!G482</f>
        <v>-</v>
      </c>
      <c r="R454" s="10" t="str">
        <f>BattLoan!J482</f>
        <v>-</v>
      </c>
      <c r="T454" s="33">
        <f>IF('PV IN'!$F$4="Battery Only",0,PVCalcs!G454)</f>
        <v>113038.8359418004</v>
      </c>
      <c r="U454" s="33">
        <f>IF('PV IN'!$F$4="Battery Only",0,PVCalcs!M454)</f>
        <v>113038.8359418004</v>
      </c>
      <c r="V454" s="33">
        <f>PVCalcs!L454</f>
        <v>25811.765833333331</v>
      </c>
      <c r="W454" s="158">
        <f>PVCalcs!F454</f>
        <v>7.8896523189157505E-2</v>
      </c>
      <c r="X454" s="144">
        <f>IF('PV IN'!$F$4="Battery Only",0,PVCalcs!Y454+PVCalcs!Z454)</f>
        <v>0</v>
      </c>
      <c r="Y454" s="144">
        <f>IF('PV IN'!$F$4="PV Only",0,BattCalcs!AX454+BattCalcs!BC454)</f>
        <v>0</v>
      </c>
      <c r="Z454" s="144">
        <f>IF('PV IN'!$F$4="PV Only",0,BattCalcs!AY454+BattCalcs!BD454)</f>
        <v>0</v>
      </c>
      <c r="AA454" s="144">
        <f>IF('PV IN'!$F$4="PV Only",0,BattCalcs!AZ454+BattCalcs!BE454)</f>
        <v>0</v>
      </c>
      <c r="AB454" s="144">
        <f>IF('PV IN'!$F$4="PV Only",0,BattCalcs!BA454+BattCalcs!BF454)</f>
        <v>0</v>
      </c>
      <c r="AC454" s="144">
        <f>IF('PV IN'!$F$4="PV Only",0,BattCalcs!BB454+BattCalcs!BG454)</f>
        <v>0</v>
      </c>
      <c r="AD454" s="144">
        <f>IF('PV IN'!$F$4="PV Only",0,BattCalcs!BU454)</f>
        <v>0</v>
      </c>
      <c r="AE454" s="144">
        <f>IF('PV IN'!$F$4="PV Only",PVCalcs!W454+PVCalcs!AA454,IF('PV IN'!$F$4="Battery Only",BattCalcs!AV454+BattCalcs!BH454,PVCalcs!W454+PVCalcs!AA454+BattCalcs!AV454+BattCalcs!BH454))</f>
        <v>0</v>
      </c>
      <c r="AF454" s="10">
        <f>PVCalcs!AC454+BattCalcs!BJ454</f>
        <v>0</v>
      </c>
      <c r="AG454" s="144">
        <f>IF('PV IN'!$F$4="Battery Only",0,PVCalcs!AG454)</f>
        <v>-750</v>
      </c>
      <c r="AH454" s="144">
        <f>IF('PV IN'!$F$4="Battery Only",0,PVCalcs!AI454)</f>
        <v>0</v>
      </c>
      <c r="AI454" s="144">
        <f>IF('PV IN'!$F$4="PV Only",0,BattCalcs!BM454)</f>
        <v>0</v>
      </c>
      <c r="AJ454" s="144">
        <f>IF('PV IN'!$F$4="PV Only",0,SUM(BattCalcs!BO454:BT454))</f>
        <v>0</v>
      </c>
      <c r="AK454" s="144">
        <f>IF('PV IN'!$F$4="PV Only",PVCalcs!AH454,IF('PV IN'!$F$4="Battery Only",BattCalcs!BN454,PVCalcs!AH454+BattCalcs!BN454))</f>
        <v>-625</v>
      </c>
      <c r="AL454" s="144">
        <f>IF('PV IN'!$F$4="PV Only",0,BattCalcs!BV454)</f>
        <v>0</v>
      </c>
      <c r="AM454" s="144">
        <f>IF('PV IN'!$F$4="PV Only",0,SUM(BattCalcs!BW454:BX454))</f>
        <v>0</v>
      </c>
      <c r="AN454" s="144">
        <f>IF('PV IN'!$F$4="PV Only",0,BattCalcs!BY454)</f>
        <v>0</v>
      </c>
      <c r="AO454" s="144">
        <f>IF('PV IN'!$F$4="Battery Only",0,PVCalcs!U454)</f>
        <v>8918.371141157626</v>
      </c>
      <c r="AP454" s="10">
        <f>IF('PV IN'!$F$4="PV Only",0,BattCalcs!AS454)</f>
        <v>0</v>
      </c>
      <c r="AQ454" s="10">
        <f>IF('PV IN'!$F$4="PV Only",0,BattCalcs!AT454)</f>
        <v>0</v>
      </c>
      <c r="AR454" s="10">
        <f>IF('PV IN'!$F$4="PV Only",0,BattCalcs!AU454)</f>
        <v>0</v>
      </c>
      <c r="AS454" s="144">
        <f>IF('PV IN'!$F$4="PV Only",PVCalcs!X454,IF('PV IN'!$F$4="Battery Only",BattCalcs!AW454,PVCalcs!X454+BattCalcs!AW454))</f>
        <v>0</v>
      </c>
      <c r="AT454" s="144">
        <f>IF('PV IN'!$F$4="Battery Only",0,-PVCalcs!AQ454*'PV IN'!$E$8)</f>
        <v>0</v>
      </c>
      <c r="AU454" s="144">
        <f>IF('PV IN'!$F$4="PV Only",0,-BattCalcs!CG454*'PV IN'!$E$8)</f>
        <v>0</v>
      </c>
      <c r="AV454" s="144">
        <f>IF('PV IN'!$F$4="PV Only",PVCalcs!Z454+PVCalcs!AA454,IF('PV IN'!$F$4="Battery Only",SUM(BattCalcs!BC454:BH454),PVCalcs!Z454+PVCalcs!AA454+SUM(BattCalcs!BC454:BH454)))</f>
        <v>0</v>
      </c>
      <c r="AW454" s="144">
        <f>IF('PV IN'!$F$4="PV Only",SUM(PVCalcs!AF454:AI454),IF('PV IN'!$F$4="Battery Only",SUM(BattCalcs!BL454:BY454),SUM(PVCalcs!AF454:AI454)+SUM(BattCalcs!BL454:BY454)))</f>
        <v>-1375</v>
      </c>
      <c r="AX454" s="144">
        <f>IF('PV IN'!$F$4="Battery Only",0,-PVLoan!F482)</f>
        <v>0</v>
      </c>
      <c r="AY454" s="144">
        <f>IF('PV IN'!$F$4="PV Only",0,-BattLoan!F482)</f>
        <v>0</v>
      </c>
      <c r="AZ454" s="144">
        <f>IF('PV IN'!$F$4="Battery Only",0,-PVLoan!H482)</f>
        <v>0</v>
      </c>
      <c r="BA454" s="144">
        <f>IF('PV IN'!$F$4="PV Only",0,-BattLoan!H482)</f>
        <v>0</v>
      </c>
    </row>
    <row r="455" spans="1:88" x14ac:dyDescent="0.25">
      <c r="A455" t="str">
        <f>IF(C455&lt;='PV IN'!$O$22*12,C455,"")</f>
        <v/>
      </c>
      <c r="C455">
        <v>451</v>
      </c>
      <c r="D455" s="2">
        <f>BattCalcs!CK455+PVCalcs!AT455</f>
        <v>7826.1755603968541</v>
      </c>
      <c r="E455" s="20">
        <f>PVCalcs!AV455</f>
        <v>3200160.9197601913</v>
      </c>
      <c r="F455" s="20">
        <f>PVCalcs!AW455</f>
        <v>1250.7920030780733</v>
      </c>
      <c r="G455" s="20" t="e">
        <f>PVCalcs!AX455</f>
        <v>#N/A</v>
      </c>
      <c r="H455" s="20">
        <f>BattCalcs!CM455</f>
        <v>0</v>
      </c>
      <c r="I455" s="20">
        <f>BattCalcs!CN455</f>
        <v>0</v>
      </c>
      <c r="J455" s="20" t="e">
        <f>IF(C455&lt;='Batt IN'!H$43*12,BattCalcs!CO455,NA())</f>
        <v>#N/A</v>
      </c>
      <c r="L455" s="20">
        <f t="shared" si="1173"/>
        <v>1250.7920030780733</v>
      </c>
      <c r="M455" s="20" t="e">
        <f>G455+BattCalcs!CO455</f>
        <v>#N/A</v>
      </c>
      <c r="O455" s="10" t="str">
        <f>PVLoan!G483</f>
        <v>-</v>
      </c>
      <c r="P455" s="10" t="str">
        <f>PVLoan!J483</f>
        <v>-</v>
      </c>
      <c r="Q455" s="2" t="str">
        <f>BattLoan!G483</f>
        <v>-</v>
      </c>
      <c r="R455" s="10" t="str">
        <f>BattLoan!J483</f>
        <v>-</v>
      </c>
      <c r="T455" s="33">
        <f>IF('PV IN'!$F$4="Battery Only",0,PVCalcs!G455)</f>
        <v>112963.47671783919</v>
      </c>
      <c r="U455" s="33">
        <f>IF('PV IN'!$F$4="Battery Only",0,PVCalcs!M455)</f>
        <v>112963.47671783919</v>
      </c>
      <c r="V455" s="33">
        <f>PVCalcs!L455</f>
        <v>25811.765833333331</v>
      </c>
      <c r="W455" s="158">
        <f>PVCalcs!F455</f>
        <v>7.8896523189157505E-2</v>
      </c>
      <c r="X455" s="144">
        <f>IF('PV IN'!$F$4="Battery Only",0,PVCalcs!Y455+PVCalcs!Z455)</f>
        <v>0</v>
      </c>
      <c r="Y455" s="144">
        <f>IF('PV IN'!$F$4="PV Only",0,BattCalcs!AX455+BattCalcs!BC455)</f>
        <v>0</v>
      </c>
      <c r="Z455" s="144">
        <f>IF('PV IN'!$F$4="PV Only",0,BattCalcs!AY455+BattCalcs!BD455)</f>
        <v>0</v>
      </c>
      <c r="AA455" s="144">
        <f>IF('PV IN'!$F$4="PV Only",0,BattCalcs!AZ455+BattCalcs!BE455)</f>
        <v>0</v>
      </c>
      <c r="AB455" s="144">
        <f>IF('PV IN'!$F$4="PV Only",0,BattCalcs!BA455+BattCalcs!BF455)</f>
        <v>0</v>
      </c>
      <c r="AC455" s="144">
        <f>IF('PV IN'!$F$4="PV Only",0,BattCalcs!BB455+BattCalcs!BG455)</f>
        <v>0</v>
      </c>
      <c r="AD455" s="144">
        <f>IF('PV IN'!$F$4="PV Only",0,BattCalcs!BU455)</f>
        <v>0</v>
      </c>
      <c r="AE455" s="144">
        <f>IF('PV IN'!$F$4="PV Only",PVCalcs!W455+PVCalcs!AA455,IF('PV IN'!$F$4="Battery Only",BattCalcs!AV455+BattCalcs!BH455,PVCalcs!W455+PVCalcs!AA455+BattCalcs!AV455+BattCalcs!BH455))</f>
        <v>0</v>
      </c>
      <c r="AF455" s="10">
        <f>PVCalcs!AC455+BattCalcs!BJ455</f>
        <v>0</v>
      </c>
      <c r="AG455" s="144">
        <f>IF('PV IN'!$F$4="Battery Only",0,PVCalcs!AG455)</f>
        <v>-750</v>
      </c>
      <c r="AH455" s="144">
        <f>IF('PV IN'!$F$4="Battery Only",0,PVCalcs!AI455)</f>
        <v>0</v>
      </c>
      <c r="AI455" s="144">
        <f>IF('PV IN'!$F$4="PV Only",0,BattCalcs!BM455)</f>
        <v>0</v>
      </c>
      <c r="AJ455" s="144">
        <f>IF('PV IN'!$F$4="PV Only",0,SUM(BattCalcs!BO455:BT455))</f>
        <v>0</v>
      </c>
      <c r="AK455" s="144">
        <f>IF('PV IN'!$F$4="PV Only",PVCalcs!AH455,IF('PV IN'!$F$4="Battery Only",BattCalcs!BN455,PVCalcs!AH455+BattCalcs!BN455))</f>
        <v>-625</v>
      </c>
      <c r="AL455" s="144">
        <f>IF('PV IN'!$F$4="PV Only",0,BattCalcs!BV455)</f>
        <v>0</v>
      </c>
      <c r="AM455" s="144">
        <f>IF('PV IN'!$F$4="PV Only",0,SUM(BattCalcs!BW455:BX455))</f>
        <v>0</v>
      </c>
      <c r="AN455" s="144">
        <f>IF('PV IN'!$F$4="PV Only",0,BattCalcs!BY455)</f>
        <v>0</v>
      </c>
      <c r="AO455" s="144">
        <f>IF('PV IN'!$F$4="Battery Only",0,PVCalcs!U455)</f>
        <v>8912.4255603968541</v>
      </c>
      <c r="AP455" s="10">
        <f>IF('PV IN'!$F$4="PV Only",0,BattCalcs!AS455)</f>
        <v>0</v>
      </c>
      <c r="AQ455" s="10">
        <f>IF('PV IN'!$F$4="PV Only",0,BattCalcs!AT455)</f>
        <v>0</v>
      </c>
      <c r="AR455" s="10">
        <f>IF('PV IN'!$F$4="PV Only",0,BattCalcs!AU455)</f>
        <v>0</v>
      </c>
      <c r="AS455" s="144">
        <f>IF('PV IN'!$F$4="PV Only",PVCalcs!X455,IF('PV IN'!$F$4="Battery Only",BattCalcs!AW455,PVCalcs!X455+BattCalcs!AW455))</f>
        <v>0</v>
      </c>
      <c r="AT455" s="144">
        <f>IF('PV IN'!$F$4="Battery Only",0,-PVCalcs!AQ455*'PV IN'!$E$8)</f>
        <v>0</v>
      </c>
      <c r="AU455" s="144">
        <f>IF('PV IN'!$F$4="PV Only",0,-BattCalcs!CG455*'PV IN'!$E$8)</f>
        <v>0</v>
      </c>
      <c r="AV455" s="144">
        <f>IF('PV IN'!$F$4="PV Only",PVCalcs!Z455+PVCalcs!AA455,IF('PV IN'!$F$4="Battery Only",SUM(BattCalcs!BC455:BH455),PVCalcs!Z455+PVCalcs!AA455+SUM(BattCalcs!BC455:BH455)))</f>
        <v>0</v>
      </c>
      <c r="AW455" s="144">
        <f>IF('PV IN'!$F$4="PV Only",SUM(PVCalcs!AF455:AI455),IF('PV IN'!$F$4="Battery Only",SUM(BattCalcs!BL455:BY455),SUM(PVCalcs!AF455:AI455)+SUM(BattCalcs!BL455:BY455)))</f>
        <v>-1375</v>
      </c>
      <c r="AX455" s="144">
        <f>IF('PV IN'!$F$4="Battery Only",0,-PVLoan!F483)</f>
        <v>0</v>
      </c>
      <c r="AY455" s="144">
        <f>IF('PV IN'!$F$4="PV Only",0,-BattLoan!F483)</f>
        <v>0</v>
      </c>
      <c r="AZ455" s="144">
        <f>IF('PV IN'!$F$4="Battery Only",0,-PVLoan!H483)</f>
        <v>0</v>
      </c>
      <c r="BA455" s="144">
        <f>IF('PV IN'!$F$4="PV Only",0,-BattLoan!H483)</f>
        <v>0</v>
      </c>
    </row>
    <row r="456" spans="1:88" x14ac:dyDescent="0.25">
      <c r="A456" t="str">
        <f>IF(C456&lt;='PV IN'!$O$22*12,C456,"")</f>
        <v/>
      </c>
      <c r="C456">
        <v>452</v>
      </c>
      <c r="D456" s="2">
        <f>BattCalcs!CK456+PVCalcs!AT456</f>
        <v>7820.2339433565885</v>
      </c>
      <c r="E456" s="20">
        <f>PVCalcs!AV456</f>
        <v>3207981.153703548</v>
      </c>
      <c r="F456" s="20">
        <f>PVCalcs!AW456</f>
        <v>1244.7710529059702</v>
      </c>
      <c r="G456" s="20" t="e">
        <f>PVCalcs!AX456</f>
        <v>#N/A</v>
      </c>
      <c r="H456" s="20">
        <f>BattCalcs!CM456</f>
        <v>0</v>
      </c>
      <c r="I456" s="20">
        <f>BattCalcs!CN456</f>
        <v>0</v>
      </c>
      <c r="J456" s="20" t="e">
        <f>IF(C456&lt;='Batt IN'!H$43*12,BattCalcs!CO456,NA())</f>
        <v>#N/A</v>
      </c>
      <c r="L456" s="20">
        <f t="shared" si="1173"/>
        <v>1244.7710529059702</v>
      </c>
      <c r="M456" s="20" t="e">
        <f>G456+BattCalcs!CO456</f>
        <v>#N/A</v>
      </c>
      <c r="O456" s="10" t="str">
        <f>PVLoan!G484</f>
        <v>-</v>
      </c>
      <c r="P456" s="10" t="str">
        <f>PVLoan!J484</f>
        <v>-</v>
      </c>
      <c r="Q456" s="2" t="str">
        <f>BattLoan!G484</f>
        <v>-</v>
      </c>
      <c r="R456" s="10" t="str">
        <f>BattLoan!J484</f>
        <v>-</v>
      </c>
      <c r="T456" s="33">
        <f>IF('PV IN'!$F$4="Battery Only",0,PVCalcs!G456)</f>
        <v>112888.16773336063</v>
      </c>
      <c r="U456" s="33">
        <f>IF('PV IN'!$F$4="Battery Only",0,PVCalcs!M456)</f>
        <v>112888.16773336063</v>
      </c>
      <c r="V456" s="33">
        <f>PVCalcs!L456</f>
        <v>25811.765833333331</v>
      </c>
      <c r="W456" s="158">
        <f>PVCalcs!F456</f>
        <v>7.8896523189157505E-2</v>
      </c>
      <c r="X456" s="144">
        <f>IF('PV IN'!$F$4="Battery Only",0,PVCalcs!Y456+PVCalcs!Z456)</f>
        <v>0</v>
      </c>
      <c r="Y456" s="144">
        <f>IF('PV IN'!$F$4="PV Only",0,BattCalcs!AX456+BattCalcs!BC456)</f>
        <v>0</v>
      </c>
      <c r="Z456" s="144">
        <f>IF('PV IN'!$F$4="PV Only",0,BattCalcs!AY456+BattCalcs!BD456)</f>
        <v>0</v>
      </c>
      <c r="AA456" s="144">
        <f>IF('PV IN'!$F$4="PV Only",0,BattCalcs!AZ456+BattCalcs!BE456)</f>
        <v>0</v>
      </c>
      <c r="AB456" s="144">
        <f>IF('PV IN'!$F$4="PV Only",0,BattCalcs!BA456+BattCalcs!BF456)</f>
        <v>0</v>
      </c>
      <c r="AC456" s="144">
        <f>IF('PV IN'!$F$4="PV Only",0,BattCalcs!BB456+BattCalcs!BG456)</f>
        <v>0</v>
      </c>
      <c r="AD456" s="144">
        <f>IF('PV IN'!$F$4="PV Only",0,BattCalcs!BU456)</f>
        <v>0</v>
      </c>
      <c r="AE456" s="144">
        <f>IF('PV IN'!$F$4="PV Only",PVCalcs!W456+PVCalcs!AA456,IF('PV IN'!$F$4="Battery Only",BattCalcs!AV456+BattCalcs!BH456,PVCalcs!W456+PVCalcs!AA456+BattCalcs!AV456+BattCalcs!BH456))</f>
        <v>0</v>
      </c>
      <c r="AF456" s="10">
        <f>PVCalcs!AC456+BattCalcs!BJ456</f>
        <v>0</v>
      </c>
      <c r="AG456" s="144">
        <f>IF('PV IN'!$F$4="Battery Only",0,PVCalcs!AG456)</f>
        <v>-750</v>
      </c>
      <c r="AH456" s="144">
        <f>IF('PV IN'!$F$4="Battery Only",0,PVCalcs!AI456)</f>
        <v>0</v>
      </c>
      <c r="AI456" s="144">
        <f>IF('PV IN'!$F$4="PV Only",0,BattCalcs!BM456)</f>
        <v>0</v>
      </c>
      <c r="AJ456" s="144">
        <f>IF('PV IN'!$F$4="PV Only",0,SUM(BattCalcs!BO456:BT456))</f>
        <v>0</v>
      </c>
      <c r="AK456" s="144">
        <f>IF('PV IN'!$F$4="PV Only",PVCalcs!AH456,IF('PV IN'!$F$4="Battery Only",BattCalcs!BN456,PVCalcs!AH456+BattCalcs!BN456))</f>
        <v>-625</v>
      </c>
      <c r="AL456" s="144">
        <f>IF('PV IN'!$F$4="PV Only",0,BattCalcs!BV456)</f>
        <v>0</v>
      </c>
      <c r="AM456" s="144">
        <f>IF('PV IN'!$F$4="PV Only",0,SUM(BattCalcs!BW456:BX456))</f>
        <v>0</v>
      </c>
      <c r="AN456" s="144">
        <f>IF('PV IN'!$F$4="PV Only",0,BattCalcs!BY456)</f>
        <v>0</v>
      </c>
      <c r="AO456" s="144">
        <f>IF('PV IN'!$F$4="Battery Only",0,PVCalcs!U456)</f>
        <v>8906.4839433565885</v>
      </c>
      <c r="AP456" s="10">
        <f>IF('PV IN'!$F$4="PV Only",0,BattCalcs!AS456)</f>
        <v>0</v>
      </c>
      <c r="AQ456" s="10">
        <f>IF('PV IN'!$F$4="PV Only",0,BattCalcs!AT456)</f>
        <v>0</v>
      </c>
      <c r="AR456" s="10">
        <f>IF('PV IN'!$F$4="PV Only",0,BattCalcs!AU456)</f>
        <v>0</v>
      </c>
      <c r="AS456" s="144">
        <f>IF('PV IN'!$F$4="PV Only",PVCalcs!X456,IF('PV IN'!$F$4="Battery Only",BattCalcs!AW456,PVCalcs!X456+BattCalcs!AW456))</f>
        <v>0</v>
      </c>
      <c r="AT456" s="144">
        <f>IF('PV IN'!$F$4="Battery Only",0,-PVCalcs!AQ456*'PV IN'!$E$8)</f>
        <v>0</v>
      </c>
      <c r="AU456" s="144">
        <f>IF('PV IN'!$F$4="PV Only",0,-BattCalcs!CG456*'PV IN'!$E$8)</f>
        <v>0</v>
      </c>
      <c r="AV456" s="144">
        <f>IF('PV IN'!$F$4="PV Only",PVCalcs!Z456+PVCalcs!AA456,IF('PV IN'!$F$4="Battery Only",SUM(BattCalcs!BC456:BH456),PVCalcs!Z456+PVCalcs!AA456+SUM(BattCalcs!BC456:BH456)))</f>
        <v>0</v>
      </c>
      <c r="AW456" s="144">
        <f>IF('PV IN'!$F$4="PV Only",SUM(PVCalcs!AF456:AI456),IF('PV IN'!$F$4="Battery Only",SUM(BattCalcs!BL456:BY456),SUM(PVCalcs!AF456:AI456)+SUM(BattCalcs!BL456:BY456)))</f>
        <v>-1375</v>
      </c>
      <c r="AX456" s="144">
        <f>IF('PV IN'!$F$4="Battery Only",0,-PVLoan!F484)</f>
        <v>0</v>
      </c>
      <c r="AY456" s="144">
        <f>IF('PV IN'!$F$4="PV Only",0,-BattLoan!F484)</f>
        <v>0</v>
      </c>
      <c r="AZ456" s="144">
        <f>IF('PV IN'!$F$4="Battery Only",0,-PVLoan!H484)</f>
        <v>0</v>
      </c>
      <c r="BA456" s="144">
        <f>IF('PV IN'!$F$4="PV Only",0,-BattLoan!H484)</f>
        <v>0</v>
      </c>
    </row>
    <row r="457" spans="1:88" x14ac:dyDescent="0.25">
      <c r="A457" t="str">
        <f>IF(C457&lt;='PV IN'!$O$22*12,C457,"")</f>
        <v/>
      </c>
      <c r="C457">
        <v>453</v>
      </c>
      <c r="D457" s="2">
        <f>BattCalcs!CK457+PVCalcs!AT457</f>
        <v>7814.2962873943507</v>
      </c>
      <c r="E457" s="20">
        <f>PVCalcs!AV457</f>
        <v>3215795.4499909421</v>
      </c>
      <c r="F457" s="20">
        <f>PVCalcs!AW457</f>
        <v>1238.7789986868236</v>
      </c>
      <c r="G457" s="20" t="e">
        <f>PVCalcs!AX457</f>
        <v>#N/A</v>
      </c>
      <c r="H457" s="20">
        <f>BattCalcs!CM457</f>
        <v>0</v>
      </c>
      <c r="I457" s="20">
        <f>BattCalcs!CN457</f>
        <v>0</v>
      </c>
      <c r="J457" s="20" t="e">
        <f>IF(C457&lt;='Batt IN'!H$43*12,BattCalcs!CO457,NA())</f>
        <v>#N/A</v>
      </c>
      <c r="L457" s="20">
        <f t="shared" si="1173"/>
        <v>1238.7789986868236</v>
      </c>
      <c r="M457" s="20" t="e">
        <f>G457+BattCalcs!CO457</f>
        <v>#N/A</v>
      </c>
      <c r="O457" s="10" t="str">
        <f>PVLoan!G485</f>
        <v>-</v>
      </c>
      <c r="P457" s="10" t="str">
        <f>PVLoan!J485</f>
        <v>-</v>
      </c>
      <c r="Q457" s="2" t="str">
        <f>BattLoan!G485</f>
        <v>-</v>
      </c>
      <c r="R457" s="10" t="str">
        <f>BattLoan!J485</f>
        <v>-</v>
      </c>
      <c r="T457" s="33">
        <f>IF('PV IN'!$F$4="Battery Only",0,PVCalcs!G457)</f>
        <v>112812.90895487172</v>
      </c>
      <c r="U457" s="33">
        <f>IF('PV IN'!$F$4="Battery Only",0,PVCalcs!M457)</f>
        <v>112812.90895487172</v>
      </c>
      <c r="V457" s="33">
        <f>PVCalcs!L457</f>
        <v>25811.765833333331</v>
      </c>
      <c r="W457" s="158">
        <f>PVCalcs!F457</f>
        <v>7.8896523189157505E-2</v>
      </c>
      <c r="X457" s="144">
        <f>IF('PV IN'!$F$4="Battery Only",0,PVCalcs!Y457+PVCalcs!Z457)</f>
        <v>0</v>
      </c>
      <c r="Y457" s="144">
        <f>IF('PV IN'!$F$4="PV Only",0,BattCalcs!AX457+BattCalcs!BC457)</f>
        <v>0</v>
      </c>
      <c r="Z457" s="144">
        <f>IF('PV IN'!$F$4="PV Only",0,BattCalcs!AY457+BattCalcs!BD457)</f>
        <v>0</v>
      </c>
      <c r="AA457" s="144">
        <f>IF('PV IN'!$F$4="PV Only",0,BattCalcs!AZ457+BattCalcs!BE457)</f>
        <v>0</v>
      </c>
      <c r="AB457" s="144">
        <f>IF('PV IN'!$F$4="PV Only",0,BattCalcs!BA457+BattCalcs!BF457)</f>
        <v>0</v>
      </c>
      <c r="AC457" s="144">
        <f>IF('PV IN'!$F$4="PV Only",0,BattCalcs!BB457+BattCalcs!BG457)</f>
        <v>0</v>
      </c>
      <c r="AD457" s="144">
        <f>IF('PV IN'!$F$4="PV Only",0,BattCalcs!BU457)</f>
        <v>0</v>
      </c>
      <c r="AE457" s="144">
        <f>IF('PV IN'!$F$4="PV Only",PVCalcs!W457+PVCalcs!AA457,IF('PV IN'!$F$4="Battery Only",BattCalcs!AV457+BattCalcs!BH457,PVCalcs!W457+PVCalcs!AA457+BattCalcs!AV457+BattCalcs!BH457))</f>
        <v>0</v>
      </c>
      <c r="AF457" s="10">
        <f>PVCalcs!AC457+BattCalcs!BJ457</f>
        <v>0</v>
      </c>
      <c r="AG457" s="144">
        <f>IF('PV IN'!$F$4="Battery Only",0,PVCalcs!AG457)</f>
        <v>-750</v>
      </c>
      <c r="AH457" s="144">
        <f>IF('PV IN'!$F$4="Battery Only",0,PVCalcs!AI457)</f>
        <v>0</v>
      </c>
      <c r="AI457" s="144">
        <f>IF('PV IN'!$F$4="PV Only",0,BattCalcs!BM457)</f>
        <v>0</v>
      </c>
      <c r="AJ457" s="144">
        <f>IF('PV IN'!$F$4="PV Only",0,SUM(BattCalcs!BO457:BT457))</f>
        <v>0</v>
      </c>
      <c r="AK457" s="144">
        <f>IF('PV IN'!$F$4="PV Only",PVCalcs!AH457,IF('PV IN'!$F$4="Battery Only",BattCalcs!BN457,PVCalcs!AH457+BattCalcs!BN457))</f>
        <v>-625</v>
      </c>
      <c r="AL457" s="144">
        <f>IF('PV IN'!$F$4="PV Only",0,BattCalcs!BV457)</f>
        <v>0</v>
      </c>
      <c r="AM457" s="144">
        <f>IF('PV IN'!$F$4="PV Only",0,SUM(BattCalcs!BW457:BX457))</f>
        <v>0</v>
      </c>
      <c r="AN457" s="144">
        <f>IF('PV IN'!$F$4="PV Only",0,BattCalcs!BY457)</f>
        <v>0</v>
      </c>
      <c r="AO457" s="144">
        <f>IF('PV IN'!$F$4="Battery Only",0,PVCalcs!U457)</f>
        <v>8900.5462873943507</v>
      </c>
      <c r="AP457" s="10">
        <f>IF('PV IN'!$F$4="PV Only",0,BattCalcs!AS457)</f>
        <v>0</v>
      </c>
      <c r="AQ457" s="10">
        <f>IF('PV IN'!$F$4="PV Only",0,BattCalcs!AT457)</f>
        <v>0</v>
      </c>
      <c r="AR457" s="10">
        <f>IF('PV IN'!$F$4="PV Only",0,BattCalcs!AU457)</f>
        <v>0</v>
      </c>
      <c r="AS457" s="144">
        <f>IF('PV IN'!$F$4="PV Only",PVCalcs!X457,IF('PV IN'!$F$4="Battery Only",BattCalcs!AW457,PVCalcs!X457+BattCalcs!AW457))</f>
        <v>0</v>
      </c>
      <c r="AT457" s="144">
        <f>IF('PV IN'!$F$4="Battery Only",0,-PVCalcs!AQ457*'PV IN'!$E$8)</f>
        <v>0</v>
      </c>
      <c r="AU457" s="144">
        <f>IF('PV IN'!$F$4="PV Only",0,-BattCalcs!CG457*'PV IN'!$E$8)</f>
        <v>0</v>
      </c>
      <c r="AV457" s="144">
        <f>IF('PV IN'!$F$4="PV Only",PVCalcs!Z457+PVCalcs!AA457,IF('PV IN'!$F$4="Battery Only",SUM(BattCalcs!BC457:BH457),PVCalcs!Z457+PVCalcs!AA457+SUM(BattCalcs!BC457:BH457)))</f>
        <v>0</v>
      </c>
      <c r="AW457" s="144">
        <f>IF('PV IN'!$F$4="PV Only",SUM(PVCalcs!AF457:AI457),IF('PV IN'!$F$4="Battery Only",SUM(BattCalcs!BL457:BY457),SUM(PVCalcs!AF457:AI457)+SUM(BattCalcs!BL457:BY457)))</f>
        <v>-1375</v>
      </c>
      <c r="AX457" s="144">
        <f>IF('PV IN'!$F$4="Battery Only",0,-PVLoan!F485)</f>
        <v>0</v>
      </c>
      <c r="AY457" s="144">
        <f>IF('PV IN'!$F$4="PV Only",0,-BattLoan!F485)</f>
        <v>0</v>
      </c>
      <c r="AZ457" s="144">
        <f>IF('PV IN'!$F$4="Battery Only",0,-PVLoan!H485)</f>
        <v>0</v>
      </c>
      <c r="BA457" s="144">
        <f>IF('PV IN'!$F$4="PV Only",0,-BattLoan!H485)</f>
        <v>0</v>
      </c>
    </row>
    <row r="458" spans="1:88" x14ac:dyDescent="0.25">
      <c r="A458" t="str">
        <f>IF(C458&lt;='PV IN'!$O$22*12,C458,"")</f>
        <v/>
      </c>
      <c r="C458">
        <v>454</v>
      </c>
      <c r="D458" s="2">
        <f>BattCalcs!CK458+PVCalcs!AT458</f>
        <v>7808.3625898694227</v>
      </c>
      <c r="E458" s="20">
        <f>PVCalcs!AV458</f>
        <v>3223603.8125808118</v>
      </c>
      <c r="F458" s="20">
        <f>PVCalcs!AW458</f>
        <v>1232.8157020890467</v>
      </c>
      <c r="G458" s="20" t="e">
        <f>PVCalcs!AX458</f>
        <v>#N/A</v>
      </c>
      <c r="H458" s="20">
        <f>BattCalcs!CM458</f>
        <v>0</v>
      </c>
      <c r="I458" s="20">
        <f>BattCalcs!CN458</f>
        <v>0</v>
      </c>
      <c r="J458" s="20" t="e">
        <f>IF(C458&lt;='Batt IN'!H$43*12,BattCalcs!CO458,NA())</f>
        <v>#N/A</v>
      </c>
      <c r="L458" s="20">
        <f t="shared" si="1173"/>
        <v>1232.8157020890467</v>
      </c>
      <c r="M458" s="20" t="e">
        <f>G458+BattCalcs!CO458</f>
        <v>#N/A</v>
      </c>
      <c r="O458" s="10" t="str">
        <f>PVLoan!G486</f>
        <v>-</v>
      </c>
      <c r="P458" s="10" t="str">
        <f>PVLoan!J486</f>
        <v>-</v>
      </c>
      <c r="Q458" s="2" t="str">
        <f>BattLoan!G486</f>
        <v>-</v>
      </c>
      <c r="R458" s="10" t="str">
        <f>BattLoan!J486</f>
        <v>-</v>
      </c>
      <c r="T458" s="33">
        <f>IF('PV IN'!$F$4="Battery Only",0,PVCalcs!G458)</f>
        <v>112737.70034890181</v>
      </c>
      <c r="U458" s="33">
        <f>IF('PV IN'!$F$4="Battery Only",0,PVCalcs!M458)</f>
        <v>112737.70034890181</v>
      </c>
      <c r="V458" s="33">
        <f>PVCalcs!L458</f>
        <v>25811.765833333331</v>
      </c>
      <c r="W458" s="158">
        <f>PVCalcs!F458</f>
        <v>7.8896523189157505E-2</v>
      </c>
      <c r="X458" s="144">
        <f>IF('PV IN'!$F$4="Battery Only",0,PVCalcs!Y458+PVCalcs!Z458)</f>
        <v>0</v>
      </c>
      <c r="Y458" s="144">
        <f>IF('PV IN'!$F$4="PV Only",0,BattCalcs!AX458+BattCalcs!BC458)</f>
        <v>0</v>
      </c>
      <c r="Z458" s="144">
        <f>IF('PV IN'!$F$4="PV Only",0,BattCalcs!AY458+BattCalcs!BD458)</f>
        <v>0</v>
      </c>
      <c r="AA458" s="144">
        <f>IF('PV IN'!$F$4="PV Only",0,BattCalcs!AZ458+BattCalcs!BE458)</f>
        <v>0</v>
      </c>
      <c r="AB458" s="144">
        <f>IF('PV IN'!$F$4="PV Only",0,BattCalcs!BA458+BattCalcs!BF458)</f>
        <v>0</v>
      </c>
      <c r="AC458" s="144">
        <f>IF('PV IN'!$F$4="PV Only",0,BattCalcs!BB458+BattCalcs!BG458)</f>
        <v>0</v>
      </c>
      <c r="AD458" s="144">
        <f>IF('PV IN'!$F$4="PV Only",0,BattCalcs!BU458)</f>
        <v>0</v>
      </c>
      <c r="AE458" s="144">
        <f>IF('PV IN'!$F$4="PV Only",PVCalcs!W458+PVCalcs!AA458,IF('PV IN'!$F$4="Battery Only",BattCalcs!AV458+BattCalcs!BH458,PVCalcs!W458+PVCalcs!AA458+BattCalcs!AV458+BattCalcs!BH458))</f>
        <v>0</v>
      </c>
      <c r="AF458" s="10">
        <f>PVCalcs!AC458+BattCalcs!BJ458</f>
        <v>0</v>
      </c>
      <c r="AG458" s="144">
        <f>IF('PV IN'!$F$4="Battery Only",0,PVCalcs!AG458)</f>
        <v>-750</v>
      </c>
      <c r="AH458" s="144">
        <f>IF('PV IN'!$F$4="Battery Only",0,PVCalcs!AI458)</f>
        <v>0</v>
      </c>
      <c r="AI458" s="144">
        <f>IF('PV IN'!$F$4="PV Only",0,BattCalcs!BM458)</f>
        <v>0</v>
      </c>
      <c r="AJ458" s="144">
        <f>IF('PV IN'!$F$4="PV Only",0,SUM(BattCalcs!BO458:BT458))</f>
        <v>0</v>
      </c>
      <c r="AK458" s="144">
        <f>IF('PV IN'!$F$4="PV Only",PVCalcs!AH458,IF('PV IN'!$F$4="Battery Only",BattCalcs!BN458,PVCalcs!AH458+BattCalcs!BN458))</f>
        <v>-625</v>
      </c>
      <c r="AL458" s="144">
        <f>IF('PV IN'!$F$4="PV Only",0,BattCalcs!BV458)</f>
        <v>0</v>
      </c>
      <c r="AM458" s="144">
        <f>IF('PV IN'!$F$4="PV Only",0,SUM(BattCalcs!BW458:BX458))</f>
        <v>0</v>
      </c>
      <c r="AN458" s="144">
        <f>IF('PV IN'!$F$4="PV Only",0,BattCalcs!BY458)</f>
        <v>0</v>
      </c>
      <c r="AO458" s="144">
        <f>IF('PV IN'!$F$4="Battery Only",0,PVCalcs!U458)</f>
        <v>8894.6125898694227</v>
      </c>
      <c r="AP458" s="10">
        <f>IF('PV IN'!$F$4="PV Only",0,BattCalcs!AS458)</f>
        <v>0</v>
      </c>
      <c r="AQ458" s="10">
        <f>IF('PV IN'!$F$4="PV Only",0,BattCalcs!AT458)</f>
        <v>0</v>
      </c>
      <c r="AR458" s="10">
        <f>IF('PV IN'!$F$4="PV Only",0,BattCalcs!AU458)</f>
        <v>0</v>
      </c>
      <c r="AS458" s="144">
        <f>IF('PV IN'!$F$4="PV Only",PVCalcs!X458,IF('PV IN'!$F$4="Battery Only",BattCalcs!AW458,PVCalcs!X458+BattCalcs!AW458))</f>
        <v>0</v>
      </c>
      <c r="AT458" s="144">
        <f>IF('PV IN'!$F$4="Battery Only",0,-PVCalcs!AQ458*'PV IN'!$E$8)</f>
        <v>0</v>
      </c>
      <c r="AU458" s="144">
        <f>IF('PV IN'!$F$4="PV Only",0,-BattCalcs!CG458*'PV IN'!$E$8)</f>
        <v>0</v>
      </c>
      <c r="AV458" s="144">
        <f>IF('PV IN'!$F$4="PV Only",PVCalcs!Z458+PVCalcs!AA458,IF('PV IN'!$F$4="Battery Only",SUM(BattCalcs!BC458:BH458),PVCalcs!Z458+PVCalcs!AA458+SUM(BattCalcs!BC458:BH458)))</f>
        <v>0</v>
      </c>
      <c r="AW458" s="144">
        <f>IF('PV IN'!$F$4="PV Only",SUM(PVCalcs!AF458:AI458),IF('PV IN'!$F$4="Battery Only",SUM(BattCalcs!BL458:BY458),SUM(PVCalcs!AF458:AI458)+SUM(BattCalcs!BL458:BY458)))</f>
        <v>-1375</v>
      </c>
      <c r="AX458" s="144">
        <f>IF('PV IN'!$F$4="Battery Only",0,-PVLoan!F486)</f>
        <v>0</v>
      </c>
      <c r="AY458" s="144">
        <f>IF('PV IN'!$F$4="PV Only",0,-BattLoan!F486)</f>
        <v>0</v>
      </c>
      <c r="AZ458" s="144">
        <f>IF('PV IN'!$F$4="Battery Only",0,-PVLoan!H486)</f>
        <v>0</v>
      </c>
      <c r="BA458" s="144">
        <f>IF('PV IN'!$F$4="PV Only",0,-BattLoan!H486)</f>
        <v>0</v>
      </c>
    </row>
    <row r="459" spans="1:88" x14ac:dyDescent="0.25">
      <c r="A459" t="str">
        <f>IF(C459&lt;='PV IN'!$O$22*12,C459,"")</f>
        <v/>
      </c>
      <c r="C459">
        <v>455</v>
      </c>
      <c r="D459" s="2">
        <f>BattCalcs!CK459+PVCalcs!AT459</f>
        <v>7802.4328481428402</v>
      </c>
      <c r="E459" s="20">
        <f>PVCalcs!AV459</f>
        <v>3231406.2454289547</v>
      </c>
      <c r="F459" s="20">
        <f>PVCalcs!AW459</f>
        <v>1226.8810254418934</v>
      </c>
      <c r="G459" s="20" t="e">
        <f>PVCalcs!AX459</f>
        <v>#N/A</v>
      </c>
      <c r="H459" s="20">
        <f>BattCalcs!CM459</f>
        <v>0</v>
      </c>
      <c r="I459" s="20">
        <f>BattCalcs!CN459</f>
        <v>0</v>
      </c>
      <c r="J459" s="20" t="e">
        <f>IF(C459&lt;='Batt IN'!H$43*12,BattCalcs!CO459,NA())</f>
        <v>#N/A</v>
      </c>
      <c r="L459" s="20">
        <f t="shared" si="1173"/>
        <v>1226.8810254418934</v>
      </c>
      <c r="M459" s="20" t="e">
        <f>G459+BattCalcs!CO459</f>
        <v>#N/A</v>
      </c>
      <c r="O459" s="10" t="str">
        <f>PVLoan!G487</f>
        <v>-</v>
      </c>
      <c r="P459" s="10" t="str">
        <f>PVLoan!J487</f>
        <v>-</v>
      </c>
      <c r="Q459" s="2" t="str">
        <f>BattLoan!G487</f>
        <v>-</v>
      </c>
      <c r="R459" s="10" t="str">
        <f>BattLoan!J487</f>
        <v>-</v>
      </c>
      <c r="T459" s="33">
        <f>IF('PV IN'!$F$4="Battery Only",0,PVCalcs!G459)</f>
        <v>112662.54188200252</v>
      </c>
      <c r="U459" s="33">
        <f>IF('PV IN'!$F$4="Battery Only",0,PVCalcs!M459)</f>
        <v>112662.54188200252</v>
      </c>
      <c r="V459" s="33">
        <f>PVCalcs!L459</f>
        <v>25811.765833333331</v>
      </c>
      <c r="W459" s="158">
        <f>PVCalcs!F459</f>
        <v>7.8896523189157505E-2</v>
      </c>
      <c r="X459" s="144">
        <f>IF('PV IN'!$F$4="Battery Only",0,PVCalcs!Y459+PVCalcs!Z459)</f>
        <v>0</v>
      </c>
      <c r="Y459" s="144">
        <f>IF('PV IN'!$F$4="PV Only",0,BattCalcs!AX459+BattCalcs!BC459)</f>
        <v>0</v>
      </c>
      <c r="Z459" s="144">
        <f>IF('PV IN'!$F$4="PV Only",0,BattCalcs!AY459+BattCalcs!BD459)</f>
        <v>0</v>
      </c>
      <c r="AA459" s="144">
        <f>IF('PV IN'!$F$4="PV Only",0,BattCalcs!AZ459+BattCalcs!BE459)</f>
        <v>0</v>
      </c>
      <c r="AB459" s="144">
        <f>IF('PV IN'!$F$4="PV Only",0,BattCalcs!BA459+BattCalcs!BF459)</f>
        <v>0</v>
      </c>
      <c r="AC459" s="144">
        <f>IF('PV IN'!$F$4="PV Only",0,BattCalcs!BB459+BattCalcs!BG459)</f>
        <v>0</v>
      </c>
      <c r="AD459" s="144">
        <f>IF('PV IN'!$F$4="PV Only",0,BattCalcs!BU459)</f>
        <v>0</v>
      </c>
      <c r="AE459" s="144">
        <f>IF('PV IN'!$F$4="PV Only",PVCalcs!W459+PVCalcs!AA459,IF('PV IN'!$F$4="Battery Only",BattCalcs!AV459+BattCalcs!BH459,PVCalcs!W459+PVCalcs!AA459+BattCalcs!AV459+BattCalcs!BH459))</f>
        <v>0</v>
      </c>
      <c r="AF459" s="10">
        <f>PVCalcs!AC459+BattCalcs!BJ459</f>
        <v>0</v>
      </c>
      <c r="AG459" s="144">
        <f>IF('PV IN'!$F$4="Battery Only",0,PVCalcs!AG459)</f>
        <v>-750</v>
      </c>
      <c r="AH459" s="144">
        <f>IF('PV IN'!$F$4="Battery Only",0,PVCalcs!AI459)</f>
        <v>0</v>
      </c>
      <c r="AI459" s="144">
        <f>IF('PV IN'!$F$4="PV Only",0,BattCalcs!BM459)</f>
        <v>0</v>
      </c>
      <c r="AJ459" s="144">
        <f>IF('PV IN'!$F$4="PV Only",0,SUM(BattCalcs!BO459:BT459))</f>
        <v>0</v>
      </c>
      <c r="AK459" s="144">
        <f>IF('PV IN'!$F$4="PV Only",PVCalcs!AH459,IF('PV IN'!$F$4="Battery Only",BattCalcs!BN459,PVCalcs!AH459+BattCalcs!BN459))</f>
        <v>-625</v>
      </c>
      <c r="AL459" s="144">
        <f>IF('PV IN'!$F$4="PV Only",0,BattCalcs!BV459)</f>
        <v>0</v>
      </c>
      <c r="AM459" s="144">
        <f>IF('PV IN'!$F$4="PV Only",0,SUM(BattCalcs!BW459:BX459))</f>
        <v>0</v>
      </c>
      <c r="AN459" s="144">
        <f>IF('PV IN'!$F$4="PV Only",0,BattCalcs!BY459)</f>
        <v>0</v>
      </c>
      <c r="AO459" s="144">
        <f>IF('PV IN'!$F$4="Battery Only",0,PVCalcs!U459)</f>
        <v>8888.6828481428402</v>
      </c>
      <c r="AP459" s="10">
        <f>IF('PV IN'!$F$4="PV Only",0,BattCalcs!AS459)</f>
        <v>0</v>
      </c>
      <c r="AQ459" s="10">
        <f>IF('PV IN'!$F$4="PV Only",0,BattCalcs!AT459)</f>
        <v>0</v>
      </c>
      <c r="AR459" s="10">
        <f>IF('PV IN'!$F$4="PV Only",0,BattCalcs!AU459)</f>
        <v>0</v>
      </c>
      <c r="AS459" s="144">
        <f>IF('PV IN'!$F$4="PV Only",PVCalcs!X459,IF('PV IN'!$F$4="Battery Only",BattCalcs!AW459,PVCalcs!X459+BattCalcs!AW459))</f>
        <v>0</v>
      </c>
      <c r="AT459" s="144">
        <f>IF('PV IN'!$F$4="Battery Only",0,-PVCalcs!AQ459*'PV IN'!$E$8)</f>
        <v>0</v>
      </c>
      <c r="AU459" s="144">
        <f>IF('PV IN'!$F$4="PV Only",0,-BattCalcs!CG459*'PV IN'!$E$8)</f>
        <v>0</v>
      </c>
      <c r="AV459" s="144">
        <f>IF('PV IN'!$F$4="PV Only",PVCalcs!Z459+PVCalcs!AA459,IF('PV IN'!$F$4="Battery Only",SUM(BattCalcs!BC459:BH459),PVCalcs!Z459+PVCalcs!AA459+SUM(BattCalcs!BC459:BH459)))</f>
        <v>0</v>
      </c>
      <c r="AW459" s="144">
        <f>IF('PV IN'!$F$4="PV Only",SUM(PVCalcs!AF459:AI459),IF('PV IN'!$F$4="Battery Only",SUM(BattCalcs!BL459:BY459),SUM(PVCalcs!AF459:AI459)+SUM(BattCalcs!BL459:BY459)))</f>
        <v>-1375</v>
      </c>
      <c r="AX459" s="144">
        <f>IF('PV IN'!$F$4="Battery Only",0,-PVLoan!F487)</f>
        <v>0</v>
      </c>
      <c r="AY459" s="144">
        <f>IF('PV IN'!$F$4="PV Only",0,-BattLoan!F487)</f>
        <v>0</v>
      </c>
      <c r="AZ459" s="144">
        <f>IF('PV IN'!$F$4="Battery Only",0,-PVLoan!H487)</f>
        <v>0</v>
      </c>
      <c r="BA459" s="144">
        <f>IF('PV IN'!$F$4="PV Only",0,-BattLoan!H487)</f>
        <v>0</v>
      </c>
    </row>
    <row r="460" spans="1:88" x14ac:dyDescent="0.25">
      <c r="A460" t="str">
        <f>IF(C460&lt;='PV IN'!$O$22*12,C460,"")</f>
        <v/>
      </c>
      <c r="B460">
        <f t="shared" ref="B460" si="1244">B448+1</f>
        <v>2063</v>
      </c>
      <c r="C460">
        <v>456</v>
      </c>
      <c r="D460" s="2">
        <f>BattCalcs!CK460+PVCalcs!AT460</f>
        <v>7796.5070595774123</v>
      </c>
      <c r="E460" s="20">
        <f>PVCalcs!AV460</f>
        <v>3239202.7524885321</v>
      </c>
      <c r="F460" s="20">
        <f>PVCalcs!AW460</f>
        <v>1220.9748317323074</v>
      </c>
      <c r="G460" s="20" t="e">
        <f>PVCalcs!AX460</f>
        <v>#N/A</v>
      </c>
      <c r="H460" s="20">
        <f>BattCalcs!CM460</f>
        <v>0</v>
      </c>
      <c r="I460" s="20">
        <f>BattCalcs!CN460</f>
        <v>0</v>
      </c>
      <c r="J460" s="20" t="e">
        <f>IF(C460&lt;='Batt IN'!H$43*12,BattCalcs!CO460,NA())</f>
        <v>#N/A</v>
      </c>
      <c r="L460" s="20">
        <f t="shared" si="1173"/>
        <v>1220.9748317323074</v>
      </c>
      <c r="M460" s="20" t="e">
        <f>G460+BattCalcs!CO460</f>
        <v>#N/A</v>
      </c>
      <c r="O460" s="10" t="str">
        <f>PVLoan!G488</f>
        <v>-</v>
      </c>
      <c r="P460" s="10" t="str">
        <f>PVLoan!J488</f>
        <v>-</v>
      </c>
      <c r="Q460" s="2" t="str">
        <f>BattLoan!G488</f>
        <v>-</v>
      </c>
      <c r="R460" s="10" t="str">
        <f>BattLoan!J488</f>
        <v>-</v>
      </c>
      <c r="T460" s="33">
        <f>IF('PV IN'!$F$4="Battery Only",0,PVCalcs!G460)</f>
        <v>112587.43352074786</v>
      </c>
      <c r="U460" s="33">
        <f>IF('PV IN'!$F$4="Battery Only",0,PVCalcs!M460)</f>
        <v>112587.43352074786</v>
      </c>
      <c r="V460" s="33">
        <f>PVCalcs!L460</f>
        <v>25811.765833333331</v>
      </c>
      <c r="W460" s="158">
        <f>PVCalcs!F460</f>
        <v>7.8896523189157505E-2</v>
      </c>
      <c r="X460" s="144">
        <f>IF('PV IN'!$F$4="Battery Only",0,PVCalcs!Y460+PVCalcs!Z460)</f>
        <v>0</v>
      </c>
      <c r="Y460" s="144">
        <f>IF('PV IN'!$F$4="PV Only",0,BattCalcs!AX460+BattCalcs!BC460)</f>
        <v>0</v>
      </c>
      <c r="Z460" s="144">
        <f>IF('PV IN'!$F$4="PV Only",0,BattCalcs!AY460+BattCalcs!BD460)</f>
        <v>0</v>
      </c>
      <c r="AA460" s="144">
        <f>IF('PV IN'!$F$4="PV Only",0,BattCalcs!AZ460+BattCalcs!BE460)</f>
        <v>0</v>
      </c>
      <c r="AB460" s="144">
        <f>IF('PV IN'!$F$4="PV Only",0,BattCalcs!BA460+BattCalcs!BF460)</f>
        <v>0</v>
      </c>
      <c r="AC460" s="144">
        <f>IF('PV IN'!$F$4="PV Only",0,BattCalcs!BB460+BattCalcs!BG460)</f>
        <v>0</v>
      </c>
      <c r="AD460" s="144">
        <f>IF('PV IN'!$F$4="PV Only",0,BattCalcs!BU460)</f>
        <v>0</v>
      </c>
      <c r="AE460" s="144">
        <f>IF('PV IN'!$F$4="PV Only",PVCalcs!W460+PVCalcs!AA460,IF('PV IN'!$F$4="Battery Only",BattCalcs!AV460+BattCalcs!BH460,PVCalcs!W460+PVCalcs!AA460+BattCalcs!AV460+BattCalcs!BH460))</f>
        <v>0</v>
      </c>
      <c r="AF460" s="10">
        <f>PVCalcs!AC460+BattCalcs!BJ460</f>
        <v>0</v>
      </c>
      <c r="AG460" s="144">
        <f>IF('PV IN'!$F$4="Battery Only",0,PVCalcs!AG460)</f>
        <v>-750</v>
      </c>
      <c r="AH460" s="144">
        <f>IF('PV IN'!$F$4="Battery Only",0,PVCalcs!AI460)</f>
        <v>0</v>
      </c>
      <c r="AI460" s="144">
        <f>IF('PV IN'!$F$4="PV Only",0,BattCalcs!BM460)</f>
        <v>0</v>
      </c>
      <c r="AJ460" s="144">
        <f>IF('PV IN'!$F$4="PV Only",0,SUM(BattCalcs!BO460:BT460))</f>
        <v>0</v>
      </c>
      <c r="AK460" s="144">
        <f>IF('PV IN'!$F$4="PV Only",PVCalcs!AH460,IF('PV IN'!$F$4="Battery Only",BattCalcs!BN460,PVCalcs!AH460+BattCalcs!BN460))</f>
        <v>-625</v>
      </c>
      <c r="AL460" s="144">
        <f>IF('PV IN'!$F$4="PV Only",0,BattCalcs!BV460)</f>
        <v>0</v>
      </c>
      <c r="AM460" s="144">
        <f>IF('PV IN'!$F$4="PV Only",0,SUM(BattCalcs!BW460:BX460))</f>
        <v>0</v>
      </c>
      <c r="AN460" s="144">
        <f>IF('PV IN'!$F$4="PV Only",0,BattCalcs!BY460)</f>
        <v>0</v>
      </c>
      <c r="AO460" s="144">
        <f>IF('PV IN'!$F$4="Battery Only",0,PVCalcs!U460)</f>
        <v>8882.7570595774123</v>
      </c>
      <c r="AP460" s="10">
        <f>IF('PV IN'!$F$4="PV Only",0,BattCalcs!AS460)</f>
        <v>0</v>
      </c>
      <c r="AQ460" s="10">
        <f>IF('PV IN'!$F$4="PV Only",0,BattCalcs!AT460)</f>
        <v>0</v>
      </c>
      <c r="AR460" s="10">
        <f>IF('PV IN'!$F$4="PV Only",0,BattCalcs!AU460)</f>
        <v>0</v>
      </c>
      <c r="AS460" s="144">
        <f>IF('PV IN'!$F$4="PV Only",PVCalcs!X460,IF('PV IN'!$F$4="Battery Only",BattCalcs!AW460,PVCalcs!X460+BattCalcs!AW460))</f>
        <v>0</v>
      </c>
      <c r="AT460" s="144">
        <f>IF('PV IN'!$F$4="Battery Only",0,-PVCalcs!AQ460*'PV IN'!$E$8)</f>
        <v>0</v>
      </c>
      <c r="AU460" s="144">
        <f>IF('PV IN'!$F$4="PV Only",0,-BattCalcs!CG460*'PV IN'!$E$8)</f>
        <v>0</v>
      </c>
      <c r="AV460" s="144">
        <f>IF('PV IN'!$F$4="PV Only",PVCalcs!Z460+PVCalcs!AA460,IF('PV IN'!$F$4="Battery Only",SUM(BattCalcs!BC460:BH460),PVCalcs!Z460+PVCalcs!AA460+SUM(BattCalcs!BC460:BH460)))</f>
        <v>0</v>
      </c>
      <c r="AW460" s="144">
        <f>IF('PV IN'!$F$4="PV Only",SUM(PVCalcs!AF460:AI460),IF('PV IN'!$F$4="Battery Only",SUM(BattCalcs!BL460:BY460),SUM(PVCalcs!AF460:AI460)+SUM(BattCalcs!BL460:BY460)))</f>
        <v>-1375</v>
      </c>
      <c r="AX460" s="144">
        <f>IF('PV IN'!$F$4="Battery Only",0,-PVLoan!F488)</f>
        <v>0</v>
      </c>
      <c r="AY460" s="144">
        <f>IF('PV IN'!$F$4="PV Only",0,-BattLoan!F488)</f>
        <v>0</v>
      </c>
      <c r="AZ460" s="144">
        <f>IF('PV IN'!$F$4="Battery Only",0,-PVLoan!H488)</f>
        <v>0</v>
      </c>
      <c r="BA460" s="144">
        <f>IF('PV IN'!$F$4="PV Only",0,-BattLoan!H488)</f>
        <v>0</v>
      </c>
      <c r="BC460" s="33">
        <f t="shared" ref="BC460" si="1245">SUM(T449:T460)</f>
        <v>1356017.3938971623</v>
      </c>
      <c r="BD460" s="33">
        <f t="shared" ref="BD460" si="1246">SUM(U449:U460)</f>
        <v>1356017.3938971623</v>
      </c>
      <c r="BE460" s="33">
        <f t="shared" ref="BE460" si="1247">SUM(V449:V460)</f>
        <v>309741.19</v>
      </c>
      <c r="BF460" s="50">
        <f t="shared" ref="BF460" si="1248">W460</f>
        <v>7.8896523189157505E-2</v>
      </c>
      <c r="BG460" s="2">
        <f t="shared" ref="BG460" si="1249">SUM(X449:X460)</f>
        <v>0</v>
      </c>
      <c r="BH460" s="2">
        <f t="shared" ref="BH460" si="1250">SUM(Y449:Y460)</f>
        <v>0</v>
      </c>
      <c r="BI460" s="2">
        <f t="shared" ref="BI460" si="1251">SUM(Z449:Z460)</f>
        <v>0</v>
      </c>
      <c r="BJ460" s="2">
        <f t="shared" ref="BJ460" si="1252">SUM(AA449:AA460)</f>
        <v>0</v>
      </c>
      <c r="BK460" s="2">
        <f t="shared" ref="BK460" si="1253">SUM(AB449:AB460)</f>
        <v>0</v>
      </c>
      <c r="BL460" s="2">
        <f t="shared" ref="BL460" si="1254">SUM(AC449:AC460)</f>
        <v>0</v>
      </c>
      <c r="BM460" s="2">
        <f t="shared" ref="BM460" si="1255">SUM(AD449:AD460)</f>
        <v>0</v>
      </c>
      <c r="BN460" s="2">
        <f t="shared" ref="BN460" si="1256">SUM(AE449:AE460)</f>
        <v>0</v>
      </c>
      <c r="BO460" s="2">
        <f t="shared" ref="BO460" si="1257">SUM(AF449:AF460)</f>
        <v>0</v>
      </c>
      <c r="BP460" s="2">
        <f t="shared" ref="BP460" si="1258">SUM(AG449:AG460)</f>
        <v>-9000</v>
      </c>
      <c r="BQ460" s="2">
        <f t="shared" ref="BQ460" si="1259">SUM(AH449:AH460)</f>
        <v>0</v>
      </c>
      <c r="BR460" s="2">
        <f t="shared" ref="BR460" si="1260">SUM(AI449:AI460)</f>
        <v>0</v>
      </c>
      <c r="BS460" s="2">
        <f t="shared" ref="BS460" si="1261">SUM(AJ449:AJ460)</f>
        <v>0</v>
      </c>
      <c r="BT460" s="2">
        <f t="shared" ref="BT460" si="1262">SUM(AK449:AK460)</f>
        <v>-7500</v>
      </c>
      <c r="BU460" s="2">
        <f t="shared" ref="BU460" si="1263">SUM(AL449:AL460)</f>
        <v>0</v>
      </c>
      <c r="BV460" s="2">
        <f t="shared" ref="BV460" si="1264">SUM(AM449:AM460)</f>
        <v>0</v>
      </c>
      <c r="BW460" s="2">
        <f t="shared" ref="BW460" si="1265">SUM(AN449:AN460)</f>
        <v>0</v>
      </c>
      <c r="BX460" s="2">
        <f t="shared" ref="BX460" si="1266">SUM(AO449:AO460)</f>
        <v>106985.0577625084</v>
      </c>
      <c r="BY460" s="2">
        <f t="shared" ref="BY460" si="1267">SUM(AP449:AP460)</f>
        <v>0</v>
      </c>
      <c r="BZ460" s="2">
        <f t="shared" ref="BZ460" si="1268">SUM(AQ449:AQ460)</f>
        <v>0</v>
      </c>
      <c r="CA460" s="2">
        <f t="shared" ref="CA460" si="1269">SUM(AR449:AR460)</f>
        <v>0</v>
      </c>
      <c r="CB460" s="2">
        <f t="shared" ref="CB460" si="1270">SUM(AS449:AS460)</f>
        <v>0</v>
      </c>
      <c r="CC460" s="2">
        <f t="shared" ref="CC460" si="1271">SUM(AT449:AT460)</f>
        <v>0</v>
      </c>
      <c r="CD460" s="2">
        <f t="shared" ref="CD460" si="1272">SUM(AU449:AU460)</f>
        <v>0</v>
      </c>
      <c r="CE460" s="2">
        <f t="shared" ref="CE460" si="1273">SUM(AV449:AV460)</f>
        <v>0</v>
      </c>
      <c r="CF460" s="2">
        <f t="shared" ref="CF460" si="1274">SUM(AW449:AW460)</f>
        <v>-16500</v>
      </c>
      <c r="CG460" s="2">
        <f t="shared" ref="CG460" si="1275">SUM(AX449:AX460)</f>
        <v>0</v>
      </c>
      <c r="CH460" s="2">
        <f t="shared" ref="CH460" si="1276">SUM(AY449:AY460)</f>
        <v>0</v>
      </c>
      <c r="CI460" s="2">
        <f t="shared" ref="CI460" si="1277">SUM(AZ449:AZ460)</f>
        <v>0</v>
      </c>
      <c r="CJ460" s="2">
        <f t="shared" ref="CJ460" si="1278">SUM(BA449:BA460)</f>
        <v>0</v>
      </c>
    </row>
    <row r="461" spans="1:88" x14ac:dyDescent="0.25">
      <c r="A461" t="str">
        <f>IF(C461&lt;='PV IN'!$O$22*12,C461,"")</f>
        <v/>
      </c>
      <c r="C461">
        <v>457</v>
      </c>
      <c r="D461" s="2">
        <f>BattCalcs!CK461+PVCalcs!AT461</f>
        <v>7790.5852215376945</v>
      </c>
      <c r="E461" s="20">
        <f>PVCalcs!AV461</f>
        <v>3246993.33771007</v>
      </c>
      <c r="F461" s="20">
        <f>PVCalcs!AW461</f>
        <v>1215.0969846017838</v>
      </c>
      <c r="G461" s="20" t="e">
        <f>PVCalcs!AX461</f>
        <v>#N/A</v>
      </c>
      <c r="H461" s="20">
        <f>BattCalcs!CM461</f>
        <v>0</v>
      </c>
      <c r="I461" s="20">
        <f>BattCalcs!CN461</f>
        <v>0</v>
      </c>
      <c r="J461" s="20" t="e">
        <f>IF(C461&lt;='Batt IN'!H$43*12,BattCalcs!CO461,NA())</f>
        <v>#N/A</v>
      </c>
      <c r="L461" s="20">
        <f t="shared" si="1173"/>
        <v>1215.0969846017838</v>
      </c>
      <c r="M461" s="20" t="e">
        <f>G461+BattCalcs!CO461</f>
        <v>#N/A</v>
      </c>
      <c r="O461" s="10" t="str">
        <f>PVLoan!G489</f>
        <v>-</v>
      </c>
      <c r="P461" s="10" t="str">
        <f>PVLoan!J489</f>
        <v>-</v>
      </c>
      <c r="Q461" s="2" t="str">
        <f>BattLoan!G489</f>
        <v>-</v>
      </c>
      <c r="R461" s="10" t="str">
        <f>BattLoan!J489</f>
        <v>-</v>
      </c>
      <c r="T461" s="33">
        <f>IF('PV IN'!$F$4="Battery Only",0,PVCalcs!G461)</f>
        <v>112512.37523173403</v>
      </c>
      <c r="U461" s="33">
        <f>IF('PV IN'!$F$4="Battery Only",0,PVCalcs!M461)</f>
        <v>112512.37523173403</v>
      </c>
      <c r="V461" s="33">
        <f>PVCalcs!L461</f>
        <v>25811.765833333331</v>
      </c>
      <c r="W461" s="158">
        <f>PVCalcs!F461</f>
        <v>7.8896523189157505E-2</v>
      </c>
      <c r="X461" s="144">
        <f>IF('PV IN'!$F$4="Battery Only",0,PVCalcs!Y461+PVCalcs!Z461)</f>
        <v>0</v>
      </c>
      <c r="Y461" s="144">
        <f>IF('PV IN'!$F$4="PV Only",0,BattCalcs!AX461+BattCalcs!BC461)</f>
        <v>0</v>
      </c>
      <c r="Z461" s="144">
        <f>IF('PV IN'!$F$4="PV Only",0,BattCalcs!AY461+BattCalcs!BD461)</f>
        <v>0</v>
      </c>
      <c r="AA461" s="144">
        <f>IF('PV IN'!$F$4="PV Only",0,BattCalcs!AZ461+BattCalcs!BE461)</f>
        <v>0</v>
      </c>
      <c r="AB461" s="144">
        <f>IF('PV IN'!$F$4="PV Only",0,BattCalcs!BA461+BattCalcs!BF461)</f>
        <v>0</v>
      </c>
      <c r="AC461" s="144">
        <f>IF('PV IN'!$F$4="PV Only",0,BattCalcs!BB461+BattCalcs!BG461)</f>
        <v>0</v>
      </c>
      <c r="AD461" s="144">
        <f>IF('PV IN'!$F$4="PV Only",0,BattCalcs!BU461)</f>
        <v>0</v>
      </c>
      <c r="AE461" s="144">
        <f>IF('PV IN'!$F$4="PV Only",PVCalcs!W461+PVCalcs!AA461,IF('PV IN'!$F$4="Battery Only",BattCalcs!AV461+BattCalcs!BH461,PVCalcs!W461+PVCalcs!AA461+BattCalcs!AV461+BattCalcs!BH461))</f>
        <v>0</v>
      </c>
      <c r="AF461" s="10">
        <f>PVCalcs!AC461+BattCalcs!BJ461</f>
        <v>0</v>
      </c>
      <c r="AG461" s="144">
        <f>IF('PV IN'!$F$4="Battery Only",0,PVCalcs!AG461)</f>
        <v>-750</v>
      </c>
      <c r="AH461" s="144">
        <f>IF('PV IN'!$F$4="Battery Only",0,PVCalcs!AI461)</f>
        <v>0</v>
      </c>
      <c r="AI461" s="144">
        <f>IF('PV IN'!$F$4="PV Only",0,BattCalcs!BM461)</f>
        <v>0</v>
      </c>
      <c r="AJ461" s="144">
        <f>IF('PV IN'!$F$4="PV Only",0,SUM(BattCalcs!BO461:BT461))</f>
        <v>0</v>
      </c>
      <c r="AK461" s="144">
        <f>IF('PV IN'!$F$4="PV Only",PVCalcs!AH461,IF('PV IN'!$F$4="Battery Only",BattCalcs!BN461,PVCalcs!AH461+BattCalcs!BN461))</f>
        <v>-625</v>
      </c>
      <c r="AL461" s="144">
        <f>IF('PV IN'!$F$4="PV Only",0,BattCalcs!BV461)</f>
        <v>0</v>
      </c>
      <c r="AM461" s="144">
        <f>IF('PV IN'!$F$4="PV Only",0,SUM(BattCalcs!BW461:BX461))</f>
        <v>0</v>
      </c>
      <c r="AN461" s="144">
        <f>IF('PV IN'!$F$4="PV Only",0,BattCalcs!BY461)</f>
        <v>0</v>
      </c>
      <c r="AO461" s="144">
        <f>IF('PV IN'!$F$4="Battery Only",0,PVCalcs!U461)</f>
        <v>8876.8352215376945</v>
      </c>
      <c r="AP461" s="10">
        <f>IF('PV IN'!$F$4="PV Only",0,BattCalcs!AS461)</f>
        <v>0</v>
      </c>
      <c r="AQ461" s="10">
        <f>IF('PV IN'!$F$4="PV Only",0,BattCalcs!AT461)</f>
        <v>0</v>
      </c>
      <c r="AR461" s="10">
        <f>IF('PV IN'!$F$4="PV Only",0,BattCalcs!AU461)</f>
        <v>0</v>
      </c>
      <c r="AS461" s="144">
        <f>IF('PV IN'!$F$4="PV Only",PVCalcs!X461,IF('PV IN'!$F$4="Battery Only",BattCalcs!AW461,PVCalcs!X461+BattCalcs!AW461))</f>
        <v>0</v>
      </c>
      <c r="AT461" s="144">
        <f>IF('PV IN'!$F$4="Battery Only",0,-PVCalcs!AQ461*'PV IN'!$E$8)</f>
        <v>0</v>
      </c>
      <c r="AU461" s="144">
        <f>IF('PV IN'!$F$4="PV Only",0,-BattCalcs!CG461*'PV IN'!$E$8)</f>
        <v>0</v>
      </c>
      <c r="AV461" s="144">
        <f>IF('PV IN'!$F$4="PV Only",PVCalcs!Z461+PVCalcs!AA461,IF('PV IN'!$F$4="Battery Only",SUM(BattCalcs!BC461:BH461),PVCalcs!Z461+PVCalcs!AA461+SUM(BattCalcs!BC461:BH461)))</f>
        <v>0</v>
      </c>
      <c r="AW461" s="144">
        <f>IF('PV IN'!$F$4="PV Only",SUM(PVCalcs!AF461:AI461),IF('PV IN'!$F$4="Battery Only",SUM(BattCalcs!BL461:BY461),SUM(PVCalcs!AF461:AI461)+SUM(BattCalcs!BL461:BY461)))</f>
        <v>-1375</v>
      </c>
      <c r="AX461" s="144">
        <f>IF('PV IN'!$F$4="Battery Only",0,-PVLoan!F489)</f>
        <v>0</v>
      </c>
      <c r="AY461" s="144">
        <f>IF('PV IN'!$F$4="PV Only",0,-BattLoan!F489)</f>
        <v>0</v>
      </c>
      <c r="AZ461" s="144">
        <f>IF('PV IN'!$F$4="Battery Only",0,-PVLoan!H489)</f>
        <v>0</v>
      </c>
      <c r="BA461" s="144">
        <f>IF('PV IN'!$F$4="PV Only",0,-BattLoan!H489)</f>
        <v>0</v>
      </c>
    </row>
    <row r="462" spans="1:88" x14ac:dyDescent="0.25">
      <c r="A462" t="str">
        <f>IF(C462&lt;='PV IN'!$O$22*12,C462,"")</f>
        <v/>
      </c>
      <c r="C462">
        <v>458</v>
      </c>
      <c r="D462" s="2">
        <f>BattCalcs!CK462+PVCalcs!AT462</f>
        <v>7784.667331390001</v>
      </c>
      <c r="E462" s="20">
        <f>PVCalcs!AV462</f>
        <v>3254778.00504146</v>
      </c>
      <c r="F462" s="20">
        <f>PVCalcs!AW462</f>
        <v>1209.2473483432498</v>
      </c>
      <c r="G462" s="20" t="e">
        <f>PVCalcs!AX462</f>
        <v>#N/A</v>
      </c>
      <c r="H462" s="20">
        <f>BattCalcs!CM462</f>
        <v>0</v>
      </c>
      <c r="I462" s="20">
        <f>BattCalcs!CN462</f>
        <v>0</v>
      </c>
      <c r="J462" s="20" t="e">
        <f>IF(C462&lt;='Batt IN'!H$43*12,BattCalcs!CO462,NA())</f>
        <v>#N/A</v>
      </c>
      <c r="L462" s="20">
        <f t="shared" si="1173"/>
        <v>1209.2473483432498</v>
      </c>
      <c r="M462" s="20" t="e">
        <f>G462+BattCalcs!CO462</f>
        <v>#N/A</v>
      </c>
      <c r="O462" s="10" t="str">
        <f>PVLoan!G490</f>
        <v>-</v>
      </c>
      <c r="P462" s="10" t="str">
        <f>PVLoan!J490</f>
        <v>-</v>
      </c>
      <c r="Q462" s="2" t="str">
        <f>BattLoan!G490</f>
        <v>-</v>
      </c>
      <c r="R462" s="10" t="str">
        <f>BattLoan!J490</f>
        <v>-</v>
      </c>
      <c r="T462" s="33">
        <f>IF('PV IN'!$F$4="Battery Only",0,PVCalcs!G462)</f>
        <v>112437.36698157953</v>
      </c>
      <c r="U462" s="33">
        <f>IF('PV IN'!$F$4="Battery Only",0,PVCalcs!M462)</f>
        <v>112437.36698157953</v>
      </c>
      <c r="V462" s="33">
        <f>PVCalcs!L462</f>
        <v>25811.765833333331</v>
      </c>
      <c r="W462" s="158">
        <f>PVCalcs!F462</f>
        <v>7.8896523189157505E-2</v>
      </c>
      <c r="X462" s="144">
        <f>IF('PV IN'!$F$4="Battery Only",0,PVCalcs!Y462+PVCalcs!Z462)</f>
        <v>0</v>
      </c>
      <c r="Y462" s="144">
        <f>IF('PV IN'!$F$4="PV Only",0,BattCalcs!AX462+BattCalcs!BC462)</f>
        <v>0</v>
      </c>
      <c r="Z462" s="144">
        <f>IF('PV IN'!$F$4="PV Only",0,BattCalcs!AY462+BattCalcs!BD462)</f>
        <v>0</v>
      </c>
      <c r="AA462" s="144">
        <f>IF('PV IN'!$F$4="PV Only",0,BattCalcs!AZ462+BattCalcs!BE462)</f>
        <v>0</v>
      </c>
      <c r="AB462" s="144">
        <f>IF('PV IN'!$F$4="PV Only",0,BattCalcs!BA462+BattCalcs!BF462)</f>
        <v>0</v>
      </c>
      <c r="AC462" s="144">
        <f>IF('PV IN'!$F$4="PV Only",0,BattCalcs!BB462+BattCalcs!BG462)</f>
        <v>0</v>
      </c>
      <c r="AD462" s="144">
        <f>IF('PV IN'!$F$4="PV Only",0,BattCalcs!BU462)</f>
        <v>0</v>
      </c>
      <c r="AE462" s="144">
        <f>IF('PV IN'!$F$4="PV Only",PVCalcs!W462+PVCalcs!AA462,IF('PV IN'!$F$4="Battery Only",BattCalcs!AV462+BattCalcs!BH462,PVCalcs!W462+PVCalcs!AA462+BattCalcs!AV462+BattCalcs!BH462))</f>
        <v>0</v>
      </c>
      <c r="AF462" s="10">
        <f>PVCalcs!AC462+BattCalcs!BJ462</f>
        <v>0</v>
      </c>
      <c r="AG462" s="144">
        <f>IF('PV IN'!$F$4="Battery Only",0,PVCalcs!AG462)</f>
        <v>-750</v>
      </c>
      <c r="AH462" s="144">
        <f>IF('PV IN'!$F$4="Battery Only",0,PVCalcs!AI462)</f>
        <v>0</v>
      </c>
      <c r="AI462" s="144">
        <f>IF('PV IN'!$F$4="PV Only",0,BattCalcs!BM462)</f>
        <v>0</v>
      </c>
      <c r="AJ462" s="144">
        <f>IF('PV IN'!$F$4="PV Only",0,SUM(BattCalcs!BO462:BT462))</f>
        <v>0</v>
      </c>
      <c r="AK462" s="144">
        <f>IF('PV IN'!$F$4="PV Only",PVCalcs!AH462,IF('PV IN'!$F$4="Battery Only",BattCalcs!BN462,PVCalcs!AH462+BattCalcs!BN462))</f>
        <v>-625</v>
      </c>
      <c r="AL462" s="144">
        <f>IF('PV IN'!$F$4="PV Only",0,BattCalcs!BV462)</f>
        <v>0</v>
      </c>
      <c r="AM462" s="144">
        <f>IF('PV IN'!$F$4="PV Only",0,SUM(BattCalcs!BW462:BX462))</f>
        <v>0</v>
      </c>
      <c r="AN462" s="144">
        <f>IF('PV IN'!$F$4="PV Only",0,BattCalcs!BY462)</f>
        <v>0</v>
      </c>
      <c r="AO462" s="144">
        <f>IF('PV IN'!$F$4="Battery Only",0,PVCalcs!U462)</f>
        <v>8870.917331390001</v>
      </c>
      <c r="AP462" s="10">
        <f>IF('PV IN'!$F$4="PV Only",0,BattCalcs!AS462)</f>
        <v>0</v>
      </c>
      <c r="AQ462" s="10">
        <f>IF('PV IN'!$F$4="PV Only",0,BattCalcs!AT462)</f>
        <v>0</v>
      </c>
      <c r="AR462" s="10">
        <f>IF('PV IN'!$F$4="PV Only",0,BattCalcs!AU462)</f>
        <v>0</v>
      </c>
      <c r="AS462" s="144">
        <f>IF('PV IN'!$F$4="PV Only",PVCalcs!X462,IF('PV IN'!$F$4="Battery Only",BattCalcs!AW462,PVCalcs!X462+BattCalcs!AW462))</f>
        <v>0</v>
      </c>
      <c r="AT462" s="144">
        <f>IF('PV IN'!$F$4="Battery Only",0,-PVCalcs!AQ462*'PV IN'!$E$8)</f>
        <v>0</v>
      </c>
      <c r="AU462" s="144">
        <f>IF('PV IN'!$F$4="PV Only",0,-BattCalcs!CG462*'PV IN'!$E$8)</f>
        <v>0</v>
      </c>
      <c r="AV462" s="144">
        <f>IF('PV IN'!$F$4="PV Only",PVCalcs!Z462+PVCalcs!AA462,IF('PV IN'!$F$4="Battery Only",SUM(BattCalcs!BC462:BH462),PVCalcs!Z462+PVCalcs!AA462+SUM(BattCalcs!BC462:BH462)))</f>
        <v>0</v>
      </c>
      <c r="AW462" s="144">
        <f>IF('PV IN'!$F$4="PV Only",SUM(PVCalcs!AF462:AI462),IF('PV IN'!$F$4="Battery Only",SUM(BattCalcs!BL462:BY462),SUM(PVCalcs!AF462:AI462)+SUM(BattCalcs!BL462:BY462)))</f>
        <v>-1375</v>
      </c>
      <c r="AX462" s="144">
        <f>IF('PV IN'!$F$4="Battery Only",0,-PVLoan!F490)</f>
        <v>0</v>
      </c>
      <c r="AY462" s="144">
        <f>IF('PV IN'!$F$4="PV Only",0,-BattLoan!F490)</f>
        <v>0</v>
      </c>
      <c r="AZ462" s="144">
        <f>IF('PV IN'!$F$4="Battery Only",0,-PVLoan!H490)</f>
        <v>0</v>
      </c>
      <c r="BA462" s="144">
        <f>IF('PV IN'!$F$4="PV Only",0,-BattLoan!H490)</f>
        <v>0</v>
      </c>
    </row>
    <row r="463" spans="1:88" x14ac:dyDescent="0.25">
      <c r="A463" t="str">
        <f>IF(C463&lt;='PV IN'!$O$22*12,C463,"")</f>
        <v/>
      </c>
      <c r="C463">
        <v>459</v>
      </c>
      <c r="D463" s="2">
        <f>BattCalcs!CK463+PVCalcs!AT463</f>
        <v>7778.753386502407</v>
      </c>
      <c r="E463" s="20">
        <f>PVCalcs!AV463</f>
        <v>3262556.7584279627</v>
      </c>
      <c r="F463" s="20">
        <f>PVCalcs!AW463</f>
        <v>1203.4257878979563</v>
      </c>
      <c r="G463" s="20" t="e">
        <f>PVCalcs!AX463</f>
        <v>#N/A</v>
      </c>
      <c r="H463" s="20">
        <f>BattCalcs!CM463</f>
        <v>0</v>
      </c>
      <c r="I463" s="20">
        <f>BattCalcs!CN463</f>
        <v>0</v>
      </c>
      <c r="J463" s="20" t="e">
        <f>IF(C463&lt;='Batt IN'!H$43*12,BattCalcs!CO463,NA())</f>
        <v>#N/A</v>
      </c>
      <c r="L463" s="20">
        <f t="shared" si="1173"/>
        <v>1203.4257878979563</v>
      </c>
      <c r="M463" s="20" t="e">
        <f>G463+BattCalcs!CO463</f>
        <v>#N/A</v>
      </c>
      <c r="O463" s="10" t="str">
        <f>PVLoan!G491</f>
        <v>-</v>
      </c>
      <c r="P463" s="10" t="str">
        <f>PVLoan!J491</f>
        <v>-</v>
      </c>
      <c r="Q463" s="2" t="str">
        <f>BattLoan!G491</f>
        <v>-</v>
      </c>
      <c r="R463" s="10" t="str">
        <f>BattLoan!J491</f>
        <v>-</v>
      </c>
      <c r="T463" s="33">
        <f>IF('PV IN'!$F$4="Battery Only",0,PVCalcs!G463)</f>
        <v>112362.40873692514</v>
      </c>
      <c r="U463" s="33">
        <f>IF('PV IN'!$F$4="Battery Only",0,PVCalcs!M463)</f>
        <v>112362.40873692514</v>
      </c>
      <c r="V463" s="33">
        <f>PVCalcs!L463</f>
        <v>25811.765833333331</v>
      </c>
      <c r="W463" s="158">
        <f>PVCalcs!F463</f>
        <v>7.8896523189157505E-2</v>
      </c>
      <c r="X463" s="144">
        <f>IF('PV IN'!$F$4="Battery Only",0,PVCalcs!Y463+PVCalcs!Z463)</f>
        <v>0</v>
      </c>
      <c r="Y463" s="144">
        <f>IF('PV IN'!$F$4="PV Only",0,BattCalcs!AX463+BattCalcs!BC463)</f>
        <v>0</v>
      </c>
      <c r="Z463" s="144">
        <f>IF('PV IN'!$F$4="PV Only",0,BattCalcs!AY463+BattCalcs!BD463)</f>
        <v>0</v>
      </c>
      <c r="AA463" s="144">
        <f>IF('PV IN'!$F$4="PV Only",0,BattCalcs!AZ463+BattCalcs!BE463)</f>
        <v>0</v>
      </c>
      <c r="AB463" s="144">
        <f>IF('PV IN'!$F$4="PV Only",0,BattCalcs!BA463+BattCalcs!BF463)</f>
        <v>0</v>
      </c>
      <c r="AC463" s="144">
        <f>IF('PV IN'!$F$4="PV Only",0,BattCalcs!BB463+BattCalcs!BG463)</f>
        <v>0</v>
      </c>
      <c r="AD463" s="144">
        <f>IF('PV IN'!$F$4="PV Only",0,BattCalcs!BU463)</f>
        <v>0</v>
      </c>
      <c r="AE463" s="144">
        <f>IF('PV IN'!$F$4="PV Only",PVCalcs!W463+PVCalcs!AA463,IF('PV IN'!$F$4="Battery Only",BattCalcs!AV463+BattCalcs!BH463,PVCalcs!W463+PVCalcs!AA463+BattCalcs!AV463+BattCalcs!BH463))</f>
        <v>0</v>
      </c>
      <c r="AF463" s="10">
        <f>PVCalcs!AC463+BattCalcs!BJ463</f>
        <v>0</v>
      </c>
      <c r="AG463" s="144">
        <f>IF('PV IN'!$F$4="Battery Only",0,PVCalcs!AG463)</f>
        <v>-750</v>
      </c>
      <c r="AH463" s="144">
        <f>IF('PV IN'!$F$4="Battery Only",0,PVCalcs!AI463)</f>
        <v>0</v>
      </c>
      <c r="AI463" s="144">
        <f>IF('PV IN'!$F$4="PV Only",0,BattCalcs!BM463)</f>
        <v>0</v>
      </c>
      <c r="AJ463" s="144">
        <f>IF('PV IN'!$F$4="PV Only",0,SUM(BattCalcs!BO463:BT463))</f>
        <v>0</v>
      </c>
      <c r="AK463" s="144">
        <f>IF('PV IN'!$F$4="PV Only",PVCalcs!AH463,IF('PV IN'!$F$4="Battery Only",BattCalcs!BN463,PVCalcs!AH463+BattCalcs!BN463))</f>
        <v>-625</v>
      </c>
      <c r="AL463" s="144">
        <f>IF('PV IN'!$F$4="PV Only",0,BattCalcs!BV463)</f>
        <v>0</v>
      </c>
      <c r="AM463" s="144">
        <f>IF('PV IN'!$F$4="PV Only",0,SUM(BattCalcs!BW463:BX463))</f>
        <v>0</v>
      </c>
      <c r="AN463" s="144">
        <f>IF('PV IN'!$F$4="PV Only",0,BattCalcs!BY463)</f>
        <v>0</v>
      </c>
      <c r="AO463" s="144">
        <f>IF('PV IN'!$F$4="Battery Only",0,PVCalcs!U463)</f>
        <v>8865.003386502407</v>
      </c>
      <c r="AP463" s="10">
        <f>IF('PV IN'!$F$4="PV Only",0,BattCalcs!AS463)</f>
        <v>0</v>
      </c>
      <c r="AQ463" s="10">
        <f>IF('PV IN'!$F$4="PV Only",0,BattCalcs!AT463)</f>
        <v>0</v>
      </c>
      <c r="AR463" s="10">
        <f>IF('PV IN'!$F$4="PV Only",0,BattCalcs!AU463)</f>
        <v>0</v>
      </c>
      <c r="AS463" s="144">
        <f>IF('PV IN'!$F$4="PV Only",PVCalcs!X463,IF('PV IN'!$F$4="Battery Only",BattCalcs!AW463,PVCalcs!X463+BattCalcs!AW463))</f>
        <v>0</v>
      </c>
      <c r="AT463" s="144">
        <f>IF('PV IN'!$F$4="Battery Only",0,-PVCalcs!AQ463*'PV IN'!$E$8)</f>
        <v>0</v>
      </c>
      <c r="AU463" s="144">
        <f>IF('PV IN'!$F$4="PV Only",0,-BattCalcs!CG463*'PV IN'!$E$8)</f>
        <v>0</v>
      </c>
      <c r="AV463" s="144">
        <f>IF('PV IN'!$F$4="PV Only",PVCalcs!Z463+PVCalcs!AA463,IF('PV IN'!$F$4="Battery Only",SUM(BattCalcs!BC463:BH463),PVCalcs!Z463+PVCalcs!AA463+SUM(BattCalcs!BC463:BH463)))</f>
        <v>0</v>
      </c>
      <c r="AW463" s="144">
        <f>IF('PV IN'!$F$4="PV Only",SUM(PVCalcs!AF463:AI463),IF('PV IN'!$F$4="Battery Only",SUM(BattCalcs!BL463:BY463),SUM(PVCalcs!AF463:AI463)+SUM(BattCalcs!BL463:BY463)))</f>
        <v>-1375</v>
      </c>
      <c r="AX463" s="144">
        <f>IF('PV IN'!$F$4="Battery Only",0,-PVLoan!F491)</f>
        <v>0</v>
      </c>
      <c r="AY463" s="144">
        <f>IF('PV IN'!$F$4="PV Only",0,-BattLoan!F491)</f>
        <v>0</v>
      </c>
      <c r="AZ463" s="144">
        <f>IF('PV IN'!$F$4="Battery Only",0,-PVLoan!H491)</f>
        <v>0</v>
      </c>
      <c r="BA463" s="144">
        <f>IF('PV IN'!$F$4="PV Only",0,-BattLoan!H491)</f>
        <v>0</v>
      </c>
    </row>
    <row r="464" spans="1:88" x14ac:dyDescent="0.25">
      <c r="A464" t="str">
        <f>IF(C464&lt;='PV IN'!$O$22*12,C464,"")</f>
        <v/>
      </c>
      <c r="C464">
        <v>460</v>
      </c>
      <c r="D464" s="2">
        <f>BattCalcs!CK464+PVCalcs!AT464</f>
        <v>7772.8433842447412</v>
      </c>
      <c r="E464" s="20">
        <f>PVCalcs!AV464</f>
        <v>3270329.6018122076</v>
      </c>
      <c r="F464" s="20">
        <f>PVCalcs!AW464</f>
        <v>1197.6321688523878</v>
      </c>
      <c r="G464" s="20" t="e">
        <f>PVCalcs!AX464</f>
        <v>#N/A</v>
      </c>
      <c r="H464" s="20">
        <f>BattCalcs!CM464</f>
        <v>0</v>
      </c>
      <c r="I464" s="20">
        <f>BattCalcs!CN464</f>
        <v>0</v>
      </c>
      <c r="J464" s="20" t="e">
        <f>IF(C464&lt;='Batt IN'!H$43*12,BattCalcs!CO464,NA())</f>
        <v>#N/A</v>
      </c>
      <c r="L464" s="20">
        <f t="shared" si="1173"/>
        <v>1197.6321688523878</v>
      </c>
      <c r="M464" s="20" t="e">
        <f>G464+BattCalcs!CO464</f>
        <v>#N/A</v>
      </c>
      <c r="O464" s="10" t="str">
        <f>PVLoan!G492</f>
        <v>-</v>
      </c>
      <c r="P464" s="10" t="str">
        <f>PVLoan!J492</f>
        <v>-</v>
      </c>
      <c r="Q464" s="2" t="str">
        <f>BattLoan!G492</f>
        <v>-</v>
      </c>
      <c r="R464" s="10" t="str">
        <f>BattLoan!J492</f>
        <v>-</v>
      </c>
      <c r="T464" s="33">
        <f>IF('PV IN'!$F$4="Battery Only",0,PVCalcs!G464)</f>
        <v>112287.50046443386</v>
      </c>
      <c r="U464" s="33">
        <f>IF('PV IN'!$F$4="Battery Only",0,PVCalcs!M464)</f>
        <v>112287.50046443386</v>
      </c>
      <c r="V464" s="33">
        <f>PVCalcs!L464</f>
        <v>25811.765833333331</v>
      </c>
      <c r="W464" s="158">
        <f>PVCalcs!F464</f>
        <v>7.8896523189157505E-2</v>
      </c>
      <c r="X464" s="144">
        <f>IF('PV IN'!$F$4="Battery Only",0,PVCalcs!Y464+PVCalcs!Z464)</f>
        <v>0</v>
      </c>
      <c r="Y464" s="144">
        <f>IF('PV IN'!$F$4="PV Only",0,BattCalcs!AX464+BattCalcs!BC464)</f>
        <v>0</v>
      </c>
      <c r="Z464" s="144">
        <f>IF('PV IN'!$F$4="PV Only",0,BattCalcs!AY464+BattCalcs!BD464)</f>
        <v>0</v>
      </c>
      <c r="AA464" s="144">
        <f>IF('PV IN'!$F$4="PV Only",0,BattCalcs!AZ464+BattCalcs!BE464)</f>
        <v>0</v>
      </c>
      <c r="AB464" s="144">
        <f>IF('PV IN'!$F$4="PV Only",0,BattCalcs!BA464+BattCalcs!BF464)</f>
        <v>0</v>
      </c>
      <c r="AC464" s="144">
        <f>IF('PV IN'!$F$4="PV Only",0,BattCalcs!BB464+BattCalcs!BG464)</f>
        <v>0</v>
      </c>
      <c r="AD464" s="144">
        <f>IF('PV IN'!$F$4="PV Only",0,BattCalcs!BU464)</f>
        <v>0</v>
      </c>
      <c r="AE464" s="144">
        <f>IF('PV IN'!$F$4="PV Only",PVCalcs!W464+PVCalcs!AA464,IF('PV IN'!$F$4="Battery Only",BattCalcs!AV464+BattCalcs!BH464,PVCalcs!W464+PVCalcs!AA464+BattCalcs!AV464+BattCalcs!BH464))</f>
        <v>0</v>
      </c>
      <c r="AF464" s="10">
        <f>PVCalcs!AC464+BattCalcs!BJ464</f>
        <v>0</v>
      </c>
      <c r="AG464" s="144">
        <f>IF('PV IN'!$F$4="Battery Only",0,PVCalcs!AG464)</f>
        <v>-750</v>
      </c>
      <c r="AH464" s="144">
        <f>IF('PV IN'!$F$4="Battery Only",0,PVCalcs!AI464)</f>
        <v>0</v>
      </c>
      <c r="AI464" s="144">
        <f>IF('PV IN'!$F$4="PV Only",0,BattCalcs!BM464)</f>
        <v>0</v>
      </c>
      <c r="AJ464" s="144">
        <f>IF('PV IN'!$F$4="PV Only",0,SUM(BattCalcs!BO464:BT464))</f>
        <v>0</v>
      </c>
      <c r="AK464" s="144">
        <f>IF('PV IN'!$F$4="PV Only",PVCalcs!AH464,IF('PV IN'!$F$4="Battery Only",BattCalcs!BN464,PVCalcs!AH464+BattCalcs!BN464))</f>
        <v>-625</v>
      </c>
      <c r="AL464" s="144">
        <f>IF('PV IN'!$F$4="PV Only",0,BattCalcs!BV464)</f>
        <v>0</v>
      </c>
      <c r="AM464" s="144">
        <f>IF('PV IN'!$F$4="PV Only",0,SUM(BattCalcs!BW464:BX464))</f>
        <v>0</v>
      </c>
      <c r="AN464" s="144">
        <f>IF('PV IN'!$F$4="PV Only",0,BattCalcs!BY464)</f>
        <v>0</v>
      </c>
      <c r="AO464" s="144">
        <f>IF('PV IN'!$F$4="Battery Only",0,PVCalcs!U464)</f>
        <v>8859.0933842447412</v>
      </c>
      <c r="AP464" s="10">
        <f>IF('PV IN'!$F$4="PV Only",0,BattCalcs!AS464)</f>
        <v>0</v>
      </c>
      <c r="AQ464" s="10">
        <f>IF('PV IN'!$F$4="PV Only",0,BattCalcs!AT464)</f>
        <v>0</v>
      </c>
      <c r="AR464" s="10">
        <f>IF('PV IN'!$F$4="PV Only",0,BattCalcs!AU464)</f>
        <v>0</v>
      </c>
      <c r="AS464" s="144">
        <f>IF('PV IN'!$F$4="PV Only",PVCalcs!X464,IF('PV IN'!$F$4="Battery Only",BattCalcs!AW464,PVCalcs!X464+BattCalcs!AW464))</f>
        <v>0</v>
      </c>
      <c r="AT464" s="144">
        <f>IF('PV IN'!$F$4="Battery Only",0,-PVCalcs!AQ464*'PV IN'!$E$8)</f>
        <v>0</v>
      </c>
      <c r="AU464" s="144">
        <f>IF('PV IN'!$F$4="PV Only",0,-BattCalcs!CG464*'PV IN'!$E$8)</f>
        <v>0</v>
      </c>
      <c r="AV464" s="144">
        <f>IF('PV IN'!$F$4="PV Only",PVCalcs!Z464+PVCalcs!AA464,IF('PV IN'!$F$4="Battery Only",SUM(BattCalcs!BC464:BH464),PVCalcs!Z464+PVCalcs!AA464+SUM(BattCalcs!BC464:BH464)))</f>
        <v>0</v>
      </c>
      <c r="AW464" s="144">
        <f>IF('PV IN'!$F$4="PV Only",SUM(PVCalcs!AF464:AI464),IF('PV IN'!$F$4="Battery Only",SUM(BattCalcs!BL464:BY464),SUM(PVCalcs!AF464:AI464)+SUM(BattCalcs!BL464:BY464)))</f>
        <v>-1375</v>
      </c>
      <c r="AX464" s="144">
        <f>IF('PV IN'!$F$4="Battery Only",0,-PVLoan!F492)</f>
        <v>0</v>
      </c>
      <c r="AY464" s="144">
        <f>IF('PV IN'!$F$4="PV Only",0,-BattLoan!F492)</f>
        <v>0</v>
      </c>
      <c r="AZ464" s="144">
        <f>IF('PV IN'!$F$4="Battery Only",0,-PVLoan!H492)</f>
        <v>0</v>
      </c>
      <c r="BA464" s="144">
        <f>IF('PV IN'!$F$4="PV Only",0,-BattLoan!H492)</f>
        <v>0</v>
      </c>
    </row>
    <row r="465" spans="1:88" x14ac:dyDescent="0.25">
      <c r="A465" t="str">
        <f>IF(C465&lt;='PV IN'!$O$22*12,C465,"")</f>
        <v/>
      </c>
      <c r="C465">
        <v>461</v>
      </c>
      <c r="D465" s="2">
        <f>BattCalcs!CK465+PVCalcs!AT465</f>
        <v>7766.9373219885765</v>
      </c>
      <c r="E465" s="20">
        <f>PVCalcs!AV465</f>
        <v>3278096.539134196</v>
      </c>
      <c r="F465" s="20">
        <f>PVCalcs!AW465</f>
        <v>1191.8663574351833</v>
      </c>
      <c r="G465" s="20" t="e">
        <f>PVCalcs!AX465</f>
        <v>#N/A</v>
      </c>
      <c r="H465" s="20">
        <f>BattCalcs!CM465</f>
        <v>0</v>
      </c>
      <c r="I465" s="20">
        <f>BattCalcs!CN465</f>
        <v>0</v>
      </c>
      <c r="J465" s="20" t="e">
        <f>IF(C465&lt;='Batt IN'!H$43*12,BattCalcs!CO465,NA())</f>
        <v>#N/A</v>
      </c>
      <c r="L465" s="20">
        <f t="shared" si="1173"/>
        <v>1191.8663574351833</v>
      </c>
      <c r="M465" s="20" t="e">
        <f>G465+BattCalcs!CO465</f>
        <v>#N/A</v>
      </c>
      <c r="O465" s="10" t="str">
        <f>PVLoan!G493</f>
        <v>-</v>
      </c>
      <c r="P465" s="10" t="str">
        <f>PVLoan!J493</f>
        <v>-</v>
      </c>
      <c r="Q465" s="2" t="str">
        <f>BattLoan!G493</f>
        <v>-</v>
      </c>
      <c r="R465" s="10" t="str">
        <f>BattLoan!J493</f>
        <v>-</v>
      </c>
      <c r="T465" s="33">
        <f>IF('PV IN'!$F$4="Battery Only",0,PVCalcs!G465)</f>
        <v>112212.6421307909</v>
      </c>
      <c r="U465" s="33">
        <f>IF('PV IN'!$F$4="Battery Only",0,PVCalcs!M465)</f>
        <v>112212.6421307909</v>
      </c>
      <c r="V465" s="33">
        <f>PVCalcs!L465</f>
        <v>25811.765833333331</v>
      </c>
      <c r="W465" s="158">
        <f>PVCalcs!F465</f>
        <v>7.8896523189157505E-2</v>
      </c>
      <c r="X465" s="144">
        <f>IF('PV IN'!$F$4="Battery Only",0,PVCalcs!Y465+PVCalcs!Z465)</f>
        <v>0</v>
      </c>
      <c r="Y465" s="144">
        <f>IF('PV IN'!$F$4="PV Only",0,BattCalcs!AX465+BattCalcs!BC465)</f>
        <v>0</v>
      </c>
      <c r="Z465" s="144">
        <f>IF('PV IN'!$F$4="PV Only",0,BattCalcs!AY465+BattCalcs!BD465)</f>
        <v>0</v>
      </c>
      <c r="AA465" s="144">
        <f>IF('PV IN'!$F$4="PV Only",0,BattCalcs!AZ465+BattCalcs!BE465)</f>
        <v>0</v>
      </c>
      <c r="AB465" s="144">
        <f>IF('PV IN'!$F$4="PV Only",0,BattCalcs!BA465+BattCalcs!BF465)</f>
        <v>0</v>
      </c>
      <c r="AC465" s="144">
        <f>IF('PV IN'!$F$4="PV Only",0,BattCalcs!BB465+BattCalcs!BG465)</f>
        <v>0</v>
      </c>
      <c r="AD465" s="144">
        <f>IF('PV IN'!$F$4="PV Only",0,BattCalcs!BU465)</f>
        <v>0</v>
      </c>
      <c r="AE465" s="144">
        <f>IF('PV IN'!$F$4="PV Only",PVCalcs!W465+PVCalcs!AA465,IF('PV IN'!$F$4="Battery Only",BattCalcs!AV465+BattCalcs!BH465,PVCalcs!W465+PVCalcs!AA465+BattCalcs!AV465+BattCalcs!BH465))</f>
        <v>0</v>
      </c>
      <c r="AF465" s="10">
        <f>PVCalcs!AC465+BattCalcs!BJ465</f>
        <v>0</v>
      </c>
      <c r="AG465" s="144">
        <f>IF('PV IN'!$F$4="Battery Only",0,PVCalcs!AG465)</f>
        <v>-750</v>
      </c>
      <c r="AH465" s="144">
        <f>IF('PV IN'!$F$4="Battery Only",0,PVCalcs!AI465)</f>
        <v>0</v>
      </c>
      <c r="AI465" s="144">
        <f>IF('PV IN'!$F$4="PV Only",0,BattCalcs!BM465)</f>
        <v>0</v>
      </c>
      <c r="AJ465" s="144">
        <f>IF('PV IN'!$F$4="PV Only",0,SUM(BattCalcs!BO465:BT465))</f>
        <v>0</v>
      </c>
      <c r="AK465" s="144">
        <f>IF('PV IN'!$F$4="PV Only",PVCalcs!AH465,IF('PV IN'!$F$4="Battery Only",BattCalcs!BN465,PVCalcs!AH465+BattCalcs!BN465))</f>
        <v>-625</v>
      </c>
      <c r="AL465" s="144">
        <f>IF('PV IN'!$F$4="PV Only",0,BattCalcs!BV465)</f>
        <v>0</v>
      </c>
      <c r="AM465" s="144">
        <f>IF('PV IN'!$F$4="PV Only",0,SUM(BattCalcs!BW465:BX465))</f>
        <v>0</v>
      </c>
      <c r="AN465" s="144">
        <f>IF('PV IN'!$F$4="PV Only",0,BattCalcs!BY465)</f>
        <v>0</v>
      </c>
      <c r="AO465" s="144">
        <f>IF('PV IN'!$F$4="Battery Only",0,PVCalcs!U465)</f>
        <v>8853.1873219885765</v>
      </c>
      <c r="AP465" s="10">
        <f>IF('PV IN'!$F$4="PV Only",0,BattCalcs!AS465)</f>
        <v>0</v>
      </c>
      <c r="AQ465" s="10">
        <f>IF('PV IN'!$F$4="PV Only",0,BattCalcs!AT465)</f>
        <v>0</v>
      </c>
      <c r="AR465" s="10">
        <f>IF('PV IN'!$F$4="PV Only",0,BattCalcs!AU465)</f>
        <v>0</v>
      </c>
      <c r="AS465" s="144">
        <f>IF('PV IN'!$F$4="PV Only",PVCalcs!X465,IF('PV IN'!$F$4="Battery Only",BattCalcs!AW465,PVCalcs!X465+BattCalcs!AW465))</f>
        <v>0</v>
      </c>
      <c r="AT465" s="144">
        <f>IF('PV IN'!$F$4="Battery Only",0,-PVCalcs!AQ465*'PV IN'!$E$8)</f>
        <v>0</v>
      </c>
      <c r="AU465" s="144">
        <f>IF('PV IN'!$F$4="PV Only",0,-BattCalcs!CG465*'PV IN'!$E$8)</f>
        <v>0</v>
      </c>
      <c r="AV465" s="144">
        <f>IF('PV IN'!$F$4="PV Only",PVCalcs!Z465+PVCalcs!AA465,IF('PV IN'!$F$4="Battery Only",SUM(BattCalcs!BC465:BH465),PVCalcs!Z465+PVCalcs!AA465+SUM(BattCalcs!BC465:BH465)))</f>
        <v>0</v>
      </c>
      <c r="AW465" s="144">
        <f>IF('PV IN'!$F$4="PV Only",SUM(PVCalcs!AF465:AI465),IF('PV IN'!$F$4="Battery Only",SUM(BattCalcs!BL465:BY465),SUM(PVCalcs!AF465:AI465)+SUM(BattCalcs!BL465:BY465)))</f>
        <v>-1375</v>
      </c>
      <c r="AX465" s="144">
        <f>IF('PV IN'!$F$4="Battery Only",0,-PVLoan!F493)</f>
        <v>0</v>
      </c>
      <c r="AY465" s="144">
        <f>IF('PV IN'!$F$4="PV Only",0,-BattLoan!F493)</f>
        <v>0</v>
      </c>
      <c r="AZ465" s="144">
        <f>IF('PV IN'!$F$4="Battery Only",0,-PVLoan!H493)</f>
        <v>0</v>
      </c>
      <c r="BA465" s="144">
        <f>IF('PV IN'!$F$4="PV Only",0,-BattLoan!H493)</f>
        <v>0</v>
      </c>
    </row>
    <row r="466" spans="1:88" x14ac:dyDescent="0.25">
      <c r="A466" t="str">
        <f>IF(C466&lt;='PV IN'!$O$22*12,C466,"")</f>
        <v/>
      </c>
      <c r="C466">
        <v>462</v>
      </c>
      <c r="D466" s="2">
        <f>BattCalcs!CK466+PVCalcs!AT466</f>
        <v>7761.0351971072505</v>
      </c>
      <c r="E466" s="20">
        <f>PVCalcs!AV466</f>
        <v>3285857.5743313031</v>
      </c>
      <c r="F466" s="20">
        <f>PVCalcs!AW466</f>
        <v>1186.1282205140753</v>
      </c>
      <c r="G466" s="20" t="e">
        <f>PVCalcs!AX466</f>
        <v>#N/A</v>
      </c>
      <c r="H466" s="20">
        <f>BattCalcs!CM466</f>
        <v>0</v>
      </c>
      <c r="I466" s="20">
        <f>BattCalcs!CN466</f>
        <v>0</v>
      </c>
      <c r="J466" s="20" t="e">
        <f>IF(C466&lt;='Batt IN'!H$43*12,BattCalcs!CO466,NA())</f>
        <v>#N/A</v>
      </c>
      <c r="L466" s="20">
        <f t="shared" si="1173"/>
        <v>1186.1282205140753</v>
      </c>
      <c r="M466" s="20" t="e">
        <f>G466+BattCalcs!CO466</f>
        <v>#N/A</v>
      </c>
      <c r="O466" s="10" t="str">
        <f>PVLoan!G494</f>
        <v>-</v>
      </c>
      <c r="P466" s="10" t="str">
        <f>PVLoan!J494</f>
        <v>-</v>
      </c>
      <c r="Q466" s="2" t="str">
        <f>BattLoan!G494</f>
        <v>-</v>
      </c>
      <c r="R466" s="10" t="str">
        <f>BattLoan!J494</f>
        <v>-</v>
      </c>
      <c r="T466" s="33">
        <f>IF('PV IN'!$F$4="Battery Only",0,PVCalcs!G466)</f>
        <v>112137.83370270369</v>
      </c>
      <c r="U466" s="33">
        <f>IF('PV IN'!$F$4="Battery Only",0,PVCalcs!M466)</f>
        <v>112137.83370270369</v>
      </c>
      <c r="V466" s="33">
        <f>PVCalcs!L466</f>
        <v>25811.765833333331</v>
      </c>
      <c r="W466" s="158">
        <f>PVCalcs!F466</f>
        <v>7.8896523189157505E-2</v>
      </c>
      <c r="X466" s="144">
        <f>IF('PV IN'!$F$4="Battery Only",0,PVCalcs!Y466+PVCalcs!Z466)</f>
        <v>0</v>
      </c>
      <c r="Y466" s="144">
        <f>IF('PV IN'!$F$4="PV Only",0,BattCalcs!AX466+BattCalcs!BC466)</f>
        <v>0</v>
      </c>
      <c r="Z466" s="144">
        <f>IF('PV IN'!$F$4="PV Only",0,BattCalcs!AY466+BattCalcs!BD466)</f>
        <v>0</v>
      </c>
      <c r="AA466" s="144">
        <f>IF('PV IN'!$F$4="PV Only",0,BattCalcs!AZ466+BattCalcs!BE466)</f>
        <v>0</v>
      </c>
      <c r="AB466" s="144">
        <f>IF('PV IN'!$F$4="PV Only",0,BattCalcs!BA466+BattCalcs!BF466)</f>
        <v>0</v>
      </c>
      <c r="AC466" s="144">
        <f>IF('PV IN'!$F$4="PV Only",0,BattCalcs!BB466+BattCalcs!BG466)</f>
        <v>0</v>
      </c>
      <c r="AD466" s="144">
        <f>IF('PV IN'!$F$4="PV Only",0,BattCalcs!BU466)</f>
        <v>0</v>
      </c>
      <c r="AE466" s="144">
        <f>IF('PV IN'!$F$4="PV Only",PVCalcs!W466+PVCalcs!AA466,IF('PV IN'!$F$4="Battery Only",BattCalcs!AV466+BattCalcs!BH466,PVCalcs!W466+PVCalcs!AA466+BattCalcs!AV466+BattCalcs!BH466))</f>
        <v>0</v>
      </c>
      <c r="AF466" s="10">
        <f>PVCalcs!AC466+BattCalcs!BJ466</f>
        <v>0</v>
      </c>
      <c r="AG466" s="144">
        <f>IF('PV IN'!$F$4="Battery Only",0,PVCalcs!AG466)</f>
        <v>-750</v>
      </c>
      <c r="AH466" s="144">
        <f>IF('PV IN'!$F$4="Battery Only",0,PVCalcs!AI466)</f>
        <v>0</v>
      </c>
      <c r="AI466" s="144">
        <f>IF('PV IN'!$F$4="PV Only",0,BattCalcs!BM466)</f>
        <v>0</v>
      </c>
      <c r="AJ466" s="144">
        <f>IF('PV IN'!$F$4="PV Only",0,SUM(BattCalcs!BO466:BT466))</f>
        <v>0</v>
      </c>
      <c r="AK466" s="144">
        <f>IF('PV IN'!$F$4="PV Only",PVCalcs!AH466,IF('PV IN'!$F$4="Battery Only",BattCalcs!BN466,PVCalcs!AH466+BattCalcs!BN466))</f>
        <v>-625</v>
      </c>
      <c r="AL466" s="144">
        <f>IF('PV IN'!$F$4="PV Only",0,BattCalcs!BV466)</f>
        <v>0</v>
      </c>
      <c r="AM466" s="144">
        <f>IF('PV IN'!$F$4="PV Only",0,SUM(BattCalcs!BW466:BX466))</f>
        <v>0</v>
      </c>
      <c r="AN466" s="144">
        <f>IF('PV IN'!$F$4="PV Only",0,BattCalcs!BY466)</f>
        <v>0</v>
      </c>
      <c r="AO466" s="144">
        <f>IF('PV IN'!$F$4="Battery Only",0,PVCalcs!U466)</f>
        <v>8847.2851971072505</v>
      </c>
      <c r="AP466" s="10">
        <f>IF('PV IN'!$F$4="PV Only",0,BattCalcs!AS466)</f>
        <v>0</v>
      </c>
      <c r="AQ466" s="10">
        <f>IF('PV IN'!$F$4="PV Only",0,BattCalcs!AT466)</f>
        <v>0</v>
      </c>
      <c r="AR466" s="10">
        <f>IF('PV IN'!$F$4="PV Only",0,BattCalcs!AU466)</f>
        <v>0</v>
      </c>
      <c r="AS466" s="144">
        <f>IF('PV IN'!$F$4="PV Only",PVCalcs!X466,IF('PV IN'!$F$4="Battery Only",BattCalcs!AW466,PVCalcs!X466+BattCalcs!AW466))</f>
        <v>0</v>
      </c>
      <c r="AT466" s="144">
        <f>IF('PV IN'!$F$4="Battery Only",0,-PVCalcs!AQ466*'PV IN'!$E$8)</f>
        <v>0</v>
      </c>
      <c r="AU466" s="144">
        <f>IF('PV IN'!$F$4="PV Only",0,-BattCalcs!CG466*'PV IN'!$E$8)</f>
        <v>0</v>
      </c>
      <c r="AV466" s="144">
        <f>IF('PV IN'!$F$4="PV Only",PVCalcs!Z466+PVCalcs!AA466,IF('PV IN'!$F$4="Battery Only",SUM(BattCalcs!BC466:BH466),PVCalcs!Z466+PVCalcs!AA466+SUM(BattCalcs!BC466:BH466)))</f>
        <v>0</v>
      </c>
      <c r="AW466" s="144">
        <f>IF('PV IN'!$F$4="PV Only",SUM(PVCalcs!AF466:AI466),IF('PV IN'!$F$4="Battery Only",SUM(BattCalcs!BL466:BY466),SUM(PVCalcs!AF466:AI466)+SUM(BattCalcs!BL466:BY466)))</f>
        <v>-1375</v>
      </c>
      <c r="AX466" s="144">
        <f>IF('PV IN'!$F$4="Battery Only",0,-PVLoan!F494)</f>
        <v>0</v>
      </c>
      <c r="AY466" s="144">
        <f>IF('PV IN'!$F$4="PV Only",0,-BattLoan!F494)</f>
        <v>0</v>
      </c>
      <c r="AZ466" s="144">
        <f>IF('PV IN'!$F$4="Battery Only",0,-PVLoan!H494)</f>
        <v>0</v>
      </c>
      <c r="BA466" s="144">
        <f>IF('PV IN'!$F$4="PV Only",0,-BattLoan!H494)</f>
        <v>0</v>
      </c>
    </row>
    <row r="467" spans="1:88" x14ac:dyDescent="0.25">
      <c r="A467" t="str">
        <f>IF(C467&lt;='PV IN'!$O$22*12,C467,"")</f>
        <v/>
      </c>
      <c r="C467">
        <v>463</v>
      </c>
      <c r="D467" s="2">
        <f>BattCalcs!CK467+PVCalcs!AT467</f>
        <v>7755.137006975845</v>
      </c>
      <c r="E467" s="20">
        <f>PVCalcs!AV467</f>
        <v>3293612.7113382788</v>
      </c>
      <c r="F467" s="20">
        <f>PVCalcs!AW467</f>
        <v>1180.4176255928419</v>
      </c>
      <c r="G467" s="20" t="e">
        <f>PVCalcs!AX467</f>
        <v>#N/A</v>
      </c>
      <c r="H467" s="20">
        <f>BattCalcs!CM467</f>
        <v>0</v>
      </c>
      <c r="I467" s="20">
        <f>BattCalcs!CN467</f>
        <v>0</v>
      </c>
      <c r="J467" s="20" t="e">
        <f>IF(C467&lt;='Batt IN'!H$43*12,BattCalcs!CO467,NA())</f>
        <v>#N/A</v>
      </c>
      <c r="L467" s="20">
        <f t="shared" si="1173"/>
        <v>1180.4176255928419</v>
      </c>
      <c r="M467" s="20" t="e">
        <f>G467+BattCalcs!CO467</f>
        <v>#N/A</v>
      </c>
      <c r="O467" s="10" t="str">
        <f>PVLoan!G495</f>
        <v>-</v>
      </c>
      <c r="P467" s="10" t="str">
        <f>PVLoan!J495</f>
        <v>-</v>
      </c>
      <c r="Q467" s="2" t="str">
        <f>BattLoan!G495</f>
        <v>-</v>
      </c>
      <c r="R467" s="10" t="str">
        <f>BattLoan!J495</f>
        <v>-</v>
      </c>
      <c r="T467" s="33">
        <f>IF('PV IN'!$F$4="Battery Only",0,PVCalcs!G467)</f>
        <v>112063.07514690189</v>
      </c>
      <c r="U467" s="33">
        <f>IF('PV IN'!$F$4="Battery Only",0,PVCalcs!M467)</f>
        <v>112063.07514690189</v>
      </c>
      <c r="V467" s="33">
        <f>PVCalcs!L467</f>
        <v>25811.765833333331</v>
      </c>
      <c r="W467" s="158">
        <f>PVCalcs!F467</f>
        <v>7.8896523189157505E-2</v>
      </c>
      <c r="X467" s="144">
        <f>IF('PV IN'!$F$4="Battery Only",0,PVCalcs!Y467+PVCalcs!Z467)</f>
        <v>0</v>
      </c>
      <c r="Y467" s="144">
        <f>IF('PV IN'!$F$4="PV Only",0,BattCalcs!AX467+BattCalcs!BC467)</f>
        <v>0</v>
      </c>
      <c r="Z467" s="144">
        <f>IF('PV IN'!$F$4="PV Only",0,BattCalcs!AY467+BattCalcs!BD467)</f>
        <v>0</v>
      </c>
      <c r="AA467" s="144">
        <f>IF('PV IN'!$F$4="PV Only",0,BattCalcs!AZ467+BattCalcs!BE467)</f>
        <v>0</v>
      </c>
      <c r="AB467" s="144">
        <f>IF('PV IN'!$F$4="PV Only",0,BattCalcs!BA467+BattCalcs!BF467)</f>
        <v>0</v>
      </c>
      <c r="AC467" s="144">
        <f>IF('PV IN'!$F$4="PV Only",0,BattCalcs!BB467+BattCalcs!BG467)</f>
        <v>0</v>
      </c>
      <c r="AD467" s="144">
        <f>IF('PV IN'!$F$4="PV Only",0,BattCalcs!BU467)</f>
        <v>0</v>
      </c>
      <c r="AE467" s="144">
        <f>IF('PV IN'!$F$4="PV Only",PVCalcs!W467+PVCalcs!AA467,IF('PV IN'!$F$4="Battery Only",BattCalcs!AV467+BattCalcs!BH467,PVCalcs!W467+PVCalcs!AA467+BattCalcs!AV467+BattCalcs!BH467))</f>
        <v>0</v>
      </c>
      <c r="AF467" s="10">
        <f>PVCalcs!AC467+BattCalcs!BJ467</f>
        <v>0</v>
      </c>
      <c r="AG467" s="144">
        <f>IF('PV IN'!$F$4="Battery Only",0,PVCalcs!AG467)</f>
        <v>-750</v>
      </c>
      <c r="AH467" s="144">
        <f>IF('PV IN'!$F$4="Battery Only",0,PVCalcs!AI467)</f>
        <v>0</v>
      </c>
      <c r="AI467" s="144">
        <f>IF('PV IN'!$F$4="PV Only",0,BattCalcs!BM467)</f>
        <v>0</v>
      </c>
      <c r="AJ467" s="144">
        <f>IF('PV IN'!$F$4="PV Only",0,SUM(BattCalcs!BO467:BT467))</f>
        <v>0</v>
      </c>
      <c r="AK467" s="144">
        <f>IF('PV IN'!$F$4="PV Only",PVCalcs!AH467,IF('PV IN'!$F$4="Battery Only",BattCalcs!BN467,PVCalcs!AH467+BattCalcs!BN467))</f>
        <v>-625</v>
      </c>
      <c r="AL467" s="144">
        <f>IF('PV IN'!$F$4="PV Only",0,BattCalcs!BV467)</f>
        <v>0</v>
      </c>
      <c r="AM467" s="144">
        <f>IF('PV IN'!$F$4="PV Only",0,SUM(BattCalcs!BW467:BX467))</f>
        <v>0</v>
      </c>
      <c r="AN467" s="144">
        <f>IF('PV IN'!$F$4="PV Only",0,BattCalcs!BY467)</f>
        <v>0</v>
      </c>
      <c r="AO467" s="144">
        <f>IF('PV IN'!$F$4="Battery Only",0,PVCalcs!U467)</f>
        <v>8841.387006975845</v>
      </c>
      <c r="AP467" s="10">
        <f>IF('PV IN'!$F$4="PV Only",0,BattCalcs!AS467)</f>
        <v>0</v>
      </c>
      <c r="AQ467" s="10">
        <f>IF('PV IN'!$F$4="PV Only",0,BattCalcs!AT467)</f>
        <v>0</v>
      </c>
      <c r="AR467" s="10">
        <f>IF('PV IN'!$F$4="PV Only",0,BattCalcs!AU467)</f>
        <v>0</v>
      </c>
      <c r="AS467" s="144">
        <f>IF('PV IN'!$F$4="PV Only",PVCalcs!X467,IF('PV IN'!$F$4="Battery Only",BattCalcs!AW467,PVCalcs!X467+BattCalcs!AW467))</f>
        <v>0</v>
      </c>
      <c r="AT467" s="144">
        <f>IF('PV IN'!$F$4="Battery Only",0,-PVCalcs!AQ467*'PV IN'!$E$8)</f>
        <v>0</v>
      </c>
      <c r="AU467" s="144">
        <f>IF('PV IN'!$F$4="PV Only",0,-BattCalcs!CG467*'PV IN'!$E$8)</f>
        <v>0</v>
      </c>
      <c r="AV467" s="144">
        <f>IF('PV IN'!$F$4="PV Only",PVCalcs!Z467+PVCalcs!AA467,IF('PV IN'!$F$4="Battery Only",SUM(BattCalcs!BC467:BH467),PVCalcs!Z467+PVCalcs!AA467+SUM(BattCalcs!BC467:BH467)))</f>
        <v>0</v>
      </c>
      <c r="AW467" s="144">
        <f>IF('PV IN'!$F$4="PV Only",SUM(PVCalcs!AF467:AI467),IF('PV IN'!$F$4="Battery Only",SUM(BattCalcs!BL467:BY467),SUM(PVCalcs!AF467:AI467)+SUM(BattCalcs!BL467:BY467)))</f>
        <v>-1375</v>
      </c>
      <c r="AX467" s="144">
        <f>IF('PV IN'!$F$4="Battery Only",0,-PVLoan!F495)</f>
        <v>0</v>
      </c>
      <c r="AY467" s="144">
        <f>IF('PV IN'!$F$4="PV Only",0,-BattLoan!F495)</f>
        <v>0</v>
      </c>
      <c r="AZ467" s="144">
        <f>IF('PV IN'!$F$4="Battery Only",0,-PVLoan!H495)</f>
        <v>0</v>
      </c>
      <c r="BA467" s="144">
        <f>IF('PV IN'!$F$4="PV Only",0,-BattLoan!H495)</f>
        <v>0</v>
      </c>
    </row>
    <row r="468" spans="1:88" x14ac:dyDescent="0.25">
      <c r="A468" t="str">
        <f>IF(C468&lt;='PV IN'!$O$22*12,C468,"")</f>
        <v/>
      </c>
      <c r="C468">
        <v>464</v>
      </c>
      <c r="D468" s="2">
        <f>BattCalcs!CK468+PVCalcs!AT468</f>
        <v>7749.2427489711954</v>
      </c>
      <c r="E468" s="20">
        <f>PVCalcs!AV468</f>
        <v>3301361.9540872499</v>
      </c>
      <c r="F468" s="20">
        <f>PVCalcs!AW468</f>
        <v>1174.7344408082729</v>
      </c>
      <c r="G468" s="20" t="e">
        <f>PVCalcs!AX468</f>
        <v>#N/A</v>
      </c>
      <c r="H468" s="20">
        <f>BattCalcs!CM468</f>
        <v>0</v>
      </c>
      <c r="I468" s="20">
        <f>BattCalcs!CN468</f>
        <v>0</v>
      </c>
      <c r="J468" s="20" t="e">
        <f>IF(C468&lt;='Batt IN'!H$43*12,BattCalcs!CO468,NA())</f>
        <v>#N/A</v>
      </c>
      <c r="L468" s="20">
        <f t="shared" si="1173"/>
        <v>1174.7344408082729</v>
      </c>
      <c r="M468" s="20" t="e">
        <f>G468+BattCalcs!CO468</f>
        <v>#N/A</v>
      </c>
      <c r="O468" s="10" t="str">
        <f>PVLoan!G496</f>
        <v>-</v>
      </c>
      <c r="P468" s="10" t="str">
        <f>PVLoan!J496</f>
        <v>-</v>
      </c>
      <c r="Q468" s="2" t="str">
        <f>BattLoan!G496</f>
        <v>-</v>
      </c>
      <c r="R468" s="10" t="str">
        <f>BattLoan!J496</f>
        <v>-</v>
      </c>
      <c r="T468" s="33">
        <f>IF('PV IN'!$F$4="Battery Only",0,PVCalcs!G468)</f>
        <v>111988.36643013729</v>
      </c>
      <c r="U468" s="33">
        <f>IF('PV IN'!$F$4="Battery Only",0,PVCalcs!M468)</f>
        <v>111988.36643013729</v>
      </c>
      <c r="V468" s="33">
        <f>PVCalcs!L468</f>
        <v>25811.765833333331</v>
      </c>
      <c r="W468" s="158">
        <f>PVCalcs!F468</f>
        <v>7.8896523189157505E-2</v>
      </c>
      <c r="X468" s="144">
        <f>IF('PV IN'!$F$4="Battery Only",0,PVCalcs!Y468+PVCalcs!Z468)</f>
        <v>0</v>
      </c>
      <c r="Y468" s="144">
        <f>IF('PV IN'!$F$4="PV Only",0,BattCalcs!AX468+BattCalcs!BC468)</f>
        <v>0</v>
      </c>
      <c r="Z468" s="144">
        <f>IF('PV IN'!$F$4="PV Only",0,BattCalcs!AY468+BattCalcs!BD468)</f>
        <v>0</v>
      </c>
      <c r="AA468" s="144">
        <f>IF('PV IN'!$F$4="PV Only",0,BattCalcs!AZ468+BattCalcs!BE468)</f>
        <v>0</v>
      </c>
      <c r="AB468" s="144">
        <f>IF('PV IN'!$F$4="PV Only",0,BattCalcs!BA468+BattCalcs!BF468)</f>
        <v>0</v>
      </c>
      <c r="AC468" s="144">
        <f>IF('PV IN'!$F$4="PV Only",0,BattCalcs!BB468+BattCalcs!BG468)</f>
        <v>0</v>
      </c>
      <c r="AD468" s="144">
        <f>IF('PV IN'!$F$4="PV Only",0,BattCalcs!BU468)</f>
        <v>0</v>
      </c>
      <c r="AE468" s="144">
        <f>IF('PV IN'!$F$4="PV Only",PVCalcs!W468+PVCalcs!AA468,IF('PV IN'!$F$4="Battery Only",BattCalcs!AV468+BattCalcs!BH468,PVCalcs!W468+PVCalcs!AA468+BattCalcs!AV468+BattCalcs!BH468))</f>
        <v>0</v>
      </c>
      <c r="AF468" s="10">
        <f>PVCalcs!AC468+BattCalcs!BJ468</f>
        <v>0</v>
      </c>
      <c r="AG468" s="144">
        <f>IF('PV IN'!$F$4="Battery Only",0,PVCalcs!AG468)</f>
        <v>-750</v>
      </c>
      <c r="AH468" s="144">
        <f>IF('PV IN'!$F$4="Battery Only",0,PVCalcs!AI468)</f>
        <v>0</v>
      </c>
      <c r="AI468" s="144">
        <f>IF('PV IN'!$F$4="PV Only",0,BattCalcs!BM468)</f>
        <v>0</v>
      </c>
      <c r="AJ468" s="144">
        <f>IF('PV IN'!$F$4="PV Only",0,SUM(BattCalcs!BO468:BT468))</f>
        <v>0</v>
      </c>
      <c r="AK468" s="144">
        <f>IF('PV IN'!$F$4="PV Only",PVCalcs!AH468,IF('PV IN'!$F$4="Battery Only",BattCalcs!BN468,PVCalcs!AH468+BattCalcs!BN468))</f>
        <v>-625</v>
      </c>
      <c r="AL468" s="144">
        <f>IF('PV IN'!$F$4="PV Only",0,BattCalcs!BV468)</f>
        <v>0</v>
      </c>
      <c r="AM468" s="144">
        <f>IF('PV IN'!$F$4="PV Only",0,SUM(BattCalcs!BW468:BX468))</f>
        <v>0</v>
      </c>
      <c r="AN468" s="144">
        <f>IF('PV IN'!$F$4="PV Only",0,BattCalcs!BY468)</f>
        <v>0</v>
      </c>
      <c r="AO468" s="144">
        <f>IF('PV IN'!$F$4="Battery Only",0,PVCalcs!U468)</f>
        <v>8835.4927489711954</v>
      </c>
      <c r="AP468" s="10">
        <f>IF('PV IN'!$F$4="PV Only",0,BattCalcs!AS468)</f>
        <v>0</v>
      </c>
      <c r="AQ468" s="10">
        <f>IF('PV IN'!$F$4="PV Only",0,BattCalcs!AT468)</f>
        <v>0</v>
      </c>
      <c r="AR468" s="10">
        <f>IF('PV IN'!$F$4="PV Only",0,BattCalcs!AU468)</f>
        <v>0</v>
      </c>
      <c r="AS468" s="144">
        <f>IF('PV IN'!$F$4="PV Only",PVCalcs!X468,IF('PV IN'!$F$4="Battery Only",BattCalcs!AW468,PVCalcs!X468+BattCalcs!AW468))</f>
        <v>0</v>
      </c>
      <c r="AT468" s="144">
        <f>IF('PV IN'!$F$4="Battery Only",0,-PVCalcs!AQ468*'PV IN'!$E$8)</f>
        <v>0</v>
      </c>
      <c r="AU468" s="144">
        <f>IF('PV IN'!$F$4="PV Only",0,-BattCalcs!CG468*'PV IN'!$E$8)</f>
        <v>0</v>
      </c>
      <c r="AV468" s="144">
        <f>IF('PV IN'!$F$4="PV Only",PVCalcs!Z468+PVCalcs!AA468,IF('PV IN'!$F$4="Battery Only",SUM(BattCalcs!BC468:BH468),PVCalcs!Z468+PVCalcs!AA468+SUM(BattCalcs!BC468:BH468)))</f>
        <v>0</v>
      </c>
      <c r="AW468" s="144">
        <f>IF('PV IN'!$F$4="PV Only",SUM(PVCalcs!AF468:AI468),IF('PV IN'!$F$4="Battery Only",SUM(BattCalcs!BL468:BY468),SUM(PVCalcs!AF468:AI468)+SUM(BattCalcs!BL468:BY468)))</f>
        <v>-1375</v>
      </c>
      <c r="AX468" s="144">
        <f>IF('PV IN'!$F$4="Battery Only",0,-PVLoan!F496)</f>
        <v>0</v>
      </c>
      <c r="AY468" s="144">
        <f>IF('PV IN'!$F$4="PV Only",0,-BattLoan!F496)</f>
        <v>0</v>
      </c>
      <c r="AZ468" s="144">
        <f>IF('PV IN'!$F$4="Battery Only",0,-PVLoan!H496)</f>
        <v>0</v>
      </c>
      <c r="BA468" s="144">
        <f>IF('PV IN'!$F$4="PV Only",0,-BattLoan!H496)</f>
        <v>0</v>
      </c>
    </row>
    <row r="469" spans="1:88" x14ac:dyDescent="0.25">
      <c r="A469" t="str">
        <f>IF(C469&lt;='PV IN'!$O$22*12,C469,"")</f>
        <v/>
      </c>
      <c r="C469">
        <v>465</v>
      </c>
      <c r="D469" s="2">
        <f>BattCalcs!CK469+PVCalcs!AT469</f>
        <v>7743.3524204718797</v>
      </c>
      <c r="E469" s="20">
        <f>PVCalcs!AV469</f>
        <v>3309105.306507722</v>
      </c>
      <c r="F469" s="20">
        <f>PVCalcs!AW469</f>
        <v>1169.0785349271496</v>
      </c>
      <c r="G469" s="20" t="e">
        <f>PVCalcs!AX469</f>
        <v>#N/A</v>
      </c>
      <c r="H469" s="20">
        <f>BattCalcs!CM469</f>
        <v>0</v>
      </c>
      <c r="I469" s="20">
        <f>BattCalcs!CN469</f>
        <v>0</v>
      </c>
      <c r="J469" s="20" t="e">
        <f>IF(C469&lt;='Batt IN'!H$43*12,BattCalcs!CO469,NA())</f>
        <v>#N/A</v>
      </c>
      <c r="L469" s="20">
        <f t="shared" si="1173"/>
        <v>1169.0785349271496</v>
      </c>
      <c r="M469" s="20" t="e">
        <f>G469+BattCalcs!CO469</f>
        <v>#N/A</v>
      </c>
      <c r="O469" s="10" t="str">
        <f>PVLoan!G497</f>
        <v>-</v>
      </c>
      <c r="P469" s="10" t="str">
        <f>PVLoan!J497</f>
        <v>-</v>
      </c>
      <c r="Q469" s="2" t="str">
        <f>BattLoan!G497</f>
        <v>-</v>
      </c>
      <c r="R469" s="10" t="str">
        <f>BattLoan!J497</f>
        <v>-</v>
      </c>
      <c r="T469" s="33">
        <f>IF('PV IN'!$F$4="Battery Only",0,PVCalcs!G469)</f>
        <v>111913.70751918385</v>
      </c>
      <c r="U469" s="33">
        <f>IF('PV IN'!$F$4="Battery Only",0,PVCalcs!M469)</f>
        <v>111913.70751918385</v>
      </c>
      <c r="V469" s="33">
        <f>PVCalcs!L469</f>
        <v>25811.765833333331</v>
      </c>
      <c r="W469" s="158">
        <f>PVCalcs!F469</f>
        <v>7.8896523189157505E-2</v>
      </c>
      <c r="X469" s="144">
        <f>IF('PV IN'!$F$4="Battery Only",0,PVCalcs!Y469+PVCalcs!Z469)</f>
        <v>0</v>
      </c>
      <c r="Y469" s="144">
        <f>IF('PV IN'!$F$4="PV Only",0,BattCalcs!AX469+BattCalcs!BC469)</f>
        <v>0</v>
      </c>
      <c r="Z469" s="144">
        <f>IF('PV IN'!$F$4="PV Only",0,BattCalcs!AY469+BattCalcs!BD469)</f>
        <v>0</v>
      </c>
      <c r="AA469" s="144">
        <f>IF('PV IN'!$F$4="PV Only",0,BattCalcs!AZ469+BattCalcs!BE469)</f>
        <v>0</v>
      </c>
      <c r="AB469" s="144">
        <f>IF('PV IN'!$F$4="PV Only",0,BattCalcs!BA469+BattCalcs!BF469)</f>
        <v>0</v>
      </c>
      <c r="AC469" s="144">
        <f>IF('PV IN'!$F$4="PV Only",0,BattCalcs!BB469+BattCalcs!BG469)</f>
        <v>0</v>
      </c>
      <c r="AD469" s="144">
        <f>IF('PV IN'!$F$4="PV Only",0,BattCalcs!BU469)</f>
        <v>0</v>
      </c>
      <c r="AE469" s="144">
        <f>IF('PV IN'!$F$4="PV Only",PVCalcs!W469+PVCalcs!AA469,IF('PV IN'!$F$4="Battery Only",BattCalcs!AV469+BattCalcs!BH469,PVCalcs!W469+PVCalcs!AA469+BattCalcs!AV469+BattCalcs!BH469))</f>
        <v>0</v>
      </c>
      <c r="AF469" s="10">
        <f>PVCalcs!AC469+BattCalcs!BJ469</f>
        <v>0</v>
      </c>
      <c r="AG469" s="144">
        <f>IF('PV IN'!$F$4="Battery Only",0,PVCalcs!AG469)</f>
        <v>-750</v>
      </c>
      <c r="AH469" s="144">
        <f>IF('PV IN'!$F$4="Battery Only",0,PVCalcs!AI469)</f>
        <v>0</v>
      </c>
      <c r="AI469" s="144">
        <f>IF('PV IN'!$F$4="PV Only",0,BattCalcs!BM469)</f>
        <v>0</v>
      </c>
      <c r="AJ469" s="144">
        <f>IF('PV IN'!$F$4="PV Only",0,SUM(BattCalcs!BO469:BT469))</f>
        <v>0</v>
      </c>
      <c r="AK469" s="144">
        <f>IF('PV IN'!$F$4="PV Only",PVCalcs!AH469,IF('PV IN'!$F$4="Battery Only",BattCalcs!BN469,PVCalcs!AH469+BattCalcs!BN469))</f>
        <v>-625</v>
      </c>
      <c r="AL469" s="144">
        <f>IF('PV IN'!$F$4="PV Only",0,BattCalcs!BV469)</f>
        <v>0</v>
      </c>
      <c r="AM469" s="144">
        <f>IF('PV IN'!$F$4="PV Only",0,SUM(BattCalcs!BW469:BX469))</f>
        <v>0</v>
      </c>
      <c r="AN469" s="144">
        <f>IF('PV IN'!$F$4="PV Only",0,BattCalcs!BY469)</f>
        <v>0</v>
      </c>
      <c r="AO469" s="144">
        <f>IF('PV IN'!$F$4="Battery Only",0,PVCalcs!U469)</f>
        <v>8829.6024204718797</v>
      </c>
      <c r="AP469" s="10">
        <f>IF('PV IN'!$F$4="PV Only",0,BattCalcs!AS469)</f>
        <v>0</v>
      </c>
      <c r="AQ469" s="10">
        <f>IF('PV IN'!$F$4="PV Only",0,BattCalcs!AT469)</f>
        <v>0</v>
      </c>
      <c r="AR469" s="10">
        <f>IF('PV IN'!$F$4="PV Only",0,BattCalcs!AU469)</f>
        <v>0</v>
      </c>
      <c r="AS469" s="144">
        <f>IF('PV IN'!$F$4="PV Only",PVCalcs!X469,IF('PV IN'!$F$4="Battery Only",BattCalcs!AW469,PVCalcs!X469+BattCalcs!AW469))</f>
        <v>0</v>
      </c>
      <c r="AT469" s="144">
        <f>IF('PV IN'!$F$4="Battery Only",0,-PVCalcs!AQ469*'PV IN'!$E$8)</f>
        <v>0</v>
      </c>
      <c r="AU469" s="144">
        <f>IF('PV IN'!$F$4="PV Only",0,-BattCalcs!CG469*'PV IN'!$E$8)</f>
        <v>0</v>
      </c>
      <c r="AV469" s="144">
        <f>IF('PV IN'!$F$4="PV Only",PVCalcs!Z469+PVCalcs!AA469,IF('PV IN'!$F$4="Battery Only",SUM(BattCalcs!BC469:BH469),PVCalcs!Z469+PVCalcs!AA469+SUM(BattCalcs!BC469:BH469)))</f>
        <v>0</v>
      </c>
      <c r="AW469" s="144">
        <f>IF('PV IN'!$F$4="PV Only",SUM(PVCalcs!AF469:AI469),IF('PV IN'!$F$4="Battery Only",SUM(BattCalcs!BL469:BY469),SUM(PVCalcs!AF469:AI469)+SUM(BattCalcs!BL469:BY469)))</f>
        <v>-1375</v>
      </c>
      <c r="AX469" s="144">
        <f>IF('PV IN'!$F$4="Battery Only",0,-PVLoan!F497)</f>
        <v>0</v>
      </c>
      <c r="AY469" s="144">
        <f>IF('PV IN'!$F$4="PV Only",0,-BattLoan!F497)</f>
        <v>0</v>
      </c>
      <c r="AZ469" s="144">
        <f>IF('PV IN'!$F$4="Battery Only",0,-PVLoan!H497)</f>
        <v>0</v>
      </c>
      <c r="BA469" s="144">
        <f>IF('PV IN'!$F$4="PV Only",0,-BattLoan!H497)</f>
        <v>0</v>
      </c>
    </row>
    <row r="470" spans="1:88" x14ac:dyDescent="0.25">
      <c r="A470" t="str">
        <f>IF(C470&lt;='PV IN'!$O$22*12,C470,"")</f>
        <v/>
      </c>
      <c r="C470">
        <v>466</v>
      </c>
      <c r="D470" s="2">
        <f>BattCalcs!CK470+PVCalcs!AT470</f>
        <v>7737.4660188582311</v>
      </c>
      <c r="E470" s="20">
        <f>PVCalcs!AV470</f>
        <v>3316842.7725265804</v>
      </c>
      <c r="F470" s="20">
        <f>PVCalcs!AW470</f>
        <v>1163.449777343244</v>
      </c>
      <c r="G470" s="20" t="e">
        <f>PVCalcs!AX470</f>
        <v>#N/A</v>
      </c>
      <c r="H470" s="20">
        <f>BattCalcs!CM470</f>
        <v>0</v>
      </c>
      <c r="I470" s="20">
        <f>BattCalcs!CN470</f>
        <v>0</v>
      </c>
      <c r="J470" s="20" t="e">
        <f>IF(C470&lt;='Batt IN'!H$43*12,BattCalcs!CO470,NA())</f>
        <v>#N/A</v>
      </c>
      <c r="L470" s="20">
        <f t="shared" si="1173"/>
        <v>1163.449777343244</v>
      </c>
      <c r="M470" s="20" t="e">
        <f>G470+BattCalcs!CO470</f>
        <v>#N/A</v>
      </c>
      <c r="O470" s="10" t="str">
        <f>PVLoan!G498</f>
        <v>-</v>
      </c>
      <c r="P470" s="10" t="str">
        <f>PVLoan!J498</f>
        <v>-</v>
      </c>
      <c r="Q470" s="2" t="str">
        <f>BattLoan!G498</f>
        <v>-</v>
      </c>
      <c r="R470" s="10" t="str">
        <f>BattLoan!J498</f>
        <v>-</v>
      </c>
      <c r="T470" s="33">
        <f>IF('PV IN'!$F$4="Battery Only",0,PVCalcs!G470)</f>
        <v>111839.09838083772</v>
      </c>
      <c r="U470" s="33">
        <f>IF('PV IN'!$F$4="Battery Only",0,PVCalcs!M470)</f>
        <v>111839.09838083772</v>
      </c>
      <c r="V470" s="33">
        <f>PVCalcs!L470</f>
        <v>25811.765833333331</v>
      </c>
      <c r="W470" s="158">
        <f>PVCalcs!F470</f>
        <v>7.8896523189157505E-2</v>
      </c>
      <c r="X470" s="144">
        <f>IF('PV IN'!$F$4="Battery Only",0,PVCalcs!Y470+PVCalcs!Z470)</f>
        <v>0</v>
      </c>
      <c r="Y470" s="144">
        <f>IF('PV IN'!$F$4="PV Only",0,BattCalcs!AX470+BattCalcs!BC470)</f>
        <v>0</v>
      </c>
      <c r="Z470" s="144">
        <f>IF('PV IN'!$F$4="PV Only",0,BattCalcs!AY470+BattCalcs!BD470)</f>
        <v>0</v>
      </c>
      <c r="AA470" s="144">
        <f>IF('PV IN'!$F$4="PV Only",0,BattCalcs!AZ470+BattCalcs!BE470)</f>
        <v>0</v>
      </c>
      <c r="AB470" s="144">
        <f>IF('PV IN'!$F$4="PV Only",0,BattCalcs!BA470+BattCalcs!BF470)</f>
        <v>0</v>
      </c>
      <c r="AC470" s="144">
        <f>IF('PV IN'!$F$4="PV Only",0,BattCalcs!BB470+BattCalcs!BG470)</f>
        <v>0</v>
      </c>
      <c r="AD470" s="144">
        <f>IF('PV IN'!$F$4="PV Only",0,BattCalcs!BU470)</f>
        <v>0</v>
      </c>
      <c r="AE470" s="144">
        <f>IF('PV IN'!$F$4="PV Only",PVCalcs!W470+PVCalcs!AA470,IF('PV IN'!$F$4="Battery Only",BattCalcs!AV470+BattCalcs!BH470,PVCalcs!W470+PVCalcs!AA470+BattCalcs!AV470+BattCalcs!BH470))</f>
        <v>0</v>
      </c>
      <c r="AF470" s="10">
        <f>PVCalcs!AC470+BattCalcs!BJ470</f>
        <v>0</v>
      </c>
      <c r="AG470" s="144">
        <f>IF('PV IN'!$F$4="Battery Only",0,PVCalcs!AG470)</f>
        <v>-750</v>
      </c>
      <c r="AH470" s="144">
        <f>IF('PV IN'!$F$4="Battery Only",0,PVCalcs!AI470)</f>
        <v>0</v>
      </c>
      <c r="AI470" s="144">
        <f>IF('PV IN'!$F$4="PV Only",0,BattCalcs!BM470)</f>
        <v>0</v>
      </c>
      <c r="AJ470" s="144">
        <f>IF('PV IN'!$F$4="PV Only",0,SUM(BattCalcs!BO470:BT470))</f>
        <v>0</v>
      </c>
      <c r="AK470" s="144">
        <f>IF('PV IN'!$F$4="PV Only",PVCalcs!AH470,IF('PV IN'!$F$4="Battery Only",BattCalcs!BN470,PVCalcs!AH470+BattCalcs!BN470))</f>
        <v>-625</v>
      </c>
      <c r="AL470" s="144">
        <f>IF('PV IN'!$F$4="PV Only",0,BattCalcs!BV470)</f>
        <v>0</v>
      </c>
      <c r="AM470" s="144">
        <f>IF('PV IN'!$F$4="PV Only",0,SUM(BattCalcs!BW470:BX470))</f>
        <v>0</v>
      </c>
      <c r="AN470" s="144">
        <f>IF('PV IN'!$F$4="PV Only",0,BattCalcs!BY470)</f>
        <v>0</v>
      </c>
      <c r="AO470" s="144">
        <f>IF('PV IN'!$F$4="Battery Only",0,PVCalcs!U470)</f>
        <v>8823.7160188582311</v>
      </c>
      <c r="AP470" s="10">
        <f>IF('PV IN'!$F$4="PV Only",0,BattCalcs!AS470)</f>
        <v>0</v>
      </c>
      <c r="AQ470" s="10">
        <f>IF('PV IN'!$F$4="PV Only",0,BattCalcs!AT470)</f>
        <v>0</v>
      </c>
      <c r="AR470" s="10">
        <f>IF('PV IN'!$F$4="PV Only",0,BattCalcs!AU470)</f>
        <v>0</v>
      </c>
      <c r="AS470" s="144">
        <f>IF('PV IN'!$F$4="PV Only",PVCalcs!X470,IF('PV IN'!$F$4="Battery Only",BattCalcs!AW470,PVCalcs!X470+BattCalcs!AW470))</f>
        <v>0</v>
      </c>
      <c r="AT470" s="144">
        <f>IF('PV IN'!$F$4="Battery Only",0,-PVCalcs!AQ470*'PV IN'!$E$8)</f>
        <v>0</v>
      </c>
      <c r="AU470" s="144">
        <f>IF('PV IN'!$F$4="PV Only",0,-BattCalcs!CG470*'PV IN'!$E$8)</f>
        <v>0</v>
      </c>
      <c r="AV470" s="144">
        <f>IF('PV IN'!$F$4="PV Only",PVCalcs!Z470+PVCalcs!AA470,IF('PV IN'!$F$4="Battery Only",SUM(BattCalcs!BC470:BH470),PVCalcs!Z470+PVCalcs!AA470+SUM(BattCalcs!BC470:BH470)))</f>
        <v>0</v>
      </c>
      <c r="AW470" s="144">
        <f>IF('PV IN'!$F$4="PV Only",SUM(PVCalcs!AF470:AI470),IF('PV IN'!$F$4="Battery Only",SUM(BattCalcs!BL470:BY470),SUM(PVCalcs!AF470:AI470)+SUM(BattCalcs!BL470:BY470)))</f>
        <v>-1375</v>
      </c>
      <c r="AX470" s="144">
        <f>IF('PV IN'!$F$4="Battery Only",0,-PVLoan!F498)</f>
        <v>0</v>
      </c>
      <c r="AY470" s="144">
        <f>IF('PV IN'!$F$4="PV Only",0,-BattLoan!F498)</f>
        <v>0</v>
      </c>
      <c r="AZ470" s="144">
        <f>IF('PV IN'!$F$4="Battery Only",0,-PVLoan!H498)</f>
        <v>0</v>
      </c>
      <c r="BA470" s="144">
        <f>IF('PV IN'!$F$4="PV Only",0,-BattLoan!H498)</f>
        <v>0</v>
      </c>
    </row>
    <row r="471" spans="1:88" x14ac:dyDescent="0.25">
      <c r="A471" t="str">
        <f>IF(C471&lt;='PV IN'!$O$22*12,C471,"")</f>
        <v/>
      </c>
      <c r="C471">
        <v>467</v>
      </c>
      <c r="D471" s="2">
        <f>BattCalcs!CK471+PVCalcs!AT471</f>
        <v>7731.5835415123256</v>
      </c>
      <c r="E471" s="20">
        <f>PVCalcs!AV471</f>
        <v>3324574.3560680929</v>
      </c>
      <c r="F471" s="20">
        <f>PVCalcs!AW471</f>
        <v>1157.8480380743249</v>
      </c>
      <c r="G471" s="20" t="e">
        <f>PVCalcs!AX471</f>
        <v>#N/A</v>
      </c>
      <c r="H471" s="20">
        <f>BattCalcs!CM471</f>
        <v>0</v>
      </c>
      <c r="I471" s="20">
        <f>BattCalcs!CN471</f>
        <v>0</v>
      </c>
      <c r="J471" s="20" t="e">
        <f>IF(C471&lt;='Batt IN'!H$43*12,BattCalcs!CO471,NA())</f>
        <v>#N/A</v>
      </c>
      <c r="L471" s="20">
        <f t="shared" si="1173"/>
        <v>1157.8480380743249</v>
      </c>
      <c r="M471" s="20" t="e">
        <f>G471+BattCalcs!CO471</f>
        <v>#N/A</v>
      </c>
      <c r="O471" s="10" t="str">
        <f>PVLoan!G499</f>
        <v>-</v>
      </c>
      <c r="P471" s="10" t="str">
        <f>PVLoan!J499</f>
        <v>-</v>
      </c>
      <c r="Q471" s="2" t="str">
        <f>BattLoan!G499</f>
        <v>-</v>
      </c>
      <c r="R471" s="10" t="str">
        <f>BattLoan!J499</f>
        <v>-</v>
      </c>
      <c r="T471" s="33">
        <f>IF('PV IN'!$F$4="Battery Only",0,PVCalcs!G471)</f>
        <v>111764.53898191717</v>
      </c>
      <c r="U471" s="33">
        <f>IF('PV IN'!$F$4="Battery Only",0,PVCalcs!M471)</f>
        <v>111764.53898191717</v>
      </c>
      <c r="V471" s="33">
        <f>PVCalcs!L471</f>
        <v>25811.765833333331</v>
      </c>
      <c r="W471" s="158">
        <f>PVCalcs!F471</f>
        <v>7.8896523189157505E-2</v>
      </c>
      <c r="X471" s="144">
        <f>IF('PV IN'!$F$4="Battery Only",0,PVCalcs!Y471+PVCalcs!Z471)</f>
        <v>0</v>
      </c>
      <c r="Y471" s="144">
        <f>IF('PV IN'!$F$4="PV Only",0,BattCalcs!AX471+BattCalcs!BC471)</f>
        <v>0</v>
      </c>
      <c r="Z471" s="144">
        <f>IF('PV IN'!$F$4="PV Only",0,BattCalcs!AY471+BattCalcs!BD471)</f>
        <v>0</v>
      </c>
      <c r="AA471" s="144">
        <f>IF('PV IN'!$F$4="PV Only",0,BattCalcs!AZ471+BattCalcs!BE471)</f>
        <v>0</v>
      </c>
      <c r="AB471" s="144">
        <f>IF('PV IN'!$F$4="PV Only",0,BattCalcs!BA471+BattCalcs!BF471)</f>
        <v>0</v>
      </c>
      <c r="AC471" s="144">
        <f>IF('PV IN'!$F$4="PV Only",0,BattCalcs!BB471+BattCalcs!BG471)</f>
        <v>0</v>
      </c>
      <c r="AD471" s="144">
        <f>IF('PV IN'!$F$4="PV Only",0,BattCalcs!BU471)</f>
        <v>0</v>
      </c>
      <c r="AE471" s="144">
        <f>IF('PV IN'!$F$4="PV Only",PVCalcs!W471+PVCalcs!AA471,IF('PV IN'!$F$4="Battery Only",BattCalcs!AV471+BattCalcs!BH471,PVCalcs!W471+PVCalcs!AA471+BattCalcs!AV471+BattCalcs!BH471))</f>
        <v>0</v>
      </c>
      <c r="AF471" s="10">
        <f>PVCalcs!AC471+BattCalcs!BJ471</f>
        <v>0</v>
      </c>
      <c r="AG471" s="144">
        <f>IF('PV IN'!$F$4="Battery Only",0,PVCalcs!AG471)</f>
        <v>-750</v>
      </c>
      <c r="AH471" s="144">
        <f>IF('PV IN'!$F$4="Battery Only",0,PVCalcs!AI471)</f>
        <v>0</v>
      </c>
      <c r="AI471" s="144">
        <f>IF('PV IN'!$F$4="PV Only",0,BattCalcs!BM471)</f>
        <v>0</v>
      </c>
      <c r="AJ471" s="144">
        <f>IF('PV IN'!$F$4="PV Only",0,SUM(BattCalcs!BO471:BT471))</f>
        <v>0</v>
      </c>
      <c r="AK471" s="144">
        <f>IF('PV IN'!$F$4="PV Only",PVCalcs!AH471,IF('PV IN'!$F$4="Battery Only",BattCalcs!BN471,PVCalcs!AH471+BattCalcs!BN471))</f>
        <v>-625</v>
      </c>
      <c r="AL471" s="144">
        <f>IF('PV IN'!$F$4="PV Only",0,BattCalcs!BV471)</f>
        <v>0</v>
      </c>
      <c r="AM471" s="144">
        <f>IF('PV IN'!$F$4="PV Only",0,SUM(BattCalcs!BW471:BX471))</f>
        <v>0</v>
      </c>
      <c r="AN471" s="144">
        <f>IF('PV IN'!$F$4="PV Only",0,BattCalcs!BY471)</f>
        <v>0</v>
      </c>
      <c r="AO471" s="144">
        <f>IF('PV IN'!$F$4="Battery Only",0,PVCalcs!U471)</f>
        <v>8817.8335415123256</v>
      </c>
      <c r="AP471" s="10">
        <f>IF('PV IN'!$F$4="PV Only",0,BattCalcs!AS471)</f>
        <v>0</v>
      </c>
      <c r="AQ471" s="10">
        <f>IF('PV IN'!$F$4="PV Only",0,BattCalcs!AT471)</f>
        <v>0</v>
      </c>
      <c r="AR471" s="10">
        <f>IF('PV IN'!$F$4="PV Only",0,BattCalcs!AU471)</f>
        <v>0</v>
      </c>
      <c r="AS471" s="144">
        <f>IF('PV IN'!$F$4="PV Only",PVCalcs!X471,IF('PV IN'!$F$4="Battery Only",BattCalcs!AW471,PVCalcs!X471+BattCalcs!AW471))</f>
        <v>0</v>
      </c>
      <c r="AT471" s="144">
        <f>IF('PV IN'!$F$4="Battery Only",0,-PVCalcs!AQ471*'PV IN'!$E$8)</f>
        <v>0</v>
      </c>
      <c r="AU471" s="144">
        <f>IF('PV IN'!$F$4="PV Only",0,-BattCalcs!CG471*'PV IN'!$E$8)</f>
        <v>0</v>
      </c>
      <c r="AV471" s="144">
        <f>IF('PV IN'!$F$4="PV Only",PVCalcs!Z471+PVCalcs!AA471,IF('PV IN'!$F$4="Battery Only",SUM(BattCalcs!BC471:BH471),PVCalcs!Z471+PVCalcs!AA471+SUM(BattCalcs!BC471:BH471)))</f>
        <v>0</v>
      </c>
      <c r="AW471" s="144">
        <f>IF('PV IN'!$F$4="PV Only",SUM(PVCalcs!AF471:AI471),IF('PV IN'!$F$4="Battery Only",SUM(BattCalcs!BL471:BY471),SUM(PVCalcs!AF471:AI471)+SUM(BattCalcs!BL471:BY471)))</f>
        <v>-1375</v>
      </c>
      <c r="AX471" s="144">
        <f>IF('PV IN'!$F$4="Battery Only",0,-PVLoan!F499)</f>
        <v>0</v>
      </c>
      <c r="AY471" s="144">
        <f>IF('PV IN'!$F$4="PV Only",0,-BattLoan!F499)</f>
        <v>0</v>
      </c>
      <c r="AZ471" s="144">
        <f>IF('PV IN'!$F$4="Battery Only",0,-PVLoan!H499)</f>
        <v>0</v>
      </c>
      <c r="BA471" s="144">
        <f>IF('PV IN'!$F$4="PV Only",0,-BattLoan!H499)</f>
        <v>0</v>
      </c>
    </row>
    <row r="472" spans="1:88" x14ac:dyDescent="0.25">
      <c r="A472" t="str">
        <f>IF(C472&lt;='PV IN'!$O$22*12,C472,"")</f>
        <v/>
      </c>
      <c r="B472">
        <f t="shared" ref="B472" si="1279">B460+1</f>
        <v>2064</v>
      </c>
      <c r="C472">
        <v>468</v>
      </c>
      <c r="D472" s="2">
        <f>BattCalcs!CK472+PVCalcs!AT472</f>
        <v>7725.7049858179835</v>
      </c>
      <c r="E472" s="20">
        <f>PVCalcs!AV472</f>
        <v>3332300.0610539108</v>
      </c>
      <c r="F472" s="20">
        <f>PVCalcs!AW472</f>
        <v>1152.2731877591827</v>
      </c>
      <c r="G472" s="20" t="e">
        <f>PVCalcs!AX472</f>
        <v>#N/A</v>
      </c>
      <c r="H472" s="20">
        <f>BattCalcs!CM472</f>
        <v>0</v>
      </c>
      <c r="I472" s="20">
        <f>BattCalcs!CN472</f>
        <v>0</v>
      </c>
      <c r="J472" s="20" t="e">
        <f>IF(C472&lt;='Batt IN'!H$43*12,BattCalcs!CO472,NA())</f>
        <v>#N/A</v>
      </c>
      <c r="L472" s="20">
        <f t="shared" si="1173"/>
        <v>1152.2731877591827</v>
      </c>
      <c r="M472" s="20" t="e">
        <f>G472+BattCalcs!CO472</f>
        <v>#N/A</v>
      </c>
      <c r="O472" s="10" t="str">
        <f>PVLoan!G500</f>
        <v>-</v>
      </c>
      <c r="P472" s="10" t="str">
        <f>PVLoan!J500</f>
        <v>-</v>
      </c>
      <c r="Q472" s="2" t="str">
        <f>BattLoan!G500</f>
        <v>-</v>
      </c>
      <c r="R472" s="10" t="str">
        <f>BattLoan!J500</f>
        <v>-</v>
      </c>
      <c r="T472" s="33">
        <f>IF('PV IN'!$F$4="Battery Only",0,PVCalcs!G472)</f>
        <v>111690.02928926254</v>
      </c>
      <c r="U472" s="33">
        <f>IF('PV IN'!$F$4="Battery Only",0,PVCalcs!M472)</f>
        <v>111690.02928926254</v>
      </c>
      <c r="V472" s="33">
        <f>PVCalcs!L472</f>
        <v>25811.765833333331</v>
      </c>
      <c r="W472" s="158">
        <f>PVCalcs!F472</f>
        <v>7.8896523189157505E-2</v>
      </c>
      <c r="X472" s="144">
        <f>IF('PV IN'!$F$4="Battery Only",0,PVCalcs!Y472+PVCalcs!Z472)</f>
        <v>0</v>
      </c>
      <c r="Y472" s="144">
        <f>IF('PV IN'!$F$4="PV Only",0,BattCalcs!AX472+BattCalcs!BC472)</f>
        <v>0</v>
      </c>
      <c r="Z472" s="144">
        <f>IF('PV IN'!$F$4="PV Only",0,BattCalcs!AY472+BattCalcs!BD472)</f>
        <v>0</v>
      </c>
      <c r="AA472" s="144">
        <f>IF('PV IN'!$F$4="PV Only",0,BattCalcs!AZ472+BattCalcs!BE472)</f>
        <v>0</v>
      </c>
      <c r="AB472" s="144">
        <f>IF('PV IN'!$F$4="PV Only",0,BattCalcs!BA472+BattCalcs!BF472)</f>
        <v>0</v>
      </c>
      <c r="AC472" s="144">
        <f>IF('PV IN'!$F$4="PV Only",0,BattCalcs!BB472+BattCalcs!BG472)</f>
        <v>0</v>
      </c>
      <c r="AD472" s="144">
        <f>IF('PV IN'!$F$4="PV Only",0,BattCalcs!BU472)</f>
        <v>0</v>
      </c>
      <c r="AE472" s="144">
        <f>IF('PV IN'!$F$4="PV Only",PVCalcs!W472+PVCalcs!AA472,IF('PV IN'!$F$4="Battery Only",BattCalcs!AV472+BattCalcs!BH472,PVCalcs!W472+PVCalcs!AA472+BattCalcs!AV472+BattCalcs!BH472))</f>
        <v>0</v>
      </c>
      <c r="AF472" s="10">
        <f>PVCalcs!AC472+BattCalcs!BJ472</f>
        <v>0</v>
      </c>
      <c r="AG472" s="144">
        <f>IF('PV IN'!$F$4="Battery Only",0,PVCalcs!AG472)</f>
        <v>-750</v>
      </c>
      <c r="AH472" s="144">
        <f>IF('PV IN'!$F$4="Battery Only",0,PVCalcs!AI472)</f>
        <v>0</v>
      </c>
      <c r="AI472" s="144">
        <f>IF('PV IN'!$F$4="PV Only",0,BattCalcs!BM472)</f>
        <v>0</v>
      </c>
      <c r="AJ472" s="144">
        <f>IF('PV IN'!$F$4="PV Only",0,SUM(BattCalcs!BO472:BT472))</f>
        <v>0</v>
      </c>
      <c r="AK472" s="144">
        <f>IF('PV IN'!$F$4="PV Only",PVCalcs!AH472,IF('PV IN'!$F$4="Battery Only",BattCalcs!BN472,PVCalcs!AH472+BattCalcs!BN472))</f>
        <v>-625</v>
      </c>
      <c r="AL472" s="144">
        <f>IF('PV IN'!$F$4="PV Only",0,BattCalcs!BV472)</f>
        <v>0</v>
      </c>
      <c r="AM472" s="144">
        <f>IF('PV IN'!$F$4="PV Only",0,SUM(BattCalcs!BW472:BX472))</f>
        <v>0</v>
      </c>
      <c r="AN472" s="144">
        <f>IF('PV IN'!$F$4="PV Only",0,BattCalcs!BY472)</f>
        <v>0</v>
      </c>
      <c r="AO472" s="144">
        <f>IF('PV IN'!$F$4="Battery Only",0,PVCalcs!U472)</f>
        <v>8811.9549858179835</v>
      </c>
      <c r="AP472" s="10">
        <f>IF('PV IN'!$F$4="PV Only",0,BattCalcs!AS472)</f>
        <v>0</v>
      </c>
      <c r="AQ472" s="10">
        <f>IF('PV IN'!$F$4="PV Only",0,BattCalcs!AT472)</f>
        <v>0</v>
      </c>
      <c r="AR472" s="10">
        <f>IF('PV IN'!$F$4="PV Only",0,BattCalcs!AU472)</f>
        <v>0</v>
      </c>
      <c r="AS472" s="144">
        <f>IF('PV IN'!$F$4="PV Only",PVCalcs!X472,IF('PV IN'!$F$4="Battery Only",BattCalcs!AW472,PVCalcs!X472+BattCalcs!AW472))</f>
        <v>0</v>
      </c>
      <c r="AT472" s="144">
        <f>IF('PV IN'!$F$4="Battery Only",0,-PVCalcs!AQ472*'PV IN'!$E$8)</f>
        <v>0</v>
      </c>
      <c r="AU472" s="144">
        <f>IF('PV IN'!$F$4="PV Only",0,-BattCalcs!CG472*'PV IN'!$E$8)</f>
        <v>0</v>
      </c>
      <c r="AV472" s="144">
        <f>IF('PV IN'!$F$4="PV Only",PVCalcs!Z472+PVCalcs!AA472,IF('PV IN'!$F$4="Battery Only",SUM(BattCalcs!BC472:BH472),PVCalcs!Z472+PVCalcs!AA472+SUM(BattCalcs!BC472:BH472)))</f>
        <v>0</v>
      </c>
      <c r="AW472" s="144">
        <f>IF('PV IN'!$F$4="PV Only",SUM(PVCalcs!AF472:AI472),IF('PV IN'!$F$4="Battery Only",SUM(BattCalcs!BL472:BY472),SUM(PVCalcs!AF472:AI472)+SUM(BattCalcs!BL472:BY472)))</f>
        <v>-1375</v>
      </c>
      <c r="AX472" s="144">
        <f>IF('PV IN'!$F$4="Battery Only",0,-PVLoan!F500)</f>
        <v>0</v>
      </c>
      <c r="AY472" s="144">
        <f>IF('PV IN'!$F$4="PV Only",0,-BattLoan!F500)</f>
        <v>0</v>
      </c>
      <c r="AZ472" s="144">
        <f>IF('PV IN'!$F$4="Battery Only",0,-PVLoan!H500)</f>
        <v>0</v>
      </c>
      <c r="BA472" s="144">
        <f>IF('PV IN'!$F$4="PV Only",0,-BattLoan!H500)</f>
        <v>0</v>
      </c>
      <c r="BC472" s="33">
        <f t="shared" ref="BC472" si="1280">SUM(T461:T472)</f>
        <v>1345208.9429964076</v>
      </c>
      <c r="BD472" s="33">
        <f t="shared" ref="BD472" si="1281">SUM(U461:U472)</f>
        <v>1345208.9429964076</v>
      </c>
      <c r="BE472" s="33">
        <f t="shared" ref="BE472" si="1282">SUM(V461:V472)</f>
        <v>309741.19</v>
      </c>
      <c r="BF472" s="50">
        <f t="shared" ref="BF472" si="1283">W472</f>
        <v>7.8896523189157505E-2</v>
      </c>
      <c r="BG472" s="2">
        <f t="shared" ref="BG472" si="1284">SUM(X461:X472)</f>
        <v>0</v>
      </c>
      <c r="BH472" s="2">
        <f t="shared" ref="BH472" si="1285">SUM(Y461:Y472)</f>
        <v>0</v>
      </c>
      <c r="BI472" s="2">
        <f t="shared" ref="BI472" si="1286">SUM(Z461:Z472)</f>
        <v>0</v>
      </c>
      <c r="BJ472" s="2">
        <f t="shared" ref="BJ472" si="1287">SUM(AA461:AA472)</f>
        <v>0</v>
      </c>
      <c r="BK472" s="2">
        <f t="shared" ref="BK472" si="1288">SUM(AB461:AB472)</f>
        <v>0</v>
      </c>
      <c r="BL472" s="2">
        <f t="shared" ref="BL472" si="1289">SUM(AC461:AC472)</f>
        <v>0</v>
      </c>
      <c r="BM472" s="2">
        <f t="shared" ref="BM472" si="1290">SUM(AD461:AD472)</f>
        <v>0</v>
      </c>
      <c r="BN472" s="2">
        <f t="shared" ref="BN472" si="1291">SUM(AE461:AE472)</f>
        <v>0</v>
      </c>
      <c r="BO472" s="2">
        <f t="shared" ref="BO472" si="1292">SUM(AF461:AF472)</f>
        <v>0</v>
      </c>
      <c r="BP472" s="2">
        <f t="shared" ref="BP472" si="1293">SUM(AG461:AG472)</f>
        <v>-9000</v>
      </c>
      <c r="BQ472" s="2">
        <f t="shared" ref="BQ472" si="1294">SUM(AH461:AH472)</f>
        <v>0</v>
      </c>
      <c r="BR472" s="2">
        <f t="shared" ref="BR472" si="1295">SUM(AI461:AI472)</f>
        <v>0</v>
      </c>
      <c r="BS472" s="2">
        <f t="shared" ref="BS472" si="1296">SUM(AJ461:AJ472)</f>
        <v>0</v>
      </c>
      <c r="BT472" s="2">
        <f t="shared" ref="BT472" si="1297">SUM(AK461:AK472)</f>
        <v>-7500</v>
      </c>
      <c r="BU472" s="2">
        <f t="shared" ref="BU472" si="1298">SUM(AL461:AL472)</f>
        <v>0</v>
      </c>
      <c r="BV472" s="2">
        <f t="shared" ref="BV472" si="1299">SUM(AM461:AM472)</f>
        <v>0</v>
      </c>
      <c r="BW472" s="2">
        <f t="shared" ref="BW472" si="1300">SUM(AN461:AN472)</f>
        <v>0</v>
      </c>
      <c r="BX472" s="2">
        <f t="shared" ref="BX472" si="1301">SUM(AO461:AO472)</f>
        <v>106132.30856537815</v>
      </c>
      <c r="BY472" s="2">
        <f t="shared" ref="BY472" si="1302">SUM(AP461:AP472)</f>
        <v>0</v>
      </c>
      <c r="BZ472" s="2">
        <f t="shared" ref="BZ472" si="1303">SUM(AQ461:AQ472)</f>
        <v>0</v>
      </c>
      <c r="CA472" s="2">
        <f t="shared" ref="CA472" si="1304">SUM(AR461:AR472)</f>
        <v>0</v>
      </c>
      <c r="CB472" s="2">
        <f t="shared" ref="CB472" si="1305">SUM(AS461:AS472)</f>
        <v>0</v>
      </c>
      <c r="CC472" s="2">
        <f t="shared" ref="CC472" si="1306">SUM(AT461:AT472)</f>
        <v>0</v>
      </c>
      <c r="CD472" s="2">
        <f t="shared" ref="CD472" si="1307">SUM(AU461:AU472)</f>
        <v>0</v>
      </c>
      <c r="CE472" s="2">
        <f t="shared" ref="CE472" si="1308">SUM(AV461:AV472)</f>
        <v>0</v>
      </c>
      <c r="CF472" s="2">
        <f t="shared" ref="CF472" si="1309">SUM(AW461:AW472)</f>
        <v>-16500</v>
      </c>
      <c r="CG472" s="2">
        <f t="shared" ref="CG472" si="1310">SUM(AX461:AX472)</f>
        <v>0</v>
      </c>
      <c r="CH472" s="2">
        <f t="shared" ref="CH472" si="1311">SUM(AY461:AY472)</f>
        <v>0</v>
      </c>
      <c r="CI472" s="2">
        <f t="shared" ref="CI472" si="1312">SUM(AZ461:AZ472)</f>
        <v>0</v>
      </c>
      <c r="CJ472" s="2">
        <f t="shared" ref="CJ472" si="1313">SUM(BA461:BA472)</f>
        <v>0</v>
      </c>
    </row>
    <row r="473" spans="1:88" x14ac:dyDescent="0.25">
      <c r="A473" t="str">
        <f>IF(C473&lt;='PV IN'!$O$22*12,C473,"")</f>
        <v/>
      </c>
      <c r="C473">
        <v>469</v>
      </c>
      <c r="D473" s="2">
        <f>BattCalcs!CK473+PVCalcs!AT473</f>
        <v>7719.8303491607712</v>
      </c>
      <c r="E473" s="20">
        <f>PVCalcs!AV473</f>
        <v>3340019.8914030716</v>
      </c>
      <c r="F473" s="20">
        <f>PVCalcs!AW473</f>
        <v>1146.7250976546695</v>
      </c>
      <c r="G473" s="20" t="e">
        <f>PVCalcs!AX473</f>
        <v>#N/A</v>
      </c>
      <c r="H473" s="20">
        <f>BattCalcs!CM473</f>
        <v>0</v>
      </c>
      <c r="I473" s="20">
        <f>BattCalcs!CN473</f>
        <v>0</v>
      </c>
      <c r="J473" s="20" t="e">
        <f>IF(C473&lt;='Batt IN'!H$43*12,BattCalcs!CO473,NA())</f>
        <v>#N/A</v>
      </c>
      <c r="L473" s="20">
        <f t="shared" si="1173"/>
        <v>1146.7250976546695</v>
      </c>
      <c r="M473" s="20" t="e">
        <f>G473+BattCalcs!CO473</f>
        <v>#N/A</v>
      </c>
      <c r="O473" s="10" t="str">
        <f>PVLoan!G501</f>
        <v>-</v>
      </c>
      <c r="P473" s="10" t="str">
        <f>PVLoan!J501</f>
        <v>-</v>
      </c>
      <c r="Q473" s="2" t="str">
        <f>BattLoan!G501</f>
        <v>-</v>
      </c>
      <c r="R473" s="10" t="str">
        <f>BattLoan!J501</f>
        <v>-</v>
      </c>
      <c r="T473" s="33">
        <f>IF('PV IN'!$F$4="Battery Only",0,PVCalcs!G473)</f>
        <v>111615.56926973637</v>
      </c>
      <c r="U473" s="33">
        <f>IF('PV IN'!$F$4="Battery Only",0,PVCalcs!M473)</f>
        <v>111615.56926973637</v>
      </c>
      <c r="V473" s="33">
        <f>PVCalcs!L473</f>
        <v>25811.765833333331</v>
      </c>
      <c r="W473" s="158">
        <f>PVCalcs!F473</f>
        <v>7.8896523189157505E-2</v>
      </c>
      <c r="X473" s="144">
        <f>IF('PV IN'!$F$4="Battery Only",0,PVCalcs!Y473+PVCalcs!Z473)</f>
        <v>0</v>
      </c>
      <c r="Y473" s="144">
        <f>IF('PV IN'!$F$4="PV Only",0,BattCalcs!AX473+BattCalcs!BC473)</f>
        <v>0</v>
      </c>
      <c r="Z473" s="144">
        <f>IF('PV IN'!$F$4="PV Only",0,BattCalcs!AY473+BattCalcs!BD473)</f>
        <v>0</v>
      </c>
      <c r="AA473" s="144">
        <f>IF('PV IN'!$F$4="PV Only",0,BattCalcs!AZ473+BattCalcs!BE473)</f>
        <v>0</v>
      </c>
      <c r="AB473" s="144">
        <f>IF('PV IN'!$F$4="PV Only",0,BattCalcs!BA473+BattCalcs!BF473)</f>
        <v>0</v>
      </c>
      <c r="AC473" s="144">
        <f>IF('PV IN'!$F$4="PV Only",0,BattCalcs!BB473+BattCalcs!BG473)</f>
        <v>0</v>
      </c>
      <c r="AD473" s="144">
        <f>IF('PV IN'!$F$4="PV Only",0,BattCalcs!BU473)</f>
        <v>0</v>
      </c>
      <c r="AE473" s="144">
        <f>IF('PV IN'!$F$4="PV Only",PVCalcs!W473+PVCalcs!AA473,IF('PV IN'!$F$4="Battery Only",BattCalcs!AV473+BattCalcs!BH473,PVCalcs!W473+PVCalcs!AA473+BattCalcs!AV473+BattCalcs!BH473))</f>
        <v>0</v>
      </c>
      <c r="AF473" s="10">
        <f>PVCalcs!AC473+BattCalcs!BJ473</f>
        <v>0</v>
      </c>
      <c r="AG473" s="144">
        <f>IF('PV IN'!$F$4="Battery Only",0,PVCalcs!AG473)</f>
        <v>-750</v>
      </c>
      <c r="AH473" s="144">
        <f>IF('PV IN'!$F$4="Battery Only",0,PVCalcs!AI473)</f>
        <v>0</v>
      </c>
      <c r="AI473" s="144">
        <f>IF('PV IN'!$F$4="PV Only",0,BattCalcs!BM473)</f>
        <v>0</v>
      </c>
      <c r="AJ473" s="144">
        <f>IF('PV IN'!$F$4="PV Only",0,SUM(BattCalcs!BO473:BT473))</f>
        <v>0</v>
      </c>
      <c r="AK473" s="144">
        <f>IF('PV IN'!$F$4="PV Only",PVCalcs!AH473,IF('PV IN'!$F$4="Battery Only",BattCalcs!BN473,PVCalcs!AH473+BattCalcs!BN473))</f>
        <v>-625</v>
      </c>
      <c r="AL473" s="144">
        <f>IF('PV IN'!$F$4="PV Only",0,BattCalcs!BV473)</f>
        <v>0</v>
      </c>
      <c r="AM473" s="144">
        <f>IF('PV IN'!$F$4="PV Only",0,SUM(BattCalcs!BW473:BX473))</f>
        <v>0</v>
      </c>
      <c r="AN473" s="144">
        <f>IF('PV IN'!$F$4="PV Only",0,BattCalcs!BY473)</f>
        <v>0</v>
      </c>
      <c r="AO473" s="144">
        <f>IF('PV IN'!$F$4="Battery Only",0,PVCalcs!U473)</f>
        <v>8806.0803491607712</v>
      </c>
      <c r="AP473" s="10">
        <f>IF('PV IN'!$F$4="PV Only",0,BattCalcs!AS473)</f>
        <v>0</v>
      </c>
      <c r="AQ473" s="10">
        <f>IF('PV IN'!$F$4="PV Only",0,BattCalcs!AT473)</f>
        <v>0</v>
      </c>
      <c r="AR473" s="10">
        <f>IF('PV IN'!$F$4="PV Only",0,BattCalcs!AU473)</f>
        <v>0</v>
      </c>
      <c r="AS473" s="144">
        <f>IF('PV IN'!$F$4="PV Only",PVCalcs!X473,IF('PV IN'!$F$4="Battery Only",BattCalcs!AW473,PVCalcs!X473+BattCalcs!AW473))</f>
        <v>0</v>
      </c>
      <c r="AT473" s="144">
        <f>IF('PV IN'!$F$4="Battery Only",0,-PVCalcs!AQ473*'PV IN'!$E$8)</f>
        <v>0</v>
      </c>
      <c r="AU473" s="144">
        <f>IF('PV IN'!$F$4="PV Only",0,-BattCalcs!CG473*'PV IN'!$E$8)</f>
        <v>0</v>
      </c>
      <c r="AV473" s="144">
        <f>IF('PV IN'!$F$4="PV Only",PVCalcs!Z473+PVCalcs!AA473,IF('PV IN'!$F$4="Battery Only",SUM(BattCalcs!BC473:BH473),PVCalcs!Z473+PVCalcs!AA473+SUM(BattCalcs!BC473:BH473)))</f>
        <v>0</v>
      </c>
      <c r="AW473" s="144">
        <f>IF('PV IN'!$F$4="PV Only",SUM(PVCalcs!AF473:AI473),IF('PV IN'!$F$4="Battery Only",SUM(BattCalcs!BL473:BY473),SUM(PVCalcs!AF473:AI473)+SUM(BattCalcs!BL473:BY473)))</f>
        <v>-1375</v>
      </c>
      <c r="AX473" s="144">
        <f>IF('PV IN'!$F$4="Battery Only",0,-PVLoan!F501)</f>
        <v>0</v>
      </c>
      <c r="AY473" s="144">
        <f>IF('PV IN'!$F$4="PV Only",0,-BattLoan!F501)</f>
        <v>0</v>
      </c>
      <c r="AZ473" s="144">
        <f>IF('PV IN'!$F$4="Battery Only",0,-PVLoan!H501)</f>
        <v>0</v>
      </c>
      <c r="BA473" s="144">
        <f>IF('PV IN'!$F$4="PV Only",0,-BattLoan!H501)</f>
        <v>0</v>
      </c>
    </row>
    <row r="474" spans="1:88" x14ac:dyDescent="0.25">
      <c r="A474" t="str">
        <f>IF(C474&lt;='PV IN'!$O$22*12,C474,"")</f>
        <v/>
      </c>
      <c r="C474">
        <v>470</v>
      </c>
      <c r="D474" s="2">
        <f>BattCalcs!CK474+PVCalcs!AT474</f>
        <v>7713.9596289279962</v>
      </c>
      <c r="E474" s="20">
        <f>PVCalcs!AV474</f>
        <v>3347733.8510319996</v>
      </c>
      <c r="F474" s="20">
        <f>PVCalcs!AW474</f>
        <v>1141.2036396327487</v>
      </c>
      <c r="G474" s="20" t="e">
        <f>PVCalcs!AX474</f>
        <v>#N/A</v>
      </c>
      <c r="H474" s="20">
        <f>BattCalcs!CM474</f>
        <v>0</v>
      </c>
      <c r="I474" s="20">
        <f>BattCalcs!CN474</f>
        <v>0</v>
      </c>
      <c r="J474" s="20" t="e">
        <f>IF(C474&lt;='Batt IN'!H$43*12,BattCalcs!CO474,NA())</f>
        <v>#N/A</v>
      </c>
      <c r="L474" s="20">
        <f t="shared" si="1173"/>
        <v>1141.2036396327487</v>
      </c>
      <c r="M474" s="20" t="e">
        <f>G474+BattCalcs!CO474</f>
        <v>#N/A</v>
      </c>
      <c r="O474" s="10" t="str">
        <f>PVLoan!G502</f>
        <v>-</v>
      </c>
      <c r="P474" s="10" t="str">
        <f>PVLoan!J502</f>
        <v>-</v>
      </c>
      <c r="Q474" s="2" t="str">
        <f>BattLoan!G502</f>
        <v>-</v>
      </c>
      <c r="R474" s="10" t="str">
        <f>BattLoan!J502</f>
        <v>-</v>
      </c>
      <c r="T474" s="33">
        <f>IF('PV IN'!$F$4="Battery Only",0,PVCalcs!G474)</f>
        <v>111541.1588902232</v>
      </c>
      <c r="U474" s="33">
        <f>IF('PV IN'!$F$4="Battery Only",0,PVCalcs!M474)</f>
        <v>111541.1588902232</v>
      </c>
      <c r="V474" s="33">
        <f>PVCalcs!L474</f>
        <v>25811.765833333331</v>
      </c>
      <c r="W474" s="158">
        <f>PVCalcs!F474</f>
        <v>7.8896523189157505E-2</v>
      </c>
      <c r="X474" s="144">
        <f>IF('PV IN'!$F$4="Battery Only",0,PVCalcs!Y474+PVCalcs!Z474)</f>
        <v>0</v>
      </c>
      <c r="Y474" s="144">
        <f>IF('PV IN'!$F$4="PV Only",0,BattCalcs!AX474+BattCalcs!BC474)</f>
        <v>0</v>
      </c>
      <c r="Z474" s="144">
        <f>IF('PV IN'!$F$4="PV Only",0,BattCalcs!AY474+BattCalcs!BD474)</f>
        <v>0</v>
      </c>
      <c r="AA474" s="144">
        <f>IF('PV IN'!$F$4="PV Only",0,BattCalcs!AZ474+BattCalcs!BE474)</f>
        <v>0</v>
      </c>
      <c r="AB474" s="144">
        <f>IF('PV IN'!$F$4="PV Only",0,BattCalcs!BA474+BattCalcs!BF474)</f>
        <v>0</v>
      </c>
      <c r="AC474" s="144">
        <f>IF('PV IN'!$F$4="PV Only",0,BattCalcs!BB474+BattCalcs!BG474)</f>
        <v>0</v>
      </c>
      <c r="AD474" s="144">
        <f>IF('PV IN'!$F$4="PV Only",0,BattCalcs!BU474)</f>
        <v>0</v>
      </c>
      <c r="AE474" s="144">
        <f>IF('PV IN'!$F$4="PV Only",PVCalcs!W474+PVCalcs!AA474,IF('PV IN'!$F$4="Battery Only",BattCalcs!AV474+BattCalcs!BH474,PVCalcs!W474+PVCalcs!AA474+BattCalcs!AV474+BattCalcs!BH474))</f>
        <v>0</v>
      </c>
      <c r="AF474" s="10">
        <f>PVCalcs!AC474+BattCalcs!BJ474</f>
        <v>0</v>
      </c>
      <c r="AG474" s="144">
        <f>IF('PV IN'!$F$4="Battery Only",0,PVCalcs!AG474)</f>
        <v>-750</v>
      </c>
      <c r="AH474" s="144">
        <f>IF('PV IN'!$F$4="Battery Only",0,PVCalcs!AI474)</f>
        <v>0</v>
      </c>
      <c r="AI474" s="144">
        <f>IF('PV IN'!$F$4="PV Only",0,BattCalcs!BM474)</f>
        <v>0</v>
      </c>
      <c r="AJ474" s="144">
        <f>IF('PV IN'!$F$4="PV Only",0,SUM(BattCalcs!BO474:BT474))</f>
        <v>0</v>
      </c>
      <c r="AK474" s="144">
        <f>IF('PV IN'!$F$4="PV Only",PVCalcs!AH474,IF('PV IN'!$F$4="Battery Only",BattCalcs!BN474,PVCalcs!AH474+BattCalcs!BN474))</f>
        <v>-625</v>
      </c>
      <c r="AL474" s="144">
        <f>IF('PV IN'!$F$4="PV Only",0,BattCalcs!BV474)</f>
        <v>0</v>
      </c>
      <c r="AM474" s="144">
        <f>IF('PV IN'!$F$4="PV Only",0,SUM(BattCalcs!BW474:BX474))</f>
        <v>0</v>
      </c>
      <c r="AN474" s="144">
        <f>IF('PV IN'!$F$4="PV Only",0,BattCalcs!BY474)</f>
        <v>0</v>
      </c>
      <c r="AO474" s="144">
        <f>IF('PV IN'!$F$4="Battery Only",0,PVCalcs!U474)</f>
        <v>8800.2096289279962</v>
      </c>
      <c r="AP474" s="10">
        <f>IF('PV IN'!$F$4="PV Only",0,BattCalcs!AS474)</f>
        <v>0</v>
      </c>
      <c r="AQ474" s="10">
        <f>IF('PV IN'!$F$4="PV Only",0,BattCalcs!AT474)</f>
        <v>0</v>
      </c>
      <c r="AR474" s="10">
        <f>IF('PV IN'!$F$4="PV Only",0,BattCalcs!AU474)</f>
        <v>0</v>
      </c>
      <c r="AS474" s="144">
        <f>IF('PV IN'!$F$4="PV Only",PVCalcs!X474,IF('PV IN'!$F$4="Battery Only",BattCalcs!AW474,PVCalcs!X474+BattCalcs!AW474))</f>
        <v>0</v>
      </c>
      <c r="AT474" s="144">
        <f>IF('PV IN'!$F$4="Battery Only",0,-PVCalcs!AQ474*'PV IN'!$E$8)</f>
        <v>0</v>
      </c>
      <c r="AU474" s="144">
        <f>IF('PV IN'!$F$4="PV Only",0,-BattCalcs!CG474*'PV IN'!$E$8)</f>
        <v>0</v>
      </c>
      <c r="AV474" s="144">
        <f>IF('PV IN'!$F$4="PV Only",PVCalcs!Z474+PVCalcs!AA474,IF('PV IN'!$F$4="Battery Only",SUM(BattCalcs!BC474:BH474),PVCalcs!Z474+PVCalcs!AA474+SUM(BattCalcs!BC474:BH474)))</f>
        <v>0</v>
      </c>
      <c r="AW474" s="144">
        <f>IF('PV IN'!$F$4="PV Only",SUM(PVCalcs!AF474:AI474),IF('PV IN'!$F$4="Battery Only",SUM(BattCalcs!BL474:BY474),SUM(PVCalcs!AF474:AI474)+SUM(BattCalcs!BL474:BY474)))</f>
        <v>-1375</v>
      </c>
      <c r="AX474" s="144">
        <f>IF('PV IN'!$F$4="Battery Only",0,-PVLoan!F502)</f>
        <v>0</v>
      </c>
      <c r="AY474" s="144">
        <f>IF('PV IN'!$F$4="PV Only",0,-BattLoan!F502)</f>
        <v>0</v>
      </c>
      <c r="AZ474" s="144">
        <f>IF('PV IN'!$F$4="Battery Only",0,-PVLoan!H502)</f>
        <v>0</v>
      </c>
      <c r="BA474" s="144">
        <f>IF('PV IN'!$F$4="PV Only",0,-BattLoan!H502)</f>
        <v>0</v>
      </c>
    </row>
    <row r="475" spans="1:88" x14ac:dyDescent="0.25">
      <c r="A475" t="str">
        <f>IF(C475&lt;='PV IN'!$O$22*12,C475,"")</f>
        <v/>
      </c>
      <c r="C475">
        <v>471</v>
      </c>
      <c r="D475" s="2">
        <f>BattCalcs!CK475+PVCalcs!AT475</f>
        <v>7708.0928225087118</v>
      </c>
      <c r="E475" s="20">
        <f>PVCalcs!AV475</f>
        <v>3355441.9438545085</v>
      </c>
      <c r="F475" s="20">
        <f>PVCalcs!AW475</f>
        <v>1135.7086861775638</v>
      </c>
      <c r="G475" s="20" t="e">
        <f>PVCalcs!AX475</f>
        <v>#N/A</v>
      </c>
      <c r="H475" s="20">
        <f>BattCalcs!CM475</f>
        <v>0</v>
      </c>
      <c r="I475" s="20">
        <f>BattCalcs!CN475</f>
        <v>0</v>
      </c>
      <c r="J475" s="20" t="e">
        <f>IF(C475&lt;='Batt IN'!H$43*12,BattCalcs!CO475,NA())</f>
        <v>#N/A</v>
      </c>
      <c r="L475" s="20">
        <f t="shared" si="1173"/>
        <v>1135.7086861775638</v>
      </c>
      <c r="M475" s="20" t="e">
        <f>G475+BattCalcs!CO475</f>
        <v>#N/A</v>
      </c>
      <c r="O475" s="10" t="str">
        <f>PVLoan!G503</f>
        <v>-</v>
      </c>
      <c r="P475" s="10" t="str">
        <f>PVLoan!J503</f>
        <v>-</v>
      </c>
      <c r="Q475" s="2" t="str">
        <f>BattLoan!G503</f>
        <v>-</v>
      </c>
      <c r="R475" s="10" t="str">
        <f>BattLoan!J503</f>
        <v>-</v>
      </c>
      <c r="T475" s="33">
        <f>IF('PV IN'!$F$4="Battery Only",0,PVCalcs!G475)</f>
        <v>111466.79811762972</v>
      </c>
      <c r="U475" s="33">
        <f>IF('PV IN'!$F$4="Battery Only",0,PVCalcs!M475)</f>
        <v>111466.79811762972</v>
      </c>
      <c r="V475" s="33">
        <f>PVCalcs!L475</f>
        <v>25811.765833333331</v>
      </c>
      <c r="W475" s="158">
        <f>PVCalcs!F475</f>
        <v>7.8896523189157505E-2</v>
      </c>
      <c r="X475" s="144">
        <f>IF('PV IN'!$F$4="Battery Only",0,PVCalcs!Y475+PVCalcs!Z475)</f>
        <v>0</v>
      </c>
      <c r="Y475" s="144">
        <f>IF('PV IN'!$F$4="PV Only",0,BattCalcs!AX475+BattCalcs!BC475)</f>
        <v>0</v>
      </c>
      <c r="Z475" s="144">
        <f>IF('PV IN'!$F$4="PV Only",0,BattCalcs!AY475+BattCalcs!BD475)</f>
        <v>0</v>
      </c>
      <c r="AA475" s="144">
        <f>IF('PV IN'!$F$4="PV Only",0,BattCalcs!AZ475+BattCalcs!BE475)</f>
        <v>0</v>
      </c>
      <c r="AB475" s="144">
        <f>IF('PV IN'!$F$4="PV Only",0,BattCalcs!BA475+BattCalcs!BF475)</f>
        <v>0</v>
      </c>
      <c r="AC475" s="144">
        <f>IF('PV IN'!$F$4="PV Only",0,BattCalcs!BB475+BattCalcs!BG475)</f>
        <v>0</v>
      </c>
      <c r="AD475" s="144">
        <f>IF('PV IN'!$F$4="PV Only",0,BattCalcs!BU475)</f>
        <v>0</v>
      </c>
      <c r="AE475" s="144">
        <f>IF('PV IN'!$F$4="PV Only",PVCalcs!W475+PVCalcs!AA475,IF('PV IN'!$F$4="Battery Only",BattCalcs!AV475+BattCalcs!BH475,PVCalcs!W475+PVCalcs!AA475+BattCalcs!AV475+BattCalcs!BH475))</f>
        <v>0</v>
      </c>
      <c r="AF475" s="10">
        <f>PVCalcs!AC475+BattCalcs!BJ475</f>
        <v>0</v>
      </c>
      <c r="AG475" s="144">
        <f>IF('PV IN'!$F$4="Battery Only",0,PVCalcs!AG475)</f>
        <v>-750</v>
      </c>
      <c r="AH475" s="144">
        <f>IF('PV IN'!$F$4="Battery Only",0,PVCalcs!AI475)</f>
        <v>0</v>
      </c>
      <c r="AI475" s="144">
        <f>IF('PV IN'!$F$4="PV Only",0,BattCalcs!BM475)</f>
        <v>0</v>
      </c>
      <c r="AJ475" s="144">
        <f>IF('PV IN'!$F$4="PV Only",0,SUM(BattCalcs!BO475:BT475))</f>
        <v>0</v>
      </c>
      <c r="AK475" s="144">
        <f>IF('PV IN'!$F$4="PV Only",PVCalcs!AH475,IF('PV IN'!$F$4="Battery Only",BattCalcs!BN475,PVCalcs!AH475+BattCalcs!BN475))</f>
        <v>-625</v>
      </c>
      <c r="AL475" s="144">
        <f>IF('PV IN'!$F$4="PV Only",0,BattCalcs!BV475)</f>
        <v>0</v>
      </c>
      <c r="AM475" s="144">
        <f>IF('PV IN'!$F$4="PV Only",0,SUM(BattCalcs!BW475:BX475))</f>
        <v>0</v>
      </c>
      <c r="AN475" s="144">
        <f>IF('PV IN'!$F$4="PV Only",0,BattCalcs!BY475)</f>
        <v>0</v>
      </c>
      <c r="AO475" s="144">
        <f>IF('PV IN'!$F$4="Battery Only",0,PVCalcs!U475)</f>
        <v>8794.3428225087118</v>
      </c>
      <c r="AP475" s="10">
        <f>IF('PV IN'!$F$4="PV Only",0,BattCalcs!AS475)</f>
        <v>0</v>
      </c>
      <c r="AQ475" s="10">
        <f>IF('PV IN'!$F$4="PV Only",0,BattCalcs!AT475)</f>
        <v>0</v>
      </c>
      <c r="AR475" s="10">
        <f>IF('PV IN'!$F$4="PV Only",0,BattCalcs!AU475)</f>
        <v>0</v>
      </c>
      <c r="AS475" s="144">
        <f>IF('PV IN'!$F$4="PV Only",PVCalcs!X475,IF('PV IN'!$F$4="Battery Only",BattCalcs!AW475,PVCalcs!X475+BattCalcs!AW475))</f>
        <v>0</v>
      </c>
      <c r="AT475" s="144">
        <f>IF('PV IN'!$F$4="Battery Only",0,-PVCalcs!AQ475*'PV IN'!$E$8)</f>
        <v>0</v>
      </c>
      <c r="AU475" s="144">
        <f>IF('PV IN'!$F$4="PV Only",0,-BattCalcs!CG475*'PV IN'!$E$8)</f>
        <v>0</v>
      </c>
      <c r="AV475" s="144">
        <f>IF('PV IN'!$F$4="PV Only",PVCalcs!Z475+PVCalcs!AA475,IF('PV IN'!$F$4="Battery Only",SUM(BattCalcs!BC475:BH475),PVCalcs!Z475+PVCalcs!AA475+SUM(BattCalcs!BC475:BH475)))</f>
        <v>0</v>
      </c>
      <c r="AW475" s="144">
        <f>IF('PV IN'!$F$4="PV Only",SUM(PVCalcs!AF475:AI475),IF('PV IN'!$F$4="Battery Only",SUM(BattCalcs!BL475:BY475),SUM(PVCalcs!AF475:AI475)+SUM(BattCalcs!BL475:BY475)))</f>
        <v>-1375</v>
      </c>
      <c r="AX475" s="144">
        <f>IF('PV IN'!$F$4="Battery Only",0,-PVLoan!F503)</f>
        <v>0</v>
      </c>
      <c r="AY475" s="144">
        <f>IF('PV IN'!$F$4="PV Only",0,-BattLoan!F503)</f>
        <v>0</v>
      </c>
      <c r="AZ475" s="144">
        <f>IF('PV IN'!$F$4="Battery Only",0,-PVLoan!H503)</f>
        <v>0</v>
      </c>
      <c r="BA475" s="144">
        <f>IF('PV IN'!$F$4="PV Only",0,-BattLoan!H503)</f>
        <v>0</v>
      </c>
    </row>
    <row r="476" spans="1:88" x14ac:dyDescent="0.25">
      <c r="A476" t="str">
        <f>IF(C476&lt;='PV IN'!$O$22*12,C476,"")</f>
        <v/>
      </c>
      <c r="C476">
        <v>472</v>
      </c>
      <c r="D476" s="2">
        <f>BattCalcs!CK476+PVCalcs!AT476</f>
        <v>7702.2299272937053</v>
      </c>
      <c r="E476" s="20">
        <f>PVCalcs!AV476</f>
        <v>3363144.1737818019</v>
      </c>
      <c r="F476" s="20">
        <f>PVCalcs!AW476</f>
        <v>1130.2401103825155</v>
      </c>
      <c r="G476" s="20" t="e">
        <f>PVCalcs!AX476</f>
        <v>#N/A</v>
      </c>
      <c r="H476" s="20">
        <f>BattCalcs!CM476</f>
        <v>0</v>
      </c>
      <c r="I476" s="20">
        <f>BattCalcs!CN476</f>
        <v>0</v>
      </c>
      <c r="J476" s="20" t="e">
        <f>IF(C476&lt;='Batt IN'!H$43*12,BattCalcs!CO476,NA())</f>
        <v>#N/A</v>
      </c>
      <c r="L476" s="20">
        <f t="shared" si="1173"/>
        <v>1130.2401103825155</v>
      </c>
      <c r="M476" s="20" t="e">
        <f>G476+BattCalcs!CO476</f>
        <v>#N/A</v>
      </c>
      <c r="O476" s="10" t="str">
        <f>PVLoan!G504</f>
        <v>-</v>
      </c>
      <c r="P476" s="10" t="str">
        <f>PVLoan!J504</f>
        <v>-</v>
      </c>
      <c r="Q476" s="2" t="str">
        <f>BattLoan!G504</f>
        <v>-</v>
      </c>
      <c r="R476" s="10" t="str">
        <f>BattLoan!J504</f>
        <v>-</v>
      </c>
      <c r="T476" s="33">
        <f>IF('PV IN'!$F$4="Battery Only",0,PVCalcs!G476)</f>
        <v>111392.48691888464</v>
      </c>
      <c r="U476" s="33">
        <f>IF('PV IN'!$F$4="Battery Only",0,PVCalcs!M476)</f>
        <v>111392.48691888464</v>
      </c>
      <c r="V476" s="33">
        <f>PVCalcs!L476</f>
        <v>25811.765833333331</v>
      </c>
      <c r="W476" s="158">
        <f>PVCalcs!F476</f>
        <v>7.8896523189157505E-2</v>
      </c>
      <c r="X476" s="144">
        <f>IF('PV IN'!$F$4="Battery Only",0,PVCalcs!Y476+PVCalcs!Z476)</f>
        <v>0</v>
      </c>
      <c r="Y476" s="144">
        <f>IF('PV IN'!$F$4="PV Only",0,BattCalcs!AX476+BattCalcs!BC476)</f>
        <v>0</v>
      </c>
      <c r="Z476" s="144">
        <f>IF('PV IN'!$F$4="PV Only",0,BattCalcs!AY476+BattCalcs!BD476)</f>
        <v>0</v>
      </c>
      <c r="AA476" s="144">
        <f>IF('PV IN'!$F$4="PV Only",0,BattCalcs!AZ476+BattCalcs!BE476)</f>
        <v>0</v>
      </c>
      <c r="AB476" s="144">
        <f>IF('PV IN'!$F$4="PV Only",0,BattCalcs!BA476+BattCalcs!BF476)</f>
        <v>0</v>
      </c>
      <c r="AC476" s="144">
        <f>IF('PV IN'!$F$4="PV Only",0,BattCalcs!BB476+BattCalcs!BG476)</f>
        <v>0</v>
      </c>
      <c r="AD476" s="144">
        <f>IF('PV IN'!$F$4="PV Only",0,BattCalcs!BU476)</f>
        <v>0</v>
      </c>
      <c r="AE476" s="144">
        <f>IF('PV IN'!$F$4="PV Only",PVCalcs!W476+PVCalcs!AA476,IF('PV IN'!$F$4="Battery Only",BattCalcs!AV476+BattCalcs!BH476,PVCalcs!W476+PVCalcs!AA476+BattCalcs!AV476+BattCalcs!BH476))</f>
        <v>0</v>
      </c>
      <c r="AF476" s="10">
        <f>PVCalcs!AC476+BattCalcs!BJ476</f>
        <v>0</v>
      </c>
      <c r="AG476" s="144">
        <f>IF('PV IN'!$F$4="Battery Only",0,PVCalcs!AG476)</f>
        <v>-750</v>
      </c>
      <c r="AH476" s="144">
        <f>IF('PV IN'!$F$4="Battery Only",0,PVCalcs!AI476)</f>
        <v>0</v>
      </c>
      <c r="AI476" s="144">
        <f>IF('PV IN'!$F$4="PV Only",0,BattCalcs!BM476)</f>
        <v>0</v>
      </c>
      <c r="AJ476" s="144">
        <f>IF('PV IN'!$F$4="PV Only",0,SUM(BattCalcs!BO476:BT476))</f>
        <v>0</v>
      </c>
      <c r="AK476" s="144">
        <f>IF('PV IN'!$F$4="PV Only",PVCalcs!AH476,IF('PV IN'!$F$4="Battery Only",BattCalcs!BN476,PVCalcs!AH476+BattCalcs!BN476))</f>
        <v>-625</v>
      </c>
      <c r="AL476" s="144">
        <f>IF('PV IN'!$F$4="PV Only",0,BattCalcs!BV476)</f>
        <v>0</v>
      </c>
      <c r="AM476" s="144">
        <f>IF('PV IN'!$F$4="PV Only",0,SUM(BattCalcs!BW476:BX476))</f>
        <v>0</v>
      </c>
      <c r="AN476" s="144">
        <f>IF('PV IN'!$F$4="PV Only",0,BattCalcs!BY476)</f>
        <v>0</v>
      </c>
      <c r="AO476" s="144">
        <f>IF('PV IN'!$F$4="Battery Only",0,PVCalcs!U476)</f>
        <v>8788.4799272937053</v>
      </c>
      <c r="AP476" s="10">
        <f>IF('PV IN'!$F$4="PV Only",0,BattCalcs!AS476)</f>
        <v>0</v>
      </c>
      <c r="AQ476" s="10">
        <f>IF('PV IN'!$F$4="PV Only",0,BattCalcs!AT476)</f>
        <v>0</v>
      </c>
      <c r="AR476" s="10">
        <f>IF('PV IN'!$F$4="PV Only",0,BattCalcs!AU476)</f>
        <v>0</v>
      </c>
      <c r="AS476" s="144">
        <f>IF('PV IN'!$F$4="PV Only",PVCalcs!X476,IF('PV IN'!$F$4="Battery Only",BattCalcs!AW476,PVCalcs!X476+BattCalcs!AW476))</f>
        <v>0</v>
      </c>
      <c r="AT476" s="144">
        <f>IF('PV IN'!$F$4="Battery Only",0,-PVCalcs!AQ476*'PV IN'!$E$8)</f>
        <v>0</v>
      </c>
      <c r="AU476" s="144">
        <f>IF('PV IN'!$F$4="PV Only",0,-BattCalcs!CG476*'PV IN'!$E$8)</f>
        <v>0</v>
      </c>
      <c r="AV476" s="144">
        <f>IF('PV IN'!$F$4="PV Only",PVCalcs!Z476+PVCalcs!AA476,IF('PV IN'!$F$4="Battery Only",SUM(BattCalcs!BC476:BH476),PVCalcs!Z476+PVCalcs!AA476+SUM(BattCalcs!BC476:BH476)))</f>
        <v>0</v>
      </c>
      <c r="AW476" s="144">
        <f>IF('PV IN'!$F$4="PV Only",SUM(PVCalcs!AF476:AI476),IF('PV IN'!$F$4="Battery Only",SUM(BattCalcs!BL476:BY476),SUM(PVCalcs!AF476:AI476)+SUM(BattCalcs!BL476:BY476)))</f>
        <v>-1375</v>
      </c>
      <c r="AX476" s="144">
        <f>IF('PV IN'!$F$4="Battery Only",0,-PVLoan!F504)</f>
        <v>0</v>
      </c>
      <c r="AY476" s="144">
        <f>IF('PV IN'!$F$4="PV Only",0,-BattLoan!F504)</f>
        <v>0</v>
      </c>
      <c r="AZ476" s="144">
        <f>IF('PV IN'!$F$4="Battery Only",0,-PVLoan!H504)</f>
        <v>0</v>
      </c>
      <c r="BA476" s="144">
        <f>IF('PV IN'!$F$4="PV Only",0,-BattLoan!H504)</f>
        <v>0</v>
      </c>
    </row>
    <row r="477" spans="1:88" x14ac:dyDescent="0.25">
      <c r="A477" t="str">
        <f>IF(C477&lt;='PV IN'!$O$22*12,C477,"")</f>
        <v/>
      </c>
      <c r="C477">
        <v>473</v>
      </c>
      <c r="D477" s="2">
        <f>BattCalcs!CK477+PVCalcs!AT477</f>
        <v>7696.3709406755097</v>
      </c>
      <c r="E477" s="20">
        <f>PVCalcs!AV477</f>
        <v>3370840.5447224774</v>
      </c>
      <c r="F477" s="20">
        <f>PVCalcs!AW477</f>
        <v>1124.7977859473599</v>
      </c>
      <c r="G477" s="20" t="e">
        <f>PVCalcs!AX477</f>
        <v>#N/A</v>
      </c>
      <c r="H477" s="20">
        <f>BattCalcs!CM477</f>
        <v>0</v>
      </c>
      <c r="I477" s="20">
        <f>BattCalcs!CN477</f>
        <v>0</v>
      </c>
      <c r="J477" s="20" t="e">
        <f>IF(C477&lt;='Batt IN'!H$43*12,BattCalcs!CO477,NA())</f>
        <v>#N/A</v>
      </c>
      <c r="L477" s="20">
        <f t="shared" si="1173"/>
        <v>1124.7977859473599</v>
      </c>
      <c r="M477" s="20" t="e">
        <f>G477+BattCalcs!CO477</f>
        <v>#N/A</v>
      </c>
      <c r="O477" s="10" t="str">
        <f>PVLoan!G505</f>
        <v>-</v>
      </c>
      <c r="P477" s="10" t="str">
        <f>PVLoan!J505</f>
        <v>-</v>
      </c>
      <c r="Q477" s="2" t="str">
        <f>BattLoan!G505</f>
        <v>-</v>
      </c>
      <c r="R477" s="10" t="str">
        <f>BattLoan!J505</f>
        <v>-</v>
      </c>
      <c r="T477" s="33">
        <f>IF('PV IN'!$F$4="Battery Only",0,PVCalcs!G477)</f>
        <v>111318.22526093871</v>
      </c>
      <c r="U477" s="33">
        <f>IF('PV IN'!$F$4="Battery Only",0,PVCalcs!M477)</f>
        <v>111318.22526093871</v>
      </c>
      <c r="V477" s="33">
        <f>PVCalcs!L477</f>
        <v>25811.765833333331</v>
      </c>
      <c r="W477" s="158">
        <f>PVCalcs!F477</f>
        <v>7.8896523189157505E-2</v>
      </c>
      <c r="X477" s="144">
        <f>IF('PV IN'!$F$4="Battery Only",0,PVCalcs!Y477+PVCalcs!Z477)</f>
        <v>0</v>
      </c>
      <c r="Y477" s="144">
        <f>IF('PV IN'!$F$4="PV Only",0,BattCalcs!AX477+BattCalcs!BC477)</f>
        <v>0</v>
      </c>
      <c r="Z477" s="144">
        <f>IF('PV IN'!$F$4="PV Only",0,BattCalcs!AY477+BattCalcs!BD477)</f>
        <v>0</v>
      </c>
      <c r="AA477" s="144">
        <f>IF('PV IN'!$F$4="PV Only",0,BattCalcs!AZ477+BattCalcs!BE477)</f>
        <v>0</v>
      </c>
      <c r="AB477" s="144">
        <f>IF('PV IN'!$F$4="PV Only",0,BattCalcs!BA477+BattCalcs!BF477)</f>
        <v>0</v>
      </c>
      <c r="AC477" s="144">
        <f>IF('PV IN'!$F$4="PV Only",0,BattCalcs!BB477+BattCalcs!BG477)</f>
        <v>0</v>
      </c>
      <c r="AD477" s="144">
        <f>IF('PV IN'!$F$4="PV Only",0,BattCalcs!BU477)</f>
        <v>0</v>
      </c>
      <c r="AE477" s="144">
        <f>IF('PV IN'!$F$4="PV Only",PVCalcs!W477+PVCalcs!AA477,IF('PV IN'!$F$4="Battery Only",BattCalcs!AV477+BattCalcs!BH477,PVCalcs!W477+PVCalcs!AA477+BattCalcs!AV477+BattCalcs!BH477))</f>
        <v>0</v>
      </c>
      <c r="AF477" s="10">
        <f>PVCalcs!AC477+BattCalcs!BJ477</f>
        <v>0</v>
      </c>
      <c r="AG477" s="144">
        <f>IF('PV IN'!$F$4="Battery Only",0,PVCalcs!AG477)</f>
        <v>-750</v>
      </c>
      <c r="AH477" s="144">
        <f>IF('PV IN'!$F$4="Battery Only",0,PVCalcs!AI477)</f>
        <v>0</v>
      </c>
      <c r="AI477" s="144">
        <f>IF('PV IN'!$F$4="PV Only",0,BattCalcs!BM477)</f>
        <v>0</v>
      </c>
      <c r="AJ477" s="144">
        <f>IF('PV IN'!$F$4="PV Only",0,SUM(BattCalcs!BO477:BT477))</f>
        <v>0</v>
      </c>
      <c r="AK477" s="144">
        <f>IF('PV IN'!$F$4="PV Only",PVCalcs!AH477,IF('PV IN'!$F$4="Battery Only",BattCalcs!BN477,PVCalcs!AH477+BattCalcs!BN477))</f>
        <v>-625</v>
      </c>
      <c r="AL477" s="144">
        <f>IF('PV IN'!$F$4="PV Only",0,BattCalcs!BV477)</f>
        <v>0</v>
      </c>
      <c r="AM477" s="144">
        <f>IF('PV IN'!$F$4="PV Only",0,SUM(BattCalcs!BW477:BX477))</f>
        <v>0</v>
      </c>
      <c r="AN477" s="144">
        <f>IF('PV IN'!$F$4="PV Only",0,BattCalcs!BY477)</f>
        <v>0</v>
      </c>
      <c r="AO477" s="144">
        <f>IF('PV IN'!$F$4="Battery Only",0,PVCalcs!U477)</f>
        <v>8782.6209406755097</v>
      </c>
      <c r="AP477" s="10">
        <f>IF('PV IN'!$F$4="PV Only",0,BattCalcs!AS477)</f>
        <v>0</v>
      </c>
      <c r="AQ477" s="10">
        <f>IF('PV IN'!$F$4="PV Only",0,BattCalcs!AT477)</f>
        <v>0</v>
      </c>
      <c r="AR477" s="10">
        <f>IF('PV IN'!$F$4="PV Only",0,BattCalcs!AU477)</f>
        <v>0</v>
      </c>
      <c r="AS477" s="144">
        <f>IF('PV IN'!$F$4="PV Only",PVCalcs!X477,IF('PV IN'!$F$4="Battery Only",BattCalcs!AW477,PVCalcs!X477+BattCalcs!AW477))</f>
        <v>0</v>
      </c>
      <c r="AT477" s="144">
        <f>IF('PV IN'!$F$4="Battery Only",0,-PVCalcs!AQ477*'PV IN'!$E$8)</f>
        <v>0</v>
      </c>
      <c r="AU477" s="144">
        <f>IF('PV IN'!$F$4="PV Only",0,-BattCalcs!CG477*'PV IN'!$E$8)</f>
        <v>0</v>
      </c>
      <c r="AV477" s="144">
        <f>IF('PV IN'!$F$4="PV Only",PVCalcs!Z477+PVCalcs!AA477,IF('PV IN'!$F$4="Battery Only",SUM(BattCalcs!BC477:BH477),PVCalcs!Z477+PVCalcs!AA477+SUM(BattCalcs!BC477:BH477)))</f>
        <v>0</v>
      </c>
      <c r="AW477" s="144">
        <f>IF('PV IN'!$F$4="PV Only",SUM(PVCalcs!AF477:AI477),IF('PV IN'!$F$4="Battery Only",SUM(BattCalcs!BL477:BY477),SUM(PVCalcs!AF477:AI477)+SUM(BattCalcs!BL477:BY477)))</f>
        <v>-1375</v>
      </c>
      <c r="AX477" s="144">
        <f>IF('PV IN'!$F$4="Battery Only",0,-PVLoan!F505)</f>
        <v>0</v>
      </c>
      <c r="AY477" s="144">
        <f>IF('PV IN'!$F$4="PV Only",0,-BattLoan!F505)</f>
        <v>0</v>
      </c>
      <c r="AZ477" s="144">
        <f>IF('PV IN'!$F$4="Battery Only",0,-PVLoan!H505)</f>
        <v>0</v>
      </c>
      <c r="BA477" s="144">
        <f>IF('PV IN'!$F$4="PV Only",0,-BattLoan!H505)</f>
        <v>0</v>
      </c>
    </row>
    <row r="478" spans="1:88" x14ac:dyDescent="0.25">
      <c r="A478" t="str">
        <f>IF(C478&lt;='PV IN'!$O$22*12,C478,"")</f>
        <v/>
      </c>
      <c r="C478">
        <v>474</v>
      </c>
      <c r="D478" s="2">
        <f>BattCalcs!CK478+PVCalcs!AT478</f>
        <v>7690.5158600483919</v>
      </c>
      <c r="E478" s="20">
        <f>PVCalcs!AV478</f>
        <v>3378531.060582526</v>
      </c>
      <c r="F478" s="20">
        <f>PVCalcs!AW478</f>
        <v>1119.3815871753143</v>
      </c>
      <c r="G478" s="20" t="e">
        <f>PVCalcs!AX478</f>
        <v>#N/A</v>
      </c>
      <c r="H478" s="20">
        <f>BattCalcs!CM478</f>
        <v>0</v>
      </c>
      <c r="I478" s="20">
        <f>BattCalcs!CN478</f>
        <v>0</v>
      </c>
      <c r="J478" s="20" t="e">
        <f>IF(C478&lt;='Batt IN'!H$43*12,BattCalcs!CO478,NA())</f>
        <v>#N/A</v>
      </c>
      <c r="L478" s="20">
        <f t="shared" si="1173"/>
        <v>1119.3815871753143</v>
      </c>
      <c r="M478" s="20" t="e">
        <f>G478+BattCalcs!CO478</f>
        <v>#N/A</v>
      </c>
      <c r="O478" s="10" t="str">
        <f>PVLoan!G506</f>
        <v>-</v>
      </c>
      <c r="P478" s="10" t="str">
        <f>PVLoan!J506</f>
        <v>-</v>
      </c>
      <c r="Q478" s="2" t="str">
        <f>BattLoan!G506</f>
        <v>-</v>
      </c>
      <c r="R478" s="10" t="str">
        <f>BattLoan!J506</f>
        <v>-</v>
      </c>
      <c r="T478" s="33">
        <f>IF('PV IN'!$F$4="Battery Only",0,PVCalcs!G478)</f>
        <v>111244.01311076475</v>
      </c>
      <c r="U478" s="33">
        <f>IF('PV IN'!$F$4="Battery Only",0,PVCalcs!M478)</f>
        <v>111244.01311076475</v>
      </c>
      <c r="V478" s="33">
        <f>PVCalcs!L478</f>
        <v>25811.765833333331</v>
      </c>
      <c r="W478" s="158">
        <f>PVCalcs!F478</f>
        <v>7.8896523189157505E-2</v>
      </c>
      <c r="X478" s="144">
        <f>IF('PV IN'!$F$4="Battery Only",0,PVCalcs!Y478+PVCalcs!Z478)</f>
        <v>0</v>
      </c>
      <c r="Y478" s="144">
        <f>IF('PV IN'!$F$4="PV Only",0,BattCalcs!AX478+BattCalcs!BC478)</f>
        <v>0</v>
      </c>
      <c r="Z478" s="144">
        <f>IF('PV IN'!$F$4="PV Only",0,BattCalcs!AY478+BattCalcs!BD478)</f>
        <v>0</v>
      </c>
      <c r="AA478" s="144">
        <f>IF('PV IN'!$F$4="PV Only",0,BattCalcs!AZ478+BattCalcs!BE478)</f>
        <v>0</v>
      </c>
      <c r="AB478" s="144">
        <f>IF('PV IN'!$F$4="PV Only",0,BattCalcs!BA478+BattCalcs!BF478)</f>
        <v>0</v>
      </c>
      <c r="AC478" s="144">
        <f>IF('PV IN'!$F$4="PV Only",0,BattCalcs!BB478+BattCalcs!BG478)</f>
        <v>0</v>
      </c>
      <c r="AD478" s="144">
        <f>IF('PV IN'!$F$4="PV Only",0,BattCalcs!BU478)</f>
        <v>0</v>
      </c>
      <c r="AE478" s="144">
        <f>IF('PV IN'!$F$4="PV Only",PVCalcs!W478+PVCalcs!AA478,IF('PV IN'!$F$4="Battery Only",BattCalcs!AV478+BattCalcs!BH478,PVCalcs!W478+PVCalcs!AA478+BattCalcs!AV478+BattCalcs!BH478))</f>
        <v>0</v>
      </c>
      <c r="AF478" s="10">
        <f>PVCalcs!AC478+BattCalcs!BJ478</f>
        <v>0</v>
      </c>
      <c r="AG478" s="144">
        <f>IF('PV IN'!$F$4="Battery Only",0,PVCalcs!AG478)</f>
        <v>-750</v>
      </c>
      <c r="AH478" s="144">
        <f>IF('PV IN'!$F$4="Battery Only",0,PVCalcs!AI478)</f>
        <v>0</v>
      </c>
      <c r="AI478" s="144">
        <f>IF('PV IN'!$F$4="PV Only",0,BattCalcs!BM478)</f>
        <v>0</v>
      </c>
      <c r="AJ478" s="144">
        <f>IF('PV IN'!$F$4="PV Only",0,SUM(BattCalcs!BO478:BT478))</f>
        <v>0</v>
      </c>
      <c r="AK478" s="144">
        <f>IF('PV IN'!$F$4="PV Only",PVCalcs!AH478,IF('PV IN'!$F$4="Battery Only",BattCalcs!BN478,PVCalcs!AH478+BattCalcs!BN478))</f>
        <v>-625</v>
      </c>
      <c r="AL478" s="144">
        <f>IF('PV IN'!$F$4="PV Only",0,BattCalcs!BV478)</f>
        <v>0</v>
      </c>
      <c r="AM478" s="144">
        <f>IF('PV IN'!$F$4="PV Only",0,SUM(BattCalcs!BW478:BX478))</f>
        <v>0</v>
      </c>
      <c r="AN478" s="144">
        <f>IF('PV IN'!$F$4="PV Only",0,BattCalcs!BY478)</f>
        <v>0</v>
      </c>
      <c r="AO478" s="144">
        <f>IF('PV IN'!$F$4="Battery Only",0,PVCalcs!U478)</f>
        <v>8776.7658600483919</v>
      </c>
      <c r="AP478" s="10">
        <f>IF('PV IN'!$F$4="PV Only",0,BattCalcs!AS478)</f>
        <v>0</v>
      </c>
      <c r="AQ478" s="10">
        <f>IF('PV IN'!$F$4="PV Only",0,BattCalcs!AT478)</f>
        <v>0</v>
      </c>
      <c r="AR478" s="10">
        <f>IF('PV IN'!$F$4="PV Only",0,BattCalcs!AU478)</f>
        <v>0</v>
      </c>
      <c r="AS478" s="144">
        <f>IF('PV IN'!$F$4="PV Only",PVCalcs!X478,IF('PV IN'!$F$4="Battery Only",BattCalcs!AW478,PVCalcs!X478+BattCalcs!AW478))</f>
        <v>0</v>
      </c>
      <c r="AT478" s="144">
        <f>IF('PV IN'!$F$4="Battery Only",0,-PVCalcs!AQ478*'PV IN'!$E$8)</f>
        <v>0</v>
      </c>
      <c r="AU478" s="144">
        <f>IF('PV IN'!$F$4="PV Only",0,-BattCalcs!CG478*'PV IN'!$E$8)</f>
        <v>0</v>
      </c>
      <c r="AV478" s="144">
        <f>IF('PV IN'!$F$4="PV Only",PVCalcs!Z478+PVCalcs!AA478,IF('PV IN'!$F$4="Battery Only",SUM(BattCalcs!BC478:BH478),PVCalcs!Z478+PVCalcs!AA478+SUM(BattCalcs!BC478:BH478)))</f>
        <v>0</v>
      </c>
      <c r="AW478" s="144">
        <f>IF('PV IN'!$F$4="PV Only",SUM(PVCalcs!AF478:AI478),IF('PV IN'!$F$4="Battery Only",SUM(BattCalcs!BL478:BY478),SUM(PVCalcs!AF478:AI478)+SUM(BattCalcs!BL478:BY478)))</f>
        <v>-1375</v>
      </c>
      <c r="AX478" s="144">
        <f>IF('PV IN'!$F$4="Battery Only",0,-PVLoan!F506)</f>
        <v>0</v>
      </c>
      <c r="AY478" s="144">
        <f>IF('PV IN'!$F$4="PV Only",0,-BattLoan!F506)</f>
        <v>0</v>
      </c>
      <c r="AZ478" s="144">
        <f>IF('PV IN'!$F$4="Battery Only",0,-PVLoan!H506)</f>
        <v>0</v>
      </c>
      <c r="BA478" s="144">
        <f>IF('PV IN'!$F$4="PV Only",0,-BattLoan!H506)</f>
        <v>0</v>
      </c>
    </row>
    <row r="479" spans="1:88" x14ac:dyDescent="0.25">
      <c r="A479" t="str">
        <f>IF(C479&lt;='PV IN'!$O$22*12,C479,"")</f>
        <v/>
      </c>
      <c r="C479">
        <v>475</v>
      </c>
      <c r="D479" s="2">
        <f>BattCalcs!CK479+PVCalcs!AT479</f>
        <v>7684.6646828083594</v>
      </c>
      <c r="E479" s="20">
        <f>PVCalcs!AV479</f>
        <v>3386215.7252653344</v>
      </c>
      <c r="F479" s="20">
        <f>PVCalcs!AW479</f>
        <v>1113.9913889701781</v>
      </c>
      <c r="G479" s="20" t="e">
        <f>PVCalcs!AX479</f>
        <v>#N/A</v>
      </c>
      <c r="H479" s="20">
        <f>BattCalcs!CM479</f>
        <v>0</v>
      </c>
      <c r="I479" s="20">
        <f>BattCalcs!CN479</f>
        <v>0</v>
      </c>
      <c r="J479" s="20" t="e">
        <f>IF(C479&lt;='Batt IN'!H$43*12,BattCalcs!CO479,NA())</f>
        <v>#N/A</v>
      </c>
      <c r="L479" s="20">
        <f t="shared" si="1173"/>
        <v>1113.9913889701781</v>
      </c>
      <c r="M479" s="20" t="e">
        <f>G479+BattCalcs!CO479</f>
        <v>#N/A</v>
      </c>
      <c r="O479" s="10" t="str">
        <f>PVLoan!G507</f>
        <v>-</v>
      </c>
      <c r="P479" s="10" t="str">
        <f>PVLoan!J507</f>
        <v>-</v>
      </c>
      <c r="Q479" s="2" t="str">
        <f>BattLoan!G507</f>
        <v>-</v>
      </c>
      <c r="R479" s="10" t="str">
        <f>BattLoan!J507</f>
        <v>-</v>
      </c>
      <c r="T479" s="33">
        <f>IF('PV IN'!$F$4="Battery Only",0,PVCalcs!G479)</f>
        <v>111169.85043535756</v>
      </c>
      <c r="U479" s="33">
        <f>IF('PV IN'!$F$4="Battery Only",0,PVCalcs!M479)</f>
        <v>111169.85043535756</v>
      </c>
      <c r="V479" s="33">
        <f>PVCalcs!L479</f>
        <v>25811.765833333331</v>
      </c>
      <c r="W479" s="158">
        <f>PVCalcs!F479</f>
        <v>7.8896523189157505E-2</v>
      </c>
      <c r="X479" s="144">
        <f>IF('PV IN'!$F$4="Battery Only",0,PVCalcs!Y479+PVCalcs!Z479)</f>
        <v>0</v>
      </c>
      <c r="Y479" s="144">
        <f>IF('PV IN'!$F$4="PV Only",0,BattCalcs!AX479+BattCalcs!BC479)</f>
        <v>0</v>
      </c>
      <c r="Z479" s="144">
        <f>IF('PV IN'!$F$4="PV Only",0,BattCalcs!AY479+BattCalcs!BD479)</f>
        <v>0</v>
      </c>
      <c r="AA479" s="144">
        <f>IF('PV IN'!$F$4="PV Only",0,BattCalcs!AZ479+BattCalcs!BE479)</f>
        <v>0</v>
      </c>
      <c r="AB479" s="144">
        <f>IF('PV IN'!$F$4="PV Only",0,BattCalcs!BA479+BattCalcs!BF479)</f>
        <v>0</v>
      </c>
      <c r="AC479" s="144">
        <f>IF('PV IN'!$F$4="PV Only",0,BattCalcs!BB479+BattCalcs!BG479)</f>
        <v>0</v>
      </c>
      <c r="AD479" s="144">
        <f>IF('PV IN'!$F$4="PV Only",0,BattCalcs!BU479)</f>
        <v>0</v>
      </c>
      <c r="AE479" s="144">
        <f>IF('PV IN'!$F$4="PV Only",PVCalcs!W479+PVCalcs!AA479,IF('PV IN'!$F$4="Battery Only",BattCalcs!AV479+BattCalcs!BH479,PVCalcs!W479+PVCalcs!AA479+BattCalcs!AV479+BattCalcs!BH479))</f>
        <v>0</v>
      </c>
      <c r="AF479" s="10">
        <f>PVCalcs!AC479+BattCalcs!BJ479</f>
        <v>0</v>
      </c>
      <c r="AG479" s="144">
        <f>IF('PV IN'!$F$4="Battery Only",0,PVCalcs!AG479)</f>
        <v>-750</v>
      </c>
      <c r="AH479" s="144">
        <f>IF('PV IN'!$F$4="Battery Only",0,PVCalcs!AI479)</f>
        <v>0</v>
      </c>
      <c r="AI479" s="144">
        <f>IF('PV IN'!$F$4="PV Only",0,BattCalcs!BM479)</f>
        <v>0</v>
      </c>
      <c r="AJ479" s="144">
        <f>IF('PV IN'!$F$4="PV Only",0,SUM(BattCalcs!BO479:BT479))</f>
        <v>0</v>
      </c>
      <c r="AK479" s="144">
        <f>IF('PV IN'!$F$4="PV Only",PVCalcs!AH479,IF('PV IN'!$F$4="Battery Only",BattCalcs!BN479,PVCalcs!AH479+BattCalcs!BN479))</f>
        <v>-625</v>
      </c>
      <c r="AL479" s="144">
        <f>IF('PV IN'!$F$4="PV Only",0,BattCalcs!BV479)</f>
        <v>0</v>
      </c>
      <c r="AM479" s="144">
        <f>IF('PV IN'!$F$4="PV Only",0,SUM(BattCalcs!BW479:BX479))</f>
        <v>0</v>
      </c>
      <c r="AN479" s="144">
        <f>IF('PV IN'!$F$4="PV Only",0,BattCalcs!BY479)</f>
        <v>0</v>
      </c>
      <c r="AO479" s="144">
        <f>IF('PV IN'!$F$4="Battery Only",0,PVCalcs!U479)</f>
        <v>8770.9146828083594</v>
      </c>
      <c r="AP479" s="10">
        <f>IF('PV IN'!$F$4="PV Only",0,BattCalcs!AS479)</f>
        <v>0</v>
      </c>
      <c r="AQ479" s="10">
        <f>IF('PV IN'!$F$4="PV Only",0,BattCalcs!AT479)</f>
        <v>0</v>
      </c>
      <c r="AR479" s="10">
        <f>IF('PV IN'!$F$4="PV Only",0,BattCalcs!AU479)</f>
        <v>0</v>
      </c>
      <c r="AS479" s="144">
        <f>IF('PV IN'!$F$4="PV Only",PVCalcs!X479,IF('PV IN'!$F$4="Battery Only",BattCalcs!AW479,PVCalcs!X479+BattCalcs!AW479))</f>
        <v>0</v>
      </c>
      <c r="AT479" s="144">
        <f>IF('PV IN'!$F$4="Battery Only",0,-PVCalcs!AQ479*'PV IN'!$E$8)</f>
        <v>0</v>
      </c>
      <c r="AU479" s="144">
        <f>IF('PV IN'!$F$4="PV Only",0,-BattCalcs!CG479*'PV IN'!$E$8)</f>
        <v>0</v>
      </c>
      <c r="AV479" s="144">
        <f>IF('PV IN'!$F$4="PV Only",PVCalcs!Z479+PVCalcs!AA479,IF('PV IN'!$F$4="Battery Only",SUM(BattCalcs!BC479:BH479),PVCalcs!Z479+PVCalcs!AA479+SUM(BattCalcs!BC479:BH479)))</f>
        <v>0</v>
      </c>
      <c r="AW479" s="144">
        <f>IF('PV IN'!$F$4="PV Only",SUM(PVCalcs!AF479:AI479),IF('PV IN'!$F$4="Battery Only",SUM(BattCalcs!BL479:BY479),SUM(PVCalcs!AF479:AI479)+SUM(BattCalcs!BL479:BY479)))</f>
        <v>-1375</v>
      </c>
      <c r="AX479" s="144">
        <f>IF('PV IN'!$F$4="Battery Only",0,-PVLoan!F507)</f>
        <v>0</v>
      </c>
      <c r="AY479" s="144">
        <f>IF('PV IN'!$F$4="PV Only",0,-BattLoan!F507)</f>
        <v>0</v>
      </c>
      <c r="AZ479" s="144">
        <f>IF('PV IN'!$F$4="Battery Only",0,-PVLoan!H507)</f>
        <v>0</v>
      </c>
      <c r="BA479" s="144">
        <f>IF('PV IN'!$F$4="PV Only",0,-BattLoan!H507)</f>
        <v>0</v>
      </c>
    </row>
    <row r="480" spans="1:88" x14ac:dyDescent="0.25">
      <c r="A480" t="str">
        <f>IF(C480&lt;='PV IN'!$O$22*12,C480,"")</f>
        <v/>
      </c>
      <c r="C480">
        <v>476</v>
      </c>
      <c r="D480" s="2">
        <f>BattCalcs!CK480+PVCalcs!AT480</f>
        <v>7678.8174063531533</v>
      </c>
      <c r="E480" s="20">
        <f>PVCalcs!AV480</f>
        <v>3393894.5426716874</v>
      </c>
      <c r="F480" s="20">
        <f>PVCalcs!AW480</f>
        <v>1108.6270668334696</v>
      </c>
      <c r="G480" s="20" t="e">
        <f>PVCalcs!AX480</f>
        <v>#N/A</v>
      </c>
      <c r="H480" s="20">
        <f>BattCalcs!CM480</f>
        <v>0</v>
      </c>
      <c r="I480" s="20">
        <f>BattCalcs!CN480</f>
        <v>0</v>
      </c>
      <c r="J480" s="20" t="e">
        <f>IF(C480&lt;='Batt IN'!H$43*12,BattCalcs!CO480,NA())</f>
        <v>#N/A</v>
      </c>
      <c r="L480" s="20">
        <f t="shared" si="1173"/>
        <v>1108.6270668334696</v>
      </c>
      <c r="M480" s="20" t="e">
        <f>G480+BattCalcs!CO480</f>
        <v>#N/A</v>
      </c>
      <c r="O480" s="10" t="str">
        <f>PVLoan!G508</f>
        <v>-</v>
      </c>
      <c r="P480" s="10" t="str">
        <f>PVLoan!J508</f>
        <v>-</v>
      </c>
      <c r="Q480" s="2" t="str">
        <f>BattLoan!G508</f>
        <v>-</v>
      </c>
      <c r="R480" s="10" t="str">
        <f>BattLoan!J508</f>
        <v>-</v>
      </c>
      <c r="T480" s="33">
        <f>IF('PV IN'!$F$4="Battery Only",0,PVCalcs!G480)</f>
        <v>111095.73720173398</v>
      </c>
      <c r="U480" s="33">
        <f>IF('PV IN'!$F$4="Battery Only",0,PVCalcs!M480)</f>
        <v>111095.73720173398</v>
      </c>
      <c r="V480" s="33">
        <f>PVCalcs!L480</f>
        <v>25811.765833333331</v>
      </c>
      <c r="W480" s="158">
        <f>PVCalcs!F480</f>
        <v>7.8896523189157505E-2</v>
      </c>
      <c r="X480" s="144">
        <f>IF('PV IN'!$F$4="Battery Only",0,PVCalcs!Y480+PVCalcs!Z480)</f>
        <v>0</v>
      </c>
      <c r="Y480" s="144">
        <f>IF('PV IN'!$F$4="PV Only",0,BattCalcs!AX480+BattCalcs!BC480)</f>
        <v>0</v>
      </c>
      <c r="Z480" s="144">
        <f>IF('PV IN'!$F$4="PV Only",0,BattCalcs!AY480+BattCalcs!BD480)</f>
        <v>0</v>
      </c>
      <c r="AA480" s="144">
        <f>IF('PV IN'!$F$4="PV Only",0,BattCalcs!AZ480+BattCalcs!BE480)</f>
        <v>0</v>
      </c>
      <c r="AB480" s="144">
        <f>IF('PV IN'!$F$4="PV Only",0,BattCalcs!BA480+BattCalcs!BF480)</f>
        <v>0</v>
      </c>
      <c r="AC480" s="144">
        <f>IF('PV IN'!$F$4="PV Only",0,BattCalcs!BB480+BattCalcs!BG480)</f>
        <v>0</v>
      </c>
      <c r="AD480" s="144">
        <f>IF('PV IN'!$F$4="PV Only",0,BattCalcs!BU480)</f>
        <v>0</v>
      </c>
      <c r="AE480" s="144">
        <f>IF('PV IN'!$F$4="PV Only",PVCalcs!W480+PVCalcs!AA480,IF('PV IN'!$F$4="Battery Only",BattCalcs!AV480+BattCalcs!BH480,PVCalcs!W480+PVCalcs!AA480+BattCalcs!AV480+BattCalcs!BH480))</f>
        <v>0</v>
      </c>
      <c r="AF480" s="10">
        <f>PVCalcs!AC480+BattCalcs!BJ480</f>
        <v>0</v>
      </c>
      <c r="AG480" s="144">
        <f>IF('PV IN'!$F$4="Battery Only",0,PVCalcs!AG480)</f>
        <v>-750</v>
      </c>
      <c r="AH480" s="144">
        <f>IF('PV IN'!$F$4="Battery Only",0,PVCalcs!AI480)</f>
        <v>0</v>
      </c>
      <c r="AI480" s="144">
        <f>IF('PV IN'!$F$4="PV Only",0,BattCalcs!BM480)</f>
        <v>0</v>
      </c>
      <c r="AJ480" s="144">
        <f>IF('PV IN'!$F$4="PV Only",0,SUM(BattCalcs!BO480:BT480))</f>
        <v>0</v>
      </c>
      <c r="AK480" s="144">
        <f>IF('PV IN'!$F$4="PV Only",PVCalcs!AH480,IF('PV IN'!$F$4="Battery Only",BattCalcs!BN480,PVCalcs!AH480+BattCalcs!BN480))</f>
        <v>-625</v>
      </c>
      <c r="AL480" s="144">
        <f>IF('PV IN'!$F$4="PV Only",0,BattCalcs!BV480)</f>
        <v>0</v>
      </c>
      <c r="AM480" s="144">
        <f>IF('PV IN'!$F$4="PV Only",0,SUM(BattCalcs!BW480:BX480))</f>
        <v>0</v>
      </c>
      <c r="AN480" s="144">
        <f>IF('PV IN'!$F$4="PV Only",0,BattCalcs!BY480)</f>
        <v>0</v>
      </c>
      <c r="AO480" s="144">
        <f>IF('PV IN'!$F$4="Battery Only",0,PVCalcs!U480)</f>
        <v>8765.0674063531533</v>
      </c>
      <c r="AP480" s="10">
        <f>IF('PV IN'!$F$4="PV Only",0,BattCalcs!AS480)</f>
        <v>0</v>
      </c>
      <c r="AQ480" s="10">
        <f>IF('PV IN'!$F$4="PV Only",0,BattCalcs!AT480)</f>
        <v>0</v>
      </c>
      <c r="AR480" s="10">
        <f>IF('PV IN'!$F$4="PV Only",0,BattCalcs!AU480)</f>
        <v>0</v>
      </c>
      <c r="AS480" s="144">
        <f>IF('PV IN'!$F$4="PV Only",PVCalcs!X480,IF('PV IN'!$F$4="Battery Only",BattCalcs!AW480,PVCalcs!X480+BattCalcs!AW480))</f>
        <v>0</v>
      </c>
      <c r="AT480" s="144">
        <f>IF('PV IN'!$F$4="Battery Only",0,-PVCalcs!AQ480*'PV IN'!$E$8)</f>
        <v>0</v>
      </c>
      <c r="AU480" s="144">
        <f>IF('PV IN'!$F$4="PV Only",0,-BattCalcs!CG480*'PV IN'!$E$8)</f>
        <v>0</v>
      </c>
      <c r="AV480" s="144">
        <f>IF('PV IN'!$F$4="PV Only",PVCalcs!Z480+PVCalcs!AA480,IF('PV IN'!$F$4="Battery Only",SUM(BattCalcs!BC480:BH480),PVCalcs!Z480+PVCalcs!AA480+SUM(BattCalcs!BC480:BH480)))</f>
        <v>0</v>
      </c>
      <c r="AW480" s="144">
        <f>IF('PV IN'!$F$4="PV Only",SUM(PVCalcs!AF480:AI480),IF('PV IN'!$F$4="Battery Only",SUM(BattCalcs!BL480:BY480),SUM(PVCalcs!AF480:AI480)+SUM(BattCalcs!BL480:BY480)))</f>
        <v>-1375</v>
      </c>
      <c r="AX480" s="144">
        <f>IF('PV IN'!$F$4="Battery Only",0,-PVLoan!F508)</f>
        <v>0</v>
      </c>
      <c r="AY480" s="144">
        <f>IF('PV IN'!$F$4="PV Only",0,-BattLoan!F508)</f>
        <v>0</v>
      </c>
      <c r="AZ480" s="144">
        <f>IF('PV IN'!$F$4="Battery Only",0,-PVLoan!H508)</f>
        <v>0</v>
      </c>
      <c r="BA480" s="144">
        <f>IF('PV IN'!$F$4="PV Only",0,-BattLoan!H508)</f>
        <v>0</v>
      </c>
    </row>
    <row r="481" spans="1:88" x14ac:dyDescent="0.25">
      <c r="A481" t="str">
        <f>IF(C481&lt;='PV IN'!$O$22*12,C481,"")</f>
        <v/>
      </c>
      <c r="C481">
        <v>477</v>
      </c>
      <c r="D481" s="2">
        <f>BattCalcs!CK481+PVCalcs!AT481</f>
        <v>7672.9740280822516</v>
      </c>
      <c r="E481" s="20">
        <f>PVCalcs!AV481</f>
        <v>3401567.5166997695</v>
      </c>
      <c r="F481" s="20">
        <f>PVCalcs!AW481</f>
        <v>1103.2884968615758</v>
      </c>
      <c r="G481" s="20" t="e">
        <f>PVCalcs!AX481</f>
        <v>#N/A</v>
      </c>
      <c r="H481" s="20">
        <f>BattCalcs!CM481</f>
        <v>0</v>
      </c>
      <c r="I481" s="20">
        <f>BattCalcs!CN481</f>
        <v>0</v>
      </c>
      <c r="J481" s="20" t="e">
        <f>IF(C481&lt;='Batt IN'!H$43*12,BattCalcs!CO481,NA())</f>
        <v>#N/A</v>
      </c>
      <c r="L481" s="20">
        <f t="shared" si="1173"/>
        <v>1103.2884968615758</v>
      </c>
      <c r="M481" s="20" t="e">
        <f>G481+BattCalcs!CO481</f>
        <v>#N/A</v>
      </c>
      <c r="O481" s="10" t="str">
        <f>PVLoan!G509</f>
        <v>-</v>
      </c>
      <c r="P481" s="10" t="str">
        <f>PVLoan!J509</f>
        <v>-</v>
      </c>
      <c r="Q481" s="2" t="str">
        <f>BattLoan!G509</f>
        <v>-</v>
      </c>
      <c r="R481" s="10" t="str">
        <f>BattLoan!J509</f>
        <v>-</v>
      </c>
      <c r="T481" s="33">
        <f>IF('PV IN'!$F$4="Battery Only",0,PVCalcs!G481)</f>
        <v>111021.67337693284</v>
      </c>
      <c r="U481" s="33">
        <f>IF('PV IN'!$F$4="Battery Only",0,PVCalcs!M481)</f>
        <v>111021.67337693284</v>
      </c>
      <c r="V481" s="33">
        <f>PVCalcs!L481</f>
        <v>25811.765833333331</v>
      </c>
      <c r="W481" s="158">
        <f>PVCalcs!F481</f>
        <v>7.8896523189157505E-2</v>
      </c>
      <c r="X481" s="144">
        <f>IF('PV IN'!$F$4="Battery Only",0,PVCalcs!Y481+PVCalcs!Z481)</f>
        <v>0</v>
      </c>
      <c r="Y481" s="144">
        <f>IF('PV IN'!$F$4="PV Only",0,BattCalcs!AX481+BattCalcs!BC481)</f>
        <v>0</v>
      </c>
      <c r="Z481" s="144">
        <f>IF('PV IN'!$F$4="PV Only",0,BattCalcs!AY481+BattCalcs!BD481)</f>
        <v>0</v>
      </c>
      <c r="AA481" s="144">
        <f>IF('PV IN'!$F$4="PV Only",0,BattCalcs!AZ481+BattCalcs!BE481)</f>
        <v>0</v>
      </c>
      <c r="AB481" s="144">
        <f>IF('PV IN'!$F$4="PV Only",0,BattCalcs!BA481+BattCalcs!BF481)</f>
        <v>0</v>
      </c>
      <c r="AC481" s="144">
        <f>IF('PV IN'!$F$4="PV Only",0,BattCalcs!BB481+BattCalcs!BG481)</f>
        <v>0</v>
      </c>
      <c r="AD481" s="144">
        <f>IF('PV IN'!$F$4="PV Only",0,BattCalcs!BU481)</f>
        <v>0</v>
      </c>
      <c r="AE481" s="144">
        <f>IF('PV IN'!$F$4="PV Only",PVCalcs!W481+PVCalcs!AA481,IF('PV IN'!$F$4="Battery Only",BattCalcs!AV481+BattCalcs!BH481,PVCalcs!W481+PVCalcs!AA481+BattCalcs!AV481+BattCalcs!BH481))</f>
        <v>0</v>
      </c>
      <c r="AF481" s="10">
        <f>PVCalcs!AC481+BattCalcs!BJ481</f>
        <v>0</v>
      </c>
      <c r="AG481" s="144">
        <f>IF('PV IN'!$F$4="Battery Only",0,PVCalcs!AG481)</f>
        <v>-750</v>
      </c>
      <c r="AH481" s="144">
        <f>IF('PV IN'!$F$4="Battery Only",0,PVCalcs!AI481)</f>
        <v>0</v>
      </c>
      <c r="AI481" s="144">
        <f>IF('PV IN'!$F$4="PV Only",0,BattCalcs!BM481)</f>
        <v>0</v>
      </c>
      <c r="AJ481" s="144">
        <f>IF('PV IN'!$F$4="PV Only",0,SUM(BattCalcs!BO481:BT481))</f>
        <v>0</v>
      </c>
      <c r="AK481" s="144">
        <f>IF('PV IN'!$F$4="PV Only",PVCalcs!AH481,IF('PV IN'!$F$4="Battery Only",BattCalcs!BN481,PVCalcs!AH481+BattCalcs!BN481))</f>
        <v>-625</v>
      </c>
      <c r="AL481" s="144">
        <f>IF('PV IN'!$F$4="PV Only",0,BattCalcs!BV481)</f>
        <v>0</v>
      </c>
      <c r="AM481" s="144">
        <f>IF('PV IN'!$F$4="PV Only",0,SUM(BattCalcs!BW481:BX481))</f>
        <v>0</v>
      </c>
      <c r="AN481" s="144">
        <f>IF('PV IN'!$F$4="PV Only",0,BattCalcs!BY481)</f>
        <v>0</v>
      </c>
      <c r="AO481" s="144">
        <f>IF('PV IN'!$F$4="Battery Only",0,PVCalcs!U481)</f>
        <v>8759.2240280822516</v>
      </c>
      <c r="AP481" s="10">
        <f>IF('PV IN'!$F$4="PV Only",0,BattCalcs!AS481)</f>
        <v>0</v>
      </c>
      <c r="AQ481" s="10">
        <f>IF('PV IN'!$F$4="PV Only",0,BattCalcs!AT481)</f>
        <v>0</v>
      </c>
      <c r="AR481" s="10">
        <f>IF('PV IN'!$F$4="PV Only",0,BattCalcs!AU481)</f>
        <v>0</v>
      </c>
      <c r="AS481" s="144">
        <f>IF('PV IN'!$F$4="PV Only",PVCalcs!X481,IF('PV IN'!$F$4="Battery Only",BattCalcs!AW481,PVCalcs!X481+BattCalcs!AW481))</f>
        <v>0</v>
      </c>
      <c r="AT481" s="144">
        <f>IF('PV IN'!$F$4="Battery Only",0,-PVCalcs!AQ481*'PV IN'!$E$8)</f>
        <v>0</v>
      </c>
      <c r="AU481" s="144">
        <f>IF('PV IN'!$F$4="PV Only",0,-BattCalcs!CG481*'PV IN'!$E$8)</f>
        <v>0</v>
      </c>
      <c r="AV481" s="144">
        <f>IF('PV IN'!$F$4="PV Only",PVCalcs!Z481+PVCalcs!AA481,IF('PV IN'!$F$4="Battery Only",SUM(BattCalcs!BC481:BH481),PVCalcs!Z481+PVCalcs!AA481+SUM(BattCalcs!BC481:BH481)))</f>
        <v>0</v>
      </c>
      <c r="AW481" s="144">
        <f>IF('PV IN'!$F$4="PV Only",SUM(PVCalcs!AF481:AI481),IF('PV IN'!$F$4="Battery Only",SUM(BattCalcs!BL481:BY481),SUM(PVCalcs!AF481:AI481)+SUM(BattCalcs!BL481:BY481)))</f>
        <v>-1375</v>
      </c>
      <c r="AX481" s="144">
        <f>IF('PV IN'!$F$4="Battery Only",0,-PVLoan!F509)</f>
        <v>0</v>
      </c>
      <c r="AY481" s="144">
        <f>IF('PV IN'!$F$4="PV Only",0,-BattLoan!F509)</f>
        <v>0</v>
      </c>
      <c r="AZ481" s="144">
        <f>IF('PV IN'!$F$4="Battery Only",0,-PVLoan!H509)</f>
        <v>0</v>
      </c>
      <c r="BA481" s="144">
        <f>IF('PV IN'!$F$4="PV Only",0,-BattLoan!H509)</f>
        <v>0</v>
      </c>
    </row>
    <row r="482" spans="1:88" x14ac:dyDescent="0.25">
      <c r="A482" t="str">
        <f>IF(C482&lt;='PV IN'!$O$22*12,C482,"")</f>
        <v/>
      </c>
      <c r="C482">
        <v>478</v>
      </c>
      <c r="D482" s="2">
        <f>BattCalcs!CK482+PVCalcs!AT482</f>
        <v>7667.1345453968624</v>
      </c>
      <c r="E482" s="20">
        <f>PVCalcs!AV482</f>
        <v>3409234.6512451665</v>
      </c>
      <c r="F482" s="20">
        <f>PVCalcs!AW482</f>
        <v>1097.9755557429137</v>
      </c>
      <c r="G482" s="20" t="e">
        <f>PVCalcs!AX482</f>
        <v>#N/A</v>
      </c>
      <c r="H482" s="20">
        <f>BattCalcs!CM482</f>
        <v>0</v>
      </c>
      <c r="I482" s="20">
        <f>BattCalcs!CN482</f>
        <v>0</v>
      </c>
      <c r="J482" s="20" t="e">
        <f>IF(C482&lt;='Batt IN'!H$43*12,BattCalcs!CO482,NA())</f>
        <v>#N/A</v>
      </c>
      <c r="L482" s="20">
        <f t="shared" si="1173"/>
        <v>1097.9755557429137</v>
      </c>
      <c r="M482" s="20" t="e">
        <f>G482+BattCalcs!CO482</f>
        <v>#N/A</v>
      </c>
      <c r="O482" s="10" t="str">
        <f>PVLoan!G510</f>
        <v>-</v>
      </c>
      <c r="P482" s="10" t="str">
        <f>PVLoan!J510</f>
        <v>-</v>
      </c>
      <c r="Q482" s="2" t="str">
        <f>BattLoan!G510</f>
        <v>-</v>
      </c>
      <c r="R482" s="10" t="str">
        <f>BattLoan!J510</f>
        <v>-</v>
      </c>
      <c r="T482" s="33">
        <f>IF('PV IN'!$F$4="Battery Only",0,PVCalcs!G482)</f>
        <v>110947.65892801486</v>
      </c>
      <c r="U482" s="33">
        <f>IF('PV IN'!$F$4="Battery Only",0,PVCalcs!M482)</f>
        <v>110947.65892801486</v>
      </c>
      <c r="V482" s="33">
        <f>PVCalcs!L482</f>
        <v>25811.765833333331</v>
      </c>
      <c r="W482" s="158">
        <f>PVCalcs!F482</f>
        <v>7.8896523189157505E-2</v>
      </c>
      <c r="X482" s="144">
        <f>IF('PV IN'!$F$4="Battery Only",0,PVCalcs!Y482+PVCalcs!Z482)</f>
        <v>0</v>
      </c>
      <c r="Y482" s="144">
        <f>IF('PV IN'!$F$4="PV Only",0,BattCalcs!AX482+BattCalcs!BC482)</f>
        <v>0</v>
      </c>
      <c r="Z482" s="144">
        <f>IF('PV IN'!$F$4="PV Only",0,BattCalcs!AY482+BattCalcs!BD482)</f>
        <v>0</v>
      </c>
      <c r="AA482" s="144">
        <f>IF('PV IN'!$F$4="PV Only",0,BattCalcs!AZ482+BattCalcs!BE482)</f>
        <v>0</v>
      </c>
      <c r="AB482" s="144">
        <f>IF('PV IN'!$F$4="PV Only",0,BattCalcs!BA482+BattCalcs!BF482)</f>
        <v>0</v>
      </c>
      <c r="AC482" s="144">
        <f>IF('PV IN'!$F$4="PV Only",0,BattCalcs!BB482+BattCalcs!BG482)</f>
        <v>0</v>
      </c>
      <c r="AD482" s="144">
        <f>IF('PV IN'!$F$4="PV Only",0,BattCalcs!BU482)</f>
        <v>0</v>
      </c>
      <c r="AE482" s="144">
        <f>IF('PV IN'!$F$4="PV Only",PVCalcs!W482+PVCalcs!AA482,IF('PV IN'!$F$4="Battery Only",BattCalcs!AV482+BattCalcs!BH482,PVCalcs!W482+PVCalcs!AA482+BattCalcs!AV482+BattCalcs!BH482))</f>
        <v>0</v>
      </c>
      <c r="AF482" s="10">
        <f>PVCalcs!AC482+BattCalcs!BJ482</f>
        <v>0</v>
      </c>
      <c r="AG482" s="144">
        <f>IF('PV IN'!$F$4="Battery Only",0,PVCalcs!AG482)</f>
        <v>-750</v>
      </c>
      <c r="AH482" s="144">
        <f>IF('PV IN'!$F$4="Battery Only",0,PVCalcs!AI482)</f>
        <v>0</v>
      </c>
      <c r="AI482" s="144">
        <f>IF('PV IN'!$F$4="PV Only",0,BattCalcs!BM482)</f>
        <v>0</v>
      </c>
      <c r="AJ482" s="144">
        <f>IF('PV IN'!$F$4="PV Only",0,SUM(BattCalcs!BO482:BT482))</f>
        <v>0</v>
      </c>
      <c r="AK482" s="144">
        <f>IF('PV IN'!$F$4="PV Only",PVCalcs!AH482,IF('PV IN'!$F$4="Battery Only",BattCalcs!BN482,PVCalcs!AH482+BattCalcs!BN482))</f>
        <v>-625</v>
      </c>
      <c r="AL482" s="144">
        <f>IF('PV IN'!$F$4="PV Only",0,BattCalcs!BV482)</f>
        <v>0</v>
      </c>
      <c r="AM482" s="144">
        <f>IF('PV IN'!$F$4="PV Only",0,SUM(BattCalcs!BW482:BX482))</f>
        <v>0</v>
      </c>
      <c r="AN482" s="144">
        <f>IF('PV IN'!$F$4="PV Only",0,BattCalcs!BY482)</f>
        <v>0</v>
      </c>
      <c r="AO482" s="144">
        <f>IF('PV IN'!$F$4="Battery Only",0,PVCalcs!U482)</f>
        <v>8753.3845453968624</v>
      </c>
      <c r="AP482" s="10">
        <f>IF('PV IN'!$F$4="PV Only",0,BattCalcs!AS482)</f>
        <v>0</v>
      </c>
      <c r="AQ482" s="10">
        <f>IF('PV IN'!$F$4="PV Only",0,BattCalcs!AT482)</f>
        <v>0</v>
      </c>
      <c r="AR482" s="10">
        <f>IF('PV IN'!$F$4="PV Only",0,BattCalcs!AU482)</f>
        <v>0</v>
      </c>
      <c r="AS482" s="144">
        <f>IF('PV IN'!$F$4="PV Only",PVCalcs!X482,IF('PV IN'!$F$4="Battery Only",BattCalcs!AW482,PVCalcs!X482+BattCalcs!AW482))</f>
        <v>0</v>
      </c>
      <c r="AT482" s="144">
        <f>IF('PV IN'!$F$4="Battery Only",0,-PVCalcs!AQ482*'PV IN'!$E$8)</f>
        <v>0</v>
      </c>
      <c r="AU482" s="144">
        <f>IF('PV IN'!$F$4="PV Only",0,-BattCalcs!CG482*'PV IN'!$E$8)</f>
        <v>0</v>
      </c>
      <c r="AV482" s="144">
        <f>IF('PV IN'!$F$4="PV Only",PVCalcs!Z482+PVCalcs!AA482,IF('PV IN'!$F$4="Battery Only",SUM(BattCalcs!BC482:BH482),PVCalcs!Z482+PVCalcs!AA482+SUM(BattCalcs!BC482:BH482)))</f>
        <v>0</v>
      </c>
      <c r="AW482" s="144">
        <f>IF('PV IN'!$F$4="PV Only",SUM(PVCalcs!AF482:AI482),IF('PV IN'!$F$4="Battery Only",SUM(BattCalcs!BL482:BY482),SUM(PVCalcs!AF482:AI482)+SUM(BattCalcs!BL482:BY482)))</f>
        <v>-1375</v>
      </c>
      <c r="AX482" s="144">
        <f>IF('PV IN'!$F$4="Battery Only",0,-PVLoan!F510)</f>
        <v>0</v>
      </c>
      <c r="AY482" s="144">
        <f>IF('PV IN'!$F$4="PV Only",0,-BattLoan!F510)</f>
        <v>0</v>
      </c>
      <c r="AZ482" s="144">
        <f>IF('PV IN'!$F$4="Battery Only",0,-PVLoan!H510)</f>
        <v>0</v>
      </c>
      <c r="BA482" s="144">
        <f>IF('PV IN'!$F$4="PV Only",0,-BattLoan!H510)</f>
        <v>0</v>
      </c>
    </row>
    <row r="483" spans="1:88" x14ac:dyDescent="0.25">
      <c r="A483" t="str">
        <f>IF(C483&lt;='PV IN'!$O$22*12,C483,"")</f>
        <v/>
      </c>
      <c r="C483">
        <v>479</v>
      </c>
      <c r="D483" s="2">
        <f>BattCalcs!CK483+PVCalcs!AT483</f>
        <v>7661.2989556999291</v>
      </c>
      <c r="E483" s="20">
        <f>PVCalcs!AV483</f>
        <v>3416895.9502008664</v>
      </c>
      <c r="F483" s="20">
        <f>PVCalcs!AW483</f>
        <v>1092.6881207551066</v>
      </c>
      <c r="G483" s="20" t="e">
        <f>PVCalcs!AX483</f>
        <v>#N/A</v>
      </c>
      <c r="H483" s="20">
        <f>BattCalcs!CM483</f>
        <v>0</v>
      </c>
      <c r="I483" s="20">
        <f>BattCalcs!CN483</f>
        <v>0</v>
      </c>
      <c r="J483" s="20" t="e">
        <f>IF(C483&lt;='Batt IN'!H$43*12,BattCalcs!CO483,NA())</f>
        <v>#N/A</v>
      </c>
      <c r="L483" s="20">
        <f t="shared" si="1173"/>
        <v>1092.6881207551066</v>
      </c>
      <c r="M483" s="20" t="e">
        <f>G483+BattCalcs!CO483</f>
        <v>#N/A</v>
      </c>
      <c r="O483" s="10" t="str">
        <f>PVLoan!G511</f>
        <v>-</v>
      </c>
      <c r="P483" s="10" t="str">
        <f>PVLoan!J511</f>
        <v>-</v>
      </c>
      <c r="Q483" s="2" t="str">
        <f>BattLoan!G511</f>
        <v>-</v>
      </c>
      <c r="R483" s="10" t="str">
        <f>BattLoan!J511</f>
        <v>-</v>
      </c>
      <c r="T483" s="33">
        <f>IF('PV IN'!$F$4="Battery Only",0,PVCalcs!G483)</f>
        <v>110873.69382206284</v>
      </c>
      <c r="U483" s="33">
        <f>IF('PV IN'!$F$4="Battery Only",0,PVCalcs!M483)</f>
        <v>110873.69382206284</v>
      </c>
      <c r="V483" s="33">
        <f>PVCalcs!L483</f>
        <v>25811.765833333331</v>
      </c>
      <c r="W483" s="158">
        <f>PVCalcs!F483</f>
        <v>7.8896523189157505E-2</v>
      </c>
      <c r="X483" s="144">
        <f>IF('PV IN'!$F$4="Battery Only",0,PVCalcs!Y483+PVCalcs!Z483)</f>
        <v>0</v>
      </c>
      <c r="Y483" s="144">
        <f>IF('PV IN'!$F$4="PV Only",0,BattCalcs!AX483+BattCalcs!BC483)</f>
        <v>0</v>
      </c>
      <c r="Z483" s="144">
        <f>IF('PV IN'!$F$4="PV Only",0,BattCalcs!AY483+BattCalcs!BD483)</f>
        <v>0</v>
      </c>
      <c r="AA483" s="144">
        <f>IF('PV IN'!$F$4="PV Only",0,BattCalcs!AZ483+BattCalcs!BE483)</f>
        <v>0</v>
      </c>
      <c r="AB483" s="144">
        <f>IF('PV IN'!$F$4="PV Only",0,BattCalcs!BA483+BattCalcs!BF483)</f>
        <v>0</v>
      </c>
      <c r="AC483" s="144">
        <f>IF('PV IN'!$F$4="PV Only",0,BattCalcs!BB483+BattCalcs!BG483)</f>
        <v>0</v>
      </c>
      <c r="AD483" s="144">
        <f>IF('PV IN'!$F$4="PV Only",0,BattCalcs!BU483)</f>
        <v>0</v>
      </c>
      <c r="AE483" s="144">
        <f>IF('PV IN'!$F$4="PV Only",PVCalcs!W483+PVCalcs!AA483,IF('PV IN'!$F$4="Battery Only",BattCalcs!AV483+BattCalcs!BH483,PVCalcs!W483+PVCalcs!AA483+BattCalcs!AV483+BattCalcs!BH483))</f>
        <v>0</v>
      </c>
      <c r="AF483" s="10">
        <f>PVCalcs!AC483+BattCalcs!BJ483</f>
        <v>0</v>
      </c>
      <c r="AG483" s="144">
        <f>IF('PV IN'!$F$4="Battery Only",0,PVCalcs!AG483)</f>
        <v>-750</v>
      </c>
      <c r="AH483" s="144">
        <f>IF('PV IN'!$F$4="Battery Only",0,PVCalcs!AI483)</f>
        <v>0</v>
      </c>
      <c r="AI483" s="144">
        <f>IF('PV IN'!$F$4="PV Only",0,BattCalcs!BM483)</f>
        <v>0</v>
      </c>
      <c r="AJ483" s="144">
        <f>IF('PV IN'!$F$4="PV Only",0,SUM(BattCalcs!BO483:BT483))</f>
        <v>0</v>
      </c>
      <c r="AK483" s="144">
        <f>IF('PV IN'!$F$4="PV Only",PVCalcs!AH483,IF('PV IN'!$F$4="Battery Only",BattCalcs!BN483,PVCalcs!AH483+BattCalcs!BN483))</f>
        <v>-625</v>
      </c>
      <c r="AL483" s="144">
        <f>IF('PV IN'!$F$4="PV Only",0,BattCalcs!BV483)</f>
        <v>0</v>
      </c>
      <c r="AM483" s="144">
        <f>IF('PV IN'!$F$4="PV Only",0,SUM(BattCalcs!BW483:BX483))</f>
        <v>0</v>
      </c>
      <c r="AN483" s="144">
        <f>IF('PV IN'!$F$4="PV Only",0,BattCalcs!BY483)</f>
        <v>0</v>
      </c>
      <c r="AO483" s="144">
        <f>IF('PV IN'!$F$4="Battery Only",0,PVCalcs!U483)</f>
        <v>8747.5489556999291</v>
      </c>
      <c r="AP483" s="10">
        <f>IF('PV IN'!$F$4="PV Only",0,BattCalcs!AS483)</f>
        <v>0</v>
      </c>
      <c r="AQ483" s="10">
        <f>IF('PV IN'!$F$4="PV Only",0,BattCalcs!AT483)</f>
        <v>0</v>
      </c>
      <c r="AR483" s="10">
        <f>IF('PV IN'!$F$4="PV Only",0,BattCalcs!AU483)</f>
        <v>0</v>
      </c>
      <c r="AS483" s="144">
        <f>IF('PV IN'!$F$4="PV Only",PVCalcs!X483,IF('PV IN'!$F$4="Battery Only",BattCalcs!AW483,PVCalcs!X483+BattCalcs!AW483))</f>
        <v>0</v>
      </c>
      <c r="AT483" s="144">
        <f>IF('PV IN'!$F$4="Battery Only",0,-PVCalcs!AQ483*'PV IN'!$E$8)</f>
        <v>0</v>
      </c>
      <c r="AU483" s="144">
        <f>IF('PV IN'!$F$4="PV Only",0,-BattCalcs!CG483*'PV IN'!$E$8)</f>
        <v>0</v>
      </c>
      <c r="AV483" s="144">
        <f>IF('PV IN'!$F$4="PV Only",PVCalcs!Z483+PVCalcs!AA483,IF('PV IN'!$F$4="Battery Only",SUM(BattCalcs!BC483:BH483),PVCalcs!Z483+PVCalcs!AA483+SUM(BattCalcs!BC483:BH483)))</f>
        <v>0</v>
      </c>
      <c r="AW483" s="144">
        <f>IF('PV IN'!$F$4="PV Only",SUM(PVCalcs!AF483:AI483),IF('PV IN'!$F$4="Battery Only",SUM(BattCalcs!BL483:BY483),SUM(PVCalcs!AF483:AI483)+SUM(BattCalcs!BL483:BY483)))</f>
        <v>-1375</v>
      </c>
      <c r="AX483" s="144">
        <f>IF('PV IN'!$F$4="Battery Only",0,-PVLoan!F511)</f>
        <v>0</v>
      </c>
      <c r="AY483" s="144">
        <f>IF('PV IN'!$F$4="PV Only",0,-BattLoan!F511)</f>
        <v>0</v>
      </c>
      <c r="AZ483" s="144">
        <f>IF('PV IN'!$F$4="Battery Only",0,-PVLoan!H511)</f>
        <v>0</v>
      </c>
      <c r="BA483" s="144">
        <f>IF('PV IN'!$F$4="PV Only",0,-BattLoan!H511)</f>
        <v>0</v>
      </c>
    </row>
    <row r="484" spans="1:88" x14ac:dyDescent="0.25">
      <c r="A484" t="str">
        <f>IF(C484&lt;='PV IN'!$O$22*12,C484,"")</f>
        <v/>
      </c>
      <c r="B484">
        <f t="shared" ref="B484" si="1314">B472+1</f>
        <v>2065</v>
      </c>
      <c r="C484">
        <v>480</v>
      </c>
      <c r="D484" s="2">
        <f>BattCalcs!CK484+PVCalcs!AT484</f>
        <v>7655.4672563961321</v>
      </c>
      <c r="E484" s="20">
        <f>PVCalcs!AV484</f>
        <v>3424551.4174572625</v>
      </c>
      <c r="F484" s="20">
        <f>PVCalcs!AW484</f>
        <v>1087.4260697621764</v>
      </c>
      <c r="G484" s="20" t="e">
        <f>PVCalcs!AX484</f>
        <v>#N/A</v>
      </c>
      <c r="H484" s="20">
        <f>BattCalcs!CM484</f>
        <v>0</v>
      </c>
      <c r="I484" s="20">
        <f>BattCalcs!CN484</f>
        <v>0</v>
      </c>
      <c r="J484" s="20" t="e">
        <f>IF(C484&lt;='Batt IN'!H$43*12,BattCalcs!CO484,NA())</f>
        <v>#N/A</v>
      </c>
      <c r="L484" s="20">
        <f t="shared" si="1173"/>
        <v>1087.4260697621764</v>
      </c>
      <c r="M484" s="20" t="e">
        <f>G484+BattCalcs!CO484</f>
        <v>#N/A</v>
      </c>
      <c r="O484" s="10" t="str">
        <f>PVLoan!G512</f>
        <v>-</v>
      </c>
      <c r="P484" s="10" t="str">
        <f>PVLoan!J512</f>
        <v>-</v>
      </c>
      <c r="Q484" s="2" t="str">
        <f>BattLoan!G512</f>
        <v>-</v>
      </c>
      <c r="R484" s="10" t="str">
        <f>BattLoan!J512</f>
        <v>-</v>
      </c>
      <c r="T484" s="33">
        <f>IF('PV IN'!$F$4="Battery Only",0,PVCalcs!G484)</f>
        <v>110799.77802618149</v>
      </c>
      <c r="U484" s="33">
        <f>IF('PV IN'!$F$4="Battery Only",0,PVCalcs!M484)</f>
        <v>110799.77802618149</v>
      </c>
      <c r="V484" s="33">
        <f>PVCalcs!L484</f>
        <v>25811.765833333331</v>
      </c>
      <c r="W484" s="158">
        <f>PVCalcs!F484</f>
        <v>7.8896523189157505E-2</v>
      </c>
      <c r="X484" s="144">
        <f>IF('PV IN'!$F$4="Battery Only",0,PVCalcs!Y484+PVCalcs!Z484)</f>
        <v>0</v>
      </c>
      <c r="Y484" s="144">
        <f>IF('PV IN'!$F$4="PV Only",0,BattCalcs!AX484+BattCalcs!BC484)</f>
        <v>0</v>
      </c>
      <c r="Z484" s="144">
        <f>IF('PV IN'!$F$4="PV Only",0,BattCalcs!AY484+BattCalcs!BD484)</f>
        <v>0</v>
      </c>
      <c r="AA484" s="144">
        <f>IF('PV IN'!$F$4="PV Only",0,BattCalcs!AZ484+BattCalcs!BE484)</f>
        <v>0</v>
      </c>
      <c r="AB484" s="144">
        <f>IF('PV IN'!$F$4="PV Only",0,BattCalcs!BA484+BattCalcs!BF484)</f>
        <v>0</v>
      </c>
      <c r="AC484" s="144">
        <f>IF('PV IN'!$F$4="PV Only",0,BattCalcs!BB484+BattCalcs!BG484)</f>
        <v>0</v>
      </c>
      <c r="AD484" s="144">
        <f>IF('PV IN'!$F$4="PV Only",0,BattCalcs!BU484)</f>
        <v>0</v>
      </c>
      <c r="AE484" s="144">
        <f>IF('PV IN'!$F$4="PV Only",PVCalcs!W484+PVCalcs!AA484,IF('PV IN'!$F$4="Battery Only",BattCalcs!AV484+BattCalcs!BH484,PVCalcs!W484+PVCalcs!AA484+BattCalcs!AV484+BattCalcs!BH484))</f>
        <v>0</v>
      </c>
      <c r="AF484" s="10">
        <f>PVCalcs!AC484+BattCalcs!BJ484</f>
        <v>0</v>
      </c>
      <c r="AG484" s="144">
        <f>IF('PV IN'!$F$4="Battery Only",0,PVCalcs!AG484)</f>
        <v>-750</v>
      </c>
      <c r="AH484" s="144">
        <f>IF('PV IN'!$F$4="Battery Only",0,PVCalcs!AI484)</f>
        <v>0</v>
      </c>
      <c r="AI484" s="144">
        <f>IF('PV IN'!$F$4="PV Only",0,BattCalcs!BM484)</f>
        <v>0</v>
      </c>
      <c r="AJ484" s="144">
        <f>IF('PV IN'!$F$4="PV Only",0,SUM(BattCalcs!BO484:BT484))</f>
        <v>0</v>
      </c>
      <c r="AK484" s="144">
        <f>IF('PV IN'!$F$4="PV Only",PVCalcs!AH484,IF('PV IN'!$F$4="Battery Only",BattCalcs!BN484,PVCalcs!AH484+BattCalcs!BN484))</f>
        <v>-625</v>
      </c>
      <c r="AL484" s="144">
        <f>IF('PV IN'!$F$4="PV Only",0,BattCalcs!BV484)</f>
        <v>0</v>
      </c>
      <c r="AM484" s="144">
        <f>IF('PV IN'!$F$4="PV Only",0,SUM(BattCalcs!BW484:BX484))</f>
        <v>0</v>
      </c>
      <c r="AN484" s="144">
        <f>IF('PV IN'!$F$4="PV Only",0,BattCalcs!BY484)</f>
        <v>0</v>
      </c>
      <c r="AO484" s="144">
        <f>IF('PV IN'!$F$4="Battery Only",0,PVCalcs!U484)</f>
        <v>8741.7172563961321</v>
      </c>
      <c r="AP484" s="10">
        <f>IF('PV IN'!$F$4="PV Only",0,BattCalcs!AS484)</f>
        <v>0</v>
      </c>
      <c r="AQ484" s="10">
        <f>IF('PV IN'!$F$4="PV Only",0,BattCalcs!AT484)</f>
        <v>0</v>
      </c>
      <c r="AR484" s="10">
        <f>IF('PV IN'!$F$4="PV Only",0,BattCalcs!AU484)</f>
        <v>0</v>
      </c>
      <c r="AS484" s="144">
        <f>IF('PV IN'!$F$4="PV Only",PVCalcs!X484,IF('PV IN'!$F$4="Battery Only",BattCalcs!AW484,PVCalcs!X484+BattCalcs!AW484))</f>
        <v>0</v>
      </c>
      <c r="AT484" s="144">
        <f>IF('PV IN'!$F$4="Battery Only",0,-PVCalcs!AQ484*'PV IN'!$E$8)</f>
        <v>0</v>
      </c>
      <c r="AU484" s="144">
        <f>IF('PV IN'!$F$4="PV Only",0,-BattCalcs!CG484*'PV IN'!$E$8)</f>
        <v>0</v>
      </c>
      <c r="AV484" s="144">
        <f>IF('PV IN'!$F$4="PV Only",PVCalcs!Z484+PVCalcs!AA484,IF('PV IN'!$F$4="Battery Only",SUM(BattCalcs!BC484:BH484),PVCalcs!Z484+PVCalcs!AA484+SUM(BattCalcs!BC484:BH484)))</f>
        <v>0</v>
      </c>
      <c r="AW484" s="144">
        <f>IF('PV IN'!$F$4="PV Only",SUM(PVCalcs!AF484:AI484),IF('PV IN'!$F$4="Battery Only",SUM(BattCalcs!BL484:BY484),SUM(PVCalcs!AF484:AI484)+SUM(BattCalcs!BL484:BY484)))</f>
        <v>-1375</v>
      </c>
      <c r="AX484" s="144">
        <f>IF('PV IN'!$F$4="Battery Only",0,-PVLoan!F512)</f>
        <v>0</v>
      </c>
      <c r="AY484" s="144">
        <f>IF('PV IN'!$F$4="PV Only",0,-BattLoan!F512)</f>
        <v>0</v>
      </c>
      <c r="AZ484" s="144">
        <f>IF('PV IN'!$F$4="Battery Only",0,-PVLoan!H512)</f>
        <v>0</v>
      </c>
      <c r="BA484" s="144">
        <f>IF('PV IN'!$F$4="PV Only",0,-BattLoan!H512)</f>
        <v>0</v>
      </c>
      <c r="BC484" s="33">
        <f t="shared" ref="BC484" si="1315">SUM(T473:T484)</f>
        <v>1334486.6433584609</v>
      </c>
      <c r="BD484" s="33">
        <f t="shared" ref="BD484" si="1316">SUM(U473:U484)</f>
        <v>1334486.6433584609</v>
      </c>
      <c r="BE484" s="33">
        <f t="shared" ref="BE484" si="1317">SUM(V473:V484)</f>
        <v>309741.19</v>
      </c>
      <c r="BF484" s="50">
        <f t="shared" ref="BF484" si="1318">W484</f>
        <v>7.8896523189157505E-2</v>
      </c>
      <c r="BG484" s="2">
        <f t="shared" ref="BG484" si="1319">SUM(X473:X484)</f>
        <v>0</v>
      </c>
      <c r="BH484" s="2">
        <f t="shared" ref="BH484" si="1320">SUM(Y473:Y484)</f>
        <v>0</v>
      </c>
      <c r="BI484" s="2">
        <f t="shared" ref="BI484" si="1321">SUM(Z473:Z484)</f>
        <v>0</v>
      </c>
      <c r="BJ484" s="2">
        <f t="shared" ref="BJ484" si="1322">SUM(AA473:AA484)</f>
        <v>0</v>
      </c>
      <c r="BK484" s="2">
        <f t="shared" ref="BK484" si="1323">SUM(AB473:AB484)</f>
        <v>0</v>
      </c>
      <c r="BL484" s="2">
        <f t="shared" ref="BL484" si="1324">SUM(AC473:AC484)</f>
        <v>0</v>
      </c>
      <c r="BM484" s="2">
        <f t="shared" ref="BM484" si="1325">SUM(AD473:AD484)</f>
        <v>0</v>
      </c>
      <c r="BN484" s="2">
        <f t="shared" ref="BN484" si="1326">SUM(AE473:AE484)</f>
        <v>0</v>
      </c>
      <c r="BO484" s="2">
        <f t="shared" ref="BO484" si="1327">SUM(AF473:AF484)</f>
        <v>0</v>
      </c>
      <c r="BP484" s="2">
        <f t="shared" ref="BP484" si="1328">SUM(AG473:AG484)</f>
        <v>-9000</v>
      </c>
      <c r="BQ484" s="2">
        <f t="shared" ref="BQ484" si="1329">SUM(AH473:AH484)</f>
        <v>0</v>
      </c>
      <c r="BR484" s="2">
        <f t="shared" ref="BR484" si="1330">SUM(AI473:AI484)</f>
        <v>0</v>
      </c>
      <c r="BS484" s="2">
        <f t="shared" ref="BS484" si="1331">SUM(AJ473:AJ484)</f>
        <v>0</v>
      </c>
      <c r="BT484" s="2">
        <f t="shared" ref="BT484" si="1332">SUM(AK473:AK484)</f>
        <v>-7500</v>
      </c>
      <c r="BU484" s="2">
        <f t="shared" ref="BU484" si="1333">SUM(AL473:AL484)</f>
        <v>0</v>
      </c>
      <c r="BV484" s="2">
        <f t="shared" ref="BV484" si="1334">SUM(AM473:AM484)</f>
        <v>0</v>
      </c>
      <c r="BW484" s="2">
        <f t="shared" ref="BW484" si="1335">SUM(AN473:AN484)</f>
        <v>0</v>
      </c>
      <c r="BX484" s="2">
        <f t="shared" ref="BX484" si="1336">SUM(AO473:AO484)</f>
        <v>105286.35640335179</v>
      </c>
      <c r="BY484" s="2">
        <f t="shared" ref="BY484" si="1337">SUM(AP473:AP484)</f>
        <v>0</v>
      </c>
      <c r="BZ484" s="2">
        <f t="shared" ref="BZ484" si="1338">SUM(AQ473:AQ484)</f>
        <v>0</v>
      </c>
      <c r="CA484" s="2">
        <f t="shared" ref="CA484" si="1339">SUM(AR473:AR484)</f>
        <v>0</v>
      </c>
      <c r="CB484" s="2">
        <f t="shared" ref="CB484" si="1340">SUM(AS473:AS484)</f>
        <v>0</v>
      </c>
      <c r="CC484" s="2">
        <f t="shared" ref="CC484" si="1341">SUM(AT473:AT484)</f>
        <v>0</v>
      </c>
      <c r="CD484" s="2">
        <f t="shared" ref="CD484" si="1342">SUM(AU473:AU484)</f>
        <v>0</v>
      </c>
      <c r="CE484" s="2">
        <f t="shared" ref="CE484" si="1343">SUM(AV473:AV484)</f>
        <v>0</v>
      </c>
      <c r="CF484" s="2">
        <f t="shared" ref="CF484" si="1344">SUM(AW473:AW484)</f>
        <v>-16500</v>
      </c>
      <c r="CG484" s="2">
        <f t="shared" ref="CG484" si="1345">SUM(AX473:AX484)</f>
        <v>0</v>
      </c>
      <c r="CH484" s="2">
        <f t="shared" ref="CH484" si="1346">SUM(AY473:AY484)</f>
        <v>0</v>
      </c>
      <c r="CI484" s="2">
        <f t="shared" ref="CI484" si="1347">SUM(AZ473:AZ484)</f>
        <v>0</v>
      </c>
      <c r="CJ484" s="2">
        <f t="shared" ref="CJ484" si="1348">SUM(BA473:BA484)</f>
        <v>0</v>
      </c>
    </row>
  </sheetData>
  <mergeCells count="12">
    <mergeCell ref="BC2:BL2"/>
    <mergeCell ref="BO2:BW2"/>
    <mergeCell ref="BX2:CA2"/>
    <mergeCell ref="CB2:CF2"/>
    <mergeCell ref="CI2:CJ2"/>
    <mergeCell ref="CG2:CH2"/>
    <mergeCell ref="T2:AC2"/>
    <mergeCell ref="AF2:AN2"/>
    <mergeCell ref="AO2:AR2"/>
    <mergeCell ref="AS2:AW2"/>
    <mergeCell ref="AZ2:BA2"/>
    <mergeCell ref="AX2:AY2"/>
  </mergeCells>
  <pageMargins left="0.7" right="0.7" top="0.75" bottom="0.75" header="0.3" footer="0.3"/>
  <ignoredErrors>
    <ignoredError sqref="BF16"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A9D9BB9056E648BD8971DAB3C19727" ma:contentTypeVersion="0" ma:contentTypeDescription="Create a new document." ma:contentTypeScope="" ma:versionID="998aa0854d98d52be02b4bd7d7e58f83">
  <xsd:schema xmlns:xsd="http://www.w3.org/2001/XMLSchema" xmlns:xs="http://www.w3.org/2001/XMLSchema" xmlns:p="http://schemas.microsoft.com/office/2006/metadata/properties" targetNamespace="http://schemas.microsoft.com/office/2006/metadata/properties" ma:root="true" ma:fieldsID="e632581fadfa51a52ea46ddb307d92e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F5F7A1-8BA5-4928-9505-3598615FEA06}">
  <ds:schemaRefs>
    <ds:schemaRef ds:uri="http://schemas.microsoft.com/sharepoint/v3/contenttype/forms"/>
  </ds:schemaRefs>
</ds:datastoreItem>
</file>

<file path=customXml/itemProps2.xml><?xml version="1.0" encoding="utf-8"?>
<ds:datastoreItem xmlns:ds="http://schemas.openxmlformats.org/officeDocument/2006/customXml" ds:itemID="{3B801727-462B-4516-AEA5-CAACAE08ED9F}">
  <ds:schemaRefs>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1B03E21F-6C7C-4A61-A12C-8CBAD3E276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Intro</vt:lpstr>
      <vt:lpstr>Instructions</vt:lpstr>
      <vt:lpstr>PV IN</vt:lpstr>
      <vt:lpstr>Batt IN</vt:lpstr>
      <vt:lpstr>Ledger</vt:lpstr>
      <vt:lpstr>Adv.</vt:lpstr>
      <vt:lpstr>PVCalcs</vt:lpstr>
      <vt:lpstr>BattCalcs</vt:lpstr>
      <vt:lpstr>HybridCalcs</vt:lpstr>
      <vt:lpstr>Depr.</vt:lpstr>
      <vt:lpstr>PVLoan</vt:lpstr>
      <vt:lpstr>BattLoan</vt:lpstr>
      <vt:lpstr>LkUP</vt:lpstr>
      <vt:lpstr>Chrt</vt:lpstr>
      <vt:lpstr>'Batt IN'!Print_Area</vt:lpstr>
      <vt:lpstr>Ledger!Print_Area</vt:lpstr>
      <vt:lpstr>'PV IN'!Print_Area</vt:lpstr>
      <vt:lpstr>Ledger!Print_Titles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amackey</dc:creator>
  <cp:lastModifiedBy>Andy Mackey</cp:lastModifiedBy>
  <cp:lastPrinted>2020-05-22T17:41:38Z</cp:lastPrinted>
  <dcterms:created xsi:type="dcterms:W3CDTF">2015-08-19T21:26:30Z</dcterms:created>
  <dcterms:modified xsi:type="dcterms:W3CDTF">2025-01-27T21:58:09Z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0x0101004EA9D9BB9056E648BD8971DAB3C19727</vt:lpwstr>
  </property>
</Properties>
</file>